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providence4-my.sharepoint.com/personal/frederik_esselink_providence_org/Documents/Desktop/Tmp/PEBA/"/>
    </mc:Choice>
  </mc:AlternateContent>
  <xr:revisionPtr revIDLastSave="2152" documentId="8_{5EC96AEB-4B67-44DC-B15D-8E0F5D3B6A05}" xr6:coauthVersionLast="47" xr6:coauthVersionMax="47" xr10:uidLastSave="{52F8D4AC-4B5C-4884-A3F4-D39CA8783D40}"/>
  <bookViews>
    <workbookView xWindow="-108" yWindow="-108" windowWidth="23256" windowHeight="12456" tabRatio="702" activeTab="3" xr2:uid="{00000000-000D-0000-FFFF-FFFF00000000}"/>
  </bookViews>
  <sheets>
    <sheet name="BvP" sheetId="11" r:id="rId1"/>
    <sheet name="Bat" sheetId="2" r:id="rId2"/>
    <sheet name="Pit" sheetId="1" r:id="rId3"/>
    <sheet name="Draft List" sheetId="3" r:id="rId4"/>
    <sheet name="Results37" sheetId="7" r:id="rId5"/>
    <sheet name="Con" sheetId="8" r:id="rId6"/>
    <sheet name="Salary Pivot" sheetId="10" r:id="rId7"/>
    <sheet name="COND" sheetId="4" r:id="rId8"/>
    <sheet name="Bonuses" sheetId="9" r:id="rId9"/>
    <sheet name="Sheet1" sheetId="12" r:id="rId10"/>
  </sheets>
  <definedNames>
    <definedName name="_xlnm._FilterDatabase" localSheetId="1" hidden="1">Bat!$A$4:$BB$459</definedName>
    <definedName name="_xlnm._FilterDatabase" localSheetId="5" hidden="1">Con!$A$4:$AE$20</definedName>
    <definedName name="_xlnm._FilterDatabase" localSheetId="3" hidden="1">'Draft List'!$A$4:$AD$891</definedName>
    <definedName name="_xlnm._FilterDatabase" localSheetId="2" hidden="1">Pit!$A$4:$BL$438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612" i="7" l="1"/>
  <c r="H613" i="7"/>
  <c r="H614" i="7"/>
  <c r="H615" i="7"/>
  <c r="H616" i="7"/>
  <c r="H617" i="7"/>
  <c r="H618" i="7"/>
  <c r="H619" i="7"/>
  <c r="H620" i="7"/>
  <c r="H621" i="7"/>
  <c r="H622" i="7"/>
  <c r="H623" i="7"/>
  <c r="H624" i="7"/>
  <c r="H625" i="7"/>
  <c r="H626" i="7"/>
  <c r="H627" i="7"/>
  <c r="H628" i="7"/>
  <c r="H629" i="7"/>
  <c r="H630" i="7"/>
  <c r="H631" i="7"/>
  <c r="H632" i="7"/>
  <c r="Y700" i="3" s="1"/>
  <c r="H633" i="7"/>
  <c r="H634" i="7"/>
  <c r="H635" i="7"/>
  <c r="H636" i="7"/>
  <c r="H637" i="7"/>
  <c r="H638" i="7"/>
  <c r="H639" i="7"/>
  <c r="H640" i="7"/>
  <c r="Y780" i="3" s="1"/>
  <c r="H641" i="7"/>
  <c r="H642" i="7"/>
  <c r="H643" i="7"/>
  <c r="H644" i="7"/>
  <c r="H645" i="7"/>
  <c r="H646" i="7"/>
  <c r="H647" i="7"/>
  <c r="H648" i="7"/>
  <c r="Y461" i="3" s="1"/>
  <c r="H649" i="7"/>
  <c r="H650" i="7"/>
  <c r="H651" i="7"/>
  <c r="H652" i="7"/>
  <c r="H653" i="7"/>
  <c r="H654" i="7"/>
  <c r="H655" i="7"/>
  <c r="H656" i="7"/>
  <c r="H657" i="7"/>
  <c r="H658" i="7"/>
  <c r="H659" i="7"/>
  <c r="H660" i="7"/>
  <c r="H661" i="7"/>
  <c r="H662" i="7"/>
  <c r="H663" i="7"/>
  <c r="H664" i="7"/>
  <c r="H665" i="7"/>
  <c r="H666" i="7"/>
  <c r="H667" i="7"/>
  <c r="H668" i="7"/>
  <c r="H669" i="7"/>
  <c r="H670" i="7"/>
  <c r="H671" i="7"/>
  <c r="H672" i="7"/>
  <c r="H673" i="7"/>
  <c r="H674" i="7"/>
  <c r="I612" i="7"/>
  <c r="I613" i="7"/>
  <c r="I614" i="7"/>
  <c r="I615" i="7"/>
  <c r="I616" i="7"/>
  <c r="I617" i="7"/>
  <c r="I618" i="7"/>
  <c r="I619" i="7"/>
  <c r="I620" i="7"/>
  <c r="I621" i="7"/>
  <c r="I622" i="7"/>
  <c r="I623" i="7"/>
  <c r="I624" i="7"/>
  <c r="I625" i="7"/>
  <c r="I626" i="7"/>
  <c r="I627" i="7"/>
  <c r="I628" i="7"/>
  <c r="I629" i="7"/>
  <c r="I630" i="7"/>
  <c r="I631" i="7"/>
  <c r="I632" i="7"/>
  <c r="I633" i="7"/>
  <c r="I634" i="7"/>
  <c r="I635" i="7"/>
  <c r="I636" i="7"/>
  <c r="I637" i="7"/>
  <c r="I638" i="7"/>
  <c r="I639" i="7"/>
  <c r="I640" i="7"/>
  <c r="I641" i="7"/>
  <c r="I642" i="7"/>
  <c r="I643" i="7"/>
  <c r="I644" i="7"/>
  <c r="I645" i="7"/>
  <c r="I646" i="7"/>
  <c r="I647" i="7"/>
  <c r="I648" i="7"/>
  <c r="I649" i="7"/>
  <c r="I650" i="7"/>
  <c r="I651" i="7"/>
  <c r="I652" i="7"/>
  <c r="I653" i="7"/>
  <c r="I654" i="7"/>
  <c r="I655" i="7"/>
  <c r="I656" i="7"/>
  <c r="I657" i="7"/>
  <c r="I658" i="7"/>
  <c r="I659" i="7"/>
  <c r="I660" i="7"/>
  <c r="I661" i="7"/>
  <c r="I662" i="7"/>
  <c r="I663" i="7"/>
  <c r="I664" i="7"/>
  <c r="I665" i="7"/>
  <c r="I666" i="7"/>
  <c r="I667" i="7"/>
  <c r="I668" i="7"/>
  <c r="I669" i="7"/>
  <c r="I670" i="7"/>
  <c r="I671" i="7"/>
  <c r="I672" i="7"/>
  <c r="I673" i="7"/>
  <c r="I674" i="7"/>
  <c r="J612" i="7"/>
  <c r="J613" i="7"/>
  <c r="J614" i="7"/>
  <c r="J615" i="7"/>
  <c r="J616" i="7"/>
  <c r="J617" i="7"/>
  <c r="J618" i="7"/>
  <c r="J619" i="7"/>
  <c r="J620" i="7"/>
  <c r="J621" i="7"/>
  <c r="J622" i="7"/>
  <c r="J623" i="7"/>
  <c r="J624" i="7"/>
  <c r="J625" i="7"/>
  <c r="J626" i="7"/>
  <c r="J627" i="7"/>
  <c r="J628" i="7"/>
  <c r="J629" i="7"/>
  <c r="J630" i="7"/>
  <c r="J631" i="7"/>
  <c r="J632" i="7"/>
  <c r="J633" i="7"/>
  <c r="J634" i="7"/>
  <c r="J635" i="7"/>
  <c r="J636" i="7"/>
  <c r="J637" i="7"/>
  <c r="J638" i="7"/>
  <c r="J639" i="7"/>
  <c r="J640" i="7"/>
  <c r="J641" i="7"/>
  <c r="J642" i="7"/>
  <c r="J643" i="7"/>
  <c r="J644" i="7"/>
  <c r="J645" i="7"/>
  <c r="J646" i="7"/>
  <c r="J647" i="7"/>
  <c r="J648" i="7"/>
  <c r="J649" i="7"/>
  <c r="J650" i="7"/>
  <c r="J651" i="7"/>
  <c r="J652" i="7"/>
  <c r="J653" i="7"/>
  <c r="J654" i="7"/>
  <c r="J655" i="7"/>
  <c r="J656" i="7"/>
  <c r="J657" i="7"/>
  <c r="J658" i="7"/>
  <c r="J659" i="7"/>
  <c r="J660" i="7"/>
  <c r="J661" i="7"/>
  <c r="J662" i="7"/>
  <c r="J663" i="7"/>
  <c r="J664" i="7"/>
  <c r="J665" i="7"/>
  <c r="J666" i="7"/>
  <c r="J667" i="7"/>
  <c r="J668" i="7"/>
  <c r="J669" i="7"/>
  <c r="J670" i="7"/>
  <c r="J671" i="7"/>
  <c r="J672" i="7"/>
  <c r="J673" i="7"/>
  <c r="J674" i="7"/>
  <c r="K612" i="7"/>
  <c r="K613" i="7"/>
  <c r="K614" i="7"/>
  <c r="K615" i="7"/>
  <c r="K616" i="7"/>
  <c r="K617" i="7"/>
  <c r="K618" i="7"/>
  <c r="K619" i="7"/>
  <c r="K620" i="7"/>
  <c r="K621" i="7"/>
  <c r="K622" i="7"/>
  <c r="K623" i="7"/>
  <c r="K624" i="7"/>
  <c r="K625" i="7"/>
  <c r="K626" i="7"/>
  <c r="K627" i="7"/>
  <c r="K628" i="7"/>
  <c r="K629" i="7"/>
  <c r="K630" i="7"/>
  <c r="K631" i="7"/>
  <c r="K632" i="7"/>
  <c r="K633" i="7"/>
  <c r="K634" i="7"/>
  <c r="K635" i="7"/>
  <c r="K636" i="7"/>
  <c r="K637" i="7"/>
  <c r="K638" i="7"/>
  <c r="K639" i="7"/>
  <c r="K640" i="7"/>
  <c r="K641" i="7"/>
  <c r="K642" i="7"/>
  <c r="K643" i="7"/>
  <c r="K644" i="7"/>
  <c r="K645" i="7"/>
  <c r="K646" i="7"/>
  <c r="K647" i="7"/>
  <c r="K648" i="7"/>
  <c r="K649" i="7"/>
  <c r="K650" i="7"/>
  <c r="K651" i="7"/>
  <c r="K652" i="7"/>
  <c r="K653" i="7"/>
  <c r="K654" i="7"/>
  <c r="K655" i="7"/>
  <c r="K656" i="7"/>
  <c r="K657" i="7"/>
  <c r="K658" i="7"/>
  <c r="K659" i="7"/>
  <c r="K660" i="7"/>
  <c r="K661" i="7"/>
  <c r="K662" i="7"/>
  <c r="K663" i="7"/>
  <c r="K664" i="7"/>
  <c r="K665" i="7"/>
  <c r="K666" i="7"/>
  <c r="K667" i="7"/>
  <c r="K668" i="7"/>
  <c r="K669" i="7"/>
  <c r="K670" i="7"/>
  <c r="K671" i="7"/>
  <c r="K672" i="7"/>
  <c r="K673" i="7"/>
  <c r="K674" i="7"/>
  <c r="T20" i="8"/>
  <c r="T13" i="8"/>
  <c r="T15" i="8"/>
  <c r="T14" i="8"/>
  <c r="T11" i="8"/>
  <c r="T9" i="8"/>
  <c r="T8" i="8"/>
  <c r="T6" i="8"/>
  <c r="T5" i="8"/>
  <c r="T7" i="8"/>
  <c r="T10" i="8"/>
  <c r="T16" i="8"/>
  <c r="T17" i="8"/>
  <c r="T18" i="8"/>
  <c r="T19" i="8"/>
  <c r="T12" i="8"/>
  <c r="Q19" i="8"/>
  <c r="E9" i="8"/>
  <c r="S11" i="8"/>
  <c r="S14" i="8"/>
  <c r="BD3" i="1"/>
  <c r="AU152" i="1"/>
  <c r="AU427" i="1"/>
  <c r="AU165" i="1"/>
  <c r="AU104" i="1"/>
  <c r="AU238" i="1"/>
  <c r="AU112" i="1"/>
  <c r="AU425" i="1"/>
  <c r="AU170" i="1"/>
  <c r="AU324" i="1"/>
  <c r="AU266" i="1"/>
  <c r="AV152" i="1"/>
  <c r="AV427" i="1"/>
  <c r="AV165" i="1"/>
  <c r="AV104" i="1"/>
  <c r="AV238" i="1"/>
  <c r="AV112" i="1"/>
  <c r="AV425" i="1"/>
  <c r="AV170" i="1"/>
  <c r="AV324" i="1"/>
  <c r="AV266" i="1"/>
  <c r="AW152" i="1"/>
  <c r="AW427" i="1"/>
  <c r="AW165" i="1"/>
  <c r="AW104" i="1"/>
  <c r="AW238" i="1"/>
  <c r="AW112" i="1"/>
  <c r="AW425" i="1"/>
  <c r="AW170" i="1"/>
  <c r="AW324" i="1"/>
  <c r="AW266" i="1"/>
  <c r="AX152" i="1"/>
  <c r="AX427" i="1"/>
  <c r="AX165" i="1"/>
  <c r="AX104" i="1"/>
  <c r="AX238" i="1"/>
  <c r="AX112" i="1"/>
  <c r="AX425" i="1"/>
  <c r="AX170" i="1"/>
  <c r="AX324" i="1"/>
  <c r="AX266" i="1"/>
  <c r="AY152" i="1"/>
  <c r="AY427" i="1"/>
  <c r="AY165" i="1"/>
  <c r="AY104" i="1"/>
  <c r="AY238" i="1"/>
  <c r="AY112" i="1"/>
  <c r="AY425" i="1"/>
  <c r="AY170" i="1"/>
  <c r="AY324" i="1"/>
  <c r="AY266" i="1"/>
  <c r="BF152" i="1"/>
  <c r="BF427" i="1"/>
  <c r="BF165" i="1"/>
  <c r="BF104" i="1"/>
  <c r="BF238" i="1"/>
  <c r="BF112" i="1"/>
  <c r="BF425" i="1"/>
  <c r="BF170" i="1"/>
  <c r="BF324" i="1"/>
  <c r="BF266" i="1"/>
  <c r="BL152" i="1"/>
  <c r="BL427" i="1"/>
  <c r="BL165" i="1"/>
  <c r="BL104" i="1"/>
  <c r="BL238" i="1"/>
  <c r="BL112" i="1"/>
  <c r="BL425" i="1"/>
  <c r="BL170" i="1"/>
  <c r="BL324" i="1"/>
  <c r="BL266" i="1"/>
  <c r="AO298" i="2"/>
  <c r="AO361" i="2"/>
  <c r="AO407" i="2"/>
  <c r="AO355" i="2"/>
  <c r="AO297" i="2"/>
  <c r="AO302" i="2"/>
  <c r="AO283" i="2"/>
  <c r="AO352" i="2"/>
  <c r="AO290" i="2"/>
  <c r="AO267" i="2"/>
  <c r="AO399" i="2"/>
  <c r="AO249" i="2"/>
  <c r="AO287" i="2"/>
  <c r="AO406" i="2"/>
  <c r="AO403" i="2"/>
  <c r="AO383" i="2"/>
  <c r="AP298" i="2"/>
  <c r="AP361" i="2"/>
  <c r="AP407" i="2"/>
  <c r="AP355" i="2"/>
  <c r="AP297" i="2"/>
  <c r="AP302" i="2"/>
  <c r="AP283" i="2"/>
  <c r="AP352" i="2"/>
  <c r="AP290" i="2"/>
  <c r="AP267" i="2"/>
  <c r="AP399" i="2"/>
  <c r="AP249" i="2"/>
  <c r="AP287" i="2"/>
  <c r="AP406" i="2"/>
  <c r="AP403" i="2"/>
  <c r="AP383" i="2"/>
  <c r="AS298" i="2"/>
  <c r="AS361" i="2"/>
  <c r="AS407" i="2"/>
  <c r="AS355" i="2"/>
  <c r="AS297" i="2"/>
  <c r="AS302" i="2"/>
  <c r="AS283" i="2"/>
  <c r="AS352" i="2"/>
  <c r="AS290" i="2"/>
  <c r="AS267" i="2"/>
  <c r="AS399" i="2"/>
  <c r="AS249" i="2"/>
  <c r="AS287" i="2"/>
  <c r="AS406" i="2"/>
  <c r="AS403" i="2"/>
  <c r="AS383" i="2"/>
  <c r="AW298" i="2"/>
  <c r="AW361" i="2"/>
  <c r="AW407" i="2"/>
  <c r="AW355" i="2"/>
  <c r="AW297" i="2"/>
  <c r="AW302" i="2"/>
  <c r="AW283" i="2"/>
  <c r="AW352" i="2"/>
  <c r="AW290" i="2"/>
  <c r="AW267" i="2"/>
  <c r="AW399" i="2"/>
  <c r="AW249" i="2"/>
  <c r="AW287" i="2"/>
  <c r="AW406" i="2"/>
  <c r="AW403" i="2"/>
  <c r="AW383" i="2"/>
  <c r="AS89" i="2"/>
  <c r="B13" i="11"/>
  <c r="C13" i="11"/>
  <c r="D13" i="11"/>
  <c r="E13" i="11"/>
  <c r="F13" i="11"/>
  <c r="G13" i="11"/>
  <c r="O13" i="11"/>
  <c r="P13" i="11"/>
  <c r="Q13" i="11"/>
  <c r="R13" i="11"/>
  <c r="S13" i="11"/>
  <c r="T13" i="11"/>
  <c r="B12" i="11"/>
  <c r="C12" i="11"/>
  <c r="D12" i="11"/>
  <c r="E12" i="11"/>
  <c r="F12" i="11"/>
  <c r="G12" i="11"/>
  <c r="O12" i="11"/>
  <c r="P12" i="11"/>
  <c r="Q12" i="11"/>
  <c r="R12" i="11"/>
  <c r="S12" i="11"/>
  <c r="T12" i="11"/>
  <c r="B11" i="11"/>
  <c r="C11" i="11"/>
  <c r="D11" i="11"/>
  <c r="E11" i="11"/>
  <c r="F11" i="11"/>
  <c r="G11" i="11"/>
  <c r="O11" i="11"/>
  <c r="P11" i="11"/>
  <c r="Q11" i="11"/>
  <c r="R11" i="11"/>
  <c r="S11" i="11"/>
  <c r="T11" i="11"/>
  <c r="B10" i="11"/>
  <c r="C10" i="11"/>
  <c r="D10" i="11"/>
  <c r="E10" i="11"/>
  <c r="F10" i="11"/>
  <c r="G10" i="11"/>
  <c r="O10" i="11"/>
  <c r="P10" i="11"/>
  <c r="Q10" i="11"/>
  <c r="R10" i="11"/>
  <c r="S10" i="11"/>
  <c r="T10" i="11"/>
  <c r="B9" i="11"/>
  <c r="C9" i="11"/>
  <c r="D9" i="11"/>
  <c r="E9" i="11"/>
  <c r="F9" i="11"/>
  <c r="G9" i="11"/>
  <c r="O9" i="11"/>
  <c r="P9" i="11"/>
  <c r="Q9" i="11"/>
  <c r="R9" i="11"/>
  <c r="S9" i="11"/>
  <c r="T9" i="11"/>
  <c r="B8" i="11"/>
  <c r="C8" i="11"/>
  <c r="D8" i="11"/>
  <c r="E8" i="11"/>
  <c r="F8" i="11"/>
  <c r="G8" i="11"/>
  <c r="O8" i="11"/>
  <c r="P8" i="11"/>
  <c r="Q8" i="11"/>
  <c r="R8" i="11"/>
  <c r="S8" i="11"/>
  <c r="T8" i="11"/>
  <c r="B7" i="3"/>
  <c r="C7" i="3"/>
  <c r="H7" i="3" s="1"/>
  <c r="B35" i="3"/>
  <c r="C35" i="3"/>
  <c r="D35" i="3" s="1"/>
  <c r="B72" i="3"/>
  <c r="C72" i="3"/>
  <c r="D72" i="3" s="1"/>
  <c r="B27" i="3"/>
  <c r="C27" i="3"/>
  <c r="N27" i="3" s="1"/>
  <c r="B14" i="3"/>
  <c r="C14" i="3"/>
  <c r="G14" i="3" s="1"/>
  <c r="B32" i="3"/>
  <c r="C32" i="3"/>
  <c r="H32" i="3" s="1"/>
  <c r="B10" i="3"/>
  <c r="C10" i="3"/>
  <c r="F10" i="3" s="1"/>
  <c r="B137" i="3"/>
  <c r="C137" i="3"/>
  <c r="G137" i="3" s="1"/>
  <c r="B154" i="3"/>
  <c r="C154" i="3"/>
  <c r="H154" i="3" s="1"/>
  <c r="B31" i="3"/>
  <c r="C31" i="3"/>
  <c r="D31" i="3" s="1"/>
  <c r="B165" i="3"/>
  <c r="C165" i="3"/>
  <c r="D165" i="3" s="1"/>
  <c r="B33" i="3"/>
  <c r="C33" i="3"/>
  <c r="F33" i="3" s="1"/>
  <c r="B104" i="3"/>
  <c r="C104" i="3"/>
  <c r="D104" i="3" s="1"/>
  <c r="B6" i="3"/>
  <c r="C6" i="3"/>
  <c r="E6" i="3" s="1"/>
  <c r="B49" i="3"/>
  <c r="C49" i="3"/>
  <c r="F49" i="3" s="1"/>
  <c r="B8" i="3"/>
  <c r="C8" i="3"/>
  <c r="E8" i="3" s="1"/>
  <c r="B68" i="3"/>
  <c r="C68" i="3"/>
  <c r="H68" i="3" s="1"/>
  <c r="B91" i="3"/>
  <c r="C91" i="3"/>
  <c r="D91" i="3" s="1"/>
  <c r="B239" i="3"/>
  <c r="C239" i="3"/>
  <c r="D239" i="3" s="1"/>
  <c r="B184" i="3"/>
  <c r="C184" i="3"/>
  <c r="F184" i="3" s="1"/>
  <c r="B80" i="3"/>
  <c r="C80" i="3"/>
  <c r="D80" i="3" s="1"/>
  <c r="B46" i="3"/>
  <c r="C46" i="3"/>
  <c r="E46" i="3" s="1"/>
  <c r="B166" i="3"/>
  <c r="C166" i="3"/>
  <c r="F166" i="3" s="1"/>
  <c r="B193" i="3"/>
  <c r="C193" i="3"/>
  <c r="E193" i="3" s="1"/>
  <c r="B50" i="3"/>
  <c r="C50" i="3"/>
  <c r="H50" i="3" s="1"/>
  <c r="B187" i="3"/>
  <c r="C187" i="3"/>
  <c r="B148" i="3"/>
  <c r="C148" i="3"/>
  <c r="D148" i="3" s="1"/>
  <c r="B234" i="3"/>
  <c r="C234" i="3"/>
  <c r="F234" i="3" s="1"/>
  <c r="B102" i="3"/>
  <c r="C102" i="3"/>
  <c r="D102" i="3" s="1"/>
  <c r="B18" i="3"/>
  <c r="C18" i="3"/>
  <c r="E18" i="3" s="1"/>
  <c r="B282" i="3"/>
  <c r="C282" i="3"/>
  <c r="F282" i="3" s="1"/>
  <c r="B884" i="3"/>
  <c r="C884" i="3"/>
  <c r="B141" i="3"/>
  <c r="C141" i="3"/>
  <c r="H141" i="3" s="1"/>
  <c r="B163" i="3"/>
  <c r="C163" i="3"/>
  <c r="D163" i="3" s="1"/>
  <c r="B114" i="3"/>
  <c r="C114" i="3"/>
  <c r="D114" i="3" s="1"/>
  <c r="B885" i="3"/>
  <c r="C885" i="3"/>
  <c r="F885" i="3" s="1"/>
  <c r="B67" i="3"/>
  <c r="C67" i="3"/>
  <c r="B25" i="3"/>
  <c r="C25" i="3"/>
  <c r="E25" i="3" s="1"/>
  <c r="B153" i="3"/>
  <c r="C153" i="3"/>
  <c r="F153" i="3" s="1"/>
  <c r="B92" i="3"/>
  <c r="C92" i="3"/>
  <c r="E92" i="3" s="1"/>
  <c r="B17" i="3"/>
  <c r="C17" i="3"/>
  <c r="H17" i="3" s="1"/>
  <c r="B196" i="3"/>
  <c r="C196" i="3"/>
  <c r="D196" i="3" s="1"/>
  <c r="B367" i="3"/>
  <c r="C367" i="3"/>
  <c r="B124" i="3"/>
  <c r="C124" i="3"/>
  <c r="F124" i="3" s="1"/>
  <c r="B100" i="3"/>
  <c r="C100" i="3"/>
  <c r="D100" i="3" s="1"/>
  <c r="B190" i="3"/>
  <c r="C190" i="3"/>
  <c r="E190" i="3" s="1"/>
  <c r="B215" i="3"/>
  <c r="C215" i="3"/>
  <c r="F215" i="3" s="1"/>
  <c r="B96" i="3"/>
  <c r="C96" i="3"/>
  <c r="E96" i="3" s="1"/>
  <c r="B47" i="3"/>
  <c r="C47" i="3"/>
  <c r="H47" i="3" s="1"/>
  <c r="B103" i="3"/>
  <c r="C103" i="3"/>
  <c r="D103" i="3" s="1"/>
  <c r="B290" i="3"/>
  <c r="C290" i="3"/>
  <c r="B200" i="3"/>
  <c r="C200" i="3"/>
  <c r="F200" i="3" s="1"/>
  <c r="B886" i="3"/>
  <c r="C886" i="3"/>
  <c r="D886" i="3" s="1"/>
  <c r="B277" i="3"/>
  <c r="C277" i="3"/>
  <c r="E277" i="3" s="1"/>
  <c r="B98" i="3"/>
  <c r="C98" i="3"/>
  <c r="V98" i="3" s="1"/>
  <c r="B188" i="3"/>
  <c r="C188" i="3"/>
  <c r="D188" i="3" s="1"/>
  <c r="B147" i="3"/>
  <c r="C147" i="3"/>
  <c r="H147" i="3" s="1"/>
  <c r="B198" i="3"/>
  <c r="C198" i="3"/>
  <c r="D198" i="3" s="1"/>
  <c r="B189" i="3"/>
  <c r="C189" i="3"/>
  <c r="G189" i="3" s="1"/>
  <c r="B162" i="3"/>
  <c r="C162" i="3"/>
  <c r="B126" i="3"/>
  <c r="C126" i="3"/>
  <c r="D126" i="3" s="1"/>
  <c r="B43" i="3"/>
  <c r="C43" i="3"/>
  <c r="E43" i="3" s="1"/>
  <c r="B273" i="3"/>
  <c r="C273" i="3"/>
  <c r="B185" i="3"/>
  <c r="C185" i="3"/>
  <c r="D185" i="3" s="1"/>
  <c r="B887" i="3"/>
  <c r="C887" i="3"/>
  <c r="H887" i="3" s="1"/>
  <c r="B439" i="3"/>
  <c r="C439" i="3"/>
  <c r="D439" i="3" s="1"/>
  <c r="B442" i="3"/>
  <c r="C442" i="3"/>
  <c r="G442" i="3" s="1"/>
  <c r="B461" i="3"/>
  <c r="C461" i="3"/>
  <c r="F461" i="3" s="1"/>
  <c r="B26" i="3"/>
  <c r="C26" i="3"/>
  <c r="B891" i="3"/>
  <c r="C891" i="3"/>
  <c r="E891" i="3" s="1"/>
  <c r="B97" i="3"/>
  <c r="C97" i="3"/>
  <c r="B246" i="3"/>
  <c r="C246" i="3"/>
  <c r="E246" i="3" s="1"/>
  <c r="B646" i="3"/>
  <c r="C646" i="3"/>
  <c r="H646" i="3" s="1"/>
  <c r="B259" i="3"/>
  <c r="C259" i="3"/>
  <c r="D259" i="3" s="1"/>
  <c r="B557" i="3"/>
  <c r="C557" i="3"/>
  <c r="G557" i="3" s="1"/>
  <c r="B477" i="3"/>
  <c r="C477" i="3"/>
  <c r="F477" i="3" s="1"/>
  <c r="B74" i="3"/>
  <c r="C74" i="3"/>
  <c r="D74" i="3" s="1"/>
  <c r="B71" i="3"/>
  <c r="C71" i="3"/>
  <c r="E71" i="3" s="1"/>
  <c r="B633" i="3"/>
  <c r="C633" i="3"/>
  <c r="G633" i="3" s="1"/>
  <c r="B241" i="3"/>
  <c r="C241" i="3"/>
  <c r="E241" i="3" s="1"/>
  <c r="B224" i="3"/>
  <c r="C224" i="3"/>
  <c r="H224" i="3" s="1"/>
  <c r="B204" i="3"/>
  <c r="C204" i="3"/>
  <c r="D204" i="3" s="1"/>
  <c r="B889" i="3"/>
  <c r="C889" i="3"/>
  <c r="H889" i="3" s="1"/>
  <c r="B101" i="3"/>
  <c r="C101" i="3"/>
  <c r="F101" i="3" s="1"/>
  <c r="B247" i="3"/>
  <c r="C247" i="3"/>
  <c r="D247" i="3" s="1"/>
  <c r="B795" i="3"/>
  <c r="C795" i="3"/>
  <c r="B85" i="3"/>
  <c r="C85" i="3"/>
  <c r="D85" i="3" s="1"/>
  <c r="B352" i="3"/>
  <c r="C352" i="3"/>
  <c r="B400" i="3"/>
  <c r="C400" i="3"/>
  <c r="H400" i="3" s="1"/>
  <c r="B369" i="3"/>
  <c r="C369" i="3"/>
  <c r="B62" i="3"/>
  <c r="C62" i="3"/>
  <c r="H62" i="3" s="1"/>
  <c r="B199" i="3"/>
  <c r="C199" i="3"/>
  <c r="F199" i="3" s="1"/>
  <c r="B257" i="3"/>
  <c r="C257" i="3"/>
  <c r="D257" i="3" s="1"/>
  <c r="B63" i="3"/>
  <c r="C63" i="3"/>
  <c r="F63" i="3" s="1"/>
  <c r="B168" i="3"/>
  <c r="C168" i="3"/>
  <c r="B44" i="3"/>
  <c r="C44" i="3"/>
  <c r="E44" i="3" s="1"/>
  <c r="B322" i="3"/>
  <c r="C322" i="3"/>
  <c r="H322" i="3" s="1"/>
  <c r="B260" i="3"/>
  <c r="C260" i="3"/>
  <c r="D260" i="3" s="1"/>
  <c r="B611" i="3"/>
  <c r="C611" i="3"/>
  <c r="H611" i="3" s="1"/>
  <c r="B593" i="3"/>
  <c r="C593" i="3"/>
  <c r="P593" i="3" s="1"/>
  <c r="B206" i="3"/>
  <c r="C206" i="3"/>
  <c r="D206" i="3" s="1"/>
  <c r="B61" i="3"/>
  <c r="C61" i="3"/>
  <c r="F61" i="3" s="1"/>
  <c r="B134" i="3"/>
  <c r="C134" i="3"/>
  <c r="G134" i="3" s="1"/>
  <c r="B320" i="3"/>
  <c r="C320" i="3"/>
  <c r="D320" i="3" s="1"/>
  <c r="B363" i="3"/>
  <c r="C363" i="3"/>
  <c r="H363" i="3" s="1"/>
  <c r="B280" i="3"/>
  <c r="C280" i="3"/>
  <c r="D280" i="3" s="1"/>
  <c r="B316" i="3"/>
  <c r="C316" i="3"/>
  <c r="V316" i="3" s="1"/>
  <c r="B84" i="3"/>
  <c r="C84" i="3"/>
  <c r="B278" i="3"/>
  <c r="C278" i="3"/>
  <c r="D278" i="3" s="1"/>
  <c r="B225" i="3"/>
  <c r="C225" i="3"/>
  <c r="B186" i="3"/>
  <c r="C186" i="3"/>
  <c r="F186" i="3" s="1"/>
  <c r="B520" i="3"/>
  <c r="C520" i="3"/>
  <c r="D520" i="3" s="1"/>
  <c r="B380" i="3"/>
  <c r="C380" i="3"/>
  <c r="H380" i="3" s="1"/>
  <c r="B332" i="3"/>
  <c r="C332" i="3"/>
  <c r="F332" i="3" s="1"/>
  <c r="B525" i="3"/>
  <c r="C525" i="3"/>
  <c r="D525" i="3" s="1"/>
  <c r="B366" i="3"/>
  <c r="C366" i="3"/>
  <c r="B194" i="3"/>
  <c r="C194" i="3"/>
  <c r="F194" i="3" s="1"/>
  <c r="B143" i="3"/>
  <c r="C143" i="3"/>
  <c r="B232" i="3"/>
  <c r="C232" i="3"/>
  <c r="F232" i="3" s="1"/>
  <c r="B428" i="3"/>
  <c r="C428" i="3"/>
  <c r="H428" i="3" s="1"/>
  <c r="B145" i="3"/>
  <c r="C145" i="3"/>
  <c r="H145" i="3" s="1"/>
  <c r="B298" i="3"/>
  <c r="C298" i="3"/>
  <c r="E298" i="3" s="1"/>
  <c r="B340" i="3"/>
  <c r="C340" i="3"/>
  <c r="F340" i="3" s="1"/>
  <c r="B673" i="3"/>
  <c r="C673" i="3"/>
  <c r="S673" i="3" s="1"/>
  <c r="B405" i="3"/>
  <c r="C405" i="3"/>
  <c r="H405" i="3" s="1"/>
  <c r="B244" i="3"/>
  <c r="C244" i="3"/>
  <c r="H244" i="3" s="1"/>
  <c r="B82" i="3"/>
  <c r="C82" i="3"/>
  <c r="D82" i="3" s="1"/>
  <c r="B281" i="3"/>
  <c r="C281" i="3"/>
  <c r="P281" i="3" s="1"/>
  <c r="B243" i="3"/>
  <c r="C243" i="3"/>
  <c r="D243" i="3" s="1"/>
  <c r="B693" i="3"/>
  <c r="C693" i="3"/>
  <c r="E693" i="3" s="1"/>
  <c r="B447" i="3"/>
  <c r="C447" i="3"/>
  <c r="B792" i="3"/>
  <c r="C792" i="3"/>
  <c r="G792" i="3" s="1"/>
  <c r="B594" i="3"/>
  <c r="C594" i="3"/>
  <c r="B207" i="3"/>
  <c r="C207" i="3"/>
  <c r="E207" i="3" s="1"/>
  <c r="B218" i="3"/>
  <c r="C218" i="3"/>
  <c r="E218" i="3" s="1"/>
  <c r="B342" i="3"/>
  <c r="C342" i="3"/>
  <c r="B256" i="3"/>
  <c r="C256" i="3"/>
  <c r="H256" i="3" s="1"/>
  <c r="B265" i="3"/>
  <c r="C265" i="3"/>
  <c r="F265" i="3" s="1"/>
  <c r="B169" i="3"/>
  <c r="C169" i="3"/>
  <c r="D169" i="3" s="1"/>
  <c r="B626" i="3"/>
  <c r="C626" i="3"/>
  <c r="P626" i="3" s="1"/>
  <c r="B41" i="3"/>
  <c r="C41" i="3"/>
  <c r="D41" i="3" s="1"/>
  <c r="B284" i="3"/>
  <c r="C284" i="3"/>
  <c r="B510" i="3"/>
  <c r="C510" i="3"/>
  <c r="H510" i="3" s="1"/>
  <c r="B302" i="3"/>
  <c r="C302" i="3"/>
  <c r="H302" i="3" s="1"/>
  <c r="B685" i="3"/>
  <c r="C685" i="3"/>
  <c r="H685" i="3" s="1"/>
  <c r="B172" i="3"/>
  <c r="C172" i="3"/>
  <c r="J172" i="3" s="1"/>
  <c r="B29" i="3"/>
  <c r="C29" i="3"/>
  <c r="B817" i="3"/>
  <c r="C817" i="3"/>
  <c r="E817" i="3" s="1"/>
  <c r="B870" i="3"/>
  <c r="C870" i="3"/>
  <c r="B258" i="3"/>
  <c r="C258" i="3"/>
  <c r="E258" i="3" s="1"/>
  <c r="B732" i="3"/>
  <c r="C732" i="3"/>
  <c r="F732" i="3" s="1"/>
  <c r="B654" i="3"/>
  <c r="C654" i="3"/>
  <c r="H654" i="3" s="1"/>
  <c r="B267" i="3"/>
  <c r="C267" i="3"/>
  <c r="B128" i="3"/>
  <c r="C128" i="3"/>
  <c r="E128" i="3" s="1"/>
  <c r="B301" i="3"/>
  <c r="C301" i="3"/>
  <c r="D301" i="3" s="1"/>
  <c r="B235" i="3"/>
  <c r="C235" i="3"/>
  <c r="F235" i="3" s="1"/>
  <c r="B90" i="3"/>
  <c r="C90" i="3"/>
  <c r="D90" i="3" s="1"/>
  <c r="B152" i="3"/>
  <c r="C152" i="3"/>
  <c r="E152" i="3" s="1"/>
  <c r="B108" i="3"/>
  <c r="C108" i="3"/>
  <c r="J108" i="3" s="1"/>
  <c r="B636" i="3"/>
  <c r="C636" i="3"/>
  <c r="H636" i="3" s="1"/>
  <c r="B679" i="3"/>
  <c r="C679" i="3"/>
  <c r="H679" i="3" s="1"/>
  <c r="B216" i="3"/>
  <c r="C216" i="3"/>
  <c r="E216" i="3" s="1"/>
  <c r="B24" i="3"/>
  <c r="C24" i="3"/>
  <c r="D24" i="3" s="1"/>
  <c r="B249" i="3"/>
  <c r="C249" i="3"/>
  <c r="F249" i="3" s="1"/>
  <c r="B174" i="3"/>
  <c r="C174" i="3"/>
  <c r="H174" i="3" s="1"/>
  <c r="B647" i="3"/>
  <c r="C647" i="3"/>
  <c r="S647" i="3" s="1"/>
  <c r="B323" i="3"/>
  <c r="C323" i="3"/>
  <c r="V323" i="3" s="1"/>
  <c r="B48" i="3"/>
  <c r="C48" i="3"/>
  <c r="H48" i="3" s="1"/>
  <c r="B588" i="3"/>
  <c r="C588" i="3"/>
  <c r="H588" i="3" s="1"/>
  <c r="B803" i="3"/>
  <c r="C803" i="3"/>
  <c r="J803" i="3" s="1"/>
  <c r="B125" i="3"/>
  <c r="C125" i="3"/>
  <c r="D125" i="3" s="1"/>
  <c r="B112" i="3"/>
  <c r="C112" i="3"/>
  <c r="B73" i="3"/>
  <c r="C73" i="3"/>
  <c r="E73" i="3" s="1"/>
  <c r="B42" i="3"/>
  <c r="C42" i="3"/>
  <c r="E42" i="3" s="1"/>
  <c r="B723" i="3"/>
  <c r="C723" i="3"/>
  <c r="D723" i="3" s="1"/>
  <c r="B264" i="3"/>
  <c r="C264" i="3"/>
  <c r="H264" i="3" s="1"/>
  <c r="B591" i="3"/>
  <c r="C591" i="3"/>
  <c r="S591" i="3" s="1"/>
  <c r="B201" i="3"/>
  <c r="C201" i="3"/>
  <c r="H201" i="3" s="1"/>
  <c r="B219" i="3"/>
  <c r="C219" i="3"/>
  <c r="I219" i="3" s="1"/>
  <c r="B680" i="3"/>
  <c r="C680" i="3"/>
  <c r="F680" i="3" s="1"/>
  <c r="B627" i="3"/>
  <c r="C627" i="3"/>
  <c r="B183" i="3"/>
  <c r="C183" i="3"/>
  <c r="D183" i="3" s="1"/>
  <c r="B331" i="3"/>
  <c r="C331" i="3"/>
  <c r="S331" i="3" s="1"/>
  <c r="B138" i="3"/>
  <c r="C138" i="3"/>
  <c r="P138" i="3" s="1"/>
  <c r="B344" i="3"/>
  <c r="C344" i="3"/>
  <c r="H344" i="3" s="1"/>
  <c r="B313" i="3"/>
  <c r="C313" i="3"/>
  <c r="K313" i="3" s="1"/>
  <c r="B669" i="3"/>
  <c r="C669" i="3"/>
  <c r="B440" i="3"/>
  <c r="C440" i="3"/>
  <c r="D440" i="3" s="1"/>
  <c r="B212" i="3"/>
  <c r="C212" i="3"/>
  <c r="E212" i="3" s="1"/>
  <c r="B360" i="3"/>
  <c r="C360" i="3"/>
  <c r="D360" i="3" s="1"/>
  <c r="B811" i="3"/>
  <c r="C811" i="3"/>
  <c r="H811" i="3" s="1"/>
  <c r="B30" i="3"/>
  <c r="C30" i="3"/>
  <c r="B876" i="3"/>
  <c r="C876" i="3"/>
  <c r="O876" i="3" s="1"/>
  <c r="B534" i="3"/>
  <c r="C534" i="3"/>
  <c r="E534" i="3" s="1"/>
  <c r="B430" i="3"/>
  <c r="C430" i="3"/>
  <c r="B562" i="3"/>
  <c r="C562" i="3"/>
  <c r="F562" i="3" s="1"/>
  <c r="B346" i="3"/>
  <c r="C346" i="3"/>
  <c r="E346" i="3" s="1"/>
  <c r="B419" i="3"/>
  <c r="C419" i="3"/>
  <c r="F419" i="3" s="1"/>
  <c r="B23" i="3"/>
  <c r="C23" i="3"/>
  <c r="F23" i="3" s="1"/>
  <c r="B197" i="3"/>
  <c r="C197" i="3"/>
  <c r="E197" i="3" s="1"/>
  <c r="B358" i="3"/>
  <c r="C358" i="3"/>
  <c r="B209" i="3"/>
  <c r="C209" i="3"/>
  <c r="H209" i="3" s="1"/>
  <c r="B857" i="3"/>
  <c r="C857" i="3"/>
  <c r="D857" i="3" s="1"/>
  <c r="B409" i="3"/>
  <c r="C409" i="3"/>
  <c r="F409" i="3" s="1"/>
  <c r="B437" i="3"/>
  <c r="C437" i="3"/>
  <c r="F437" i="3" s="1"/>
  <c r="B315" i="3"/>
  <c r="C315" i="3"/>
  <c r="D315" i="3" s="1"/>
  <c r="B205" i="3"/>
  <c r="C205" i="3"/>
  <c r="B262" i="3"/>
  <c r="C262" i="3"/>
  <c r="E262" i="3" s="1"/>
  <c r="B751" i="3"/>
  <c r="C751" i="3"/>
  <c r="K751" i="3" s="1"/>
  <c r="B657" i="3"/>
  <c r="C657" i="3"/>
  <c r="P657" i="3" s="1"/>
  <c r="B418" i="3"/>
  <c r="C418" i="3"/>
  <c r="H418" i="3" s="1"/>
  <c r="B388" i="3"/>
  <c r="C388" i="3"/>
  <c r="I388" i="3" s="1"/>
  <c r="B5" i="3"/>
  <c r="C5" i="3"/>
  <c r="E5" i="3" s="1"/>
  <c r="B605" i="3"/>
  <c r="C605" i="3"/>
  <c r="F605" i="3" s="1"/>
  <c r="B656" i="3"/>
  <c r="C656" i="3"/>
  <c r="F656" i="3" s="1"/>
  <c r="B250" i="3"/>
  <c r="C250" i="3"/>
  <c r="E250" i="3" s="1"/>
  <c r="B370" i="3"/>
  <c r="C370" i="3"/>
  <c r="E370" i="3" s="1"/>
  <c r="B179" i="3"/>
  <c r="C179" i="3"/>
  <c r="B512" i="3"/>
  <c r="C512" i="3"/>
  <c r="D512" i="3" s="1"/>
  <c r="B813" i="3"/>
  <c r="C813" i="3"/>
  <c r="B106" i="3"/>
  <c r="C106" i="3"/>
  <c r="G106" i="3" s="1"/>
  <c r="B299" i="3"/>
  <c r="C299" i="3"/>
  <c r="H299" i="3" s="1"/>
  <c r="B407" i="3"/>
  <c r="C407" i="3"/>
  <c r="P407" i="3" s="1"/>
  <c r="B202" i="3"/>
  <c r="C202" i="3"/>
  <c r="D202" i="3" s="1"/>
  <c r="B877" i="3"/>
  <c r="C877" i="3"/>
  <c r="B231" i="3"/>
  <c r="C231" i="3"/>
  <c r="E231" i="3" s="1"/>
  <c r="B668" i="3"/>
  <c r="C668" i="3"/>
  <c r="D668" i="3" s="1"/>
  <c r="B532" i="3"/>
  <c r="C532" i="3"/>
  <c r="G532" i="3" s="1"/>
  <c r="B509" i="3"/>
  <c r="C509" i="3"/>
  <c r="G509" i="3" s="1"/>
  <c r="B528" i="3"/>
  <c r="C528" i="3"/>
  <c r="I528" i="3" s="1"/>
  <c r="B833" i="3"/>
  <c r="C833" i="3"/>
  <c r="P833" i="3" s="1"/>
  <c r="B150" i="3"/>
  <c r="C150" i="3"/>
  <c r="D150" i="3" s="1"/>
  <c r="B745" i="3"/>
  <c r="C745" i="3"/>
  <c r="I745" i="3" s="1"/>
  <c r="B576" i="3"/>
  <c r="C576" i="3"/>
  <c r="P576" i="3" s="1"/>
  <c r="B535" i="3"/>
  <c r="C535" i="3"/>
  <c r="D535" i="3" s="1"/>
  <c r="B890" i="3"/>
  <c r="C890" i="3"/>
  <c r="H890" i="3" s="1"/>
  <c r="B40" i="3"/>
  <c r="C40" i="3"/>
  <c r="V40" i="3" s="1"/>
  <c r="B297" i="3"/>
  <c r="C297" i="3"/>
  <c r="B191" i="3"/>
  <c r="C191" i="3"/>
  <c r="D191" i="3" s="1"/>
  <c r="B431" i="3"/>
  <c r="C431" i="3"/>
  <c r="B465" i="3"/>
  <c r="C465" i="3"/>
  <c r="E465" i="3" s="1"/>
  <c r="B417" i="3"/>
  <c r="C417" i="3"/>
  <c r="V417" i="3" s="1"/>
  <c r="B214" i="3"/>
  <c r="C214" i="3"/>
  <c r="B583" i="3"/>
  <c r="C583" i="3"/>
  <c r="H583" i="3" s="1"/>
  <c r="B540" i="3"/>
  <c r="C540" i="3"/>
  <c r="S540" i="3" s="1"/>
  <c r="B304" i="3"/>
  <c r="C304" i="3"/>
  <c r="K304" i="3" s="1"/>
  <c r="B688" i="3"/>
  <c r="C688" i="3"/>
  <c r="G688" i="3" s="1"/>
  <c r="B327" i="3"/>
  <c r="C327" i="3"/>
  <c r="B738" i="3"/>
  <c r="C738" i="3"/>
  <c r="E738" i="3" s="1"/>
  <c r="B422" i="3"/>
  <c r="C422" i="3"/>
  <c r="B146" i="3"/>
  <c r="C146" i="3"/>
  <c r="D146" i="3" s="1"/>
  <c r="B506" i="3"/>
  <c r="C506" i="3"/>
  <c r="F506" i="3" s="1"/>
  <c r="B222" i="3"/>
  <c r="C222" i="3"/>
  <c r="B759" i="3"/>
  <c r="C759" i="3"/>
  <c r="E759" i="3" s="1"/>
  <c r="B21" i="3"/>
  <c r="C21" i="3"/>
  <c r="B674" i="3"/>
  <c r="C674" i="3"/>
  <c r="D674" i="3" s="1"/>
  <c r="B733" i="3"/>
  <c r="C733" i="3"/>
  <c r="B167" i="3"/>
  <c r="C167" i="3"/>
  <c r="H167" i="3" s="1"/>
  <c r="B318" i="3"/>
  <c r="C318" i="3"/>
  <c r="P318" i="3" s="1"/>
  <c r="B537" i="3"/>
  <c r="C537" i="3"/>
  <c r="B270" i="3"/>
  <c r="C270" i="3"/>
  <c r="B156" i="3"/>
  <c r="C156" i="3"/>
  <c r="K156" i="3" s="1"/>
  <c r="B772" i="3"/>
  <c r="C772" i="3"/>
  <c r="E772" i="3" s="1"/>
  <c r="B109" i="3"/>
  <c r="C109" i="3"/>
  <c r="D109" i="3" s="1"/>
  <c r="B763" i="3"/>
  <c r="C763" i="3"/>
  <c r="D763" i="3" s="1"/>
  <c r="B650" i="3"/>
  <c r="C650" i="3"/>
  <c r="D650" i="3" s="1"/>
  <c r="B361" i="3"/>
  <c r="C361" i="3"/>
  <c r="D361" i="3" s="1"/>
  <c r="B761" i="3"/>
  <c r="C761" i="3"/>
  <c r="F761" i="3" s="1"/>
  <c r="B37" i="3"/>
  <c r="C37" i="3"/>
  <c r="I37" i="3" s="1"/>
  <c r="B312" i="3"/>
  <c r="C312" i="3"/>
  <c r="B208" i="3"/>
  <c r="C208" i="3"/>
  <c r="D208" i="3" s="1"/>
  <c r="B359" i="3"/>
  <c r="C359" i="3"/>
  <c r="D359" i="3" s="1"/>
  <c r="B254" i="3"/>
  <c r="C254" i="3"/>
  <c r="J254" i="3" s="1"/>
  <c r="B69" i="3"/>
  <c r="C69" i="3"/>
  <c r="D69" i="3" s="1"/>
  <c r="B390" i="3"/>
  <c r="C390" i="3"/>
  <c r="G390" i="3" s="1"/>
  <c r="B139" i="3"/>
  <c r="C139" i="3"/>
  <c r="F139" i="3" s="1"/>
  <c r="B507" i="3"/>
  <c r="C507" i="3"/>
  <c r="B321" i="3"/>
  <c r="C321" i="3"/>
  <c r="H321" i="3" s="1"/>
  <c r="B203" i="3"/>
  <c r="C203" i="3"/>
  <c r="D203" i="3" s="1"/>
  <c r="B570" i="3"/>
  <c r="C570" i="3"/>
  <c r="B558" i="3"/>
  <c r="C558" i="3"/>
  <c r="I558" i="3" s="1"/>
  <c r="B253" i="3"/>
  <c r="C253" i="3"/>
  <c r="E253" i="3" s="1"/>
  <c r="B863" i="3"/>
  <c r="C863" i="3"/>
  <c r="G863" i="3" s="1"/>
  <c r="B504" i="3"/>
  <c r="C504" i="3"/>
  <c r="N504" i="3" s="1"/>
  <c r="B398" i="3"/>
  <c r="C398" i="3"/>
  <c r="B240" i="3"/>
  <c r="C240" i="3"/>
  <c r="D240" i="3" s="1"/>
  <c r="B659" i="3"/>
  <c r="C659" i="3"/>
  <c r="P659" i="3" s="1"/>
  <c r="B815" i="3"/>
  <c r="C815" i="3"/>
  <c r="F815" i="3" s="1"/>
  <c r="B293" i="3"/>
  <c r="C293" i="3"/>
  <c r="E293" i="3" s="1"/>
  <c r="B451" i="3"/>
  <c r="C451" i="3"/>
  <c r="D451" i="3" s="1"/>
  <c r="B155" i="3"/>
  <c r="C155" i="3"/>
  <c r="G155" i="3" s="1"/>
  <c r="B683" i="3"/>
  <c r="C683" i="3"/>
  <c r="B791" i="3"/>
  <c r="C791" i="3"/>
  <c r="N791" i="3" s="1"/>
  <c r="B55" i="3"/>
  <c r="C55" i="3"/>
  <c r="B19" i="3"/>
  <c r="C19" i="3"/>
  <c r="E19" i="3" s="1"/>
  <c r="B825" i="3"/>
  <c r="C825" i="3"/>
  <c r="F825" i="3" s="1"/>
  <c r="B376" i="3"/>
  <c r="C376" i="3"/>
  <c r="D376" i="3" s="1"/>
  <c r="B326" i="3"/>
  <c r="C326" i="3"/>
  <c r="M326" i="3" s="1"/>
  <c r="B420" i="3"/>
  <c r="C420" i="3"/>
  <c r="D420" i="3" s="1"/>
  <c r="B682" i="3"/>
  <c r="C682" i="3"/>
  <c r="F682" i="3" s="1"/>
  <c r="B411" i="3"/>
  <c r="C411" i="3"/>
  <c r="K411" i="3" s="1"/>
  <c r="B548" i="3"/>
  <c r="C548" i="3"/>
  <c r="B630" i="3"/>
  <c r="C630" i="3"/>
  <c r="D630" i="3" s="1"/>
  <c r="B345" i="3"/>
  <c r="C345" i="3"/>
  <c r="F345" i="3" s="1"/>
  <c r="B770" i="3"/>
  <c r="C770" i="3"/>
  <c r="E770" i="3" s="1"/>
  <c r="B747" i="3"/>
  <c r="C747" i="3"/>
  <c r="E747" i="3" s="1"/>
  <c r="B300" i="3"/>
  <c r="C300" i="3"/>
  <c r="L300" i="3" s="1"/>
  <c r="B140" i="3"/>
  <c r="C140" i="3"/>
  <c r="F140" i="3" s="1"/>
  <c r="B859" i="3"/>
  <c r="C859" i="3"/>
  <c r="M859" i="3" s="1"/>
  <c r="B879" i="3"/>
  <c r="C879" i="3"/>
  <c r="O879" i="3" s="1"/>
  <c r="B651" i="3"/>
  <c r="C651" i="3"/>
  <c r="J651" i="3" s="1"/>
  <c r="B385" i="3"/>
  <c r="C385" i="3"/>
  <c r="G385" i="3" s="1"/>
  <c r="B585" i="3"/>
  <c r="C585" i="3"/>
  <c r="K585" i="3" s="1"/>
  <c r="B760" i="3"/>
  <c r="C760" i="3"/>
  <c r="L760" i="3" s="1"/>
  <c r="B158" i="3"/>
  <c r="C158" i="3"/>
  <c r="P158" i="3" s="1"/>
  <c r="B233" i="3"/>
  <c r="C233" i="3"/>
  <c r="E233" i="3" s="1"/>
  <c r="B560" i="3"/>
  <c r="C560" i="3"/>
  <c r="E560" i="3" s="1"/>
  <c r="B868" i="3"/>
  <c r="C868" i="3"/>
  <c r="D868" i="3" s="1"/>
  <c r="B9" i="3"/>
  <c r="C9" i="3"/>
  <c r="D9" i="3" s="1"/>
  <c r="B351" i="3"/>
  <c r="C351" i="3"/>
  <c r="E351" i="3" s="1"/>
  <c r="B579" i="3"/>
  <c r="C579" i="3"/>
  <c r="H579" i="3" s="1"/>
  <c r="B99" i="3"/>
  <c r="C99" i="3"/>
  <c r="G99" i="3" s="1"/>
  <c r="B339" i="3"/>
  <c r="C339" i="3"/>
  <c r="H339" i="3" s="1"/>
  <c r="B105" i="3"/>
  <c r="C105" i="3"/>
  <c r="F105" i="3" s="1"/>
  <c r="B802" i="3"/>
  <c r="C802" i="3"/>
  <c r="G802" i="3" s="1"/>
  <c r="B28" i="3"/>
  <c r="C28" i="3"/>
  <c r="S28" i="3" s="1"/>
  <c r="B353" i="3"/>
  <c r="C353" i="3"/>
  <c r="D353" i="3" s="1"/>
  <c r="B452" i="3"/>
  <c r="C452" i="3"/>
  <c r="E452" i="3" s="1"/>
  <c r="B217" i="3"/>
  <c r="C217" i="3"/>
  <c r="M217" i="3" s="1"/>
  <c r="B144" i="3"/>
  <c r="C144" i="3"/>
  <c r="D144" i="3" s="1"/>
  <c r="B130" i="3"/>
  <c r="C130" i="3"/>
  <c r="H130" i="3" s="1"/>
  <c r="B438" i="3"/>
  <c r="C438" i="3"/>
  <c r="H438" i="3" s="1"/>
  <c r="B319" i="3"/>
  <c r="C319" i="3"/>
  <c r="B276" i="3"/>
  <c r="C276" i="3"/>
  <c r="D276" i="3" s="1"/>
  <c r="B827" i="3"/>
  <c r="C827" i="3"/>
  <c r="D827" i="3" s="1"/>
  <c r="B329" i="3"/>
  <c r="C329" i="3"/>
  <c r="E329" i="3" s="1"/>
  <c r="B149" i="3"/>
  <c r="C149" i="3"/>
  <c r="F149" i="3" s="1"/>
  <c r="B505" i="3"/>
  <c r="C505" i="3"/>
  <c r="G505" i="3" s="1"/>
  <c r="B65" i="3"/>
  <c r="C65" i="3"/>
  <c r="H65" i="3" s="1"/>
  <c r="B127" i="3"/>
  <c r="C127" i="3"/>
  <c r="F127" i="3" s="1"/>
  <c r="B523" i="3"/>
  <c r="C523" i="3"/>
  <c r="G523" i="3" s="1"/>
  <c r="B75" i="3"/>
  <c r="C75" i="3"/>
  <c r="H75" i="3" s="1"/>
  <c r="B230" i="3"/>
  <c r="C230" i="3"/>
  <c r="D230" i="3" s="1"/>
  <c r="B296" i="3"/>
  <c r="C296" i="3"/>
  <c r="B481" i="3"/>
  <c r="C481" i="3"/>
  <c r="I481" i="3" s="1"/>
  <c r="B272" i="3"/>
  <c r="C272" i="3"/>
  <c r="E272" i="3" s="1"/>
  <c r="B632" i="3"/>
  <c r="C632" i="3"/>
  <c r="F632" i="3" s="1"/>
  <c r="B336" i="3"/>
  <c r="C336" i="3"/>
  <c r="G336" i="3" s="1"/>
  <c r="B295" i="3"/>
  <c r="C295" i="3"/>
  <c r="H295" i="3" s="1"/>
  <c r="B529" i="3"/>
  <c r="C529" i="3"/>
  <c r="H529" i="3" s="1"/>
  <c r="B828" i="3"/>
  <c r="C828" i="3"/>
  <c r="E828" i="3" s="1"/>
  <c r="B131" i="3"/>
  <c r="C131" i="3"/>
  <c r="P131" i="3" s="1"/>
  <c r="B677" i="3"/>
  <c r="C677" i="3"/>
  <c r="J677" i="3" s="1"/>
  <c r="B236" i="3"/>
  <c r="C236" i="3"/>
  <c r="E236" i="3" s="1"/>
  <c r="B20" i="3"/>
  <c r="C20" i="3"/>
  <c r="F20" i="3" s="1"/>
  <c r="B391" i="3"/>
  <c r="C391" i="3"/>
  <c r="G391" i="3" s="1"/>
  <c r="B728" i="3"/>
  <c r="C728" i="3"/>
  <c r="H728" i="3" s="1"/>
  <c r="B325" i="3"/>
  <c r="C325" i="3"/>
  <c r="H325" i="3" s="1"/>
  <c r="B783" i="3"/>
  <c r="C783" i="3"/>
  <c r="E783" i="3" s="1"/>
  <c r="B122" i="3"/>
  <c r="C122" i="3"/>
  <c r="H122" i="3" s="1"/>
  <c r="B394" i="3"/>
  <c r="C394" i="3"/>
  <c r="B151" i="3"/>
  <c r="C151" i="3"/>
  <c r="E151" i="3" s="1"/>
  <c r="B864" i="3"/>
  <c r="C864" i="3"/>
  <c r="F864" i="3" s="1"/>
  <c r="B672" i="3"/>
  <c r="C672" i="3"/>
  <c r="O672" i="3" s="1"/>
  <c r="B396" i="3"/>
  <c r="C396" i="3"/>
  <c r="H396" i="3" s="1"/>
  <c r="B663" i="3"/>
  <c r="C663" i="3"/>
  <c r="H663" i="3" s="1"/>
  <c r="B175" i="3"/>
  <c r="C175" i="3"/>
  <c r="E175" i="3" s="1"/>
  <c r="B488" i="3"/>
  <c r="C488" i="3"/>
  <c r="S488" i="3" s="1"/>
  <c r="B869" i="3"/>
  <c r="C869" i="3"/>
  <c r="O869" i="3" s="1"/>
  <c r="B835" i="3"/>
  <c r="C835" i="3"/>
  <c r="E835" i="3" s="1"/>
  <c r="B269" i="3"/>
  <c r="C269" i="3"/>
  <c r="F269" i="3" s="1"/>
  <c r="B81" i="3"/>
  <c r="C81" i="3"/>
  <c r="P81" i="3" s="1"/>
  <c r="B87" i="3"/>
  <c r="C87" i="3"/>
  <c r="H87" i="3" s="1"/>
  <c r="B123" i="3"/>
  <c r="C123" i="3"/>
  <c r="H123" i="3" s="1"/>
  <c r="B408" i="3"/>
  <c r="C408" i="3"/>
  <c r="E408" i="3" s="1"/>
  <c r="B195" i="3"/>
  <c r="C195" i="3"/>
  <c r="H195" i="3" s="1"/>
  <c r="B706" i="3"/>
  <c r="C706" i="3"/>
  <c r="D706" i="3" s="1"/>
  <c r="B888" i="3"/>
  <c r="C888" i="3"/>
  <c r="N888" i="3" s="1"/>
  <c r="B135" i="3"/>
  <c r="C135" i="3"/>
  <c r="F135" i="3" s="1"/>
  <c r="B403" i="3"/>
  <c r="C403" i="3"/>
  <c r="G403" i="3" s="1"/>
  <c r="B526" i="3"/>
  <c r="C526" i="3"/>
  <c r="H526" i="3" s="1"/>
  <c r="B56" i="3"/>
  <c r="C56" i="3"/>
  <c r="H56" i="3" s="1"/>
  <c r="B711" i="3"/>
  <c r="C711" i="3"/>
  <c r="E711" i="3" s="1"/>
  <c r="B867" i="3"/>
  <c r="C867" i="3"/>
  <c r="O867" i="3" s="1"/>
  <c r="B374" i="3"/>
  <c r="C374" i="3"/>
  <c r="L374" i="3" s="1"/>
  <c r="B834" i="3"/>
  <c r="C834" i="3"/>
  <c r="E834" i="3" s="1"/>
  <c r="B522" i="3"/>
  <c r="C522" i="3"/>
  <c r="F522" i="3" s="1"/>
  <c r="B113" i="3"/>
  <c r="C113" i="3"/>
  <c r="G113" i="3" s="1"/>
  <c r="B735" i="3"/>
  <c r="C735" i="3"/>
  <c r="H735" i="3" s="1"/>
  <c r="B578" i="3"/>
  <c r="C578" i="3"/>
  <c r="H578" i="3" s="1"/>
  <c r="B415" i="3"/>
  <c r="C415" i="3"/>
  <c r="E415" i="3" s="1"/>
  <c r="B764" i="3"/>
  <c r="C764" i="3"/>
  <c r="H764" i="3" s="1"/>
  <c r="B228" i="3"/>
  <c r="C228" i="3"/>
  <c r="B161" i="3"/>
  <c r="C161" i="3"/>
  <c r="E161" i="3" s="1"/>
  <c r="B689" i="3"/>
  <c r="C689" i="3"/>
  <c r="F689" i="3" s="1"/>
  <c r="B821" i="3"/>
  <c r="C821" i="3"/>
  <c r="G821" i="3" s="1"/>
  <c r="B767" i="3"/>
  <c r="C767" i="3"/>
  <c r="P767" i="3" s="1"/>
  <c r="B871" i="3"/>
  <c r="C871" i="3"/>
  <c r="B464" i="3"/>
  <c r="C464" i="3"/>
  <c r="S464" i="3" s="1"/>
  <c r="B142" i="3"/>
  <c r="C142" i="3"/>
  <c r="P142" i="3" s="1"/>
  <c r="B426" i="3"/>
  <c r="C426" i="3"/>
  <c r="D426" i="3" s="1"/>
  <c r="B805" i="3"/>
  <c r="C805" i="3"/>
  <c r="E805" i="3" s="1"/>
  <c r="B702" i="3"/>
  <c r="C702" i="3"/>
  <c r="F702" i="3" s="1"/>
  <c r="B245" i="3"/>
  <c r="C245" i="3"/>
  <c r="B52" i="3"/>
  <c r="C52" i="3"/>
  <c r="H52" i="3" s="1"/>
  <c r="B413" i="3"/>
  <c r="C413" i="3"/>
  <c r="H413" i="3" s="1"/>
  <c r="B429" i="3"/>
  <c r="C429" i="3"/>
  <c r="D429" i="3" s="1"/>
  <c r="B572" i="3"/>
  <c r="C572" i="3"/>
  <c r="H572" i="3" s="1"/>
  <c r="B251" i="3"/>
  <c r="C251" i="3"/>
  <c r="E251" i="3" s="1"/>
  <c r="B60" i="3"/>
  <c r="C60" i="3"/>
  <c r="B443" i="3"/>
  <c r="C443" i="3"/>
  <c r="B384" i="3"/>
  <c r="C384" i="3"/>
  <c r="K384" i="3" s="1"/>
  <c r="B164" i="3"/>
  <c r="C164" i="3"/>
  <c r="H164" i="3" s="1"/>
  <c r="B564" i="3"/>
  <c r="C564" i="3"/>
  <c r="S564" i="3" s="1"/>
  <c r="B492" i="3"/>
  <c r="C492" i="3"/>
  <c r="D492" i="3" s="1"/>
  <c r="B16" i="3"/>
  <c r="C16" i="3"/>
  <c r="H16" i="3" s="1"/>
  <c r="B425" i="3"/>
  <c r="C425" i="3"/>
  <c r="K425" i="3" s="1"/>
  <c r="B518" i="3"/>
  <c r="C518" i="3"/>
  <c r="M518" i="3" s="1"/>
  <c r="B490" i="3"/>
  <c r="C490" i="3"/>
  <c r="F490" i="3" s="1"/>
  <c r="B660" i="3"/>
  <c r="C660" i="3"/>
  <c r="G660" i="3" s="1"/>
  <c r="B774" i="3"/>
  <c r="C774" i="3"/>
  <c r="H774" i="3" s="1"/>
  <c r="B830" i="3"/>
  <c r="C830" i="3"/>
  <c r="H830" i="3" s="1"/>
  <c r="B648" i="3"/>
  <c r="C648" i="3"/>
  <c r="D648" i="3" s="1"/>
  <c r="B489" i="3"/>
  <c r="C489" i="3"/>
  <c r="H489" i="3" s="1"/>
  <c r="B330" i="3"/>
  <c r="C330" i="3"/>
  <c r="B818" i="3"/>
  <c r="C818" i="3"/>
  <c r="E818" i="3" s="1"/>
  <c r="B57" i="3"/>
  <c r="C57" i="3"/>
  <c r="F57" i="3" s="1"/>
  <c r="B454" i="3"/>
  <c r="C454" i="3"/>
  <c r="G454" i="3" s="1"/>
  <c r="B456" i="3"/>
  <c r="C456" i="3"/>
  <c r="G456" i="3" s="1"/>
  <c r="B36" i="3"/>
  <c r="C36" i="3"/>
  <c r="D36" i="3" s="1"/>
  <c r="B457" i="3"/>
  <c r="C457" i="3"/>
  <c r="D457" i="3" s="1"/>
  <c r="B94" i="3"/>
  <c r="C94" i="3"/>
  <c r="H94" i="3" s="1"/>
  <c r="B242" i="3"/>
  <c r="C242" i="3"/>
  <c r="F242" i="3" s="1"/>
  <c r="B354" i="3"/>
  <c r="C354" i="3"/>
  <c r="B670" i="3"/>
  <c r="C670" i="3"/>
  <c r="F670" i="3" s="1"/>
  <c r="B213" i="3"/>
  <c r="C213" i="3"/>
  <c r="L213" i="3" s="1"/>
  <c r="B551" i="3"/>
  <c r="C551" i="3"/>
  <c r="D551" i="3" s="1"/>
  <c r="B58" i="3"/>
  <c r="C58" i="3"/>
  <c r="F58" i="3" s="1"/>
  <c r="B874" i="3"/>
  <c r="C874" i="3"/>
  <c r="J874" i="3" s="1"/>
  <c r="B238" i="3"/>
  <c r="C238" i="3"/>
  <c r="H238" i="3" s="1"/>
  <c r="B880" i="3"/>
  <c r="C880" i="3"/>
  <c r="P880" i="3" s="1"/>
  <c r="B496" i="3"/>
  <c r="C496" i="3"/>
  <c r="E496" i="3" s="1"/>
  <c r="B357" i="3"/>
  <c r="C357" i="3"/>
  <c r="F357" i="3" s="1"/>
  <c r="B545" i="3"/>
  <c r="C545" i="3"/>
  <c r="H545" i="3" s="1"/>
  <c r="B107" i="3"/>
  <c r="C107" i="3"/>
  <c r="B77" i="3"/>
  <c r="C77" i="3"/>
  <c r="F77" i="3" s="1"/>
  <c r="B355" i="3"/>
  <c r="C355" i="3"/>
  <c r="G355" i="3" s="1"/>
  <c r="B467" i="3"/>
  <c r="C467" i="3"/>
  <c r="B478" i="3"/>
  <c r="C478" i="3"/>
  <c r="D478" i="3" s="1"/>
  <c r="B479" i="3"/>
  <c r="C479" i="3"/>
  <c r="E479" i="3" s="1"/>
  <c r="B539" i="3"/>
  <c r="C539" i="3"/>
  <c r="M539" i="3" s="1"/>
  <c r="B364" i="3"/>
  <c r="C364" i="3"/>
  <c r="N364" i="3" s="1"/>
  <c r="B381" i="3"/>
  <c r="C381" i="3"/>
  <c r="H381" i="3" s="1"/>
  <c r="B136" i="3"/>
  <c r="C136" i="3"/>
  <c r="F136" i="3" s="1"/>
  <c r="B349" i="3"/>
  <c r="C349" i="3"/>
  <c r="G349" i="3" s="1"/>
  <c r="B843" i="3"/>
  <c r="C843" i="3"/>
  <c r="F843" i="3" s="1"/>
  <c r="B192" i="3"/>
  <c r="C192" i="3"/>
  <c r="S192" i="3" s="1"/>
  <c r="B157" i="3"/>
  <c r="C157" i="3"/>
  <c r="D157" i="3" s="1"/>
  <c r="B499" i="3"/>
  <c r="C499" i="3"/>
  <c r="F499" i="3" s="1"/>
  <c r="B527" i="3"/>
  <c r="C527" i="3"/>
  <c r="D527" i="3" s="1"/>
  <c r="B176" i="3"/>
  <c r="C176" i="3"/>
  <c r="L176" i="3" s="1"/>
  <c r="B536" i="3"/>
  <c r="C536" i="3"/>
  <c r="F536" i="3" s="1"/>
  <c r="B263" i="3"/>
  <c r="C263" i="3"/>
  <c r="G263" i="3" s="1"/>
  <c r="B286" i="3"/>
  <c r="C286" i="3"/>
  <c r="F286" i="3" s="1"/>
  <c r="B181" i="3"/>
  <c r="C181" i="3"/>
  <c r="B556" i="3"/>
  <c r="C556" i="3"/>
  <c r="D556" i="3" s="1"/>
  <c r="B395" i="3"/>
  <c r="C395" i="3"/>
  <c r="F395" i="3" s="1"/>
  <c r="B210" i="3"/>
  <c r="C210" i="3"/>
  <c r="P210" i="3" s="1"/>
  <c r="B51" i="3"/>
  <c r="C51" i="3"/>
  <c r="I51" i="3" s="1"/>
  <c r="B311" i="3"/>
  <c r="C311" i="3"/>
  <c r="F311" i="3" s="1"/>
  <c r="B530" i="3"/>
  <c r="C530" i="3"/>
  <c r="H530" i="3" s="1"/>
  <c r="B275" i="3"/>
  <c r="C275" i="3"/>
  <c r="F275" i="3" s="1"/>
  <c r="B567" i="3"/>
  <c r="C567" i="3"/>
  <c r="B95" i="3"/>
  <c r="C95" i="3"/>
  <c r="J95" i="3" s="1"/>
  <c r="B584" i="3"/>
  <c r="C584" i="3"/>
  <c r="E584" i="3" s="1"/>
  <c r="B59" i="3"/>
  <c r="C59" i="3"/>
  <c r="D59" i="3" s="1"/>
  <c r="B356" i="3"/>
  <c r="C356" i="3"/>
  <c r="B309" i="3"/>
  <c r="C309" i="3"/>
  <c r="F309" i="3" s="1"/>
  <c r="B294" i="3"/>
  <c r="C294" i="3"/>
  <c r="S294" i="3" s="1"/>
  <c r="B268" i="3"/>
  <c r="C268" i="3"/>
  <c r="I268" i="3" s="1"/>
  <c r="B371" i="3"/>
  <c r="C371" i="3"/>
  <c r="D371" i="3" s="1"/>
  <c r="B743" i="3"/>
  <c r="C743" i="3"/>
  <c r="B482" i="3"/>
  <c r="C482" i="3"/>
  <c r="B739" i="3"/>
  <c r="C739" i="3"/>
  <c r="B658" i="3"/>
  <c r="C658" i="3"/>
  <c r="H658" i="3" s="1"/>
  <c r="B227" i="3"/>
  <c r="C227" i="3"/>
  <c r="P227" i="3" s="1"/>
  <c r="B402" i="3"/>
  <c r="C402" i="3"/>
  <c r="G402" i="3" s="1"/>
  <c r="B849" i="3"/>
  <c r="C849" i="3"/>
  <c r="N849" i="3" s="1"/>
  <c r="B404" i="3"/>
  <c r="C404" i="3"/>
  <c r="D404" i="3" s="1"/>
  <c r="B804" i="3"/>
  <c r="C804" i="3"/>
  <c r="B34" i="3"/>
  <c r="C34" i="3"/>
  <c r="F34" i="3" s="1"/>
  <c r="B662" i="3"/>
  <c r="C662" i="3"/>
  <c r="D662" i="3" s="1"/>
  <c r="B703" i="3"/>
  <c r="C703" i="3"/>
  <c r="H703" i="3" s="1"/>
  <c r="B86" i="3"/>
  <c r="C86" i="3"/>
  <c r="F86" i="3" s="1"/>
  <c r="B11" i="3"/>
  <c r="C11" i="3"/>
  <c r="G11" i="3" s="1"/>
  <c r="B571" i="3"/>
  <c r="C571" i="3"/>
  <c r="B377" i="3"/>
  <c r="C377" i="3"/>
  <c r="H377" i="3" s="1"/>
  <c r="B581" i="3"/>
  <c r="C581" i="3"/>
  <c r="B617" i="3"/>
  <c r="C617" i="3"/>
  <c r="F617" i="3" s="1"/>
  <c r="B629" i="3"/>
  <c r="C629" i="3"/>
  <c r="D629" i="3" s="1"/>
  <c r="B622" i="3"/>
  <c r="C622" i="3"/>
  <c r="H622" i="3" s="1"/>
  <c r="B873" i="3"/>
  <c r="C873" i="3"/>
  <c r="F873" i="3" s="1"/>
  <c r="B115" i="3"/>
  <c r="C115" i="3"/>
  <c r="G115" i="3" s="1"/>
  <c r="B347" i="3"/>
  <c r="C347" i="3"/>
  <c r="B266" i="3"/>
  <c r="C266" i="3"/>
  <c r="B608" i="3"/>
  <c r="C608" i="3"/>
  <c r="D608" i="3" s="1"/>
  <c r="B769" i="3"/>
  <c r="C769" i="3"/>
  <c r="B462" i="3"/>
  <c r="C462" i="3"/>
  <c r="D462" i="3" s="1"/>
  <c r="B511" i="3"/>
  <c r="C511" i="3"/>
  <c r="B580" i="3"/>
  <c r="C580" i="3"/>
  <c r="F580" i="3" s="1"/>
  <c r="B120" i="3"/>
  <c r="C120" i="3"/>
  <c r="B829" i="3"/>
  <c r="C829" i="3"/>
  <c r="F829" i="3" s="1"/>
  <c r="B379" i="3"/>
  <c r="C379" i="3"/>
  <c r="D379" i="3" s="1"/>
  <c r="B382" i="3"/>
  <c r="C382" i="3"/>
  <c r="B789" i="3"/>
  <c r="C789" i="3"/>
  <c r="F789" i="3" s="1"/>
  <c r="B621" i="3"/>
  <c r="C621" i="3"/>
  <c r="D621" i="3" s="1"/>
  <c r="B625" i="3"/>
  <c r="C625" i="3"/>
  <c r="H625" i="3" s="1"/>
  <c r="B628" i="3"/>
  <c r="C628" i="3"/>
  <c r="F628" i="3" s="1"/>
  <c r="B383" i="3"/>
  <c r="C383" i="3"/>
  <c r="G383" i="3" s="1"/>
  <c r="B653" i="3"/>
  <c r="C653" i="3"/>
  <c r="E653" i="3" s="1"/>
  <c r="B784" i="3"/>
  <c r="C784" i="3"/>
  <c r="D784" i="3" s="1"/>
  <c r="B667" i="3"/>
  <c r="C667" i="3"/>
  <c r="B695" i="3"/>
  <c r="C695" i="3"/>
  <c r="F695" i="3" s="1"/>
  <c r="B697" i="3"/>
  <c r="C697" i="3"/>
  <c r="D697" i="3" s="1"/>
  <c r="B819" i="3"/>
  <c r="C819" i="3"/>
  <c r="H819" i="3" s="1"/>
  <c r="B778" i="3"/>
  <c r="C778" i="3"/>
  <c r="F778" i="3" s="1"/>
  <c r="B687" i="3"/>
  <c r="C687" i="3"/>
  <c r="B721" i="3"/>
  <c r="C721" i="3"/>
  <c r="B844" i="3"/>
  <c r="C844" i="3"/>
  <c r="H844" i="3" s="1"/>
  <c r="B731" i="3"/>
  <c r="C731" i="3"/>
  <c r="D731" i="3" s="1"/>
  <c r="B604" i="3"/>
  <c r="C604" i="3"/>
  <c r="F604" i="3" s="1"/>
  <c r="B70" i="3"/>
  <c r="C70" i="3"/>
  <c r="D70" i="3" s="1"/>
  <c r="B727" i="3"/>
  <c r="C727" i="3"/>
  <c r="I727" i="3" s="1"/>
  <c r="B758" i="3"/>
  <c r="C758" i="3"/>
  <c r="F758" i="3" s="1"/>
  <c r="B110" i="3"/>
  <c r="C110" i="3"/>
  <c r="E110" i="3" s="1"/>
  <c r="B715" i="3"/>
  <c r="C715" i="3"/>
  <c r="B229" i="3"/>
  <c r="C229" i="3"/>
  <c r="D229" i="3" s="1"/>
  <c r="B724" i="3"/>
  <c r="C724" i="3"/>
  <c r="D724" i="3" s="1"/>
  <c r="B848" i="3"/>
  <c r="C848" i="3"/>
  <c r="B757" i="3"/>
  <c r="C757" i="3"/>
  <c r="D757" i="3" s="1"/>
  <c r="B386" i="3"/>
  <c r="C386" i="3"/>
  <c r="E386" i="3" s="1"/>
  <c r="B762" i="3"/>
  <c r="C762" i="3"/>
  <c r="F762" i="3" s="1"/>
  <c r="B132" i="3"/>
  <c r="C132" i="3"/>
  <c r="F132" i="3" s="1"/>
  <c r="B750" i="3"/>
  <c r="C750" i="3"/>
  <c r="B111" i="3"/>
  <c r="C111" i="3"/>
  <c r="D111" i="3" s="1"/>
  <c r="B387" i="3"/>
  <c r="C387" i="3"/>
  <c r="N387" i="3" s="1"/>
  <c r="B780" i="3"/>
  <c r="C780" i="3"/>
  <c r="B793" i="3"/>
  <c r="C793" i="3"/>
  <c r="D793" i="3" s="1"/>
  <c r="B756" i="3"/>
  <c r="C756" i="3"/>
  <c r="H756" i="3" s="1"/>
  <c r="B790" i="3"/>
  <c r="C790" i="3"/>
  <c r="F790" i="3" s="1"/>
  <c r="B78" i="3"/>
  <c r="C78" i="3"/>
  <c r="S78" i="3" s="1"/>
  <c r="B180" i="3"/>
  <c r="C180" i="3"/>
  <c r="F180" i="3" s="1"/>
  <c r="B794" i="3"/>
  <c r="C794" i="3"/>
  <c r="B806" i="3"/>
  <c r="C806" i="3"/>
  <c r="D806" i="3" s="1"/>
  <c r="B810" i="3"/>
  <c r="C810" i="3"/>
  <c r="D810" i="3" s="1"/>
  <c r="B159" i="3"/>
  <c r="C159" i="3"/>
  <c r="L159" i="3" s="1"/>
  <c r="B350" i="3"/>
  <c r="C350" i="3"/>
  <c r="I350" i="3" s="1"/>
  <c r="B786" i="3"/>
  <c r="C786" i="3"/>
  <c r="F786" i="3" s="1"/>
  <c r="B389" i="3"/>
  <c r="C389" i="3"/>
  <c r="F389" i="3" s="1"/>
  <c r="B838" i="3"/>
  <c r="C838" i="3"/>
  <c r="E838" i="3" s="1"/>
  <c r="B832" i="3"/>
  <c r="C832" i="3"/>
  <c r="D832" i="3" s="1"/>
  <c r="B865" i="3"/>
  <c r="C865" i="3"/>
  <c r="B744" i="3"/>
  <c r="C744" i="3"/>
  <c r="H744" i="3" s="1"/>
  <c r="B423" i="3"/>
  <c r="C423" i="3"/>
  <c r="S423" i="3" s="1"/>
  <c r="B22" i="3"/>
  <c r="C22" i="3"/>
  <c r="G22" i="3" s="1"/>
  <c r="B807" i="3"/>
  <c r="C807" i="3"/>
  <c r="F807" i="3" s="1"/>
  <c r="B620" i="3"/>
  <c r="C620" i="3"/>
  <c r="L620" i="3" s="1"/>
  <c r="B861" i="3"/>
  <c r="C861" i="3"/>
  <c r="D861" i="3" s="1"/>
  <c r="B866" i="3"/>
  <c r="C866" i="3"/>
  <c r="H866" i="3" s="1"/>
  <c r="B453" i="3"/>
  <c r="C453" i="3"/>
  <c r="O453" i="3" s="1"/>
  <c r="B15" i="3"/>
  <c r="C15" i="3"/>
  <c r="H15" i="3" s="1"/>
  <c r="B424" i="3"/>
  <c r="C424" i="3"/>
  <c r="S424" i="3" s="1"/>
  <c r="B252" i="3"/>
  <c r="C252" i="3"/>
  <c r="M252" i="3" s="1"/>
  <c r="B160" i="3"/>
  <c r="C160" i="3"/>
  <c r="O160" i="3" s="1"/>
  <c r="B53" i="3"/>
  <c r="C53" i="3"/>
  <c r="L53" i="3" s="1"/>
  <c r="B664" i="3"/>
  <c r="C664" i="3"/>
  <c r="S664" i="3" s="1"/>
  <c r="B392" i="3"/>
  <c r="C392" i="3"/>
  <c r="D392" i="3" s="1"/>
  <c r="B808" i="3"/>
  <c r="C808" i="3"/>
  <c r="O808" i="3" s="1"/>
  <c r="B631" i="3"/>
  <c r="C631" i="3"/>
  <c r="F631" i="3" s="1"/>
  <c r="B399" i="3"/>
  <c r="C399" i="3"/>
  <c r="S399" i="3" s="1"/>
  <c r="B432" i="3"/>
  <c r="C432" i="3"/>
  <c r="H432" i="3" s="1"/>
  <c r="B66" i="3"/>
  <c r="C66" i="3"/>
  <c r="F66" i="3" s="1"/>
  <c r="B776" i="3"/>
  <c r="C776" i="3"/>
  <c r="H776" i="3" s="1"/>
  <c r="B878" i="3"/>
  <c r="C878" i="3"/>
  <c r="D878" i="3" s="1"/>
  <c r="B681" i="3"/>
  <c r="C681" i="3"/>
  <c r="B287" i="3"/>
  <c r="C287" i="3"/>
  <c r="I287" i="3" s="1"/>
  <c r="B401" i="3"/>
  <c r="C401" i="3"/>
  <c r="D401" i="3" s="1"/>
  <c r="B406" i="3"/>
  <c r="C406" i="3"/>
  <c r="F406" i="3" s="1"/>
  <c r="B397" i="3"/>
  <c r="C397" i="3"/>
  <c r="B372" i="3"/>
  <c r="C372" i="3"/>
  <c r="D372" i="3" s="1"/>
  <c r="B853" i="3"/>
  <c r="C853" i="3"/>
  <c r="B410" i="3"/>
  <c r="C410" i="3"/>
  <c r="P410" i="3" s="1"/>
  <c r="H611" i="7"/>
  <c r="B448" i="3"/>
  <c r="B261" i="3"/>
  <c r="B182" i="3"/>
  <c r="B444" i="3"/>
  <c r="B441" i="3"/>
  <c r="B362" i="3"/>
  <c r="B466" i="3"/>
  <c r="B274" i="3"/>
  <c r="B427" i="3"/>
  <c r="B449" i="3"/>
  <c r="B133" i="3"/>
  <c r="B487" i="3"/>
  <c r="B288" i="3"/>
  <c r="B38" i="3"/>
  <c r="B495" i="3"/>
  <c r="B497" i="3"/>
  <c r="B503" i="3"/>
  <c r="B471" i="3"/>
  <c r="B473" i="3"/>
  <c r="B474" i="3"/>
  <c r="B494" i="3"/>
  <c r="B519" i="3"/>
  <c r="B500" i="3"/>
  <c r="B531" i="3"/>
  <c r="B543" i="3"/>
  <c r="B508" i="3"/>
  <c r="B549" i="3"/>
  <c r="B308" i="3"/>
  <c r="B524" i="3"/>
  <c r="B623" i="3"/>
  <c r="B566" i="3"/>
  <c r="B307" i="3"/>
  <c r="B882" i="3"/>
  <c r="B544" i="3"/>
  <c r="B573" i="3"/>
  <c r="B561" i="3"/>
  <c r="B64" i="3"/>
  <c r="B597" i="3"/>
  <c r="B610" i="3"/>
  <c r="B710" i="3"/>
  <c r="B586" i="3"/>
  <c r="B600" i="3"/>
  <c r="B596" i="3"/>
  <c r="B618" i="3"/>
  <c r="B624" i="3"/>
  <c r="B676" i="3"/>
  <c r="B661" i="3"/>
  <c r="B686" i="3"/>
  <c r="B694" i="3"/>
  <c r="B752" i="3"/>
  <c r="B729" i="3"/>
  <c r="B13" i="3"/>
  <c r="B707" i="3"/>
  <c r="B742" i="3"/>
  <c r="B730" i="3"/>
  <c r="B765" i="3"/>
  <c r="B279" i="3"/>
  <c r="B768" i="3"/>
  <c r="B749" i="3"/>
  <c r="B755" i="3"/>
  <c r="B816" i="3"/>
  <c r="B798" i="3"/>
  <c r="B306" i="3"/>
  <c r="B846" i="3"/>
  <c r="B858" i="3"/>
  <c r="B88" i="3"/>
  <c r="B310" i="3"/>
  <c r="B271" i="3"/>
  <c r="B328" i="3"/>
  <c r="C448" i="3"/>
  <c r="N448" i="3" s="1"/>
  <c r="C261" i="3"/>
  <c r="C182" i="3"/>
  <c r="S182" i="3" s="1"/>
  <c r="C444" i="3"/>
  <c r="O444" i="3" s="1"/>
  <c r="C441" i="3"/>
  <c r="F441" i="3" s="1"/>
  <c r="C362" i="3"/>
  <c r="F362" i="3" s="1"/>
  <c r="C466" i="3"/>
  <c r="O466" i="3" s="1"/>
  <c r="C274" i="3"/>
  <c r="N274" i="3" s="1"/>
  <c r="C427" i="3"/>
  <c r="G427" i="3" s="1"/>
  <c r="C449" i="3"/>
  <c r="C133" i="3"/>
  <c r="S133" i="3" s="1"/>
  <c r="C487" i="3"/>
  <c r="C288" i="3"/>
  <c r="D288" i="3" s="1"/>
  <c r="C38" i="3"/>
  <c r="S38" i="3" s="1"/>
  <c r="C495" i="3"/>
  <c r="G495" i="3" s="1"/>
  <c r="C497" i="3"/>
  <c r="N497" i="3" s="1"/>
  <c r="C503" i="3"/>
  <c r="C471" i="3"/>
  <c r="C473" i="3"/>
  <c r="D473" i="3" s="1"/>
  <c r="C474" i="3"/>
  <c r="F474" i="3" s="1"/>
  <c r="C494" i="3"/>
  <c r="F494" i="3" s="1"/>
  <c r="C519" i="3"/>
  <c r="I519" i="3" s="1"/>
  <c r="C500" i="3"/>
  <c r="E500" i="3" s="1"/>
  <c r="C531" i="3"/>
  <c r="O531" i="3" s="1"/>
  <c r="C543" i="3"/>
  <c r="S543" i="3" s="1"/>
  <c r="C508" i="3"/>
  <c r="C549" i="3"/>
  <c r="K549" i="3" s="1"/>
  <c r="C308" i="3"/>
  <c r="C524" i="3"/>
  <c r="I524" i="3" s="1"/>
  <c r="C623" i="3"/>
  <c r="H623" i="3" s="1"/>
  <c r="C566" i="3"/>
  <c r="J566" i="3" s="1"/>
  <c r="C307" i="3"/>
  <c r="N307" i="3" s="1"/>
  <c r="C882" i="3"/>
  <c r="N882" i="3" s="1"/>
  <c r="C544" i="3"/>
  <c r="C573" i="3"/>
  <c r="M573" i="3" s="1"/>
  <c r="C561" i="3"/>
  <c r="M561" i="3" s="1"/>
  <c r="C64" i="3"/>
  <c r="H64" i="3" s="1"/>
  <c r="C597" i="3"/>
  <c r="G597" i="3" s="1"/>
  <c r="C610" i="3"/>
  <c r="M610" i="3" s="1"/>
  <c r="C710" i="3"/>
  <c r="P710" i="3" s="1"/>
  <c r="C586" i="3"/>
  <c r="G586" i="3" s="1"/>
  <c r="C600" i="3"/>
  <c r="C596" i="3"/>
  <c r="H596" i="3" s="1"/>
  <c r="C618" i="3"/>
  <c r="S618" i="3" s="1"/>
  <c r="C624" i="3"/>
  <c r="D624" i="3" s="1"/>
  <c r="C676" i="3"/>
  <c r="E676" i="3" s="1"/>
  <c r="C661" i="3"/>
  <c r="K661" i="3" s="1"/>
  <c r="C686" i="3"/>
  <c r="M686" i="3" s="1"/>
  <c r="C694" i="3"/>
  <c r="P694" i="3" s="1"/>
  <c r="C752" i="3"/>
  <c r="C729" i="3"/>
  <c r="C13" i="3"/>
  <c r="L13" i="3" s="1"/>
  <c r="C707" i="3"/>
  <c r="D707" i="3" s="1"/>
  <c r="C742" i="3"/>
  <c r="H742" i="3" s="1"/>
  <c r="C730" i="3"/>
  <c r="F730" i="3" s="1"/>
  <c r="C765" i="3"/>
  <c r="S765" i="3" s="1"/>
  <c r="C279" i="3"/>
  <c r="O279" i="3" s="1"/>
  <c r="C768" i="3"/>
  <c r="C749" i="3"/>
  <c r="I749" i="3" s="1"/>
  <c r="C755" i="3"/>
  <c r="S755" i="3" s="1"/>
  <c r="C816" i="3"/>
  <c r="F816" i="3" s="1"/>
  <c r="C798" i="3"/>
  <c r="I798" i="3" s="1"/>
  <c r="C306" i="3"/>
  <c r="C846" i="3"/>
  <c r="J846" i="3" s="1"/>
  <c r="C858" i="3"/>
  <c r="N858" i="3" s="1"/>
  <c r="C88" i="3"/>
  <c r="G88" i="3" s="1"/>
  <c r="C310" i="3"/>
  <c r="I310" i="3" s="1"/>
  <c r="C271" i="3"/>
  <c r="P271" i="3" s="1"/>
  <c r="C328" i="3"/>
  <c r="L328" i="3" s="1"/>
  <c r="I7" i="3"/>
  <c r="L148" i="3"/>
  <c r="Y392" i="3"/>
  <c r="Y441" i="3"/>
  <c r="AC441" i="3" s="1"/>
  <c r="Y466" i="3"/>
  <c r="AE466" i="3" s="1"/>
  <c r="Y449" i="3"/>
  <c r="AE449" i="3" s="1"/>
  <c r="Y487" i="3"/>
  <c r="AE487" i="3" s="1"/>
  <c r="Y503" i="3"/>
  <c r="AC503" i="3" s="1"/>
  <c r="Y494" i="3"/>
  <c r="AE494" i="3" s="1"/>
  <c r="Y519" i="3"/>
  <c r="AC519" i="3" s="1"/>
  <c r="Y531" i="3"/>
  <c r="AC531" i="3" s="1"/>
  <c r="Y508" i="3"/>
  <c r="Y549" i="3"/>
  <c r="AC549" i="3" s="1"/>
  <c r="Y524" i="3"/>
  <c r="AE524" i="3" s="1"/>
  <c r="Y566" i="3"/>
  <c r="AC566" i="3" s="1"/>
  <c r="Y561" i="3"/>
  <c r="Y597" i="3"/>
  <c r="AC597" i="3" s="1"/>
  <c r="Y610" i="3"/>
  <c r="AC610" i="3" s="1"/>
  <c r="Y624" i="3"/>
  <c r="AC624" i="3" s="1"/>
  <c r="Y676" i="3"/>
  <c r="AC676" i="3" s="1"/>
  <c r="Y686" i="3"/>
  <c r="AC686" i="3" s="1"/>
  <c r="Y752" i="3"/>
  <c r="Y729" i="3"/>
  <c r="AC729" i="3" s="1"/>
  <c r="Y742" i="3"/>
  <c r="AE742" i="3" s="1"/>
  <c r="Y730" i="3"/>
  <c r="AE730" i="3" s="1"/>
  <c r="Y768" i="3"/>
  <c r="Y749" i="3"/>
  <c r="AC749" i="3" s="1"/>
  <c r="Y755" i="3"/>
  <c r="AC755" i="3" s="1"/>
  <c r="Y816" i="3"/>
  <c r="AE816" i="3" s="1"/>
  <c r="Y798" i="3"/>
  <c r="AC798" i="3" s="1"/>
  <c r="Y846" i="3"/>
  <c r="AE846" i="3" s="1"/>
  <c r="Z7" i="3"/>
  <c r="Z27" i="3"/>
  <c r="Z10" i="3"/>
  <c r="Z31" i="3"/>
  <c r="Z8" i="3"/>
  <c r="Z184" i="3"/>
  <c r="Z80" i="3"/>
  <c r="Z46" i="3"/>
  <c r="Z193" i="3"/>
  <c r="Z148" i="3"/>
  <c r="Z18" i="3"/>
  <c r="Z163" i="3"/>
  <c r="Z114" i="3"/>
  <c r="Z885" i="3"/>
  <c r="Z153" i="3"/>
  <c r="Z92" i="3"/>
  <c r="Z196" i="3"/>
  <c r="Z215" i="3"/>
  <c r="Z103" i="3"/>
  <c r="Z98" i="3"/>
  <c r="Z147" i="3"/>
  <c r="Z198" i="3"/>
  <c r="Z189" i="3"/>
  <c r="Z246" i="3"/>
  <c r="Z259" i="3"/>
  <c r="Z74" i="3"/>
  <c r="Z71" i="3"/>
  <c r="Z241" i="3"/>
  <c r="Z224" i="3"/>
  <c r="Z204" i="3"/>
  <c r="Z889" i="3"/>
  <c r="Z85" i="3"/>
  <c r="Z62" i="3"/>
  <c r="Z199" i="3"/>
  <c r="Z593" i="3"/>
  <c r="AZ352" i="2" s="1"/>
  <c r="Z316" i="3"/>
  <c r="Z278" i="3"/>
  <c r="Z332" i="3"/>
  <c r="Z145" i="3"/>
  <c r="Z340" i="3"/>
  <c r="Z673" i="3"/>
  <c r="Z281" i="3"/>
  <c r="Z207" i="3"/>
  <c r="Z626" i="3"/>
  <c r="Z510" i="3"/>
  <c r="Z172" i="3"/>
  <c r="Z732" i="3"/>
  <c r="Z267" i="3"/>
  <c r="Z128" i="3"/>
  <c r="Z301" i="3"/>
  <c r="Z108" i="3"/>
  <c r="Z647" i="3"/>
  <c r="Z323" i="3"/>
  <c r="Z48" i="3"/>
  <c r="Z803" i="3"/>
  <c r="Z125" i="3"/>
  <c r="Z112" i="3"/>
  <c r="Z591" i="3"/>
  <c r="Z219" i="3"/>
  <c r="Z331" i="3"/>
  <c r="Z138" i="3"/>
  <c r="Z313" i="3"/>
  <c r="Z440" i="3"/>
  <c r="Z360" i="3"/>
  <c r="Z30" i="3"/>
  <c r="Z876" i="3"/>
  <c r="Z751" i="3"/>
  <c r="Z657" i="3"/>
  <c r="Z388" i="3"/>
  <c r="Z250" i="3"/>
  <c r="Z407" i="3"/>
  <c r="Z877" i="3"/>
  <c r="Z532" i="3"/>
  <c r="Z528" i="3"/>
  <c r="Z833" i="3"/>
  <c r="Z150" i="3"/>
  <c r="Z745" i="3"/>
  <c r="Z576" i="3"/>
  <c r="Z40" i="3"/>
  <c r="Z297" i="3"/>
  <c r="Z431" i="3"/>
  <c r="Z417" i="3"/>
  <c r="Z540" i="3"/>
  <c r="Z304" i="3"/>
  <c r="Z318" i="3"/>
  <c r="Z156" i="3"/>
  <c r="Z37" i="3"/>
  <c r="Z312" i="3"/>
  <c r="Z254" i="3"/>
  <c r="Z558" i="3"/>
  <c r="Z504" i="3"/>
  <c r="Z659" i="3"/>
  <c r="Z791" i="3"/>
  <c r="AZ383" i="2" s="1"/>
  <c r="Z326" i="3"/>
  <c r="Z411" i="3"/>
  <c r="Z630" i="3"/>
  <c r="Z300" i="3"/>
  <c r="Z859" i="3"/>
  <c r="Z879" i="3"/>
  <c r="Z651" i="3"/>
  <c r="Z585" i="3"/>
  <c r="Z760" i="3"/>
  <c r="Z158" i="3"/>
  <c r="Z233" i="3"/>
  <c r="Z9" i="3"/>
  <c r="Z28" i="3"/>
  <c r="Z217" i="3"/>
  <c r="Z296" i="3"/>
  <c r="Z481" i="3"/>
  <c r="Z131" i="3"/>
  <c r="Z677" i="3"/>
  <c r="Z122" i="3"/>
  <c r="Z672" i="3"/>
  <c r="Z488" i="3"/>
  <c r="Z869" i="3"/>
  <c r="Z81" i="3"/>
  <c r="Z888" i="3"/>
  <c r="Z867" i="3"/>
  <c r="AZ403" i="2" s="1"/>
  <c r="Z374" i="3"/>
  <c r="Z735" i="3"/>
  <c r="Z767" i="3"/>
  <c r="Z464" i="3"/>
  <c r="AZ338" i="2" s="1"/>
  <c r="Z142" i="3"/>
  <c r="Z384" i="3"/>
  <c r="Z564" i="3"/>
  <c r="Z425" i="3"/>
  <c r="Z518" i="3"/>
  <c r="Z354" i="3"/>
  <c r="Z213" i="3"/>
  <c r="Z874" i="3"/>
  <c r="Z880" i="3"/>
  <c r="Z539" i="3"/>
  <c r="Z364" i="3"/>
  <c r="Z192" i="3"/>
  <c r="Z176" i="3"/>
  <c r="Z181" i="3"/>
  <c r="Z210" i="3"/>
  <c r="Z51" i="3"/>
  <c r="Z95" i="3"/>
  <c r="Z294" i="3"/>
  <c r="Z268" i="3"/>
  <c r="Z227" i="3"/>
  <c r="Z849" i="3"/>
  <c r="Z604" i="3"/>
  <c r="Z727" i="3"/>
  <c r="Z387" i="3"/>
  <c r="Z78" i="3"/>
  <c r="Z159" i="3"/>
  <c r="Z350" i="3"/>
  <c r="Z838" i="3"/>
  <c r="Z423" i="3"/>
  <c r="Z22" i="3"/>
  <c r="Z620" i="3"/>
  <c r="Z453" i="3"/>
  <c r="Z424" i="3"/>
  <c r="Z252" i="3"/>
  <c r="Z160" i="3"/>
  <c r="Z53" i="3"/>
  <c r="Z664" i="3"/>
  <c r="AZ249" i="2" s="1"/>
  <c r="Z392" i="3"/>
  <c r="Z808" i="3"/>
  <c r="Z399" i="3"/>
  <c r="Z681" i="3"/>
  <c r="Z287" i="3"/>
  <c r="Z853" i="3"/>
  <c r="AZ302" i="2" s="1"/>
  <c r="Z410" i="3"/>
  <c r="Z448" i="3"/>
  <c r="Z261" i="3"/>
  <c r="Z182" i="3"/>
  <c r="Z444" i="3"/>
  <c r="Z441" i="3"/>
  <c r="Z362" i="3"/>
  <c r="Z466" i="3"/>
  <c r="Z274" i="3"/>
  <c r="Z427" i="3"/>
  <c r="Z449" i="3"/>
  <c r="Z133" i="3"/>
  <c r="Z487" i="3"/>
  <c r="Z288" i="3"/>
  <c r="Z38" i="3"/>
  <c r="Z495" i="3"/>
  <c r="Z497" i="3"/>
  <c r="Z503" i="3"/>
  <c r="Z471" i="3"/>
  <c r="Z473" i="3"/>
  <c r="Z474" i="3"/>
  <c r="Z494" i="3"/>
  <c r="Z519" i="3"/>
  <c r="Z500" i="3"/>
  <c r="Z531" i="3"/>
  <c r="Z543" i="3"/>
  <c r="Z508" i="3"/>
  <c r="Z549" i="3"/>
  <c r="Z308" i="3"/>
  <c r="Z524" i="3"/>
  <c r="Z623" i="3"/>
  <c r="Z566" i="3"/>
  <c r="Z307" i="3"/>
  <c r="Z882" i="3"/>
  <c r="Z544" i="3"/>
  <c r="Z573" i="3"/>
  <c r="Z561" i="3"/>
  <c r="Z64" i="3"/>
  <c r="Z597" i="3"/>
  <c r="Z610" i="3"/>
  <c r="Z710" i="3"/>
  <c r="Z586" i="3"/>
  <c r="Z600" i="3"/>
  <c r="Z596" i="3"/>
  <c r="Z618" i="3"/>
  <c r="Z624" i="3"/>
  <c r="Z676" i="3"/>
  <c r="Z661" i="3"/>
  <c r="Z686" i="3"/>
  <c r="Z694" i="3"/>
  <c r="Z752" i="3"/>
  <c r="Z729" i="3"/>
  <c r="Z13" i="3"/>
  <c r="Z707" i="3"/>
  <c r="Z742" i="3"/>
  <c r="Z730" i="3"/>
  <c r="Z765" i="3"/>
  <c r="Z279" i="3"/>
  <c r="Z768" i="3"/>
  <c r="Z749" i="3"/>
  <c r="Z755" i="3"/>
  <c r="Z816" i="3"/>
  <c r="Z798" i="3"/>
  <c r="Z306" i="3"/>
  <c r="Z846" i="3"/>
  <c r="Z858" i="3"/>
  <c r="Z88" i="3"/>
  <c r="Z310" i="3"/>
  <c r="Z271" i="3"/>
  <c r="BI266" i="1" s="1"/>
  <c r="Z328" i="3"/>
  <c r="AA7" i="3"/>
  <c r="AA27" i="3"/>
  <c r="AA10" i="3"/>
  <c r="AA31" i="3"/>
  <c r="AA8" i="3"/>
  <c r="AA184" i="3"/>
  <c r="AA80" i="3"/>
  <c r="AA46" i="3"/>
  <c r="AA193" i="3"/>
  <c r="AA148" i="3"/>
  <c r="AA18" i="3"/>
  <c r="AA163" i="3"/>
  <c r="AA114" i="3"/>
  <c r="AA885" i="3"/>
  <c r="AA153" i="3"/>
  <c r="AA92" i="3"/>
  <c r="AA196" i="3"/>
  <c r="AA215" i="3"/>
  <c r="AA103" i="3"/>
  <c r="AA98" i="3"/>
  <c r="AA147" i="3"/>
  <c r="AA198" i="3"/>
  <c r="AA189" i="3"/>
  <c r="AA246" i="3"/>
  <c r="AA259" i="3"/>
  <c r="AA74" i="3"/>
  <c r="AA71" i="3"/>
  <c r="AA241" i="3"/>
  <c r="AA224" i="3"/>
  <c r="AA204" i="3"/>
  <c r="AA889" i="3"/>
  <c r="AA85" i="3"/>
  <c r="AA62" i="3"/>
  <c r="AA199" i="3"/>
  <c r="AA593" i="3"/>
  <c r="BA352" i="2" s="1"/>
  <c r="AA316" i="3"/>
  <c r="AA278" i="3"/>
  <c r="AA332" i="3"/>
  <c r="AA145" i="3"/>
  <c r="AA340" i="3"/>
  <c r="AA673" i="3"/>
  <c r="AA281" i="3"/>
  <c r="AA207" i="3"/>
  <c r="AA626" i="3"/>
  <c r="AA510" i="3"/>
  <c r="AA172" i="3"/>
  <c r="AA732" i="3"/>
  <c r="AA267" i="3"/>
  <c r="AA128" i="3"/>
  <c r="AA301" i="3"/>
  <c r="AA108" i="3"/>
  <c r="AA647" i="3"/>
  <c r="AA323" i="3"/>
  <c r="AA48" i="3"/>
  <c r="AA803" i="3"/>
  <c r="AA125" i="3"/>
  <c r="AA112" i="3"/>
  <c r="AA591" i="3"/>
  <c r="AA219" i="3"/>
  <c r="AA331" i="3"/>
  <c r="AA138" i="3"/>
  <c r="AA313" i="3"/>
  <c r="AA440" i="3"/>
  <c r="AA360" i="3"/>
  <c r="AA30" i="3"/>
  <c r="AA876" i="3"/>
  <c r="AA751" i="3"/>
  <c r="AA657" i="3"/>
  <c r="AA388" i="3"/>
  <c r="AA250" i="3"/>
  <c r="AA407" i="3"/>
  <c r="AA877" i="3"/>
  <c r="AA532" i="3"/>
  <c r="AA528" i="3"/>
  <c r="AA833" i="3"/>
  <c r="AA150" i="3"/>
  <c r="AA745" i="3"/>
  <c r="AA576" i="3"/>
  <c r="AA40" i="3"/>
  <c r="AA297" i="3"/>
  <c r="AA431" i="3"/>
  <c r="AA417" i="3"/>
  <c r="AA540" i="3"/>
  <c r="AA304" i="3"/>
  <c r="AA318" i="3"/>
  <c r="AA156" i="3"/>
  <c r="AA37" i="3"/>
  <c r="AA312" i="3"/>
  <c r="AA254" i="3"/>
  <c r="AA558" i="3"/>
  <c r="AA504" i="3"/>
  <c r="AA659" i="3"/>
  <c r="AA791" i="3"/>
  <c r="BA383" i="2" s="1"/>
  <c r="AA326" i="3"/>
  <c r="AA411" i="3"/>
  <c r="AA630" i="3"/>
  <c r="AA300" i="3"/>
  <c r="AA859" i="3"/>
  <c r="AA879" i="3"/>
  <c r="AA651" i="3"/>
  <c r="AA585" i="3"/>
  <c r="AA760" i="3"/>
  <c r="AA158" i="3"/>
  <c r="AA233" i="3"/>
  <c r="AA9" i="3"/>
  <c r="AA28" i="3"/>
  <c r="AA217" i="3"/>
  <c r="AA296" i="3"/>
  <c r="AA481" i="3"/>
  <c r="AA131" i="3"/>
  <c r="AA677" i="3"/>
  <c r="AA122" i="3"/>
  <c r="AA672" i="3"/>
  <c r="AA488" i="3"/>
  <c r="AA869" i="3"/>
  <c r="AA81" i="3"/>
  <c r="AA888" i="3"/>
  <c r="AA867" i="3"/>
  <c r="BA403" i="2" s="1"/>
  <c r="AA374" i="3"/>
  <c r="AA735" i="3"/>
  <c r="AA767" i="3"/>
  <c r="AA464" i="3"/>
  <c r="AA142" i="3"/>
  <c r="AA384" i="3"/>
  <c r="AA564" i="3"/>
  <c r="AA425" i="3"/>
  <c r="AA518" i="3"/>
  <c r="AA354" i="3"/>
  <c r="AA213" i="3"/>
  <c r="AA874" i="3"/>
  <c r="AA880" i="3"/>
  <c r="AA539" i="3"/>
  <c r="AA364" i="3"/>
  <c r="AA192" i="3"/>
  <c r="AA176" i="3"/>
  <c r="AA181" i="3"/>
  <c r="AA210" i="3"/>
  <c r="AA51" i="3"/>
  <c r="AA95" i="3"/>
  <c r="AA294" i="3"/>
  <c r="AA268" i="3"/>
  <c r="AA227" i="3"/>
  <c r="AA849" i="3"/>
  <c r="AA604" i="3"/>
  <c r="AA727" i="3"/>
  <c r="AA387" i="3"/>
  <c r="AA78" i="3"/>
  <c r="AA159" i="3"/>
  <c r="AA350" i="3"/>
  <c r="AA838" i="3"/>
  <c r="AA423" i="3"/>
  <c r="AA22" i="3"/>
  <c r="AA620" i="3"/>
  <c r="AA453" i="3"/>
  <c r="AA424" i="3"/>
  <c r="AA252" i="3"/>
  <c r="AA160" i="3"/>
  <c r="AA53" i="3"/>
  <c r="AA664" i="3"/>
  <c r="BA249" i="2" s="1"/>
  <c r="AA392" i="3"/>
  <c r="AA808" i="3"/>
  <c r="AA399" i="3"/>
  <c r="AA681" i="3"/>
  <c r="AA287" i="3"/>
  <c r="AA853" i="3"/>
  <c r="BA302" i="2" s="1"/>
  <c r="AA410" i="3"/>
  <c r="AA448" i="3"/>
  <c r="AA261" i="3"/>
  <c r="AA182" i="3"/>
  <c r="AA444" i="3"/>
  <c r="AA441" i="3"/>
  <c r="AA362" i="3"/>
  <c r="AA466" i="3"/>
  <c r="AA274" i="3"/>
  <c r="AA427" i="3"/>
  <c r="AA449" i="3"/>
  <c r="AA133" i="3"/>
  <c r="AA487" i="3"/>
  <c r="AA288" i="3"/>
  <c r="AA38" i="3"/>
  <c r="AA495" i="3"/>
  <c r="AA497" i="3"/>
  <c r="AA503" i="3"/>
  <c r="AA471" i="3"/>
  <c r="AA473" i="3"/>
  <c r="AA474" i="3"/>
  <c r="AA494" i="3"/>
  <c r="AA519" i="3"/>
  <c r="AA500" i="3"/>
  <c r="AA531" i="3"/>
  <c r="AA543" i="3"/>
  <c r="AA508" i="3"/>
  <c r="AA549" i="3"/>
  <c r="AA308" i="3"/>
  <c r="AA524" i="3"/>
  <c r="AA623" i="3"/>
  <c r="AA566" i="3"/>
  <c r="AA307" i="3"/>
  <c r="AA882" i="3"/>
  <c r="AA544" i="3"/>
  <c r="AA573" i="3"/>
  <c r="AA561" i="3"/>
  <c r="AA64" i="3"/>
  <c r="AA597" i="3"/>
  <c r="AA610" i="3"/>
  <c r="AA710" i="3"/>
  <c r="AA586" i="3"/>
  <c r="AA600" i="3"/>
  <c r="AA596" i="3"/>
  <c r="AA618" i="3"/>
  <c r="AA624" i="3"/>
  <c r="AA676" i="3"/>
  <c r="AA661" i="3"/>
  <c r="AA686" i="3"/>
  <c r="AA694" i="3"/>
  <c r="AA752" i="3"/>
  <c r="AA729" i="3"/>
  <c r="AA13" i="3"/>
  <c r="AA707" i="3"/>
  <c r="AA742" i="3"/>
  <c r="AA730" i="3"/>
  <c r="AA765" i="3"/>
  <c r="AA279" i="3"/>
  <c r="AA768" i="3"/>
  <c r="AA749" i="3"/>
  <c r="AA755" i="3"/>
  <c r="AA816" i="3"/>
  <c r="AA798" i="3"/>
  <c r="AA306" i="3"/>
  <c r="AA846" i="3"/>
  <c r="AA858" i="3"/>
  <c r="AA88" i="3"/>
  <c r="AA310" i="3"/>
  <c r="AA271" i="3"/>
  <c r="BJ266" i="1" s="1"/>
  <c r="AA328" i="3"/>
  <c r="AB7" i="3"/>
  <c r="AB27" i="3"/>
  <c r="AB10" i="3"/>
  <c r="AB31" i="3"/>
  <c r="AB8" i="3"/>
  <c r="AB184" i="3"/>
  <c r="AB80" i="3"/>
  <c r="AB46" i="3"/>
  <c r="AB193" i="3"/>
  <c r="AB148" i="3"/>
  <c r="AB18" i="3"/>
  <c r="AB163" i="3"/>
  <c r="AB114" i="3"/>
  <c r="AB885" i="3"/>
  <c r="AB153" i="3"/>
  <c r="AB92" i="3"/>
  <c r="AB196" i="3"/>
  <c r="AB215" i="3"/>
  <c r="AB103" i="3"/>
  <c r="AB98" i="3"/>
  <c r="AB147" i="3"/>
  <c r="AB198" i="3"/>
  <c r="AB189" i="3"/>
  <c r="AB246" i="3"/>
  <c r="AB259" i="3"/>
  <c r="AB74" i="3"/>
  <c r="AB71" i="3"/>
  <c r="AB241" i="3"/>
  <c r="AB224" i="3"/>
  <c r="AB204" i="3"/>
  <c r="AB889" i="3"/>
  <c r="AB85" i="3"/>
  <c r="AB62" i="3"/>
  <c r="AB199" i="3"/>
  <c r="AB593" i="3"/>
  <c r="BB352" i="2" s="1"/>
  <c r="AB316" i="3"/>
  <c r="AB278" i="3"/>
  <c r="AB332" i="3"/>
  <c r="AB145" i="3"/>
  <c r="AB340" i="3"/>
  <c r="AB673" i="3"/>
  <c r="AB281" i="3"/>
  <c r="AB207" i="3"/>
  <c r="AB626" i="3"/>
  <c r="AB510" i="3"/>
  <c r="AB172" i="3"/>
  <c r="AB732" i="3"/>
  <c r="AB267" i="3"/>
  <c r="AB128" i="3"/>
  <c r="AB301" i="3"/>
  <c r="AB108" i="3"/>
  <c r="AB647" i="3"/>
  <c r="AB323" i="3"/>
  <c r="AB48" i="3"/>
  <c r="AB803" i="3"/>
  <c r="AB125" i="3"/>
  <c r="AB112" i="3"/>
  <c r="AB591" i="3"/>
  <c r="AB219" i="3"/>
  <c r="AB331" i="3"/>
  <c r="AB138" i="3"/>
  <c r="AB313" i="3"/>
  <c r="AB440" i="3"/>
  <c r="AB360" i="3"/>
  <c r="AB30" i="3"/>
  <c r="BK18" i="1" s="1"/>
  <c r="AB876" i="3"/>
  <c r="AB751" i="3"/>
  <c r="AB657" i="3"/>
  <c r="AB388" i="3"/>
  <c r="AB250" i="3"/>
  <c r="AB407" i="3"/>
  <c r="AB877" i="3"/>
  <c r="AB532" i="3"/>
  <c r="AB528" i="3"/>
  <c r="AB833" i="3"/>
  <c r="AB150" i="3"/>
  <c r="AB745" i="3"/>
  <c r="AB576" i="3"/>
  <c r="AB40" i="3"/>
  <c r="AB297" i="3"/>
  <c r="AB431" i="3"/>
  <c r="AB417" i="3"/>
  <c r="AB540" i="3"/>
  <c r="AB304" i="3"/>
  <c r="AB318" i="3"/>
  <c r="AB156" i="3"/>
  <c r="AB37" i="3"/>
  <c r="AB312" i="3"/>
  <c r="AB254" i="3"/>
  <c r="AB558" i="3"/>
  <c r="AB504" i="3"/>
  <c r="AB659" i="3"/>
  <c r="AB791" i="3"/>
  <c r="BB383" i="2" s="1"/>
  <c r="AB326" i="3"/>
  <c r="AB411" i="3"/>
  <c r="AB630" i="3"/>
  <c r="AB300" i="3"/>
  <c r="AB859" i="3"/>
  <c r="AB879" i="3"/>
  <c r="AB651" i="3"/>
  <c r="AB585" i="3"/>
  <c r="AB760" i="3"/>
  <c r="AB158" i="3"/>
  <c r="AB233" i="3"/>
  <c r="AB9" i="3"/>
  <c r="AB28" i="3"/>
  <c r="AB217" i="3"/>
  <c r="AB296" i="3"/>
  <c r="AB481" i="3"/>
  <c r="AB131" i="3"/>
  <c r="AB677" i="3"/>
  <c r="AB122" i="3"/>
  <c r="AB672" i="3"/>
  <c r="AB488" i="3"/>
  <c r="AB869" i="3"/>
  <c r="AB81" i="3"/>
  <c r="AB888" i="3"/>
  <c r="AB867" i="3"/>
  <c r="BB403" i="2" s="1"/>
  <c r="AB374" i="3"/>
  <c r="AB735" i="3"/>
  <c r="AB767" i="3"/>
  <c r="AB464" i="3"/>
  <c r="AB142" i="3"/>
  <c r="AB384" i="3"/>
  <c r="AB564" i="3"/>
  <c r="AB425" i="3"/>
  <c r="AB518" i="3"/>
  <c r="AB354" i="3"/>
  <c r="AB213" i="3"/>
  <c r="AB874" i="3"/>
  <c r="AB880" i="3"/>
  <c r="AB539" i="3"/>
  <c r="AB364" i="3"/>
  <c r="AB192" i="3"/>
  <c r="AB176" i="3"/>
  <c r="AB181" i="3"/>
  <c r="AB210" i="3"/>
  <c r="AB51" i="3"/>
  <c r="AB95" i="3"/>
  <c r="AB294" i="3"/>
  <c r="AB268" i="3"/>
  <c r="AB227" i="3"/>
  <c r="AB849" i="3"/>
  <c r="AB604" i="3"/>
  <c r="AB727" i="3"/>
  <c r="AB387" i="3"/>
  <c r="AB78" i="3"/>
  <c r="AB159" i="3"/>
  <c r="AB350" i="3"/>
  <c r="AB838" i="3"/>
  <c r="AB423" i="3"/>
  <c r="AB22" i="3"/>
  <c r="AB620" i="3"/>
  <c r="AB453" i="3"/>
  <c r="AB424" i="3"/>
  <c r="AB252" i="3"/>
  <c r="AB160" i="3"/>
  <c r="AB53" i="3"/>
  <c r="AB664" i="3"/>
  <c r="BB249" i="2" s="1"/>
  <c r="AB392" i="3"/>
  <c r="AB808" i="3"/>
  <c r="AB399" i="3"/>
  <c r="AB681" i="3"/>
  <c r="AB287" i="3"/>
  <c r="AB853" i="3"/>
  <c r="BB302" i="2" s="1"/>
  <c r="AB410" i="3"/>
  <c r="AB448" i="3"/>
  <c r="AB261" i="3"/>
  <c r="AB182" i="3"/>
  <c r="AB444" i="3"/>
  <c r="AB441" i="3"/>
  <c r="AB362" i="3"/>
  <c r="AB466" i="3"/>
  <c r="AB274" i="3"/>
  <c r="AB427" i="3"/>
  <c r="AB449" i="3"/>
  <c r="AB133" i="3"/>
  <c r="AB487" i="3"/>
  <c r="AB288" i="3"/>
  <c r="AB38" i="3"/>
  <c r="AB495" i="3"/>
  <c r="AB497" i="3"/>
  <c r="AB503" i="3"/>
  <c r="AB471" i="3"/>
  <c r="AB473" i="3"/>
  <c r="AB474" i="3"/>
  <c r="AB494" i="3"/>
  <c r="AB519" i="3"/>
  <c r="AB500" i="3"/>
  <c r="AB531" i="3"/>
  <c r="AB543" i="3"/>
  <c r="AB508" i="3"/>
  <c r="AB549" i="3"/>
  <c r="AB308" i="3"/>
  <c r="AB524" i="3"/>
  <c r="AB623" i="3"/>
  <c r="AB566" i="3"/>
  <c r="AB307" i="3"/>
  <c r="AB882" i="3"/>
  <c r="AB544" i="3"/>
  <c r="AB573" i="3"/>
  <c r="AB561" i="3"/>
  <c r="AB64" i="3"/>
  <c r="AB597" i="3"/>
  <c r="AB610" i="3"/>
  <c r="AB710" i="3"/>
  <c r="AB586" i="3"/>
  <c r="AB600" i="3"/>
  <c r="AB596" i="3"/>
  <c r="AB618" i="3"/>
  <c r="AB624" i="3"/>
  <c r="AB676" i="3"/>
  <c r="AB661" i="3"/>
  <c r="AB686" i="3"/>
  <c r="AB694" i="3"/>
  <c r="AB752" i="3"/>
  <c r="AB729" i="3"/>
  <c r="AB13" i="3"/>
  <c r="AB707" i="3"/>
  <c r="AB742" i="3"/>
  <c r="AB730" i="3"/>
  <c r="AB765" i="3"/>
  <c r="AB279" i="3"/>
  <c r="AB768" i="3"/>
  <c r="AB749" i="3"/>
  <c r="AB755" i="3"/>
  <c r="AB816" i="3"/>
  <c r="AB798" i="3"/>
  <c r="AB306" i="3"/>
  <c r="AB846" i="3"/>
  <c r="AB858" i="3"/>
  <c r="AB88" i="3"/>
  <c r="AB310" i="3"/>
  <c r="AB271" i="3"/>
  <c r="AB328" i="3"/>
  <c r="H608" i="7"/>
  <c r="Y694" i="3" s="1"/>
  <c r="AC694" i="3" s="1"/>
  <c r="H609" i="7"/>
  <c r="Y544" i="3" s="1"/>
  <c r="H610" i="7"/>
  <c r="Y423" i="3" s="1"/>
  <c r="AC423" i="3" s="1"/>
  <c r="AS142" i="2"/>
  <c r="AS285" i="2"/>
  <c r="AS324" i="2"/>
  <c r="AS240" i="2"/>
  <c r="AS398" i="2"/>
  <c r="AS371" i="2"/>
  <c r="AS418" i="2"/>
  <c r="AS307" i="2"/>
  <c r="AS199" i="2"/>
  <c r="AS245" i="2"/>
  <c r="AS241" i="2"/>
  <c r="AS328" i="2"/>
  <c r="AS38" i="2"/>
  <c r="AS274" i="2"/>
  <c r="AS434" i="2"/>
  <c r="AS83" i="2"/>
  <c r="AS226" i="2"/>
  <c r="AS109" i="2"/>
  <c r="AS265" i="2"/>
  <c r="AS269" i="2"/>
  <c r="AS441" i="2"/>
  <c r="AS272" i="2"/>
  <c r="AS59" i="2"/>
  <c r="AS53" i="2"/>
  <c r="AS438" i="2"/>
  <c r="AS451" i="2"/>
  <c r="AS146" i="2"/>
  <c r="AS12" i="2"/>
  <c r="AS336" i="2"/>
  <c r="AS301" i="2"/>
  <c r="AS50" i="2"/>
  <c r="AS81" i="2"/>
  <c r="AS198" i="2"/>
  <c r="AS349" i="2"/>
  <c r="AS26" i="2"/>
  <c r="AS295" i="2"/>
  <c r="AS315" i="2"/>
  <c r="AS185" i="2"/>
  <c r="AS28" i="2"/>
  <c r="AS271" i="2"/>
  <c r="AS419" i="2"/>
  <c r="AS45" i="2"/>
  <c r="AS227" i="2"/>
  <c r="AS130" i="2"/>
  <c r="AS209" i="2"/>
  <c r="AS424" i="2"/>
  <c r="AS454" i="2"/>
  <c r="AS136" i="2"/>
  <c r="AS151" i="2"/>
  <c r="AS405" i="2"/>
  <c r="AS213" i="2"/>
  <c r="AS172" i="2"/>
  <c r="AS132" i="2"/>
  <c r="AS282" i="2"/>
  <c r="AS217" i="2"/>
  <c r="AS393" i="2"/>
  <c r="AS78" i="2"/>
  <c r="AS141" i="2"/>
  <c r="AS279" i="2"/>
  <c r="AS236" i="2"/>
  <c r="AS292" i="2"/>
  <c r="AS239" i="2"/>
  <c r="AS318" i="2"/>
  <c r="AS289" i="2"/>
  <c r="AS162" i="2"/>
  <c r="AS402" i="2"/>
  <c r="AS99" i="2"/>
  <c r="AS112" i="2"/>
  <c r="AS72" i="2"/>
  <c r="AS397" i="2"/>
  <c r="AS21" i="2"/>
  <c r="AS306" i="2"/>
  <c r="AS321" i="2"/>
  <c r="AS347" i="2"/>
  <c r="AS420" i="2"/>
  <c r="AS333" i="2"/>
  <c r="AS36" i="2"/>
  <c r="AS431" i="2"/>
  <c r="AS224" i="2"/>
  <c r="AS39" i="2"/>
  <c r="AS250" i="2"/>
  <c r="AS194" i="2"/>
  <c r="AS411" i="2"/>
  <c r="AS300" i="2"/>
  <c r="AS381" i="2"/>
  <c r="AS188" i="2"/>
  <c r="AS105" i="2"/>
  <c r="AS228" i="2"/>
  <c r="AS435" i="2"/>
  <c r="AS362" i="2"/>
  <c r="AS359" i="2"/>
  <c r="AS157" i="2"/>
  <c r="AS48" i="2"/>
  <c r="AS196" i="2"/>
  <c r="AS389" i="2"/>
  <c r="AS145" i="2"/>
  <c r="AS18" i="2"/>
  <c r="AS6" i="2"/>
  <c r="AS62" i="2"/>
  <c r="AS16" i="2"/>
  <c r="AS452" i="2"/>
  <c r="AS13" i="2"/>
  <c r="AS235" i="2"/>
  <c r="AS261" i="2"/>
  <c r="AS404" i="2"/>
  <c r="AS343" i="2"/>
  <c r="AS334" i="2"/>
  <c r="AS377" i="2"/>
  <c r="AS357" i="2"/>
  <c r="AS192" i="2"/>
  <c r="AS428" i="2"/>
  <c r="AS299" i="2"/>
  <c r="AS340" i="2"/>
  <c r="AS378" i="2"/>
  <c r="AS44" i="2"/>
  <c r="AS386" i="2"/>
  <c r="AS440" i="2"/>
  <c r="AS183" i="2"/>
  <c r="AS85" i="2"/>
  <c r="AS248" i="2"/>
  <c r="AS373" i="2"/>
  <c r="AS368" i="2"/>
  <c r="AS41" i="2"/>
  <c r="AS96" i="2"/>
  <c r="AS37" i="2"/>
  <c r="AS231" i="2"/>
  <c r="AS17" i="2"/>
  <c r="AS189" i="2"/>
  <c r="AS408" i="2"/>
  <c r="AS113" i="2"/>
  <c r="AS148" i="2"/>
  <c r="AS391" i="2"/>
  <c r="AS346" i="2"/>
  <c r="AS66" i="2"/>
  <c r="AS114" i="2"/>
  <c r="AS262" i="2"/>
  <c r="AS437" i="2"/>
  <c r="AS319" i="2"/>
  <c r="AS125" i="2"/>
  <c r="AS174" i="2"/>
  <c r="AS276" i="2"/>
  <c r="AS247" i="2"/>
  <c r="AS177" i="2"/>
  <c r="AS122" i="2"/>
  <c r="AS9" i="2"/>
  <c r="AS73" i="2"/>
  <c r="AS42" i="2"/>
  <c r="AS446" i="2"/>
  <c r="AS338" i="2"/>
  <c r="AS293" i="2"/>
  <c r="AS51" i="2"/>
  <c r="AS256" i="2"/>
  <c r="AS29" i="2"/>
  <c r="AS43" i="2"/>
  <c r="AS164" i="2"/>
  <c r="AS46" i="2"/>
  <c r="AS90" i="2"/>
  <c r="AS258" i="2"/>
  <c r="AS34" i="2"/>
  <c r="AS453" i="2"/>
  <c r="AS94" i="2"/>
  <c r="AS135" i="2"/>
  <c r="AS118" i="2"/>
  <c r="AS388" i="2"/>
  <c r="AS342" i="2"/>
  <c r="AS74" i="2"/>
  <c r="AS98" i="2"/>
  <c r="AS173" i="2"/>
  <c r="AS5" i="2"/>
  <c r="AS58" i="2"/>
  <c r="AS303" i="2"/>
  <c r="AS238" i="2"/>
  <c r="AS202" i="2"/>
  <c r="AS107" i="2"/>
  <c r="AS246" i="2"/>
  <c r="AS291" i="2"/>
  <c r="AS176" i="2"/>
  <c r="AS119" i="2"/>
  <c r="AS243" i="2"/>
  <c r="AS117" i="2"/>
  <c r="AS57" i="2"/>
  <c r="AS387" i="2"/>
  <c r="AS323" i="2"/>
  <c r="AS253" i="2"/>
  <c r="AS281" i="2"/>
  <c r="AS400" i="2"/>
  <c r="AS369" i="2"/>
  <c r="AS191" i="2"/>
  <c r="AS353" i="2"/>
  <c r="AS457" i="2"/>
  <c r="AS305" i="2"/>
  <c r="AS121" i="2"/>
  <c r="AS308" i="2"/>
  <c r="AS120" i="2"/>
  <c r="AS412" i="2"/>
  <c r="AS30" i="2"/>
  <c r="AS264" i="2"/>
  <c r="AS317" i="2"/>
  <c r="AS316" i="2"/>
  <c r="AS129" i="2"/>
  <c r="AS20" i="2"/>
  <c r="AS131" i="2"/>
  <c r="AS220" i="2"/>
  <c r="AS427" i="2"/>
  <c r="AS390" i="2"/>
  <c r="AS193" i="2"/>
  <c r="AS106" i="2"/>
  <c r="AS67" i="2"/>
  <c r="AS64" i="2"/>
  <c r="AS11" i="2"/>
  <c r="AS354" i="2"/>
  <c r="AS190" i="2"/>
  <c r="AS304" i="2"/>
  <c r="AS449" i="2"/>
  <c r="AS187" i="2"/>
  <c r="AS229" i="2"/>
  <c r="AS455" i="2"/>
  <c r="AS416" i="2"/>
  <c r="AS104" i="2"/>
  <c r="AS225" i="2"/>
  <c r="AS409" i="2"/>
  <c r="AS82" i="2"/>
  <c r="AS365" i="2"/>
  <c r="AS108" i="2"/>
  <c r="AS458" i="2"/>
  <c r="AS182" i="2"/>
  <c r="AS374" i="2"/>
  <c r="AS444" i="2"/>
  <c r="AS208" i="2"/>
  <c r="AS54" i="2"/>
  <c r="AS92" i="2"/>
  <c r="AS158" i="2"/>
  <c r="AS443" i="2"/>
  <c r="AS280" i="2"/>
  <c r="AS91" i="2"/>
  <c r="AS167" i="2"/>
  <c r="AS320" i="2"/>
  <c r="AS284" i="2"/>
  <c r="AS75" i="2"/>
  <c r="AS313" i="2"/>
  <c r="AS337" i="2"/>
  <c r="AS171" i="2"/>
  <c r="AS55" i="2"/>
  <c r="AS222" i="2"/>
  <c r="AS163" i="2"/>
  <c r="AS84" i="2"/>
  <c r="AS205" i="2"/>
  <c r="AS175" i="2"/>
  <c r="AS134" i="2"/>
  <c r="AS263" i="2"/>
  <c r="AS422" i="2"/>
  <c r="AS156" i="2"/>
  <c r="AS380" i="2"/>
  <c r="AS223" i="2"/>
  <c r="AS382" i="2"/>
  <c r="AS103" i="2"/>
  <c r="AS25" i="2"/>
  <c r="AS366" i="2"/>
  <c r="AS325" i="2"/>
  <c r="AS257" i="2"/>
  <c r="AS214" i="2"/>
  <c r="AS417" i="2"/>
  <c r="AS147" i="2"/>
  <c r="AS10" i="2"/>
  <c r="AS169" i="2"/>
  <c r="AS32" i="2"/>
  <c r="AS63" i="2"/>
  <c r="AS149" i="2"/>
  <c r="AS166" i="2"/>
  <c r="AS439" i="2"/>
  <c r="AS363" i="2"/>
  <c r="AS367" i="2"/>
  <c r="AS275" i="2"/>
  <c r="AS77" i="2"/>
  <c r="AS87" i="2"/>
  <c r="AS168" i="2"/>
  <c r="AS181" i="2"/>
  <c r="AS296" i="2"/>
  <c r="AS433" i="2"/>
  <c r="AS415" i="2"/>
  <c r="AS445" i="2"/>
  <c r="AS379" i="2"/>
  <c r="AS200" i="2"/>
  <c r="AS165" i="2"/>
  <c r="AS350" i="2"/>
  <c r="AS401" i="2"/>
  <c r="AS413" i="2"/>
  <c r="AS332" i="2"/>
  <c r="AS207" i="2"/>
  <c r="AS286" i="2"/>
  <c r="AS155" i="2"/>
  <c r="AS341" i="2"/>
  <c r="AS376" i="2"/>
  <c r="AS242" i="2"/>
  <c r="AS364" i="2"/>
  <c r="AS425" i="2"/>
  <c r="AS244" i="2"/>
  <c r="AS137" i="2"/>
  <c r="AS370" i="2"/>
  <c r="AS170" i="2"/>
  <c r="AS429" i="2"/>
  <c r="AS234" i="2"/>
  <c r="AS270" i="2"/>
  <c r="AS204" i="2"/>
  <c r="AS215" i="2"/>
  <c r="AS128" i="2"/>
  <c r="AS442" i="2"/>
  <c r="AS80" i="2"/>
  <c r="AS110" i="2"/>
  <c r="AS126" i="2"/>
  <c r="AS69" i="2"/>
  <c r="AS35" i="2"/>
  <c r="AS322" i="2"/>
  <c r="AS71" i="2"/>
  <c r="AS133" i="2"/>
  <c r="AS395" i="2"/>
  <c r="AS47" i="2"/>
  <c r="AS14" i="2"/>
  <c r="AS76" i="2"/>
  <c r="AS65" i="2"/>
  <c r="AS259" i="2"/>
  <c r="AS97" i="2"/>
  <c r="AS100" i="2"/>
  <c r="AS219" i="2"/>
  <c r="AS423" i="2"/>
  <c r="AS19" i="2"/>
  <c r="AS294" i="2"/>
  <c r="AS331" i="2"/>
  <c r="AS448" i="2"/>
  <c r="AS268" i="2"/>
  <c r="AS394" i="2"/>
  <c r="AS254" i="2"/>
  <c r="AS327" i="2"/>
  <c r="AS436" i="2"/>
  <c r="AS335" i="2"/>
  <c r="AS179" i="2"/>
  <c r="AS360" i="2"/>
  <c r="AS385" i="2"/>
  <c r="AS421" i="2"/>
  <c r="AS351" i="2"/>
  <c r="AS375" i="2"/>
  <c r="AS456" i="2"/>
  <c r="AS273" i="2"/>
  <c r="AS344" i="2"/>
  <c r="AS203" i="2"/>
  <c r="AS311" i="2"/>
  <c r="AS211" i="2"/>
  <c r="AS345" i="2"/>
  <c r="AS115" i="2"/>
  <c r="AS180" i="2"/>
  <c r="AS140" i="2"/>
  <c r="AS31" i="2"/>
  <c r="AS88" i="2"/>
  <c r="AS40" i="2"/>
  <c r="AS384" i="2"/>
  <c r="AS221" i="2"/>
  <c r="AS197" i="2"/>
  <c r="AS159" i="2"/>
  <c r="AS414" i="2"/>
  <c r="AS430" i="2"/>
  <c r="AS358" i="2"/>
  <c r="AS348" i="2"/>
  <c r="AS212" i="2"/>
  <c r="AS195" i="2"/>
  <c r="AS61" i="2"/>
  <c r="AS52" i="2"/>
  <c r="AS111" i="2"/>
  <c r="AS139" i="2"/>
  <c r="AS266" i="2"/>
  <c r="AS68" i="2"/>
  <c r="AS237" i="2"/>
  <c r="AS339" i="2"/>
  <c r="AS60" i="2"/>
  <c r="AS251" i="2"/>
  <c r="AS161" i="2"/>
  <c r="AS23" i="2"/>
  <c r="AS255" i="2"/>
  <c r="AS426" i="2"/>
  <c r="AS153" i="2"/>
  <c r="AS49" i="2"/>
  <c r="AS15" i="2"/>
  <c r="AS150" i="2"/>
  <c r="AS278" i="2"/>
  <c r="AS392" i="2"/>
  <c r="AS93" i="2"/>
  <c r="AS79" i="2"/>
  <c r="AS310" i="2"/>
  <c r="AS124" i="2"/>
  <c r="AS24" i="2"/>
  <c r="AS95" i="2"/>
  <c r="AS230" i="2"/>
  <c r="AS312" i="2"/>
  <c r="AS216" i="2"/>
  <c r="AS152" i="2"/>
  <c r="AS447" i="2"/>
  <c r="AS22" i="2"/>
  <c r="AS372" i="2"/>
  <c r="AS314" i="2"/>
  <c r="AS160" i="2"/>
  <c r="AS201" i="2"/>
  <c r="AS277" i="2"/>
  <c r="AS233" i="2"/>
  <c r="AS186" i="2"/>
  <c r="AS70" i="2"/>
  <c r="AS218" i="2"/>
  <c r="AS260" i="2"/>
  <c r="AS210" i="2"/>
  <c r="AS288" i="2"/>
  <c r="AS450" i="2"/>
  <c r="AS127" i="2"/>
  <c r="AS410" i="2"/>
  <c r="AS232" i="2"/>
  <c r="AS144" i="2"/>
  <c r="AS138" i="2"/>
  <c r="AS330" i="2"/>
  <c r="AS7" i="2"/>
  <c r="AS27" i="2"/>
  <c r="AS56" i="2"/>
  <c r="AS326" i="2"/>
  <c r="AS356" i="2"/>
  <c r="AS101" i="2"/>
  <c r="AS252" i="2"/>
  <c r="AS206" i="2"/>
  <c r="AS459" i="2"/>
  <c r="AS396" i="2"/>
  <c r="AS154" i="2"/>
  <c r="AS329" i="2"/>
  <c r="AS102" i="2"/>
  <c r="AS123" i="2"/>
  <c r="AS309" i="2"/>
  <c r="AS33" i="2"/>
  <c r="AS178" i="2"/>
  <c r="AS432" i="2"/>
  <c r="AS184" i="2"/>
  <c r="AS86" i="2"/>
  <c r="AS8" i="2"/>
  <c r="AS143" i="2"/>
  <c r="AS116" i="2"/>
  <c r="AP142" i="2"/>
  <c r="AO142" i="2"/>
  <c r="AP285" i="2"/>
  <c r="AO285" i="2"/>
  <c r="AP324" i="2"/>
  <c r="AO324" i="2"/>
  <c r="AP240" i="2"/>
  <c r="AO240" i="2"/>
  <c r="AP398" i="2"/>
  <c r="AO398" i="2"/>
  <c r="AP371" i="2"/>
  <c r="AO371" i="2"/>
  <c r="AP418" i="2"/>
  <c r="AO418" i="2"/>
  <c r="AP307" i="2"/>
  <c r="AO307" i="2"/>
  <c r="AP199" i="2"/>
  <c r="AO199" i="2"/>
  <c r="AP245" i="2"/>
  <c r="AO245" i="2"/>
  <c r="AP241" i="2"/>
  <c r="AO241" i="2"/>
  <c r="AP328" i="2"/>
  <c r="AO328" i="2"/>
  <c r="AP38" i="2"/>
  <c r="AO38" i="2"/>
  <c r="AP274" i="2"/>
  <c r="AO274" i="2"/>
  <c r="AP434" i="2"/>
  <c r="AO434" i="2"/>
  <c r="AP83" i="2"/>
  <c r="AO83" i="2"/>
  <c r="AP226" i="2"/>
  <c r="AO226" i="2"/>
  <c r="AP109" i="2"/>
  <c r="AO109" i="2"/>
  <c r="AP265" i="2"/>
  <c r="AO265" i="2"/>
  <c r="AP269" i="2"/>
  <c r="AO269" i="2"/>
  <c r="AP441" i="2"/>
  <c r="AO441" i="2"/>
  <c r="AP272" i="2"/>
  <c r="AO272" i="2"/>
  <c r="AP59" i="2"/>
  <c r="AO59" i="2"/>
  <c r="AP53" i="2"/>
  <c r="AO53" i="2"/>
  <c r="AP438" i="2"/>
  <c r="AO438" i="2"/>
  <c r="AP451" i="2"/>
  <c r="AO451" i="2"/>
  <c r="AP146" i="2"/>
  <c r="AO146" i="2"/>
  <c r="AP12" i="2"/>
  <c r="AO12" i="2"/>
  <c r="AP336" i="2"/>
  <c r="AO336" i="2"/>
  <c r="AP301" i="2"/>
  <c r="AO301" i="2"/>
  <c r="AP50" i="2"/>
  <c r="AO50" i="2"/>
  <c r="AP81" i="2"/>
  <c r="AO81" i="2"/>
  <c r="AP198" i="2"/>
  <c r="AO198" i="2"/>
  <c r="AP349" i="2"/>
  <c r="AO349" i="2"/>
  <c r="AP26" i="2"/>
  <c r="AO26" i="2"/>
  <c r="AP295" i="2"/>
  <c r="AO295" i="2"/>
  <c r="AP315" i="2"/>
  <c r="AO315" i="2"/>
  <c r="AP185" i="2"/>
  <c r="AO185" i="2"/>
  <c r="AP28" i="2"/>
  <c r="AO28" i="2"/>
  <c r="AP271" i="2"/>
  <c r="AO271" i="2"/>
  <c r="AP419" i="2"/>
  <c r="AO419" i="2"/>
  <c r="AP45" i="2"/>
  <c r="AO45" i="2"/>
  <c r="AP227" i="2"/>
  <c r="AO227" i="2"/>
  <c r="AP130" i="2"/>
  <c r="AO130" i="2"/>
  <c r="AP209" i="2"/>
  <c r="AO209" i="2"/>
  <c r="AP424" i="2"/>
  <c r="AO424" i="2"/>
  <c r="AP454" i="2"/>
  <c r="AO454" i="2"/>
  <c r="AP136" i="2"/>
  <c r="AO136" i="2"/>
  <c r="AP151" i="2"/>
  <c r="AO151" i="2"/>
  <c r="AP405" i="2"/>
  <c r="AO405" i="2"/>
  <c r="AP213" i="2"/>
  <c r="AO213" i="2"/>
  <c r="AP172" i="2"/>
  <c r="AO172" i="2"/>
  <c r="AP132" i="2"/>
  <c r="AO132" i="2"/>
  <c r="AP282" i="2"/>
  <c r="AO282" i="2"/>
  <c r="AP217" i="2"/>
  <c r="AO217" i="2"/>
  <c r="AP393" i="2"/>
  <c r="AO393" i="2"/>
  <c r="AP78" i="2"/>
  <c r="AO78" i="2"/>
  <c r="AP141" i="2"/>
  <c r="AO141" i="2"/>
  <c r="AP279" i="2"/>
  <c r="AO279" i="2"/>
  <c r="AP236" i="2"/>
  <c r="AO236" i="2"/>
  <c r="AP292" i="2"/>
  <c r="AO292" i="2"/>
  <c r="AP239" i="2"/>
  <c r="AO239" i="2"/>
  <c r="AP318" i="2"/>
  <c r="AO318" i="2"/>
  <c r="AP289" i="2"/>
  <c r="AO289" i="2"/>
  <c r="AP162" i="2"/>
  <c r="AO162" i="2"/>
  <c r="AP402" i="2"/>
  <c r="AO402" i="2"/>
  <c r="AP99" i="2"/>
  <c r="AO99" i="2"/>
  <c r="AP112" i="2"/>
  <c r="AO112" i="2"/>
  <c r="AP72" i="2"/>
  <c r="AO72" i="2"/>
  <c r="AP397" i="2"/>
  <c r="AO397" i="2"/>
  <c r="AP21" i="2"/>
  <c r="AO21" i="2"/>
  <c r="AP306" i="2"/>
  <c r="AO306" i="2"/>
  <c r="AP321" i="2"/>
  <c r="AO321" i="2"/>
  <c r="AP347" i="2"/>
  <c r="AO347" i="2"/>
  <c r="AP420" i="2"/>
  <c r="AO420" i="2"/>
  <c r="AP333" i="2"/>
  <c r="AO333" i="2"/>
  <c r="AP36" i="2"/>
  <c r="AO36" i="2"/>
  <c r="AP431" i="2"/>
  <c r="AO431" i="2"/>
  <c r="AP224" i="2"/>
  <c r="AO224" i="2"/>
  <c r="AP39" i="2"/>
  <c r="AO39" i="2"/>
  <c r="AP250" i="2"/>
  <c r="AO250" i="2"/>
  <c r="AP194" i="2"/>
  <c r="AO194" i="2"/>
  <c r="AP411" i="2"/>
  <c r="AO411" i="2"/>
  <c r="AP300" i="2"/>
  <c r="AO300" i="2"/>
  <c r="AP381" i="2"/>
  <c r="AO381" i="2"/>
  <c r="AP188" i="2"/>
  <c r="AO188" i="2"/>
  <c r="AP105" i="2"/>
  <c r="AO105" i="2"/>
  <c r="AP228" i="2"/>
  <c r="AO228" i="2"/>
  <c r="AP435" i="2"/>
  <c r="AO435" i="2"/>
  <c r="AP362" i="2"/>
  <c r="AO362" i="2"/>
  <c r="AP359" i="2"/>
  <c r="AO359" i="2"/>
  <c r="AP157" i="2"/>
  <c r="AO157" i="2"/>
  <c r="AP48" i="2"/>
  <c r="AO48" i="2"/>
  <c r="AP196" i="2"/>
  <c r="AO196" i="2"/>
  <c r="AP389" i="2"/>
  <c r="AO389" i="2"/>
  <c r="AP145" i="2"/>
  <c r="AO145" i="2"/>
  <c r="AP18" i="2"/>
  <c r="AO18" i="2"/>
  <c r="AP6" i="2"/>
  <c r="AO6" i="2"/>
  <c r="AP62" i="2"/>
  <c r="AO62" i="2"/>
  <c r="AP16" i="2"/>
  <c r="AO16" i="2"/>
  <c r="AP452" i="2"/>
  <c r="AO452" i="2"/>
  <c r="AP13" i="2"/>
  <c r="AO13" i="2"/>
  <c r="AP235" i="2"/>
  <c r="AO235" i="2"/>
  <c r="AP261" i="2"/>
  <c r="AO261" i="2"/>
  <c r="AP404" i="2"/>
  <c r="AO404" i="2"/>
  <c r="AP343" i="2"/>
  <c r="AO343" i="2"/>
  <c r="AP334" i="2"/>
  <c r="AO334" i="2"/>
  <c r="AP377" i="2"/>
  <c r="AO377" i="2"/>
  <c r="AP357" i="2"/>
  <c r="AO357" i="2"/>
  <c r="AP192" i="2"/>
  <c r="AO192" i="2"/>
  <c r="AP428" i="2"/>
  <c r="AO428" i="2"/>
  <c r="AP299" i="2"/>
  <c r="AO299" i="2"/>
  <c r="AP340" i="2"/>
  <c r="AO340" i="2"/>
  <c r="AP378" i="2"/>
  <c r="AO378" i="2"/>
  <c r="AP44" i="2"/>
  <c r="AO44" i="2"/>
  <c r="AP386" i="2"/>
  <c r="AO386" i="2"/>
  <c r="AP440" i="2"/>
  <c r="AO440" i="2"/>
  <c r="AP183" i="2"/>
  <c r="AO183" i="2"/>
  <c r="AP85" i="2"/>
  <c r="AO85" i="2"/>
  <c r="AP248" i="2"/>
  <c r="AO248" i="2"/>
  <c r="AP373" i="2"/>
  <c r="AO373" i="2"/>
  <c r="AP368" i="2"/>
  <c r="AO368" i="2"/>
  <c r="AP41" i="2"/>
  <c r="AO41" i="2"/>
  <c r="AP96" i="2"/>
  <c r="AO96" i="2"/>
  <c r="AP37" i="2"/>
  <c r="AO37" i="2"/>
  <c r="AP231" i="2"/>
  <c r="AO231" i="2"/>
  <c r="AP17" i="2"/>
  <c r="AO17" i="2"/>
  <c r="AP189" i="2"/>
  <c r="AO189" i="2"/>
  <c r="AP408" i="2"/>
  <c r="AO408" i="2"/>
  <c r="AP113" i="2"/>
  <c r="AO113" i="2"/>
  <c r="AP148" i="2"/>
  <c r="AO148" i="2"/>
  <c r="AP391" i="2"/>
  <c r="AO391" i="2"/>
  <c r="AP346" i="2"/>
  <c r="AO346" i="2"/>
  <c r="AP66" i="2"/>
  <c r="AO66" i="2"/>
  <c r="AP114" i="2"/>
  <c r="AO114" i="2"/>
  <c r="AP262" i="2"/>
  <c r="AO262" i="2"/>
  <c r="AP437" i="2"/>
  <c r="AO437" i="2"/>
  <c r="AP319" i="2"/>
  <c r="AO319" i="2"/>
  <c r="AP125" i="2"/>
  <c r="AO125" i="2"/>
  <c r="AP174" i="2"/>
  <c r="AO174" i="2"/>
  <c r="AP276" i="2"/>
  <c r="AO276" i="2"/>
  <c r="AP247" i="2"/>
  <c r="AO247" i="2"/>
  <c r="AP177" i="2"/>
  <c r="AO177" i="2"/>
  <c r="AP122" i="2"/>
  <c r="AO122" i="2"/>
  <c r="AP9" i="2"/>
  <c r="AO9" i="2"/>
  <c r="AP73" i="2"/>
  <c r="AO73" i="2"/>
  <c r="AP42" i="2"/>
  <c r="AO42" i="2"/>
  <c r="AP446" i="2"/>
  <c r="AO446" i="2"/>
  <c r="AP338" i="2"/>
  <c r="AO338" i="2"/>
  <c r="AP293" i="2"/>
  <c r="AO293" i="2"/>
  <c r="AP51" i="2"/>
  <c r="AO51" i="2"/>
  <c r="AP256" i="2"/>
  <c r="AO256" i="2"/>
  <c r="AP29" i="2"/>
  <c r="AO29" i="2"/>
  <c r="AP43" i="2"/>
  <c r="AO43" i="2"/>
  <c r="AP164" i="2"/>
  <c r="AO164" i="2"/>
  <c r="AP46" i="2"/>
  <c r="AO46" i="2"/>
  <c r="AP90" i="2"/>
  <c r="AO90" i="2"/>
  <c r="AP258" i="2"/>
  <c r="AO258" i="2"/>
  <c r="AP34" i="2"/>
  <c r="AO34" i="2"/>
  <c r="AP453" i="2"/>
  <c r="AO453" i="2"/>
  <c r="AP94" i="2"/>
  <c r="AO94" i="2"/>
  <c r="AP135" i="2"/>
  <c r="AO135" i="2"/>
  <c r="AP118" i="2"/>
  <c r="AO118" i="2"/>
  <c r="AP388" i="2"/>
  <c r="AO388" i="2"/>
  <c r="AP342" i="2"/>
  <c r="AO342" i="2"/>
  <c r="AP74" i="2"/>
  <c r="AO74" i="2"/>
  <c r="AP98" i="2"/>
  <c r="AO98" i="2"/>
  <c r="AP173" i="2"/>
  <c r="AO173" i="2"/>
  <c r="AP5" i="2"/>
  <c r="AO5" i="2"/>
  <c r="AP58" i="2"/>
  <c r="AO58" i="2"/>
  <c r="AP303" i="2"/>
  <c r="AO303" i="2"/>
  <c r="AP238" i="2"/>
  <c r="AO238" i="2"/>
  <c r="AP202" i="2"/>
  <c r="AO202" i="2"/>
  <c r="AP107" i="2"/>
  <c r="AO107" i="2"/>
  <c r="AP246" i="2"/>
  <c r="AO246" i="2"/>
  <c r="AP291" i="2"/>
  <c r="AO291" i="2"/>
  <c r="AP176" i="2"/>
  <c r="AO176" i="2"/>
  <c r="AP119" i="2"/>
  <c r="AO119" i="2"/>
  <c r="AP243" i="2"/>
  <c r="AO243" i="2"/>
  <c r="AP117" i="2"/>
  <c r="AO117" i="2"/>
  <c r="AP57" i="2"/>
  <c r="AO57" i="2"/>
  <c r="AP387" i="2"/>
  <c r="AO387" i="2"/>
  <c r="AP323" i="2"/>
  <c r="AO323" i="2"/>
  <c r="AP253" i="2"/>
  <c r="AO253" i="2"/>
  <c r="AP281" i="2"/>
  <c r="AO281" i="2"/>
  <c r="AP400" i="2"/>
  <c r="AO400" i="2"/>
  <c r="AP369" i="2"/>
  <c r="AO369" i="2"/>
  <c r="AP191" i="2"/>
  <c r="AO191" i="2"/>
  <c r="AP353" i="2"/>
  <c r="AO353" i="2"/>
  <c r="AP457" i="2"/>
  <c r="AO457" i="2"/>
  <c r="AP305" i="2"/>
  <c r="AO305" i="2"/>
  <c r="AP121" i="2"/>
  <c r="AO121" i="2"/>
  <c r="AP308" i="2"/>
  <c r="AO308" i="2"/>
  <c r="AP120" i="2"/>
  <c r="AO120" i="2"/>
  <c r="AP412" i="2"/>
  <c r="AO412" i="2"/>
  <c r="AP30" i="2"/>
  <c r="AO30" i="2"/>
  <c r="AP264" i="2"/>
  <c r="AO264" i="2"/>
  <c r="AP317" i="2"/>
  <c r="AO317" i="2"/>
  <c r="AP316" i="2"/>
  <c r="AO316" i="2"/>
  <c r="AP129" i="2"/>
  <c r="AO129" i="2"/>
  <c r="AP20" i="2"/>
  <c r="AO20" i="2"/>
  <c r="AP131" i="2"/>
  <c r="AO131" i="2"/>
  <c r="AP220" i="2"/>
  <c r="AO220" i="2"/>
  <c r="AP427" i="2"/>
  <c r="AO427" i="2"/>
  <c r="AP390" i="2"/>
  <c r="AO390" i="2"/>
  <c r="AP193" i="2"/>
  <c r="AO193" i="2"/>
  <c r="AP106" i="2"/>
  <c r="AO106" i="2"/>
  <c r="AP67" i="2"/>
  <c r="AO67" i="2"/>
  <c r="AP64" i="2"/>
  <c r="AO64" i="2"/>
  <c r="AP11" i="2"/>
  <c r="AO11" i="2"/>
  <c r="AP354" i="2"/>
  <c r="AO354" i="2"/>
  <c r="AP190" i="2"/>
  <c r="AO190" i="2"/>
  <c r="AP304" i="2"/>
  <c r="AO304" i="2"/>
  <c r="AP449" i="2"/>
  <c r="AO449" i="2"/>
  <c r="AP187" i="2"/>
  <c r="AO187" i="2"/>
  <c r="AP229" i="2"/>
  <c r="AO229" i="2"/>
  <c r="AP455" i="2"/>
  <c r="AO455" i="2"/>
  <c r="AP416" i="2"/>
  <c r="AO416" i="2"/>
  <c r="AP104" i="2"/>
  <c r="AO104" i="2"/>
  <c r="AP225" i="2"/>
  <c r="AO225" i="2"/>
  <c r="AP409" i="2"/>
  <c r="AO409" i="2"/>
  <c r="AP82" i="2"/>
  <c r="AO82" i="2"/>
  <c r="AP365" i="2"/>
  <c r="AO365" i="2"/>
  <c r="AP108" i="2"/>
  <c r="AO108" i="2"/>
  <c r="AP458" i="2"/>
  <c r="AO458" i="2"/>
  <c r="AP182" i="2"/>
  <c r="AO182" i="2"/>
  <c r="AP374" i="2"/>
  <c r="AO374" i="2"/>
  <c r="AP444" i="2"/>
  <c r="AO444" i="2"/>
  <c r="AP208" i="2"/>
  <c r="AO208" i="2"/>
  <c r="AP54" i="2"/>
  <c r="AO54" i="2"/>
  <c r="AP92" i="2"/>
  <c r="AO92" i="2"/>
  <c r="AP158" i="2"/>
  <c r="AO158" i="2"/>
  <c r="AP443" i="2"/>
  <c r="AO443" i="2"/>
  <c r="AP280" i="2"/>
  <c r="AO280" i="2"/>
  <c r="AP91" i="2"/>
  <c r="AO91" i="2"/>
  <c r="AP167" i="2"/>
  <c r="AO167" i="2"/>
  <c r="AP320" i="2"/>
  <c r="AO320" i="2"/>
  <c r="AP284" i="2"/>
  <c r="AO284" i="2"/>
  <c r="AP75" i="2"/>
  <c r="AO75" i="2"/>
  <c r="AP313" i="2"/>
  <c r="AO313" i="2"/>
  <c r="AP337" i="2"/>
  <c r="AO337" i="2"/>
  <c r="AP171" i="2"/>
  <c r="AO171" i="2"/>
  <c r="AP55" i="2"/>
  <c r="AO55" i="2"/>
  <c r="AP222" i="2"/>
  <c r="AO222" i="2"/>
  <c r="AP163" i="2"/>
  <c r="AO163" i="2"/>
  <c r="AP84" i="2"/>
  <c r="AO84" i="2"/>
  <c r="AP205" i="2"/>
  <c r="AO205" i="2"/>
  <c r="AP175" i="2"/>
  <c r="AO175" i="2"/>
  <c r="AP134" i="2"/>
  <c r="AO134" i="2"/>
  <c r="AP263" i="2"/>
  <c r="AO263" i="2"/>
  <c r="AP422" i="2"/>
  <c r="AO422" i="2"/>
  <c r="AP156" i="2"/>
  <c r="AO156" i="2"/>
  <c r="AP380" i="2"/>
  <c r="AO380" i="2"/>
  <c r="AP223" i="2"/>
  <c r="AO223" i="2"/>
  <c r="AP382" i="2"/>
  <c r="AO382" i="2"/>
  <c r="AP103" i="2"/>
  <c r="AO103" i="2"/>
  <c r="AP25" i="2"/>
  <c r="AO25" i="2"/>
  <c r="AP366" i="2"/>
  <c r="AO366" i="2"/>
  <c r="AP325" i="2"/>
  <c r="AO325" i="2"/>
  <c r="AP257" i="2"/>
  <c r="AO257" i="2"/>
  <c r="AP214" i="2"/>
  <c r="AO214" i="2"/>
  <c r="AP417" i="2"/>
  <c r="AO417" i="2"/>
  <c r="AP147" i="2"/>
  <c r="AO147" i="2"/>
  <c r="AP10" i="2"/>
  <c r="AO10" i="2"/>
  <c r="AP169" i="2"/>
  <c r="AO169" i="2"/>
  <c r="AP32" i="2"/>
  <c r="AO32" i="2"/>
  <c r="AP63" i="2"/>
  <c r="AO63" i="2"/>
  <c r="AP149" i="2"/>
  <c r="AO149" i="2"/>
  <c r="AP166" i="2"/>
  <c r="AO166" i="2"/>
  <c r="AP439" i="2"/>
  <c r="AO439" i="2"/>
  <c r="AP363" i="2"/>
  <c r="AO363" i="2"/>
  <c r="AP367" i="2"/>
  <c r="AO367" i="2"/>
  <c r="AP275" i="2"/>
  <c r="AO275" i="2"/>
  <c r="AP77" i="2"/>
  <c r="AO77" i="2"/>
  <c r="AP87" i="2"/>
  <c r="AO87" i="2"/>
  <c r="AP168" i="2"/>
  <c r="AO168" i="2"/>
  <c r="AP181" i="2"/>
  <c r="AO181" i="2"/>
  <c r="AP296" i="2"/>
  <c r="AO296" i="2"/>
  <c r="AP433" i="2"/>
  <c r="AO433" i="2"/>
  <c r="AP415" i="2"/>
  <c r="AO415" i="2"/>
  <c r="AP445" i="2"/>
  <c r="AO445" i="2"/>
  <c r="AP379" i="2"/>
  <c r="AO379" i="2"/>
  <c r="AP200" i="2"/>
  <c r="AO200" i="2"/>
  <c r="AP165" i="2"/>
  <c r="AO165" i="2"/>
  <c r="AP350" i="2"/>
  <c r="AO350" i="2"/>
  <c r="AP401" i="2"/>
  <c r="AO401" i="2"/>
  <c r="AP413" i="2"/>
  <c r="AO413" i="2"/>
  <c r="AP332" i="2"/>
  <c r="AO332" i="2"/>
  <c r="AP207" i="2"/>
  <c r="AO207" i="2"/>
  <c r="AP286" i="2"/>
  <c r="AO286" i="2"/>
  <c r="AP155" i="2"/>
  <c r="AO155" i="2"/>
  <c r="AP341" i="2"/>
  <c r="AO341" i="2"/>
  <c r="AP376" i="2"/>
  <c r="AO376" i="2"/>
  <c r="AP242" i="2"/>
  <c r="AO242" i="2"/>
  <c r="AP364" i="2"/>
  <c r="AO364" i="2"/>
  <c r="AP425" i="2"/>
  <c r="AO425" i="2"/>
  <c r="AP244" i="2"/>
  <c r="AO244" i="2"/>
  <c r="AP137" i="2"/>
  <c r="AO137" i="2"/>
  <c r="AP370" i="2"/>
  <c r="AO370" i="2"/>
  <c r="AP170" i="2"/>
  <c r="AO170" i="2"/>
  <c r="AP429" i="2"/>
  <c r="AO429" i="2"/>
  <c r="AP234" i="2"/>
  <c r="AO234" i="2"/>
  <c r="AP270" i="2"/>
  <c r="AO270" i="2"/>
  <c r="AP204" i="2"/>
  <c r="AO204" i="2"/>
  <c r="AP215" i="2"/>
  <c r="AO215" i="2"/>
  <c r="AP128" i="2"/>
  <c r="AO128" i="2"/>
  <c r="AP442" i="2"/>
  <c r="AO442" i="2"/>
  <c r="AP80" i="2"/>
  <c r="AO80" i="2"/>
  <c r="AP110" i="2"/>
  <c r="AO110" i="2"/>
  <c r="AP126" i="2"/>
  <c r="AO126" i="2"/>
  <c r="AP69" i="2"/>
  <c r="AO69" i="2"/>
  <c r="AP35" i="2"/>
  <c r="AO35" i="2"/>
  <c r="AP322" i="2"/>
  <c r="AO322" i="2"/>
  <c r="AP71" i="2"/>
  <c r="AO71" i="2"/>
  <c r="AP133" i="2"/>
  <c r="AO133" i="2"/>
  <c r="AP395" i="2"/>
  <c r="AO395" i="2"/>
  <c r="AP47" i="2"/>
  <c r="AO47" i="2"/>
  <c r="AP14" i="2"/>
  <c r="AO14" i="2"/>
  <c r="AP76" i="2"/>
  <c r="AO76" i="2"/>
  <c r="AP65" i="2"/>
  <c r="AO65" i="2"/>
  <c r="AP259" i="2"/>
  <c r="AO259" i="2"/>
  <c r="AP97" i="2"/>
  <c r="AO97" i="2"/>
  <c r="AP100" i="2"/>
  <c r="AO100" i="2"/>
  <c r="AP219" i="2"/>
  <c r="AO219" i="2"/>
  <c r="AP423" i="2"/>
  <c r="AO423" i="2"/>
  <c r="AP19" i="2"/>
  <c r="AO19" i="2"/>
  <c r="AP294" i="2"/>
  <c r="AO294" i="2"/>
  <c r="AP331" i="2"/>
  <c r="AO331" i="2"/>
  <c r="AP448" i="2"/>
  <c r="AO448" i="2"/>
  <c r="AP268" i="2"/>
  <c r="AO268" i="2"/>
  <c r="AP394" i="2"/>
  <c r="AO394" i="2"/>
  <c r="AP254" i="2"/>
  <c r="AO254" i="2"/>
  <c r="AP327" i="2"/>
  <c r="AO327" i="2"/>
  <c r="AP436" i="2"/>
  <c r="AO436" i="2"/>
  <c r="AP335" i="2"/>
  <c r="AO335" i="2"/>
  <c r="AP179" i="2"/>
  <c r="AO179" i="2"/>
  <c r="AP360" i="2"/>
  <c r="AO360" i="2"/>
  <c r="AP385" i="2"/>
  <c r="AO385" i="2"/>
  <c r="AP421" i="2"/>
  <c r="AO421" i="2"/>
  <c r="AP351" i="2"/>
  <c r="AO351" i="2"/>
  <c r="AP375" i="2"/>
  <c r="AO375" i="2"/>
  <c r="AP456" i="2"/>
  <c r="AO456" i="2"/>
  <c r="AP273" i="2"/>
  <c r="AO273" i="2"/>
  <c r="AP344" i="2"/>
  <c r="AO344" i="2"/>
  <c r="AP203" i="2"/>
  <c r="AO203" i="2"/>
  <c r="AP311" i="2"/>
  <c r="AO311" i="2"/>
  <c r="AP211" i="2"/>
  <c r="AO211" i="2"/>
  <c r="AP345" i="2"/>
  <c r="AO345" i="2"/>
  <c r="AP115" i="2"/>
  <c r="AO115" i="2"/>
  <c r="AP180" i="2"/>
  <c r="AO180" i="2"/>
  <c r="AP140" i="2"/>
  <c r="AO140" i="2"/>
  <c r="AP31" i="2"/>
  <c r="AO31" i="2"/>
  <c r="AP88" i="2"/>
  <c r="AO88" i="2"/>
  <c r="AP40" i="2"/>
  <c r="AO40" i="2"/>
  <c r="AP384" i="2"/>
  <c r="AO384" i="2"/>
  <c r="AP221" i="2"/>
  <c r="AO221" i="2"/>
  <c r="AP197" i="2"/>
  <c r="AO197" i="2"/>
  <c r="AP159" i="2"/>
  <c r="AO159" i="2"/>
  <c r="AP414" i="2"/>
  <c r="AO414" i="2"/>
  <c r="AP430" i="2"/>
  <c r="AO430" i="2"/>
  <c r="AP358" i="2"/>
  <c r="AO358" i="2"/>
  <c r="AP348" i="2"/>
  <c r="AO348" i="2"/>
  <c r="AP212" i="2"/>
  <c r="AO212" i="2"/>
  <c r="AP195" i="2"/>
  <c r="AO195" i="2"/>
  <c r="AP61" i="2"/>
  <c r="AO61" i="2"/>
  <c r="AP52" i="2"/>
  <c r="AO52" i="2"/>
  <c r="AP111" i="2"/>
  <c r="AO111" i="2"/>
  <c r="AP139" i="2"/>
  <c r="AO139" i="2"/>
  <c r="AP266" i="2"/>
  <c r="AO266" i="2"/>
  <c r="AP68" i="2"/>
  <c r="AO68" i="2"/>
  <c r="AP237" i="2"/>
  <c r="AO237" i="2"/>
  <c r="AP339" i="2"/>
  <c r="AO339" i="2"/>
  <c r="AP60" i="2"/>
  <c r="AO60" i="2"/>
  <c r="AP251" i="2"/>
  <c r="AO251" i="2"/>
  <c r="AP161" i="2"/>
  <c r="AO161" i="2"/>
  <c r="AP23" i="2"/>
  <c r="AO23" i="2"/>
  <c r="AP255" i="2"/>
  <c r="AO255" i="2"/>
  <c r="AP426" i="2"/>
  <c r="AO426" i="2"/>
  <c r="AP153" i="2"/>
  <c r="AO153" i="2"/>
  <c r="AP49" i="2"/>
  <c r="AO49" i="2"/>
  <c r="AP15" i="2"/>
  <c r="AO15" i="2"/>
  <c r="AP150" i="2"/>
  <c r="AO150" i="2"/>
  <c r="AP278" i="2"/>
  <c r="AO278" i="2"/>
  <c r="AP392" i="2"/>
  <c r="AO392" i="2"/>
  <c r="AP93" i="2"/>
  <c r="AO93" i="2"/>
  <c r="AP79" i="2"/>
  <c r="AO79" i="2"/>
  <c r="AP310" i="2"/>
  <c r="AO310" i="2"/>
  <c r="AP124" i="2"/>
  <c r="AO124" i="2"/>
  <c r="AP24" i="2"/>
  <c r="AO24" i="2"/>
  <c r="AP95" i="2"/>
  <c r="AO95" i="2"/>
  <c r="AP230" i="2"/>
  <c r="AO230" i="2"/>
  <c r="AP312" i="2"/>
  <c r="AO312" i="2"/>
  <c r="AP216" i="2"/>
  <c r="AO216" i="2"/>
  <c r="AP152" i="2"/>
  <c r="AO152" i="2"/>
  <c r="AP447" i="2"/>
  <c r="AO447" i="2"/>
  <c r="AP22" i="2"/>
  <c r="AO22" i="2"/>
  <c r="AP372" i="2"/>
  <c r="AO372" i="2"/>
  <c r="AP314" i="2"/>
  <c r="AO314" i="2"/>
  <c r="AP160" i="2"/>
  <c r="AO160" i="2"/>
  <c r="AP201" i="2"/>
  <c r="AO201" i="2"/>
  <c r="AP277" i="2"/>
  <c r="AO277" i="2"/>
  <c r="AP233" i="2"/>
  <c r="AO233" i="2"/>
  <c r="AP186" i="2"/>
  <c r="AO186" i="2"/>
  <c r="AP70" i="2"/>
  <c r="AO70" i="2"/>
  <c r="AP218" i="2"/>
  <c r="AO218" i="2"/>
  <c r="AP260" i="2"/>
  <c r="AO260" i="2"/>
  <c r="AP210" i="2"/>
  <c r="AO210" i="2"/>
  <c r="AP288" i="2"/>
  <c r="AO288" i="2"/>
  <c r="AP450" i="2"/>
  <c r="AO450" i="2"/>
  <c r="AP127" i="2"/>
  <c r="AO127" i="2"/>
  <c r="AP410" i="2"/>
  <c r="AO410" i="2"/>
  <c r="AP232" i="2"/>
  <c r="AO232" i="2"/>
  <c r="AP144" i="2"/>
  <c r="AO144" i="2"/>
  <c r="AP138" i="2"/>
  <c r="AO138" i="2"/>
  <c r="AP330" i="2"/>
  <c r="AO330" i="2"/>
  <c r="AP7" i="2"/>
  <c r="AO7" i="2"/>
  <c r="AP27" i="2"/>
  <c r="AO27" i="2"/>
  <c r="AP56" i="2"/>
  <c r="AO56" i="2"/>
  <c r="AP326" i="2"/>
  <c r="AO326" i="2"/>
  <c r="AP356" i="2"/>
  <c r="AO356" i="2"/>
  <c r="AP101" i="2"/>
  <c r="AO101" i="2"/>
  <c r="AP252" i="2"/>
  <c r="AO252" i="2"/>
  <c r="AP206" i="2"/>
  <c r="AO206" i="2"/>
  <c r="AP459" i="2"/>
  <c r="AO459" i="2"/>
  <c r="AP396" i="2"/>
  <c r="AO396" i="2"/>
  <c r="AP154" i="2"/>
  <c r="AO154" i="2"/>
  <c r="AP329" i="2"/>
  <c r="AO329" i="2"/>
  <c r="AP102" i="2"/>
  <c r="AO102" i="2"/>
  <c r="AP123" i="2"/>
  <c r="AO123" i="2"/>
  <c r="AP309" i="2"/>
  <c r="AO309" i="2"/>
  <c r="AP33" i="2"/>
  <c r="AO33" i="2"/>
  <c r="AP178" i="2"/>
  <c r="AO178" i="2"/>
  <c r="AP432" i="2"/>
  <c r="AO432" i="2"/>
  <c r="AP89" i="2"/>
  <c r="AO89" i="2"/>
  <c r="AP184" i="2"/>
  <c r="AO184" i="2"/>
  <c r="AP86" i="2"/>
  <c r="AO86" i="2"/>
  <c r="AP8" i="2"/>
  <c r="AO8" i="2"/>
  <c r="AP143" i="2"/>
  <c r="AO143" i="2"/>
  <c r="AP116" i="2"/>
  <c r="AO116" i="2"/>
  <c r="B7" i="11"/>
  <c r="C7" i="11"/>
  <c r="D7" i="11"/>
  <c r="E7" i="11"/>
  <c r="F7" i="11"/>
  <c r="G7" i="11"/>
  <c r="O7" i="11"/>
  <c r="P7" i="11"/>
  <c r="Q7" i="11"/>
  <c r="R7" i="11"/>
  <c r="S7" i="11"/>
  <c r="T7" i="11"/>
  <c r="T4" i="11"/>
  <c r="S4" i="11"/>
  <c r="R4" i="11"/>
  <c r="Q4" i="11"/>
  <c r="P4" i="11"/>
  <c r="O4" i="11"/>
  <c r="G4" i="11"/>
  <c r="F4" i="11"/>
  <c r="E4" i="11"/>
  <c r="D4" i="11"/>
  <c r="C4" i="11"/>
  <c r="B4" i="11"/>
  <c r="T6" i="11"/>
  <c r="S6" i="11"/>
  <c r="R6" i="11"/>
  <c r="Q6" i="11"/>
  <c r="P6" i="11"/>
  <c r="O6" i="11"/>
  <c r="G6" i="11"/>
  <c r="F6" i="11"/>
  <c r="E6" i="11"/>
  <c r="D6" i="11"/>
  <c r="C6" i="11"/>
  <c r="B6" i="11"/>
  <c r="T5" i="11"/>
  <c r="S5" i="11"/>
  <c r="R5" i="11"/>
  <c r="Q5" i="11"/>
  <c r="P5" i="11"/>
  <c r="O5" i="11"/>
  <c r="G5" i="11"/>
  <c r="F5" i="11"/>
  <c r="E5" i="11"/>
  <c r="D5" i="11"/>
  <c r="C5" i="11"/>
  <c r="B5" i="11"/>
  <c r="AU364" i="1"/>
  <c r="AU271" i="1"/>
  <c r="AU436" i="1"/>
  <c r="AU437" i="1"/>
  <c r="AU97" i="1"/>
  <c r="AU147" i="1"/>
  <c r="AU109" i="1"/>
  <c r="AU343" i="1"/>
  <c r="AU122" i="1"/>
  <c r="AU138" i="1"/>
  <c r="AU113" i="1"/>
  <c r="AU95" i="1"/>
  <c r="AU307" i="1"/>
  <c r="AU369" i="1"/>
  <c r="AU331" i="1"/>
  <c r="AU58" i="1"/>
  <c r="AU56" i="1"/>
  <c r="AU70" i="1"/>
  <c r="AU260" i="1"/>
  <c r="AU194" i="1"/>
  <c r="AU187" i="1"/>
  <c r="AU146" i="1"/>
  <c r="AU15" i="1"/>
  <c r="AU188" i="1"/>
  <c r="AU228" i="1"/>
  <c r="AU346" i="1"/>
  <c r="AU261" i="1"/>
  <c r="AU34" i="1"/>
  <c r="AU410" i="1"/>
  <c r="AU251" i="1"/>
  <c r="AU394" i="1"/>
  <c r="AU154" i="1"/>
  <c r="AU267" i="1"/>
  <c r="AU213" i="1"/>
  <c r="AU240" i="1"/>
  <c r="AU114" i="1"/>
  <c r="AU259" i="1"/>
  <c r="AU288" i="1"/>
  <c r="AU397" i="1"/>
  <c r="AU219" i="1"/>
  <c r="AU55" i="1"/>
  <c r="AU178" i="1"/>
  <c r="AU256" i="1"/>
  <c r="AU367" i="1"/>
  <c r="AU169" i="1"/>
  <c r="AU283" i="1"/>
  <c r="AU430" i="1"/>
  <c r="AU268" i="1"/>
  <c r="AU124" i="1"/>
  <c r="AU316" i="1"/>
  <c r="AU320" i="1"/>
  <c r="AU166" i="1"/>
  <c r="AU100" i="1"/>
  <c r="AU252" i="1"/>
  <c r="AU18" i="1"/>
  <c r="AU358" i="1"/>
  <c r="AU217" i="1"/>
  <c r="AU341" i="1"/>
  <c r="AU222" i="1"/>
  <c r="AU225" i="1"/>
  <c r="AU35" i="1"/>
  <c r="AU40" i="1"/>
  <c r="AU78" i="1"/>
  <c r="AU357" i="1"/>
  <c r="AU277" i="1"/>
  <c r="AU82" i="1"/>
  <c r="AU371" i="1"/>
  <c r="AU317" i="1"/>
  <c r="AU83" i="1"/>
  <c r="AV364" i="1"/>
  <c r="AV271" i="1"/>
  <c r="AV436" i="1"/>
  <c r="AV437" i="1"/>
  <c r="AV97" i="1"/>
  <c r="AV147" i="1"/>
  <c r="AV109" i="1"/>
  <c r="AV343" i="1"/>
  <c r="AV122" i="1"/>
  <c r="AV138" i="1"/>
  <c r="AV113" i="1"/>
  <c r="AV95" i="1"/>
  <c r="AV307" i="1"/>
  <c r="AV369" i="1"/>
  <c r="AV331" i="1"/>
  <c r="AV58" i="1"/>
  <c r="AV56" i="1"/>
  <c r="AV70" i="1"/>
  <c r="AV260" i="1"/>
  <c r="AV194" i="1"/>
  <c r="AV187" i="1"/>
  <c r="AV146" i="1"/>
  <c r="AV15" i="1"/>
  <c r="AV188" i="1"/>
  <c r="AV228" i="1"/>
  <c r="AV346" i="1"/>
  <c r="AV261" i="1"/>
  <c r="AV34" i="1"/>
  <c r="AV410" i="1"/>
  <c r="AV251" i="1"/>
  <c r="AV394" i="1"/>
  <c r="AV154" i="1"/>
  <c r="AV267" i="1"/>
  <c r="AV213" i="1"/>
  <c r="AV240" i="1"/>
  <c r="AV114" i="1"/>
  <c r="AV259" i="1"/>
  <c r="AV288" i="1"/>
  <c r="AV397" i="1"/>
  <c r="AV219" i="1"/>
  <c r="AV55" i="1"/>
  <c r="AV178" i="1"/>
  <c r="AV256" i="1"/>
  <c r="AV367" i="1"/>
  <c r="AV169" i="1"/>
  <c r="AV283" i="1"/>
  <c r="AV430" i="1"/>
  <c r="AV268" i="1"/>
  <c r="AV124" i="1"/>
  <c r="AV316" i="1"/>
  <c r="AV320" i="1"/>
  <c r="AV166" i="1"/>
  <c r="AV100" i="1"/>
  <c r="AV252" i="1"/>
  <c r="AV18" i="1"/>
  <c r="AV358" i="1"/>
  <c r="AV217" i="1"/>
  <c r="AV341" i="1"/>
  <c r="AV222" i="1"/>
  <c r="AV225" i="1"/>
  <c r="AV35" i="1"/>
  <c r="AV40" i="1"/>
  <c r="AV78" i="1"/>
  <c r="AV357" i="1"/>
  <c r="AV277" i="1"/>
  <c r="AV82" i="1"/>
  <c r="AV371" i="1"/>
  <c r="AV317" i="1"/>
  <c r="AV83" i="1"/>
  <c r="AW364" i="1"/>
  <c r="AW271" i="1"/>
  <c r="AW436" i="1"/>
  <c r="AW437" i="1"/>
  <c r="AW97" i="1"/>
  <c r="AW147" i="1"/>
  <c r="AW109" i="1"/>
  <c r="AW343" i="1"/>
  <c r="AW122" i="1"/>
  <c r="AW138" i="1"/>
  <c r="AW113" i="1"/>
  <c r="AW95" i="1"/>
  <c r="AW307" i="1"/>
  <c r="AW369" i="1"/>
  <c r="AW331" i="1"/>
  <c r="AW58" i="1"/>
  <c r="AW56" i="1"/>
  <c r="AW70" i="1"/>
  <c r="AW260" i="1"/>
  <c r="AW194" i="1"/>
  <c r="AW187" i="1"/>
  <c r="AW146" i="1"/>
  <c r="AW15" i="1"/>
  <c r="AW188" i="1"/>
  <c r="AW228" i="1"/>
  <c r="AW346" i="1"/>
  <c r="AW261" i="1"/>
  <c r="AW34" i="1"/>
  <c r="AW410" i="1"/>
  <c r="AW251" i="1"/>
  <c r="AW394" i="1"/>
  <c r="AW154" i="1"/>
  <c r="AW267" i="1"/>
  <c r="AW213" i="1"/>
  <c r="AW240" i="1"/>
  <c r="AW114" i="1"/>
  <c r="AW259" i="1"/>
  <c r="AW288" i="1"/>
  <c r="AW397" i="1"/>
  <c r="AW219" i="1"/>
  <c r="AW55" i="1"/>
  <c r="AW178" i="1"/>
  <c r="AW256" i="1"/>
  <c r="AW367" i="1"/>
  <c r="AW169" i="1"/>
  <c r="AW283" i="1"/>
  <c r="AW430" i="1"/>
  <c r="AW268" i="1"/>
  <c r="AW124" i="1"/>
  <c r="AW316" i="1"/>
  <c r="AW320" i="1"/>
  <c r="AW166" i="1"/>
  <c r="AW100" i="1"/>
  <c r="AW252" i="1"/>
  <c r="AW18" i="1"/>
  <c r="AW358" i="1"/>
  <c r="AW217" i="1"/>
  <c r="AW341" i="1"/>
  <c r="AW222" i="1"/>
  <c r="AW225" i="1"/>
  <c r="AW35" i="1"/>
  <c r="AW40" i="1"/>
  <c r="AW78" i="1"/>
  <c r="AW357" i="1"/>
  <c r="AW277" i="1"/>
  <c r="AW82" i="1"/>
  <c r="AW371" i="1"/>
  <c r="AW317" i="1"/>
  <c r="AW83" i="1"/>
  <c r="AX364" i="1"/>
  <c r="AX271" i="1"/>
  <c r="AX436" i="1"/>
  <c r="AX437" i="1"/>
  <c r="AX97" i="1"/>
  <c r="AX147" i="1"/>
  <c r="AX109" i="1"/>
  <c r="AX343" i="1"/>
  <c r="AX122" i="1"/>
  <c r="AX138" i="1"/>
  <c r="AX113" i="1"/>
  <c r="AX95" i="1"/>
  <c r="AX307" i="1"/>
  <c r="AX369" i="1"/>
  <c r="AX331" i="1"/>
  <c r="AX58" i="1"/>
  <c r="AX56" i="1"/>
  <c r="AX70" i="1"/>
  <c r="AX260" i="1"/>
  <c r="AX194" i="1"/>
  <c r="AX187" i="1"/>
  <c r="AX146" i="1"/>
  <c r="AX15" i="1"/>
  <c r="AX188" i="1"/>
  <c r="AX228" i="1"/>
  <c r="AX346" i="1"/>
  <c r="AX261" i="1"/>
  <c r="AX34" i="1"/>
  <c r="AX410" i="1"/>
  <c r="AX251" i="1"/>
  <c r="AX394" i="1"/>
  <c r="AX154" i="1"/>
  <c r="AX267" i="1"/>
  <c r="AX213" i="1"/>
  <c r="AX240" i="1"/>
  <c r="AX114" i="1"/>
  <c r="AX259" i="1"/>
  <c r="AX288" i="1"/>
  <c r="AX397" i="1"/>
  <c r="AX219" i="1"/>
  <c r="AX55" i="1"/>
  <c r="AX178" i="1"/>
  <c r="AX256" i="1"/>
  <c r="AX367" i="1"/>
  <c r="AX169" i="1"/>
  <c r="AX283" i="1"/>
  <c r="AX430" i="1"/>
  <c r="AX268" i="1"/>
  <c r="AX124" i="1"/>
  <c r="AX316" i="1"/>
  <c r="AX320" i="1"/>
  <c r="AX166" i="1"/>
  <c r="AX100" i="1"/>
  <c r="AX252" i="1"/>
  <c r="AX18" i="1"/>
  <c r="AX358" i="1"/>
  <c r="AX217" i="1"/>
  <c r="AX341" i="1"/>
  <c r="AX222" i="1"/>
  <c r="AX225" i="1"/>
  <c r="AX35" i="1"/>
  <c r="AX40" i="1"/>
  <c r="AX78" i="1"/>
  <c r="AX357" i="1"/>
  <c r="AX277" i="1"/>
  <c r="AX82" i="1"/>
  <c r="AX371" i="1"/>
  <c r="AX317" i="1"/>
  <c r="AX83" i="1"/>
  <c r="AY364" i="1"/>
  <c r="AY271" i="1"/>
  <c r="AY436" i="1"/>
  <c r="AY437" i="1"/>
  <c r="AY97" i="1"/>
  <c r="AY147" i="1"/>
  <c r="AY109" i="1"/>
  <c r="AY343" i="1"/>
  <c r="AY122" i="1"/>
  <c r="AY138" i="1"/>
  <c r="AY113" i="1"/>
  <c r="AY95" i="1"/>
  <c r="AY307" i="1"/>
  <c r="AY369" i="1"/>
  <c r="AY331" i="1"/>
  <c r="AY58" i="1"/>
  <c r="AY56" i="1"/>
  <c r="AY70" i="1"/>
  <c r="AY260" i="1"/>
  <c r="AY194" i="1"/>
  <c r="AY187" i="1"/>
  <c r="AY146" i="1"/>
  <c r="AY15" i="1"/>
  <c r="AY188" i="1"/>
  <c r="AY228" i="1"/>
  <c r="AY346" i="1"/>
  <c r="AY261" i="1"/>
  <c r="AY34" i="1"/>
  <c r="AY410" i="1"/>
  <c r="AY251" i="1"/>
  <c r="AY394" i="1"/>
  <c r="AY154" i="1"/>
  <c r="AY267" i="1"/>
  <c r="AY213" i="1"/>
  <c r="AY240" i="1"/>
  <c r="AY114" i="1"/>
  <c r="AY259" i="1"/>
  <c r="AY288" i="1"/>
  <c r="AY397" i="1"/>
  <c r="AY219" i="1"/>
  <c r="AY55" i="1"/>
  <c r="AY178" i="1"/>
  <c r="AY256" i="1"/>
  <c r="AY367" i="1"/>
  <c r="AY169" i="1"/>
  <c r="AY283" i="1"/>
  <c r="AY430" i="1"/>
  <c r="AY268" i="1"/>
  <c r="AY124" i="1"/>
  <c r="AY316" i="1"/>
  <c r="AY320" i="1"/>
  <c r="AY166" i="1"/>
  <c r="AY100" i="1"/>
  <c r="AY252" i="1"/>
  <c r="AY18" i="1"/>
  <c r="AY358" i="1"/>
  <c r="AY217" i="1"/>
  <c r="AY341" i="1"/>
  <c r="AY222" i="1"/>
  <c r="AY225" i="1"/>
  <c r="AY35" i="1"/>
  <c r="AY40" i="1"/>
  <c r="AY78" i="1"/>
  <c r="AY357" i="1"/>
  <c r="AY277" i="1"/>
  <c r="AY82" i="1"/>
  <c r="AY371" i="1"/>
  <c r="AY317" i="1"/>
  <c r="AY83" i="1"/>
  <c r="BF364" i="1"/>
  <c r="BF271" i="1"/>
  <c r="BF436" i="1"/>
  <c r="BF437" i="1"/>
  <c r="BF97" i="1"/>
  <c r="BF147" i="1"/>
  <c r="BF109" i="1"/>
  <c r="BF343" i="1"/>
  <c r="BF122" i="1"/>
  <c r="BF138" i="1"/>
  <c r="BF113" i="1"/>
  <c r="BF95" i="1"/>
  <c r="BF307" i="1"/>
  <c r="BF369" i="1"/>
  <c r="BF331" i="1"/>
  <c r="BF58" i="1"/>
  <c r="BF56" i="1"/>
  <c r="BF70" i="1"/>
  <c r="BF260" i="1"/>
  <c r="BF194" i="1"/>
  <c r="BF187" i="1"/>
  <c r="BF146" i="1"/>
  <c r="BF15" i="1"/>
  <c r="BF188" i="1"/>
  <c r="BF228" i="1"/>
  <c r="BF346" i="1"/>
  <c r="BF261" i="1"/>
  <c r="BF34" i="1"/>
  <c r="BF410" i="1"/>
  <c r="BF251" i="1"/>
  <c r="BF394" i="1"/>
  <c r="BF154" i="1"/>
  <c r="BF267" i="1"/>
  <c r="BF213" i="1"/>
  <c r="BF240" i="1"/>
  <c r="BF114" i="1"/>
  <c r="BF259" i="1"/>
  <c r="BF288" i="1"/>
  <c r="BF397" i="1"/>
  <c r="BF219" i="1"/>
  <c r="BF55" i="1"/>
  <c r="BF178" i="1"/>
  <c r="BF256" i="1"/>
  <c r="BF367" i="1"/>
  <c r="BF169" i="1"/>
  <c r="BF283" i="1"/>
  <c r="BF430" i="1"/>
  <c r="BF268" i="1"/>
  <c r="BF124" i="1"/>
  <c r="BF316" i="1"/>
  <c r="BF320" i="1"/>
  <c r="BF166" i="1"/>
  <c r="BF100" i="1"/>
  <c r="BF252" i="1"/>
  <c r="BF18" i="1"/>
  <c r="BF358" i="1"/>
  <c r="BF217" i="1"/>
  <c r="BF341" i="1"/>
  <c r="BF222" i="1"/>
  <c r="BF225" i="1"/>
  <c r="BF35" i="1"/>
  <c r="BF40" i="1"/>
  <c r="BF78" i="1"/>
  <c r="BF357" i="1"/>
  <c r="BF277" i="1"/>
  <c r="BF82" i="1"/>
  <c r="BF371" i="1"/>
  <c r="BF317" i="1"/>
  <c r="BF83" i="1"/>
  <c r="BL364" i="1"/>
  <c r="BL271" i="1"/>
  <c r="BL436" i="1"/>
  <c r="BL437" i="1"/>
  <c r="BL97" i="1"/>
  <c r="BL147" i="1"/>
  <c r="BL109" i="1"/>
  <c r="BL343" i="1"/>
  <c r="BL122" i="1"/>
  <c r="BL138" i="1"/>
  <c r="BL113" i="1"/>
  <c r="BL95" i="1"/>
  <c r="BL307" i="1"/>
  <c r="BL369" i="1"/>
  <c r="BL331" i="1"/>
  <c r="BL58" i="1"/>
  <c r="BL56" i="1"/>
  <c r="BL70" i="1"/>
  <c r="BL260" i="1"/>
  <c r="BL194" i="1"/>
  <c r="BL187" i="1"/>
  <c r="BL146" i="1"/>
  <c r="BL15" i="1"/>
  <c r="BL188" i="1"/>
  <c r="BL228" i="1"/>
  <c r="BL346" i="1"/>
  <c r="BL261" i="1"/>
  <c r="BL34" i="1"/>
  <c r="BL410" i="1"/>
  <c r="BL251" i="1"/>
  <c r="BL394" i="1"/>
  <c r="BL154" i="1"/>
  <c r="BL267" i="1"/>
  <c r="BL213" i="1"/>
  <c r="BL240" i="1"/>
  <c r="BL114" i="1"/>
  <c r="BL259" i="1"/>
  <c r="BL288" i="1"/>
  <c r="BL397" i="1"/>
  <c r="BL219" i="1"/>
  <c r="BL55" i="1"/>
  <c r="BL178" i="1"/>
  <c r="BL256" i="1"/>
  <c r="BL367" i="1"/>
  <c r="BL169" i="1"/>
  <c r="BL283" i="1"/>
  <c r="BL430" i="1"/>
  <c r="BL268" i="1"/>
  <c r="BL124" i="1"/>
  <c r="BL316" i="1"/>
  <c r="BL320" i="1"/>
  <c r="BL166" i="1"/>
  <c r="BL100" i="1"/>
  <c r="BL252" i="1"/>
  <c r="BL18" i="1"/>
  <c r="BL358" i="1"/>
  <c r="BL217" i="1"/>
  <c r="BL341" i="1"/>
  <c r="BL222" i="1"/>
  <c r="BL225" i="1"/>
  <c r="BL35" i="1"/>
  <c r="BL40" i="1"/>
  <c r="BL78" i="1"/>
  <c r="BL357" i="1"/>
  <c r="BL277" i="1"/>
  <c r="BL82" i="1"/>
  <c r="BL371" i="1"/>
  <c r="BL317" i="1"/>
  <c r="BL83" i="1"/>
  <c r="AW256" i="2"/>
  <c r="AW326" i="2"/>
  <c r="AW20" i="2"/>
  <c r="AW28" i="2"/>
  <c r="AW191" i="2"/>
  <c r="AW160" i="2"/>
  <c r="AW42" i="2"/>
  <c r="AW185" i="2"/>
  <c r="AW43" i="2"/>
  <c r="AW259" i="2"/>
  <c r="AW29" i="2"/>
  <c r="AW56" i="2"/>
  <c r="AW231" i="2"/>
  <c r="AW169" i="2"/>
  <c r="AW295" i="2"/>
  <c r="AW39" i="2"/>
  <c r="AW318" i="2"/>
  <c r="AW453" i="2"/>
  <c r="AW157" i="2"/>
  <c r="AW359" i="2"/>
  <c r="AW129" i="2"/>
  <c r="AW330" i="2"/>
  <c r="AW250" i="2"/>
  <c r="AW293" i="2"/>
  <c r="AW220" i="2"/>
  <c r="AW372" i="2"/>
  <c r="AW94" i="2"/>
  <c r="AW127" i="2"/>
  <c r="AW395" i="2"/>
  <c r="AW277" i="2"/>
  <c r="AW450" i="2"/>
  <c r="AW288" i="2"/>
  <c r="AW423" i="2"/>
  <c r="AW152" i="2"/>
  <c r="AW131" i="2"/>
  <c r="AW260" i="2"/>
  <c r="AW164" i="2"/>
  <c r="AW218" i="2"/>
  <c r="AW228" i="2"/>
  <c r="AW348" i="2"/>
  <c r="AW105" i="2"/>
  <c r="AW414" i="2"/>
  <c r="AW356" i="2"/>
  <c r="AW186" i="2"/>
  <c r="AW446" i="2"/>
  <c r="AW216" i="2"/>
  <c r="AW392" i="2"/>
  <c r="AW101" i="2"/>
  <c r="AW362" i="2"/>
  <c r="AW111" i="2"/>
  <c r="AW396" i="2"/>
  <c r="AW410" i="2"/>
  <c r="AW358" i="2"/>
  <c r="AW447" i="2"/>
  <c r="AW459" i="2"/>
  <c r="AW210" i="2"/>
  <c r="AW206" i="2"/>
  <c r="AW63" i="2"/>
  <c r="AW233" i="2"/>
  <c r="AW212" i="2"/>
  <c r="AW329" i="2"/>
  <c r="AW70" i="2"/>
  <c r="AW252" i="2"/>
  <c r="AW338" i="2"/>
  <c r="B2" i="1"/>
  <c r="BL5" i="1"/>
  <c r="BL86" i="1"/>
  <c r="BL403" i="1"/>
  <c r="BL67" i="1"/>
  <c r="BL231" i="1"/>
  <c r="BL48" i="1"/>
  <c r="BL39" i="1"/>
  <c r="BL289" i="1"/>
  <c r="BL65" i="1"/>
  <c r="BL108" i="1"/>
  <c r="BL414" i="1"/>
  <c r="BL218" i="1"/>
  <c r="BL270" i="1"/>
  <c r="BL295" i="1"/>
  <c r="BL338" i="1"/>
  <c r="BL190" i="1"/>
  <c r="BL99" i="1"/>
  <c r="BL281" i="1"/>
  <c r="BL308" i="1"/>
  <c r="BL215" i="1"/>
  <c r="BL71" i="1"/>
  <c r="BL309" i="1"/>
  <c r="BL431" i="1"/>
  <c r="BL262" i="1"/>
  <c r="BL230" i="1"/>
  <c r="BL134" i="1"/>
  <c r="BL276" i="1"/>
  <c r="BL179" i="1"/>
  <c r="BL409" i="1"/>
  <c r="BL333" i="1"/>
  <c r="BL319" i="1"/>
  <c r="BL348" i="1"/>
  <c r="BL243" i="1"/>
  <c r="BL14" i="1"/>
  <c r="BL359" i="1"/>
  <c r="BL12" i="1"/>
  <c r="BL180" i="1"/>
  <c r="BL373" i="1"/>
  <c r="BL115" i="1"/>
  <c r="BL94" i="1"/>
  <c r="BL13" i="1"/>
  <c r="BL177" i="1"/>
  <c r="BL21" i="1"/>
  <c r="BL31" i="1"/>
  <c r="BL285" i="1"/>
  <c r="BL105" i="1"/>
  <c r="BL263" i="1"/>
  <c r="BL172" i="1"/>
  <c r="BL286" i="1"/>
  <c r="BL401" i="1"/>
  <c r="BL413" i="1"/>
  <c r="BL234" i="1"/>
  <c r="BL132" i="1"/>
  <c r="BL93" i="1"/>
  <c r="BL347" i="1"/>
  <c r="BL44" i="1"/>
  <c r="BL229" i="1"/>
  <c r="BL184" i="1"/>
  <c r="BL90" i="1"/>
  <c r="BL233" i="1"/>
  <c r="BL224" i="1"/>
  <c r="BL390" i="1"/>
  <c r="BL110" i="1"/>
  <c r="BL254" i="1"/>
  <c r="BL329" i="1"/>
  <c r="BL420" i="1"/>
  <c r="BL356" i="1"/>
  <c r="BL423" i="1"/>
  <c r="BL360" i="1"/>
  <c r="BL211" i="1"/>
  <c r="BL388" i="1"/>
  <c r="BL328" i="1"/>
  <c r="BL17" i="1"/>
  <c r="BL158" i="1"/>
  <c r="BL404" i="1"/>
  <c r="BL244" i="1"/>
  <c r="BL284" i="1"/>
  <c r="BL139" i="1"/>
  <c r="BL150" i="1"/>
  <c r="BL399" i="1"/>
  <c r="BL175" i="1"/>
  <c r="BL306" i="1"/>
  <c r="BL419" i="1"/>
  <c r="BL50" i="1"/>
  <c r="BL30" i="1"/>
  <c r="BL310" i="1"/>
  <c r="BL116" i="1"/>
  <c r="BL74" i="1"/>
  <c r="BL395" i="1"/>
  <c r="BL137" i="1"/>
  <c r="BL120" i="1"/>
  <c r="BL378" i="1"/>
  <c r="BL210" i="1"/>
  <c r="BL280" i="1"/>
  <c r="BL335" i="1"/>
  <c r="BL23" i="1"/>
  <c r="BL275" i="1"/>
  <c r="BL102" i="1"/>
  <c r="BL438" i="1"/>
  <c r="BL246" i="1"/>
  <c r="BL398" i="1"/>
  <c r="BL174" i="1"/>
  <c r="BL304" i="1"/>
  <c r="BL159" i="1"/>
  <c r="BL365" i="1"/>
  <c r="BL60" i="1"/>
  <c r="BL421" i="1"/>
  <c r="BL323" i="1"/>
  <c r="BL80" i="1"/>
  <c r="BL200" i="1"/>
  <c r="BL318" i="1"/>
  <c r="BL162" i="1"/>
  <c r="BL69" i="1"/>
  <c r="BL6" i="1"/>
  <c r="BL176" i="1"/>
  <c r="BL290" i="1"/>
  <c r="BL28" i="1"/>
  <c r="BL376" i="1"/>
  <c r="BL142" i="1"/>
  <c r="BL241" i="1"/>
  <c r="BL278" i="1"/>
  <c r="BL33" i="1"/>
  <c r="BL186" i="1"/>
  <c r="BL380" i="1"/>
  <c r="BL248" i="1"/>
  <c r="BL245" i="1"/>
  <c r="BL406" i="1"/>
  <c r="BL372" i="1"/>
  <c r="BL203" i="1"/>
  <c r="BL298" i="1"/>
  <c r="BL417" i="1"/>
  <c r="BL189" i="1"/>
  <c r="BL297" i="1"/>
  <c r="BL220" i="1"/>
  <c r="BL223" i="1"/>
  <c r="BL57" i="1"/>
  <c r="BL73" i="1"/>
  <c r="BL41" i="1"/>
  <c r="BL144" i="1"/>
  <c r="BL89" i="1"/>
  <c r="BL321" i="1"/>
  <c r="BL10" i="1"/>
  <c r="BL208" i="1"/>
  <c r="BL235" i="1"/>
  <c r="BL344" i="1"/>
  <c r="BL383" i="1"/>
  <c r="BL214" i="1"/>
  <c r="BL130" i="1"/>
  <c r="BL242" i="1"/>
  <c r="BL96" i="1"/>
  <c r="BL325" i="1"/>
  <c r="BL54" i="1"/>
  <c r="BL173" i="1"/>
  <c r="BL75" i="1"/>
  <c r="BL302" i="1"/>
  <c r="BL45" i="1"/>
  <c r="BL385" i="1"/>
  <c r="BL416" i="1"/>
  <c r="BL282" i="1"/>
  <c r="BL415" i="1"/>
  <c r="BL59" i="1"/>
  <c r="BL207" i="1"/>
  <c r="BL435" i="1"/>
  <c r="BL432" i="1"/>
  <c r="BL36" i="1"/>
  <c r="BL287" i="1"/>
  <c r="BL382" i="1"/>
  <c r="BL265" i="1"/>
  <c r="BL313" i="1"/>
  <c r="BL151" i="1"/>
  <c r="BL141" i="1"/>
  <c r="BL61" i="1"/>
  <c r="BL143" i="1"/>
  <c r="BL355" i="1"/>
  <c r="BL387" i="1"/>
  <c r="BL111" i="1"/>
  <c r="BL27" i="1"/>
  <c r="BL168" i="1"/>
  <c r="BL125" i="1"/>
  <c r="BL160" i="1"/>
  <c r="BL342" i="1"/>
  <c r="BL353" i="1"/>
  <c r="BL51" i="1"/>
  <c r="BL92" i="1"/>
  <c r="BL191" i="1"/>
  <c r="BL131" i="1"/>
  <c r="BL377" i="1"/>
  <c r="BL22" i="1"/>
  <c r="BL381" i="1"/>
  <c r="BL209" i="1"/>
  <c r="BL370" i="1"/>
  <c r="BL107" i="1"/>
  <c r="BL185" i="1"/>
  <c r="BL145" i="1"/>
  <c r="BL400" i="1"/>
  <c r="BL205" i="1"/>
  <c r="BL42" i="1"/>
  <c r="BL49" i="1"/>
  <c r="BL84" i="1"/>
  <c r="BL405" i="1"/>
  <c r="BL24" i="1"/>
  <c r="BL292" i="1"/>
  <c r="BL315" i="1"/>
  <c r="BL269" i="1"/>
  <c r="BL196" i="1"/>
  <c r="BL424" i="1"/>
  <c r="BL349" i="1"/>
  <c r="BL52" i="1"/>
  <c r="BL135" i="1"/>
  <c r="BL46" i="1"/>
  <c r="BL352" i="1"/>
  <c r="BL8" i="1"/>
  <c r="BL38" i="1"/>
  <c r="BL199" i="1"/>
  <c r="BL85" i="1"/>
  <c r="BL239" i="1"/>
  <c r="BL156" i="1"/>
  <c r="BL123" i="1"/>
  <c r="BL291" i="1"/>
  <c r="BL368" i="1"/>
  <c r="BL389" i="1"/>
  <c r="BL354" i="1"/>
  <c r="BL128" i="1"/>
  <c r="BL136" i="1"/>
  <c r="BL227" i="1"/>
  <c r="BL340" i="1"/>
  <c r="BL212" i="1"/>
  <c r="BL192" i="1"/>
  <c r="BL121" i="1"/>
  <c r="BL19" i="1"/>
  <c r="BL47" i="1"/>
  <c r="BL101" i="1"/>
  <c r="BL236" i="1"/>
  <c r="BL127" i="1"/>
  <c r="BL429" i="1"/>
  <c r="BL408" i="1"/>
  <c r="BL167" i="1"/>
  <c r="BL426" i="1"/>
  <c r="BL62" i="1"/>
  <c r="BL77" i="1"/>
  <c r="BL311" i="1"/>
  <c r="BL361" i="1"/>
  <c r="BL393" i="1"/>
  <c r="BL330" i="1"/>
  <c r="BL273" i="1"/>
  <c r="BL126" i="1"/>
  <c r="BL386" i="1"/>
  <c r="BL305" i="1"/>
  <c r="BL43" i="1"/>
  <c r="BL106" i="1"/>
  <c r="BL411" i="1"/>
  <c r="BL26" i="1"/>
  <c r="BL264" i="1"/>
  <c r="BL64" i="1"/>
  <c r="BL201" i="1"/>
  <c r="BL391" i="1"/>
  <c r="BL133" i="1"/>
  <c r="BL350" i="1"/>
  <c r="BL363" i="1"/>
  <c r="BL32" i="1"/>
  <c r="BL198" i="1"/>
  <c r="BL7" i="1"/>
  <c r="BL204" i="1"/>
  <c r="BL232" i="1"/>
  <c r="BL300" i="1"/>
  <c r="BL119" i="1"/>
  <c r="BL66" i="1"/>
  <c r="BL68" i="1"/>
  <c r="BL72" i="1"/>
  <c r="BL402" i="1"/>
  <c r="BL250" i="1"/>
  <c r="BL332" i="1"/>
  <c r="BL336" i="1"/>
  <c r="BL274" i="1"/>
  <c r="BL392" i="1"/>
  <c r="BL53" i="1"/>
  <c r="BL296" i="1"/>
  <c r="BL195" i="1"/>
  <c r="BL257" i="1"/>
  <c r="BL345" i="1"/>
  <c r="BL202" i="1"/>
  <c r="BL279" i="1"/>
  <c r="BL226" i="1"/>
  <c r="BL407" i="1"/>
  <c r="BL25" i="1"/>
  <c r="BL366" i="1"/>
  <c r="BL294" i="1"/>
  <c r="BL351" i="1"/>
  <c r="BL20" i="1"/>
  <c r="BL88" i="1"/>
  <c r="BL422" i="1"/>
  <c r="BL155" i="1"/>
  <c r="BL87" i="1"/>
  <c r="BL81" i="1"/>
  <c r="BL374" i="1"/>
  <c r="BL149" i="1"/>
  <c r="BL103" i="1"/>
  <c r="BL433" i="1"/>
  <c r="BL182" i="1"/>
  <c r="BL327" i="1"/>
  <c r="BL418" i="1"/>
  <c r="BL91" i="1"/>
  <c r="BL193" i="1"/>
  <c r="BL237" i="1"/>
  <c r="BL206" i="1"/>
  <c r="BL434" i="1"/>
  <c r="BL9" i="1"/>
  <c r="BL379" i="1"/>
  <c r="BL255" i="1"/>
  <c r="BL118" i="1"/>
  <c r="BL197" i="1"/>
  <c r="BL396" i="1"/>
  <c r="BL171" i="1"/>
  <c r="BL161" i="1"/>
  <c r="BL216" i="1"/>
  <c r="BL272" i="1"/>
  <c r="BL253" i="1"/>
  <c r="BL375" i="1"/>
  <c r="BL153" i="1"/>
  <c r="BL148" i="1"/>
  <c r="BL16" i="1"/>
  <c r="BL140" i="1"/>
  <c r="BL384" i="1"/>
  <c r="BL314" i="1"/>
  <c r="BL117" i="1"/>
  <c r="BL312" i="1"/>
  <c r="BL79" i="1"/>
  <c r="BL247" i="1"/>
  <c r="BL362" i="1"/>
  <c r="BL221" i="1"/>
  <c r="BL76" i="1"/>
  <c r="BL428" i="1"/>
  <c r="BL412" i="1"/>
  <c r="BL326" i="1"/>
  <c r="BL293" i="1"/>
  <c r="BL129" i="1"/>
  <c r="BL181" i="1"/>
  <c r="BL11" i="1"/>
  <c r="BL322" i="1"/>
  <c r="BL303" i="1"/>
  <c r="BL37" i="1"/>
  <c r="BL157" i="1"/>
  <c r="BL337" i="1"/>
  <c r="BL339" i="1"/>
  <c r="BL183" i="1"/>
  <c r="BL299" i="1"/>
  <c r="BL258" i="1"/>
  <c r="BL164" i="1"/>
  <c r="BL29" i="1"/>
  <c r="BL301" i="1"/>
  <c r="BL334" i="1"/>
  <c r="BL163" i="1"/>
  <c r="BL249" i="1"/>
  <c r="BL98" i="1"/>
  <c r="BL63" i="1"/>
  <c r="H4" i="7"/>
  <c r="Y44" i="3" s="1"/>
  <c r="H5" i="7"/>
  <c r="H6" i="7"/>
  <c r="Y8" i="3" s="1"/>
  <c r="H7" i="7"/>
  <c r="Y5" i="3" s="1"/>
  <c r="H8" i="7"/>
  <c r="H9" i="7"/>
  <c r="H10" i="7"/>
  <c r="H11" i="7"/>
  <c r="H12" i="7"/>
  <c r="Y19" i="3" s="1"/>
  <c r="H13" i="7"/>
  <c r="H14" i="7"/>
  <c r="H15" i="7"/>
  <c r="Y33" i="3" s="1"/>
  <c r="H16" i="7"/>
  <c r="H17" i="7"/>
  <c r="H18" i="7"/>
  <c r="H19" i="7"/>
  <c r="H20" i="7"/>
  <c r="Y21" i="3" s="1"/>
  <c r="H21" i="7"/>
  <c r="H22" i="7"/>
  <c r="H23" i="7"/>
  <c r="H24" i="7"/>
  <c r="Y103" i="3" s="1"/>
  <c r="H25" i="7"/>
  <c r="H26" i="7"/>
  <c r="H27" i="7"/>
  <c r="H28" i="7"/>
  <c r="Y105" i="3" s="1"/>
  <c r="H29" i="7"/>
  <c r="H30" i="7"/>
  <c r="H31" i="7"/>
  <c r="H32" i="7"/>
  <c r="H33" i="7"/>
  <c r="H34" i="7"/>
  <c r="H35" i="7"/>
  <c r="H36" i="7"/>
  <c r="H37" i="7"/>
  <c r="H38" i="7"/>
  <c r="H39" i="7"/>
  <c r="H40" i="7"/>
  <c r="H41" i="7"/>
  <c r="H42" i="7"/>
  <c r="H43" i="7"/>
  <c r="H44" i="7"/>
  <c r="H45" i="7"/>
  <c r="H46" i="7"/>
  <c r="H47" i="7"/>
  <c r="Y195" i="3" s="1"/>
  <c r="H48" i="7"/>
  <c r="H49" i="7"/>
  <c r="H50" i="7"/>
  <c r="Y92" i="3" s="1"/>
  <c r="H51" i="7"/>
  <c r="H52" i="7"/>
  <c r="H53" i="7"/>
  <c r="H54" i="7"/>
  <c r="H55" i="7"/>
  <c r="Y34" i="3" s="1"/>
  <c r="H56" i="7"/>
  <c r="Y138" i="3" s="1"/>
  <c r="H57" i="7"/>
  <c r="H58" i="7"/>
  <c r="H59" i="7"/>
  <c r="H60" i="7"/>
  <c r="H61" i="7"/>
  <c r="H62" i="7"/>
  <c r="H63" i="7"/>
  <c r="Y146" i="3" s="1"/>
  <c r="H64" i="7"/>
  <c r="Y885" i="3" s="1"/>
  <c r="H65" i="7"/>
  <c r="H66" i="7"/>
  <c r="Y62" i="3" s="1"/>
  <c r="H67" i="7"/>
  <c r="H68" i="7"/>
  <c r="H69" i="7"/>
  <c r="H70" i="7"/>
  <c r="H71" i="7"/>
  <c r="Y96" i="3" s="1"/>
  <c r="H72" i="7"/>
  <c r="H73" i="7"/>
  <c r="H74" i="7"/>
  <c r="H75" i="7"/>
  <c r="H76" i="7"/>
  <c r="H77" i="7"/>
  <c r="H78" i="7"/>
  <c r="H79" i="7"/>
  <c r="H80" i="7"/>
  <c r="H81" i="7"/>
  <c r="H82" i="7"/>
  <c r="H83" i="7"/>
  <c r="H84" i="7"/>
  <c r="H85" i="7"/>
  <c r="H86" i="7"/>
  <c r="H87" i="7"/>
  <c r="Y137" i="3" s="1"/>
  <c r="H88" i="7"/>
  <c r="H89" i="7"/>
  <c r="H90" i="7"/>
  <c r="H91" i="7"/>
  <c r="H92" i="7"/>
  <c r="H93" i="7"/>
  <c r="H94" i="7"/>
  <c r="H95" i="7"/>
  <c r="Y85" i="3" s="1"/>
  <c r="H96" i="7"/>
  <c r="H97" i="7"/>
  <c r="H98" i="7"/>
  <c r="H99" i="7"/>
  <c r="H100" i="7"/>
  <c r="H101" i="7"/>
  <c r="H102" i="7"/>
  <c r="H103" i="7"/>
  <c r="H104" i="7"/>
  <c r="H105" i="7"/>
  <c r="H106" i="7"/>
  <c r="H107" i="7"/>
  <c r="H108" i="7"/>
  <c r="Y878" i="3" s="1"/>
  <c r="H109" i="7"/>
  <c r="H110" i="7"/>
  <c r="H111" i="7"/>
  <c r="H112" i="7"/>
  <c r="H113" i="7"/>
  <c r="H114" i="7"/>
  <c r="H115" i="7"/>
  <c r="H116" i="7"/>
  <c r="H117" i="7"/>
  <c r="H118" i="7"/>
  <c r="H119" i="7"/>
  <c r="Y156" i="3" s="1"/>
  <c r="H120" i="7"/>
  <c r="Y142" i="3" s="1"/>
  <c r="H121" i="7"/>
  <c r="H122" i="7"/>
  <c r="H123" i="7"/>
  <c r="H124" i="7"/>
  <c r="H125" i="7"/>
  <c r="H126" i="7"/>
  <c r="H127" i="7"/>
  <c r="H128" i="7"/>
  <c r="H129" i="7"/>
  <c r="H130" i="7"/>
  <c r="H131" i="7"/>
  <c r="H132" i="7"/>
  <c r="H133" i="7"/>
  <c r="H134" i="7"/>
  <c r="H135" i="7"/>
  <c r="Y254" i="3" s="1"/>
  <c r="H136" i="7"/>
  <c r="Y36" i="3" s="1"/>
  <c r="H137" i="7"/>
  <c r="H138" i="7"/>
  <c r="H139" i="7"/>
  <c r="H140" i="7"/>
  <c r="H141" i="7"/>
  <c r="H142" i="7"/>
  <c r="H143" i="7"/>
  <c r="H144" i="7"/>
  <c r="H145" i="7"/>
  <c r="H146" i="7"/>
  <c r="H147" i="7"/>
  <c r="H148" i="7"/>
  <c r="H149" i="7"/>
  <c r="H150" i="7"/>
  <c r="Y121" i="3" s="1"/>
  <c r="H151" i="7"/>
  <c r="Y367" i="3" s="1"/>
  <c r="H152" i="7"/>
  <c r="Y45" i="3" s="1"/>
  <c r="H153" i="7"/>
  <c r="H154" i="7"/>
  <c r="Y163" i="3" s="1"/>
  <c r="H155" i="7"/>
  <c r="H156" i="7"/>
  <c r="H157" i="7"/>
  <c r="Y250" i="3" s="1"/>
  <c r="H158" i="7"/>
  <c r="Y190" i="3" s="1"/>
  <c r="H159" i="7"/>
  <c r="H160" i="7"/>
  <c r="H161" i="7"/>
  <c r="H162" i="7"/>
  <c r="Y66" i="3" s="1"/>
  <c r="H163" i="7"/>
  <c r="H164" i="7"/>
  <c r="Y162" i="3" s="1"/>
  <c r="H165" i="7"/>
  <c r="H166" i="7"/>
  <c r="H167" i="7"/>
  <c r="H168" i="7"/>
  <c r="H169" i="7"/>
  <c r="H170" i="7"/>
  <c r="H171" i="7"/>
  <c r="H172" i="7"/>
  <c r="Y194" i="3" s="1"/>
  <c r="H173" i="7"/>
  <c r="H174" i="7"/>
  <c r="H175" i="7"/>
  <c r="Y294" i="3" s="1"/>
  <c r="H176" i="7"/>
  <c r="Y268" i="3" s="1"/>
  <c r="H177" i="7"/>
  <c r="H178" i="7"/>
  <c r="H179" i="7"/>
  <c r="H180" i="7"/>
  <c r="H181" i="7"/>
  <c r="H182" i="7"/>
  <c r="H183" i="7"/>
  <c r="H184" i="7"/>
  <c r="H185" i="7"/>
  <c r="H186" i="7"/>
  <c r="Y281" i="3" s="1"/>
  <c r="H187" i="7"/>
  <c r="H188" i="7"/>
  <c r="H189" i="7"/>
  <c r="H190" i="7"/>
  <c r="Y316" i="3" s="1"/>
  <c r="H191" i="7"/>
  <c r="Y318" i="3" s="1"/>
  <c r="H192" i="7"/>
  <c r="H193" i="7"/>
  <c r="H194" i="7"/>
  <c r="H195" i="7"/>
  <c r="H196" i="7"/>
  <c r="Y326" i="3" s="1"/>
  <c r="H197" i="7"/>
  <c r="H198" i="7"/>
  <c r="H199" i="7"/>
  <c r="Y301" i="3" s="1"/>
  <c r="H200" i="7"/>
  <c r="H201" i="7"/>
  <c r="H202" i="7"/>
  <c r="H203" i="7"/>
  <c r="Y209" i="3" s="1"/>
  <c r="H204" i="7"/>
  <c r="H205" i="7"/>
  <c r="H206" i="7"/>
  <c r="H207" i="7"/>
  <c r="Y161" i="3" s="1"/>
  <c r="H208" i="7"/>
  <c r="H209" i="7"/>
  <c r="H210" i="7"/>
  <c r="H211" i="7"/>
  <c r="Y331" i="3" s="1"/>
  <c r="H212" i="7"/>
  <c r="H213" i="7"/>
  <c r="H214" i="7"/>
  <c r="H215" i="7"/>
  <c r="Y253" i="3" s="1"/>
  <c r="H216" i="7"/>
  <c r="H217" i="7"/>
  <c r="H218" i="7"/>
  <c r="H219" i="7"/>
  <c r="H220" i="7"/>
  <c r="H221" i="7"/>
  <c r="Y360" i="3" s="1"/>
  <c r="H222" i="7"/>
  <c r="H223" i="7"/>
  <c r="Y417" i="3" s="1"/>
  <c r="H224" i="7"/>
  <c r="H225" i="7"/>
  <c r="H226" i="7"/>
  <c r="H227" i="7"/>
  <c r="H228" i="7"/>
  <c r="Y407" i="3" s="1"/>
  <c r="H229" i="7"/>
  <c r="H230" i="7"/>
  <c r="H231" i="7"/>
  <c r="H232" i="7"/>
  <c r="H233" i="7"/>
  <c r="H234" i="7"/>
  <c r="H235" i="7"/>
  <c r="H236" i="7"/>
  <c r="H237" i="7"/>
  <c r="H238" i="7"/>
  <c r="H239" i="7"/>
  <c r="Y411" i="3" s="1"/>
  <c r="H240" i="7"/>
  <c r="H241" i="7"/>
  <c r="H242" i="7"/>
  <c r="H243" i="7"/>
  <c r="H244" i="7"/>
  <c r="H245" i="7"/>
  <c r="H246" i="7"/>
  <c r="H247" i="7"/>
  <c r="Y431" i="3" s="1"/>
  <c r="H248" i="7"/>
  <c r="H249" i="7"/>
  <c r="H250" i="7"/>
  <c r="Y464" i="3" s="1"/>
  <c r="H251" i="7"/>
  <c r="H252" i="7"/>
  <c r="H253" i="7"/>
  <c r="H254" i="7"/>
  <c r="H255" i="7"/>
  <c r="H256" i="7"/>
  <c r="H257" i="7"/>
  <c r="H258" i="7"/>
  <c r="H259" i="7"/>
  <c r="H260" i="7"/>
  <c r="H261" i="7"/>
  <c r="H262" i="7"/>
  <c r="Y481" i="3" s="1"/>
  <c r="H263" i="7"/>
  <c r="H264" i="7"/>
  <c r="H265" i="7"/>
  <c r="H266" i="7"/>
  <c r="H267" i="7"/>
  <c r="H268" i="7"/>
  <c r="H269" i="7"/>
  <c r="H270" i="7"/>
  <c r="H271" i="7"/>
  <c r="Y243" i="3" s="1"/>
  <c r="H272" i="7"/>
  <c r="H273" i="7"/>
  <c r="H274" i="7"/>
  <c r="Y504" i="3" s="1"/>
  <c r="H275" i="7"/>
  <c r="H276" i="7"/>
  <c r="H277" i="7"/>
  <c r="H278" i="7"/>
  <c r="H279" i="7"/>
  <c r="Y510" i="3" s="1"/>
  <c r="H280" i="7"/>
  <c r="Y532" i="3" s="1"/>
  <c r="H281" i="7"/>
  <c r="H282" i="7"/>
  <c r="H283" i="7"/>
  <c r="H284" i="7"/>
  <c r="H285" i="7"/>
  <c r="H286" i="7"/>
  <c r="H287" i="7"/>
  <c r="Y116" i="3" s="1"/>
  <c r="H288" i="7"/>
  <c r="H289" i="7"/>
  <c r="H290" i="7"/>
  <c r="H291" i="7"/>
  <c r="H292" i="7"/>
  <c r="Y540" i="3" s="1"/>
  <c r="H293" i="7"/>
  <c r="H294" i="7"/>
  <c r="H295" i="7"/>
  <c r="Y602" i="3" s="1"/>
  <c r="H296" i="7"/>
  <c r="H297" i="7"/>
  <c r="H298" i="7"/>
  <c r="H299" i="7"/>
  <c r="H300" i="7"/>
  <c r="H301" i="7"/>
  <c r="Y593" i="3" s="1"/>
  <c r="AY352" i="2" s="1"/>
  <c r="H302" i="7"/>
  <c r="H303" i="7"/>
  <c r="H304" i="7"/>
  <c r="Y626" i="3" s="1"/>
  <c r="H305" i="7"/>
  <c r="H306" i="7"/>
  <c r="H307" i="7"/>
  <c r="H308" i="7"/>
  <c r="H309" i="7"/>
  <c r="H310" i="7"/>
  <c r="H311" i="7"/>
  <c r="Y591" i="3" s="1"/>
  <c r="H312" i="7"/>
  <c r="H313" i="7"/>
  <c r="H314" i="7"/>
  <c r="H315" i="7"/>
  <c r="H316" i="7"/>
  <c r="H317" i="7"/>
  <c r="H318" i="7"/>
  <c r="Y620" i="3" s="1"/>
  <c r="H319" i="7"/>
  <c r="Y623" i="3" s="1"/>
  <c r="H320" i="7"/>
  <c r="H321" i="7"/>
  <c r="H322" i="7"/>
  <c r="Y630" i="3" s="1"/>
  <c r="H323" i="7"/>
  <c r="H324" i="7"/>
  <c r="H325" i="7"/>
  <c r="H326" i="7"/>
  <c r="H327" i="7"/>
  <c r="H328" i="7"/>
  <c r="H329" i="7"/>
  <c r="H330" i="7"/>
  <c r="H331" i="7"/>
  <c r="H332" i="7"/>
  <c r="H333" i="7"/>
  <c r="H334" i="7"/>
  <c r="H335" i="7"/>
  <c r="H336" i="7"/>
  <c r="Y651" i="3" s="1"/>
  <c r="H337" i="7"/>
  <c r="H338" i="7"/>
  <c r="Y657" i="3" s="1"/>
  <c r="H339" i="7"/>
  <c r="H340" i="7"/>
  <c r="H341" i="7"/>
  <c r="H342" i="7"/>
  <c r="H343" i="7"/>
  <c r="Y351" i="3" s="1"/>
  <c r="H344" i="7"/>
  <c r="Y664" i="3" s="1"/>
  <c r="AY249" i="2" s="1"/>
  <c r="H345" i="7"/>
  <c r="H346" i="7"/>
  <c r="H347" i="7"/>
  <c r="H348" i="7"/>
  <c r="Y707" i="3" s="1"/>
  <c r="H349" i="7"/>
  <c r="H350" i="7"/>
  <c r="Y410" i="3" s="1"/>
  <c r="AC410" i="3" s="1"/>
  <c r="H351" i="7"/>
  <c r="Y681" i="3" s="1"/>
  <c r="H352" i="7"/>
  <c r="H353" i="7"/>
  <c r="H354" i="7"/>
  <c r="H355" i="7"/>
  <c r="H356" i="7"/>
  <c r="H357" i="7"/>
  <c r="H358" i="7"/>
  <c r="H359" i="7"/>
  <c r="Y436" i="3" s="1"/>
  <c r="H360" i="7"/>
  <c r="H361" i="7"/>
  <c r="H362" i="7"/>
  <c r="H363" i="7"/>
  <c r="Y444" i="3" s="1"/>
  <c r="AE444" i="3" s="1"/>
  <c r="H364" i="7"/>
  <c r="H365" i="7"/>
  <c r="H366" i="7"/>
  <c r="H367" i="7"/>
  <c r="H368" i="7"/>
  <c r="H369" i="7"/>
  <c r="Y710" i="3" s="1"/>
  <c r="H370" i="7"/>
  <c r="H371" i="7"/>
  <c r="H372" i="7"/>
  <c r="H373" i="7"/>
  <c r="H374" i="7"/>
  <c r="Y727" i="3" s="1"/>
  <c r="H375" i="7"/>
  <c r="Y394" i="3" s="1"/>
  <c r="H376" i="7"/>
  <c r="Y732" i="3" s="1"/>
  <c r="H377" i="7"/>
  <c r="H378" i="7"/>
  <c r="H379" i="7"/>
  <c r="H380" i="7"/>
  <c r="H381" i="7"/>
  <c r="H382" i="7"/>
  <c r="H383" i="7"/>
  <c r="Y406" i="3" s="1"/>
  <c r="H384" i="7"/>
  <c r="Y375" i="3" s="1"/>
  <c r="H385" i="7"/>
  <c r="H386" i="7"/>
  <c r="Y760" i="3" s="1"/>
  <c r="H387" i="7"/>
  <c r="H388" i="7"/>
  <c r="H389" i="7"/>
  <c r="Y767" i="3" s="1"/>
  <c r="H390" i="7"/>
  <c r="H391" i="7"/>
  <c r="Y448" i="3" s="1"/>
  <c r="AC448" i="3" s="1"/>
  <c r="H392" i="7"/>
  <c r="H393" i="7"/>
  <c r="Y424" i="3" s="1"/>
  <c r="AE424" i="3" s="1"/>
  <c r="H394" i="7"/>
  <c r="Y451" i="3" s="1"/>
  <c r="H395" i="7"/>
  <c r="Y834" i="3" s="1"/>
  <c r="H396" i="7"/>
  <c r="H397" i="7"/>
  <c r="Y618" i="3" s="1"/>
  <c r="AE618" i="3" s="1"/>
  <c r="H398" i="7"/>
  <c r="H399" i="7"/>
  <c r="Y166" i="3" s="1"/>
  <c r="H400" i="7"/>
  <c r="Y803" i="3" s="1"/>
  <c r="H401" i="7"/>
  <c r="H402" i="7"/>
  <c r="H403" i="7"/>
  <c r="H404" i="7"/>
  <c r="H405" i="7"/>
  <c r="H406" i="7"/>
  <c r="H407" i="7"/>
  <c r="Y337" i="3" s="1"/>
  <c r="H408" i="7"/>
  <c r="H409" i="7"/>
  <c r="H410" i="7"/>
  <c r="Y740" i="3" s="1"/>
  <c r="H411" i="7"/>
  <c r="H412" i="7"/>
  <c r="H413" i="7"/>
  <c r="H414" i="7"/>
  <c r="H415" i="7"/>
  <c r="Y541" i="3" s="1"/>
  <c r="H416" i="7"/>
  <c r="H417" i="7"/>
  <c r="H418" i="7"/>
  <c r="Y429" i="3" s="1"/>
  <c r="H419" i="7"/>
  <c r="Y492" i="3" s="1"/>
  <c r="H420" i="7"/>
  <c r="H421" i="7"/>
  <c r="H422" i="7"/>
  <c r="H423" i="7"/>
  <c r="H424" i="7"/>
  <c r="H425" i="7"/>
  <c r="H426" i="7"/>
  <c r="H427" i="7"/>
  <c r="H428" i="7"/>
  <c r="H429" i="7"/>
  <c r="Y543" i="3" s="1"/>
  <c r="AE543" i="3" s="1"/>
  <c r="H430" i="7"/>
  <c r="H431" i="7"/>
  <c r="H432" i="7"/>
  <c r="H433" i="7"/>
  <c r="Y833" i="3" s="1"/>
  <c r="H434" i="7"/>
  <c r="H435" i="7"/>
  <c r="H436" i="7"/>
  <c r="Y838" i="3" s="1"/>
  <c r="H437" i="7"/>
  <c r="H438" i="7"/>
  <c r="H439" i="7"/>
  <c r="Y701" i="3" s="1"/>
  <c r="H440" i="7"/>
  <c r="Y867" i="3" s="1"/>
  <c r="AY403" i="2" s="1"/>
  <c r="H441" i="7"/>
  <c r="Y849" i="3" s="1"/>
  <c r="H442" i="7"/>
  <c r="H443" i="7"/>
  <c r="Y380" i="3" s="1"/>
  <c r="H444" i="7"/>
  <c r="H445" i="7"/>
  <c r="Y354" i="3" s="1"/>
  <c r="H446" i="7"/>
  <c r="Y869" i="3" s="1"/>
  <c r="H447" i="7"/>
  <c r="Y853" i="3" s="1"/>
  <c r="AY302" i="2" s="1"/>
  <c r="H448" i="7"/>
  <c r="Y553" i="3" s="1"/>
  <c r="H449" i="7"/>
  <c r="H450" i="7"/>
  <c r="Y876" i="3" s="1"/>
  <c r="H451" i="7"/>
  <c r="H452" i="7"/>
  <c r="H453" i="7"/>
  <c r="H454" i="7"/>
  <c r="H455" i="7"/>
  <c r="Y859" i="3" s="1"/>
  <c r="H456" i="7"/>
  <c r="Y874" i="3" s="1"/>
  <c r="H457" i="7"/>
  <c r="H458" i="7"/>
  <c r="Y515" i="3" s="1"/>
  <c r="H459" i="7"/>
  <c r="Y674" i="3" s="1"/>
  <c r="H460" i="7"/>
  <c r="Y38" i="3" s="1"/>
  <c r="H461" i="7"/>
  <c r="H462" i="7"/>
  <c r="H463" i="7"/>
  <c r="Y762" i="3" s="1"/>
  <c r="H464" i="7"/>
  <c r="Y216" i="3" s="1"/>
  <c r="H465" i="7"/>
  <c r="H466" i="7"/>
  <c r="H467" i="7"/>
  <c r="Y529" i="3" s="1"/>
  <c r="H468" i="7"/>
  <c r="Y182" i="3" s="1"/>
  <c r="H469" i="7"/>
  <c r="Y78" i="3" s="1"/>
  <c r="H470" i="7"/>
  <c r="H471" i="7"/>
  <c r="Y562" i="3" s="1"/>
  <c r="H472" i="7"/>
  <c r="Y13" i="3" s="1"/>
  <c r="H473" i="7"/>
  <c r="Y586" i="3" s="1"/>
  <c r="AE586" i="3" s="1"/>
  <c r="H474" i="7"/>
  <c r="Y426" i="3" s="1"/>
  <c r="H475" i="7"/>
  <c r="Y30" i="3" s="1"/>
  <c r="H476" i="7"/>
  <c r="H477" i="7"/>
  <c r="H478" i="7"/>
  <c r="H479" i="7"/>
  <c r="H480" i="7"/>
  <c r="Y330" i="3" s="1"/>
  <c r="H481" i="7"/>
  <c r="H482" i="7"/>
  <c r="Y485" i="3" s="1"/>
  <c r="H483" i="7"/>
  <c r="Y344" i="3" s="1"/>
  <c r="H484" i="7"/>
  <c r="Y40" i="3" s="1"/>
  <c r="H485" i="7"/>
  <c r="H486" i="7"/>
  <c r="H487" i="7"/>
  <c r="Y419" i="3" s="1"/>
  <c r="H488" i="7"/>
  <c r="Y509" i="3" s="1"/>
  <c r="H489" i="7"/>
  <c r="H490" i="7"/>
  <c r="Y500" i="3" s="1"/>
  <c r="AC500" i="3" s="1"/>
  <c r="H491" i="7"/>
  <c r="Y709" i="3" s="1"/>
  <c r="H492" i="7"/>
  <c r="Y596" i="3" s="1"/>
  <c r="AC596" i="3" s="1"/>
  <c r="H493" i="7"/>
  <c r="Y51" i="3" s="1"/>
  <c r="H494" i="7"/>
  <c r="H495" i="7"/>
  <c r="Y717" i="3" s="1"/>
  <c r="H496" i="7"/>
  <c r="H497" i="7"/>
  <c r="H498" i="7"/>
  <c r="Y122" i="3" s="1"/>
  <c r="H499" i="7"/>
  <c r="H500" i="7"/>
  <c r="H501" i="7"/>
  <c r="H502" i="7"/>
  <c r="Y399" i="3" s="1"/>
  <c r="AC399" i="3" s="1"/>
  <c r="H503" i="7"/>
  <c r="Y397" i="3" s="1"/>
  <c r="H504" i="7"/>
  <c r="H505" i="7"/>
  <c r="H506" i="7"/>
  <c r="H507" i="7"/>
  <c r="Y824" i="3" s="1"/>
  <c r="H508" i="7"/>
  <c r="H509" i="7"/>
  <c r="H510" i="7"/>
  <c r="H511" i="7"/>
  <c r="Y108" i="3" s="1"/>
  <c r="H512" i="7"/>
  <c r="Y523" i="3" s="1"/>
  <c r="H513" i="7"/>
  <c r="H514" i="7"/>
  <c r="Y329" i="3" s="1"/>
  <c r="H515" i="7"/>
  <c r="Y573" i="3" s="1"/>
  <c r="AC573" i="3" s="1"/>
  <c r="H516" i="7"/>
  <c r="H517" i="7"/>
  <c r="H518" i="7"/>
  <c r="H519" i="7"/>
  <c r="Y133" i="3" s="1"/>
  <c r="H520" i="7"/>
  <c r="Y403" i="3" s="1"/>
  <c r="H521" i="7"/>
  <c r="H522" i="7"/>
  <c r="Y571" i="3" s="1"/>
  <c r="H523" i="7"/>
  <c r="H524" i="7"/>
  <c r="H525" i="7"/>
  <c r="Y158" i="3" s="1"/>
  <c r="H526" i="7"/>
  <c r="H527" i="7"/>
  <c r="Y412" i="3" s="1"/>
  <c r="H528" i="7"/>
  <c r="Y217" i="3" s="1"/>
  <c r="H529" i="7"/>
  <c r="H530" i="7"/>
  <c r="Y256" i="3" s="1"/>
  <c r="H531" i="7"/>
  <c r="H532" i="7"/>
  <c r="H533" i="7"/>
  <c r="H534" i="7"/>
  <c r="H535" i="7"/>
  <c r="Y252" i="3" s="1"/>
  <c r="H536" i="7"/>
  <c r="Y570" i="3" s="1"/>
  <c r="H537" i="7"/>
  <c r="H538" i="7"/>
  <c r="H539" i="7"/>
  <c r="H540" i="7"/>
  <c r="Y181" i="3" s="1"/>
  <c r="H541" i="7"/>
  <c r="H542" i="7"/>
  <c r="H543" i="7"/>
  <c r="Y765" i="3" s="1"/>
  <c r="AC765" i="3" s="1"/>
  <c r="H544" i="7"/>
  <c r="H545" i="7"/>
  <c r="Y180" i="3" s="1"/>
  <c r="H546" i="7"/>
  <c r="Y563" i="3" s="1"/>
  <c r="H547" i="7"/>
  <c r="H548" i="7"/>
  <c r="Y227" i="3" s="1"/>
  <c r="H549" i="7"/>
  <c r="H550" i="7"/>
  <c r="H551" i="7"/>
  <c r="Y415" i="3" s="1"/>
  <c r="BH152" i="1" s="1"/>
  <c r="H552" i="7"/>
  <c r="Y473" i="3" s="1"/>
  <c r="AC473" i="3" s="1"/>
  <c r="H553" i="7"/>
  <c r="H554" i="7"/>
  <c r="Y806" i="3" s="1"/>
  <c r="H555" i="7"/>
  <c r="H556" i="7"/>
  <c r="H557" i="7"/>
  <c r="Y242" i="3" s="1"/>
  <c r="H558" i="7"/>
  <c r="H559" i="7"/>
  <c r="Y637" i="3" s="1"/>
  <c r="H560" i="7"/>
  <c r="Y600" i="3" s="1"/>
  <c r="H561" i="7"/>
  <c r="Y271" i="3" s="1"/>
  <c r="BH266" i="1" s="1"/>
  <c r="H562" i="7"/>
  <c r="Y274" i="3" s="1"/>
  <c r="H563" i="7"/>
  <c r="H564" i="7"/>
  <c r="H565" i="7"/>
  <c r="H566" i="7"/>
  <c r="Y261" i="3" s="1"/>
  <c r="H567" i="7"/>
  <c r="Y287" i="3" s="1"/>
  <c r="H568" i="7"/>
  <c r="H569" i="7"/>
  <c r="Y266" i="3" s="1"/>
  <c r="H570" i="7"/>
  <c r="H571" i="7"/>
  <c r="Y168" i="3" s="1"/>
  <c r="H572" i="7"/>
  <c r="Y276" i="3" s="1"/>
  <c r="H573" i="7"/>
  <c r="Y307" i="3" s="1"/>
  <c r="H574" i="7"/>
  <c r="H575" i="7"/>
  <c r="H576" i="7"/>
  <c r="Y379" i="3" s="1"/>
  <c r="H577" i="7"/>
  <c r="H578" i="7"/>
  <c r="Y288" i="3" s="1"/>
  <c r="H579" i="7"/>
  <c r="H580" i="7"/>
  <c r="Y291" i="3" s="1"/>
  <c r="H581" i="7"/>
  <c r="Y324" i="3" s="1"/>
  <c r="H582" i="7"/>
  <c r="H583" i="7"/>
  <c r="Y787" i="3" s="1"/>
  <c r="H584" i="7"/>
  <c r="Y328" i="3" s="1"/>
  <c r="H585" i="7"/>
  <c r="Y334" i="3" s="1"/>
  <c r="H586" i="7"/>
  <c r="Y306" i="3" s="1"/>
  <c r="H587" i="7"/>
  <c r="H588" i="7"/>
  <c r="Y308" i="3" s="1"/>
  <c r="H589" i="7"/>
  <c r="Y310" i="3" s="1"/>
  <c r="H590" i="7"/>
  <c r="Y312" i="3" s="1"/>
  <c r="H591" i="7"/>
  <c r="Y496" i="3" s="1"/>
  <c r="H592" i="7"/>
  <c r="Y615" i="3" s="1"/>
  <c r="H593" i="7"/>
  <c r="Y858" i="3" s="1"/>
  <c r="AE858" i="3" s="1"/>
  <c r="H594" i="7"/>
  <c r="Y93" i="3" s="1"/>
  <c r="H595" i="7"/>
  <c r="Y383" i="3" s="1"/>
  <c r="H596" i="7"/>
  <c r="H597" i="7"/>
  <c r="Y355" i="3" s="1"/>
  <c r="H598" i="7"/>
  <c r="H599" i="7"/>
  <c r="Y661" i="3" s="1"/>
  <c r="AE661" i="3" s="1"/>
  <c r="H600" i="7"/>
  <c r="H601" i="7"/>
  <c r="Y327" i="3" s="1"/>
  <c r="H602" i="7"/>
  <c r="H603" i="7"/>
  <c r="Y315" i="3" s="1"/>
  <c r="H604" i="7"/>
  <c r="Y368" i="3" s="1"/>
  <c r="H605" i="7"/>
  <c r="Y335" i="3" s="1"/>
  <c r="H606" i="7"/>
  <c r="H607" i="7"/>
  <c r="Y497" i="3" s="1"/>
  <c r="AC497" i="3" s="1"/>
  <c r="Y154" i="3"/>
  <c r="Y239" i="3"/>
  <c r="Y234" i="3"/>
  <c r="Y25" i="3"/>
  <c r="Y290" i="3"/>
  <c r="Y277" i="3"/>
  <c r="Y442" i="3"/>
  <c r="Y633" i="3"/>
  <c r="Y795" i="3"/>
  <c r="Y400" i="3"/>
  <c r="Y63" i="3"/>
  <c r="Y520" i="3"/>
  <c r="Y232" i="3"/>
  <c r="Y298" i="3"/>
  <c r="Y244" i="3"/>
  <c r="Y594" i="3"/>
  <c r="Y174" i="3"/>
  <c r="Y346" i="3"/>
  <c r="Y205" i="3"/>
  <c r="Y813" i="3"/>
  <c r="Y733" i="3"/>
  <c r="Y359" i="3"/>
  <c r="Y390" i="3"/>
  <c r="Y376" i="3"/>
  <c r="Y452" i="3"/>
  <c r="Y272" i="3"/>
  <c r="Y396" i="3"/>
  <c r="Y269" i="3"/>
  <c r="Y490" i="3"/>
  <c r="Y774" i="3"/>
  <c r="Y545" i="3"/>
  <c r="Y467" i="3"/>
  <c r="Y567" i="3"/>
  <c r="BH324" i="1" s="1"/>
  <c r="Y584" i="3"/>
  <c r="Y804" i="3"/>
  <c r="Y653" i="3"/>
  <c r="Y628" i="3"/>
  <c r="Y731" i="3"/>
  <c r="Y758" i="3"/>
  <c r="BH425" i="1" s="1"/>
  <c r="Y750" i="3"/>
  <c r="Y221" i="3"/>
  <c r="Y839" i="3"/>
  <c r="Y372" i="3"/>
  <c r="Y285" i="3"/>
  <c r="Y837" i="3"/>
  <c r="AY290" i="2" s="1"/>
  <c r="Y35" i="3"/>
  <c r="Y141" i="3"/>
  <c r="Y82" i="3"/>
  <c r="Y693" i="3"/>
  <c r="Y29" i="3"/>
  <c r="Y302" i="3"/>
  <c r="Y811" i="3"/>
  <c r="AY283" i="2" s="1"/>
  <c r="Y358" i="3"/>
  <c r="Y418" i="3"/>
  <c r="Y890" i="3"/>
  <c r="Y106" i="3"/>
  <c r="Y361" i="3"/>
  <c r="Y863" i="3"/>
  <c r="Y770" i="3"/>
  <c r="Y336" i="3"/>
  <c r="Y764" i="3"/>
  <c r="Y499" i="3"/>
  <c r="Y356" i="3"/>
  <c r="Y622" i="3"/>
  <c r="Y724" i="3"/>
  <c r="Y794" i="3"/>
  <c r="Y810" i="3"/>
  <c r="Y865" i="3"/>
  <c r="Y776" i="3"/>
  <c r="Y718" i="3"/>
  <c r="Y862" i="3"/>
  <c r="Y170" i="3"/>
  <c r="Y104" i="3"/>
  <c r="Y428" i="3"/>
  <c r="Y447" i="3"/>
  <c r="Y409" i="3"/>
  <c r="Y588" i="3"/>
  <c r="Y73" i="3"/>
  <c r="Y202" i="3"/>
  <c r="Y55" i="3"/>
  <c r="Y130" i="3"/>
  <c r="Y526" i="3"/>
  <c r="Y632" i="3"/>
  <c r="Y711" i="3"/>
  <c r="Y660" i="3"/>
  <c r="Y830" i="3"/>
  <c r="Y238" i="3"/>
  <c r="Y456" i="3"/>
  <c r="Y670" i="3"/>
  <c r="Y478" i="3"/>
  <c r="Y349" i="3"/>
  <c r="Y536" i="3"/>
  <c r="Y556" i="3"/>
  <c r="Y115" i="3"/>
  <c r="Y697" i="3"/>
  <c r="Y819" i="3"/>
  <c r="AY287" i="2" s="1"/>
  <c r="Y778" i="3"/>
  <c r="Y861" i="3"/>
  <c r="Y866" i="3"/>
  <c r="Y796" i="3"/>
  <c r="Y533" i="3"/>
  <c r="Y39" i="3"/>
  <c r="Y173" i="3"/>
  <c r="Y860" i="3"/>
  <c r="Y870" i="3"/>
  <c r="AY406" i="2" s="1"/>
  <c r="Y249" i="3"/>
  <c r="Y535" i="3"/>
  <c r="Y222" i="3"/>
  <c r="Y167" i="3"/>
  <c r="Y763" i="3"/>
  <c r="Y139" i="3"/>
  <c r="Y507" i="3"/>
  <c r="Y99" i="3"/>
  <c r="Y144" i="3"/>
  <c r="Y438" i="3"/>
  <c r="Y230" i="3"/>
  <c r="Y56" i="3"/>
  <c r="Y123" i="3"/>
  <c r="Y689" i="3"/>
  <c r="Y702" i="3"/>
  <c r="Y52" i="3"/>
  <c r="Y164" i="3"/>
  <c r="Y818" i="3"/>
  <c r="Y454" i="3"/>
  <c r="Y551" i="3"/>
  <c r="Y157" i="3"/>
  <c r="Y311" i="3"/>
  <c r="Y11" i="3"/>
  <c r="Y617" i="3"/>
  <c r="Y873" i="3"/>
  <c r="Y462" i="3"/>
  <c r="Y621" i="3"/>
  <c r="Y721" i="3"/>
  <c r="Y715" i="3"/>
  <c r="BH238" i="1" s="1"/>
  <c r="Y757" i="3"/>
  <c r="Y793" i="3"/>
  <c r="Y832" i="3"/>
  <c r="Y744" i="3"/>
  <c r="Y480" i="3"/>
  <c r="Y348" i="3"/>
  <c r="Y54" i="3"/>
  <c r="Y547" i="3"/>
  <c r="Y303" i="3"/>
  <c r="Y754" i="3"/>
  <c r="Y875" i="3"/>
  <c r="Y809" i="3"/>
  <c r="Y872" i="3"/>
  <c r="Y831" i="3"/>
  <c r="Y171" i="3"/>
  <c r="Y665" i="3"/>
  <c r="Y722" i="3"/>
  <c r="Y698" i="3"/>
  <c r="Y206" i="3"/>
  <c r="Y14" i="3"/>
  <c r="Y50" i="3"/>
  <c r="Y185" i="3"/>
  <c r="Y97" i="3"/>
  <c r="Y101" i="3"/>
  <c r="Y260" i="3"/>
  <c r="Y225" i="3"/>
  <c r="Y525" i="3"/>
  <c r="Y258" i="3"/>
  <c r="Y679" i="3"/>
  <c r="Y627" i="3"/>
  <c r="Y512" i="3"/>
  <c r="Y668" i="3"/>
  <c r="Y738" i="3"/>
  <c r="Y203" i="3"/>
  <c r="Y828" i="3"/>
  <c r="Y706" i="3"/>
  <c r="Y871" i="3"/>
  <c r="AY407" i="2" s="1"/>
  <c r="Y572" i="3"/>
  <c r="Y136" i="3"/>
  <c r="Y129" i="3"/>
  <c r="Y482" i="3"/>
  <c r="Y286" i="3"/>
  <c r="Y743" i="3"/>
  <c r="AY267" i="2" s="1"/>
  <c r="Y667" i="3"/>
  <c r="Y848" i="3"/>
  <c r="AY298" i="2" s="1"/>
  <c r="Y695" i="3"/>
  <c r="Y642" i="3"/>
  <c r="Y211" i="3"/>
  <c r="Y840" i="3"/>
  <c r="Y887" i="3"/>
  <c r="Y292" i="3"/>
  <c r="Y72" i="3"/>
  <c r="Y165" i="3"/>
  <c r="AY95" i="2" s="1"/>
  <c r="Y282" i="3"/>
  <c r="Y891" i="3"/>
  <c r="Y100" i="3"/>
  <c r="Y817" i="3"/>
  <c r="Y352" i="3"/>
  <c r="Y405" i="3"/>
  <c r="Y235" i="3"/>
  <c r="Y284" i="3"/>
  <c r="Y654" i="3"/>
  <c r="Y636" i="3"/>
  <c r="Y264" i="3"/>
  <c r="Y669" i="3"/>
  <c r="Y183" i="3"/>
  <c r="Y583" i="3"/>
  <c r="Y443" i="3"/>
  <c r="Y457" i="3"/>
  <c r="Y688" i="3"/>
  <c r="Y179" i="3"/>
  <c r="Y422" i="3"/>
  <c r="Y275" i="3"/>
  <c r="Y772" i="3"/>
  <c r="Y109" i="3"/>
  <c r="Y240" i="3"/>
  <c r="Y149" i="3"/>
  <c r="Y631" i="3"/>
  <c r="Y127" i="3"/>
  <c r="Y236" i="3"/>
  <c r="Y391" i="3"/>
  <c r="Y835" i="3"/>
  <c r="Y113" i="3"/>
  <c r="Y309" i="3"/>
  <c r="Y658" i="3"/>
  <c r="Y511" i="3"/>
  <c r="Y580" i="3"/>
  <c r="Y662" i="3"/>
  <c r="Y581" i="3"/>
  <c r="Y687" i="3"/>
  <c r="Y111" i="3"/>
  <c r="Y807" i="3"/>
  <c r="Y305" i="3"/>
  <c r="Y712" i="3"/>
  <c r="Y12" i="3"/>
  <c r="Y841" i="3"/>
  <c r="Y666" i="3"/>
  <c r="Y43" i="3"/>
  <c r="Y32" i="3"/>
  <c r="Y477" i="3"/>
  <c r="Y68" i="3"/>
  <c r="Y143" i="3"/>
  <c r="Y91" i="3"/>
  <c r="Y439" i="3"/>
  <c r="Y557" i="3"/>
  <c r="Y534" i="3"/>
  <c r="Y370" i="3"/>
  <c r="Y257" i="3"/>
  <c r="Y265" i="3"/>
  <c r="Y792" i="3"/>
  <c r="Y218" i="3"/>
  <c r="Y169" i="3"/>
  <c r="Y560" i="3"/>
  <c r="Y90" i="3"/>
  <c r="Y680" i="3"/>
  <c r="Y299" i="3"/>
  <c r="Y231" i="3"/>
  <c r="Y191" i="3"/>
  <c r="Y759" i="3"/>
  <c r="Y537" i="3"/>
  <c r="Y155" i="3"/>
  <c r="Y420" i="3"/>
  <c r="Y682" i="3"/>
  <c r="Y527" i="3"/>
  <c r="Y579" i="3"/>
  <c r="Y408" i="3"/>
  <c r="Y789" i="3"/>
  <c r="Y251" i="3"/>
  <c r="Y648" i="3"/>
  <c r="Y843" i="3"/>
  <c r="Y283" i="3"/>
  <c r="Y739" i="3"/>
  <c r="Y703" i="3"/>
  <c r="Y608" i="3"/>
  <c r="Y120" i="3"/>
  <c r="Y625" i="3"/>
  <c r="Y110" i="3"/>
  <c r="Y790" i="3"/>
  <c r="Y786" i="3"/>
  <c r="Y569" i="3"/>
  <c r="Y83" i="3"/>
  <c r="Y851" i="3"/>
  <c r="Y343" i="3"/>
  <c r="Y685" i="3"/>
  <c r="Y321" i="3"/>
  <c r="BH112" i="1" s="1"/>
  <c r="Y247" i="3"/>
  <c r="Y186" i="3"/>
  <c r="Y152" i="3"/>
  <c r="Y24" i="3"/>
  <c r="Y23" i="3"/>
  <c r="Y465" i="3"/>
  <c r="Y805" i="3"/>
  <c r="Y747" i="3"/>
  <c r="Y140" i="3"/>
  <c r="Y385" i="3"/>
  <c r="Y345" i="3"/>
  <c r="Y728" i="3"/>
  <c r="Y151" i="3"/>
  <c r="Y868" i="3"/>
  <c r="Y827" i="3"/>
  <c r="Y175" i="3"/>
  <c r="Y864" i="3"/>
  <c r="Y87" i="3"/>
  <c r="Y16" i="3"/>
  <c r="Y378" i="3"/>
  <c r="Y57" i="3"/>
  <c r="Y756" i="3"/>
  <c r="Y86" i="3"/>
  <c r="Y70" i="3"/>
  <c r="Y289" i="3"/>
  <c r="Y753" i="3"/>
  <c r="Y76" i="3"/>
  <c r="Y124" i="3"/>
  <c r="Y320" i="3"/>
  <c r="Y280" i="3"/>
  <c r="Y84" i="3"/>
  <c r="Y6" i="3"/>
  <c r="Y49" i="3"/>
  <c r="Y187" i="3"/>
  <c r="Y102" i="3"/>
  <c r="Y188" i="3"/>
  <c r="Y126" i="3"/>
  <c r="Y134" i="3"/>
  <c r="Y67" i="3"/>
  <c r="Y200" i="3"/>
  <c r="Y363" i="3"/>
  <c r="Y366" i="3"/>
  <c r="Y338" i="3"/>
  <c r="Y42" i="3"/>
  <c r="Y41" i="3"/>
  <c r="Y723" i="3"/>
  <c r="Y437" i="3"/>
  <c r="Y201" i="3"/>
  <c r="Y197" i="3"/>
  <c r="Y262" i="3"/>
  <c r="Y270" i="3"/>
  <c r="Y293" i="3"/>
  <c r="Y802" i="3"/>
  <c r="Y506" i="3"/>
  <c r="Y319" i="3"/>
  <c r="Y578" i="3"/>
  <c r="Y821" i="3"/>
  <c r="Y94" i="3"/>
  <c r="Y844" i="3"/>
  <c r="Y26" i="3"/>
  <c r="Y402" i="3"/>
  <c r="Y377" i="3"/>
  <c r="Y416" i="3"/>
  <c r="Y603" i="3"/>
  <c r="Y493" i="3"/>
  <c r="Y857" i="3"/>
  <c r="AY399" i="2" s="1"/>
  <c r="Y705" i="3"/>
  <c r="Y590" i="3"/>
  <c r="Y595" i="3"/>
  <c r="Y605" i="3"/>
  <c r="Y640" i="3"/>
  <c r="Y649" i="3"/>
  <c r="Y761" i="3"/>
  <c r="Y369" i="3"/>
  <c r="Y47" i="3"/>
  <c r="Y886" i="3"/>
  <c r="Y273" i="3"/>
  <c r="Y342" i="3"/>
  <c r="Y430" i="3"/>
  <c r="Y212" i="3"/>
  <c r="Y479" i="3"/>
  <c r="Y214" i="3"/>
  <c r="Y69" i="3"/>
  <c r="Y829" i="3"/>
  <c r="Y815" i="3"/>
  <c r="Y784" i="3"/>
  <c r="Y339" i="3"/>
  <c r="Y389" i="3"/>
  <c r="Y15" i="3"/>
  <c r="Y75" i="3"/>
  <c r="Y353" i="3"/>
  <c r="Y325" i="3"/>
  <c r="Y505" i="3"/>
  <c r="Y65" i="3"/>
  <c r="Y60" i="3"/>
  <c r="Y663" i="3"/>
  <c r="Y413" i="3"/>
  <c r="Y381" i="3"/>
  <c r="Y263" i="3"/>
  <c r="Y395" i="3"/>
  <c r="Y357" i="3"/>
  <c r="Y371" i="3"/>
  <c r="Y404" i="3"/>
  <c r="Y347" i="3"/>
  <c r="Y220" i="3"/>
  <c r="Y769" i="3"/>
  <c r="Y59" i="3"/>
  <c r="Y386" i="3"/>
  <c r="Y382" i="3"/>
  <c r="Y132" i="3"/>
  <c r="Y432" i="3"/>
  <c r="Y401" i="3"/>
  <c r="Y414" i="3"/>
  <c r="Y458" i="3"/>
  <c r="Y823" i="3"/>
  <c r="Y469" i="3"/>
  <c r="Y255" i="3"/>
  <c r="Y521" i="3"/>
  <c r="Y421" i="3"/>
  <c r="Y484" i="3"/>
  <c r="Y446" i="3"/>
  <c r="Y470" i="3"/>
  <c r="Y486" i="3"/>
  <c r="Y433" i="3"/>
  <c r="Y881" i="3"/>
  <c r="Y435" i="3"/>
  <c r="Y459" i="3"/>
  <c r="Y502" i="3"/>
  <c r="Y460" i="3"/>
  <c r="Y538" i="3"/>
  <c r="Y476" i="3"/>
  <c r="Y445" i="3"/>
  <c r="Y450" i="3"/>
  <c r="Y514" i="3"/>
  <c r="Y226" i="3"/>
  <c r="Y119" i="3"/>
  <c r="Y455" i="3"/>
  <c r="Y463" i="3"/>
  <c r="Y468" i="3"/>
  <c r="Y554" i="3"/>
  <c r="Y475" i="3"/>
  <c r="BH165" i="1" s="1"/>
  <c r="Y472" i="3"/>
  <c r="Y498" i="3"/>
  <c r="Y501" i="3"/>
  <c r="Y517" i="3"/>
  <c r="Y513" i="3"/>
  <c r="Y491" i="3"/>
  <c r="BH170" i="1" s="1"/>
  <c r="Y516" i="3"/>
  <c r="Y89" i="3"/>
  <c r="Y582" i="3"/>
  <c r="Y575" i="3"/>
  <c r="Y577" i="3"/>
  <c r="Y542" i="3"/>
  <c r="Y546" i="3"/>
  <c r="Y483" i="3"/>
  <c r="Y852" i="3"/>
  <c r="Y550" i="3"/>
  <c r="Y587" i="3"/>
  <c r="Y568" i="3"/>
  <c r="Y559" i="3"/>
  <c r="Y555" i="3"/>
  <c r="Y178" i="3"/>
  <c r="Y118" i="3"/>
  <c r="Y607" i="3"/>
  <c r="Y635" i="3"/>
  <c r="Y565" i="3"/>
  <c r="Y589" i="3"/>
  <c r="Y599" i="3"/>
  <c r="Y613" i="3"/>
  <c r="Y612" i="3"/>
  <c r="Y574" i="3"/>
  <c r="Y614" i="3"/>
  <c r="Y592" i="3"/>
  <c r="Y606" i="3"/>
  <c r="Y598" i="3"/>
  <c r="Y638" i="3"/>
  <c r="Y601" i="3"/>
  <c r="Y639" i="3"/>
  <c r="Y333" i="3"/>
  <c r="Y645" i="3"/>
  <c r="Y696" i="3"/>
  <c r="Y652" i="3"/>
  <c r="Y609" i="3"/>
  <c r="Y708" i="3"/>
  <c r="Y644" i="3"/>
  <c r="Y678" i="3"/>
  <c r="Y643" i="3"/>
  <c r="Y619" i="3"/>
  <c r="Y634" i="3"/>
  <c r="Y725" i="3"/>
  <c r="Y616" i="3"/>
  <c r="Y675" i="3"/>
  <c r="Y883" i="3"/>
  <c r="Y690" i="3"/>
  <c r="Y713" i="3"/>
  <c r="Y691" i="3"/>
  <c r="Y641" i="3"/>
  <c r="Y671" i="3"/>
  <c r="Y655" i="3"/>
  <c r="Y177" i="3"/>
  <c r="Y714" i="3"/>
  <c r="Y719" i="3"/>
  <c r="Y777" i="3"/>
  <c r="BH427" i="1" s="1"/>
  <c r="Y726" i="3"/>
  <c r="Y699" i="3"/>
  <c r="Y692" i="3"/>
  <c r="Y248" i="3"/>
  <c r="Y704" i="3"/>
  <c r="Y736" i="3"/>
  <c r="Y716" i="3"/>
  <c r="Y771" i="3"/>
  <c r="Y720" i="3"/>
  <c r="Y748" i="3"/>
  <c r="Y79" i="3"/>
  <c r="Y801" i="3"/>
  <c r="Y737" i="3"/>
  <c r="Y734" i="3"/>
  <c r="Y781" i="3"/>
  <c r="Y741" i="3"/>
  <c r="Y775" i="3"/>
  <c r="Y782" i="3"/>
  <c r="Y773" i="3"/>
  <c r="Y746" i="3"/>
  <c r="Y800" i="3"/>
  <c r="Y785" i="3"/>
  <c r="Y766" i="3"/>
  <c r="Y820" i="3"/>
  <c r="Y779" i="3"/>
  <c r="Y812" i="3"/>
  <c r="Y788" i="3"/>
  <c r="Y822" i="3"/>
  <c r="Y826" i="3"/>
  <c r="Y797" i="3"/>
  <c r="Y836" i="3"/>
  <c r="Y799" i="3"/>
  <c r="Y842" i="3"/>
  <c r="Y850" i="3"/>
  <c r="Y854" i="3"/>
  <c r="Y814" i="3"/>
  <c r="Y856" i="3"/>
  <c r="Y855" i="3"/>
  <c r="Y845" i="3"/>
  <c r="Y223" i="3"/>
  <c r="Y365" i="3"/>
  <c r="Y847" i="3"/>
  <c r="AY297" i="2" s="1"/>
  <c r="Z154" i="3"/>
  <c r="Z33" i="3"/>
  <c r="Z239" i="3"/>
  <c r="Z234" i="3"/>
  <c r="Z884" i="3"/>
  <c r="Z25" i="3"/>
  <c r="Z17" i="3"/>
  <c r="Z367" i="3"/>
  <c r="Z290" i="3"/>
  <c r="Z277" i="3"/>
  <c r="Z442" i="3"/>
  <c r="Z646" i="3"/>
  <c r="Z633" i="3"/>
  <c r="Z795" i="3"/>
  <c r="Z400" i="3"/>
  <c r="Z63" i="3"/>
  <c r="Z322" i="3"/>
  <c r="Z611" i="3"/>
  <c r="AZ355" i="2" s="1"/>
  <c r="Z520" i="3"/>
  <c r="Z232" i="3"/>
  <c r="Z298" i="3"/>
  <c r="Z244" i="3"/>
  <c r="Z594" i="3"/>
  <c r="Z174" i="3"/>
  <c r="Z346" i="3"/>
  <c r="Z205" i="3"/>
  <c r="Z813" i="3"/>
  <c r="Z509" i="3"/>
  <c r="Z733" i="3"/>
  <c r="Z359" i="3"/>
  <c r="Z825" i="3"/>
  <c r="Z390" i="3"/>
  <c r="Z376" i="3"/>
  <c r="Z452" i="3"/>
  <c r="Z329" i="3"/>
  <c r="Z272" i="3"/>
  <c r="Z396" i="3"/>
  <c r="Z269" i="3"/>
  <c r="Z490" i="3"/>
  <c r="Z774" i="3"/>
  <c r="Z545" i="3"/>
  <c r="Z467" i="3"/>
  <c r="Z567" i="3"/>
  <c r="BI324" i="1" s="1"/>
  <c r="Z584" i="3"/>
  <c r="Z804" i="3"/>
  <c r="Z629" i="3"/>
  <c r="Z653" i="3"/>
  <c r="Z628" i="3"/>
  <c r="Z731" i="3"/>
  <c r="Z758" i="3"/>
  <c r="BI425" i="1" s="1"/>
  <c r="Z750" i="3"/>
  <c r="Z780" i="3"/>
  <c r="Z221" i="3"/>
  <c r="Z93" i="3"/>
  <c r="Z839" i="3"/>
  <c r="Z372" i="3"/>
  <c r="Z285" i="3"/>
  <c r="Z700" i="3"/>
  <c r="Z837" i="3"/>
  <c r="Z35" i="3"/>
  <c r="Z141" i="3"/>
  <c r="Z82" i="3"/>
  <c r="Z693" i="3"/>
  <c r="Z29" i="3"/>
  <c r="Z302" i="3"/>
  <c r="Z811" i="3"/>
  <c r="AZ283" i="2" s="1"/>
  <c r="Z358" i="3"/>
  <c r="Z418" i="3"/>
  <c r="Z890" i="3"/>
  <c r="Z650" i="3"/>
  <c r="Z106" i="3"/>
  <c r="Z361" i="3"/>
  <c r="Z863" i="3"/>
  <c r="Z398" i="3"/>
  <c r="Z770" i="3"/>
  <c r="Z276" i="3"/>
  <c r="Z336" i="3"/>
  <c r="Z20" i="3"/>
  <c r="Z394" i="3"/>
  <c r="Z764" i="3"/>
  <c r="Z330" i="3"/>
  <c r="Z499" i="3"/>
  <c r="Z356" i="3"/>
  <c r="Z622" i="3"/>
  <c r="Z724" i="3"/>
  <c r="Z762" i="3"/>
  <c r="Z794" i="3"/>
  <c r="Z810" i="3"/>
  <c r="Z865" i="3"/>
  <c r="Z66" i="3"/>
  <c r="Z776" i="3"/>
  <c r="Z718" i="3"/>
  <c r="Z862" i="3"/>
  <c r="Z337" i="3"/>
  <c r="Z393" i="3"/>
  <c r="Z237" i="3"/>
  <c r="Z170" i="3"/>
  <c r="Z104" i="3"/>
  <c r="Z428" i="3"/>
  <c r="Z447" i="3"/>
  <c r="Z409" i="3"/>
  <c r="Z588" i="3"/>
  <c r="Z73" i="3"/>
  <c r="AZ41" i="2" s="1"/>
  <c r="Z5" i="3"/>
  <c r="Z656" i="3"/>
  <c r="AZ361" i="2" s="1"/>
  <c r="Z202" i="3"/>
  <c r="Z21" i="3"/>
  <c r="Z55" i="3"/>
  <c r="Z674" i="3"/>
  <c r="Z19" i="3"/>
  <c r="Z105" i="3"/>
  <c r="Z130" i="3"/>
  <c r="Z783" i="3"/>
  <c r="Z526" i="3"/>
  <c r="Z632" i="3"/>
  <c r="Z711" i="3"/>
  <c r="Z522" i="3"/>
  <c r="Z161" i="3"/>
  <c r="Z660" i="3"/>
  <c r="Z830" i="3"/>
  <c r="Z58" i="3"/>
  <c r="Z238" i="3"/>
  <c r="Z456" i="3"/>
  <c r="Z670" i="3"/>
  <c r="Z478" i="3"/>
  <c r="Z349" i="3"/>
  <c r="Z536" i="3"/>
  <c r="Z556" i="3"/>
  <c r="Z34" i="3"/>
  <c r="Z115" i="3"/>
  <c r="Z697" i="3"/>
  <c r="Z819" i="3"/>
  <c r="AZ287" i="2" s="1"/>
  <c r="Z778" i="3"/>
  <c r="Z861" i="3"/>
  <c r="Z866" i="3"/>
  <c r="Z878" i="3"/>
  <c r="Z796" i="3"/>
  <c r="Z533" i="3"/>
  <c r="Z39" i="3"/>
  <c r="Z335" i="3"/>
  <c r="Z173" i="3"/>
  <c r="Z314" i="3"/>
  <c r="Z317" i="3"/>
  <c r="Z860" i="3"/>
  <c r="Z870" i="3"/>
  <c r="AZ406" i="2" s="1"/>
  <c r="Z249" i="3"/>
  <c r="Z209" i="3"/>
  <c r="Z535" i="3"/>
  <c r="Z222" i="3"/>
  <c r="Z167" i="3"/>
  <c r="Z763" i="3"/>
  <c r="Z139" i="3"/>
  <c r="Z507" i="3"/>
  <c r="Z99" i="3"/>
  <c r="Z144" i="3"/>
  <c r="Z438" i="3"/>
  <c r="Z230" i="3"/>
  <c r="Z56" i="3"/>
  <c r="Z123" i="3"/>
  <c r="Z689" i="3"/>
  <c r="Z702" i="3"/>
  <c r="Z52" i="3"/>
  <c r="Z429" i="3"/>
  <c r="Z164" i="3"/>
  <c r="Z489" i="3"/>
  <c r="Z818" i="3"/>
  <c r="Z454" i="3"/>
  <c r="Z551" i="3"/>
  <c r="Z157" i="3"/>
  <c r="Z311" i="3"/>
  <c r="Z11" i="3"/>
  <c r="Z617" i="3"/>
  <c r="Z873" i="3"/>
  <c r="Z462" i="3"/>
  <c r="Z621" i="3"/>
  <c r="Z721" i="3"/>
  <c r="Z715" i="3"/>
  <c r="BI238" i="1" s="1"/>
  <c r="Z757" i="3"/>
  <c r="Z793" i="3"/>
  <c r="Z806" i="3"/>
  <c r="Z832" i="3"/>
  <c r="Z744" i="3"/>
  <c r="Z480" i="3"/>
  <c r="Z348" i="3"/>
  <c r="Z54" i="3"/>
  <c r="Z547" i="3"/>
  <c r="Z684" i="3"/>
  <c r="Z303" i="3"/>
  <c r="Z754" i="3"/>
  <c r="Z875" i="3"/>
  <c r="Z709" i="3"/>
  <c r="Z809" i="3"/>
  <c r="Z872" i="3"/>
  <c r="Z375" i="3"/>
  <c r="Z831" i="3"/>
  <c r="Z171" i="3"/>
  <c r="Z665" i="3"/>
  <c r="Z722" i="3"/>
  <c r="Z698" i="3"/>
  <c r="Z206" i="3"/>
  <c r="Z14" i="3"/>
  <c r="Z50" i="3"/>
  <c r="Z185" i="3"/>
  <c r="Z97" i="3"/>
  <c r="Z101" i="3"/>
  <c r="Z260" i="3"/>
  <c r="Z225" i="3"/>
  <c r="Z525" i="3"/>
  <c r="Z258" i="3"/>
  <c r="Z679" i="3"/>
  <c r="Z216" i="3"/>
  <c r="Z627" i="3"/>
  <c r="Z315" i="3"/>
  <c r="Z512" i="3"/>
  <c r="Z668" i="3"/>
  <c r="Z738" i="3"/>
  <c r="Z295" i="3"/>
  <c r="Z203" i="3"/>
  <c r="Z828" i="3"/>
  <c r="Z195" i="3"/>
  <c r="Z706" i="3"/>
  <c r="AZ371" i="2" s="1"/>
  <c r="Z871" i="3"/>
  <c r="AZ407" i="2" s="1"/>
  <c r="Z426" i="3"/>
  <c r="Z572" i="3"/>
  <c r="Z136" i="3"/>
  <c r="Z129" i="3"/>
  <c r="Z482" i="3"/>
  <c r="Z286" i="3"/>
  <c r="Z743" i="3"/>
  <c r="AZ267" i="2" s="1"/>
  <c r="Z667" i="3"/>
  <c r="Z848" i="3"/>
  <c r="AZ298" i="2" s="1"/>
  <c r="Z695" i="3"/>
  <c r="Z324" i="3"/>
  <c r="Z642" i="3"/>
  <c r="Z211" i="3"/>
  <c r="Z116" i="3"/>
  <c r="Z45" i="3"/>
  <c r="Z840" i="3"/>
  <c r="Z887" i="3"/>
  <c r="Z292" i="3"/>
  <c r="Z72" i="3"/>
  <c r="Z165" i="3"/>
  <c r="AZ95" i="2" s="1"/>
  <c r="Z282" i="3"/>
  <c r="Z96" i="3"/>
  <c r="Z162" i="3"/>
  <c r="Z891" i="3"/>
  <c r="Z100" i="3"/>
  <c r="Z817" i="3"/>
  <c r="Z352" i="3"/>
  <c r="Z405" i="3"/>
  <c r="Z235" i="3"/>
  <c r="Z284" i="3"/>
  <c r="Z654" i="3"/>
  <c r="Z636" i="3"/>
  <c r="Z264" i="3"/>
  <c r="Z669" i="3"/>
  <c r="Z183" i="3"/>
  <c r="Z419" i="3"/>
  <c r="Z583" i="3"/>
  <c r="Z228" i="3"/>
  <c r="Z443" i="3"/>
  <c r="Z457" i="3"/>
  <c r="Z688" i="3"/>
  <c r="Z179" i="3"/>
  <c r="Z422" i="3"/>
  <c r="Z275" i="3"/>
  <c r="Z772" i="3"/>
  <c r="Z146" i="3"/>
  <c r="Z109" i="3"/>
  <c r="Z253" i="3"/>
  <c r="Z240" i="3"/>
  <c r="Z149" i="3"/>
  <c r="Z631" i="3"/>
  <c r="Z127" i="3"/>
  <c r="Z523" i="3"/>
  <c r="Z236" i="3"/>
  <c r="Z391" i="3"/>
  <c r="Z835" i="3"/>
  <c r="Z834" i="3"/>
  <c r="Z113" i="3"/>
  <c r="Z242" i="3"/>
  <c r="Z530" i="3"/>
  <c r="Z309" i="3"/>
  <c r="Z77" i="3"/>
  <c r="Z658" i="3"/>
  <c r="Z266" i="3"/>
  <c r="Z511" i="3"/>
  <c r="Z580" i="3"/>
  <c r="Z662" i="3"/>
  <c r="Z581" i="3"/>
  <c r="Z687" i="3"/>
  <c r="Z111" i="3"/>
  <c r="Z807" i="3"/>
  <c r="Z305" i="3"/>
  <c r="Z712" i="3"/>
  <c r="Z12" i="3"/>
  <c r="Z841" i="3"/>
  <c r="Z117" i="3"/>
  <c r="Z666" i="3"/>
  <c r="Z43" i="3"/>
  <c r="Z32" i="3"/>
  <c r="Z477" i="3"/>
  <c r="Z68" i="3"/>
  <c r="Z143" i="3"/>
  <c r="Z91" i="3"/>
  <c r="Z190" i="3"/>
  <c r="Z439" i="3"/>
  <c r="Z557" i="3"/>
  <c r="Z534" i="3"/>
  <c r="Z370" i="3"/>
  <c r="Z257" i="3"/>
  <c r="Z256" i="3"/>
  <c r="Z265" i="3"/>
  <c r="Z792" i="3"/>
  <c r="Z218" i="3"/>
  <c r="Z169" i="3"/>
  <c r="Z560" i="3"/>
  <c r="Z90" i="3"/>
  <c r="Z680" i="3"/>
  <c r="Z562" i="3"/>
  <c r="Z299" i="3"/>
  <c r="Z231" i="3"/>
  <c r="Z191" i="3"/>
  <c r="Z327" i="3"/>
  <c r="Z759" i="3"/>
  <c r="Z537" i="3"/>
  <c r="Z155" i="3"/>
  <c r="Z208" i="3"/>
  <c r="Z420" i="3"/>
  <c r="Z682" i="3"/>
  <c r="Z527" i="3"/>
  <c r="Z579" i="3"/>
  <c r="Z408" i="3"/>
  <c r="Z789" i="3"/>
  <c r="Z135" i="3"/>
  <c r="Z415" i="3"/>
  <c r="BI152" i="1" s="1"/>
  <c r="Z251" i="3"/>
  <c r="Z492" i="3"/>
  <c r="Z245" i="3"/>
  <c r="Z648" i="3"/>
  <c r="Z107" i="3"/>
  <c r="Z355" i="3"/>
  <c r="Z843" i="3"/>
  <c r="Z283" i="3"/>
  <c r="BI104" i="1" s="1"/>
  <c r="Z739" i="3"/>
  <c r="Z703" i="3"/>
  <c r="Z571" i="3"/>
  <c r="Z608" i="3"/>
  <c r="Z120" i="3"/>
  <c r="Z625" i="3"/>
  <c r="Z110" i="3"/>
  <c r="Z790" i="3"/>
  <c r="Z786" i="3"/>
  <c r="Z569" i="3"/>
  <c r="Z83" i="3"/>
  <c r="Z851" i="3"/>
  <c r="Z343" i="3"/>
  <c r="Z685" i="3"/>
  <c r="Z321" i="3"/>
  <c r="BI112" i="1" s="1"/>
  <c r="Z247" i="3"/>
  <c r="Z168" i="3"/>
  <c r="Z186" i="3"/>
  <c r="Z152" i="3"/>
  <c r="Z24" i="3"/>
  <c r="Z23" i="3"/>
  <c r="Z465" i="3"/>
  <c r="Z805" i="3"/>
  <c r="Z747" i="3"/>
  <c r="Z140" i="3"/>
  <c r="Z570" i="3"/>
  <c r="Z385" i="3"/>
  <c r="Z345" i="3"/>
  <c r="Z728" i="3"/>
  <c r="Z151" i="3"/>
  <c r="Z868" i="3"/>
  <c r="Z827" i="3"/>
  <c r="Z175" i="3"/>
  <c r="Z864" i="3"/>
  <c r="Z87" i="3"/>
  <c r="Z403" i="3"/>
  <c r="Z16" i="3"/>
  <c r="Z378" i="3"/>
  <c r="Z57" i="3"/>
  <c r="Z496" i="3"/>
  <c r="Z36" i="3"/>
  <c r="Z756" i="3"/>
  <c r="Z86" i="3"/>
  <c r="Z70" i="3"/>
  <c r="Z121" i="3"/>
  <c r="Z824" i="3"/>
  <c r="Z334" i="3"/>
  <c r="Z341" i="3"/>
  <c r="Z289" i="3"/>
  <c r="Z753" i="3"/>
  <c r="Z76" i="3"/>
  <c r="Z291" i="3"/>
  <c r="Z124" i="3"/>
  <c r="Z320" i="3"/>
  <c r="Z280" i="3"/>
  <c r="Z84" i="3"/>
  <c r="Z137" i="3"/>
  <c r="Z6" i="3"/>
  <c r="Z49" i="3"/>
  <c r="Z187" i="3"/>
  <c r="Z102" i="3"/>
  <c r="Z188" i="3"/>
  <c r="Z126" i="3"/>
  <c r="Z461" i="3"/>
  <c r="Z61" i="3"/>
  <c r="Z134" i="3"/>
  <c r="Z67" i="3"/>
  <c r="Z200" i="3"/>
  <c r="Z44" i="3"/>
  <c r="Z363" i="3"/>
  <c r="Z380" i="3"/>
  <c r="Z366" i="3"/>
  <c r="Z338" i="3"/>
  <c r="Z194" i="3"/>
  <c r="Z42" i="3"/>
  <c r="Z344" i="3"/>
  <c r="Z41" i="3"/>
  <c r="Z723" i="3"/>
  <c r="Z437" i="3"/>
  <c r="Z201" i="3"/>
  <c r="Z197" i="3"/>
  <c r="Z262" i="3"/>
  <c r="Z270" i="3"/>
  <c r="Z293" i="3"/>
  <c r="Z451" i="3"/>
  <c r="Z802" i="3"/>
  <c r="Z506" i="3"/>
  <c r="Z319" i="3"/>
  <c r="Z529" i="3"/>
  <c r="Z578" i="3"/>
  <c r="Z821" i="3"/>
  <c r="Z94" i="3"/>
  <c r="Z844" i="3"/>
  <c r="Z26" i="3"/>
  <c r="Z402" i="3"/>
  <c r="Z377" i="3"/>
  <c r="Z416" i="3"/>
  <c r="Z603" i="3"/>
  <c r="Z493" i="3"/>
  <c r="Z857" i="3"/>
  <c r="AZ399" i="2" s="1"/>
  <c r="Z705" i="3"/>
  <c r="Z590" i="3"/>
  <c r="Z595" i="3"/>
  <c r="Z605" i="3"/>
  <c r="Z640" i="3"/>
  <c r="Z717" i="3"/>
  <c r="Z649" i="3"/>
  <c r="Z761" i="3"/>
  <c r="Z166" i="3"/>
  <c r="Z369" i="3"/>
  <c r="Z47" i="3"/>
  <c r="Z886" i="3"/>
  <c r="Z273" i="3"/>
  <c r="Z243" i="3"/>
  <c r="Z342" i="3"/>
  <c r="Z430" i="3"/>
  <c r="Z212" i="3"/>
  <c r="Z479" i="3"/>
  <c r="Z214" i="3"/>
  <c r="Z69" i="3"/>
  <c r="Z829" i="3"/>
  <c r="Z815" i="3"/>
  <c r="Z548" i="3"/>
  <c r="Z683" i="3"/>
  <c r="Z351" i="3"/>
  <c r="Z784" i="3"/>
  <c r="Z339" i="3"/>
  <c r="Z389" i="3"/>
  <c r="Z15" i="3"/>
  <c r="Z75" i="3"/>
  <c r="Z353" i="3"/>
  <c r="Z325" i="3"/>
  <c r="Z505" i="3"/>
  <c r="Z65" i="3"/>
  <c r="Z60" i="3"/>
  <c r="Z663" i="3"/>
  <c r="Z413" i="3"/>
  <c r="Z381" i="3"/>
  <c r="Z263" i="3"/>
  <c r="Z395" i="3"/>
  <c r="Z357" i="3"/>
  <c r="Z371" i="3"/>
  <c r="Z404" i="3"/>
  <c r="Z347" i="3"/>
  <c r="Z220" i="3"/>
  <c r="Z769" i="3"/>
  <c r="Z59" i="3"/>
  <c r="Z379" i="3"/>
  <c r="Z386" i="3"/>
  <c r="Z382" i="3"/>
  <c r="Z180" i="3"/>
  <c r="Z383" i="3"/>
  <c r="Z229" i="3"/>
  <c r="Z132" i="3"/>
  <c r="Z397" i="3"/>
  <c r="Z436" i="3"/>
  <c r="Z432" i="3"/>
  <c r="Z401" i="3"/>
  <c r="Z406" i="3"/>
  <c r="Z412" i="3"/>
  <c r="Z414" i="3"/>
  <c r="Z458" i="3"/>
  <c r="Z823" i="3"/>
  <c r="Z469" i="3"/>
  <c r="Z255" i="3"/>
  <c r="Z521" i="3"/>
  <c r="Z421" i="3"/>
  <c r="Z484" i="3"/>
  <c r="Z446" i="3"/>
  <c r="Z470" i="3"/>
  <c r="Z486" i="3"/>
  <c r="Z433" i="3"/>
  <c r="Z881" i="3"/>
  <c r="Z434" i="3"/>
  <c r="Z435" i="3"/>
  <c r="Z459" i="3"/>
  <c r="Z502" i="3"/>
  <c r="Z460" i="3"/>
  <c r="Z538" i="3"/>
  <c r="Z476" i="3"/>
  <c r="Z445" i="3"/>
  <c r="Z450" i="3"/>
  <c r="Z514" i="3"/>
  <c r="Z485" i="3"/>
  <c r="Z226" i="3"/>
  <c r="Z119" i="3"/>
  <c r="Z455" i="3"/>
  <c r="Z463" i="3"/>
  <c r="Z468" i="3"/>
  <c r="Z554" i="3"/>
  <c r="Z475" i="3"/>
  <c r="BI165" i="1" s="1"/>
  <c r="Z472" i="3"/>
  <c r="Z368" i="3"/>
  <c r="Z498" i="3"/>
  <c r="Z501" i="3"/>
  <c r="Z552" i="3"/>
  <c r="Z517" i="3"/>
  <c r="Z513" i="3"/>
  <c r="Z491" i="3"/>
  <c r="BI170" i="1" s="1"/>
  <c r="Z515" i="3"/>
  <c r="Z516" i="3"/>
  <c r="Z89" i="3"/>
  <c r="Z582" i="3"/>
  <c r="Z575" i="3"/>
  <c r="Z541" i="3"/>
  <c r="Z577" i="3"/>
  <c r="Z542" i="3"/>
  <c r="Z546" i="3"/>
  <c r="Z483" i="3"/>
  <c r="Z852" i="3"/>
  <c r="Z550" i="3"/>
  <c r="Z587" i="3"/>
  <c r="Z568" i="3"/>
  <c r="Z559" i="3"/>
  <c r="Z553" i="3"/>
  <c r="Z555" i="3"/>
  <c r="Z178" i="3"/>
  <c r="Z118" i="3"/>
  <c r="Z607" i="3"/>
  <c r="Z635" i="3"/>
  <c r="Z563" i="3"/>
  <c r="Z565" i="3"/>
  <c r="Z589" i="3"/>
  <c r="Z373" i="3"/>
  <c r="Z599" i="3"/>
  <c r="Z602" i="3"/>
  <c r="Z613" i="3"/>
  <c r="Z612" i="3"/>
  <c r="Z574" i="3"/>
  <c r="Z614" i="3"/>
  <c r="Z592" i="3"/>
  <c r="Z606" i="3"/>
  <c r="Z598" i="3"/>
  <c r="Z638" i="3"/>
  <c r="Z615" i="3"/>
  <c r="Z601" i="3"/>
  <c r="Z639" i="3"/>
  <c r="Z333" i="3"/>
  <c r="Z645" i="3"/>
  <c r="Z696" i="3"/>
  <c r="Z652" i="3"/>
  <c r="Z609" i="3"/>
  <c r="Z637" i="3"/>
  <c r="Z708" i="3"/>
  <c r="Z644" i="3"/>
  <c r="Z678" i="3"/>
  <c r="Z643" i="3"/>
  <c r="Z619" i="3"/>
  <c r="Z634" i="3"/>
  <c r="Z725" i="3"/>
  <c r="Z616" i="3"/>
  <c r="Z675" i="3"/>
  <c r="Z883" i="3"/>
  <c r="Z690" i="3"/>
  <c r="Z713" i="3"/>
  <c r="Z691" i="3"/>
  <c r="Z641" i="3"/>
  <c r="Z701" i="3"/>
  <c r="Z671" i="3"/>
  <c r="Z655" i="3"/>
  <c r="Z177" i="3"/>
  <c r="Z714" i="3"/>
  <c r="Z719" i="3"/>
  <c r="Z777" i="3"/>
  <c r="BI427" i="1" s="1"/>
  <c r="Z726" i="3"/>
  <c r="Z699" i="3"/>
  <c r="Z692" i="3"/>
  <c r="Z248" i="3"/>
  <c r="Z704" i="3"/>
  <c r="Z736" i="3"/>
  <c r="Z716" i="3"/>
  <c r="Z771" i="3"/>
  <c r="Z720" i="3"/>
  <c r="Z748" i="3"/>
  <c r="Z79" i="3"/>
  <c r="Z801" i="3"/>
  <c r="Z737" i="3"/>
  <c r="Z734" i="3"/>
  <c r="Z781" i="3"/>
  <c r="Z741" i="3"/>
  <c r="Z775" i="3"/>
  <c r="Z740" i="3"/>
  <c r="Z782" i="3"/>
  <c r="Z773" i="3"/>
  <c r="Z746" i="3"/>
  <c r="Z787" i="3"/>
  <c r="Z800" i="3"/>
  <c r="Z785" i="3"/>
  <c r="Z766" i="3"/>
  <c r="Z820" i="3"/>
  <c r="Z779" i="3"/>
  <c r="Z812" i="3"/>
  <c r="Z788" i="3"/>
  <c r="Z822" i="3"/>
  <c r="Z826" i="3"/>
  <c r="Z797" i="3"/>
  <c r="Z836" i="3"/>
  <c r="Z799" i="3"/>
  <c r="Z842" i="3"/>
  <c r="Z850" i="3"/>
  <c r="Z854" i="3"/>
  <c r="Z814" i="3"/>
  <c r="Z856" i="3"/>
  <c r="Z855" i="3"/>
  <c r="Z845" i="3"/>
  <c r="Z223" i="3"/>
  <c r="Z365" i="3"/>
  <c r="Z847" i="3"/>
  <c r="AZ297" i="2" s="1"/>
  <c r="AB154" i="3"/>
  <c r="AB33" i="3"/>
  <c r="AB239" i="3"/>
  <c r="AB234" i="3"/>
  <c r="AB884" i="3"/>
  <c r="AB25" i="3"/>
  <c r="AB17" i="3"/>
  <c r="AB367" i="3"/>
  <c r="AB290" i="3"/>
  <c r="AB277" i="3"/>
  <c r="AB442" i="3"/>
  <c r="AB646" i="3"/>
  <c r="AB633" i="3"/>
  <c r="AB795" i="3"/>
  <c r="AB400" i="3"/>
  <c r="AB63" i="3"/>
  <c r="AB322" i="3"/>
  <c r="AB611" i="3"/>
  <c r="BB355" i="2" s="1"/>
  <c r="AB520" i="3"/>
  <c r="AB232" i="3"/>
  <c r="AB298" i="3"/>
  <c r="AB244" i="3"/>
  <c r="AB594" i="3"/>
  <c r="AB174" i="3"/>
  <c r="AB346" i="3"/>
  <c r="AB205" i="3"/>
  <c r="AB813" i="3"/>
  <c r="AB509" i="3"/>
  <c r="AB733" i="3"/>
  <c r="AB359" i="3"/>
  <c r="AB825" i="3"/>
  <c r="AB390" i="3"/>
  <c r="AB376" i="3"/>
  <c r="AB452" i="3"/>
  <c r="AB329" i="3"/>
  <c r="AB272" i="3"/>
  <c r="AB396" i="3"/>
  <c r="AB269" i="3"/>
  <c r="AB490" i="3"/>
  <c r="AB774" i="3"/>
  <c r="AB545" i="3"/>
  <c r="AB467" i="3"/>
  <c r="AB567" i="3"/>
  <c r="BK324" i="1" s="1"/>
  <c r="AB584" i="3"/>
  <c r="AB804" i="3"/>
  <c r="AB629" i="3"/>
  <c r="AB653" i="3"/>
  <c r="AB628" i="3"/>
  <c r="AB731" i="3"/>
  <c r="AB758" i="3"/>
  <c r="BK425" i="1" s="1"/>
  <c r="AB750" i="3"/>
  <c r="AB780" i="3"/>
  <c r="AB221" i="3"/>
  <c r="AB93" i="3"/>
  <c r="AB839" i="3"/>
  <c r="AB372" i="3"/>
  <c r="AB285" i="3"/>
  <c r="AB700" i="3"/>
  <c r="AB837" i="3"/>
  <c r="BB290" i="2" s="1"/>
  <c r="AB35" i="3"/>
  <c r="AB141" i="3"/>
  <c r="AB82" i="3"/>
  <c r="AB693" i="3"/>
  <c r="AB29" i="3"/>
  <c r="AB302" i="3"/>
  <c r="AB811" i="3"/>
  <c r="BB283" i="2" s="1"/>
  <c r="AB358" i="3"/>
  <c r="AB418" i="3"/>
  <c r="AB890" i="3"/>
  <c r="AB650" i="3"/>
  <c r="AB106" i="3"/>
  <c r="AB361" i="3"/>
  <c r="AB863" i="3"/>
  <c r="AB398" i="3"/>
  <c r="AB770" i="3"/>
  <c r="AB276" i="3"/>
  <c r="AB336" i="3"/>
  <c r="AB20" i="3"/>
  <c r="AB394" i="3"/>
  <c r="AB764" i="3"/>
  <c r="AB330" i="3"/>
  <c r="AB499" i="3"/>
  <c r="AB356" i="3"/>
  <c r="AB622" i="3"/>
  <c r="AB724" i="3"/>
  <c r="AB762" i="3"/>
  <c r="AB794" i="3"/>
  <c r="AB810" i="3"/>
  <c r="AB865" i="3"/>
  <c r="AB66" i="3"/>
  <c r="AB776" i="3"/>
  <c r="AB718" i="3"/>
  <c r="AB862" i="3"/>
  <c r="AB337" i="3"/>
  <c r="AB393" i="3"/>
  <c r="AB237" i="3"/>
  <c r="AB170" i="3"/>
  <c r="AB104" i="3"/>
  <c r="AB428" i="3"/>
  <c r="AB447" i="3"/>
  <c r="AB409" i="3"/>
  <c r="AB588" i="3"/>
  <c r="AB73" i="3"/>
  <c r="AB5" i="3"/>
  <c r="AB656" i="3"/>
  <c r="BB361" i="2" s="1"/>
  <c r="AB202" i="3"/>
  <c r="AB21" i="3"/>
  <c r="AB55" i="3"/>
  <c r="AB674" i="3"/>
  <c r="AB19" i="3"/>
  <c r="AB105" i="3"/>
  <c r="AB130" i="3"/>
  <c r="AB783" i="3"/>
  <c r="AB526" i="3"/>
  <c r="AB632" i="3"/>
  <c r="AB711" i="3"/>
  <c r="AB522" i="3"/>
  <c r="AB161" i="3"/>
  <c r="AB660" i="3"/>
  <c r="AB830" i="3"/>
  <c r="AB58" i="3"/>
  <c r="AB238" i="3"/>
  <c r="AB456" i="3"/>
  <c r="AB670" i="3"/>
  <c r="AB478" i="3"/>
  <c r="AB349" i="3"/>
  <c r="AB536" i="3"/>
  <c r="AB556" i="3"/>
  <c r="AB34" i="3"/>
  <c r="AB115" i="3"/>
  <c r="AB697" i="3"/>
  <c r="AB819" i="3"/>
  <c r="BB287" i="2" s="1"/>
  <c r="AB778" i="3"/>
  <c r="AB861" i="3"/>
  <c r="AB866" i="3"/>
  <c r="AB878" i="3"/>
  <c r="AB796" i="3"/>
  <c r="AB533" i="3"/>
  <c r="AB39" i="3"/>
  <c r="AB335" i="3"/>
  <c r="AB173" i="3"/>
  <c r="AB314" i="3"/>
  <c r="AB317" i="3"/>
  <c r="AB860" i="3"/>
  <c r="AB870" i="3"/>
  <c r="BB406" i="2" s="1"/>
  <c r="AB249" i="3"/>
  <c r="AB209" i="3"/>
  <c r="AB535" i="3"/>
  <c r="AB222" i="3"/>
  <c r="AB167" i="3"/>
  <c r="AB763" i="3"/>
  <c r="AB139" i="3"/>
  <c r="AB507" i="3"/>
  <c r="AB99" i="3"/>
  <c r="AB144" i="3"/>
  <c r="AB438" i="3"/>
  <c r="AB230" i="3"/>
  <c r="AB56" i="3"/>
  <c r="AB123" i="3"/>
  <c r="AB689" i="3"/>
  <c r="AB702" i="3"/>
  <c r="AB52" i="3"/>
  <c r="AB429" i="3"/>
  <c r="AB164" i="3"/>
  <c r="AB489" i="3"/>
  <c r="AB818" i="3"/>
  <c r="AB454" i="3"/>
  <c r="AB551" i="3"/>
  <c r="AB157" i="3"/>
  <c r="AB311" i="3"/>
  <c r="AB11" i="3"/>
  <c r="AB617" i="3"/>
  <c r="AB873" i="3"/>
  <c r="AB462" i="3"/>
  <c r="AB621" i="3"/>
  <c r="AB721" i="3"/>
  <c r="AB715" i="3"/>
  <c r="BK238" i="1" s="1"/>
  <c r="AB757" i="3"/>
  <c r="AB793" i="3"/>
  <c r="AB806" i="3"/>
  <c r="AB832" i="3"/>
  <c r="AB744" i="3"/>
  <c r="AB480" i="3"/>
  <c r="AB348" i="3"/>
  <c r="AB54" i="3"/>
  <c r="AB547" i="3"/>
  <c r="AB684" i="3"/>
  <c r="AB303" i="3"/>
  <c r="AB754" i="3"/>
  <c r="AB875" i="3"/>
  <c r="AB709" i="3"/>
  <c r="AB809" i="3"/>
  <c r="AB872" i="3"/>
  <c r="AB375" i="3"/>
  <c r="AB831" i="3"/>
  <c r="AB171" i="3"/>
  <c r="AB665" i="3"/>
  <c r="AB722" i="3"/>
  <c r="AB698" i="3"/>
  <c r="AB206" i="3"/>
  <c r="AB14" i="3"/>
  <c r="AB50" i="3"/>
  <c r="AB185" i="3"/>
  <c r="AB97" i="3"/>
  <c r="AB101" i="3"/>
  <c r="AB260" i="3"/>
  <c r="AB225" i="3"/>
  <c r="AB525" i="3"/>
  <c r="AB258" i="3"/>
  <c r="AB679" i="3"/>
  <c r="AB216" i="3"/>
  <c r="AB627" i="3"/>
  <c r="AB315" i="3"/>
  <c r="AB512" i="3"/>
  <c r="AB668" i="3"/>
  <c r="AB738" i="3"/>
  <c r="AB295" i="3"/>
  <c r="AB203" i="3"/>
  <c r="AB828" i="3"/>
  <c r="AB195" i="3"/>
  <c r="AB706" i="3"/>
  <c r="AB871" i="3"/>
  <c r="BB407" i="2" s="1"/>
  <c r="AB426" i="3"/>
  <c r="AB572" i="3"/>
  <c r="AB136" i="3"/>
  <c r="AB129" i="3"/>
  <c r="AB482" i="3"/>
  <c r="AB286" i="3"/>
  <c r="AB743" i="3"/>
  <c r="BB267" i="2" s="1"/>
  <c r="AB667" i="3"/>
  <c r="AB848" i="3"/>
  <c r="BB298" i="2" s="1"/>
  <c r="AB695" i="3"/>
  <c r="AB324" i="3"/>
  <c r="AB642" i="3"/>
  <c r="AB211" i="3"/>
  <c r="AB116" i="3"/>
  <c r="AB45" i="3"/>
  <c r="AB840" i="3"/>
  <c r="AB887" i="3"/>
  <c r="AB292" i="3"/>
  <c r="AB72" i="3"/>
  <c r="AB165" i="3"/>
  <c r="AB282" i="3"/>
  <c r="AB96" i="3"/>
  <c r="AB162" i="3"/>
  <c r="AB891" i="3"/>
  <c r="AB100" i="3"/>
  <c r="AB817" i="3"/>
  <c r="AB352" i="3"/>
  <c r="AB405" i="3"/>
  <c r="AB235" i="3"/>
  <c r="AB284" i="3"/>
  <c r="AB654" i="3"/>
  <c r="AB636" i="3"/>
  <c r="AB264" i="3"/>
  <c r="AB669" i="3"/>
  <c r="AB183" i="3"/>
  <c r="AB419" i="3"/>
  <c r="AB583" i="3"/>
  <c r="AB228" i="3"/>
  <c r="AB443" i="3"/>
  <c r="AB457" i="3"/>
  <c r="AB688" i="3"/>
  <c r="AB179" i="3"/>
  <c r="AB422" i="3"/>
  <c r="AB275" i="3"/>
  <c r="AB772" i="3"/>
  <c r="AB146" i="3"/>
  <c r="AB109" i="3"/>
  <c r="AB253" i="3"/>
  <c r="AB240" i="3"/>
  <c r="AB149" i="3"/>
  <c r="AB631" i="3"/>
  <c r="AB127" i="3"/>
  <c r="AB523" i="3"/>
  <c r="AB236" i="3"/>
  <c r="AB391" i="3"/>
  <c r="AB835" i="3"/>
  <c r="AB834" i="3"/>
  <c r="AB113" i="3"/>
  <c r="AB242" i="3"/>
  <c r="AB530" i="3"/>
  <c r="AB309" i="3"/>
  <c r="AB77" i="3"/>
  <c r="AB658" i="3"/>
  <c r="AB266" i="3"/>
  <c r="AB511" i="3"/>
  <c r="AB580" i="3"/>
  <c r="AB662" i="3"/>
  <c r="AB581" i="3"/>
  <c r="AB687" i="3"/>
  <c r="AB111" i="3"/>
  <c r="AB807" i="3"/>
  <c r="AB305" i="3"/>
  <c r="AB712" i="3"/>
  <c r="AB12" i="3"/>
  <c r="AB841" i="3"/>
  <c r="AB117" i="3"/>
  <c r="AB666" i="3"/>
  <c r="AB43" i="3"/>
  <c r="AB32" i="3"/>
  <c r="AB477" i="3"/>
  <c r="AB68" i="3"/>
  <c r="AB143" i="3"/>
  <c r="AB91" i="3"/>
  <c r="AB190" i="3"/>
  <c r="AB439" i="3"/>
  <c r="AB557" i="3"/>
  <c r="AB534" i="3"/>
  <c r="AB370" i="3"/>
  <c r="AB257" i="3"/>
  <c r="AB256" i="3"/>
  <c r="AB265" i="3"/>
  <c r="AB792" i="3"/>
  <c r="AB218" i="3"/>
  <c r="AB169" i="3"/>
  <c r="AB560" i="3"/>
  <c r="AB90" i="3"/>
  <c r="AB680" i="3"/>
  <c r="AB562" i="3"/>
  <c r="AB299" i="3"/>
  <c r="AB231" i="3"/>
  <c r="AB191" i="3"/>
  <c r="AB327" i="3"/>
  <c r="AB759" i="3"/>
  <c r="AB537" i="3"/>
  <c r="AB155" i="3"/>
  <c r="AB208" i="3"/>
  <c r="AB420" i="3"/>
  <c r="AB682" i="3"/>
  <c r="AB527" i="3"/>
  <c r="AB579" i="3"/>
  <c r="AB408" i="3"/>
  <c r="AB789" i="3"/>
  <c r="AB135" i="3"/>
  <c r="AB415" i="3"/>
  <c r="BK152" i="1" s="1"/>
  <c r="AB251" i="3"/>
  <c r="AB492" i="3"/>
  <c r="AB245" i="3"/>
  <c r="AB648" i="3"/>
  <c r="AB107" i="3"/>
  <c r="AB355" i="3"/>
  <c r="AB843" i="3"/>
  <c r="AB283" i="3"/>
  <c r="BK104" i="1" s="1"/>
  <c r="AB739" i="3"/>
  <c r="AB703" i="3"/>
  <c r="AB571" i="3"/>
  <c r="AB608" i="3"/>
  <c r="AB120" i="3"/>
  <c r="AB625" i="3"/>
  <c r="AB110" i="3"/>
  <c r="AB790" i="3"/>
  <c r="AB786" i="3"/>
  <c r="AB569" i="3"/>
  <c r="AB83" i="3"/>
  <c r="AB851" i="3"/>
  <c r="AB343" i="3"/>
  <c r="AB685" i="3"/>
  <c r="AB321" i="3"/>
  <c r="BK112" i="1" s="1"/>
  <c r="AB247" i="3"/>
  <c r="AB168" i="3"/>
  <c r="AB186" i="3"/>
  <c r="AB152" i="3"/>
  <c r="AB24" i="3"/>
  <c r="AB23" i="3"/>
  <c r="AB465" i="3"/>
  <c r="AB805" i="3"/>
  <c r="AB747" i="3"/>
  <c r="AB140" i="3"/>
  <c r="AB570" i="3"/>
  <c r="BB221" i="2" s="1"/>
  <c r="AB385" i="3"/>
  <c r="AB345" i="3"/>
  <c r="AB728" i="3"/>
  <c r="AB151" i="3"/>
  <c r="AB868" i="3"/>
  <c r="AB827" i="3"/>
  <c r="AB175" i="3"/>
  <c r="AB864" i="3"/>
  <c r="AB87" i="3"/>
  <c r="AB403" i="3"/>
  <c r="AB16" i="3"/>
  <c r="AB378" i="3"/>
  <c r="AB57" i="3"/>
  <c r="AB496" i="3"/>
  <c r="AB36" i="3"/>
  <c r="AB756" i="3"/>
  <c r="AB86" i="3"/>
  <c r="AB70" i="3"/>
  <c r="AB121" i="3"/>
  <c r="AB824" i="3"/>
  <c r="AB334" i="3"/>
  <c r="AB341" i="3"/>
  <c r="AB289" i="3"/>
  <c r="AB753" i="3"/>
  <c r="AB76" i="3"/>
  <c r="AB291" i="3"/>
  <c r="AB124" i="3"/>
  <c r="AB320" i="3"/>
  <c r="AB280" i="3"/>
  <c r="AB84" i="3"/>
  <c r="AB137" i="3"/>
  <c r="AB6" i="3"/>
  <c r="AB49" i="3"/>
  <c r="AB187" i="3"/>
  <c r="AB102" i="3"/>
  <c r="AB188" i="3"/>
  <c r="AB126" i="3"/>
  <c r="AB461" i="3"/>
  <c r="AB61" i="3"/>
  <c r="AB134" i="3"/>
  <c r="AB67" i="3"/>
  <c r="AB200" i="3"/>
  <c r="AB44" i="3"/>
  <c r="AB363" i="3"/>
  <c r="AB380" i="3"/>
  <c r="AB366" i="3"/>
  <c r="AB338" i="3"/>
  <c r="AB194" i="3"/>
  <c r="AB42" i="3"/>
  <c r="AB344" i="3"/>
  <c r="AB41" i="3"/>
  <c r="AB723" i="3"/>
  <c r="AB437" i="3"/>
  <c r="BB364" i="2" s="1"/>
  <c r="AB201" i="3"/>
  <c r="AB197" i="3"/>
  <c r="AB262" i="3"/>
  <c r="AB270" i="3"/>
  <c r="AB293" i="3"/>
  <c r="AB451" i="3"/>
  <c r="AB802" i="3"/>
  <c r="AB506" i="3"/>
  <c r="AB319" i="3"/>
  <c r="AB529" i="3"/>
  <c r="AB578" i="3"/>
  <c r="AB821" i="3"/>
  <c r="AB94" i="3"/>
  <c r="AB844" i="3"/>
  <c r="AB26" i="3"/>
  <c r="AB402" i="3"/>
  <c r="AB377" i="3"/>
  <c r="AB416" i="3"/>
  <c r="AB603" i="3"/>
  <c r="AB493" i="3"/>
  <c r="AB857" i="3"/>
  <c r="BB399" i="2" s="1"/>
  <c r="AB705" i="3"/>
  <c r="AB590" i="3"/>
  <c r="AB595" i="3"/>
  <c r="AB605" i="3"/>
  <c r="AB640" i="3"/>
  <c r="AB717" i="3"/>
  <c r="AB649" i="3"/>
  <c r="AB761" i="3"/>
  <c r="AB166" i="3"/>
  <c r="AB369" i="3"/>
  <c r="AB47" i="3"/>
  <c r="AB886" i="3"/>
  <c r="AB273" i="3"/>
  <c r="AB243" i="3"/>
  <c r="AB342" i="3"/>
  <c r="AB430" i="3"/>
  <c r="AB212" i="3"/>
  <c r="AB479" i="3"/>
  <c r="AB214" i="3"/>
  <c r="AB69" i="3"/>
  <c r="AB829" i="3"/>
  <c r="AB815" i="3"/>
  <c r="AB548" i="3"/>
  <c r="AB683" i="3"/>
  <c r="AB351" i="3"/>
  <c r="AB784" i="3"/>
  <c r="AB339" i="3"/>
  <c r="AB389" i="3"/>
  <c r="AB15" i="3"/>
  <c r="AB75" i="3"/>
  <c r="AB353" i="3"/>
  <c r="AB325" i="3"/>
  <c r="AB505" i="3"/>
  <c r="AB65" i="3"/>
  <c r="AB60" i="3"/>
  <c r="AB663" i="3"/>
  <c r="AB413" i="3"/>
  <c r="AB381" i="3"/>
  <c r="AB263" i="3"/>
  <c r="AB395" i="3"/>
  <c r="AB357" i="3"/>
  <c r="AB371" i="3"/>
  <c r="AB404" i="3"/>
  <c r="AB347" i="3"/>
  <c r="AB220" i="3"/>
  <c r="AB769" i="3"/>
  <c r="AB59" i="3"/>
  <c r="AB379" i="3"/>
  <c r="AB386" i="3"/>
  <c r="AB382" i="3"/>
  <c r="AB180" i="3"/>
  <c r="AB383" i="3"/>
  <c r="AB229" i="3"/>
  <c r="AB132" i="3"/>
  <c r="AB397" i="3"/>
  <c r="AB436" i="3"/>
  <c r="AB432" i="3"/>
  <c r="AB401" i="3"/>
  <c r="AB406" i="3"/>
  <c r="AB412" i="3"/>
  <c r="AB414" i="3"/>
  <c r="AB458" i="3"/>
  <c r="AB823" i="3"/>
  <c r="AB469" i="3"/>
  <c r="AB255" i="3"/>
  <c r="AB521" i="3"/>
  <c r="AB421" i="3"/>
  <c r="AB484" i="3"/>
  <c r="AB446" i="3"/>
  <c r="AB470" i="3"/>
  <c r="AB486" i="3"/>
  <c r="AB433" i="3"/>
  <c r="AB881" i="3"/>
  <c r="AB434" i="3"/>
  <c r="AB435" i="3"/>
  <c r="AB459" i="3"/>
  <c r="AB502" i="3"/>
  <c r="AB460" i="3"/>
  <c r="AB538" i="3"/>
  <c r="AB476" i="3"/>
  <c r="AB445" i="3"/>
  <c r="AB450" i="3"/>
  <c r="AB514" i="3"/>
  <c r="AB485" i="3"/>
  <c r="AB226" i="3"/>
  <c r="AB119" i="3"/>
  <c r="AB455" i="3"/>
  <c r="AB463" i="3"/>
  <c r="BK169" i="1" s="1"/>
  <c r="AB468" i="3"/>
  <c r="AB554" i="3"/>
  <c r="AB475" i="3"/>
  <c r="BK165" i="1" s="1"/>
  <c r="AB472" i="3"/>
  <c r="AB368" i="3"/>
  <c r="AB498" i="3"/>
  <c r="AB501" i="3"/>
  <c r="AB552" i="3"/>
  <c r="AB517" i="3"/>
  <c r="AB513" i="3"/>
  <c r="AB491" i="3"/>
  <c r="BK170" i="1" s="1"/>
  <c r="AB515" i="3"/>
  <c r="AB516" i="3"/>
  <c r="AB89" i="3"/>
  <c r="AB582" i="3"/>
  <c r="AB575" i="3"/>
  <c r="AB541" i="3"/>
  <c r="AB577" i="3"/>
  <c r="AB542" i="3"/>
  <c r="AB546" i="3"/>
  <c r="AB483" i="3"/>
  <c r="AB852" i="3"/>
  <c r="AB550" i="3"/>
  <c r="AB587" i="3"/>
  <c r="AB568" i="3"/>
  <c r="AB559" i="3"/>
  <c r="AB553" i="3"/>
  <c r="AB555" i="3"/>
  <c r="AB178" i="3"/>
  <c r="AB118" i="3"/>
  <c r="AB607" i="3"/>
  <c r="AB635" i="3"/>
  <c r="AB563" i="3"/>
  <c r="AB565" i="3"/>
  <c r="AB589" i="3"/>
  <c r="AB373" i="3"/>
  <c r="AB599" i="3"/>
  <c r="AB602" i="3"/>
  <c r="AB613" i="3"/>
  <c r="AB612" i="3"/>
  <c r="AB574" i="3"/>
  <c r="AB614" i="3"/>
  <c r="AB592" i="3"/>
  <c r="AB606" i="3"/>
  <c r="AB598" i="3"/>
  <c r="AB638" i="3"/>
  <c r="AB615" i="3"/>
  <c r="AB601" i="3"/>
  <c r="AB639" i="3"/>
  <c r="AB333" i="3"/>
  <c r="AB645" i="3"/>
  <c r="AB696" i="3"/>
  <c r="AB652" i="3"/>
  <c r="AB609" i="3"/>
  <c r="AB637" i="3"/>
  <c r="AB708" i="3"/>
  <c r="AB644" i="3"/>
  <c r="AB678" i="3"/>
  <c r="AB643" i="3"/>
  <c r="AB619" i="3"/>
  <c r="AB634" i="3"/>
  <c r="AB725" i="3"/>
  <c r="AB616" i="3"/>
  <c r="AB675" i="3"/>
  <c r="AB883" i="3"/>
  <c r="AB690" i="3"/>
  <c r="AB713" i="3"/>
  <c r="AB691" i="3"/>
  <c r="AB641" i="3"/>
  <c r="AB701" i="3"/>
  <c r="AB671" i="3"/>
  <c r="AB655" i="3"/>
  <c r="AB177" i="3"/>
  <c r="AB714" i="3"/>
  <c r="AB719" i="3"/>
  <c r="AB777" i="3"/>
  <c r="BK427" i="1" s="1"/>
  <c r="AB726" i="3"/>
  <c r="AB699" i="3"/>
  <c r="AB692" i="3"/>
  <c r="AB248" i="3"/>
  <c r="AB704" i="3"/>
  <c r="AB736" i="3"/>
  <c r="AB716" i="3"/>
  <c r="AB771" i="3"/>
  <c r="AB720" i="3"/>
  <c r="AB748" i="3"/>
  <c r="AB79" i="3"/>
  <c r="AB801" i="3"/>
  <c r="AB737" i="3"/>
  <c r="AB734" i="3"/>
  <c r="AB781" i="3"/>
  <c r="AB741" i="3"/>
  <c r="AB775" i="3"/>
  <c r="AB740" i="3"/>
  <c r="AB782" i="3"/>
  <c r="AB773" i="3"/>
  <c r="AB746" i="3"/>
  <c r="AB787" i="3"/>
  <c r="AB800" i="3"/>
  <c r="AB785" i="3"/>
  <c r="AB766" i="3"/>
  <c r="AB820" i="3"/>
  <c r="AB779" i="3"/>
  <c r="AB812" i="3"/>
  <c r="AB788" i="3"/>
  <c r="AB822" i="3"/>
  <c r="AB826" i="3"/>
  <c r="AB797" i="3"/>
  <c r="AB836" i="3"/>
  <c r="AB799" i="3"/>
  <c r="AB842" i="3"/>
  <c r="AB850" i="3"/>
  <c r="AB854" i="3"/>
  <c r="AB814" i="3"/>
  <c r="AB856" i="3"/>
  <c r="AB855" i="3"/>
  <c r="AB845" i="3"/>
  <c r="AB223" i="3"/>
  <c r="AB365" i="3"/>
  <c r="AB847" i="3"/>
  <c r="BB297" i="2" s="1"/>
  <c r="AA154" i="3"/>
  <c r="AA33" i="3"/>
  <c r="AA239" i="3"/>
  <c r="AA234" i="3"/>
  <c r="AA884" i="3"/>
  <c r="AA25" i="3"/>
  <c r="AA17" i="3"/>
  <c r="AA367" i="3"/>
  <c r="AA290" i="3"/>
  <c r="AA277" i="3"/>
  <c r="AA442" i="3"/>
  <c r="AA646" i="3"/>
  <c r="AA633" i="3"/>
  <c r="AA795" i="3"/>
  <c r="AA400" i="3"/>
  <c r="AA63" i="3"/>
  <c r="AA322" i="3"/>
  <c r="AA611" i="3"/>
  <c r="BA355" i="2" s="1"/>
  <c r="AA520" i="3"/>
  <c r="AA232" i="3"/>
  <c r="AA298" i="3"/>
  <c r="AA244" i="3"/>
  <c r="AA594" i="3"/>
  <c r="AA174" i="3"/>
  <c r="AA346" i="3"/>
  <c r="AA205" i="3"/>
  <c r="AA813" i="3"/>
  <c r="AA509" i="3"/>
  <c r="AA733" i="3"/>
  <c r="AA359" i="3"/>
  <c r="AA825" i="3"/>
  <c r="AA390" i="3"/>
  <c r="AA376" i="3"/>
  <c r="AA452" i="3"/>
  <c r="AA329" i="3"/>
  <c r="AA272" i="3"/>
  <c r="AA396" i="3"/>
  <c r="AA269" i="3"/>
  <c r="AA490" i="3"/>
  <c r="AA774" i="3"/>
  <c r="AA545" i="3"/>
  <c r="AA467" i="3"/>
  <c r="AA567" i="3"/>
  <c r="AA584" i="3"/>
  <c r="AA804" i="3"/>
  <c r="AA629" i="3"/>
  <c r="AA653" i="3"/>
  <c r="AA628" i="3"/>
  <c r="AA731" i="3"/>
  <c r="AA758" i="3"/>
  <c r="BJ425" i="1" s="1"/>
  <c r="AA750" i="3"/>
  <c r="AA780" i="3"/>
  <c r="AA221" i="3"/>
  <c r="AA93" i="3"/>
  <c r="AA839" i="3"/>
  <c r="AA372" i="3"/>
  <c r="AA285" i="3"/>
  <c r="AA700" i="3"/>
  <c r="AA837" i="3"/>
  <c r="AA35" i="3"/>
  <c r="AA141" i="3"/>
  <c r="AA82" i="3"/>
  <c r="AA693" i="3"/>
  <c r="AA29" i="3"/>
  <c r="AA302" i="3"/>
  <c r="AA811" i="3"/>
  <c r="BA283" i="2" s="1"/>
  <c r="AA358" i="3"/>
  <c r="AA418" i="3"/>
  <c r="AA890" i="3"/>
  <c r="AA650" i="3"/>
  <c r="AA106" i="3"/>
  <c r="AA361" i="3"/>
  <c r="AA863" i="3"/>
  <c r="AA398" i="3"/>
  <c r="AA770" i="3"/>
  <c r="AA276" i="3"/>
  <c r="AA336" i="3"/>
  <c r="AA20" i="3"/>
  <c r="AA394" i="3"/>
  <c r="AA764" i="3"/>
  <c r="AA330" i="3"/>
  <c r="AA499" i="3"/>
  <c r="AA356" i="3"/>
  <c r="AA622" i="3"/>
  <c r="AA724" i="3"/>
  <c r="AA762" i="3"/>
  <c r="AA794" i="3"/>
  <c r="AA810" i="3"/>
  <c r="AA865" i="3"/>
  <c r="AA66" i="3"/>
  <c r="AA776" i="3"/>
  <c r="AA718" i="3"/>
  <c r="AA862" i="3"/>
  <c r="AA337" i="3"/>
  <c r="AA393" i="3"/>
  <c r="AA237" i="3"/>
  <c r="AA170" i="3"/>
  <c r="AA104" i="3"/>
  <c r="AA428" i="3"/>
  <c r="AA447" i="3"/>
  <c r="AA409" i="3"/>
  <c r="AA588" i="3"/>
  <c r="AA73" i="3"/>
  <c r="AA5" i="3"/>
  <c r="AA656" i="3"/>
  <c r="BA361" i="2" s="1"/>
  <c r="AA202" i="3"/>
  <c r="AA21" i="3"/>
  <c r="AA55" i="3"/>
  <c r="AA674" i="3"/>
  <c r="AA19" i="3"/>
  <c r="AA105" i="3"/>
  <c r="AA130" i="3"/>
  <c r="AA783" i="3"/>
  <c r="AA526" i="3"/>
  <c r="AA632" i="3"/>
  <c r="AA711" i="3"/>
  <c r="AA522" i="3"/>
  <c r="AA161" i="3"/>
  <c r="AA660" i="3"/>
  <c r="AA830" i="3"/>
  <c r="AA58" i="3"/>
  <c r="AA238" i="3"/>
  <c r="AA456" i="3"/>
  <c r="AA670" i="3"/>
  <c r="AA478" i="3"/>
  <c r="AA349" i="3"/>
  <c r="AA536" i="3"/>
  <c r="AA556" i="3"/>
  <c r="AA34" i="3"/>
  <c r="AA115" i="3"/>
  <c r="AA697" i="3"/>
  <c r="AA819" i="3"/>
  <c r="BA287" i="2" s="1"/>
  <c r="AA778" i="3"/>
  <c r="AA861" i="3"/>
  <c r="AA866" i="3"/>
  <c r="AA878" i="3"/>
  <c r="AA796" i="3"/>
  <c r="AA533" i="3"/>
  <c r="AA39" i="3"/>
  <c r="AA335" i="3"/>
  <c r="AA173" i="3"/>
  <c r="AA314" i="3"/>
  <c r="AA317" i="3"/>
  <c r="AA860" i="3"/>
  <c r="AA870" i="3"/>
  <c r="BA406" i="2" s="1"/>
  <c r="AA249" i="3"/>
  <c r="AA209" i="3"/>
  <c r="AA535" i="3"/>
  <c r="AA222" i="3"/>
  <c r="AA167" i="3"/>
  <c r="AA763" i="3"/>
  <c r="AA139" i="3"/>
  <c r="AA507" i="3"/>
  <c r="AA99" i="3"/>
  <c r="AA144" i="3"/>
  <c r="AA438" i="3"/>
  <c r="AA230" i="3"/>
  <c r="AA56" i="3"/>
  <c r="AA123" i="3"/>
  <c r="AA689" i="3"/>
  <c r="AA702" i="3"/>
  <c r="AA52" i="3"/>
  <c r="AA429" i="3"/>
  <c r="AA164" i="3"/>
  <c r="AA489" i="3"/>
  <c r="AA818" i="3"/>
  <c r="AA454" i="3"/>
  <c r="AA551" i="3"/>
  <c r="AA157" i="3"/>
  <c r="AA311" i="3"/>
  <c r="AA11" i="3"/>
  <c r="AA617" i="3"/>
  <c r="AA873" i="3"/>
  <c r="AA462" i="3"/>
  <c r="AA621" i="3"/>
  <c r="AA721" i="3"/>
  <c r="AA715" i="3"/>
  <c r="BJ238" i="1" s="1"/>
  <c r="AA757" i="3"/>
  <c r="AA793" i="3"/>
  <c r="AA806" i="3"/>
  <c r="AA832" i="3"/>
  <c r="AA744" i="3"/>
  <c r="AA480" i="3"/>
  <c r="AA348" i="3"/>
  <c r="AA54" i="3"/>
  <c r="AA547" i="3"/>
  <c r="AA684" i="3"/>
  <c r="AA303" i="3"/>
  <c r="AA754" i="3"/>
  <c r="AA875" i="3"/>
  <c r="AA709" i="3"/>
  <c r="AA809" i="3"/>
  <c r="AA872" i="3"/>
  <c r="AA375" i="3"/>
  <c r="AA831" i="3"/>
  <c r="AA171" i="3"/>
  <c r="AA665" i="3"/>
  <c r="AA722" i="3"/>
  <c r="AA698" i="3"/>
  <c r="AA206" i="3"/>
  <c r="AA14" i="3"/>
  <c r="AA50" i="3"/>
  <c r="AA185" i="3"/>
  <c r="AA97" i="3"/>
  <c r="AA101" i="3"/>
  <c r="AA260" i="3"/>
  <c r="AA225" i="3"/>
  <c r="AA525" i="3"/>
  <c r="AA258" i="3"/>
  <c r="AA679" i="3"/>
  <c r="AA216" i="3"/>
  <c r="AA627" i="3"/>
  <c r="AA315" i="3"/>
  <c r="AA512" i="3"/>
  <c r="AA668" i="3"/>
  <c r="AA738" i="3"/>
  <c r="AA295" i="3"/>
  <c r="AA203" i="3"/>
  <c r="AA828" i="3"/>
  <c r="AA195" i="3"/>
  <c r="AA706" i="3"/>
  <c r="AA871" i="3"/>
  <c r="BA407" i="2" s="1"/>
  <c r="AA426" i="3"/>
  <c r="AA572" i="3"/>
  <c r="AA136" i="3"/>
  <c r="AA129" i="3"/>
  <c r="AA482" i="3"/>
  <c r="AA286" i="3"/>
  <c r="AA743" i="3"/>
  <c r="BA267" i="2" s="1"/>
  <c r="AA667" i="3"/>
  <c r="AA848" i="3"/>
  <c r="BA298" i="2" s="1"/>
  <c r="AA695" i="3"/>
  <c r="AA324" i="3"/>
  <c r="AA642" i="3"/>
  <c r="AA211" i="3"/>
  <c r="AA116" i="3"/>
  <c r="AA45" i="3"/>
  <c r="AA840" i="3"/>
  <c r="AA887" i="3"/>
  <c r="AA292" i="3"/>
  <c r="AA72" i="3"/>
  <c r="AA165" i="3"/>
  <c r="AA282" i="3"/>
  <c r="AA96" i="3"/>
  <c r="AA162" i="3"/>
  <c r="AA891" i="3"/>
  <c r="AA100" i="3"/>
  <c r="AA817" i="3"/>
  <c r="AA352" i="3"/>
  <c r="AA405" i="3"/>
  <c r="AA235" i="3"/>
  <c r="AA284" i="3"/>
  <c r="AA654" i="3"/>
  <c r="AA636" i="3"/>
  <c r="AA264" i="3"/>
  <c r="AA669" i="3"/>
  <c r="AA183" i="3"/>
  <c r="AA419" i="3"/>
  <c r="AA583" i="3"/>
  <c r="AA228" i="3"/>
  <c r="AA443" i="3"/>
  <c r="AA457" i="3"/>
  <c r="AA688" i="3"/>
  <c r="AA179" i="3"/>
  <c r="AA422" i="3"/>
  <c r="AA275" i="3"/>
  <c r="AA772" i="3"/>
  <c r="AA146" i="3"/>
  <c r="AA109" i="3"/>
  <c r="AA253" i="3"/>
  <c r="AA240" i="3"/>
  <c r="AA149" i="3"/>
  <c r="AA631" i="3"/>
  <c r="AA127" i="3"/>
  <c r="AA523" i="3"/>
  <c r="AA236" i="3"/>
  <c r="AA391" i="3"/>
  <c r="AA835" i="3"/>
  <c r="AA834" i="3"/>
  <c r="AA113" i="3"/>
  <c r="AA242" i="3"/>
  <c r="AA530" i="3"/>
  <c r="AA309" i="3"/>
  <c r="AA77" i="3"/>
  <c r="AA658" i="3"/>
  <c r="AA266" i="3"/>
  <c r="AA511" i="3"/>
  <c r="AA580" i="3"/>
  <c r="BA351" i="2" s="1"/>
  <c r="AA662" i="3"/>
  <c r="AA581" i="3"/>
  <c r="AA687" i="3"/>
  <c r="AA111" i="3"/>
  <c r="AA807" i="3"/>
  <c r="AA305" i="3"/>
  <c r="AA712" i="3"/>
  <c r="AA12" i="3"/>
  <c r="AA841" i="3"/>
  <c r="AA117" i="3"/>
  <c r="AA666" i="3"/>
  <c r="AA43" i="3"/>
  <c r="AA32" i="3"/>
  <c r="AA477" i="3"/>
  <c r="AA68" i="3"/>
  <c r="AA143" i="3"/>
  <c r="AA91" i="3"/>
  <c r="AA190" i="3"/>
  <c r="AA439" i="3"/>
  <c r="AA557" i="3"/>
  <c r="AA534" i="3"/>
  <c r="AA370" i="3"/>
  <c r="AA257" i="3"/>
  <c r="AA256" i="3"/>
  <c r="AA265" i="3"/>
  <c r="AA792" i="3"/>
  <c r="AA218" i="3"/>
  <c r="AA169" i="3"/>
  <c r="AA560" i="3"/>
  <c r="AA90" i="3"/>
  <c r="AA680" i="3"/>
  <c r="AA562" i="3"/>
  <c r="AA299" i="3"/>
  <c r="AA231" i="3"/>
  <c r="AA191" i="3"/>
  <c r="AA327" i="3"/>
  <c r="AA759" i="3"/>
  <c r="AA537" i="3"/>
  <c r="AA155" i="3"/>
  <c r="AA208" i="3"/>
  <c r="AA420" i="3"/>
  <c r="AA682" i="3"/>
  <c r="AA527" i="3"/>
  <c r="AA579" i="3"/>
  <c r="AA408" i="3"/>
  <c r="AA789" i="3"/>
  <c r="AA135" i="3"/>
  <c r="AA415" i="3"/>
  <c r="BJ152" i="1" s="1"/>
  <c r="AA251" i="3"/>
  <c r="AA492" i="3"/>
  <c r="AA245" i="3"/>
  <c r="AA648" i="3"/>
  <c r="AA107" i="3"/>
  <c r="AA355" i="3"/>
  <c r="AA843" i="3"/>
  <c r="AA283" i="3"/>
  <c r="BJ104" i="1" s="1"/>
  <c r="AA739" i="3"/>
  <c r="AA703" i="3"/>
  <c r="AA571" i="3"/>
  <c r="AA608" i="3"/>
  <c r="AA120" i="3"/>
  <c r="AA625" i="3"/>
  <c r="AA110" i="3"/>
  <c r="AA790" i="3"/>
  <c r="AA786" i="3"/>
  <c r="AA569" i="3"/>
  <c r="AA83" i="3"/>
  <c r="AA851" i="3"/>
  <c r="AA343" i="3"/>
  <c r="AA685" i="3"/>
  <c r="AA321" i="3"/>
  <c r="BJ112" i="1" s="1"/>
  <c r="AA247" i="3"/>
  <c r="AA168" i="3"/>
  <c r="AA186" i="3"/>
  <c r="AA152" i="3"/>
  <c r="AA24" i="3"/>
  <c r="AA23" i="3"/>
  <c r="AA465" i="3"/>
  <c r="AA805" i="3"/>
  <c r="AA747" i="3"/>
  <c r="AA140" i="3"/>
  <c r="AA570" i="3"/>
  <c r="AA385" i="3"/>
  <c r="AA345" i="3"/>
  <c r="AA728" i="3"/>
  <c r="AA151" i="3"/>
  <c r="AA868" i="3"/>
  <c r="AA827" i="3"/>
  <c r="AA175" i="3"/>
  <c r="AA864" i="3"/>
  <c r="AA87" i="3"/>
  <c r="AA403" i="3"/>
  <c r="AA16" i="3"/>
  <c r="AA378" i="3"/>
  <c r="AA57" i="3"/>
  <c r="AA496" i="3"/>
  <c r="AA36" i="3"/>
  <c r="AA756" i="3"/>
  <c r="AA86" i="3"/>
  <c r="AA70" i="3"/>
  <c r="AA121" i="3"/>
  <c r="AA824" i="3"/>
  <c r="AA334" i="3"/>
  <c r="AA341" i="3"/>
  <c r="AA289" i="3"/>
  <c r="AA753" i="3"/>
  <c r="AA76" i="3"/>
  <c r="AA291" i="3"/>
  <c r="AA124" i="3"/>
  <c r="AA320" i="3"/>
  <c r="AA280" i="3"/>
  <c r="AA84" i="3"/>
  <c r="AA137" i="3"/>
  <c r="AA6" i="3"/>
  <c r="AA49" i="3"/>
  <c r="AA187" i="3"/>
  <c r="AA102" i="3"/>
  <c r="AA188" i="3"/>
  <c r="AA126" i="3"/>
  <c r="AA461" i="3"/>
  <c r="AA61" i="3"/>
  <c r="AA134" i="3"/>
  <c r="AA67" i="3"/>
  <c r="AA200" i="3"/>
  <c r="AA44" i="3"/>
  <c r="AA363" i="3"/>
  <c r="AA380" i="3"/>
  <c r="AA366" i="3"/>
  <c r="AA338" i="3"/>
  <c r="AA194" i="3"/>
  <c r="AA42" i="3"/>
  <c r="AA344" i="3"/>
  <c r="AA41" i="3"/>
  <c r="AA723" i="3"/>
  <c r="AA437" i="3"/>
  <c r="AA201" i="3"/>
  <c r="AA197" i="3"/>
  <c r="AA262" i="3"/>
  <c r="AA270" i="3"/>
  <c r="AA293" i="3"/>
  <c r="AA451" i="3"/>
  <c r="AA802" i="3"/>
  <c r="AA506" i="3"/>
  <c r="AA319" i="3"/>
  <c r="AA529" i="3"/>
  <c r="AA578" i="3"/>
  <c r="AA821" i="3"/>
  <c r="AA94" i="3"/>
  <c r="AA844" i="3"/>
  <c r="AA26" i="3"/>
  <c r="AA402" i="3"/>
  <c r="AA377" i="3"/>
  <c r="AA416" i="3"/>
  <c r="AA603" i="3"/>
  <c r="AA493" i="3"/>
  <c r="AA857" i="3"/>
  <c r="BA399" i="2" s="1"/>
  <c r="AA705" i="3"/>
  <c r="AA590" i="3"/>
  <c r="AA595" i="3"/>
  <c r="AA605" i="3"/>
  <c r="AA640" i="3"/>
  <c r="AA717" i="3"/>
  <c r="AA649" i="3"/>
  <c r="AA761" i="3"/>
  <c r="AA166" i="3"/>
  <c r="AA369" i="3"/>
  <c r="AA47" i="3"/>
  <c r="AA886" i="3"/>
  <c r="AA273" i="3"/>
  <c r="AA243" i="3"/>
  <c r="AA342" i="3"/>
  <c r="AA430" i="3"/>
  <c r="AA212" i="3"/>
  <c r="AA479" i="3"/>
  <c r="AA214" i="3"/>
  <c r="AA69" i="3"/>
  <c r="AA829" i="3"/>
  <c r="AA815" i="3"/>
  <c r="AA548" i="3"/>
  <c r="AA683" i="3"/>
  <c r="AA351" i="3"/>
  <c r="AA784" i="3"/>
  <c r="AA339" i="3"/>
  <c r="AA389" i="3"/>
  <c r="AA15" i="3"/>
  <c r="AA75" i="3"/>
  <c r="AA353" i="3"/>
  <c r="AA325" i="3"/>
  <c r="AA505" i="3"/>
  <c r="AA65" i="3"/>
  <c r="AA60" i="3"/>
  <c r="AA663" i="3"/>
  <c r="AA413" i="3"/>
  <c r="AA381" i="3"/>
  <c r="AA263" i="3"/>
  <c r="AA395" i="3"/>
  <c r="AA357" i="3"/>
  <c r="AA371" i="3"/>
  <c r="AA404" i="3"/>
  <c r="AA347" i="3"/>
  <c r="BJ339" i="1" s="1"/>
  <c r="AA220" i="3"/>
  <c r="AA769" i="3"/>
  <c r="AA59" i="3"/>
  <c r="AA379" i="3"/>
  <c r="AA386" i="3"/>
  <c r="AA382" i="3"/>
  <c r="AA180" i="3"/>
  <c r="AA383" i="3"/>
  <c r="AA229" i="3"/>
  <c r="AA132" i="3"/>
  <c r="AA397" i="3"/>
  <c r="AA436" i="3"/>
  <c r="AA432" i="3"/>
  <c r="AA401" i="3"/>
  <c r="AA406" i="3"/>
  <c r="AA412" i="3"/>
  <c r="AA414" i="3"/>
  <c r="AA458" i="3"/>
  <c r="AA823" i="3"/>
  <c r="AA469" i="3"/>
  <c r="AA255" i="3"/>
  <c r="AA521" i="3"/>
  <c r="AA421" i="3"/>
  <c r="AA484" i="3"/>
  <c r="AA446" i="3"/>
  <c r="AA470" i="3"/>
  <c r="AA486" i="3"/>
  <c r="AA433" i="3"/>
  <c r="AA881" i="3"/>
  <c r="AA434" i="3"/>
  <c r="AA435" i="3"/>
  <c r="AA459" i="3"/>
  <c r="AA502" i="3"/>
  <c r="AA460" i="3"/>
  <c r="AA538" i="3"/>
  <c r="AA476" i="3"/>
  <c r="AA445" i="3"/>
  <c r="AA450" i="3"/>
  <c r="AA514" i="3"/>
  <c r="AA485" i="3"/>
  <c r="AA226" i="3"/>
  <c r="AA119" i="3"/>
  <c r="AA455" i="3"/>
  <c r="AA463" i="3"/>
  <c r="AA468" i="3"/>
  <c r="AA554" i="3"/>
  <c r="AA475" i="3"/>
  <c r="BJ165" i="1" s="1"/>
  <c r="AA472" i="3"/>
  <c r="AA368" i="3"/>
  <c r="AA498" i="3"/>
  <c r="AA501" i="3"/>
  <c r="AA552" i="3"/>
  <c r="AA517" i="3"/>
  <c r="AA513" i="3"/>
  <c r="AA491" i="3"/>
  <c r="BJ170" i="1" s="1"/>
  <c r="AA515" i="3"/>
  <c r="AA516" i="3"/>
  <c r="AA89" i="3"/>
  <c r="AA582" i="3"/>
  <c r="AA575" i="3"/>
  <c r="AA541" i="3"/>
  <c r="AA577" i="3"/>
  <c r="AA542" i="3"/>
  <c r="AA546" i="3"/>
  <c r="AA483" i="3"/>
  <c r="AA852" i="3"/>
  <c r="AA550" i="3"/>
  <c r="AA587" i="3"/>
  <c r="AA568" i="3"/>
  <c r="AA559" i="3"/>
  <c r="AA553" i="3"/>
  <c r="AA555" i="3"/>
  <c r="AA178" i="3"/>
  <c r="AA118" i="3"/>
  <c r="AA607" i="3"/>
  <c r="AA635" i="3"/>
  <c r="AA563" i="3"/>
  <c r="AA565" i="3"/>
  <c r="AA589" i="3"/>
  <c r="AA373" i="3"/>
  <c r="AA599" i="3"/>
  <c r="AA602" i="3"/>
  <c r="AA613" i="3"/>
  <c r="AA612" i="3"/>
  <c r="AA574" i="3"/>
  <c r="AA614" i="3"/>
  <c r="AA592" i="3"/>
  <c r="AA606" i="3"/>
  <c r="AA598" i="3"/>
  <c r="AA638" i="3"/>
  <c r="AA615" i="3"/>
  <c r="AA601" i="3"/>
  <c r="AA639" i="3"/>
  <c r="AA333" i="3"/>
  <c r="AA645" i="3"/>
  <c r="AA696" i="3"/>
  <c r="AA652" i="3"/>
  <c r="AA609" i="3"/>
  <c r="AA637" i="3"/>
  <c r="AA708" i="3"/>
  <c r="AA644" i="3"/>
  <c r="AA678" i="3"/>
  <c r="AA643" i="3"/>
  <c r="AA619" i="3"/>
  <c r="AA634" i="3"/>
  <c r="AA725" i="3"/>
  <c r="AA616" i="3"/>
  <c r="AA675" i="3"/>
  <c r="AA883" i="3"/>
  <c r="AA690" i="3"/>
  <c r="AA713" i="3"/>
  <c r="AA691" i="3"/>
  <c r="AA641" i="3"/>
  <c r="AA701" i="3"/>
  <c r="AA671" i="3"/>
  <c r="AA655" i="3"/>
  <c r="AA177" i="3"/>
  <c r="AA714" i="3"/>
  <c r="AA719" i="3"/>
  <c r="AA777" i="3"/>
  <c r="BJ427" i="1" s="1"/>
  <c r="AA726" i="3"/>
  <c r="AA699" i="3"/>
  <c r="AA692" i="3"/>
  <c r="AA248" i="3"/>
  <c r="AA704" i="3"/>
  <c r="AA736" i="3"/>
  <c r="AA716" i="3"/>
  <c r="AA771" i="3"/>
  <c r="AA720" i="3"/>
  <c r="AA748" i="3"/>
  <c r="AA79" i="3"/>
  <c r="AA801" i="3"/>
  <c r="AA737" i="3"/>
  <c r="AA734" i="3"/>
  <c r="AA781" i="3"/>
  <c r="AA741" i="3"/>
  <c r="AA775" i="3"/>
  <c r="AA740" i="3"/>
  <c r="AA782" i="3"/>
  <c r="AA773" i="3"/>
  <c r="AA746" i="3"/>
  <c r="AA787" i="3"/>
  <c r="AA800" i="3"/>
  <c r="AA785" i="3"/>
  <c r="AA766" i="3"/>
  <c r="AA820" i="3"/>
  <c r="AA779" i="3"/>
  <c r="AA812" i="3"/>
  <c r="AA788" i="3"/>
  <c r="AA822" i="3"/>
  <c r="AA826" i="3"/>
  <c r="AA797" i="3"/>
  <c r="AA836" i="3"/>
  <c r="AA799" i="3"/>
  <c r="AA842" i="3"/>
  <c r="AA850" i="3"/>
  <c r="AA854" i="3"/>
  <c r="AA814" i="3"/>
  <c r="AA856" i="3"/>
  <c r="AA855" i="3"/>
  <c r="AA845" i="3"/>
  <c r="AA223" i="3"/>
  <c r="AA365" i="3"/>
  <c r="AA847" i="3"/>
  <c r="BA297" i="2" s="1"/>
  <c r="B317" i="3"/>
  <c r="B860" i="3"/>
  <c r="B171" i="3"/>
  <c r="B445" i="3"/>
  <c r="B553" i="3"/>
  <c r="B781" i="3"/>
  <c r="B341" i="3"/>
  <c r="B753" i="3"/>
  <c r="B118" i="3"/>
  <c r="B855" i="3"/>
  <c r="B289" i="3"/>
  <c r="B862" i="3"/>
  <c r="B722" i="3"/>
  <c r="B720" i="3"/>
  <c r="B54" i="3"/>
  <c r="B513" i="3"/>
  <c r="B335" i="3"/>
  <c r="C317" i="3"/>
  <c r="C860" i="3"/>
  <c r="C171" i="3"/>
  <c r="C445" i="3"/>
  <c r="C553" i="3"/>
  <c r="C781" i="3"/>
  <c r="C341" i="3"/>
  <c r="C753" i="3"/>
  <c r="C118" i="3"/>
  <c r="C855" i="3"/>
  <c r="C289" i="3"/>
  <c r="C862" i="3"/>
  <c r="C722" i="3"/>
  <c r="C720" i="3"/>
  <c r="C54" i="3"/>
  <c r="C513" i="3"/>
  <c r="C335" i="3"/>
  <c r="B285" i="3"/>
  <c r="B393" i="3"/>
  <c r="B170" i="3"/>
  <c r="B718" i="3"/>
  <c r="B173" i="3"/>
  <c r="B684" i="3"/>
  <c r="B303" i="3"/>
  <c r="B875" i="3"/>
  <c r="B709" i="3"/>
  <c r="B665" i="3"/>
  <c r="B211" i="3"/>
  <c r="B116" i="3"/>
  <c r="B45" i="3"/>
  <c r="B840" i="3"/>
  <c r="B712" i="3"/>
  <c r="B117" i="3"/>
  <c r="B666" i="3"/>
  <c r="B343" i="3"/>
  <c r="B129" i="3"/>
  <c r="B324" i="3"/>
  <c r="B334" i="3"/>
  <c r="B76" i="3"/>
  <c r="B291" i="3"/>
  <c r="B305" i="3"/>
  <c r="B603" i="3"/>
  <c r="B493" i="3"/>
  <c r="B705" i="3"/>
  <c r="B590" i="3"/>
  <c r="B595" i="3"/>
  <c r="B640" i="3"/>
  <c r="B717" i="3"/>
  <c r="B436" i="3"/>
  <c r="B412" i="3"/>
  <c r="B414" i="3"/>
  <c r="B283" i="3"/>
  <c r="B823" i="3"/>
  <c r="B521" i="3"/>
  <c r="B421" i="3"/>
  <c r="B470" i="3"/>
  <c r="B433" i="3"/>
  <c r="B434" i="3"/>
  <c r="B435" i="3"/>
  <c r="B459" i="3"/>
  <c r="B476" i="3"/>
  <c r="B450" i="3"/>
  <c r="B468" i="3"/>
  <c r="B475" i="3"/>
  <c r="B498" i="3"/>
  <c r="B501" i="3"/>
  <c r="B552" i="3"/>
  <c r="B515" i="3"/>
  <c r="B516" i="3"/>
  <c r="B582" i="3"/>
  <c r="B575" i="3"/>
  <c r="B550" i="3"/>
  <c r="B587" i="3"/>
  <c r="B559" i="3"/>
  <c r="B378" i="3"/>
  <c r="B121" i="3"/>
  <c r="B373" i="3"/>
  <c r="B599" i="3"/>
  <c r="B602" i="3"/>
  <c r="B574" i="3"/>
  <c r="B614" i="3"/>
  <c r="B592" i="3"/>
  <c r="B639" i="3"/>
  <c r="B333" i="3"/>
  <c r="B645" i="3"/>
  <c r="B637" i="3"/>
  <c r="B643" i="3"/>
  <c r="B634" i="3"/>
  <c r="B690" i="3"/>
  <c r="B691" i="3"/>
  <c r="B701" i="3"/>
  <c r="B714" i="3"/>
  <c r="B719" i="3"/>
  <c r="B338" i="3"/>
  <c r="B726" i="3"/>
  <c r="B699" i="3"/>
  <c r="B704" i="3"/>
  <c r="B716" i="3"/>
  <c r="B771" i="3"/>
  <c r="B737" i="3"/>
  <c r="B741" i="3"/>
  <c r="B773" i="3"/>
  <c r="B746" i="3"/>
  <c r="B787" i="3"/>
  <c r="B785" i="3"/>
  <c r="B766" i="3"/>
  <c r="B820" i="3"/>
  <c r="B812" i="3"/>
  <c r="B788" i="3"/>
  <c r="B220" i="3"/>
  <c r="B797" i="3"/>
  <c r="B836" i="3"/>
  <c r="B799" i="3"/>
  <c r="B842" i="3"/>
  <c r="B850" i="3"/>
  <c r="B854" i="3"/>
  <c r="B814" i="3"/>
  <c r="B856" i="3"/>
  <c r="B845" i="3"/>
  <c r="B458" i="3"/>
  <c r="B469" i="3"/>
  <c r="B484" i="3"/>
  <c r="B486" i="3"/>
  <c r="B502" i="3"/>
  <c r="B538" i="3"/>
  <c r="B514" i="3"/>
  <c r="B554" i="3"/>
  <c r="B483" i="3"/>
  <c r="B568" i="3"/>
  <c r="B178" i="3"/>
  <c r="B635" i="3"/>
  <c r="B613" i="3"/>
  <c r="B612" i="3"/>
  <c r="B615" i="3"/>
  <c r="B696" i="3"/>
  <c r="B652" i="3"/>
  <c r="B708" i="3"/>
  <c r="B678" i="3"/>
  <c r="B883" i="3"/>
  <c r="B713" i="3"/>
  <c r="B777" i="3"/>
  <c r="B248" i="3"/>
  <c r="B748" i="3"/>
  <c r="B801" i="3"/>
  <c r="B782" i="3"/>
  <c r="B365" i="3"/>
  <c r="B796" i="3"/>
  <c r="B822" i="3"/>
  <c r="B226" i="3"/>
  <c r="B455" i="3"/>
  <c r="B472" i="3"/>
  <c r="B547" i="3"/>
  <c r="B638" i="3"/>
  <c r="B517" i="3"/>
  <c r="B852" i="3"/>
  <c r="B826" i="3"/>
  <c r="B598" i="3"/>
  <c r="B533" i="3"/>
  <c r="B491" i="3"/>
  <c r="B368" i="3"/>
  <c r="B565" i="3"/>
  <c r="B800" i="3"/>
  <c r="B546" i="3"/>
  <c r="B89" i="3"/>
  <c r="B337" i="3"/>
  <c r="B221" i="3"/>
  <c r="B619" i="3"/>
  <c r="B671" i="3"/>
  <c r="B725" i="3"/>
  <c r="B607" i="3"/>
  <c r="B563" i="3"/>
  <c r="B649" i="3"/>
  <c r="B348" i="3"/>
  <c r="B692" i="3"/>
  <c r="B223" i="3"/>
  <c r="B314" i="3"/>
  <c r="B12" i="3"/>
  <c r="B589" i="3"/>
  <c r="B775" i="3"/>
  <c r="B485" i="3"/>
  <c r="B79" i="3"/>
  <c r="B824" i="3"/>
  <c r="B460" i="3"/>
  <c r="B872" i="3"/>
  <c r="B841" i="3"/>
  <c r="B642" i="3"/>
  <c r="B177" i="3"/>
  <c r="B601" i="3"/>
  <c r="B39" i="3"/>
  <c r="B375" i="3"/>
  <c r="B609" i="3"/>
  <c r="B831" i="3"/>
  <c r="B675" i="3"/>
  <c r="B119" i="3"/>
  <c r="B837" i="3"/>
  <c r="B93" i="3"/>
  <c r="B463" i="3"/>
  <c r="B416" i="3"/>
  <c r="B569" i="3"/>
  <c r="B480" i="3"/>
  <c r="B577" i="3"/>
  <c r="B555" i="3"/>
  <c r="B881" i="3"/>
  <c r="B644" i="3"/>
  <c r="B847" i="3"/>
  <c r="B641" i="3"/>
  <c r="B655" i="3"/>
  <c r="B779" i="3"/>
  <c r="B616" i="3"/>
  <c r="B292" i="3"/>
  <c r="B839" i="3"/>
  <c r="B698" i="3"/>
  <c r="B83" i="3"/>
  <c r="B734" i="3"/>
  <c r="B237" i="3"/>
  <c r="B809" i="3"/>
  <c r="B754" i="3"/>
  <c r="B736" i="3"/>
  <c r="B606" i="3"/>
  <c r="B541" i="3"/>
  <c r="B446" i="3"/>
  <c r="B542" i="3"/>
  <c r="B851" i="3"/>
  <c r="B255" i="3"/>
  <c r="B740" i="3"/>
  <c r="B700" i="3"/>
  <c r="C285" i="3"/>
  <c r="C393" i="3"/>
  <c r="C170" i="3"/>
  <c r="C718" i="3"/>
  <c r="C173" i="3"/>
  <c r="C684" i="3"/>
  <c r="C303" i="3"/>
  <c r="C875" i="3"/>
  <c r="C709" i="3"/>
  <c r="C665" i="3"/>
  <c r="C211" i="3"/>
  <c r="C116" i="3"/>
  <c r="C45" i="3"/>
  <c r="C840" i="3"/>
  <c r="C712" i="3"/>
  <c r="C117" i="3"/>
  <c r="C666" i="3"/>
  <c r="C343" i="3"/>
  <c r="C129" i="3"/>
  <c r="C324" i="3"/>
  <c r="C334" i="3"/>
  <c r="C76" i="3"/>
  <c r="C291" i="3"/>
  <c r="C305" i="3"/>
  <c r="C603" i="3"/>
  <c r="C493" i="3"/>
  <c r="C705" i="3"/>
  <c r="C590" i="3"/>
  <c r="C595" i="3"/>
  <c r="C640" i="3"/>
  <c r="C717" i="3"/>
  <c r="C436" i="3"/>
  <c r="C412" i="3"/>
  <c r="C414" i="3"/>
  <c r="C283" i="3"/>
  <c r="C823" i="3"/>
  <c r="C521" i="3"/>
  <c r="C421" i="3"/>
  <c r="C470" i="3"/>
  <c r="C433" i="3"/>
  <c r="C434" i="3"/>
  <c r="C435" i="3"/>
  <c r="C459" i="3"/>
  <c r="C476" i="3"/>
  <c r="C450" i="3"/>
  <c r="C468" i="3"/>
  <c r="C475" i="3"/>
  <c r="C498" i="3"/>
  <c r="C501" i="3"/>
  <c r="C552" i="3"/>
  <c r="C515" i="3"/>
  <c r="C516" i="3"/>
  <c r="C582" i="3"/>
  <c r="C575" i="3"/>
  <c r="C550" i="3"/>
  <c r="C587" i="3"/>
  <c r="C559" i="3"/>
  <c r="C378" i="3"/>
  <c r="C121" i="3"/>
  <c r="C373" i="3"/>
  <c r="C599" i="3"/>
  <c r="C602" i="3"/>
  <c r="C574" i="3"/>
  <c r="C614" i="3"/>
  <c r="C592" i="3"/>
  <c r="C639" i="3"/>
  <c r="C333" i="3"/>
  <c r="C645" i="3"/>
  <c r="C637" i="3"/>
  <c r="C643" i="3"/>
  <c r="C634" i="3"/>
  <c r="C690" i="3"/>
  <c r="C691" i="3"/>
  <c r="C701" i="3"/>
  <c r="C714" i="3"/>
  <c r="C719" i="3"/>
  <c r="C338" i="3"/>
  <c r="C726" i="3"/>
  <c r="C699" i="3"/>
  <c r="C704" i="3"/>
  <c r="C716" i="3"/>
  <c r="C771" i="3"/>
  <c r="C737" i="3"/>
  <c r="C741" i="3"/>
  <c r="C773" i="3"/>
  <c r="C746" i="3"/>
  <c r="C787" i="3"/>
  <c r="C785" i="3"/>
  <c r="C766" i="3"/>
  <c r="C820" i="3"/>
  <c r="C812" i="3"/>
  <c r="C788" i="3"/>
  <c r="C220" i="3"/>
  <c r="C797" i="3"/>
  <c r="C836" i="3"/>
  <c r="C799" i="3"/>
  <c r="C842" i="3"/>
  <c r="C850" i="3"/>
  <c r="C854" i="3"/>
  <c r="C814" i="3"/>
  <c r="C856" i="3"/>
  <c r="C845" i="3"/>
  <c r="C458" i="3"/>
  <c r="C469" i="3"/>
  <c r="C484" i="3"/>
  <c r="C486" i="3"/>
  <c r="C502" i="3"/>
  <c r="C538" i="3"/>
  <c r="C514" i="3"/>
  <c r="C554" i="3"/>
  <c r="C483" i="3"/>
  <c r="C568" i="3"/>
  <c r="C178" i="3"/>
  <c r="C635" i="3"/>
  <c r="C613" i="3"/>
  <c r="C612" i="3"/>
  <c r="C615" i="3"/>
  <c r="C696" i="3"/>
  <c r="C652" i="3"/>
  <c r="C708" i="3"/>
  <c r="C678" i="3"/>
  <c r="C883" i="3"/>
  <c r="C713" i="3"/>
  <c r="C777" i="3"/>
  <c r="C248" i="3"/>
  <c r="C748" i="3"/>
  <c r="C801" i="3"/>
  <c r="C782" i="3"/>
  <c r="C365" i="3"/>
  <c r="C796" i="3"/>
  <c r="C822" i="3"/>
  <c r="C226" i="3"/>
  <c r="C455" i="3"/>
  <c r="C472" i="3"/>
  <c r="C547" i="3"/>
  <c r="C638" i="3"/>
  <c r="C517" i="3"/>
  <c r="C852" i="3"/>
  <c r="C826" i="3"/>
  <c r="C598" i="3"/>
  <c r="C533" i="3"/>
  <c r="C491" i="3"/>
  <c r="C368" i="3"/>
  <c r="C565" i="3"/>
  <c r="C800" i="3"/>
  <c r="C546" i="3"/>
  <c r="C89" i="3"/>
  <c r="C337" i="3"/>
  <c r="C221" i="3"/>
  <c r="C619" i="3"/>
  <c r="C671" i="3"/>
  <c r="C725" i="3"/>
  <c r="C607" i="3"/>
  <c r="C563" i="3"/>
  <c r="C649" i="3"/>
  <c r="C348" i="3"/>
  <c r="C692" i="3"/>
  <c r="C223" i="3"/>
  <c r="C314" i="3"/>
  <c r="C12" i="3"/>
  <c r="C589" i="3"/>
  <c r="C775" i="3"/>
  <c r="C485" i="3"/>
  <c r="C79" i="3"/>
  <c r="C824" i="3"/>
  <c r="C460" i="3"/>
  <c r="C872" i="3"/>
  <c r="C841" i="3"/>
  <c r="C642" i="3"/>
  <c r="C177" i="3"/>
  <c r="C601" i="3"/>
  <c r="C39" i="3"/>
  <c r="C375" i="3"/>
  <c r="C609" i="3"/>
  <c r="C831" i="3"/>
  <c r="C675" i="3"/>
  <c r="C119" i="3"/>
  <c r="C837" i="3"/>
  <c r="C93" i="3"/>
  <c r="C463" i="3"/>
  <c r="C416" i="3"/>
  <c r="C569" i="3"/>
  <c r="C480" i="3"/>
  <c r="C577" i="3"/>
  <c r="C555" i="3"/>
  <c r="C881" i="3"/>
  <c r="C644" i="3"/>
  <c r="C847" i="3"/>
  <c r="C641" i="3"/>
  <c r="C655" i="3"/>
  <c r="C779" i="3"/>
  <c r="C616" i="3"/>
  <c r="C292" i="3"/>
  <c r="C839" i="3"/>
  <c r="C698" i="3"/>
  <c r="C83" i="3"/>
  <c r="C734" i="3"/>
  <c r="C237" i="3"/>
  <c r="C809" i="3"/>
  <c r="C754" i="3"/>
  <c r="C736" i="3"/>
  <c r="C606" i="3"/>
  <c r="C541" i="3"/>
  <c r="C446" i="3"/>
  <c r="C542" i="3"/>
  <c r="C851" i="3"/>
  <c r="C255" i="3"/>
  <c r="C740" i="3"/>
  <c r="C700" i="3"/>
  <c r="AU181" i="1"/>
  <c r="AU350" i="1"/>
  <c r="AU402" i="1"/>
  <c r="AU417" i="1"/>
  <c r="AU101" i="1"/>
  <c r="AU255" i="1"/>
  <c r="AU171" i="1"/>
  <c r="AU153" i="1"/>
  <c r="AU379" i="1"/>
  <c r="AU303" i="1"/>
  <c r="AU98" i="1"/>
  <c r="AU26" i="1"/>
  <c r="AU156" i="1"/>
  <c r="AU126" i="1"/>
  <c r="AU76" i="1"/>
  <c r="AU408" i="1"/>
  <c r="AU183" i="1"/>
  <c r="AU361" i="1"/>
  <c r="AU312" i="1"/>
  <c r="AU199" i="1"/>
  <c r="AU282" i="1"/>
  <c r="AU16" i="1"/>
  <c r="AU337" i="1"/>
  <c r="AU301" i="1"/>
  <c r="AU378" i="1"/>
  <c r="AU45" i="1"/>
  <c r="AU386" i="1"/>
  <c r="AU81" i="1"/>
  <c r="AU9" i="1"/>
  <c r="AU258" i="1"/>
  <c r="AU352" i="1"/>
  <c r="AU392" i="1"/>
  <c r="AU247" i="1"/>
  <c r="AU234" i="1"/>
  <c r="AU426" i="1"/>
  <c r="AU195" i="1"/>
  <c r="AU72" i="1"/>
  <c r="AU103" i="1"/>
  <c r="AU164" i="1"/>
  <c r="AU422" i="1"/>
  <c r="AU347" i="1"/>
  <c r="AU157" i="1"/>
  <c r="AU322" i="1"/>
  <c r="AU182" i="1"/>
  <c r="AU140" i="1"/>
  <c r="AU206" i="1"/>
  <c r="AU136" i="1"/>
  <c r="AU185" i="1"/>
  <c r="AU362" i="1"/>
  <c r="AU326" i="1"/>
  <c r="AU232" i="1"/>
  <c r="AU201" i="1"/>
  <c r="AU200" i="1"/>
  <c r="AV181" i="1"/>
  <c r="AV350" i="1"/>
  <c r="AV402" i="1"/>
  <c r="AV417" i="1"/>
  <c r="AV101" i="1"/>
  <c r="AV255" i="1"/>
  <c r="AV171" i="1"/>
  <c r="AV153" i="1"/>
  <c r="AV379" i="1"/>
  <c r="AV303" i="1"/>
  <c r="AV98" i="1"/>
  <c r="AV26" i="1"/>
  <c r="AV156" i="1"/>
  <c r="AV126" i="1"/>
  <c r="AV76" i="1"/>
  <c r="AV408" i="1"/>
  <c r="AV183" i="1"/>
  <c r="AV361" i="1"/>
  <c r="AV312" i="1"/>
  <c r="AV199" i="1"/>
  <c r="AV282" i="1"/>
  <c r="AV16" i="1"/>
  <c r="AV337" i="1"/>
  <c r="AV301" i="1"/>
  <c r="AV378" i="1"/>
  <c r="AV45" i="1"/>
  <c r="AV386" i="1"/>
  <c r="AV81" i="1"/>
  <c r="AV9" i="1"/>
  <c r="AV258" i="1"/>
  <c r="AV352" i="1"/>
  <c r="AV392" i="1"/>
  <c r="AV247" i="1"/>
  <c r="AV234" i="1"/>
  <c r="AV426" i="1"/>
  <c r="AV195" i="1"/>
  <c r="AV72" i="1"/>
  <c r="AV103" i="1"/>
  <c r="AV164" i="1"/>
  <c r="AV422" i="1"/>
  <c r="AV347" i="1"/>
  <c r="AV157" i="1"/>
  <c r="AV322" i="1"/>
  <c r="AV182" i="1"/>
  <c r="AV140" i="1"/>
  <c r="AV206" i="1"/>
  <c r="AV136" i="1"/>
  <c r="AV185" i="1"/>
  <c r="AV362" i="1"/>
  <c r="AV326" i="1"/>
  <c r="AV232" i="1"/>
  <c r="AV201" i="1"/>
  <c r="AV200" i="1"/>
  <c r="AW181" i="1"/>
  <c r="AW350" i="1"/>
  <c r="AW402" i="1"/>
  <c r="AW417" i="1"/>
  <c r="AW101" i="1"/>
  <c r="AW255" i="1"/>
  <c r="AW171" i="1"/>
  <c r="AW153" i="1"/>
  <c r="AW379" i="1"/>
  <c r="AW303" i="1"/>
  <c r="AW98" i="1"/>
  <c r="AW26" i="1"/>
  <c r="AW156" i="1"/>
  <c r="AW126" i="1"/>
  <c r="AW76" i="1"/>
  <c r="AW408" i="1"/>
  <c r="AW183" i="1"/>
  <c r="AW361" i="1"/>
  <c r="AW312" i="1"/>
  <c r="AW199" i="1"/>
  <c r="AW282" i="1"/>
  <c r="AW16" i="1"/>
  <c r="AW337" i="1"/>
  <c r="AW301" i="1"/>
  <c r="AW378" i="1"/>
  <c r="AW45" i="1"/>
  <c r="AW386" i="1"/>
  <c r="AW81" i="1"/>
  <c r="AW9" i="1"/>
  <c r="AW258" i="1"/>
  <c r="AW352" i="1"/>
  <c r="AW392" i="1"/>
  <c r="AW247" i="1"/>
  <c r="AW234" i="1"/>
  <c r="AW426" i="1"/>
  <c r="AW195" i="1"/>
  <c r="AW72" i="1"/>
  <c r="AW103" i="1"/>
  <c r="AW164" i="1"/>
  <c r="AW422" i="1"/>
  <c r="AW347" i="1"/>
  <c r="AW157" i="1"/>
  <c r="AW322" i="1"/>
  <c r="AW182" i="1"/>
  <c r="AW140" i="1"/>
  <c r="AW206" i="1"/>
  <c r="AW136" i="1"/>
  <c r="AW185" i="1"/>
  <c r="AW362" i="1"/>
  <c r="AW326" i="1"/>
  <c r="AW232" i="1"/>
  <c r="AW201" i="1"/>
  <c r="AW200" i="1"/>
  <c r="AX181" i="1"/>
  <c r="AX350" i="1"/>
  <c r="AX402" i="1"/>
  <c r="AX417" i="1"/>
  <c r="AX101" i="1"/>
  <c r="AX255" i="1"/>
  <c r="AX171" i="1"/>
  <c r="AX153" i="1"/>
  <c r="AX379" i="1"/>
  <c r="AX303" i="1"/>
  <c r="AX98" i="1"/>
  <c r="AX26" i="1"/>
  <c r="AX156" i="1"/>
  <c r="AX126" i="1"/>
  <c r="AX76" i="1"/>
  <c r="AX408" i="1"/>
  <c r="AX183" i="1"/>
  <c r="AX361" i="1"/>
  <c r="AX312" i="1"/>
  <c r="AX199" i="1"/>
  <c r="AX282" i="1"/>
  <c r="AX16" i="1"/>
  <c r="AX337" i="1"/>
  <c r="AX301" i="1"/>
  <c r="AX378" i="1"/>
  <c r="AX45" i="1"/>
  <c r="AX386" i="1"/>
  <c r="AX81" i="1"/>
  <c r="AX9" i="1"/>
  <c r="AX258" i="1"/>
  <c r="AX352" i="1"/>
  <c r="AX392" i="1"/>
  <c r="AX247" i="1"/>
  <c r="AX234" i="1"/>
  <c r="AX426" i="1"/>
  <c r="AX195" i="1"/>
  <c r="AX72" i="1"/>
  <c r="AX103" i="1"/>
  <c r="AX164" i="1"/>
  <c r="AX422" i="1"/>
  <c r="AX347" i="1"/>
  <c r="AX157" i="1"/>
  <c r="AX322" i="1"/>
  <c r="AX182" i="1"/>
  <c r="AX140" i="1"/>
  <c r="AX206" i="1"/>
  <c r="AX136" i="1"/>
  <c r="AX185" i="1"/>
  <c r="AX362" i="1"/>
  <c r="AX326" i="1"/>
  <c r="AX232" i="1"/>
  <c r="AX201" i="1"/>
  <c r="AX200" i="1"/>
  <c r="AY181" i="1"/>
  <c r="AY350" i="1"/>
  <c r="AY402" i="1"/>
  <c r="AY417" i="1"/>
  <c r="AY101" i="1"/>
  <c r="AY255" i="1"/>
  <c r="AY171" i="1"/>
  <c r="AY153" i="1"/>
  <c r="AY379" i="1"/>
  <c r="AY303" i="1"/>
  <c r="AY98" i="1"/>
  <c r="AY26" i="1"/>
  <c r="AY156" i="1"/>
  <c r="AY126" i="1"/>
  <c r="AY76" i="1"/>
  <c r="AY408" i="1"/>
  <c r="AY183" i="1"/>
  <c r="AY361" i="1"/>
  <c r="AY312" i="1"/>
  <c r="AY199" i="1"/>
  <c r="AY282" i="1"/>
  <c r="AY16" i="1"/>
  <c r="AY337" i="1"/>
  <c r="AY301" i="1"/>
  <c r="AY378" i="1"/>
  <c r="AY45" i="1"/>
  <c r="AY386" i="1"/>
  <c r="AY81" i="1"/>
  <c r="AY9" i="1"/>
  <c r="AY258" i="1"/>
  <c r="AY352" i="1"/>
  <c r="AY392" i="1"/>
  <c r="AY247" i="1"/>
  <c r="AY234" i="1"/>
  <c r="AY426" i="1"/>
  <c r="AY195" i="1"/>
  <c r="AY72" i="1"/>
  <c r="AY103" i="1"/>
  <c r="AY164" i="1"/>
  <c r="AY422" i="1"/>
  <c r="AY347" i="1"/>
  <c r="AY157" i="1"/>
  <c r="AY322" i="1"/>
  <c r="AY182" i="1"/>
  <c r="AY140" i="1"/>
  <c r="AY206" i="1"/>
  <c r="AY136" i="1"/>
  <c r="AY185" i="1"/>
  <c r="AY362" i="1"/>
  <c r="AY326" i="1"/>
  <c r="AY232" i="1"/>
  <c r="AY201" i="1"/>
  <c r="AY200" i="1"/>
  <c r="BF181" i="1"/>
  <c r="BF350" i="1"/>
  <c r="BF402" i="1"/>
  <c r="BF417" i="1"/>
  <c r="BF101" i="1"/>
  <c r="BF255" i="1"/>
  <c r="BF171" i="1"/>
  <c r="BF153" i="1"/>
  <c r="BF379" i="1"/>
  <c r="BF303" i="1"/>
  <c r="BF98" i="1"/>
  <c r="BF26" i="1"/>
  <c r="BF156" i="1"/>
  <c r="BF126" i="1"/>
  <c r="BF76" i="1"/>
  <c r="BF408" i="1"/>
  <c r="BF183" i="1"/>
  <c r="BF361" i="1"/>
  <c r="BF312" i="1"/>
  <c r="BF199" i="1"/>
  <c r="BF282" i="1"/>
  <c r="BF16" i="1"/>
  <c r="BF337" i="1"/>
  <c r="BF301" i="1"/>
  <c r="BF378" i="1"/>
  <c r="BF45" i="1"/>
  <c r="BF386" i="1"/>
  <c r="BF81" i="1"/>
  <c r="BF9" i="1"/>
  <c r="BF258" i="1"/>
  <c r="BF352" i="1"/>
  <c r="BF392" i="1"/>
  <c r="BF247" i="1"/>
  <c r="BF234" i="1"/>
  <c r="BF426" i="1"/>
  <c r="BF195" i="1"/>
  <c r="BF72" i="1"/>
  <c r="BF103" i="1"/>
  <c r="BF164" i="1"/>
  <c r="BF422" i="1"/>
  <c r="BF347" i="1"/>
  <c r="BF157" i="1"/>
  <c r="BF322" i="1"/>
  <c r="BF182" i="1"/>
  <c r="BF140" i="1"/>
  <c r="BF206" i="1"/>
  <c r="BF136" i="1"/>
  <c r="BF185" i="1"/>
  <c r="BF362" i="1"/>
  <c r="BF326" i="1"/>
  <c r="BF232" i="1"/>
  <c r="BF201" i="1"/>
  <c r="BF200" i="1"/>
  <c r="AW150" i="2"/>
  <c r="AW292" i="2"/>
  <c r="AW232" i="2"/>
  <c r="AW9" i="2"/>
  <c r="AW203" i="2"/>
  <c r="AW149" i="2"/>
  <c r="AW234" i="2"/>
  <c r="AW53" i="2"/>
  <c r="AW112" i="2"/>
  <c r="AW219" i="2"/>
  <c r="AW72" i="2"/>
  <c r="AW189" i="2"/>
  <c r="AW156" i="2"/>
  <c r="AW435" i="2"/>
  <c r="AW382" i="2"/>
  <c r="AW22" i="2"/>
  <c r="AW262" i="2"/>
  <c r="AW61" i="2"/>
  <c r="AW271" i="2"/>
  <c r="AW194" i="2"/>
  <c r="AW76" i="2"/>
  <c r="AW175" i="2"/>
  <c r="AW17" i="2"/>
  <c r="AW14" i="2"/>
  <c r="AW387" i="2"/>
  <c r="AW281" i="2"/>
  <c r="AW47" i="2"/>
  <c r="AW270" i="2"/>
  <c r="AW7" i="2"/>
  <c r="AW273" i="2"/>
  <c r="AW162" i="2"/>
  <c r="AW153" i="2"/>
  <c r="AW138" i="2"/>
  <c r="AW34" i="2"/>
  <c r="AW144" i="2"/>
  <c r="AW135" i="2"/>
  <c r="AW215" i="2"/>
  <c r="AW363" i="2"/>
  <c r="AW48" i="2"/>
  <c r="AW196" i="2"/>
  <c r="AW46" i="2"/>
  <c r="AW51" i="2"/>
  <c r="AW422" i="2"/>
  <c r="AW258" i="2"/>
  <c r="AW32" i="2"/>
  <c r="AW434" i="2"/>
  <c r="AW289" i="2"/>
  <c r="AW97" i="2"/>
  <c r="AW439" i="2"/>
  <c r="AW49" i="2"/>
  <c r="AW166" i="2"/>
  <c r="AW170" i="2"/>
  <c r="AW15" i="2"/>
  <c r="AW315" i="2"/>
  <c r="AW389" i="2"/>
  <c r="AW195" i="2"/>
  <c r="AW201" i="2"/>
  <c r="AW90" i="2"/>
  <c r="AW133" i="2"/>
  <c r="B2" i="2"/>
  <c r="B1" i="1"/>
  <c r="B1" i="2"/>
  <c r="K3" i="2"/>
  <c r="J3" i="2"/>
  <c r="J3" i="1"/>
  <c r="K3" i="1"/>
  <c r="AC707" i="3" l="1"/>
  <c r="AE707" i="3"/>
  <c r="Y548" i="3"/>
  <c r="Y745" i="3"/>
  <c r="Y672" i="3"/>
  <c r="Y453" i="3"/>
  <c r="Y313" i="3"/>
  <c r="Y128" i="3"/>
  <c r="AY68" i="2" s="1"/>
  <c r="Y189" i="3"/>
  <c r="Y880" i="3"/>
  <c r="AC880" i="3" s="1"/>
  <c r="Y107" i="3"/>
  <c r="Y522" i="3"/>
  <c r="Y398" i="3"/>
  <c r="Y159" i="3"/>
  <c r="Y576" i="3"/>
  <c r="Y558" i="3"/>
  <c r="AY220" i="2" s="1"/>
  <c r="Y332" i="3"/>
  <c r="Y296" i="3"/>
  <c r="Y259" i="3"/>
  <c r="Y889" i="3"/>
  <c r="Y888" i="3"/>
  <c r="Y147" i="3"/>
  <c r="Y213" i="3"/>
  <c r="Y495" i="3"/>
  <c r="AE495" i="3" s="1"/>
  <c r="Y552" i="3"/>
  <c r="Y53" i="3"/>
  <c r="Y528" i="3"/>
  <c r="Y278" i="3"/>
  <c r="Y882" i="3"/>
  <c r="AC882" i="3" s="1"/>
  <c r="Y384" i="3"/>
  <c r="AC384" i="3" s="1"/>
  <c r="Y148" i="3"/>
  <c r="Y229" i="3"/>
  <c r="AY139" i="2" s="1"/>
  <c r="Y341" i="3"/>
  <c r="Y530" i="3"/>
  <c r="Y176" i="3"/>
  <c r="Y131" i="3"/>
  <c r="Y877" i="3"/>
  <c r="Y150" i="3"/>
  <c r="Y267" i="3"/>
  <c r="Y224" i="3"/>
  <c r="Y145" i="3"/>
  <c r="Y199" i="3"/>
  <c r="Y474" i="3"/>
  <c r="AC474" i="3" s="1"/>
  <c r="Y427" i="3"/>
  <c r="AC427" i="3" s="1"/>
  <c r="Y650" i="3"/>
  <c r="Y228" i="3"/>
  <c r="Y751" i="3"/>
  <c r="Y585" i="3"/>
  <c r="AY227" i="2" s="1"/>
  <c r="Y440" i="3"/>
  <c r="Y241" i="3"/>
  <c r="Y210" i="3"/>
  <c r="Y198" i="3"/>
  <c r="Y117" i="3"/>
  <c r="Y677" i="3"/>
  <c r="Y647" i="3"/>
  <c r="Y518" i="3"/>
  <c r="Y425" i="3"/>
  <c r="Y388" i="3"/>
  <c r="Y219" i="3"/>
  <c r="Y207" i="3"/>
  <c r="Y80" i="3"/>
  <c r="Y98" i="3"/>
  <c r="Y471" i="3"/>
  <c r="Y387" i="3"/>
  <c r="AE387" i="3" s="1"/>
  <c r="Y215" i="3"/>
  <c r="Y434" i="3"/>
  <c r="Y683" i="3"/>
  <c r="Y295" i="3"/>
  <c r="Y279" i="3"/>
  <c r="Y208" i="3"/>
  <c r="Y684" i="3"/>
  <c r="Y659" i="3"/>
  <c r="AE659" i="3" s="1"/>
  <c r="Y489" i="3"/>
  <c r="Y629" i="3"/>
  <c r="AE561" i="3"/>
  <c r="Y364" i="3"/>
  <c r="AE364" i="3" s="1"/>
  <c r="AY385" i="2"/>
  <c r="AY132" i="2"/>
  <c r="BH394" i="1"/>
  <c r="Y61" i="3"/>
  <c r="AY33" i="2" s="1"/>
  <c r="Y31" i="3"/>
  <c r="Y317" i="3"/>
  <c r="Y88" i="3"/>
  <c r="Y95" i="3"/>
  <c r="BH50" i="1" s="1"/>
  <c r="Y304" i="3"/>
  <c r="Y196" i="3"/>
  <c r="Y153" i="3"/>
  <c r="Y74" i="3"/>
  <c r="AY42" i="2" s="1"/>
  <c r="Y10" i="3"/>
  <c r="Y64" i="3"/>
  <c r="Y37" i="3"/>
  <c r="AY23" i="2" s="1"/>
  <c r="Y48" i="3"/>
  <c r="AY30" i="2" s="1"/>
  <c r="Y18" i="3"/>
  <c r="Y340" i="3"/>
  <c r="Y27" i="3"/>
  <c r="Y20" i="3"/>
  <c r="BH13" i="1" s="1"/>
  <c r="Y322" i="3"/>
  <c r="Y300" i="3"/>
  <c r="Y160" i="3"/>
  <c r="Y192" i="3"/>
  <c r="Y28" i="3"/>
  <c r="Y22" i="3"/>
  <c r="Y184" i="3"/>
  <c r="Y114" i="3"/>
  <c r="Y204" i="3"/>
  <c r="Y112" i="3"/>
  <c r="Y46" i="3"/>
  <c r="Y7" i="3"/>
  <c r="AY6" i="2" s="1"/>
  <c r="Y135" i="3"/>
  <c r="BI343" i="1"/>
  <c r="K7" i="3"/>
  <c r="S7" i="3"/>
  <c r="L7" i="3"/>
  <c r="J7" i="3"/>
  <c r="AE519" i="3"/>
  <c r="BB104" i="1"/>
  <c r="AZ104" i="1" s="1"/>
  <c r="N10" i="3"/>
  <c r="O80" i="3"/>
  <c r="BB170" i="1"/>
  <c r="AZ170" i="1" s="1"/>
  <c r="M80" i="3"/>
  <c r="P7" i="3"/>
  <c r="L80" i="3"/>
  <c r="O7" i="3"/>
  <c r="K80" i="3"/>
  <c r="N7" i="3"/>
  <c r="J80" i="3"/>
  <c r="S80" i="3"/>
  <c r="M7" i="3"/>
  <c r="I80" i="3"/>
  <c r="AC586" i="3"/>
  <c r="BI396" i="1"/>
  <c r="AY266" i="2"/>
  <c r="AZ181" i="2"/>
  <c r="BK396" i="1"/>
  <c r="BJ122" i="1"/>
  <c r="BJ436" i="1"/>
  <c r="AZ242" i="2"/>
  <c r="L153" i="3"/>
  <c r="V7" i="3"/>
  <c r="K31" i="3"/>
  <c r="V46" i="3"/>
  <c r="P31" i="3"/>
  <c r="O163" i="3"/>
  <c r="O46" i="3"/>
  <c r="BB238" i="1"/>
  <c r="AZ238" i="1" s="1"/>
  <c r="S163" i="3"/>
  <c r="O31" i="3"/>
  <c r="L18" i="3"/>
  <c r="N18" i="3"/>
  <c r="I31" i="3"/>
  <c r="BB425" i="1"/>
  <c r="AZ425" i="1" s="1"/>
  <c r="BB112" i="1"/>
  <c r="AZ112" i="1" s="1"/>
  <c r="N153" i="3"/>
  <c r="BB324" i="1"/>
  <c r="AZ324" i="1" s="1"/>
  <c r="BB152" i="1"/>
  <c r="AZ152" i="1" s="1"/>
  <c r="O196" i="3"/>
  <c r="N148" i="3"/>
  <c r="S323" i="3"/>
  <c r="BB165" i="1"/>
  <c r="AZ165" i="1" s="1"/>
  <c r="M18" i="3"/>
  <c r="K18" i="3"/>
  <c r="P163" i="3"/>
  <c r="J163" i="3"/>
  <c r="M145" i="3"/>
  <c r="P80" i="3"/>
  <c r="N80" i="3"/>
  <c r="S10" i="3"/>
  <c r="P274" i="3"/>
  <c r="P103" i="3"/>
  <c r="M148" i="3"/>
  <c r="J103" i="3"/>
  <c r="S196" i="3"/>
  <c r="P148" i="3"/>
  <c r="M10" i="3"/>
  <c r="K114" i="3"/>
  <c r="O10" i="3"/>
  <c r="L803" i="3"/>
  <c r="I196" i="3"/>
  <c r="O497" i="3"/>
  <c r="N198" i="3"/>
  <c r="M114" i="3"/>
  <c r="K10" i="3"/>
  <c r="S114" i="3"/>
  <c r="O114" i="3"/>
  <c r="N215" i="3"/>
  <c r="M147" i="3"/>
  <c r="L98" i="3"/>
  <c r="J10" i="3"/>
  <c r="I198" i="3"/>
  <c r="I148" i="3"/>
  <c r="S189" i="3"/>
  <c r="P259" i="3"/>
  <c r="O189" i="3"/>
  <c r="K147" i="3"/>
  <c r="BK97" i="1"/>
  <c r="BH91" i="1"/>
  <c r="BJ35" i="1"/>
  <c r="BJ221" i="1"/>
  <c r="BJ307" i="1"/>
  <c r="BB248" i="2"/>
  <c r="BH384" i="1"/>
  <c r="P332" i="3"/>
  <c r="N204" i="3"/>
  <c r="N31" i="3"/>
  <c r="M163" i="3"/>
  <c r="L198" i="3"/>
  <c r="L31" i="3"/>
  <c r="J18" i="3"/>
  <c r="I163" i="3"/>
  <c r="S18" i="3"/>
  <c r="P147" i="3"/>
  <c r="O18" i="3"/>
  <c r="N98" i="3"/>
  <c r="L215" i="3"/>
  <c r="K189" i="3"/>
  <c r="J31" i="3"/>
  <c r="V10" i="3"/>
  <c r="BB427" i="1"/>
  <c r="AZ427" i="1" s="1"/>
  <c r="S74" i="3"/>
  <c r="S31" i="3"/>
  <c r="P196" i="3"/>
  <c r="O71" i="3"/>
  <c r="M189" i="3"/>
  <c r="M31" i="3"/>
  <c r="L163" i="3"/>
  <c r="K196" i="3"/>
  <c r="J189" i="3"/>
  <c r="BB266" i="1"/>
  <c r="AZ266" i="1" s="1"/>
  <c r="S147" i="3"/>
  <c r="P18" i="3"/>
  <c r="O147" i="3"/>
  <c r="M103" i="3"/>
  <c r="K163" i="3"/>
  <c r="J196" i="3"/>
  <c r="I103" i="3"/>
  <c r="BH104" i="1"/>
  <c r="BK91" i="1"/>
  <c r="BJ299" i="1"/>
  <c r="BB242" i="2"/>
  <c r="BI155" i="1"/>
  <c r="BI307" i="1"/>
  <c r="BH35" i="1"/>
  <c r="BJ396" i="1"/>
  <c r="BI249" i="1"/>
  <c r="BK266" i="1"/>
  <c r="BK367" i="1"/>
  <c r="BI436" i="1"/>
  <c r="BK249" i="1"/>
  <c r="BJ324" i="1"/>
  <c r="BB136" i="2"/>
  <c r="BA458" i="2"/>
  <c r="BA136" i="2"/>
  <c r="BA425" i="2"/>
  <c r="BK140" i="1"/>
  <c r="AZ448" i="2"/>
  <c r="BA213" i="2"/>
  <c r="AZ221" i="2"/>
  <c r="N74" i="3"/>
  <c r="BB93" i="2"/>
  <c r="AZ312" i="2"/>
  <c r="S224" i="3"/>
  <c r="BA181" i="2"/>
  <c r="BB312" i="2"/>
  <c r="BA158" i="2"/>
  <c r="BB41" i="2"/>
  <c r="BJ240" i="1"/>
  <c r="AZ279" i="2"/>
  <c r="AY161" i="2"/>
  <c r="AY165" i="2"/>
  <c r="BB415" i="2"/>
  <c r="AE597" i="3"/>
  <c r="BI147" i="1"/>
  <c r="AC742" i="3"/>
  <c r="S808" i="3"/>
  <c r="AY409" i="2"/>
  <c r="AC424" i="3"/>
  <c r="BJ391" i="1"/>
  <c r="BB404" i="2"/>
  <c r="AZ364" i="2"/>
  <c r="AZ244" i="2"/>
  <c r="AZ92" i="2"/>
  <c r="AY425" i="2"/>
  <c r="AY448" i="2"/>
  <c r="AC661" i="3"/>
  <c r="AZ266" i="2"/>
  <c r="AZ23" i="2"/>
  <c r="BJ219" i="1"/>
  <c r="AZ425" i="2"/>
  <c r="AC524" i="3"/>
  <c r="BA415" i="2"/>
  <c r="BA41" i="2"/>
  <c r="S798" i="3"/>
  <c r="BB371" i="2"/>
  <c r="AZ309" i="2"/>
  <c r="BK343" i="1"/>
  <c r="BA161" i="2"/>
  <c r="BA165" i="2"/>
  <c r="AZ409" i="2"/>
  <c r="AZ385" i="2"/>
  <c r="AZ348" i="2"/>
  <c r="AE531" i="3"/>
  <c r="BA290" i="2"/>
  <c r="BB313" i="2"/>
  <c r="BJ366" i="1"/>
  <c r="BB425" i="2"/>
  <c r="AY371" i="2"/>
  <c r="AE427" i="3"/>
  <c r="M742" i="3"/>
  <c r="AZ290" i="2"/>
  <c r="BB377" i="2"/>
  <c r="BB144" i="2"/>
  <c r="BH358" i="1"/>
  <c r="AE765" i="3"/>
  <c r="AE474" i="3"/>
  <c r="BI140" i="1"/>
  <c r="BH428" i="1"/>
  <c r="AE694" i="3"/>
  <c r="AE448" i="3"/>
  <c r="BK147" i="1"/>
  <c r="AY430" i="2"/>
  <c r="AY150" i="2"/>
  <c r="AE686" i="3"/>
  <c r="BK171" i="1"/>
  <c r="BA207" i="2"/>
  <c r="BB241" i="2"/>
  <c r="AE624" i="3"/>
  <c r="AE880" i="3"/>
  <c r="BK307" i="1"/>
  <c r="BJ154" i="1"/>
  <c r="BI91" i="1"/>
  <c r="BA251" i="2"/>
  <c r="BK424" i="1"/>
  <c r="AE441" i="3"/>
  <c r="AC487" i="3"/>
  <c r="BJ249" i="1"/>
  <c r="AZ436" i="2"/>
  <c r="BI113" i="1"/>
  <c r="BI70" i="1"/>
  <c r="BK129" i="1"/>
  <c r="BA122" i="2"/>
  <c r="BI68" i="1"/>
  <c r="BJ15" i="1"/>
  <c r="BK53" i="1"/>
  <c r="BK363" i="1"/>
  <c r="AZ99" i="2"/>
  <c r="AE384" i="3"/>
  <c r="AZ122" i="2"/>
  <c r="AE497" i="3"/>
  <c r="AC846" i="3"/>
  <c r="BJ18" i="1"/>
  <c r="BJ340" i="1"/>
  <c r="BB261" i="2"/>
  <c r="AZ424" i="2"/>
  <c r="AZ199" i="2"/>
  <c r="AZ144" i="2"/>
  <c r="BH251" i="1"/>
  <c r="BH357" i="1"/>
  <c r="BI6" i="1"/>
  <c r="BK146" i="1"/>
  <c r="BA275" i="2"/>
  <c r="BI58" i="1"/>
  <c r="AZ331" i="2"/>
  <c r="AY78" i="2"/>
  <c r="AY40" i="2"/>
  <c r="S710" i="3"/>
  <c r="BB207" i="2"/>
  <c r="AZ347" i="2"/>
  <c r="BA60" i="2"/>
  <c r="AZ391" i="2"/>
  <c r="BI171" i="1"/>
  <c r="AZ251" i="2"/>
  <c r="BA335" i="2"/>
  <c r="AZ75" i="2"/>
  <c r="BJ7" i="1"/>
  <c r="BJ147" i="1"/>
  <c r="BK391" i="1"/>
  <c r="BB122" i="2"/>
  <c r="BK254" i="1"/>
  <c r="AZ377" i="2"/>
  <c r="AZ332" i="2"/>
  <c r="I374" i="3"/>
  <c r="AY348" i="2"/>
  <c r="BJ364" i="1"/>
  <c r="BJ61" i="1"/>
  <c r="AZ458" i="2"/>
  <c r="AY429" i="2"/>
  <c r="AC858" i="3"/>
  <c r="AC561" i="3"/>
  <c r="BA261" i="2"/>
  <c r="BK296" i="1"/>
  <c r="AY141" i="2"/>
  <c r="BJ140" i="1"/>
  <c r="BA360" i="2"/>
  <c r="BA331" i="2"/>
  <c r="BA201" i="2"/>
  <c r="BB458" i="2"/>
  <c r="AZ313" i="2"/>
  <c r="AY418" i="2"/>
  <c r="AE566" i="3"/>
  <c r="AC543" i="3"/>
  <c r="BB201" i="2"/>
  <c r="AZ413" i="2"/>
  <c r="AZ207" i="2"/>
  <c r="BH222" i="1"/>
  <c r="BJ171" i="1"/>
  <c r="BI391" i="1"/>
  <c r="BI411" i="1"/>
  <c r="AZ416" i="2"/>
  <c r="AY91" i="2"/>
  <c r="P453" i="3"/>
  <c r="O27" i="3"/>
  <c r="J481" i="3"/>
  <c r="BJ53" i="1"/>
  <c r="BK164" i="1"/>
  <c r="BK374" i="1"/>
  <c r="BI166" i="1"/>
  <c r="BI332" i="1"/>
  <c r="BI138" i="1"/>
  <c r="BH267" i="1"/>
  <c r="BH364" i="1"/>
  <c r="BH70" i="1"/>
  <c r="BH343" i="1"/>
  <c r="AE798" i="3"/>
  <c r="BJ70" i="1"/>
  <c r="BK130" i="1"/>
  <c r="BI296" i="1"/>
  <c r="BH374" i="1"/>
  <c r="BH307" i="1"/>
  <c r="BJ164" i="1"/>
  <c r="BJ91" i="1"/>
  <c r="BJ374" i="1"/>
  <c r="BK358" i="1"/>
  <c r="BK109" i="1"/>
  <c r="BK332" i="1"/>
  <c r="BK138" i="1"/>
  <c r="BI317" i="1"/>
  <c r="BI222" i="1"/>
  <c r="BI97" i="1"/>
  <c r="BH336" i="1"/>
  <c r="BH58" i="1"/>
  <c r="AE503" i="3"/>
  <c r="BJ130" i="1"/>
  <c r="BJ109" i="1"/>
  <c r="BJ332" i="1"/>
  <c r="BI194" i="1"/>
  <c r="BI217" i="1"/>
  <c r="BI53" i="1"/>
  <c r="BH301" i="1"/>
  <c r="BH178" i="1"/>
  <c r="BH147" i="1"/>
  <c r="AC444" i="3"/>
  <c r="BI247" i="1"/>
  <c r="BJ317" i="1"/>
  <c r="BJ222" i="1"/>
  <c r="BJ97" i="1"/>
  <c r="BK194" i="1"/>
  <c r="BK217" i="1"/>
  <c r="BK117" i="1"/>
  <c r="BI164" i="1"/>
  <c r="BI374" i="1"/>
  <c r="BH366" i="1"/>
  <c r="BK70" i="1"/>
  <c r="BI130" i="1"/>
  <c r="AE500" i="3"/>
  <c r="S259" i="3"/>
  <c r="P198" i="3"/>
  <c r="O417" i="3"/>
  <c r="N147" i="3"/>
  <c r="M71" i="3"/>
  <c r="L196" i="3"/>
  <c r="K224" i="3"/>
  <c r="J316" i="3"/>
  <c r="I98" i="3"/>
  <c r="V189" i="3"/>
  <c r="S254" i="3"/>
  <c r="S198" i="3"/>
  <c r="P98" i="3"/>
  <c r="O259" i="3"/>
  <c r="N62" i="3"/>
  <c r="N103" i="3"/>
  <c r="M198" i="3"/>
  <c r="L74" i="3"/>
  <c r="K198" i="3"/>
  <c r="J147" i="3"/>
  <c r="I215" i="3"/>
  <c r="S889" i="3"/>
  <c r="S103" i="3"/>
  <c r="P745" i="3"/>
  <c r="P215" i="3"/>
  <c r="P27" i="3"/>
  <c r="O198" i="3"/>
  <c r="N71" i="3"/>
  <c r="N196" i="3"/>
  <c r="M98" i="3"/>
  <c r="L147" i="3"/>
  <c r="K103" i="3"/>
  <c r="J215" i="3"/>
  <c r="I153" i="3"/>
  <c r="S71" i="3"/>
  <c r="S153" i="3"/>
  <c r="P71" i="3"/>
  <c r="P153" i="3"/>
  <c r="O103" i="3"/>
  <c r="N259" i="3"/>
  <c r="N163" i="3"/>
  <c r="M791" i="3"/>
  <c r="M196" i="3"/>
  <c r="L103" i="3"/>
  <c r="K153" i="3"/>
  <c r="J114" i="3"/>
  <c r="I189" i="3"/>
  <c r="I18" i="3"/>
  <c r="AE882" i="3"/>
  <c r="AE410" i="3"/>
  <c r="AC816" i="3"/>
  <c r="AC618" i="3"/>
  <c r="P618" i="3"/>
  <c r="AE399" i="3"/>
  <c r="AE676" i="3"/>
  <c r="AC730" i="3"/>
  <c r="N474" i="3"/>
  <c r="N410" i="3"/>
  <c r="L362" i="3"/>
  <c r="BA371" i="2"/>
  <c r="BA313" i="2"/>
  <c r="BB132" i="2"/>
  <c r="BB181" i="2"/>
  <c r="AZ366" i="2"/>
  <c r="AZ261" i="2"/>
  <c r="AY347" i="2"/>
  <c r="AY158" i="2"/>
  <c r="AY345" i="2"/>
  <c r="BA115" i="2"/>
  <c r="BA230" i="2"/>
  <c r="BA144" i="2"/>
  <c r="BB279" i="2"/>
  <c r="BB416" i="2"/>
  <c r="BB199" i="2"/>
  <c r="BB348" i="2"/>
  <c r="AZ68" i="2"/>
  <c r="AY320" i="2"/>
  <c r="AY337" i="2"/>
  <c r="AY442" i="2"/>
  <c r="AY459" i="2"/>
  <c r="AY45" i="2"/>
  <c r="AY101" i="2"/>
  <c r="F710" i="3"/>
  <c r="BA35" i="2"/>
  <c r="BA242" i="2"/>
  <c r="BB366" i="2"/>
  <c r="AZ311" i="2"/>
  <c r="AZ201" i="2"/>
  <c r="AY126" i="2"/>
  <c r="BA416" i="2"/>
  <c r="BA199" i="2"/>
  <c r="BA364" i="2"/>
  <c r="BA348" i="2"/>
  <c r="BB331" i="2"/>
  <c r="AZ136" i="2"/>
  <c r="AZ254" i="2"/>
  <c r="AY88" i="2"/>
  <c r="BA172" i="2"/>
  <c r="BA91" i="2"/>
  <c r="BA240" i="2"/>
  <c r="BA296" i="2"/>
  <c r="BB448" i="2"/>
  <c r="BB251" i="2"/>
  <c r="BB308" i="2"/>
  <c r="BB54" i="2"/>
  <c r="AZ93" i="2"/>
  <c r="AZ200" i="2"/>
  <c r="AZ386" i="2"/>
  <c r="AZ158" i="2"/>
  <c r="AY248" i="2"/>
  <c r="AY397" i="2"/>
  <c r="BA221" i="2"/>
  <c r="AZ124" i="2"/>
  <c r="BA377" i="2"/>
  <c r="BA19" i="2"/>
  <c r="BB75" i="2"/>
  <c r="BB158" i="2"/>
  <c r="BB456" i="2"/>
  <c r="AZ69" i="2"/>
  <c r="AZ376" i="2"/>
  <c r="AY172" i="2"/>
  <c r="AY436" i="2"/>
  <c r="AY7" i="2"/>
  <c r="AY160" i="2"/>
  <c r="S307" i="3"/>
  <c r="S440" i="3"/>
  <c r="P846" i="3"/>
  <c r="P362" i="3"/>
  <c r="O274" i="3"/>
  <c r="N407" i="3"/>
  <c r="M591" i="3"/>
  <c r="L727" i="3"/>
  <c r="J219" i="3"/>
  <c r="I332" i="3"/>
  <c r="V114" i="3"/>
  <c r="P765" i="3"/>
  <c r="O846" i="3"/>
  <c r="S531" i="3"/>
  <c r="O423" i="3"/>
  <c r="N765" i="3"/>
  <c r="S846" i="3"/>
  <c r="S497" i="3"/>
  <c r="S626" i="3"/>
  <c r="P686" i="3"/>
  <c r="P488" i="3"/>
  <c r="O755" i="3"/>
  <c r="O888" i="3"/>
  <c r="N686" i="3"/>
  <c r="N710" i="3"/>
  <c r="K846" i="3"/>
  <c r="S274" i="3"/>
  <c r="O765" i="3"/>
  <c r="S444" i="3"/>
  <c r="S27" i="3"/>
  <c r="P732" i="3"/>
  <c r="O686" i="3"/>
  <c r="O673" i="3"/>
  <c r="N531" i="3"/>
  <c r="L846" i="3"/>
  <c r="K765" i="3"/>
  <c r="S686" i="3"/>
  <c r="P531" i="3"/>
  <c r="L765" i="3"/>
  <c r="K213" i="3"/>
  <c r="O307" i="3"/>
  <c r="S425" i="3"/>
  <c r="P497" i="3"/>
  <c r="P204" i="3"/>
  <c r="L497" i="3"/>
  <c r="K207" i="3"/>
  <c r="I362" i="3"/>
  <c r="S597" i="3"/>
  <c r="S362" i="3"/>
  <c r="I38" i="3"/>
  <c r="H597" i="3"/>
  <c r="E38" i="3"/>
  <c r="J26" i="7" s="1"/>
  <c r="P597" i="3"/>
  <c r="S623" i="3"/>
  <c r="S742" i="3"/>
  <c r="S387" i="3"/>
  <c r="S593" i="3"/>
  <c r="P623" i="3"/>
  <c r="P192" i="3"/>
  <c r="P224" i="3"/>
  <c r="O597" i="3"/>
  <c r="O647" i="3"/>
  <c r="O98" i="3"/>
  <c r="O148" i="3"/>
  <c r="N217" i="3"/>
  <c r="N189" i="3"/>
  <c r="N114" i="3"/>
  <c r="M597" i="3"/>
  <c r="M224" i="3"/>
  <c r="M215" i="3"/>
  <c r="L791" i="3"/>
  <c r="J259" i="3"/>
  <c r="J153" i="3"/>
  <c r="I751" i="3"/>
  <c r="I10" i="3"/>
  <c r="S519" i="3"/>
  <c r="P798" i="3"/>
  <c r="M623" i="3"/>
  <c r="N676" i="3"/>
  <c r="J623" i="3"/>
  <c r="S676" i="3"/>
  <c r="S217" i="3"/>
  <c r="S204" i="3"/>
  <c r="S98" i="3"/>
  <c r="S148" i="3"/>
  <c r="P519" i="3"/>
  <c r="P558" i="3"/>
  <c r="P74" i="3"/>
  <c r="P10" i="3"/>
  <c r="O889" i="3"/>
  <c r="O215" i="3"/>
  <c r="N172" i="3"/>
  <c r="M519" i="3"/>
  <c r="M74" i="3"/>
  <c r="M153" i="3"/>
  <c r="L316" i="3"/>
  <c r="L10" i="3"/>
  <c r="K519" i="3"/>
  <c r="K98" i="3"/>
  <c r="K148" i="3"/>
  <c r="J38" i="3"/>
  <c r="J198" i="3"/>
  <c r="I71" i="3"/>
  <c r="I114" i="3"/>
  <c r="F798" i="3"/>
  <c r="N623" i="3"/>
  <c r="P742" i="3"/>
  <c r="M362" i="3"/>
  <c r="J362" i="3"/>
  <c r="S576" i="3"/>
  <c r="S215" i="3"/>
  <c r="P427" i="3"/>
  <c r="P331" i="3"/>
  <c r="P189" i="3"/>
  <c r="P114" i="3"/>
  <c r="O153" i="3"/>
  <c r="M294" i="3"/>
  <c r="L623" i="3"/>
  <c r="L189" i="3"/>
  <c r="L114" i="3"/>
  <c r="K745" i="3"/>
  <c r="K215" i="3"/>
  <c r="J808" i="3"/>
  <c r="J98" i="3"/>
  <c r="J148" i="3"/>
  <c r="V647" i="3"/>
  <c r="S586" i="3"/>
  <c r="S176" i="3"/>
  <c r="S407" i="3"/>
  <c r="S62" i="3"/>
  <c r="P760" i="3"/>
  <c r="P207" i="3"/>
  <c r="O657" i="3"/>
  <c r="O74" i="3"/>
  <c r="N213" i="3"/>
  <c r="N889" i="3"/>
  <c r="M494" i="3"/>
  <c r="M732" i="3"/>
  <c r="L745" i="3"/>
  <c r="K838" i="3"/>
  <c r="K259" i="3"/>
  <c r="J192" i="3"/>
  <c r="I659" i="3"/>
  <c r="I147" i="3"/>
  <c r="V80" i="3"/>
  <c r="S441" i="3"/>
  <c r="S888" i="3"/>
  <c r="S219" i="3"/>
  <c r="P858" i="3"/>
  <c r="P287" i="3"/>
  <c r="P304" i="3"/>
  <c r="P199" i="3"/>
  <c r="O732" i="3"/>
  <c r="N304" i="3"/>
  <c r="M453" i="3"/>
  <c r="M199" i="3"/>
  <c r="L207" i="3"/>
  <c r="L193" i="3"/>
  <c r="K859" i="3"/>
  <c r="J156" i="3"/>
  <c r="I647" i="3"/>
  <c r="I193" i="3"/>
  <c r="V745" i="3"/>
  <c r="S448" i="3"/>
  <c r="S859" i="3"/>
  <c r="S128" i="3"/>
  <c r="P727" i="3"/>
  <c r="P751" i="3"/>
  <c r="O51" i="3"/>
  <c r="O316" i="3"/>
  <c r="N803" i="3"/>
  <c r="M81" i="3"/>
  <c r="M8" i="3"/>
  <c r="L287" i="3"/>
  <c r="L224" i="3"/>
  <c r="L184" i="3"/>
  <c r="K219" i="3"/>
  <c r="J207" i="3"/>
  <c r="I62" i="3"/>
  <c r="I184" i="3"/>
  <c r="V62" i="3"/>
  <c r="J427" i="3"/>
  <c r="S453" i="3"/>
  <c r="S304" i="3"/>
  <c r="S145" i="3"/>
  <c r="P564" i="3"/>
  <c r="P647" i="3"/>
  <c r="O300" i="3"/>
  <c r="O241" i="3"/>
  <c r="O193" i="3"/>
  <c r="N332" i="3"/>
  <c r="M576" i="3"/>
  <c r="M885" i="3"/>
  <c r="L384" i="3"/>
  <c r="K543" i="3"/>
  <c r="K316" i="3"/>
  <c r="J224" i="3"/>
  <c r="V103" i="3"/>
  <c r="S88" i="3"/>
  <c r="S287" i="3"/>
  <c r="S880" i="3"/>
  <c r="S791" i="3"/>
  <c r="S751" i="3"/>
  <c r="S172" i="3"/>
  <c r="P53" i="3"/>
  <c r="P374" i="3"/>
  <c r="P40" i="3"/>
  <c r="P301" i="3"/>
  <c r="P889" i="3"/>
  <c r="O448" i="3"/>
  <c r="O217" i="3"/>
  <c r="O301" i="3"/>
  <c r="O204" i="3"/>
  <c r="N399" i="3"/>
  <c r="N576" i="3"/>
  <c r="N316" i="3"/>
  <c r="N885" i="3"/>
  <c r="M9" i="3"/>
  <c r="M510" i="3"/>
  <c r="M259" i="3"/>
  <c r="L64" i="3"/>
  <c r="L364" i="3"/>
  <c r="L128" i="3"/>
  <c r="L259" i="3"/>
  <c r="K677" i="3"/>
  <c r="K332" i="3"/>
  <c r="J78" i="3"/>
  <c r="J128" i="3"/>
  <c r="J885" i="3"/>
  <c r="I591" i="3"/>
  <c r="I259" i="3"/>
  <c r="V71" i="3"/>
  <c r="V31" i="3"/>
  <c r="O399" i="3"/>
  <c r="N838" i="3"/>
  <c r="M287" i="3"/>
  <c r="S252" i="3"/>
  <c r="S156" i="3"/>
  <c r="S138" i="3"/>
  <c r="S281" i="3"/>
  <c r="S241" i="3"/>
  <c r="P159" i="3"/>
  <c r="P217" i="3"/>
  <c r="P528" i="3"/>
  <c r="P510" i="3"/>
  <c r="P193" i="3"/>
  <c r="O53" i="3"/>
  <c r="O37" i="3"/>
  <c r="O510" i="3"/>
  <c r="N51" i="3"/>
  <c r="N313" i="3"/>
  <c r="M53" i="3"/>
  <c r="M304" i="3"/>
  <c r="M278" i="3"/>
  <c r="L543" i="3"/>
  <c r="L9" i="3"/>
  <c r="L332" i="3"/>
  <c r="L27" i="3"/>
  <c r="K37" i="3"/>
  <c r="K889" i="3"/>
  <c r="J564" i="3"/>
  <c r="J332" i="3"/>
  <c r="I880" i="3"/>
  <c r="I626" i="3"/>
  <c r="I27" i="3"/>
  <c r="V254" i="3"/>
  <c r="V147" i="3"/>
  <c r="M596" i="3"/>
  <c r="N549" i="3"/>
  <c r="S838" i="3"/>
  <c r="S677" i="3"/>
  <c r="S417" i="3"/>
  <c r="S803" i="3"/>
  <c r="S278" i="3"/>
  <c r="S8" i="3"/>
  <c r="P586" i="3"/>
  <c r="P294" i="3"/>
  <c r="P411" i="3"/>
  <c r="P313" i="3"/>
  <c r="P673" i="3"/>
  <c r="P184" i="3"/>
  <c r="O159" i="3"/>
  <c r="O745" i="3"/>
  <c r="O332" i="3"/>
  <c r="O8" i="3"/>
  <c r="N867" i="3"/>
  <c r="N301" i="3"/>
  <c r="N241" i="3"/>
  <c r="M159" i="3"/>
  <c r="M407" i="3"/>
  <c r="M889" i="3"/>
  <c r="L858" i="3"/>
  <c r="L304" i="3"/>
  <c r="L889" i="3"/>
  <c r="K74" i="3"/>
  <c r="K8" i="3"/>
  <c r="J300" i="3"/>
  <c r="J889" i="3"/>
  <c r="I585" i="3"/>
  <c r="I316" i="3"/>
  <c r="V138" i="3"/>
  <c r="V196" i="3"/>
  <c r="S760" i="3"/>
  <c r="S833" i="3"/>
  <c r="S108" i="3"/>
  <c r="S885" i="3"/>
  <c r="P448" i="3"/>
  <c r="P874" i="3"/>
  <c r="P156" i="3"/>
  <c r="P591" i="3"/>
  <c r="P316" i="3"/>
  <c r="O858" i="3"/>
  <c r="O213" i="3"/>
  <c r="O331" i="3"/>
  <c r="O62" i="3"/>
  <c r="N300" i="3"/>
  <c r="N207" i="3"/>
  <c r="N8" i="3"/>
  <c r="M874" i="3"/>
  <c r="M108" i="3"/>
  <c r="L279" i="3"/>
  <c r="L838" i="3"/>
  <c r="L876" i="3"/>
  <c r="L71" i="3"/>
  <c r="K51" i="3"/>
  <c r="K108" i="3"/>
  <c r="K885" i="3"/>
  <c r="J528" i="3"/>
  <c r="J74" i="3"/>
  <c r="J8" i="3"/>
  <c r="I586" i="3"/>
  <c r="I40" i="3"/>
  <c r="I204" i="3"/>
  <c r="V207" i="3"/>
  <c r="V18" i="3"/>
  <c r="S159" i="3"/>
  <c r="S213" i="3"/>
  <c r="S481" i="3"/>
  <c r="S504" i="3"/>
  <c r="S40" i="3"/>
  <c r="S876" i="3"/>
  <c r="S48" i="3"/>
  <c r="S510" i="3"/>
  <c r="S316" i="3"/>
  <c r="S193" i="3"/>
  <c r="P808" i="3"/>
  <c r="P859" i="3"/>
  <c r="P540" i="3"/>
  <c r="P876" i="3"/>
  <c r="P108" i="3"/>
  <c r="P62" i="3"/>
  <c r="P885" i="3"/>
  <c r="P8" i="3"/>
  <c r="O384" i="3"/>
  <c r="O304" i="3"/>
  <c r="O803" i="3"/>
  <c r="O207" i="3"/>
  <c r="O885" i="3"/>
  <c r="O184" i="3"/>
  <c r="N287" i="3"/>
  <c r="N384" i="3"/>
  <c r="N417" i="3"/>
  <c r="N647" i="3"/>
  <c r="N278" i="3"/>
  <c r="N193" i="3"/>
  <c r="M495" i="3"/>
  <c r="M838" i="3"/>
  <c r="M481" i="3"/>
  <c r="M833" i="3"/>
  <c r="M172" i="3"/>
  <c r="M62" i="3"/>
  <c r="L448" i="3"/>
  <c r="L40" i="3"/>
  <c r="L172" i="3"/>
  <c r="L204" i="3"/>
  <c r="K364" i="3"/>
  <c r="K417" i="3"/>
  <c r="K172" i="3"/>
  <c r="K204" i="3"/>
  <c r="K27" i="3"/>
  <c r="J694" i="3"/>
  <c r="J504" i="3"/>
  <c r="J510" i="3"/>
  <c r="J204" i="3"/>
  <c r="J27" i="3"/>
  <c r="I313" i="3"/>
  <c r="I278" i="3"/>
  <c r="I74" i="3"/>
  <c r="V407" i="3"/>
  <c r="V204" i="3"/>
  <c r="U215" i="3"/>
  <c r="S549" i="3"/>
  <c r="S53" i="3"/>
  <c r="S849" i="3"/>
  <c r="S384" i="3"/>
  <c r="S9" i="3"/>
  <c r="S37" i="3"/>
  <c r="S745" i="3"/>
  <c r="S313" i="3"/>
  <c r="S207" i="3"/>
  <c r="S199" i="3"/>
  <c r="S184" i="3"/>
  <c r="P279" i="3"/>
  <c r="P252" i="3"/>
  <c r="P791" i="3"/>
  <c r="P128" i="3"/>
  <c r="P145" i="3"/>
  <c r="O838" i="3"/>
  <c r="O40" i="3"/>
  <c r="O108" i="3"/>
  <c r="O145" i="3"/>
  <c r="O224" i="3"/>
  <c r="N53" i="3"/>
  <c r="N677" i="3"/>
  <c r="N833" i="3"/>
  <c r="N732" i="3"/>
  <c r="N593" i="3"/>
  <c r="N184" i="3"/>
  <c r="M410" i="3"/>
  <c r="M727" i="3"/>
  <c r="M313" i="3"/>
  <c r="M207" i="3"/>
  <c r="M204" i="3"/>
  <c r="M27" i="3"/>
  <c r="L488" i="3"/>
  <c r="L528" i="3"/>
  <c r="L145" i="3"/>
  <c r="L241" i="3"/>
  <c r="K528" i="3"/>
  <c r="K145" i="3"/>
  <c r="K71" i="3"/>
  <c r="K193" i="3"/>
  <c r="J40" i="3"/>
  <c r="J145" i="3"/>
  <c r="J71" i="3"/>
  <c r="J193" i="3"/>
  <c r="I300" i="3"/>
  <c r="I803" i="3"/>
  <c r="I593" i="3"/>
  <c r="I885" i="3"/>
  <c r="I8" i="3"/>
  <c r="V125" i="3"/>
  <c r="V259" i="3"/>
  <c r="V153" i="3"/>
  <c r="S271" i="3"/>
  <c r="S51" i="3"/>
  <c r="S374" i="3"/>
  <c r="S651" i="3"/>
  <c r="S318" i="3"/>
  <c r="S528" i="3"/>
  <c r="S301" i="3"/>
  <c r="P730" i="3"/>
  <c r="P573" i="3"/>
  <c r="P182" i="3"/>
  <c r="P838" i="3"/>
  <c r="P539" i="3"/>
  <c r="P37" i="3"/>
  <c r="P219" i="3"/>
  <c r="P172" i="3"/>
  <c r="P278" i="3"/>
  <c r="P241" i="3"/>
  <c r="O287" i="3"/>
  <c r="O849" i="3"/>
  <c r="O585" i="3"/>
  <c r="O528" i="3"/>
  <c r="O128" i="3"/>
  <c r="O278" i="3"/>
  <c r="N585" i="3"/>
  <c r="N876" i="3"/>
  <c r="N510" i="3"/>
  <c r="M808" i="3"/>
  <c r="M192" i="3"/>
  <c r="M254" i="3"/>
  <c r="M323" i="3"/>
  <c r="M332" i="3"/>
  <c r="M193" i="3"/>
  <c r="L651" i="3"/>
  <c r="L219" i="3"/>
  <c r="L278" i="3"/>
  <c r="K9" i="3"/>
  <c r="K278" i="3"/>
  <c r="K184" i="3"/>
  <c r="J888" i="3"/>
  <c r="J876" i="3"/>
  <c r="J278" i="3"/>
  <c r="J184" i="3"/>
  <c r="I176" i="3"/>
  <c r="I128" i="3"/>
  <c r="I889" i="3"/>
  <c r="G448" i="3"/>
  <c r="V300" i="3"/>
  <c r="V172" i="3"/>
  <c r="V198" i="3"/>
  <c r="V163" i="3"/>
  <c r="S473" i="3"/>
  <c r="S410" i="3"/>
  <c r="S364" i="3"/>
  <c r="S411" i="3"/>
  <c r="S657" i="3"/>
  <c r="S732" i="3"/>
  <c r="S332" i="3"/>
  <c r="P78" i="3"/>
  <c r="P518" i="3"/>
  <c r="P9" i="3"/>
  <c r="P323" i="3"/>
  <c r="O64" i="3"/>
  <c r="O364" i="3"/>
  <c r="O659" i="3"/>
  <c r="O172" i="3"/>
  <c r="O199" i="3"/>
  <c r="O92" i="3"/>
  <c r="N219" i="3"/>
  <c r="N145" i="3"/>
  <c r="N224" i="3"/>
  <c r="M564" i="3"/>
  <c r="M417" i="3"/>
  <c r="M128" i="3"/>
  <c r="M316" i="3"/>
  <c r="M184" i="3"/>
  <c r="L51" i="3"/>
  <c r="L254" i="3"/>
  <c r="L108" i="3"/>
  <c r="L62" i="3"/>
  <c r="L885" i="3"/>
  <c r="L8" i="3"/>
  <c r="K727" i="3"/>
  <c r="K659" i="3"/>
  <c r="K803" i="3"/>
  <c r="K62" i="3"/>
  <c r="J838" i="3"/>
  <c r="J760" i="3"/>
  <c r="J62" i="3"/>
  <c r="I425" i="3"/>
  <c r="I145" i="3"/>
  <c r="I224" i="3"/>
  <c r="H448" i="3"/>
  <c r="V332" i="3"/>
  <c r="V148" i="3"/>
  <c r="E849" i="3"/>
  <c r="K849" i="3"/>
  <c r="L849" i="3"/>
  <c r="M849" i="3"/>
  <c r="I849" i="3"/>
  <c r="J268" i="3"/>
  <c r="M268" i="3"/>
  <c r="N268" i="3"/>
  <c r="D210" i="3"/>
  <c r="O210" i="3"/>
  <c r="I210" i="3"/>
  <c r="N210" i="3"/>
  <c r="K210" i="3"/>
  <c r="L210" i="3"/>
  <c r="G364" i="3"/>
  <c r="J364" i="3"/>
  <c r="M364" i="3"/>
  <c r="E213" i="3"/>
  <c r="J213" i="3"/>
  <c r="M213" i="3"/>
  <c r="G384" i="3"/>
  <c r="J384" i="3"/>
  <c r="M384" i="3"/>
  <c r="K142" i="3"/>
  <c r="N142" i="3"/>
  <c r="G81" i="3"/>
  <c r="L81" i="3"/>
  <c r="O81" i="3"/>
  <c r="I81" i="3"/>
  <c r="H488" i="3"/>
  <c r="V488" i="3"/>
  <c r="J488" i="3"/>
  <c r="K488" i="3"/>
  <c r="O488" i="3"/>
  <c r="G672" i="3"/>
  <c r="N672" i="3"/>
  <c r="H131" i="3"/>
  <c r="I131" i="3"/>
  <c r="J131" i="3"/>
  <c r="M131" i="3"/>
  <c r="L131" i="3"/>
  <c r="N131" i="3"/>
  <c r="H296" i="3"/>
  <c r="I296" i="3"/>
  <c r="M296" i="3"/>
  <c r="O296" i="3"/>
  <c r="N296" i="3"/>
  <c r="G504" i="3"/>
  <c r="K504" i="3"/>
  <c r="V504" i="3"/>
  <c r="I504" i="3"/>
  <c r="O504" i="3"/>
  <c r="P504" i="3"/>
  <c r="D431" i="3"/>
  <c r="K431" i="3"/>
  <c r="L431" i="3"/>
  <c r="O431" i="3"/>
  <c r="E30" i="3"/>
  <c r="J61" i="7" s="1"/>
  <c r="N30" i="3"/>
  <c r="H138" i="3"/>
  <c r="K138" i="3"/>
  <c r="F112" i="3"/>
  <c r="I112" i="3"/>
  <c r="L626" i="3"/>
  <c r="J626" i="3"/>
  <c r="O626" i="3"/>
  <c r="E281" i="3"/>
  <c r="O281" i="3"/>
  <c r="G673" i="3"/>
  <c r="L673" i="3"/>
  <c r="L593" i="3"/>
  <c r="J593" i="3"/>
  <c r="M593" i="3"/>
  <c r="O593" i="3"/>
  <c r="S210" i="3"/>
  <c r="S518" i="3"/>
  <c r="S867" i="3"/>
  <c r="S296" i="3"/>
  <c r="S879" i="3"/>
  <c r="S558" i="3"/>
  <c r="P387" i="3"/>
  <c r="P176" i="3"/>
  <c r="P425" i="3"/>
  <c r="P869" i="3"/>
  <c r="O176" i="3"/>
  <c r="O326" i="3"/>
  <c r="N425" i="3"/>
  <c r="N9" i="3"/>
  <c r="M156" i="3"/>
  <c r="L425" i="3"/>
  <c r="K176" i="3"/>
  <c r="K296" i="3"/>
  <c r="J518" i="3"/>
  <c r="J745" i="3"/>
  <c r="I213" i="3"/>
  <c r="I879" i="3"/>
  <c r="K306" i="3"/>
  <c r="N306" i="3"/>
  <c r="V791" i="3"/>
  <c r="V360" i="3"/>
  <c r="E78" i="3"/>
  <c r="I78" i="3"/>
  <c r="O78" i="3"/>
  <c r="K78" i="3"/>
  <c r="N78" i="3"/>
  <c r="L78" i="3"/>
  <c r="G78" i="3"/>
  <c r="I294" i="3"/>
  <c r="L294" i="3"/>
  <c r="O294" i="3"/>
  <c r="K294" i="3"/>
  <c r="F539" i="3"/>
  <c r="K539" i="3"/>
  <c r="L539" i="3"/>
  <c r="O539" i="3"/>
  <c r="I539" i="3"/>
  <c r="N539" i="3"/>
  <c r="G874" i="3"/>
  <c r="L874" i="3"/>
  <c r="O874" i="3"/>
  <c r="I874" i="3"/>
  <c r="N874" i="3"/>
  <c r="K874" i="3"/>
  <c r="L464" i="3"/>
  <c r="O464" i="3"/>
  <c r="I464" i="3"/>
  <c r="G158" i="3"/>
  <c r="J158" i="3"/>
  <c r="K158" i="3"/>
  <c r="N158" i="3"/>
  <c r="L158" i="3"/>
  <c r="I158" i="3"/>
  <c r="M158" i="3"/>
  <c r="O158" i="3"/>
  <c r="D651" i="3"/>
  <c r="I651" i="3"/>
  <c r="M651" i="3"/>
  <c r="O651" i="3"/>
  <c r="K651" i="3"/>
  <c r="N651" i="3"/>
  <c r="G300" i="3"/>
  <c r="M300" i="3"/>
  <c r="K300" i="3"/>
  <c r="D659" i="3"/>
  <c r="J659" i="3"/>
  <c r="N659" i="3"/>
  <c r="L659" i="3"/>
  <c r="M659" i="3"/>
  <c r="H318" i="3"/>
  <c r="M318" i="3"/>
  <c r="O318" i="3"/>
  <c r="L318" i="3"/>
  <c r="H833" i="3"/>
  <c r="V833" i="3"/>
  <c r="O833" i="3"/>
  <c r="I833" i="3"/>
  <c r="J833" i="3"/>
  <c r="K833" i="3"/>
  <c r="L833" i="3"/>
  <c r="D407" i="3"/>
  <c r="I407" i="3"/>
  <c r="J407" i="3"/>
  <c r="K407" i="3"/>
  <c r="L407" i="3"/>
  <c r="O407" i="3"/>
  <c r="D331" i="3"/>
  <c r="I331" i="3"/>
  <c r="M331" i="3"/>
  <c r="N331" i="3"/>
  <c r="S727" i="3"/>
  <c r="S81" i="3"/>
  <c r="S300" i="3"/>
  <c r="P849" i="3"/>
  <c r="P364" i="3"/>
  <c r="P384" i="3"/>
  <c r="P672" i="3"/>
  <c r="P651" i="3"/>
  <c r="P254" i="3"/>
  <c r="O880" i="3"/>
  <c r="O131" i="3"/>
  <c r="O558" i="3"/>
  <c r="N294" i="3"/>
  <c r="N767" i="3"/>
  <c r="N879" i="3"/>
  <c r="M78" i="3"/>
  <c r="M585" i="3"/>
  <c r="L268" i="3"/>
  <c r="L504" i="3"/>
  <c r="K880" i="3"/>
  <c r="K40" i="3"/>
  <c r="J849" i="3"/>
  <c r="J142" i="3"/>
  <c r="J791" i="3"/>
  <c r="J388" i="3"/>
  <c r="I384" i="3"/>
  <c r="I326" i="3"/>
  <c r="V318" i="3"/>
  <c r="I387" i="3"/>
  <c r="M387" i="3"/>
  <c r="F227" i="3"/>
  <c r="O227" i="3"/>
  <c r="D95" i="3"/>
  <c r="I95" i="3"/>
  <c r="N95" i="3"/>
  <c r="E518" i="3"/>
  <c r="O518" i="3"/>
  <c r="I518" i="3"/>
  <c r="N518" i="3"/>
  <c r="K518" i="3"/>
  <c r="L518" i="3"/>
  <c r="H564" i="3"/>
  <c r="I564" i="3"/>
  <c r="N564" i="3"/>
  <c r="K564" i="3"/>
  <c r="L564" i="3"/>
  <c r="O564" i="3"/>
  <c r="M28" i="3"/>
  <c r="O28" i="3"/>
  <c r="N28" i="3"/>
  <c r="F304" i="3"/>
  <c r="I304" i="3"/>
  <c r="J304" i="3"/>
  <c r="V304" i="3"/>
  <c r="J417" i="3"/>
  <c r="I417" i="3"/>
  <c r="P417" i="3"/>
  <c r="H297" i="3"/>
  <c r="V297" i="3"/>
  <c r="F576" i="3"/>
  <c r="V576" i="3"/>
  <c r="O576" i="3"/>
  <c r="I576" i="3"/>
  <c r="J576" i="3"/>
  <c r="K576" i="3"/>
  <c r="L576" i="3"/>
  <c r="M528" i="3"/>
  <c r="N528" i="3"/>
  <c r="E313" i="3"/>
  <c r="L313" i="3"/>
  <c r="V313" i="3"/>
  <c r="O313" i="3"/>
  <c r="J313" i="3"/>
  <c r="H803" i="3"/>
  <c r="M803" i="3"/>
  <c r="U803" i="3"/>
  <c r="P803" i="3"/>
  <c r="E647" i="3"/>
  <c r="M647" i="3"/>
  <c r="J647" i="3"/>
  <c r="K647" i="3"/>
  <c r="L647" i="3"/>
  <c r="S268" i="3"/>
  <c r="S539" i="3"/>
  <c r="S142" i="3"/>
  <c r="S672" i="3"/>
  <c r="S158" i="3"/>
  <c r="S326" i="3"/>
  <c r="P268" i="3"/>
  <c r="P296" i="3"/>
  <c r="P300" i="3"/>
  <c r="O387" i="3"/>
  <c r="O425" i="3"/>
  <c r="O9" i="3"/>
  <c r="N176" i="3"/>
  <c r="N81" i="3"/>
  <c r="M227" i="3"/>
  <c r="M464" i="3"/>
  <c r="M411" i="3"/>
  <c r="L296" i="3"/>
  <c r="L156" i="3"/>
  <c r="J210" i="3"/>
  <c r="I672" i="3"/>
  <c r="D729" i="3"/>
  <c r="O729" i="3"/>
  <c r="H727" i="3"/>
  <c r="N727" i="3"/>
  <c r="J727" i="3"/>
  <c r="O727" i="3"/>
  <c r="E51" i="3"/>
  <c r="J51" i="3"/>
  <c r="M51" i="3"/>
  <c r="H176" i="3"/>
  <c r="J176" i="3"/>
  <c r="M176" i="3"/>
  <c r="D192" i="3"/>
  <c r="I192" i="3"/>
  <c r="N192" i="3"/>
  <c r="K192" i="3"/>
  <c r="L192" i="3"/>
  <c r="O192" i="3"/>
  <c r="D880" i="3"/>
  <c r="J880" i="3"/>
  <c r="M880" i="3"/>
  <c r="E425" i="3"/>
  <c r="J425" i="3"/>
  <c r="M425" i="3"/>
  <c r="H767" i="3"/>
  <c r="J767" i="3"/>
  <c r="D374" i="3"/>
  <c r="M374" i="3"/>
  <c r="O374" i="3"/>
  <c r="N374" i="3"/>
  <c r="K869" i="3"/>
  <c r="M869" i="3"/>
  <c r="D677" i="3"/>
  <c r="O677" i="3"/>
  <c r="P677" i="3"/>
  <c r="D481" i="3"/>
  <c r="K481" i="3"/>
  <c r="F217" i="3"/>
  <c r="J217" i="3"/>
  <c r="K217" i="3"/>
  <c r="L217" i="3"/>
  <c r="G585" i="3"/>
  <c r="L585" i="3"/>
  <c r="J585" i="3"/>
  <c r="P585" i="3"/>
  <c r="H859" i="3"/>
  <c r="I859" i="3"/>
  <c r="O859" i="3"/>
  <c r="J859" i="3"/>
  <c r="N859" i="3"/>
  <c r="L859" i="3"/>
  <c r="H411" i="3"/>
  <c r="I411" i="3"/>
  <c r="O411" i="3"/>
  <c r="J411" i="3"/>
  <c r="N411" i="3"/>
  <c r="V411" i="3"/>
  <c r="L411" i="3"/>
  <c r="H791" i="3"/>
  <c r="K791" i="3"/>
  <c r="I791" i="3"/>
  <c r="O791" i="3"/>
  <c r="E558" i="3"/>
  <c r="L558" i="3"/>
  <c r="M558" i="3"/>
  <c r="J558" i="3"/>
  <c r="N558" i="3"/>
  <c r="E254" i="3"/>
  <c r="I254" i="3"/>
  <c r="O254" i="3"/>
  <c r="K254" i="3"/>
  <c r="V37" i="3"/>
  <c r="M37" i="3"/>
  <c r="J37" i="3"/>
  <c r="N37" i="3"/>
  <c r="L37" i="3"/>
  <c r="K540" i="3"/>
  <c r="L540" i="3"/>
  <c r="N540" i="3"/>
  <c r="M540" i="3"/>
  <c r="O540" i="3"/>
  <c r="G40" i="3"/>
  <c r="N40" i="3"/>
  <c r="M40" i="3"/>
  <c r="E745" i="3"/>
  <c r="M745" i="3"/>
  <c r="N745" i="3"/>
  <c r="E877" i="3"/>
  <c r="V877" i="3"/>
  <c r="E751" i="3"/>
  <c r="J751" i="3"/>
  <c r="N751" i="3"/>
  <c r="O751" i="3"/>
  <c r="E876" i="3"/>
  <c r="K876" i="3"/>
  <c r="V876" i="3"/>
  <c r="I876" i="3"/>
  <c r="M876" i="3"/>
  <c r="H591" i="3"/>
  <c r="V591" i="3"/>
  <c r="O591" i="3"/>
  <c r="J591" i="3"/>
  <c r="K591" i="3"/>
  <c r="N591" i="3"/>
  <c r="L591" i="3"/>
  <c r="S95" i="3"/>
  <c r="S874" i="3"/>
  <c r="S767" i="3"/>
  <c r="S131" i="3"/>
  <c r="S585" i="3"/>
  <c r="S659" i="3"/>
  <c r="S250" i="3"/>
  <c r="P51" i="3"/>
  <c r="P213" i="3"/>
  <c r="P888" i="3"/>
  <c r="P28" i="3"/>
  <c r="P326" i="3"/>
  <c r="P388" i="3"/>
  <c r="O268" i="3"/>
  <c r="O767" i="3"/>
  <c r="N880" i="3"/>
  <c r="N481" i="3"/>
  <c r="N254" i="3"/>
  <c r="M210" i="3"/>
  <c r="M488" i="3"/>
  <c r="M504" i="3"/>
  <c r="L880" i="3"/>
  <c r="L417" i="3"/>
  <c r="K268" i="3"/>
  <c r="K767" i="3"/>
  <c r="K558" i="3"/>
  <c r="J539" i="3"/>
  <c r="J9" i="3"/>
  <c r="J540" i="3"/>
  <c r="I364" i="3"/>
  <c r="I28" i="3"/>
  <c r="I540" i="3"/>
  <c r="K271" i="3"/>
  <c r="L271" i="3"/>
  <c r="G271" i="3"/>
  <c r="O271" i="3"/>
  <c r="D858" i="3"/>
  <c r="M858" i="3"/>
  <c r="F279" i="3"/>
  <c r="K279" i="3"/>
  <c r="D694" i="3"/>
  <c r="I694" i="3"/>
  <c r="L882" i="3"/>
  <c r="J882" i="3"/>
  <c r="K882" i="3"/>
  <c r="O882" i="3"/>
  <c r="P543" i="3"/>
  <c r="D543" i="3"/>
  <c r="I543" i="3"/>
  <c r="D503" i="3"/>
  <c r="M503" i="3"/>
  <c r="L503" i="3"/>
  <c r="V528" i="3"/>
  <c r="O323" i="3"/>
  <c r="N128" i="3"/>
  <c r="M301" i="3"/>
  <c r="M241" i="3"/>
  <c r="L510" i="3"/>
  <c r="K510" i="3"/>
  <c r="I108" i="3"/>
  <c r="V278" i="3"/>
  <c r="N199" i="3"/>
  <c r="K241" i="3"/>
  <c r="I172" i="3"/>
  <c r="V128" i="3"/>
  <c r="V889" i="3"/>
  <c r="N323" i="3"/>
  <c r="L301" i="3"/>
  <c r="I207" i="3"/>
  <c r="V510" i="3"/>
  <c r="V224" i="3"/>
  <c r="V193" i="3"/>
  <c r="N108" i="3"/>
  <c r="L732" i="3"/>
  <c r="K128" i="3"/>
  <c r="I323" i="3"/>
  <c r="V145" i="3"/>
  <c r="V74" i="3"/>
  <c r="V184" i="3"/>
  <c r="S707" i="3"/>
  <c r="S64" i="3"/>
  <c r="S494" i="3"/>
  <c r="S388" i="3"/>
  <c r="P707" i="3"/>
  <c r="P64" i="3"/>
  <c r="P288" i="3"/>
  <c r="O441" i="3"/>
  <c r="O250" i="3"/>
  <c r="O138" i="3"/>
  <c r="N64" i="3"/>
  <c r="N288" i="3"/>
  <c r="N440" i="3"/>
  <c r="N48" i="3"/>
  <c r="M150" i="3"/>
  <c r="M30" i="3"/>
  <c r="M48" i="3"/>
  <c r="L250" i="3"/>
  <c r="K524" i="3"/>
  <c r="K250" i="3"/>
  <c r="J112" i="3"/>
  <c r="J199" i="3"/>
  <c r="I150" i="3"/>
  <c r="I199" i="3"/>
  <c r="F688" i="3"/>
  <c r="P150" i="3"/>
  <c r="O388" i="3"/>
  <c r="N532" i="3"/>
  <c r="N626" i="3"/>
  <c r="M440" i="3"/>
  <c r="M626" i="3"/>
  <c r="L388" i="3"/>
  <c r="L112" i="3"/>
  <c r="K388" i="3"/>
  <c r="J150" i="3"/>
  <c r="J281" i="3"/>
  <c r="I30" i="3"/>
  <c r="I48" i="3"/>
  <c r="I281" i="3"/>
  <c r="V250" i="3"/>
  <c r="V112" i="3"/>
  <c r="V626" i="3"/>
  <c r="S150" i="3"/>
  <c r="P112" i="3"/>
  <c r="O88" i="3"/>
  <c r="O707" i="3"/>
  <c r="O524" i="3"/>
  <c r="N441" i="3"/>
  <c r="N431" i="3"/>
  <c r="N138" i="3"/>
  <c r="M328" i="3"/>
  <c r="K112" i="3"/>
  <c r="K626" i="3"/>
  <c r="K593" i="3"/>
  <c r="J30" i="3"/>
  <c r="J48" i="3"/>
  <c r="J673" i="3"/>
  <c r="I440" i="3"/>
  <c r="I673" i="3"/>
  <c r="S624" i="3"/>
  <c r="S524" i="3"/>
  <c r="S112" i="3"/>
  <c r="P816" i="3"/>
  <c r="P624" i="3"/>
  <c r="P524" i="3"/>
  <c r="P160" i="3"/>
  <c r="P30" i="3"/>
  <c r="O150" i="3"/>
  <c r="O112" i="3"/>
  <c r="N524" i="3"/>
  <c r="N250" i="3"/>
  <c r="N281" i="3"/>
  <c r="M532" i="3"/>
  <c r="M138" i="3"/>
  <c r="M281" i="3"/>
  <c r="L150" i="3"/>
  <c r="L30" i="3"/>
  <c r="L48" i="3"/>
  <c r="K441" i="3"/>
  <c r="K150" i="3"/>
  <c r="J440" i="3"/>
  <c r="I532" i="3"/>
  <c r="V150" i="3"/>
  <c r="V30" i="3"/>
  <c r="V281" i="3"/>
  <c r="S288" i="3"/>
  <c r="S30" i="3"/>
  <c r="P88" i="3"/>
  <c r="P441" i="3"/>
  <c r="P532" i="3"/>
  <c r="P440" i="3"/>
  <c r="P48" i="3"/>
  <c r="O494" i="3"/>
  <c r="N388" i="3"/>
  <c r="N673" i="3"/>
  <c r="M431" i="3"/>
  <c r="M673" i="3"/>
  <c r="L440" i="3"/>
  <c r="L199" i="3"/>
  <c r="K30" i="3"/>
  <c r="K48" i="3"/>
  <c r="K281" i="3"/>
  <c r="J532" i="3"/>
  <c r="I431" i="3"/>
  <c r="I138" i="3"/>
  <c r="V48" i="3"/>
  <c r="V673" i="3"/>
  <c r="S816" i="3"/>
  <c r="S532" i="3"/>
  <c r="P431" i="3"/>
  <c r="O624" i="3"/>
  <c r="O30" i="3"/>
  <c r="O48" i="3"/>
  <c r="M250" i="3"/>
  <c r="L281" i="3"/>
  <c r="K440" i="3"/>
  <c r="K673" i="3"/>
  <c r="J431" i="3"/>
  <c r="J138" i="3"/>
  <c r="J241" i="3"/>
  <c r="I250" i="3"/>
  <c r="I241" i="3"/>
  <c r="H441" i="3"/>
  <c r="V440" i="3"/>
  <c r="S431" i="3"/>
  <c r="P494" i="3"/>
  <c r="P250" i="3"/>
  <c r="O288" i="3"/>
  <c r="O532" i="3"/>
  <c r="O440" i="3"/>
  <c r="N494" i="3"/>
  <c r="N150" i="3"/>
  <c r="N112" i="3"/>
  <c r="M388" i="3"/>
  <c r="M112" i="3"/>
  <c r="L88" i="3"/>
  <c r="L532" i="3"/>
  <c r="L138" i="3"/>
  <c r="K64" i="3"/>
  <c r="K532" i="3"/>
  <c r="J441" i="3"/>
  <c r="J250" i="3"/>
  <c r="V431" i="3"/>
  <c r="V532" i="3"/>
  <c r="E755" i="3"/>
  <c r="N755" i="3"/>
  <c r="F618" i="3"/>
  <c r="N618" i="3"/>
  <c r="E308" i="3"/>
  <c r="K308" i="3"/>
  <c r="L308" i="3"/>
  <c r="G308" i="3"/>
  <c r="F308" i="3"/>
  <c r="M308" i="3"/>
  <c r="O308" i="3"/>
  <c r="I487" i="3"/>
  <c r="E487" i="3"/>
  <c r="F487" i="3"/>
  <c r="N487" i="3"/>
  <c r="O487" i="3"/>
  <c r="E853" i="3"/>
  <c r="N853" i="3"/>
  <c r="O853" i="3"/>
  <c r="L853" i="3"/>
  <c r="H681" i="3"/>
  <c r="J681" i="3"/>
  <c r="K681" i="3"/>
  <c r="N681" i="3"/>
  <c r="O681" i="3"/>
  <c r="E664" i="3"/>
  <c r="L664" i="3"/>
  <c r="M664" i="3"/>
  <c r="D620" i="3"/>
  <c r="I620" i="3"/>
  <c r="O620" i="3"/>
  <c r="S308" i="3"/>
  <c r="P487" i="3"/>
  <c r="O618" i="3"/>
  <c r="O519" i="3"/>
  <c r="N798" i="3"/>
  <c r="N664" i="3"/>
  <c r="M798" i="3"/>
  <c r="M487" i="3"/>
  <c r="L487" i="3"/>
  <c r="F443" i="3"/>
  <c r="E443" i="3"/>
  <c r="E464" i="3"/>
  <c r="P464" i="3"/>
  <c r="J464" i="3"/>
  <c r="K464" i="3"/>
  <c r="N464" i="3"/>
  <c r="D13" i="3"/>
  <c r="M13" i="3"/>
  <c r="H13" i="3"/>
  <c r="E13" i="3"/>
  <c r="K561" i="3"/>
  <c r="F561" i="3"/>
  <c r="H561" i="3"/>
  <c r="N561" i="3"/>
  <c r="D474" i="3"/>
  <c r="I474" i="3"/>
  <c r="P474" i="3"/>
  <c r="E474" i="3"/>
  <c r="AD474" i="3" s="1"/>
  <c r="K474" i="3"/>
  <c r="K444" i="3"/>
  <c r="D444" i="3"/>
  <c r="I444" i="3"/>
  <c r="M444" i="3"/>
  <c r="L444" i="3"/>
  <c r="F160" i="3"/>
  <c r="K114" i="7" s="1"/>
  <c r="J160" i="3"/>
  <c r="K160" i="3"/>
  <c r="M160" i="3"/>
  <c r="L160" i="3"/>
  <c r="S160" i="3"/>
  <c r="P308" i="3"/>
  <c r="P853" i="3"/>
  <c r="M755" i="3"/>
  <c r="M620" i="3"/>
  <c r="L618" i="3"/>
  <c r="H755" i="3"/>
  <c r="D808" i="3"/>
  <c r="N808" i="3"/>
  <c r="D252" i="3"/>
  <c r="O252" i="3"/>
  <c r="D453" i="3"/>
  <c r="L453" i="3"/>
  <c r="S853" i="3"/>
  <c r="P620" i="3"/>
  <c r="O474" i="3"/>
  <c r="N13" i="3"/>
  <c r="N160" i="3"/>
  <c r="K13" i="3"/>
  <c r="K487" i="3"/>
  <c r="D755" i="3"/>
  <c r="E888" i="3"/>
  <c r="I888" i="3"/>
  <c r="L888" i="3"/>
  <c r="M888" i="3"/>
  <c r="G28" i="3"/>
  <c r="K28" i="3"/>
  <c r="L28" i="3"/>
  <c r="J28" i="3"/>
  <c r="D760" i="3"/>
  <c r="M760" i="3"/>
  <c r="I760" i="3"/>
  <c r="N760" i="3"/>
  <c r="O760" i="3"/>
  <c r="D879" i="3"/>
  <c r="J879" i="3"/>
  <c r="K879" i="3"/>
  <c r="L879" i="3"/>
  <c r="P879" i="3"/>
  <c r="E326" i="3"/>
  <c r="V326" i="3"/>
  <c r="J326" i="3"/>
  <c r="K326" i="3"/>
  <c r="L326" i="3"/>
  <c r="H312" i="3"/>
  <c r="V312" i="3"/>
  <c r="E156" i="3"/>
  <c r="N156" i="3"/>
  <c r="O156" i="3"/>
  <c r="V156" i="3"/>
  <c r="I156" i="3"/>
  <c r="S13" i="3"/>
  <c r="S487" i="3"/>
  <c r="P13" i="3"/>
  <c r="P681" i="3"/>
  <c r="O13" i="3"/>
  <c r="O561" i="3"/>
  <c r="N308" i="3"/>
  <c r="N620" i="3"/>
  <c r="K618" i="3"/>
  <c r="J618" i="3"/>
  <c r="J444" i="3"/>
  <c r="I755" i="3"/>
  <c r="I681" i="3"/>
  <c r="G487" i="3"/>
  <c r="I846" i="3"/>
  <c r="M846" i="3"/>
  <c r="D765" i="3"/>
  <c r="F765" i="3"/>
  <c r="H765" i="3"/>
  <c r="J765" i="3"/>
  <c r="E686" i="3"/>
  <c r="K686" i="3"/>
  <c r="L686" i="3"/>
  <c r="U710" i="3"/>
  <c r="J710" i="3"/>
  <c r="L710" i="3"/>
  <c r="K710" i="3"/>
  <c r="O710" i="3"/>
  <c r="F307" i="3"/>
  <c r="M307" i="3"/>
  <c r="L307" i="3"/>
  <c r="J307" i="3"/>
  <c r="D531" i="3"/>
  <c r="I531" i="3"/>
  <c r="J531" i="3"/>
  <c r="H531" i="3"/>
  <c r="K531" i="3"/>
  <c r="L531" i="3"/>
  <c r="D497" i="3"/>
  <c r="J497" i="3"/>
  <c r="F274" i="3"/>
  <c r="L274" i="3"/>
  <c r="K274" i="3"/>
  <c r="I274" i="3"/>
  <c r="M274" i="3"/>
  <c r="D424" i="3"/>
  <c r="N424" i="3"/>
  <c r="F350" i="3"/>
  <c r="L350" i="3"/>
  <c r="M350" i="3"/>
  <c r="S561" i="3"/>
  <c r="S681" i="3"/>
  <c r="P561" i="3"/>
  <c r="N444" i="3"/>
  <c r="M618" i="3"/>
  <c r="M474" i="3"/>
  <c r="M681" i="3"/>
  <c r="L808" i="3"/>
  <c r="K853" i="3"/>
  <c r="K888" i="3"/>
  <c r="K760" i="3"/>
  <c r="J853" i="3"/>
  <c r="I252" i="3"/>
  <c r="F13" i="3"/>
  <c r="V28" i="3"/>
  <c r="S620" i="3"/>
  <c r="P755" i="3"/>
  <c r="P444" i="3"/>
  <c r="P664" i="3"/>
  <c r="O664" i="3"/>
  <c r="L474" i="3"/>
  <c r="K664" i="3"/>
  <c r="H474" i="3"/>
  <c r="D742" i="3"/>
  <c r="L742" i="3"/>
  <c r="K742" i="3"/>
  <c r="N742" i="3"/>
  <c r="O742" i="3"/>
  <c r="I676" i="3"/>
  <c r="P676" i="3"/>
  <c r="F676" i="3"/>
  <c r="AD676" i="3" s="1"/>
  <c r="J676" i="3"/>
  <c r="G676" i="3"/>
  <c r="D676" i="3"/>
  <c r="M676" i="3"/>
  <c r="F597" i="3"/>
  <c r="I597" i="3"/>
  <c r="N597" i="3"/>
  <c r="D623" i="3"/>
  <c r="O623" i="3"/>
  <c r="K623" i="3"/>
  <c r="I623" i="3"/>
  <c r="E519" i="3"/>
  <c r="N519" i="3"/>
  <c r="F38" i="3"/>
  <c r="N38" i="3"/>
  <c r="O38" i="3"/>
  <c r="L38" i="3"/>
  <c r="H38" i="3"/>
  <c r="D362" i="3"/>
  <c r="G362" i="3"/>
  <c r="H362" i="3"/>
  <c r="N362" i="3"/>
  <c r="D410" i="3"/>
  <c r="K410" i="3"/>
  <c r="J410" i="3"/>
  <c r="D399" i="3"/>
  <c r="M399" i="3"/>
  <c r="P399" i="3"/>
  <c r="L399" i="3"/>
  <c r="D53" i="3"/>
  <c r="I53" i="3"/>
  <c r="D423" i="3"/>
  <c r="M423" i="3"/>
  <c r="P423" i="3"/>
  <c r="K423" i="3"/>
  <c r="L423" i="3"/>
  <c r="N423" i="3"/>
  <c r="D159" i="3"/>
  <c r="K159" i="3"/>
  <c r="N159" i="3"/>
  <c r="J159" i="3"/>
  <c r="S474" i="3"/>
  <c r="P307" i="3"/>
  <c r="P38" i="3"/>
  <c r="O798" i="3"/>
  <c r="O676" i="3"/>
  <c r="O362" i="3"/>
  <c r="N846" i="3"/>
  <c r="N326" i="3"/>
  <c r="M710" i="3"/>
  <c r="M497" i="3"/>
  <c r="M879" i="3"/>
  <c r="L252" i="3"/>
  <c r="K307" i="3"/>
  <c r="K620" i="3"/>
  <c r="J474" i="3"/>
  <c r="I561" i="3"/>
  <c r="H487" i="3"/>
  <c r="F623" i="3"/>
  <c r="E444" i="3"/>
  <c r="H142" i="3"/>
  <c r="M142" i="3"/>
  <c r="I142" i="3"/>
  <c r="L142" i="3"/>
  <c r="O142" i="3"/>
  <c r="M767" i="3"/>
  <c r="L869" i="3"/>
  <c r="K672" i="3"/>
  <c r="J81" i="3"/>
  <c r="I488" i="3"/>
  <c r="I9" i="3"/>
  <c r="I510" i="3"/>
  <c r="V630" i="3"/>
  <c r="V331" i="3"/>
  <c r="V108" i="3"/>
  <c r="U340" i="3"/>
  <c r="M219" i="3"/>
  <c r="L672" i="3"/>
  <c r="L323" i="3"/>
  <c r="K131" i="3"/>
  <c r="K323" i="3"/>
  <c r="J672" i="3"/>
  <c r="I677" i="3"/>
  <c r="L767" i="3"/>
  <c r="L331" i="3"/>
  <c r="K374" i="3"/>
  <c r="K331" i="3"/>
  <c r="J323" i="3"/>
  <c r="I767" i="3"/>
  <c r="V481" i="3"/>
  <c r="V659" i="3"/>
  <c r="O219" i="3"/>
  <c r="N488" i="3"/>
  <c r="M672" i="3"/>
  <c r="K81" i="3"/>
  <c r="J374" i="3"/>
  <c r="J296" i="3"/>
  <c r="J331" i="3"/>
  <c r="I217" i="3"/>
  <c r="V9" i="3"/>
  <c r="V558" i="3"/>
  <c r="U85" i="3"/>
  <c r="D409" i="3"/>
  <c r="L494" i="3"/>
  <c r="J707" i="3"/>
  <c r="I742" i="3"/>
  <c r="H586" i="3"/>
  <c r="G38" i="3"/>
  <c r="E623" i="3"/>
  <c r="D597" i="3"/>
  <c r="V585" i="3"/>
  <c r="L387" i="3"/>
  <c r="K387" i="3"/>
  <c r="J494" i="3"/>
  <c r="J387" i="3"/>
  <c r="F742" i="3"/>
  <c r="G496" i="3"/>
  <c r="E390" i="3"/>
  <c r="L707" i="3"/>
  <c r="L524" i="3"/>
  <c r="L227" i="3"/>
  <c r="I64" i="3"/>
  <c r="H543" i="3"/>
  <c r="G798" i="3"/>
  <c r="D390" i="3"/>
  <c r="F685" i="3"/>
  <c r="D217" i="3"/>
  <c r="H512" i="3"/>
  <c r="S858" i="3"/>
  <c r="S730" i="3"/>
  <c r="S882" i="3"/>
  <c r="S495" i="3"/>
  <c r="S227" i="3"/>
  <c r="S869" i="3"/>
  <c r="P882" i="3"/>
  <c r="P500" i="3"/>
  <c r="O661" i="3"/>
  <c r="O543" i="3"/>
  <c r="O495" i="3"/>
  <c r="N694" i="3"/>
  <c r="N503" i="3"/>
  <c r="N466" i="3"/>
  <c r="N453" i="3"/>
  <c r="M271" i="3"/>
  <c r="M88" i="3"/>
  <c r="M816" i="3"/>
  <c r="M661" i="3"/>
  <c r="M64" i="3"/>
  <c r="M543" i="3"/>
  <c r="M288" i="3"/>
  <c r="M448" i="3"/>
  <c r="M95" i="3"/>
  <c r="M677" i="3"/>
  <c r="L586" i="3"/>
  <c r="L288" i="3"/>
  <c r="L182" i="3"/>
  <c r="L95" i="3"/>
  <c r="L677" i="3"/>
  <c r="K816" i="3"/>
  <c r="K624" i="3"/>
  <c r="K494" i="3"/>
  <c r="K466" i="3"/>
  <c r="K53" i="3"/>
  <c r="K350" i="3"/>
  <c r="K318" i="3"/>
  <c r="K732" i="3"/>
  <c r="J524" i="3"/>
  <c r="J664" i="3"/>
  <c r="I494" i="3"/>
  <c r="I448" i="3"/>
  <c r="H503" i="3"/>
  <c r="G474" i="3"/>
  <c r="F543" i="3"/>
  <c r="E279" i="3"/>
  <c r="AD279" i="3" s="1"/>
  <c r="D487" i="3"/>
  <c r="V732" i="3"/>
  <c r="V885" i="3"/>
  <c r="V8" i="3"/>
  <c r="F111" i="3"/>
  <c r="H81" i="3"/>
  <c r="S500" i="3"/>
  <c r="P306" i="3"/>
  <c r="P350" i="3"/>
  <c r="O310" i="3"/>
  <c r="O730" i="3"/>
  <c r="O350" i="3"/>
  <c r="M500" i="3"/>
  <c r="K566" i="3"/>
  <c r="K95" i="3"/>
  <c r="J271" i="3"/>
  <c r="J867" i="3"/>
  <c r="I271" i="3"/>
  <c r="I867" i="3"/>
  <c r="G306" i="3"/>
  <c r="E135" i="3"/>
  <c r="S306" i="3"/>
  <c r="S566" i="3"/>
  <c r="S350" i="3"/>
  <c r="P566" i="3"/>
  <c r="P95" i="3"/>
  <c r="O500" i="3"/>
  <c r="O95" i="3"/>
  <c r="N279" i="3"/>
  <c r="N661" i="3"/>
  <c r="N543" i="3"/>
  <c r="N495" i="3"/>
  <c r="N227" i="3"/>
  <c r="N869" i="3"/>
  <c r="M279" i="3"/>
  <c r="M882" i="3"/>
  <c r="M427" i="3"/>
  <c r="M424" i="3"/>
  <c r="M867" i="3"/>
  <c r="L610" i="3"/>
  <c r="L427" i="3"/>
  <c r="L424" i="3"/>
  <c r="L867" i="3"/>
  <c r="L481" i="3"/>
  <c r="K586" i="3"/>
  <c r="K503" i="3"/>
  <c r="K448" i="3"/>
  <c r="K252" i="3"/>
  <c r="J586" i="3"/>
  <c r="J252" i="3"/>
  <c r="I503" i="3"/>
  <c r="H279" i="3"/>
  <c r="H882" i="3"/>
  <c r="H288" i="3"/>
  <c r="F288" i="3"/>
  <c r="E729" i="3"/>
  <c r="E441" i="3"/>
  <c r="AD441" i="3" s="1"/>
  <c r="V241" i="3"/>
  <c r="E656" i="3"/>
  <c r="P610" i="3"/>
  <c r="K495" i="3"/>
  <c r="K424" i="3"/>
  <c r="K867" i="3"/>
  <c r="J306" i="3"/>
  <c r="J448" i="3"/>
  <c r="J424" i="3"/>
  <c r="I730" i="3"/>
  <c r="I566" i="3"/>
  <c r="F586" i="3"/>
  <c r="G235" i="3"/>
  <c r="S694" i="3"/>
  <c r="S610" i="3"/>
  <c r="S427" i="3"/>
  <c r="P503" i="3"/>
  <c r="P466" i="3"/>
  <c r="P424" i="3"/>
  <c r="P867" i="3"/>
  <c r="P481" i="3"/>
  <c r="O306" i="3"/>
  <c r="O586" i="3"/>
  <c r="O566" i="3"/>
  <c r="O427" i="3"/>
  <c r="O424" i="3"/>
  <c r="O481" i="3"/>
  <c r="N271" i="3"/>
  <c r="N310" i="3"/>
  <c r="N730" i="3"/>
  <c r="N624" i="3"/>
  <c r="N500" i="3"/>
  <c r="N350" i="3"/>
  <c r="N318" i="3"/>
  <c r="M707" i="3"/>
  <c r="M586" i="3"/>
  <c r="M566" i="3"/>
  <c r="M466" i="3"/>
  <c r="L694" i="3"/>
  <c r="L466" i="3"/>
  <c r="K310" i="3"/>
  <c r="K707" i="3"/>
  <c r="K610" i="3"/>
  <c r="K288" i="3"/>
  <c r="K453" i="3"/>
  <c r="K199" i="3"/>
  <c r="J88" i="3"/>
  <c r="J561" i="3"/>
  <c r="J503" i="3"/>
  <c r="J453" i="3"/>
  <c r="J227" i="3"/>
  <c r="J869" i="3"/>
  <c r="J301" i="3"/>
  <c r="I88" i="3"/>
  <c r="I453" i="3"/>
  <c r="I227" i="3"/>
  <c r="I869" i="3"/>
  <c r="I301" i="3"/>
  <c r="H308" i="3"/>
  <c r="G618" i="3"/>
  <c r="G441" i="3"/>
  <c r="F427" i="3"/>
  <c r="E618" i="3"/>
  <c r="V199" i="3"/>
  <c r="F877" i="3"/>
  <c r="D235" i="3"/>
  <c r="G145" i="3"/>
  <c r="P310" i="3"/>
  <c r="P661" i="3"/>
  <c r="N566" i="3"/>
  <c r="L306" i="3"/>
  <c r="S310" i="3"/>
  <c r="S279" i="3"/>
  <c r="S661" i="3"/>
  <c r="S503" i="3"/>
  <c r="S466" i="3"/>
  <c r="P495" i="3"/>
  <c r="O694" i="3"/>
  <c r="O610" i="3"/>
  <c r="O503" i="3"/>
  <c r="N88" i="3"/>
  <c r="N707" i="3"/>
  <c r="N586" i="3"/>
  <c r="N427" i="3"/>
  <c r="N252" i="3"/>
  <c r="M310" i="3"/>
  <c r="M694" i="3"/>
  <c r="M524" i="3"/>
  <c r="M441" i="3"/>
  <c r="M751" i="3"/>
  <c r="L816" i="3"/>
  <c r="L624" i="3"/>
  <c r="L441" i="3"/>
  <c r="L751" i="3"/>
  <c r="K88" i="3"/>
  <c r="K858" i="3"/>
  <c r="K694" i="3"/>
  <c r="K573" i="3"/>
  <c r="K427" i="3"/>
  <c r="K399" i="3"/>
  <c r="K227" i="3"/>
  <c r="K301" i="3"/>
  <c r="J13" i="3"/>
  <c r="J350" i="3"/>
  <c r="J294" i="3"/>
  <c r="J318" i="3"/>
  <c r="J732" i="3"/>
  <c r="I618" i="3"/>
  <c r="I441" i="3"/>
  <c r="I838" i="3"/>
  <c r="I318" i="3"/>
  <c r="I732" i="3"/>
  <c r="H729" i="3"/>
  <c r="H444" i="3"/>
  <c r="G561" i="3"/>
  <c r="F444" i="3"/>
  <c r="E494" i="3"/>
  <c r="AD494" i="3" s="1"/>
  <c r="D561" i="3"/>
  <c r="V751" i="3"/>
  <c r="V301" i="3"/>
  <c r="U246" i="3"/>
  <c r="U92" i="3"/>
  <c r="D432" i="3"/>
  <c r="H443" i="3"/>
  <c r="D764" i="3"/>
  <c r="F208" i="3"/>
  <c r="G152" i="3"/>
  <c r="K328" i="3"/>
  <c r="J798" i="3"/>
  <c r="I707" i="3"/>
  <c r="H676" i="3"/>
  <c r="G755" i="3"/>
  <c r="G573" i="3"/>
  <c r="F596" i="3"/>
  <c r="F531" i="3"/>
  <c r="E597" i="3"/>
  <c r="E362" i="3"/>
  <c r="AD362" i="3" s="1"/>
  <c r="D519" i="3"/>
  <c r="G890" i="3"/>
  <c r="F299" i="3"/>
  <c r="H243" i="3"/>
  <c r="O816" i="3"/>
  <c r="N816" i="3"/>
  <c r="L798" i="3"/>
  <c r="L597" i="3"/>
  <c r="K798" i="3"/>
  <c r="K597" i="3"/>
  <c r="K497" i="3"/>
  <c r="K362" i="3"/>
  <c r="J755" i="3"/>
  <c r="J308" i="3"/>
  <c r="J487" i="3"/>
  <c r="I13" i="3"/>
  <c r="H798" i="3"/>
  <c r="H618" i="3"/>
  <c r="H274" i="3"/>
  <c r="G742" i="3"/>
  <c r="G623" i="3"/>
  <c r="G444" i="3"/>
  <c r="F519" i="3"/>
  <c r="E798" i="3"/>
  <c r="E561" i="3"/>
  <c r="D798" i="3"/>
  <c r="D38" i="3"/>
  <c r="G539" i="3"/>
  <c r="H454" i="3"/>
  <c r="F190" i="3"/>
  <c r="G707" i="3"/>
  <c r="D254" i="3"/>
  <c r="H759" i="3"/>
  <c r="F202" i="3"/>
  <c r="D258" i="3"/>
  <c r="F169" i="3"/>
  <c r="S328" i="3"/>
  <c r="P328" i="3"/>
  <c r="O328" i="3"/>
  <c r="M765" i="3"/>
  <c r="M624" i="3"/>
  <c r="M531" i="3"/>
  <c r="M38" i="3"/>
  <c r="L755" i="3"/>
  <c r="L676" i="3"/>
  <c r="L561" i="3"/>
  <c r="L519" i="3"/>
  <c r="K755" i="3"/>
  <c r="K676" i="3"/>
  <c r="K38" i="3"/>
  <c r="J742" i="3"/>
  <c r="J597" i="3"/>
  <c r="J519" i="3"/>
  <c r="J274" i="3"/>
  <c r="I308" i="3"/>
  <c r="I664" i="3"/>
  <c r="H710" i="3"/>
  <c r="H519" i="3"/>
  <c r="G13" i="3"/>
  <c r="G519" i="3"/>
  <c r="F755" i="3"/>
  <c r="E742" i="3"/>
  <c r="H424" i="3"/>
  <c r="G658" i="3"/>
  <c r="E16" i="3"/>
  <c r="J38" i="7" s="1"/>
  <c r="G805" i="3"/>
  <c r="E522" i="3"/>
  <c r="E651" i="3"/>
  <c r="E202" i="3"/>
  <c r="D218" i="3"/>
  <c r="F115" i="3"/>
  <c r="D408" i="3"/>
  <c r="F488" i="3"/>
  <c r="D560" i="3"/>
  <c r="G731" i="3"/>
  <c r="G34" i="3"/>
  <c r="F59" i="3"/>
  <c r="F518" i="3"/>
  <c r="E572" i="3"/>
  <c r="H585" i="3"/>
  <c r="H250" i="3"/>
  <c r="D751" i="3"/>
  <c r="E803" i="3"/>
  <c r="E186" i="3"/>
  <c r="D8" i="3"/>
  <c r="I710" i="3"/>
  <c r="H524" i="3"/>
  <c r="G765" i="3"/>
  <c r="G710" i="3"/>
  <c r="F624" i="3"/>
  <c r="F524" i="3"/>
  <c r="E531" i="3"/>
  <c r="E427" i="3"/>
  <c r="D271" i="3"/>
  <c r="D274" i="3"/>
  <c r="E350" i="3"/>
  <c r="G880" i="3"/>
  <c r="D702" i="3"/>
  <c r="H821" i="3"/>
  <c r="D195" i="3"/>
  <c r="G87" i="3"/>
  <c r="F835" i="3"/>
  <c r="D864" i="3"/>
  <c r="G131" i="3"/>
  <c r="F272" i="3"/>
  <c r="E296" i="3"/>
  <c r="G139" i="3"/>
  <c r="F359" i="3"/>
  <c r="F318" i="3"/>
  <c r="E82" i="3"/>
  <c r="G889" i="3"/>
  <c r="G163" i="3"/>
  <c r="G497" i="3"/>
  <c r="E274" i="3"/>
  <c r="D307" i="3"/>
  <c r="G724" i="3"/>
  <c r="E789" i="3"/>
  <c r="G395" i="3"/>
  <c r="F764" i="3"/>
  <c r="E20" i="3"/>
  <c r="J52" i="7" s="1"/>
  <c r="D272" i="3"/>
  <c r="D296" i="3"/>
  <c r="H217" i="3"/>
  <c r="H326" i="3"/>
  <c r="H203" i="3"/>
  <c r="E139" i="3"/>
  <c r="H69" i="3"/>
  <c r="D418" i="3"/>
  <c r="I230" i="7" s="1"/>
  <c r="F90" i="3"/>
  <c r="K134" i="7" s="1"/>
  <c r="H200" i="3"/>
  <c r="H632" i="3"/>
  <c r="G409" i="3"/>
  <c r="G647" i="3"/>
  <c r="H124" i="3"/>
  <c r="E80" i="3"/>
  <c r="I686" i="3"/>
  <c r="I307" i="3"/>
  <c r="G694" i="3"/>
  <c r="E271" i="3"/>
  <c r="E503" i="3"/>
  <c r="D494" i="3"/>
  <c r="H392" i="3"/>
  <c r="E617" i="3"/>
  <c r="D443" i="3"/>
  <c r="H403" i="3"/>
  <c r="G632" i="3"/>
  <c r="F481" i="3"/>
  <c r="H560" i="3"/>
  <c r="E760" i="3"/>
  <c r="H651" i="3"/>
  <c r="G293" i="3"/>
  <c r="F390" i="3"/>
  <c r="G254" i="3"/>
  <c r="E208" i="3"/>
  <c r="G761" i="3"/>
  <c r="G759" i="3"/>
  <c r="E688" i="3"/>
  <c r="D299" i="3"/>
  <c r="F512" i="3"/>
  <c r="F250" i="3"/>
  <c r="AD250" i="3" s="1"/>
  <c r="E409" i="3"/>
  <c r="D647" i="3"/>
  <c r="H320" i="3"/>
  <c r="F439" i="3"/>
  <c r="G274" i="3"/>
  <c r="E497" i="3"/>
  <c r="I497" i="3"/>
  <c r="H686" i="3"/>
  <c r="H307" i="3"/>
  <c r="G624" i="3"/>
  <c r="G531" i="3"/>
  <c r="F686" i="3"/>
  <c r="F566" i="3"/>
  <c r="F503" i="3"/>
  <c r="E765" i="3"/>
  <c r="E307" i="3"/>
  <c r="F379" i="3"/>
  <c r="E210" i="3"/>
  <c r="E57" i="3"/>
  <c r="H702" i="3"/>
  <c r="G195" i="3"/>
  <c r="F75" i="3"/>
  <c r="F300" i="3"/>
  <c r="H751" i="3"/>
  <c r="G693" i="3"/>
  <c r="G380" i="3"/>
  <c r="G280" i="3"/>
  <c r="H497" i="3"/>
  <c r="F497" i="3"/>
  <c r="G702" i="3"/>
  <c r="E195" i="3"/>
  <c r="H272" i="3"/>
  <c r="F296" i="3"/>
  <c r="E9" i="3"/>
  <c r="G656" i="3"/>
  <c r="G751" i="3"/>
  <c r="G679" i="3"/>
  <c r="D693" i="3"/>
  <c r="G82" i="3"/>
  <c r="F280" i="3"/>
  <c r="G62" i="3"/>
  <c r="D477" i="3"/>
  <c r="E137" i="3"/>
  <c r="BB82" i="1"/>
  <c r="AZ82" i="1" s="1"/>
  <c r="BB367" i="1"/>
  <c r="AZ367" i="1" s="1"/>
  <c r="I858" i="3"/>
  <c r="J858" i="3"/>
  <c r="H694" i="3"/>
  <c r="F694" i="3"/>
  <c r="D882" i="3"/>
  <c r="I882" i="3"/>
  <c r="E882" i="3"/>
  <c r="E543" i="3"/>
  <c r="J543" i="3"/>
  <c r="G543" i="3"/>
  <c r="I427" i="3"/>
  <c r="D427" i="3"/>
  <c r="H427" i="3"/>
  <c r="E448" i="3"/>
  <c r="F448" i="3"/>
  <c r="I306" i="3"/>
  <c r="H271" i="3"/>
  <c r="H707" i="3"/>
  <c r="G279" i="3"/>
  <c r="G524" i="3"/>
  <c r="E64" i="3"/>
  <c r="D279" i="3"/>
  <c r="E846" i="3"/>
  <c r="F846" i="3"/>
  <c r="N610" i="3"/>
  <c r="I610" i="3"/>
  <c r="F466" i="3"/>
  <c r="E466" i="3"/>
  <c r="J466" i="3"/>
  <c r="J610" i="3"/>
  <c r="H858" i="3"/>
  <c r="G610" i="3"/>
  <c r="F271" i="3"/>
  <c r="E858" i="3"/>
  <c r="E694" i="3"/>
  <c r="D524" i="3"/>
  <c r="D287" i="3"/>
  <c r="J287" i="3"/>
  <c r="H328" i="3"/>
  <c r="I328" i="3"/>
  <c r="E88" i="3"/>
  <c r="H88" i="3"/>
  <c r="D88" i="3"/>
  <c r="F88" i="3"/>
  <c r="D816" i="3"/>
  <c r="H816" i="3"/>
  <c r="J816" i="3"/>
  <c r="G816" i="3"/>
  <c r="I816" i="3"/>
  <c r="F707" i="3"/>
  <c r="E707" i="3"/>
  <c r="I624" i="3"/>
  <c r="H624" i="3"/>
  <c r="D64" i="3"/>
  <c r="G64" i="3"/>
  <c r="E288" i="3"/>
  <c r="J288" i="3"/>
  <c r="G288" i="3"/>
  <c r="J661" i="3"/>
  <c r="J64" i="3"/>
  <c r="I279" i="3"/>
  <c r="H661" i="3"/>
  <c r="H500" i="3"/>
  <c r="G858" i="3"/>
  <c r="G494" i="3"/>
  <c r="F64" i="3"/>
  <c r="E816" i="3"/>
  <c r="AD816" i="3" s="1"/>
  <c r="E624" i="3"/>
  <c r="E524" i="3"/>
  <c r="D441" i="3"/>
  <c r="F750" i="3"/>
  <c r="H750" i="3"/>
  <c r="E328" i="3"/>
  <c r="V749" i="3"/>
  <c r="D749" i="3"/>
  <c r="E780" i="3"/>
  <c r="D780" i="3"/>
  <c r="H780" i="3"/>
  <c r="BB288" i="1"/>
  <c r="AZ288" i="1" s="1"/>
  <c r="BB213" i="1"/>
  <c r="AZ213" i="1" s="1"/>
  <c r="N328" i="3"/>
  <c r="L661" i="3"/>
  <c r="J328" i="3"/>
  <c r="J279" i="3"/>
  <c r="J624" i="3"/>
  <c r="I288" i="3"/>
  <c r="H566" i="3"/>
  <c r="H494" i="3"/>
  <c r="G310" i="3"/>
  <c r="G882" i="3"/>
  <c r="G503" i="3"/>
  <c r="F858" i="3"/>
  <c r="F882" i="3"/>
  <c r="E586" i="3"/>
  <c r="D586" i="3"/>
  <c r="D448" i="3"/>
  <c r="F110" i="3"/>
  <c r="E727" i="3"/>
  <c r="E604" i="3"/>
  <c r="F176" i="3"/>
  <c r="H357" i="3"/>
  <c r="F144" i="3"/>
  <c r="E802" i="3"/>
  <c r="H630" i="3"/>
  <c r="H451" i="3"/>
  <c r="H191" i="3"/>
  <c r="E509" i="3"/>
  <c r="G209" i="3"/>
  <c r="E23" i="3"/>
  <c r="G562" i="3"/>
  <c r="D112" i="3"/>
  <c r="E732" i="3"/>
  <c r="AD732" i="3" s="1"/>
  <c r="G340" i="3"/>
  <c r="G428" i="3"/>
  <c r="E520" i="3"/>
  <c r="D199" i="3"/>
  <c r="G204" i="3"/>
  <c r="D96" i="3"/>
  <c r="E100" i="3"/>
  <c r="G196" i="3"/>
  <c r="J620" i="3"/>
  <c r="G686" i="3"/>
  <c r="D618" i="3"/>
  <c r="H229" i="3"/>
  <c r="D110" i="3"/>
  <c r="D727" i="3"/>
  <c r="D604" i="3"/>
  <c r="H404" i="3"/>
  <c r="E176" i="3"/>
  <c r="D357" i="3"/>
  <c r="G16" i="3"/>
  <c r="F888" i="3"/>
  <c r="H864" i="3"/>
  <c r="G236" i="3"/>
  <c r="D828" i="3"/>
  <c r="D802" i="3"/>
  <c r="F630" i="3"/>
  <c r="E451" i="3"/>
  <c r="F659" i="3"/>
  <c r="G321" i="3"/>
  <c r="H208" i="3"/>
  <c r="G738" i="3"/>
  <c r="G191" i="3"/>
  <c r="E833" i="3"/>
  <c r="D509" i="3"/>
  <c r="H106" i="3"/>
  <c r="D23" i="3"/>
  <c r="E562" i="3"/>
  <c r="F344" i="3"/>
  <c r="G42" i="3"/>
  <c r="D732" i="3"/>
  <c r="F207" i="3"/>
  <c r="AD207" i="3" s="1"/>
  <c r="G281" i="3"/>
  <c r="G244" i="3"/>
  <c r="F428" i="3"/>
  <c r="F71" i="3"/>
  <c r="AD71" i="3" s="1"/>
  <c r="E887" i="3"/>
  <c r="H391" i="3"/>
  <c r="E659" i="3"/>
  <c r="G506" i="3"/>
  <c r="F191" i="3"/>
  <c r="F42" i="3"/>
  <c r="E174" i="3"/>
  <c r="F281" i="3"/>
  <c r="E363" i="3"/>
  <c r="H101" i="3"/>
  <c r="E886" i="3"/>
  <c r="G103" i="3"/>
  <c r="H184" i="3"/>
  <c r="E180" i="3"/>
  <c r="F756" i="3"/>
  <c r="F383" i="3"/>
  <c r="D658" i="3"/>
  <c r="E395" i="3"/>
  <c r="G478" i="3"/>
  <c r="F454" i="3"/>
  <c r="D16" i="3"/>
  <c r="H8" i="3"/>
  <c r="E104" i="3"/>
  <c r="J58" i="7" s="1"/>
  <c r="F32" i="3"/>
  <c r="K73" i="7" s="1"/>
  <c r="F155" i="3"/>
  <c r="F759" i="3"/>
  <c r="E890" i="3"/>
  <c r="E532" i="3"/>
  <c r="F418" i="3"/>
  <c r="F751" i="3"/>
  <c r="G680" i="3"/>
  <c r="D679" i="3"/>
  <c r="D152" i="3"/>
  <c r="G232" i="3"/>
  <c r="E74" i="3"/>
  <c r="G259" i="3"/>
  <c r="F163" i="3"/>
  <c r="J686" i="3"/>
  <c r="J182" i="3"/>
  <c r="I765" i="3"/>
  <c r="I808" i="3"/>
  <c r="G307" i="3"/>
  <c r="E710" i="3"/>
  <c r="G432" i="3"/>
  <c r="G808" i="3"/>
  <c r="G15" i="3"/>
  <c r="D789" i="3"/>
  <c r="H829" i="3"/>
  <c r="E622" i="3"/>
  <c r="F489" i="3"/>
  <c r="G774" i="3"/>
  <c r="G764" i="3"/>
  <c r="G834" i="3"/>
  <c r="H135" i="3"/>
  <c r="G488" i="3"/>
  <c r="H151" i="3"/>
  <c r="G20" i="3"/>
  <c r="G75" i="3"/>
  <c r="G217" i="3"/>
  <c r="E155" i="3"/>
  <c r="E240" i="3"/>
  <c r="F863" i="3"/>
  <c r="D759" i="3"/>
  <c r="F297" i="3"/>
  <c r="D890" i="3"/>
  <c r="F218" i="3"/>
  <c r="H525" i="3"/>
  <c r="G439" i="3"/>
  <c r="G92" i="3"/>
  <c r="H110" i="3"/>
  <c r="G727" i="3"/>
  <c r="H604" i="3"/>
  <c r="E297" i="3"/>
  <c r="H150" i="3"/>
  <c r="H509" i="3"/>
  <c r="F301" i="3"/>
  <c r="H520" i="3"/>
  <c r="D44" i="3"/>
  <c r="D92" i="3"/>
  <c r="I85" i="7" s="1"/>
  <c r="H853" i="3"/>
  <c r="G110" i="3"/>
  <c r="F727" i="3"/>
  <c r="G604" i="3"/>
  <c r="F703" i="3"/>
  <c r="G276" i="3"/>
  <c r="E879" i="3"/>
  <c r="D300" i="3"/>
  <c r="F509" i="3"/>
  <c r="G23" i="3"/>
  <c r="E112" i="3"/>
  <c r="G732" i="3"/>
  <c r="F520" i="3"/>
  <c r="E199" i="3"/>
  <c r="AD199" i="3" s="1"/>
  <c r="G96" i="3"/>
  <c r="G120" i="3"/>
  <c r="D120" i="3"/>
  <c r="I83" i="7" s="1"/>
  <c r="F120" i="3"/>
  <c r="H120" i="3"/>
  <c r="F769" i="3"/>
  <c r="D769" i="3"/>
  <c r="I375" i="7" s="1"/>
  <c r="E769" i="3"/>
  <c r="J375" i="7" s="1"/>
  <c r="G769" i="3"/>
  <c r="H769" i="3"/>
  <c r="G245" i="3"/>
  <c r="F245" i="3"/>
  <c r="H245" i="3"/>
  <c r="D394" i="3"/>
  <c r="F394" i="3"/>
  <c r="G214" i="3"/>
  <c r="D214" i="3"/>
  <c r="F214" i="3"/>
  <c r="H214" i="3"/>
  <c r="G657" i="3"/>
  <c r="E657" i="3"/>
  <c r="H657" i="3"/>
  <c r="V657" i="3"/>
  <c r="F27" i="3"/>
  <c r="D27" i="3"/>
  <c r="E27" i="3"/>
  <c r="J16" i="7" s="1"/>
  <c r="V27" i="3"/>
  <c r="U27" i="3"/>
  <c r="BA340" i="2"/>
  <c r="AE755" i="3"/>
  <c r="AC494" i="3"/>
  <c r="P596" i="3"/>
  <c r="O749" i="3"/>
  <c r="N573" i="3"/>
  <c r="M729" i="3"/>
  <c r="L133" i="3"/>
  <c r="K596" i="3"/>
  <c r="J133" i="3"/>
  <c r="I182" i="3"/>
  <c r="H182" i="3"/>
  <c r="G596" i="3"/>
  <c r="G182" i="3"/>
  <c r="F182" i="3"/>
  <c r="K67" i="7" s="1"/>
  <c r="E549" i="3"/>
  <c r="D596" i="3"/>
  <c r="E884" i="3"/>
  <c r="D884" i="3"/>
  <c r="G884" i="3"/>
  <c r="H884" i="3"/>
  <c r="BJ336" i="1"/>
  <c r="BA418" i="2"/>
  <c r="BA310" i="2"/>
  <c r="BA268" i="2"/>
  <c r="BA33" i="2"/>
  <c r="BB291" i="2"/>
  <c r="BI293" i="1"/>
  <c r="BI345" i="1"/>
  <c r="AZ140" i="2"/>
  <c r="AZ398" i="2"/>
  <c r="AZ44" i="2"/>
  <c r="AZ106" i="2"/>
  <c r="S573" i="3"/>
  <c r="P729" i="3"/>
  <c r="O182" i="3"/>
  <c r="N596" i="3"/>
  <c r="M749" i="3"/>
  <c r="M657" i="3"/>
  <c r="L730" i="3"/>
  <c r="L473" i="3"/>
  <c r="K729" i="3"/>
  <c r="K500" i="3"/>
  <c r="K657" i="3"/>
  <c r="J730" i="3"/>
  <c r="J473" i="3"/>
  <c r="I661" i="3"/>
  <c r="I133" i="3"/>
  <c r="I657" i="3"/>
  <c r="H749" i="3"/>
  <c r="H610" i="3"/>
  <c r="H133" i="3"/>
  <c r="F729" i="3"/>
  <c r="F133" i="3"/>
  <c r="E661" i="3"/>
  <c r="D549" i="3"/>
  <c r="D182" i="3"/>
  <c r="D743" i="3"/>
  <c r="G743" i="3"/>
  <c r="H867" i="3"/>
  <c r="E867" i="3"/>
  <c r="V867" i="3"/>
  <c r="F388" i="3"/>
  <c r="V388" i="3"/>
  <c r="F84" i="3"/>
  <c r="D84" i="3"/>
  <c r="E84" i="3"/>
  <c r="H84" i="3"/>
  <c r="E352" i="3"/>
  <c r="D352" i="3"/>
  <c r="BJ258" i="1"/>
  <c r="BA227" i="2"/>
  <c r="BJ361" i="1"/>
  <c r="BA55" i="2"/>
  <c r="BA40" i="2"/>
  <c r="BK294" i="1"/>
  <c r="BK103" i="1"/>
  <c r="BB141" i="2"/>
  <c r="BB320" i="2"/>
  <c r="BB179" i="2"/>
  <c r="AZ445" i="2"/>
  <c r="AZ415" i="2"/>
  <c r="S596" i="3"/>
  <c r="P749" i="3"/>
  <c r="O133" i="3"/>
  <c r="N729" i="3"/>
  <c r="M182" i="3"/>
  <c r="L549" i="3"/>
  <c r="K749" i="3"/>
  <c r="J549" i="3"/>
  <c r="I473" i="3"/>
  <c r="G729" i="3"/>
  <c r="G133" i="3"/>
  <c r="F473" i="3"/>
  <c r="D610" i="3"/>
  <c r="G687" i="3"/>
  <c r="H687" i="3"/>
  <c r="E60" i="3"/>
  <c r="F60" i="3"/>
  <c r="G60" i="3"/>
  <c r="D228" i="3"/>
  <c r="F228" i="3"/>
  <c r="D869" i="3"/>
  <c r="F869" i="3"/>
  <c r="H267" i="3"/>
  <c r="D267" i="3"/>
  <c r="F267" i="3"/>
  <c r="V267" i="3"/>
  <c r="F366" i="3"/>
  <c r="D366" i="3"/>
  <c r="BJ428" i="1"/>
  <c r="BJ255" i="1"/>
  <c r="BA88" i="2"/>
  <c r="BA278" i="2"/>
  <c r="BB286" i="2"/>
  <c r="BK366" i="1"/>
  <c r="BB208" i="2"/>
  <c r="BI79" i="1"/>
  <c r="AZ429" i="2"/>
  <c r="S729" i="3"/>
  <c r="O473" i="3"/>
  <c r="N749" i="3"/>
  <c r="M133" i="3"/>
  <c r="L573" i="3"/>
  <c r="K182" i="3"/>
  <c r="J573" i="3"/>
  <c r="I549" i="3"/>
  <c r="H473" i="3"/>
  <c r="G749" i="3"/>
  <c r="G473" i="3"/>
  <c r="F749" i="3"/>
  <c r="E573" i="3"/>
  <c r="E182" i="3"/>
  <c r="D133" i="3"/>
  <c r="F715" i="3"/>
  <c r="G715" i="3"/>
  <c r="H511" i="3"/>
  <c r="D511" i="3"/>
  <c r="E511" i="3"/>
  <c r="F511" i="3"/>
  <c r="G511" i="3"/>
  <c r="G107" i="3"/>
  <c r="F107" i="3"/>
  <c r="D548" i="3"/>
  <c r="E548" i="3"/>
  <c r="F548" i="3"/>
  <c r="G548" i="3"/>
  <c r="H548" i="3"/>
  <c r="D540" i="3"/>
  <c r="H540" i="3"/>
  <c r="V540" i="3"/>
  <c r="H528" i="3"/>
  <c r="F528" i="3"/>
  <c r="G813" i="3"/>
  <c r="D813" i="3"/>
  <c r="H594" i="3"/>
  <c r="D594" i="3"/>
  <c r="F162" i="3"/>
  <c r="K164" i="7" s="1"/>
  <c r="D162" i="3"/>
  <c r="BK206" i="1"/>
  <c r="AY124" i="2"/>
  <c r="S749" i="3"/>
  <c r="P133" i="3"/>
  <c r="O549" i="3"/>
  <c r="N182" i="3"/>
  <c r="N657" i="3"/>
  <c r="M730" i="3"/>
  <c r="M473" i="3"/>
  <c r="L310" i="3"/>
  <c r="L596" i="3"/>
  <c r="L495" i="3"/>
  <c r="K133" i="3"/>
  <c r="J310" i="3"/>
  <c r="J596" i="3"/>
  <c r="J495" i="3"/>
  <c r="J657" i="3"/>
  <c r="I573" i="3"/>
  <c r="I466" i="3"/>
  <c r="H846" i="3"/>
  <c r="H549" i="3"/>
  <c r="H466" i="3"/>
  <c r="G328" i="3"/>
  <c r="F328" i="3"/>
  <c r="F549" i="3"/>
  <c r="E133" i="3"/>
  <c r="D846" i="3"/>
  <c r="D581" i="3"/>
  <c r="G581" i="3"/>
  <c r="D172" i="3"/>
  <c r="G172" i="3"/>
  <c r="D67" i="3"/>
  <c r="I138" i="7" s="1"/>
  <c r="E67" i="3"/>
  <c r="D187" i="3"/>
  <c r="F187" i="3"/>
  <c r="G187" i="3"/>
  <c r="BJ63" i="1"/>
  <c r="BA107" i="2"/>
  <c r="BK121" i="1"/>
  <c r="BB237" i="2"/>
  <c r="BB370" i="2"/>
  <c r="AZ161" i="2"/>
  <c r="AZ172" i="2"/>
  <c r="AZ360" i="2"/>
  <c r="AY85" i="2"/>
  <c r="P473" i="3"/>
  <c r="O573" i="3"/>
  <c r="N133" i="3"/>
  <c r="M306" i="3"/>
  <c r="M549" i="3"/>
  <c r="L729" i="3"/>
  <c r="L500" i="3"/>
  <c r="L657" i="3"/>
  <c r="K730" i="3"/>
  <c r="K473" i="3"/>
  <c r="J729" i="3"/>
  <c r="J500" i="3"/>
  <c r="I596" i="3"/>
  <c r="I495" i="3"/>
  <c r="H306" i="3"/>
  <c r="H573" i="3"/>
  <c r="G549" i="3"/>
  <c r="F573" i="3"/>
  <c r="F495" i="3"/>
  <c r="E596" i="3"/>
  <c r="D573" i="3"/>
  <c r="F397" i="3"/>
  <c r="D397" i="3"/>
  <c r="E397" i="3"/>
  <c r="F347" i="3"/>
  <c r="K610" i="7" s="1"/>
  <c r="D347" i="3"/>
  <c r="I610" i="7" s="1"/>
  <c r="H347" i="3"/>
  <c r="F268" i="3"/>
  <c r="E268" i="3"/>
  <c r="G268" i="3"/>
  <c r="H268" i="3"/>
  <c r="H467" i="3"/>
  <c r="D467" i="3"/>
  <c r="E467" i="3"/>
  <c r="F467" i="3"/>
  <c r="K130" i="7" s="1"/>
  <c r="G467" i="3"/>
  <c r="E354" i="3"/>
  <c r="D354" i="3"/>
  <c r="F354" i="3"/>
  <c r="G354" i="3"/>
  <c r="H354" i="3"/>
  <c r="D55" i="3"/>
  <c r="I29" i="7" s="1"/>
  <c r="H55" i="3"/>
  <c r="G225" i="3"/>
  <c r="D225" i="3"/>
  <c r="F225" i="3"/>
  <c r="F593" i="3"/>
  <c r="D593" i="3"/>
  <c r="E593" i="3"/>
  <c r="V593" i="3"/>
  <c r="H593" i="3"/>
  <c r="D369" i="3"/>
  <c r="F369" i="3"/>
  <c r="G369" i="3"/>
  <c r="BJ149" i="1"/>
  <c r="BA444" i="2"/>
  <c r="BA365" i="2"/>
  <c r="BK326" i="1"/>
  <c r="BK411" i="1"/>
  <c r="BH303" i="1"/>
  <c r="AC449" i="3"/>
  <c r="P549" i="3"/>
  <c r="O596" i="3"/>
  <c r="N473" i="3"/>
  <c r="L749" i="3"/>
  <c r="L566" i="3"/>
  <c r="J749" i="3"/>
  <c r="I729" i="3"/>
  <c r="I500" i="3"/>
  <c r="G846" i="3"/>
  <c r="G730" i="3"/>
  <c r="E473" i="3"/>
  <c r="D219" i="3"/>
  <c r="F219" i="3"/>
  <c r="K167" i="7" s="1"/>
  <c r="V219" i="3"/>
  <c r="D870" i="3"/>
  <c r="E870" i="3"/>
  <c r="H870" i="3"/>
  <c r="D26" i="3"/>
  <c r="E26" i="3"/>
  <c r="D686" i="3"/>
  <c r="F15" i="3"/>
  <c r="K23" i="7" s="1"/>
  <c r="E861" i="3"/>
  <c r="D22" i="3"/>
  <c r="H180" i="3"/>
  <c r="F78" i="3"/>
  <c r="E756" i="3"/>
  <c r="G750" i="3"/>
  <c r="G695" i="3"/>
  <c r="E625" i="3"/>
  <c r="G829" i="3"/>
  <c r="G622" i="3"/>
  <c r="H617" i="3"/>
  <c r="H275" i="3"/>
  <c r="H263" i="3"/>
  <c r="G157" i="3"/>
  <c r="D349" i="3"/>
  <c r="I611" i="7" s="1"/>
  <c r="F478" i="3"/>
  <c r="G670" i="3"/>
  <c r="F805" i="3"/>
  <c r="D464" i="3"/>
  <c r="H522" i="3"/>
  <c r="F834" i="3"/>
  <c r="F403" i="3"/>
  <c r="H835" i="3"/>
  <c r="E131" i="3"/>
  <c r="J111" i="7" s="1"/>
  <c r="H127" i="3"/>
  <c r="D505" i="3"/>
  <c r="D339" i="3"/>
  <c r="G351" i="3"/>
  <c r="F158" i="3"/>
  <c r="D585" i="3"/>
  <c r="G770" i="3"/>
  <c r="E420" i="3"/>
  <c r="D155" i="3"/>
  <c r="D293" i="3"/>
  <c r="F321" i="3"/>
  <c r="E69" i="3"/>
  <c r="E506" i="3"/>
  <c r="F738" i="3"/>
  <c r="D688" i="3"/>
  <c r="G833" i="3"/>
  <c r="D532" i="3"/>
  <c r="H877" i="3"/>
  <c r="D656" i="3"/>
  <c r="E209" i="3"/>
  <c r="G534" i="3"/>
  <c r="F30" i="3"/>
  <c r="E138" i="3"/>
  <c r="E264" i="3"/>
  <c r="D42" i="3"/>
  <c r="E90" i="3"/>
  <c r="J481" i="7" s="1"/>
  <c r="G510" i="3"/>
  <c r="F256" i="3"/>
  <c r="D281" i="3"/>
  <c r="D244" i="3"/>
  <c r="E145" i="3"/>
  <c r="F380" i="3"/>
  <c r="F322" i="3"/>
  <c r="K142" i="7" s="1"/>
  <c r="E101" i="3"/>
  <c r="F204" i="3"/>
  <c r="F259" i="3"/>
  <c r="H188" i="3"/>
  <c r="F103" i="3"/>
  <c r="F196" i="3"/>
  <c r="H234" i="3"/>
  <c r="H137" i="3"/>
  <c r="E32" i="3"/>
  <c r="H631" i="3"/>
  <c r="E15" i="3"/>
  <c r="H832" i="3"/>
  <c r="G180" i="3"/>
  <c r="D78" i="3"/>
  <c r="D756" i="3"/>
  <c r="I384" i="7" s="1"/>
  <c r="E750" i="3"/>
  <c r="D625" i="3"/>
  <c r="E829" i="3"/>
  <c r="H115" i="3"/>
  <c r="F622" i="3"/>
  <c r="G617" i="3"/>
  <c r="D402" i="3"/>
  <c r="F371" i="3"/>
  <c r="D275" i="3"/>
  <c r="D355" i="3"/>
  <c r="E242" i="3"/>
  <c r="H518" i="3"/>
  <c r="D805" i="3"/>
  <c r="G522" i="3"/>
  <c r="D834" i="3"/>
  <c r="G835" i="3"/>
  <c r="F122" i="3"/>
  <c r="K105" i="7" s="1"/>
  <c r="D131" i="3"/>
  <c r="G295" i="3"/>
  <c r="E127" i="3"/>
  <c r="H276" i="3"/>
  <c r="F351" i="3"/>
  <c r="D158" i="3"/>
  <c r="F411" i="3"/>
  <c r="E321" i="3"/>
  <c r="J598" i="7" s="1"/>
  <c r="E650" i="3"/>
  <c r="G318" i="3"/>
  <c r="F583" i="3"/>
  <c r="F833" i="3"/>
  <c r="G877" i="3"/>
  <c r="D817" i="3"/>
  <c r="G685" i="3"/>
  <c r="F510" i="3"/>
  <c r="H792" i="3"/>
  <c r="E380" i="3"/>
  <c r="E278" i="3"/>
  <c r="G611" i="3"/>
  <c r="E322" i="3"/>
  <c r="G400" i="3"/>
  <c r="D101" i="3"/>
  <c r="F43" i="3"/>
  <c r="H885" i="3"/>
  <c r="F137" i="3"/>
  <c r="F400" i="3"/>
  <c r="G453" i="3"/>
  <c r="G806" i="3"/>
  <c r="D180" i="3"/>
  <c r="F229" i="3"/>
  <c r="F819" i="3"/>
  <c r="D383" i="3"/>
  <c r="D115" i="3"/>
  <c r="D622" i="3"/>
  <c r="D617" i="3"/>
  <c r="D518" i="3"/>
  <c r="F572" i="3"/>
  <c r="E702" i="3"/>
  <c r="E764" i="3"/>
  <c r="G735" i="3"/>
  <c r="D522" i="3"/>
  <c r="D835" i="3"/>
  <c r="E488" i="3"/>
  <c r="F151" i="3"/>
  <c r="F391" i="3"/>
  <c r="F276" i="3"/>
  <c r="H28" i="3"/>
  <c r="F385" i="3"/>
  <c r="E318" i="3"/>
  <c r="F465" i="3"/>
  <c r="G150" i="3"/>
  <c r="D833" i="3"/>
  <c r="H668" i="3"/>
  <c r="D877" i="3"/>
  <c r="E106" i="3"/>
  <c r="D562" i="3"/>
  <c r="H876" i="3"/>
  <c r="G811" i="3"/>
  <c r="G344" i="3"/>
  <c r="H331" i="3"/>
  <c r="D680" i="3"/>
  <c r="G591" i="3"/>
  <c r="H723" i="3"/>
  <c r="H732" i="3"/>
  <c r="D685" i="3"/>
  <c r="D207" i="3"/>
  <c r="G405" i="3"/>
  <c r="E400" i="3"/>
  <c r="G224" i="3"/>
  <c r="G646" i="3"/>
  <c r="G198" i="3"/>
  <c r="H193" i="3"/>
  <c r="G8" i="3"/>
  <c r="F104" i="3"/>
  <c r="F31" i="3"/>
  <c r="H372" i="3"/>
  <c r="H838" i="3"/>
  <c r="H499" i="3"/>
  <c r="G94" i="3"/>
  <c r="H384" i="3"/>
  <c r="F65" i="3"/>
  <c r="E276" i="3"/>
  <c r="E28" i="3"/>
  <c r="G682" i="3"/>
  <c r="G576" i="3"/>
  <c r="F150" i="3"/>
  <c r="F876" i="3"/>
  <c r="F811" i="3"/>
  <c r="F591" i="3"/>
  <c r="F405" i="3"/>
  <c r="G260" i="3"/>
  <c r="F224" i="3"/>
  <c r="F646" i="3"/>
  <c r="G193" i="3"/>
  <c r="G91" i="3"/>
  <c r="F372" i="3"/>
  <c r="E160" i="3"/>
  <c r="H784" i="3"/>
  <c r="H11" i="3"/>
  <c r="H395" i="3"/>
  <c r="G176" i="3"/>
  <c r="D499" i="3"/>
  <c r="E843" i="3"/>
  <c r="F381" i="3"/>
  <c r="F238" i="3"/>
  <c r="E94" i="3"/>
  <c r="G818" i="3"/>
  <c r="F384" i="3"/>
  <c r="F195" i="3"/>
  <c r="G269" i="3"/>
  <c r="H523" i="3"/>
  <c r="E65" i="3"/>
  <c r="D28" i="3"/>
  <c r="F233" i="3"/>
  <c r="H747" i="3"/>
  <c r="E682" i="3"/>
  <c r="H659" i="3"/>
  <c r="H688" i="3"/>
  <c r="G297" i="3"/>
  <c r="F890" i="3"/>
  <c r="E576" i="3"/>
  <c r="E150" i="3"/>
  <c r="G299" i="3"/>
  <c r="F197" i="3"/>
  <c r="D876" i="3"/>
  <c r="E811" i="3"/>
  <c r="D344" i="3"/>
  <c r="D591" i="3"/>
  <c r="G112" i="3"/>
  <c r="D265" i="3"/>
  <c r="H218" i="3"/>
  <c r="H281" i="3"/>
  <c r="D405" i="3"/>
  <c r="G520" i="3"/>
  <c r="D134" i="3"/>
  <c r="F260" i="3"/>
  <c r="H199" i="3"/>
  <c r="E224" i="3"/>
  <c r="E646" i="3"/>
  <c r="H96" i="3"/>
  <c r="H92" i="3"/>
  <c r="E102" i="3"/>
  <c r="D193" i="3"/>
  <c r="F91" i="3"/>
  <c r="H78" i="3"/>
  <c r="G756" i="3"/>
  <c r="H834" i="3"/>
  <c r="AY322" i="2"/>
  <c r="AY374" i="2"/>
  <c r="AY313" i="2"/>
  <c r="AY192" i="2"/>
  <c r="E401" i="3"/>
  <c r="F681" i="3"/>
  <c r="E681" i="3"/>
  <c r="E432" i="3"/>
  <c r="D631" i="3"/>
  <c r="G664" i="3"/>
  <c r="D739" i="3"/>
  <c r="E739" i="3"/>
  <c r="AZ404" i="2"/>
  <c r="BH79" i="1"/>
  <c r="AY41" i="2"/>
  <c r="AY291" i="2"/>
  <c r="AE610" i="3"/>
  <c r="AE423" i="3"/>
  <c r="AC466" i="3"/>
  <c r="D328" i="3"/>
  <c r="D308" i="3"/>
  <c r="AE308" i="3" s="1"/>
  <c r="H397" i="3"/>
  <c r="F664" i="3"/>
  <c r="D160" i="3"/>
  <c r="F744" i="3"/>
  <c r="D744" i="3"/>
  <c r="E744" i="3"/>
  <c r="E810" i="3"/>
  <c r="H810" i="3"/>
  <c r="F584" i="3"/>
  <c r="D584" i="3"/>
  <c r="G584" i="3"/>
  <c r="H584" i="3"/>
  <c r="H51" i="3"/>
  <c r="D51" i="3"/>
  <c r="F51" i="3"/>
  <c r="K49" i="7" s="1"/>
  <c r="G51" i="3"/>
  <c r="BJ47" i="1"/>
  <c r="BJ24" i="1"/>
  <c r="BJ73" i="1"/>
  <c r="BJ184" i="1"/>
  <c r="BJ31" i="1"/>
  <c r="BA382" i="2"/>
  <c r="BK428" i="1"/>
  <c r="BK429" i="1"/>
  <c r="BB88" i="2"/>
  <c r="BK141" i="1"/>
  <c r="BB278" i="2"/>
  <c r="BB455" i="2"/>
  <c r="BK159" i="1"/>
  <c r="BB442" i="2"/>
  <c r="AZ286" i="2"/>
  <c r="BI366" i="1"/>
  <c r="BI119" i="1"/>
  <c r="BI8" i="1"/>
  <c r="BI168" i="1"/>
  <c r="AZ71" i="2"/>
  <c r="AZ456" i="2"/>
  <c r="AY244" i="2"/>
  <c r="BH164" i="1"/>
  <c r="BH226" i="1"/>
  <c r="BH332" i="1"/>
  <c r="BH196" i="1"/>
  <c r="BH49" i="1"/>
  <c r="AY428" i="2"/>
  <c r="AY115" i="2"/>
  <c r="G397" i="3"/>
  <c r="H401" i="3"/>
  <c r="F401" i="3"/>
  <c r="G878" i="3"/>
  <c r="D664" i="3"/>
  <c r="AE664" i="3" s="1"/>
  <c r="F861" i="3"/>
  <c r="H861" i="3"/>
  <c r="F838" i="3"/>
  <c r="AD838" i="3" s="1"/>
  <c r="D838" i="3"/>
  <c r="G838" i="3"/>
  <c r="D387" i="3"/>
  <c r="G387" i="3"/>
  <c r="H386" i="3"/>
  <c r="D386" i="3"/>
  <c r="F386" i="3"/>
  <c r="G386" i="3"/>
  <c r="F482" i="3"/>
  <c r="H482" i="3"/>
  <c r="D482" i="3"/>
  <c r="E482" i="3"/>
  <c r="J264" i="7" s="1"/>
  <c r="G482" i="3"/>
  <c r="BB436" i="2"/>
  <c r="AZ351" i="2"/>
  <c r="BI206" i="1"/>
  <c r="BI254" i="1"/>
  <c r="D865" i="3"/>
  <c r="G865" i="3"/>
  <c r="F653" i="3"/>
  <c r="D653" i="3"/>
  <c r="G653" i="3"/>
  <c r="H653" i="3"/>
  <c r="H356" i="3"/>
  <c r="G356" i="3"/>
  <c r="D356" i="3"/>
  <c r="E356" i="3"/>
  <c r="F356" i="3"/>
  <c r="BJ273" i="1"/>
  <c r="BA38" i="2"/>
  <c r="BJ405" i="1"/>
  <c r="BJ22" i="1"/>
  <c r="BJ342" i="1"/>
  <c r="BJ386" i="1"/>
  <c r="BJ199" i="1"/>
  <c r="BJ241" i="1"/>
  <c r="BJ162" i="1"/>
  <c r="BA79" i="2"/>
  <c r="BJ420" i="1"/>
  <c r="BA379" i="2"/>
  <c r="BK63" i="1"/>
  <c r="BB107" i="2"/>
  <c r="BK19" i="1"/>
  <c r="BK368" i="1"/>
  <c r="BK426" i="1"/>
  <c r="BB85" i="2"/>
  <c r="BK380" i="1"/>
  <c r="BB21" i="2"/>
  <c r="BB452" i="2"/>
  <c r="AZ132" i="2"/>
  <c r="AZ248" i="2"/>
  <c r="BI11" i="1"/>
  <c r="BI303" i="1"/>
  <c r="BI305" i="1"/>
  <c r="BI205" i="1"/>
  <c r="AZ237" i="2"/>
  <c r="AZ223" i="2"/>
  <c r="AZ257" i="2"/>
  <c r="BH258" i="1"/>
  <c r="BH157" i="1"/>
  <c r="BH181" i="1"/>
  <c r="BH87" i="1"/>
  <c r="AY458" i="2"/>
  <c r="AY140" i="2"/>
  <c r="H620" i="3"/>
  <c r="H22" i="3"/>
  <c r="E22" i="3"/>
  <c r="F22" i="3"/>
  <c r="G389" i="3"/>
  <c r="H350" i="3"/>
  <c r="G350" i="3"/>
  <c r="D350" i="3"/>
  <c r="D844" i="3"/>
  <c r="I412" i="7" s="1"/>
  <c r="F844" i="3"/>
  <c r="F849" i="3"/>
  <c r="D849" i="3"/>
  <c r="G849" i="3"/>
  <c r="H849" i="3"/>
  <c r="G530" i="3"/>
  <c r="D530" i="3"/>
  <c r="BJ433" i="1"/>
  <c r="D866" i="3"/>
  <c r="F866" i="3"/>
  <c r="E132" i="3"/>
  <c r="D132" i="3"/>
  <c r="G132" i="3"/>
  <c r="H132" i="3"/>
  <c r="D667" i="3"/>
  <c r="G667" i="3"/>
  <c r="D382" i="3"/>
  <c r="G382" i="3"/>
  <c r="D377" i="3"/>
  <c r="F377" i="3"/>
  <c r="D567" i="3"/>
  <c r="F567" i="3"/>
  <c r="D181" i="3"/>
  <c r="F181" i="3"/>
  <c r="D776" i="3"/>
  <c r="F776" i="3"/>
  <c r="E620" i="3"/>
  <c r="F620" i="3"/>
  <c r="G620" i="3"/>
  <c r="E389" i="3"/>
  <c r="H389" i="3"/>
  <c r="D389" i="3"/>
  <c r="D794" i="3"/>
  <c r="F794" i="3"/>
  <c r="H794" i="3"/>
  <c r="E848" i="3"/>
  <c r="D848" i="3"/>
  <c r="H848" i="3"/>
  <c r="F721" i="3"/>
  <c r="H721" i="3"/>
  <c r="D721" i="3"/>
  <c r="E721" i="3"/>
  <c r="G721" i="3"/>
  <c r="D266" i="3"/>
  <c r="F266" i="3"/>
  <c r="H266" i="3"/>
  <c r="D804" i="3"/>
  <c r="G804" i="3"/>
  <c r="BH198" i="1"/>
  <c r="AY77" i="2"/>
  <c r="E749" i="3"/>
  <c r="D710" i="3"/>
  <c r="D853" i="3"/>
  <c r="G401" i="3"/>
  <c r="D681" i="3"/>
  <c r="F432" i="3"/>
  <c r="E631" i="3"/>
  <c r="F392" i="3"/>
  <c r="H664" i="3"/>
  <c r="H160" i="3"/>
  <c r="F424" i="3"/>
  <c r="G861" i="3"/>
  <c r="F571" i="3"/>
  <c r="H571" i="3"/>
  <c r="D571" i="3"/>
  <c r="E571" i="3"/>
  <c r="G571" i="3"/>
  <c r="F739" i="3"/>
  <c r="G294" i="3"/>
  <c r="D294" i="3"/>
  <c r="H294" i="3"/>
  <c r="G286" i="3"/>
  <c r="G490" i="3"/>
  <c r="F142" i="3"/>
  <c r="G161" i="3"/>
  <c r="E319" i="3"/>
  <c r="D319" i="3"/>
  <c r="E376" i="3"/>
  <c r="G376" i="3"/>
  <c r="F683" i="3"/>
  <c r="E683" i="3"/>
  <c r="G683" i="3"/>
  <c r="D570" i="3"/>
  <c r="F570" i="3"/>
  <c r="H262" i="3"/>
  <c r="F262" i="3"/>
  <c r="G556" i="3"/>
  <c r="E286" i="3"/>
  <c r="F527" i="3"/>
  <c r="H843" i="3"/>
  <c r="H364" i="3"/>
  <c r="F545" i="3"/>
  <c r="E880" i="3"/>
  <c r="D57" i="3"/>
  <c r="E490" i="3"/>
  <c r="G164" i="3"/>
  <c r="G443" i="3"/>
  <c r="D60" i="3"/>
  <c r="D572" i="3"/>
  <c r="G52" i="3"/>
  <c r="E142" i="3"/>
  <c r="H689" i="3"/>
  <c r="F161" i="3"/>
  <c r="G867" i="3"/>
  <c r="H888" i="3"/>
  <c r="F81" i="3"/>
  <c r="D175" i="3"/>
  <c r="H672" i="3"/>
  <c r="D20" i="3"/>
  <c r="E632" i="3"/>
  <c r="E75" i="3"/>
  <c r="H329" i="3"/>
  <c r="G144" i="3"/>
  <c r="E144" i="3"/>
  <c r="H144" i="3"/>
  <c r="D105" i="3"/>
  <c r="E105" i="3"/>
  <c r="G879" i="3"/>
  <c r="H879" i="3"/>
  <c r="F240" i="3"/>
  <c r="H240" i="3"/>
  <c r="H772" i="3"/>
  <c r="D21" i="3"/>
  <c r="E21" i="3"/>
  <c r="F21" i="3"/>
  <c r="H21" i="3"/>
  <c r="H146" i="3"/>
  <c r="E146" i="3"/>
  <c r="G146" i="3"/>
  <c r="G535" i="3"/>
  <c r="E535" i="3"/>
  <c r="H535" i="3"/>
  <c r="F360" i="3"/>
  <c r="G360" i="3"/>
  <c r="E626" i="3"/>
  <c r="D626" i="3"/>
  <c r="G626" i="3"/>
  <c r="D286" i="3"/>
  <c r="E527" i="3"/>
  <c r="G843" i="3"/>
  <c r="E545" i="3"/>
  <c r="D490" i="3"/>
  <c r="D142" i="3"/>
  <c r="G767" i="3"/>
  <c r="G689" i="3"/>
  <c r="D161" i="3"/>
  <c r="F867" i="3"/>
  <c r="G888" i="3"/>
  <c r="F672" i="3"/>
  <c r="D783" i="3"/>
  <c r="F677" i="3"/>
  <c r="D632" i="3"/>
  <c r="D75" i="3"/>
  <c r="I154" i="7" s="1"/>
  <c r="G127" i="3"/>
  <c r="F329" i="3"/>
  <c r="G353" i="3"/>
  <c r="F579" i="3"/>
  <c r="E579" i="3"/>
  <c r="G560" i="3"/>
  <c r="E158" i="3"/>
  <c r="F651" i="3"/>
  <c r="G420" i="3"/>
  <c r="F420" i="3"/>
  <c r="F537" i="3"/>
  <c r="E537" i="3"/>
  <c r="G537" i="3"/>
  <c r="D167" i="3"/>
  <c r="E167" i="3"/>
  <c r="E304" i="3"/>
  <c r="J30" i="7" s="1"/>
  <c r="D304" i="3"/>
  <c r="I201" i="7" s="1"/>
  <c r="G304" i="3"/>
  <c r="E407" i="3"/>
  <c r="F407" i="3"/>
  <c r="G407" i="3"/>
  <c r="H407" i="3"/>
  <c r="D205" i="3"/>
  <c r="E205" i="3"/>
  <c r="F205" i="3"/>
  <c r="G205" i="3"/>
  <c r="H205" i="3"/>
  <c r="D108" i="3"/>
  <c r="E108" i="3"/>
  <c r="F108" i="3"/>
  <c r="G108" i="3"/>
  <c r="H108" i="3"/>
  <c r="H36" i="3"/>
  <c r="H660" i="3"/>
  <c r="E689" i="3"/>
  <c r="H336" i="3"/>
  <c r="H868" i="3"/>
  <c r="E55" i="3"/>
  <c r="F55" i="3"/>
  <c r="K29" i="7" s="1"/>
  <c r="G55" i="3"/>
  <c r="D772" i="3"/>
  <c r="F772" i="3"/>
  <c r="F422" i="3"/>
  <c r="D422" i="3"/>
  <c r="E422" i="3"/>
  <c r="H422" i="3"/>
  <c r="E358" i="3"/>
  <c r="D358" i="3"/>
  <c r="F358" i="3"/>
  <c r="G358" i="3"/>
  <c r="H358" i="3"/>
  <c r="H715" i="3"/>
  <c r="G819" i="3"/>
  <c r="H695" i="3"/>
  <c r="G703" i="3"/>
  <c r="H34" i="3"/>
  <c r="D843" i="3"/>
  <c r="H539" i="3"/>
  <c r="F496" i="3"/>
  <c r="G238" i="3"/>
  <c r="G58" i="3"/>
  <c r="H670" i="3"/>
  <c r="F94" i="3"/>
  <c r="K98" i="7" s="1"/>
  <c r="H818" i="3"/>
  <c r="G489" i="3"/>
  <c r="F660" i="3"/>
  <c r="F426" i="3"/>
  <c r="D689" i="3"/>
  <c r="D867" i="3"/>
  <c r="G526" i="3"/>
  <c r="G135" i="3"/>
  <c r="D888" i="3"/>
  <c r="H269" i="3"/>
  <c r="G151" i="3"/>
  <c r="G122" i="3"/>
  <c r="H236" i="3"/>
  <c r="F336" i="3"/>
  <c r="D127" i="3"/>
  <c r="F130" i="3"/>
  <c r="K90" i="7" s="1"/>
  <c r="G868" i="3"/>
  <c r="D253" i="3"/>
  <c r="H253" i="3"/>
  <c r="F733" i="3"/>
  <c r="D733" i="3"/>
  <c r="E733" i="3"/>
  <c r="G733" i="3"/>
  <c r="H733" i="3"/>
  <c r="E179" i="3"/>
  <c r="H179" i="3"/>
  <c r="F5" i="3"/>
  <c r="G827" i="3"/>
  <c r="F868" i="3"/>
  <c r="G140" i="3"/>
  <c r="F19" i="3"/>
  <c r="F361" i="3"/>
  <c r="E763" i="3"/>
  <c r="G763" i="3"/>
  <c r="D323" i="3"/>
  <c r="E323" i="3"/>
  <c r="F323" i="3"/>
  <c r="G323" i="3"/>
  <c r="H323" i="3"/>
  <c r="E284" i="3"/>
  <c r="J46" i="7" s="1"/>
  <c r="D284" i="3"/>
  <c r="F284" i="3"/>
  <c r="G252" i="3"/>
  <c r="D15" i="3"/>
  <c r="F832" i="3"/>
  <c r="D750" i="3"/>
  <c r="E715" i="3"/>
  <c r="F687" i="3"/>
  <c r="E819" i="3"/>
  <c r="E695" i="3"/>
  <c r="F784" i="3"/>
  <c r="G625" i="3"/>
  <c r="H789" i="3"/>
  <c r="D829" i="3"/>
  <c r="G608" i="3"/>
  <c r="G347" i="3"/>
  <c r="F11" i="3"/>
  <c r="K14" i="7" s="1"/>
  <c r="E703" i="3"/>
  <c r="E34" i="3"/>
  <c r="F404" i="3"/>
  <c r="F658" i="3"/>
  <c r="D268" i="3"/>
  <c r="E59" i="3"/>
  <c r="G275" i="3"/>
  <c r="D395" i="3"/>
  <c r="D263" i="3"/>
  <c r="D176" i="3"/>
  <c r="G499" i="3"/>
  <c r="F192" i="3"/>
  <c r="E381" i="3"/>
  <c r="E539" i="3"/>
  <c r="H355" i="3"/>
  <c r="D107" i="3"/>
  <c r="G357" i="3"/>
  <c r="E238" i="3"/>
  <c r="E670" i="3"/>
  <c r="D94" i="3"/>
  <c r="H57" i="3"/>
  <c r="F818" i="3"/>
  <c r="E489" i="3"/>
  <c r="G518" i="3"/>
  <c r="F16" i="3"/>
  <c r="H60" i="3"/>
  <c r="G572" i="3"/>
  <c r="H805" i="3"/>
  <c r="F821" i="3"/>
  <c r="D415" i="3"/>
  <c r="H113" i="3"/>
  <c r="F374" i="3"/>
  <c r="D135" i="3"/>
  <c r="E269" i="3"/>
  <c r="J554" i="7" s="1"/>
  <c r="D488" i="3"/>
  <c r="G396" i="3"/>
  <c r="G864" i="3"/>
  <c r="D151" i="3"/>
  <c r="E122" i="3"/>
  <c r="J105" i="7" s="1"/>
  <c r="H20" i="3"/>
  <c r="F236" i="3"/>
  <c r="F131" i="3"/>
  <c r="G272" i="3"/>
  <c r="G296" i="3"/>
  <c r="F523" i="3"/>
  <c r="H149" i="3"/>
  <c r="F827" i="3"/>
  <c r="F28" i="3"/>
  <c r="K60" i="7" s="1"/>
  <c r="F802" i="3"/>
  <c r="H802" i="3"/>
  <c r="H99" i="3"/>
  <c r="E868" i="3"/>
  <c r="F879" i="3"/>
  <c r="E140" i="3"/>
  <c r="G240" i="3"/>
  <c r="F504" i="3"/>
  <c r="E504" i="3"/>
  <c r="D312" i="3"/>
  <c r="E312" i="3"/>
  <c r="F312" i="3"/>
  <c r="G312" i="3"/>
  <c r="D156" i="3"/>
  <c r="F156" i="3"/>
  <c r="G156" i="3"/>
  <c r="H156" i="3"/>
  <c r="F674" i="3"/>
  <c r="D430" i="3"/>
  <c r="F430" i="3"/>
  <c r="F440" i="3"/>
  <c r="E440" i="3"/>
  <c r="G440" i="3"/>
  <c r="H111" i="3"/>
  <c r="D715" i="3"/>
  <c r="D687" i="3"/>
  <c r="D819" i="3"/>
  <c r="D695" i="3"/>
  <c r="H383" i="3"/>
  <c r="F625" i="3"/>
  <c r="G789" i="3"/>
  <c r="H379" i="3"/>
  <c r="E347" i="3"/>
  <c r="J610" i="7" s="1"/>
  <c r="D11" i="3"/>
  <c r="D703" i="3"/>
  <c r="D34" i="3"/>
  <c r="H402" i="3"/>
  <c r="E658" i="3"/>
  <c r="G95" i="3"/>
  <c r="E275" i="3"/>
  <c r="F210" i="3"/>
  <c r="H286" i="3"/>
  <c r="E499" i="3"/>
  <c r="H349" i="3"/>
  <c r="D539" i="3"/>
  <c r="E355" i="3"/>
  <c r="E357" i="3"/>
  <c r="H880" i="3"/>
  <c r="D238" i="3"/>
  <c r="G551" i="3"/>
  <c r="D670" i="3"/>
  <c r="I345" i="7" s="1"/>
  <c r="G57" i="3"/>
  <c r="D818" i="3"/>
  <c r="D489" i="3"/>
  <c r="H490" i="3"/>
  <c r="G142" i="3"/>
  <c r="H161" i="3"/>
  <c r="F113" i="3"/>
  <c r="D711" i="3"/>
  <c r="F706" i="3"/>
  <c r="D269" i="3"/>
  <c r="E864" i="3"/>
  <c r="D122" i="3"/>
  <c r="I105" i="7" s="1"/>
  <c r="G728" i="3"/>
  <c r="D236" i="3"/>
  <c r="D19" i="3"/>
  <c r="G19" i="3"/>
  <c r="H19" i="3"/>
  <c r="G361" i="3"/>
  <c r="E361" i="3"/>
  <c r="F146" i="3"/>
  <c r="F417" i="3"/>
  <c r="H417" i="3"/>
  <c r="D241" i="3"/>
  <c r="D246" i="3"/>
  <c r="H33" i="3"/>
  <c r="H370" i="3"/>
  <c r="G331" i="3"/>
  <c r="G723" i="3"/>
  <c r="E510" i="3"/>
  <c r="H41" i="3"/>
  <c r="E792" i="3"/>
  <c r="J391" i="7" s="1"/>
  <c r="E428" i="3"/>
  <c r="G320" i="3"/>
  <c r="H162" i="3"/>
  <c r="F198" i="3"/>
  <c r="G188" i="3"/>
  <c r="F277" i="3"/>
  <c r="E200" i="3"/>
  <c r="F96" i="3"/>
  <c r="E124" i="3"/>
  <c r="F92" i="3"/>
  <c r="F25" i="3"/>
  <c r="E885" i="3"/>
  <c r="AD885" i="3" s="1"/>
  <c r="F884" i="3"/>
  <c r="K17" i="7" s="1"/>
  <c r="F18" i="3"/>
  <c r="AD18" i="3" s="1"/>
  <c r="E234" i="3"/>
  <c r="F193" i="3"/>
  <c r="AD193" i="3" s="1"/>
  <c r="F46" i="3"/>
  <c r="E184" i="3"/>
  <c r="AD184" i="3" s="1"/>
  <c r="F8" i="3"/>
  <c r="AD8" i="3" s="1"/>
  <c r="F6" i="3"/>
  <c r="E33" i="3"/>
  <c r="J15" i="7" s="1"/>
  <c r="D137" i="3"/>
  <c r="D32" i="3"/>
  <c r="H27" i="3"/>
  <c r="F35" i="3"/>
  <c r="E217" i="3"/>
  <c r="G233" i="3"/>
  <c r="F859" i="3"/>
  <c r="E300" i="3"/>
  <c r="D770" i="3"/>
  <c r="E630" i="3"/>
  <c r="E863" i="3"/>
  <c r="G558" i="3"/>
  <c r="F203" i="3"/>
  <c r="D321" i="3"/>
  <c r="E761" i="3"/>
  <c r="H650" i="3"/>
  <c r="F109" i="3"/>
  <c r="D318" i="3"/>
  <c r="E540" i="3"/>
  <c r="E214" i="3"/>
  <c r="E191" i="3"/>
  <c r="D297" i="3"/>
  <c r="G370" i="3"/>
  <c r="G388" i="3"/>
  <c r="D811" i="3"/>
  <c r="H212" i="3"/>
  <c r="F331" i="3"/>
  <c r="F723" i="3"/>
  <c r="G588" i="3"/>
  <c r="F647" i="3"/>
  <c r="G249" i="3"/>
  <c r="F152" i="3"/>
  <c r="K120" i="7" s="1"/>
  <c r="H172" i="3"/>
  <c r="D510" i="3"/>
  <c r="E41" i="3"/>
  <c r="G256" i="3"/>
  <c r="G218" i="3"/>
  <c r="D792" i="3"/>
  <c r="E405" i="3"/>
  <c r="F145" i="3"/>
  <c r="D428" i="3"/>
  <c r="E194" i="3"/>
  <c r="F320" i="3"/>
  <c r="H461" i="3"/>
  <c r="H185" i="3"/>
  <c r="E162" i="3"/>
  <c r="F188" i="3"/>
  <c r="D200" i="3"/>
  <c r="D124" i="3"/>
  <c r="I70" i="7" s="1"/>
  <c r="D885" i="3"/>
  <c r="D234" i="3"/>
  <c r="D184" i="3"/>
  <c r="D33" i="3"/>
  <c r="E154" i="3"/>
  <c r="D863" i="3"/>
  <c r="D558" i="3"/>
  <c r="E203" i="3"/>
  <c r="F370" i="3"/>
  <c r="G605" i="3"/>
  <c r="E388" i="3"/>
  <c r="H437" i="3"/>
  <c r="G419" i="3"/>
  <c r="E331" i="3"/>
  <c r="G201" i="3"/>
  <c r="E723" i="3"/>
  <c r="J360" i="7" s="1"/>
  <c r="F588" i="3"/>
  <c r="E249" i="3"/>
  <c r="G363" i="3"/>
  <c r="E320" i="3"/>
  <c r="H44" i="3"/>
  <c r="H352" i="3"/>
  <c r="H241" i="3"/>
  <c r="H477" i="3"/>
  <c r="H246" i="3"/>
  <c r="E461" i="3"/>
  <c r="J242" i="7" s="1"/>
  <c r="G185" i="3"/>
  <c r="E188" i="3"/>
  <c r="F47" i="3"/>
  <c r="F17" i="3"/>
  <c r="F141" i="3"/>
  <c r="F50" i="3"/>
  <c r="K118" i="7" s="1"/>
  <c r="F68" i="3"/>
  <c r="G431" i="3"/>
  <c r="E299" i="3"/>
  <c r="E813" i="3"/>
  <c r="D370" i="3"/>
  <c r="H656" i="3"/>
  <c r="D388" i="3"/>
  <c r="F857" i="3"/>
  <c r="H23" i="3"/>
  <c r="D419" i="3"/>
  <c r="G313" i="3"/>
  <c r="F138" i="3"/>
  <c r="E680" i="3"/>
  <c r="E201" i="3"/>
  <c r="F73" i="3"/>
  <c r="K140" i="7" s="1"/>
  <c r="D588" i="3"/>
  <c r="D249" i="3"/>
  <c r="F679" i="3"/>
  <c r="E235" i="3"/>
  <c r="F258" i="3"/>
  <c r="G817" i="3"/>
  <c r="E172" i="3"/>
  <c r="H265" i="3"/>
  <c r="D256" i="3"/>
  <c r="G594" i="3"/>
  <c r="E243" i="3"/>
  <c r="F244" i="3"/>
  <c r="H298" i="3"/>
  <c r="F278" i="3"/>
  <c r="F363" i="3"/>
  <c r="G44" i="3"/>
  <c r="G352" i="3"/>
  <c r="G241" i="3"/>
  <c r="E477" i="3"/>
  <c r="G246" i="3"/>
  <c r="F891" i="3"/>
  <c r="D461" i="3"/>
  <c r="F185" i="3"/>
  <c r="F147" i="3"/>
  <c r="F886" i="3"/>
  <c r="E47" i="3"/>
  <c r="F100" i="3"/>
  <c r="E17" i="3"/>
  <c r="F67" i="3"/>
  <c r="E141" i="3"/>
  <c r="F102" i="3"/>
  <c r="E50" i="3"/>
  <c r="J118" i="7" s="1"/>
  <c r="F80" i="3"/>
  <c r="E68" i="3"/>
  <c r="F14" i="3"/>
  <c r="E7" i="3"/>
  <c r="G265" i="3"/>
  <c r="G298" i="3"/>
  <c r="H366" i="3"/>
  <c r="F206" i="3"/>
  <c r="K57" i="7" s="1"/>
  <c r="F44" i="3"/>
  <c r="F352" i="3"/>
  <c r="F241" i="3"/>
  <c r="AD241" i="3" s="1"/>
  <c r="F246" i="3"/>
  <c r="E185" i="3"/>
  <c r="E147" i="3"/>
  <c r="E14" i="3"/>
  <c r="H202" i="3"/>
  <c r="G876" i="3"/>
  <c r="H90" i="3"/>
  <c r="G267" i="3"/>
  <c r="E265" i="3"/>
  <c r="H82" i="3"/>
  <c r="E673" i="3"/>
  <c r="D298" i="3"/>
  <c r="E366" i="3"/>
  <c r="H332" i="3"/>
  <c r="E206" i="3"/>
  <c r="G322" i="3"/>
  <c r="E257" i="3"/>
  <c r="E247" i="3"/>
  <c r="F887" i="3"/>
  <c r="E126" i="3"/>
  <c r="G215" i="3"/>
  <c r="G153" i="3"/>
  <c r="G282" i="3"/>
  <c r="G166" i="3"/>
  <c r="G49" i="3"/>
  <c r="G32" i="3"/>
  <c r="D14" i="3"/>
  <c r="G72" i="3"/>
  <c r="E406" i="3"/>
  <c r="E66" i="3"/>
  <c r="E807" i="3"/>
  <c r="E786" i="3"/>
  <c r="E790" i="3"/>
  <c r="E762" i="3"/>
  <c r="E758" i="3"/>
  <c r="E778" i="3"/>
  <c r="E628" i="3"/>
  <c r="E580" i="3"/>
  <c r="E873" i="3"/>
  <c r="E86" i="3"/>
  <c r="F402" i="3"/>
  <c r="E227" i="3"/>
  <c r="H371" i="3"/>
  <c r="F294" i="3"/>
  <c r="E309" i="3"/>
  <c r="H567" i="3"/>
  <c r="F530" i="3"/>
  <c r="E311" i="3"/>
  <c r="H181" i="3"/>
  <c r="F263" i="3"/>
  <c r="E536" i="3"/>
  <c r="H192" i="3"/>
  <c r="F349" i="3"/>
  <c r="K611" i="7" s="1"/>
  <c r="E136" i="3"/>
  <c r="F479" i="3"/>
  <c r="E77" i="3"/>
  <c r="E874" i="3"/>
  <c r="F213" i="3"/>
  <c r="G242" i="3"/>
  <c r="D330" i="3"/>
  <c r="G330" i="3"/>
  <c r="H330" i="3"/>
  <c r="O410" i="3"/>
  <c r="L410" i="3"/>
  <c r="K287" i="3"/>
  <c r="J399" i="3"/>
  <c r="I853" i="3"/>
  <c r="I424" i="3"/>
  <c r="G372" i="3"/>
  <c r="D406" i="3"/>
  <c r="H878" i="3"/>
  <c r="G776" i="3"/>
  <c r="D66" i="3"/>
  <c r="H808" i="3"/>
  <c r="G392" i="3"/>
  <c r="H252" i="3"/>
  <c r="G424" i="3"/>
  <c r="H453" i="3"/>
  <c r="G866" i="3"/>
  <c r="D807" i="3"/>
  <c r="H865" i="3"/>
  <c r="G832" i="3"/>
  <c r="D786" i="3"/>
  <c r="H806" i="3"/>
  <c r="G794" i="3"/>
  <c r="D790" i="3"/>
  <c r="H387" i="3"/>
  <c r="G111" i="3"/>
  <c r="D762" i="3"/>
  <c r="H724" i="3"/>
  <c r="G229" i="3"/>
  <c r="D758" i="3"/>
  <c r="H731" i="3"/>
  <c r="G844" i="3"/>
  <c r="E687" i="3"/>
  <c r="D778" i="3"/>
  <c r="H667" i="3"/>
  <c r="G784" i="3"/>
  <c r="E383" i="3"/>
  <c r="D628" i="3"/>
  <c r="H382" i="3"/>
  <c r="G379" i="3"/>
  <c r="E120" i="3"/>
  <c r="D580" i="3"/>
  <c r="H608" i="3"/>
  <c r="G266" i="3"/>
  <c r="E115" i="3"/>
  <c r="D873" i="3"/>
  <c r="H581" i="3"/>
  <c r="G377" i="3"/>
  <c r="E11" i="3"/>
  <c r="D86" i="3"/>
  <c r="H804" i="3"/>
  <c r="G404" i="3"/>
  <c r="E402" i="3"/>
  <c r="D227" i="3"/>
  <c r="H743" i="3"/>
  <c r="G371" i="3"/>
  <c r="E294" i="3"/>
  <c r="D309" i="3"/>
  <c r="H95" i="3"/>
  <c r="G567" i="3"/>
  <c r="E530" i="3"/>
  <c r="D311" i="3"/>
  <c r="H556" i="3"/>
  <c r="G181" i="3"/>
  <c r="E263" i="3"/>
  <c r="D536" i="3"/>
  <c r="H157" i="3"/>
  <c r="G192" i="3"/>
  <c r="E349" i="3"/>
  <c r="J611" i="7" s="1"/>
  <c r="D136" i="3"/>
  <c r="D479" i="3"/>
  <c r="F355" i="3"/>
  <c r="D77" i="3"/>
  <c r="D874" i="3"/>
  <c r="E36" i="3"/>
  <c r="F36" i="3"/>
  <c r="G36" i="3"/>
  <c r="E648" i="3"/>
  <c r="F648" i="3"/>
  <c r="G648" i="3"/>
  <c r="H648" i="3"/>
  <c r="F425" i="3"/>
  <c r="G213" i="3"/>
  <c r="D213" i="3"/>
  <c r="D413" i="3"/>
  <c r="E413" i="3"/>
  <c r="J232" i="7" s="1"/>
  <c r="F413" i="3"/>
  <c r="G413" i="3"/>
  <c r="H410" i="3"/>
  <c r="G853" i="3"/>
  <c r="E372" i="3"/>
  <c r="H287" i="3"/>
  <c r="G681" i="3"/>
  <c r="F878" i="3"/>
  <c r="E776" i="3"/>
  <c r="H399" i="3"/>
  <c r="G631" i="3"/>
  <c r="F808" i="3"/>
  <c r="E392" i="3"/>
  <c r="H53" i="3"/>
  <c r="G160" i="3"/>
  <c r="F252" i="3"/>
  <c r="E424" i="3"/>
  <c r="F453" i="3"/>
  <c r="E866" i="3"/>
  <c r="H423" i="3"/>
  <c r="G744" i="3"/>
  <c r="F865" i="3"/>
  <c r="E832" i="3"/>
  <c r="H159" i="3"/>
  <c r="G810" i="3"/>
  <c r="F806" i="3"/>
  <c r="E794" i="3"/>
  <c r="H793" i="3"/>
  <c r="G780" i="3"/>
  <c r="F387" i="3"/>
  <c r="E111" i="3"/>
  <c r="H757" i="3"/>
  <c r="G848" i="3"/>
  <c r="F724" i="3"/>
  <c r="E229" i="3"/>
  <c r="H70" i="3"/>
  <c r="F731" i="3"/>
  <c r="E844" i="3"/>
  <c r="H697" i="3"/>
  <c r="F667" i="3"/>
  <c r="E784" i="3"/>
  <c r="H621" i="3"/>
  <c r="F382" i="3"/>
  <c r="E379" i="3"/>
  <c r="H462" i="3"/>
  <c r="F608" i="3"/>
  <c r="E266" i="3"/>
  <c r="H629" i="3"/>
  <c r="F581" i="3"/>
  <c r="E377" i="3"/>
  <c r="H662" i="3"/>
  <c r="F804" i="3"/>
  <c r="E404" i="3"/>
  <c r="H739" i="3"/>
  <c r="F743" i="3"/>
  <c r="E371" i="3"/>
  <c r="H59" i="3"/>
  <c r="F95" i="3"/>
  <c r="K68" i="7" s="1"/>
  <c r="E567" i="3"/>
  <c r="H210" i="3"/>
  <c r="F556" i="3"/>
  <c r="E181" i="3"/>
  <c r="AE181" i="3" s="1"/>
  <c r="H527" i="3"/>
  <c r="F157" i="3"/>
  <c r="E192" i="3"/>
  <c r="J168" i="7" s="1"/>
  <c r="F364" i="3"/>
  <c r="F551" i="3"/>
  <c r="D242" i="3"/>
  <c r="H242" i="3"/>
  <c r="E457" i="3"/>
  <c r="D425" i="3"/>
  <c r="G425" i="3"/>
  <c r="H425" i="3"/>
  <c r="H871" i="3"/>
  <c r="D871" i="3"/>
  <c r="E871" i="3"/>
  <c r="F871" i="3"/>
  <c r="G871" i="3"/>
  <c r="M853" i="3"/>
  <c r="L681" i="3"/>
  <c r="K808" i="3"/>
  <c r="J53" i="3"/>
  <c r="I399" i="3"/>
  <c r="I423" i="3"/>
  <c r="G410" i="3"/>
  <c r="F853" i="3"/>
  <c r="G287" i="3"/>
  <c r="E878" i="3"/>
  <c r="G399" i="3"/>
  <c r="E808" i="3"/>
  <c r="G53" i="3"/>
  <c r="E252" i="3"/>
  <c r="E453" i="3"/>
  <c r="G423" i="3"/>
  <c r="E865" i="3"/>
  <c r="G159" i="3"/>
  <c r="F810" i="3"/>
  <c r="E806" i="3"/>
  <c r="G793" i="3"/>
  <c r="F780" i="3"/>
  <c r="E387" i="3"/>
  <c r="G757" i="3"/>
  <c r="F848" i="3"/>
  <c r="E724" i="3"/>
  <c r="G70" i="3"/>
  <c r="E731" i="3"/>
  <c r="G697" i="3"/>
  <c r="E667" i="3"/>
  <c r="G621" i="3"/>
  <c r="E382" i="3"/>
  <c r="G462" i="3"/>
  <c r="E608" i="3"/>
  <c r="G629" i="3"/>
  <c r="E581" i="3"/>
  <c r="G662" i="3"/>
  <c r="E804" i="3"/>
  <c r="G739" i="3"/>
  <c r="E743" i="3"/>
  <c r="G59" i="3"/>
  <c r="E95" i="3"/>
  <c r="G210" i="3"/>
  <c r="E556" i="3"/>
  <c r="G527" i="3"/>
  <c r="E157" i="3"/>
  <c r="G381" i="3"/>
  <c r="E364" i="3"/>
  <c r="H478" i="3"/>
  <c r="G545" i="3"/>
  <c r="D545" i="3"/>
  <c r="I170" i="7" s="1"/>
  <c r="H496" i="3"/>
  <c r="F880" i="3"/>
  <c r="H58" i="3"/>
  <c r="H456" i="3"/>
  <c r="D456" i="3"/>
  <c r="E456" i="3"/>
  <c r="F456" i="3"/>
  <c r="D830" i="3"/>
  <c r="E830" i="3"/>
  <c r="F830" i="3"/>
  <c r="G830" i="3"/>
  <c r="E492" i="3"/>
  <c r="F492" i="3"/>
  <c r="G492" i="3"/>
  <c r="H492" i="3"/>
  <c r="F251" i="3"/>
  <c r="F410" i="3"/>
  <c r="H406" i="3"/>
  <c r="F287" i="3"/>
  <c r="H66" i="3"/>
  <c r="F399" i="3"/>
  <c r="F53" i="3"/>
  <c r="H807" i="3"/>
  <c r="F423" i="3"/>
  <c r="H786" i="3"/>
  <c r="F159" i="3"/>
  <c r="H790" i="3"/>
  <c r="F793" i="3"/>
  <c r="H762" i="3"/>
  <c r="F757" i="3"/>
  <c r="H758" i="3"/>
  <c r="F70" i="3"/>
  <c r="K24" i="7" s="1"/>
  <c r="H778" i="3"/>
  <c r="F697" i="3"/>
  <c r="H628" i="3"/>
  <c r="F621" i="3"/>
  <c r="H580" i="3"/>
  <c r="F462" i="3"/>
  <c r="H873" i="3"/>
  <c r="F629" i="3"/>
  <c r="H86" i="3"/>
  <c r="F662" i="3"/>
  <c r="H227" i="3"/>
  <c r="H309" i="3"/>
  <c r="H311" i="3"/>
  <c r="H536" i="3"/>
  <c r="H136" i="3"/>
  <c r="D364" i="3"/>
  <c r="H551" i="3"/>
  <c r="E551" i="3"/>
  <c r="F457" i="3"/>
  <c r="G457" i="3"/>
  <c r="H457" i="3"/>
  <c r="E410" i="3"/>
  <c r="G406" i="3"/>
  <c r="E287" i="3"/>
  <c r="G66" i="3"/>
  <c r="E399" i="3"/>
  <c r="E53" i="3"/>
  <c r="G807" i="3"/>
  <c r="E423" i="3"/>
  <c r="G786" i="3"/>
  <c r="E159" i="3"/>
  <c r="G790" i="3"/>
  <c r="E793" i="3"/>
  <c r="G762" i="3"/>
  <c r="E757" i="3"/>
  <c r="G758" i="3"/>
  <c r="E70" i="3"/>
  <c r="G778" i="3"/>
  <c r="E697" i="3"/>
  <c r="G628" i="3"/>
  <c r="E621" i="3"/>
  <c r="G580" i="3"/>
  <c r="E462" i="3"/>
  <c r="G873" i="3"/>
  <c r="E629" i="3"/>
  <c r="G86" i="3"/>
  <c r="E662" i="3"/>
  <c r="G227" i="3"/>
  <c r="G309" i="3"/>
  <c r="G311" i="3"/>
  <c r="G536" i="3"/>
  <c r="G136" i="3"/>
  <c r="H479" i="3"/>
  <c r="H77" i="3"/>
  <c r="H874" i="3"/>
  <c r="E58" i="3"/>
  <c r="F330" i="3"/>
  <c r="D251" i="3"/>
  <c r="G251" i="3"/>
  <c r="H251" i="3"/>
  <c r="D381" i="3"/>
  <c r="G479" i="3"/>
  <c r="E478" i="3"/>
  <c r="G77" i="3"/>
  <c r="H107" i="3"/>
  <c r="E107" i="3"/>
  <c r="D496" i="3"/>
  <c r="F874" i="3"/>
  <c r="D58" i="3"/>
  <c r="H213" i="3"/>
  <c r="E330" i="3"/>
  <c r="D564" i="3"/>
  <c r="E564" i="3"/>
  <c r="F564" i="3"/>
  <c r="G564" i="3"/>
  <c r="E429" i="3"/>
  <c r="F429" i="3"/>
  <c r="G429" i="3"/>
  <c r="H429" i="3"/>
  <c r="E454" i="3"/>
  <c r="F774" i="3"/>
  <c r="E660" i="3"/>
  <c r="F164" i="3"/>
  <c r="E384" i="3"/>
  <c r="F52" i="3"/>
  <c r="E245" i="3"/>
  <c r="H464" i="3"/>
  <c r="F767" i="3"/>
  <c r="E821" i="3"/>
  <c r="H415" i="3"/>
  <c r="G578" i="3"/>
  <c r="F735" i="3"/>
  <c r="E113" i="3"/>
  <c r="H711" i="3"/>
  <c r="G56" i="3"/>
  <c r="F526" i="3"/>
  <c r="K160" i="7" s="1"/>
  <c r="E403" i="3"/>
  <c r="H408" i="3"/>
  <c r="G123" i="3"/>
  <c r="F87" i="3"/>
  <c r="E81" i="3"/>
  <c r="H175" i="3"/>
  <c r="G663" i="3"/>
  <c r="F396" i="3"/>
  <c r="E672" i="3"/>
  <c r="H783" i="3"/>
  <c r="G325" i="3"/>
  <c r="F728" i="3"/>
  <c r="E391" i="3"/>
  <c r="H828" i="3"/>
  <c r="G529" i="3"/>
  <c r="F295" i="3"/>
  <c r="K127" i="7" s="1"/>
  <c r="E336" i="3"/>
  <c r="H230" i="3"/>
  <c r="E523" i="3"/>
  <c r="G149" i="3"/>
  <c r="D329" i="3"/>
  <c r="H319" i="3"/>
  <c r="G438" i="3"/>
  <c r="E130" i="3"/>
  <c r="J90" i="7" s="1"/>
  <c r="H452" i="3"/>
  <c r="F353" i="3"/>
  <c r="F99" i="3"/>
  <c r="D579" i="3"/>
  <c r="F560" i="3"/>
  <c r="G37" i="3"/>
  <c r="H37" i="3"/>
  <c r="D37" i="3"/>
  <c r="I100" i="7" s="1"/>
  <c r="E37" i="3"/>
  <c r="J100" i="7" s="1"/>
  <c r="F37" i="3"/>
  <c r="D454" i="3"/>
  <c r="E774" i="3"/>
  <c r="D660" i="3"/>
  <c r="E164" i="3"/>
  <c r="D384" i="3"/>
  <c r="E52" i="3"/>
  <c r="J65" i="7" s="1"/>
  <c r="D245" i="3"/>
  <c r="I156" i="7" s="1"/>
  <c r="G464" i="3"/>
  <c r="E767" i="3"/>
  <c r="D821" i="3"/>
  <c r="G415" i="3"/>
  <c r="F578" i="3"/>
  <c r="E735" i="3"/>
  <c r="D113" i="3"/>
  <c r="I145" i="7" s="1"/>
  <c r="G711" i="3"/>
  <c r="F56" i="3"/>
  <c r="E526" i="3"/>
  <c r="D403" i="3"/>
  <c r="G408" i="3"/>
  <c r="F123" i="3"/>
  <c r="E87" i="3"/>
  <c r="D81" i="3"/>
  <c r="I113" i="7" s="1"/>
  <c r="G175" i="3"/>
  <c r="F663" i="3"/>
  <c r="E396" i="3"/>
  <c r="D672" i="3"/>
  <c r="G783" i="3"/>
  <c r="F325" i="3"/>
  <c r="E728" i="3"/>
  <c r="D391" i="3"/>
  <c r="G828" i="3"/>
  <c r="F529" i="3"/>
  <c r="E295" i="3"/>
  <c r="D336" i="3"/>
  <c r="G230" i="3"/>
  <c r="D523" i="3"/>
  <c r="H505" i="3"/>
  <c r="E149" i="3"/>
  <c r="J161" i="7" s="1"/>
  <c r="G319" i="3"/>
  <c r="F438" i="3"/>
  <c r="D130" i="3"/>
  <c r="G452" i="3"/>
  <c r="E353" i="3"/>
  <c r="G339" i="3"/>
  <c r="E99" i="3"/>
  <c r="H9" i="3"/>
  <c r="F760" i="3"/>
  <c r="G760" i="3"/>
  <c r="D774" i="3"/>
  <c r="D164" i="3"/>
  <c r="D52" i="3"/>
  <c r="H426" i="3"/>
  <c r="F464" i="3"/>
  <c r="D767" i="3"/>
  <c r="H228" i="3"/>
  <c r="F415" i="3"/>
  <c r="E578" i="3"/>
  <c r="D735" i="3"/>
  <c r="H374" i="3"/>
  <c r="F711" i="3"/>
  <c r="E56" i="3"/>
  <c r="D526" i="3"/>
  <c r="H706" i="3"/>
  <c r="F408" i="3"/>
  <c r="E123" i="3"/>
  <c r="D87" i="3"/>
  <c r="H869" i="3"/>
  <c r="F175" i="3"/>
  <c r="E663" i="3"/>
  <c r="D396" i="3"/>
  <c r="H394" i="3"/>
  <c r="F783" i="3"/>
  <c r="E325" i="3"/>
  <c r="D728" i="3"/>
  <c r="H677" i="3"/>
  <c r="F828" i="3"/>
  <c r="E529" i="3"/>
  <c r="D295" i="3"/>
  <c r="I127" i="7" s="1"/>
  <c r="H481" i="3"/>
  <c r="F230" i="3"/>
  <c r="F505" i="3"/>
  <c r="D149" i="3"/>
  <c r="F319" i="3"/>
  <c r="E438" i="3"/>
  <c r="F452" i="3"/>
  <c r="H105" i="3"/>
  <c r="F339" i="3"/>
  <c r="D99" i="3"/>
  <c r="G9" i="3"/>
  <c r="D385" i="3"/>
  <c r="E385" i="3"/>
  <c r="H385" i="3"/>
  <c r="G859" i="3"/>
  <c r="D859" i="3"/>
  <c r="E859" i="3"/>
  <c r="D825" i="3"/>
  <c r="E825" i="3"/>
  <c r="G825" i="3"/>
  <c r="H825" i="3"/>
  <c r="G791" i="3"/>
  <c r="D791" i="3"/>
  <c r="E791" i="3"/>
  <c r="F791" i="3"/>
  <c r="G270" i="3"/>
  <c r="H270" i="3"/>
  <c r="D270" i="3"/>
  <c r="E270" i="3"/>
  <c r="F270" i="3"/>
  <c r="G426" i="3"/>
  <c r="G228" i="3"/>
  <c r="D578" i="3"/>
  <c r="I306" i="7" s="1"/>
  <c r="G374" i="3"/>
  <c r="D56" i="3"/>
  <c r="G706" i="3"/>
  <c r="D123" i="3"/>
  <c r="G869" i="3"/>
  <c r="D663" i="3"/>
  <c r="G394" i="3"/>
  <c r="D325" i="3"/>
  <c r="G677" i="3"/>
  <c r="D529" i="3"/>
  <c r="G481" i="3"/>
  <c r="E230" i="3"/>
  <c r="G65" i="3"/>
  <c r="E505" i="3"/>
  <c r="H827" i="3"/>
  <c r="D438" i="3"/>
  <c r="I234" i="7" s="1"/>
  <c r="D452" i="3"/>
  <c r="G105" i="3"/>
  <c r="E339" i="3"/>
  <c r="H351" i="3"/>
  <c r="F9" i="3"/>
  <c r="D326" i="3"/>
  <c r="F326" i="3"/>
  <c r="G326" i="3"/>
  <c r="G398" i="3"/>
  <c r="H398" i="3"/>
  <c r="D398" i="3"/>
  <c r="E398" i="3"/>
  <c r="F398" i="3"/>
  <c r="D327" i="3"/>
  <c r="H327" i="3"/>
  <c r="E327" i="3"/>
  <c r="J601" i="7" s="1"/>
  <c r="F327" i="3"/>
  <c r="G327" i="3"/>
  <c r="E426" i="3"/>
  <c r="E228" i="3"/>
  <c r="E374" i="3"/>
  <c r="E706" i="3"/>
  <c r="E869" i="3"/>
  <c r="E394" i="3"/>
  <c r="E677" i="3"/>
  <c r="E481" i="3"/>
  <c r="AE481" i="3" s="1"/>
  <c r="D65" i="3"/>
  <c r="G329" i="3"/>
  <c r="E827" i="3"/>
  <c r="G130" i="3"/>
  <c r="H353" i="3"/>
  <c r="G579" i="3"/>
  <c r="D351" i="3"/>
  <c r="H760" i="3"/>
  <c r="E585" i="3"/>
  <c r="J309" i="7" s="1"/>
  <c r="F585" i="3"/>
  <c r="D345" i="3"/>
  <c r="E345" i="3"/>
  <c r="G345" i="3"/>
  <c r="H345" i="3"/>
  <c r="G411" i="3"/>
  <c r="D411" i="3"/>
  <c r="E411" i="3"/>
  <c r="D815" i="3"/>
  <c r="E815" i="3"/>
  <c r="G815" i="3"/>
  <c r="H815" i="3"/>
  <c r="G507" i="3"/>
  <c r="H507" i="3"/>
  <c r="D507" i="3"/>
  <c r="E507" i="3"/>
  <c r="F507" i="3"/>
  <c r="H233" i="3"/>
  <c r="D233" i="3"/>
  <c r="D747" i="3"/>
  <c r="F747" i="3"/>
  <c r="G747" i="3"/>
  <c r="G222" i="3"/>
  <c r="H222" i="3"/>
  <c r="D222" i="3"/>
  <c r="E222" i="3"/>
  <c r="F222" i="3"/>
  <c r="E417" i="3"/>
  <c r="F40" i="3"/>
  <c r="K51" i="7" s="1"/>
  <c r="G745" i="3"/>
  <c r="H231" i="3"/>
  <c r="E605" i="3"/>
  <c r="H605" i="3"/>
  <c r="G315" i="3"/>
  <c r="D437" i="3"/>
  <c r="G437" i="3"/>
  <c r="H346" i="3"/>
  <c r="E669" i="3"/>
  <c r="G669" i="3"/>
  <c r="G183" i="3"/>
  <c r="D627" i="3"/>
  <c r="G627" i="3"/>
  <c r="G48" i="3"/>
  <c r="D48" i="3"/>
  <c r="I92" i="7" s="1"/>
  <c r="E48" i="3"/>
  <c r="J92" i="7" s="1"/>
  <c r="F24" i="3"/>
  <c r="D29" i="3"/>
  <c r="E29" i="3"/>
  <c r="J17" i="7" s="1"/>
  <c r="G29" i="3"/>
  <c r="H29" i="3"/>
  <c r="F342" i="3"/>
  <c r="G342" i="3"/>
  <c r="H342" i="3"/>
  <c r="D342" i="3"/>
  <c r="E342" i="3"/>
  <c r="G651" i="3"/>
  <c r="D140" i="3"/>
  <c r="G630" i="3"/>
  <c r="D682" i="3"/>
  <c r="D683" i="3"/>
  <c r="G659" i="3"/>
  <c r="D504" i="3"/>
  <c r="H570" i="3"/>
  <c r="G203" i="3"/>
  <c r="D139" i="3"/>
  <c r="H359" i="3"/>
  <c r="G208" i="3"/>
  <c r="D761" i="3"/>
  <c r="H109" i="3"/>
  <c r="G772" i="3"/>
  <c r="D537" i="3"/>
  <c r="H674" i="3"/>
  <c r="G21" i="3"/>
  <c r="D506" i="3"/>
  <c r="H738" i="3"/>
  <c r="D417" i="3"/>
  <c r="E40" i="3"/>
  <c r="AD40" i="3" s="1"/>
  <c r="H576" i="3"/>
  <c r="F745" i="3"/>
  <c r="F532" i="3"/>
  <c r="H532" i="3"/>
  <c r="G231" i="3"/>
  <c r="D106" i="3"/>
  <c r="D179" i="3"/>
  <c r="F179" i="3"/>
  <c r="F315" i="3"/>
  <c r="F346" i="3"/>
  <c r="E360" i="3"/>
  <c r="AE360" i="3" s="1"/>
  <c r="H360" i="3"/>
  <c r="F183" i="3"/>
  <c r="G264" i="3"/>
  <c r="D264" i="3"/>
  <c r="F125" i="3"/>
  <c r="D174" i="3"/>
  <c r="G174" i="3"/>
  <c r="E143" i="3"/>
  <c r="H143" i="3"/>
  <c r="G143" i="3"/>
  <c r="D143" i="3"/>
  <c r="F143" i="3"/>
  <c r="K96" i="7" s="1"/>
  <c r="H770" i="3"/>
  <c r="H376" i="3"/>
  <c r="H293" i="3"/>
  <c r="H558" i="3"/>
  <c r="G570" i="3"/>
  <c r="H254" i="3"/>
  <c r="G359" i="3"/>
  <c r="H763" i="3"/>
  <c r="G109" i="3"/>
  <c r="G674" i="3"/>
  <c r="G583" i="3"/>
  <c r="H431" i="3"/>
  <c r="D40" i="3"/>
  <c r="D745" i="3"/>
  <c r="G528" i="3"/>
  <c r="H5" i="3"/>
  <c r="E857" i="3"/>
  <c r="G857" i="3"/>
  <c r="G197" i="3"/>
  <c r="D197" i="3"/>
  <c r="H430" i="3"/>
  <c r="D534" i="3"/>
  <c r="F534" i="3"/>
  <c r="H30" i="3"/>
  <c r="H313" i="3"/>
  <c r="E219" i="3"/>
  <c r="G219" i="3"/>
  <c r="D73" i="3"/>
  <c r="G73" i="3"/>
  <c r="E24" i="3"/>
  <c r="G24" i="3"/>
  <c r="H24" i="3"/>
  <c r="H128" i="3"/>
  <c r="D128" i="3"/>
  <c r="F128" i="3"/>
  <c r="AD128" i="3" s="1"/>
  <c r="G128" i="3"/>
  <c r="F654" i="3"/>
  <c r="G654" i="3"/>
  <c r="D654" i="3"/>
  <c r="E654" i="3"/>
  <c r="D231" i="3"/>
  <c r="I18" i="7" s="1"/>
  <c r="F231" i="3"/>
  <c r="E315" i="3"/>
  <c r="H315" i="3"/>
  <c r="D346" i="3"/>
  <c r="G346" i="3"/>
  <c r="E183" i="3"/>
  <c r="H183" i="3"/>
  <c r="E125" i="3"/>
  <c r="G125" i="3"/>
  <c r="H125" i="3"/>
  <c r="F168" i="3"/>
  <c r="H168" i="3"/>
  <c r="E168" i="3"/>
  <c r="D168" i="3"/>
  <c r="G168" i="3"/>
  <c r="H158" i="3"/>
  <c r="H300" i="3"/>
  <c r="F770" i="3"/>
  <c r="H420" i="3"/>
  <c r="F376" i="3"/>
  <c r="H155" i="3"/>
  <c r="G451" i="3"/>
  <c r="F293" i="3"/>
  <c r="H863" i="3"/>
  <c r="G253" i="3"/>
  <c r="F558" i="3"/>
  <c r="E570" i="3"/>
  <c r="H390" i="3"/>
  <c r="G69" i="3"/>
  <c r="F254" i="3"/>
  <c r="E359" i="3"/>
  <c r="H361" i="3"/>
  <c r="G650" i="3"/>
  <c r="F763" i="3"/>
  <c r="E109" i="3"/>
  <c r="G167" i="3"/>
  <c r="E674" i="3"/>
  <c r="G422" i="3"/>
  <c r="D738" i="3"/>
  <c r="H304" i="3"/>
  <c r="G540" i="3"/>
  <c r="E583" i="3"/>
  <c r="H465" i="3"/>
  <c r="F431" i="3"/>
  <c r="F535" i="3"/>
  <c r="D576" i="3"/>
  <c r="E528" i="3"/>
  <c r="F668" i="3"/>
  <c r="G202" i="3"/>
  <c r="E512" i="3"/>
  <c r="G512" i="3"/>
  <c r="G250" i="3"/>
  <c r="D250" i="3"/>
  <c r="D657" i="3"/>
  <c r="F657" i="3"/>
  <c r="F212" i="3"/>
  <c r="H140" i="3"/>
  <c r="H682" i="3"/>
  <c r="H683" i="3"/>
  <c r="F451" i="3"/>
  <c r="H504" i="3"/>
  <c r="F253" i="3"/>
  <c r="H139" i="3"/>
  <c r="F69" i="3"/>
  <c r="K143" i="7" s="1"/>
  <c r="H761" i="3"/>
  <c r="F650" i="3"/>
  <c r="H537" i="3"/>
  <c r="F167" i="3"/>
  <c r="H506" i="3"/>
  <c r="F540" i="3"/>
  <c r="D583" i="3"/>
  <c r="G465" i="3"/>
  <c r="E431" i="3"/>
  <c r="D528" i="3"/>
  <c r="D5" i="3"/>
  <c r="G5" i="3"/>
  <c r="E430" i="3"/>
  <c r="G430" i="3"/>
  <c r="G30" i="3"/>
  <c r="D30" i="3"/>
  <c r="I61" i="7" s="1"/>
  <c r="H669" i="3"/>
  <c r="D313" i="3"/>
  <c r="F313" i="3"/>
  <c r="H627" i="3"/>
  <c r="H216" i="3"/>
  <c r="D216" i="3"/>
  <c r="F216" i="3"/>
  <c r="G216" i="3"/>
  <c r="F636" i="3"/>
  <c r="G636" i="3"/>
  <c r="D636" i="3"/>
  <c r="E636" i="3"/>
  <c r="F302" i="3"/>
  <c r="G302" i="3"/>
  <c r="D302" i="3"/>
  <c r="E302" i="3"/>
  <c r="J182" i="7" s="1"/>
  <c r="H40" i="3"/>
  <c r="E668" i="3"/>
  <c r="G668" i="3"/>
  <c r="E419" i="3"/>
  <c r="J231" i="7" s="1"/>
  <c r="H419" i="3"/>
  <c r="D212" i="3"/>
  <c r="G212" i="3"/>
  <c r="F669" i="3"/>
  <c r="F627" i="3"/>
  <c r="F447" i="3"/>
  <c r="G447" i="3"/>
  <c r="H447" i="3"/>
  <c r="D447" i="3"/>
  <c r="E447" i="3"/>
  <c r="E316" i="3"/>
  <c r="F316" i="3"/>
  <c r="H316" i="3"/>
  <c r="D316" i="3"/>
  <c r="G316" i="3"/>
  <c r="G417" i="3"/>
  <c r="D465" i="3"/>
  <c r="H745" i="3"/>
  <c r="F106" i="3"/>
  <c r="F813" i="3"/>
  <c r="H813" i="3"/>
  <c r="G179" i="3"/>
  <c r="D605" i="3"/>
  <c r="E418" i="3"/>
  <c r="J230" i="7" s="1"/>
  <c r="G418" i="3"/>
  <c r="G262" i="3"/>
  <c r="D262" i="3"/>
  <c r="E437" i="3"/>
  <c r="H857" i="3"/>
  <c r="D209" i="3"/>
  <c r="F209" i="3"/>
  <c r="H197" i="3"/>
  <c r="H534" i="3"/>
  <c r="D669" i="3"/>
  <c r="G138" i="3"/>
  <c r="D138" i="3"/>
  <c r="I27" i="7" s="1"/>
  <c r="E627" i="3"/>
  <c r="H219" i="3"/>
  <c r="D201" i="3"/>
  <c r="F201" i="3"/>
  <c r="F264" i="3"/>
  <c r="H73" i="3"/>
  <c r="D803" i="3"/>
  <c r="F803" i="3"/>
  <c r="G803" i="3"/>
  <c r="F48" i="3"/>
  <c r="F174" i="3"/>
  <c r="E301" i="3"/>
  <c r="G301" i="3"/>
  <c r="H301" i="3"/>
  <c r="F29" i="3"/>
  <c r="H169" i="3"/>
  <c r="E525" i="3"/>
  <c r="F525" i="3"/>
  <c r="E795" i="3"/>
  <c r="G795" i="3"/>
  <c r="H795" i="3"/>
  <c r="D795" i="3"/>
  <c r="F97" i="3"/>
  <c r="K79" i="7" s="1"/>
  <c r="H97" i="3"/>
  <c r="D97" i="3"/>
  <c r="E97" i="3"/>
  <c r="F273" i="3"/>
  <c r="H273" i="3"/>
  <c r="D273" i="3"/>
  <c r="E273" i="3"/>
  <c r="F98" i="3"/>
  <c r="K125" i="7" s="1"/>
  <c r="H98" i="3"/>
  <c r="D98" i="3"/>
  <c r="E98" i="3"/>
  <c r="H388" i="3"/>
  <c r="H409" i="3"/>
  <c r="H562" i="3"/>
  <c r="H440" i="3"/>
  <c r="E344" i="3"/>
  <c r="H680" i="3"/>
  <c r="E591" i="3"/>
  <c r="H112" i="3"/>
  <c r="E588" i="3"/>
  <c r="H249" i="3"/>
  <c r="E679" i="3"/>
  <c r="H235" i="3"/>
  <c r="E267" i="3"/>
  <c r="H817" i="3"/>
  <c r="F172" i="3"/>
  <c r="E685" i="3"/>
  <c r="H626" i="3"/>
  <c r="G169" i="3"/>
  <c r="E256" i="3"/>
  <c r="F792" i="3"/>
  <c r="F82" i="3"/>
  <c r="K77" i="7" s="1"/>
  <c r="E244" i="3"/>
  <c r="H340" i="3"/>
  <c r="F298" i="3"/>
  <c r="H232" i="3"/>
  <c r="E61" i="3"/>
  <c r="G61" i="3"/>
  <c r="H61" i="3"/>
  <c r="D61" i="3"/>
  <c r="I116" i="7" s="1"/>
  <c r="D62" i="3"/>
  <c r="E62" i="3"/>
  <c r="F62" i="3"/>
  <c r="H42" i="3"/>
  <c r="H647" i="3"/>
  <c r="H152" i="3"/>
  <c r="G90" i="3"/>
  <c r="H258" i="3"/>
  <c r="G870" i="3"/>
  <c r="F817" i="3"/>
  <c r="H284" i="3"/>
  <c r="G41" i="3"/>
  <c r="F626" i="3"/>
  <c r="E169" i="3"/>
  <c r="H207" i="3"/>
  <c r="F594" i="3"/>
  <c r="G243" i="3"/>
  <c r="H673" i="3"/>
  <c r="E340" i="3"/>
  <c r="E232" i="3"/>
  <c r="G332" i="3"/>
  <c r="H186" i="3"/>
  <c r="G85" i="3"/>
  <c r="G258" i="3"/>
  <c r="F870" i="3"/>
  <c r="G284" i="3"/>
  <c r="F41" i="3"/>
  <c r="G207" i="3"/>
  <c r="E594" i="3"/>
  <c r="J293" i="7" s="1"/>
  <c r="H693" i="3"/>
  <c r="F243" i="3"/>
  <c r="F673" i="3"/>
  <c r="D340" i="3"/>
  <c r="I94" i="7" s="1"/>
  <c r="D232" i="3"/>
  <c r="G186" i="3"/>
  <c r="E225" i="3"/>
  <c r="J143" i="7" s="1"/>
  <c r="H225" i="3"/>
  <c r="D889" i="3"/>
  <c r="E889" i="3"/>
  <c r="F889" i="3"/>
  <c r="D332" i="3"/>
  <c r="I193" i="7" s="1"/>
  <c r="E332" i="3"/>
  <c r="AD332" i="3" s="1"/>
  <c r="E63" i="3"/>
  <c r="G63" i="3"/>
  <c r="H63" i="3"/>
  <c r="D63" i="3"/>
  <c r="F85" i="3"/>
  <c r="H85" i="3"/>
  <c r="E85" i="3"/>
  <c r="D557" i="3"/>
  <c r="E557" i="3"/>
  <c r="F557" i="3"/>
  <c r="H557" i="3"/>
  <c r="F693" i="3"/>
  <c r="D673" i="3"/>
  <c r="D194" i="3"/>
  <c r="G194" i="3"/>
  <c r="H194" i="3"/>
  <c r="G525" i="3"/>
  <c r="D186" i="3"/>
  <c r="F134" i="3"/>
  <c r="H134" i="3"/>
  <c r="E134" i="3"/>
  <c r="D611" i="3"/>
  <c r="E611" i="3"/>
  <c r="F611" i="3"/>
  <c r="D442" i="3"/>
  <c r="E442" i="3"/>
  <c r="F442" i="3"/>
  <c r="H442" i="3"/>
  <c r="D189" i="3"/>
  <c r="E189" i="3"/>
  <c r="F189" i="3"/>
  <c r="H189" i="3"/>
  <c r="D290" i="3"/>
  <c r="E290" i="3"/>
  <c r="J165" i="7" s="1"/>
  <c r="F290" i="3"/>
  <c r="G290" i="3"/>
  <c r="H290" i="3"/>
  <c r="D367" i="3"/>
  <c r="I151" i="7" s="1"/>
  <c r="E367" i="3"/>
  <c r="J151" i="7" s="1"/>
  <c r="F367" i="3"/>
  <c r="G367" i="3"/>
  <c r="H367" i="3"/>
  <c r="F795" i="3"/>
  <c r="F633" i="3"/>
  <c r="H633" i="3"/>
  <c r="D633" i="3"/>
  <c r="E633" i="3"/>
  <c r="G97" i="3"/>
  <c r="G273" i="3"/>
  <c r="G98" i="3"/>
  <c r="H280" i="3"/>
  <c r="H260" i="3"/>
  <c r="H369" i="3"/>
  <c r="H204" i="3"/>
  <c r="D71" i="3"/>
  <c r="H259" i="3"/>
  <c r="D891" i="3"/>
  <c r="H439" i="3"/>
  <c r="G887" i="3"/>
  <c r="D43" i="3"/>
  <c r="H198" i="3"/>
  <c r="G147" i="3"/>
  <c r="D277" i="3"/>
  <c r="H103" i="3"/>
  <c r="G47" i="3"/>
  <c r="E215" i="3"/>
  <c r="D190" i="3"/>
  <c r="H196" i="3"/>
  <c r="G17" i="3"/>
  <c r="E153" i="3"/>
  <c r="AD153" i="3" s="1"/>
  <c r="D25" i="3"/>
  <c r="H163" i="3"/>
  <c r="G141" i="3"/>
  <c r="E282" i="3"/>
  <c r="D18" i="3"/>
  <c r="H187" i="3"/>
  <c r="G50" i="3"/>
  <c r="E166" i="3"/>
  <c r="D46" i="3"/>
  <c r="I31" i="7" s="1"/>
  <c r="H91" i="3"/>
  <c r="G68" i="3"/>
  <c r="E49" i="3"/>
  <c r="D6" i="3"/>
  <c r="H31" i="3"/>
  <c r="G154" i="3"/>
  <c r="E10" i="3"/>
  <c r="AD10" i="3" s="1"/>
  <c r="H35" i="3"/>
  <c r="G7" i="3"/>
  <c r="D215" i="3"/>
  <c r="D153" i="3"/>
  <c r="H114" i="3"/>
  <c r="D282" i="3"/>
  <c r="H148" i="3"/>
  <c r="D166" i="3"/>
  <c r="H239" i="3"/>
  <c r="D49" i="3"/>
  <c r="H165" i="3"/>
  <c r="G31" i="3"/>
  <c r="F154" i="3"/>
  <c r="D10" i="3"/>
  <c r="H72" i="3"/>
  <c r="G35" i="3"/>
  <c r="F7" i="3"/>
  <c r="K33" i="7" s="1"/>
  <c r="G114" i="3"/>
  <c r="G148" i="3"/>
  <c r="G239" i="3"/>
  <c r="G165" i="3"/>
  <c r="D145" i="3"/>
  <c r="G366" i="3"/>
  <c r="D380" i="3"/>
  <c r="H278" i="3"/>
  <c r="G84" i="3"/>
  <c r="E280" i="3"/>
  <c r="D363" i="3"/>
  <c r="H206" i="3"/>
  <c r="G593" i="3"/>
  <c r="E260" i="3"/>
  <c r="D322" i="3"/>
  <c r="I142" i="7" s="1"/>
  <c r="H257" i="3"/>
  <c r="G199" i="3"/>
  <c r="E369" i="3"/>
  <c r="D400" i="3"/>
  <c r="H247" i="3"/>
  <c r="G101" i="3"/>
  <c r="E204" i="3"/>
  <c r="AE204" i="3" s="1"/>
  <c r="D224" i="3"/>
  <c r="H74" i="3"/>
  <c r="G477" i="3"/>
  <c r="E259" i="3"/>
  <c r="D646" i="3"/>
  <c r="I332" i="7" s="1"/>
  <c r="H26" i="3"/>
  <c r="G461" i="3"/>
  <c r="E439" i="3"/>
  <c r="D887" i="3"/>
  <c r="H126" i="3"/>
  <c r="G162" i="3"/>
  <c r="E198" i="3"/>
  <c r="D147" i="3"/>
  <c r="H886" i="3"/>
  <c r="G200" i="3"/>
  <c r="E103" i="3"/>
  <c r="AE103" i="3" s="1"/>
  <c r="D47" i="3"/>
  <c r="H100" i="3"/>
  <c r="G124" i="3"/>
  <c r="E196" i="3"/>
  <c r="D17" i="3"/>
  <c r="H67" i="3"/>
  <c r="G885" i="3"/>
  <c r="F114" i="3"/>
  <c r="E163" i="3"/>
  <c r="D141" i="3"/>
  <c r="H102" i="3"/>
  <c r="G234" i="3"/>
  <c r="F148" i="3"/>
  <c r="E187" i="3"/>
  <c r="D50" i="3"/>
  <c r="H80" i="3"/>
  <c r="G184" i="3"/>
  <c r="F239" i="3"/>
  <c r="K147" i="7" s="1"/>
  <c r="E91" i="3"/>
  <c r="D68" i="3"/>
  <c r="H104" i="3"/>
  <c r="G33" i="3"/>
  <c r="F165" i="3"/>
  <c r="E31" i="3"/>
  <c r="D154" i="3"/>
  <c r="H14" i="3"/>
  <c r="G27" i="3"/>
  <c r="F72" i="3"/>
  <c r="E35" i="3"/>
  <c r="J18" i="7" s="1"/>
  <c r="D7" i="3"/>
  <c r="G278" i="3"/>
  <c r="G206" i="3"/>
  <c r="G257" i="3"/>
  <c r="G247" i="3"/>
  <c r="H71" i="3"/>
  <c r="G74" i="3"/>
  <c r="H891" i="3"/>
  <c r="G26" i="3"/>
  <c r="H43" i="3"/>
  <c r="G126" i="3"/>
  <c r="H277" i="3"/>
  <c r="G886" i="3"/>
  <c r="H190" i="3"/>
  <c r="G100" i="3"/>
  <c r="H25" i="3"/>
  <c r="G67" i="3"/>
  <c r="E114" i="3"/>
  <c r="H18" i="3"/>
  <c r="G102" i="3"/>
  <c r="E148" i="3"/>
  <c r="H46" i="3"/>
  <c r="G80" i="3"/>
  <c r="E239" i="3"/>
  <c r="H6" i="3"/>
  <c r="G104" i="3"/>
  <c r="E165" i="3"/>
  <c r="E72" i="3"/>
  <c r="F257" i="3"/>
  <c r="F247" i="3"/>
  <c r="G71" i="3"/>
  <c r="F74" i="3"/>
  <c r="G891" i="3"/>
  <c r="F26" i="3"/>
  <c r="G43" i="3"/>
  <c r="F126" i="3"/>
  <c r="K106" i="7" s="1"/>
  <c r="G277" i="3"/>
  <c r="H215" i="3"/>
  <c r="G190" i="3"/>
  <c r="H153" i="3"/>
  <c r="G25" i="3"/>
  <c r="H282" i="3"/>
  <c r="G18" i="3"/>
  <c r="H166" i="3"/>
  <c r="G46" i="3"/>
  <c r="H49" i="3"/>
  <c r="G6" i="3"/>
  <c r="H10" i="3"/>
  <c r="G10" i="3"/>
  <c r="I410" i="3"/>
  <c r="I159" i="3"/>
  <c r="J423" i="3"/>
  <c r="I160" i="3"/>
  <c r="BH302" i="1"/>
  <c r="AY180" i="2"/>
  <c r="BJ253" i="1"/>
  <c r="BA280" i="2"/>
  <c r="BK163" i="1"/>
  <c r="BB165" i="2"/>
  <c r="BK226" i="1"/>
  <c r="BK9" i="1"/>
  <c r="BK392" i="1"/>
  <c r="BI393" i="1"/>
  <c r="BH98" i="1"/>
  <c r="BH140" i="1"/>
  <c r="AY251" i="2"/>
  <c r="BB335" i="2"/>
  <c r="BJ242" i="1"/>
  <c r="BJ275" i="1"/>
  <c r="BI98" i="1"/>
  <c r="BI117" i="1"/>
  <c r="BI161" i="1"/>
  <c r="BI363" i="1"/>
  <c r="BI89" i="1"/>
  <c r="BH19" i="1"/>
  <c r="BI195" i="1"/>
  <c r="BI292" i="1"/>
  <c r="BI382" i="1"/>
  <c r="BI325" i="1"/>
  <c r="BI406" i="1"/>
  <c r="BI323" i="1"/>
  <c r="BI310" i="1"/>
  <c r="AZ412" i="2"/>
  <c r="AY31" i="2"/>
  <c r="AE867" i="3"/>
  <c r="AE651" i="3"/>
  <c r="BJ181" i="1"/>
  <c r="BJ87" i="1"/>
  <c r="BJ202" i="1"/>
  <c r="BJ76" i="1"/>
  <c r="BJ330" i="1"/>
  <c r="BJ103" i="1"/>
  <c r="BJ81" i="1"/>
  <c r="BJ192" i="1"/>
  <c r="BJ227" i="1"/>
  <c r="BJ389" i="1"/>
  <c r="BJ107" i="1"/>
  <c r="BJ350" i="1"/>
  <c r="BJ51" i="1"/>
  <c r="BJ151" i="1"/>
  <c r="BJ435" i="1"/>
  <c r="BJ75" i="1"/>
  <c r="BJ376" i="1"/>
  <c r="BJ176" i="1"/>
  <c r="BJ388" i="1"/>
  <c r="BJ44" i="1"/>
  <c r="BJ172" i="1"/>
  <c r="BJ13" i="1"/>
  <c r="BJ262" i="1"/>
  <c r="BK299" i="1"/>
  <c r="BK221" i="1"/>
  <c r="BB351" i="2"/>
  <c r="BK375" i="1"/>
  <c r="BK434" i="1"/>
  <c r="BK149" i="1"/>
  <c r="BK257" i="1"/>
  <c r="BK379" i="1"/>
  <c r="BK128" i="1"/>
  <c r="BK377" i="1"/>
  <c r="BK265" i="1"/>
  <c r="BK214" i="1"/>
  <c r="BK186" i="1"/>
  <c r="BI37" i="1"/>
  <c r="BI237" i="1"/>
  <c r="AZ393" i="2"/>
  <c r="BI66" i="1"/>
  <c r="AZ354" i="2"/>
  <c r="BJ426" i="1"/>
  <c r="BK11" i="1"/>
  <c r="BK303" i="1"/>
  <c r="BK305" i="1"/>
  <c r="BB35" i="2"/>
  <c r="BK111" i="1"/>
  <c r="BK54" i="1"/>
  <c r="BK210" i="1"/>
  <c r="BB178" i="2"/>
  <c r="BI29" i="1"/>
  <c r="BI301" i="1"/>
  <c r="BI384" i="1"/>
  <c r="BI212" i="1"/>
  <c r="BI291" i="1"/>
  <c r="AZ341" i="2"/>
  <c r="AZ87" i="2"/>
  <c r="BH363" i="1"/>
  <c r="AY332" i="2"/>
  <c r="Y362" i="3"/>
  <c r="BH197" i="1" s="1"/>
  <c r="Y539" i="3"/>
  <c r="BH97" i="1" s="1"/>
  <c r="Y81" i="3"/>
  <c r="Y373" i="3"/>
  <c r="Y393" i="3"/>
  <c r="BH78" i="1" s="1"/>
  <c r="Y58" i="3"/>
  <c r="BH32" i="1" s="1"/>
  <c r="Y656" i="3"/>
  <c r="AY361" i="2" s="1"/>
  <c r="Y77" i="3"/>
  <c r="BH42" i="1" s="1"/>
  <c r="Y646" i="3"/>
  <c r="AY238" i="2" s="1"/>
  <c r="Y237" i="3"/>
  <c r="BH131" i="1" s="1"/>
  <c r="Y314" i="3"/>
  <c r="BH100" i="1" s="1"/>
  <c r="Y611" i="3"/>
  <c r="AY355" i="2" s="1"/>
  <c r="Y783" i="3"/>
  <c r="AY279" i="2" s="1"/>
  <c r="Y245" i="3"/>
  <c r="BH315" i="1" s="1"/>
  <c r="Y825" i="3"/>
  <c r="Y884" i="3"/>
  <c r="AY452" i="2" s="1"/>
  <c r="Y17" i="3"/>
  <c r="AY10" i="2" s="1"/>
  <c r="Y879" i="3"/>
  <c r="BH62" i="1" s="1"/>
  <c r="Y71" i="3"/>
  <c r="BH155" i="1"/>
  <c r="AY200" i="2"/>
  <c r="BH206" i="1"/>
  <c r="AY335" i="2"/>
  <c r="AY163" i="2"/>
  <c r="AY367" i="2"/>
  <c r="Y488" i="3"/>
  <c r="AY445" i="2" s="1"/>
  <c r="Y808" i="3"/>
  <c r="AY415" i="2" s="1"/>
  <c r="Y9" i="3"/>
  <c r="BH5" i="1" s="1"/>
  <c r="Y673" i="3"/>
  <c r="BH294" i="1" s="1"/>
  <c r="Y193" i="3"/>
  <c r="Y604" i="3"/>
  <c r="AY75" i="2" s="1"/>
  <c r="Y735" i="3"/>
  <c r="AY246" i="2" s="1"/>
  <c r="Y233" i="3"/>
  <c r="AY131" i="2" s="1"/>
  <c r="Y297" i="3"/>
  <c r="BH313" i="1" s="1"/>
  <c r="Y125" i="3"/>
  <c r="AY195" i="2" s="1"/>
  <c r="Y246" i="3"/>
  <c r="AY113" i="2" s="1"/>
  <c r="Y374" i="3"/>
  <c r="AY181" i="2" s="1"/>
  <c r="Y172" i="3"/>
  <c r="AY100" i="2" s="1"/>
  <c r="Y350" i="3"/>
  <c r="BH145" i="1" s="1"/>
  <c r="Y564" i="3"/>
  <c r="AY421" i="2" s="1"/>
  <c r="Y791" i="3"/>
  <c r="AY383" i="2" s="1"/>
  <c r="Y323" i="3"/>
  <c r="AY114" i="2" s="1"/>
  <c r="V794" i="3"/>
  <c r="U794" i="3"/>
  <c r="V807" i="3"/>
  <c r="U807" i="3"/>
  <c r="V736" i="3"/>
  <c r="U736" i="3"/>
  <c r="V375" i="3"/>
  <c r="U375" i="3"/>
  <c r="V79" i="3"/>
  <c r="U79" i="3"/>
  <c r="V277" i="3"/>
  <c r="U277" i="3"/>
  <c r="V764" i="3"/>
  <c r="U764" i="3"/>
  <c r="V641" i="3"/>
  <c r="U641" i="3"/>
  <c r="V881" i="3"/>
  <c r="U881" i="3"/>
  <c r="V68" i="3"/>
  <c r="U68" i="3"/>
  <c r="V380" i="3"/>
  <c r="U380" i="3"/>
  <c r="V120" i="3"/>
  <c r="U120" i="3"/>
  <c r="G368" i="3"/>
  <c r="V368" i="3"/>
  <c r="U368" i="3"/>
  <c r="V432" i="3"/>
  <c r="U432" i="3"/>
  <c r="V796" i="3"/>
  <c r="U796" i="3"/>
  <c r="V419" i="3"/>
  <c r="U419" i="3"/>
  <c r="V438" i="3"/>
  <c r="U438" i="3"/>
  <c r="V683" i="3"/>
  <c r="U683" i="3"/>
  <c r="V104" i="3"/>
  <c r="U104" i="3"/>
  <c r="V418" i="3"/>
  <c r="U418" i="3"/>
  <c r="V237" i="3"/>
  <c r="U237" i="3"/>
  <c r="V83" i="3"/>
  <c r="U83" i="3"/>
  <c r="V779" i="3"/>
  <c r="U779" i="3"/>
  <c r="V109" i="3"/>
  <c r="U109" i="3"/>
  <c r="V238" i="3"/>
  <c r="U238" i="3"/>
  <c r="V177" i="3"/>
  <c r="U177" i="3"/>
  <c r="V460" i="3"/>
  <c r="U460" i="3"/>
  <c r="V695" i="3"/>
  <c r="U695" i="3"/>
  <c r="G725" i="3"/>
  <c r="V725" i="3"/>
  <c r="U725" i="3"/>
  <c r="V619" i="3"/>
  <c r="U619" i="3"/>
  <c r="G822" i="3"/>
  <c r="V822" i="3"/>
  <c r="U822" i="3"/>
  <c r="V416" i="3"/>
  <c r="U416" i="3"/>
  <c r="V107" i="3"/>
  <c r="U107" i="3"/>
  <c r="V825" i="3"/>
  <c r="U825" i="3"/>
  <c r="V622" i="3"/>
  <c r="U622" i="3"/>
  <c r="V852" i="3"/>
  <c r="U852" i="3"/>
  <c r="V216" i="3"/>
  <c r="U216" i="3"/>
  <c r="V568" i="3"/>
  <c r="U568" i="3"/>
  <c r="V854" i="3"/>
  <c r="U854" i="3"/>
  <c r="V787" i="3"/>
  <c r="U787" i="3"/>
  <c r="G719" i="3"/>
  <c r="V719" i="3"/>
  <c r="U719" i="3"/>
  <c r="G592" i="3"/>
  <c r="V592" i="3"/>
  <c r="U592" i="3"/>
  <c r="V378" i="3"/>
  <c r="U378" i="3"/>
  <c r="V805" i="3"/>
  <c r="U805" i="3"/>
  <c r="V470" i="3"/>
  <c r="U470" i="3"/>
  <c r="V352" i="3"/>
  <c r="U352" i="3"/>
  <c r="V884" i="3"/>
  <c r="U884" i="3"/>
  <c r="V734" i="3"/>
  <c r="U734" i="3"/>
  <c r="V286" i="3"/>
  <c r="U286" i="3"/>
  <c r="V396" i="3"/>
  <c r="U396" i="3"/>
  <c r="V194" i="3"/>
  <c r="U194" i="3"/>
  <c r="V355" i="3"/>
  <c r="U355" i="3"/>
  <c r="V612" i="3"/>
  <c r="U612" i="3"/>
  <c r="V502" i="3"/>
  <c r="U502" i="3"/>
  <c r="V812" i="3"/>
  <c r="U812" i="3"/>
  <c r="V857" i="3"/>
  <c r="U857" i="3"/>
  <c r="V320" i="3"/>
  <c r="U320" i="3"/>
  <c r="V685" i="3"/>
  <c r="U685" i="3"/>
  <c r="V851" i="3"/>
  <c r="U851" i="3"/>
  <c r="V658" i="3"/>
  <c r="U658" i="3"/>
  <c r="V345" i="3"/>
  <c r="U345" i="3"/>
  <c r="V113" i="3"/>
  <c r="U113" i="3"/>
  <c r="V662" i="3"/>
  <c r="U662" i="3"/>
  <c r="V700" i="3"/>
  <c r="U700" i="3"/>
  <c r="U65" i="3"/>
  <c r="V65" i="3"/>
  <c r="V415" i="3"/>
  <c r="U415" i="3"/>
  <c r="V724" i="3"/>
  <c r="U724" i="3"/>
  <c r="G800" i="3"/>
  <c r="V800" i="3"/>
  <c r="U800" i="3"/>
  <c r="V547" i="3"/>
  <c r="U547" i="3"/>
  <c r="V708" i="3"/>
  <c r="U708" i="3"/>
  <c r="V483" i="3"/>
  <c r="U483" i="3"/>
  <c r="V469" i="3"/>
  <c r="U469" i="3"/>
  <c r="V842" i="3"/>
  <c r="U842" i="3"/>
  <c r="V771" i="3"/>
  <c r="U771" i="3"/>
  <c r="V701" i="3"/>
  <c r="U701" i="3"/>
  <c r="V606" i="3"/>
  <c r="U606" i="3"/>
  <c r="V73" i="3"/>
  <c r="U73" i="3"/>
  <c r="V132" i="3"/>
  <c r="U132" i="3"/>
  <c r="G847" i="3"/>
  <c r="V847" i="3"/>
  <c r="U847" i="3"/>
  <c r="V361" i="3"/>
  <c r="U361" i="3"/>
  <c r="V815" i="3"/>
  <c r="U815" i="3"/>
  <c r="V376" i="3"/>
  <c r="U376" i="3"/>
  <c r="V868" i="3"/>
  <c r="U868" i="3"/>
  <c r="V775" i="3"/>
  <c r="U775" i="3"/>
  <c r="V221" i="3"/>
  <c r="U221" i="3"/>
  <c r="V491" i="3"/>
  <c r="U491" i="3"/>
  <c r="V638" i="3"/>
  <c r="U638" i="3"/>
  <c r="V36" i="3"/>
  <c r="U36" i="3"/>
  <c r="V883" i="3"/>
  <c r="U883" i="3"/>
  <c r="V746" i="3"/>
  <c r="U746" i="3"/>
  <c r="V810" i="3"/>
  <c r="U810" i="3"/>
  <c r="V161" i="3"/>
  <c r="U161" i="3"/>
  <c r="V403" i="3"/>
  <c r="U403" i="3"/>
  <c r="V616" i="3"/>
  <c r="U616" i="3"/>
  <c r="V35" i="3"/>
  <c r="U35" i="3"/>
  <c r="V697" i="3"/>
  <c r="U697" i="3"/>
  <c r="V872" i="3"/>
  <c r="U872" i="3"/>
  <c r="V826" i="3"/>
  <c r="U826" i="3"/>
  <c r="V44" i="3"/>
  <c r="U44" i="3"/>
  <c r="V748" i="3"/>
  <c r="U748" i="3"/>
  <c r="V389" i="3"/>
  <c r="U389" i="3"/>
  <c r="V614" i="3"/>
  <c r="U614" i="3"/>
  <c r="V501" i="3"/>
  <c r="U501" i="3"/>
  <c r="G436" i="3"/>
  <c r="V436" i="3"/>
  <c r="U436" i="3"/>
  <c r="V595" i="3"/>
  <c r="U595" i="3"/>
  <c r="V461" i="3"/>
  <c r="U461" i="3"/>
  <c r="V343" i="3"/>
  <c r="U343" i="3"/>
  <c r="V537" i="3"/>
  <c r="U537" i="3"/>
  <c r="V190" i="3"/>
  <c r="U190" i="3"/>
  <c r="V530" i="3"/>
  <c r="U530" i="3"/>
  <c r="V235" i="3"/>
  <c r="U235" i="3"/>
  <c r="V848" i="3"/>
  <c r="U848" i="3"/>
  <c r="V429" i="3"/>
  <c r="U429" i="3"/>
  <c r="V740" i="3"/>
  <c r="U740" i="3"/>
  <c r="V864" i="3"/>
  <c r="U864" i="3"/>
  <c r="V865" i="3"/>
  <c r="U865" i="3"/>
  <c r="V34" i="3"/>
  <c r="U34" i="3"/>
  <c r="V90" i="3"/>
  <c r="U90" i="3"/>
  <c r="V5" i="3"/>
  <c r="U5" i="3"/>
  <c r="V56" i="3"/>
  <c r="U56" i="3"/>
  <c r="V273" i="3"/>
  <c r="U273" i="3"/>
  <c r="V577" i="3"/>
  <c r="U577" i="3"/>
  <c r="V569" i="3"/>
  <c r="U569" i="3"/>
  <c r="V41" i="3"/>
  <c r="U41" i="3"/>
  <c r="V269" i="3"/>
  <c r="U269" i="3"/>
  <c r="V119" i="3"/>
  <c r="U119" i="3"/>
  <c r="V218" i="3"/>
  <c r="U218" i="3"/>
  <c r="V783" i="3"/>
  <c r="U783" i="3"/>
  <c r="V253" i="3"/>
  <c r="U253" i="3"/>
  <c r="V525" i="3"/>
  <c r="U525" i="3"/>
  <c r="V357" i="3"/>
  <c r="U357" i="3"/>
  <c r="V873" i="3"/>
  <c r="U873" i="3"/>
  <c r="V47" i="3"/>
  <c r="U47" i="3"/>
  <c r="V349" i="3"/>
  <c r="U349" i="3"/>
  <c r="V366" i="3"/>
  <c r="U366" i="3"/>
  <c r="V426" i="3"/>
  <c r="U426" i="3"/>
  <c r="V222" i="3"/>
  <c r="U222" i="3"/>
  <c r="V337" i="3"/>
  <c r="U337" i="3"/>
  <c r="V828" i="3"/>
  <c r="U828" i="3"/>
  <c r="V240" i="3"/>
  <c r="U240" i="3"/>
  <c r="V365" i="3"/>
  <c r="U365" i="3"/>
  <c r="V538" i="3"/>
  <c r="U538" i="3"/>
  <c r="G458" i="3"/>
  <c r="V458" i="3"/>
  <c r="U458" i="3"/>
  <c r="V799" i="3"/>
  <c r="U799" i="3"/>
  <c r="V820" i="3"/>
  <c r="U820" i="3"/>
  <c r="V773" i="3"/>
  <c r="U773" i="3"/>
  <c r="G716" i="3"/>
  <c r="V716" i="3"/>
  <c r="U716" i="3"/>
  <c r="V691" i="3"/>
  <c r="U691" i="3"/>
  <c r="V645" i="3"/>
  <c r="U645" i="3"/>
  <c r="V574" i="3"/>
  <c r="U574" i="3"/>
  <c r="V550" i="3"/>
  <c r="U550" i="3"/>
  <c r="V498" i="3"/>
  <c r="U498" i="3"/>
  <c r="V435" i="3"/>
  <c r="U435" i="3"/>
  <c r="G521" i="3"/>
  <c r="V521" i="3"/>
  <c r="U521" i="3"/>
  <c r="V397" i="3"/>
  <c r="U397" i="3"/>
  <c r="V404" i="3"/>
  <c r="U404" i="3"/>
  <c r="V560" i="3"/>
  <c r="U560" i="3"/>
  <c r="V243" i="3"/>
  <c r="U243" i="3"/>
  <c r="V590" i="3"/>
  <c r="U590" i="3"/>
  <c r="V578" i="3"/>
  <c r="U578" i="3"/>
  <c r="V344" i="3"/>
  <c r="U344" i="3"/>
  <c r="V126" i="3"/>
  <c r="U126" i="3"/>
  <c r="V275" i="3"/>
  <c r="U275" i="3"/>
  <c r="V151" i="3"/>
  <c r="U151" i="3"/>
  <c r="V24" i="3"/>
  <c r="U24" i="3"/>
  <c r="V492" i="3"/>
  <c r="U492" i="3"/>
  <c r="V759" i="3"/>
  <c r="U759" i="3"/>
  <c r="V265" i="3"/>
  <c r="U265" i="3"/>
  <c r="V91" i="3"/>
  <c r="U91" i="3"/>
  <c r="V117" i="3"/>
  <c r="U117" i="3"/>
  <c r="V242" i="3"/>
  <c r="U242" i="3"/>
  <c r="V772" i="3"/>
  <c r="U772" i="3"/>
  <c r="V817" i="3"/>
  <c r="U817" i="3"/>
  <c r="V116" i="3"/>
  <c r="U116" i="3"/>
  <c r="V667" i="3"/>
  <c r="U667" i="3"/>
  <c r="V668" i="3"/>
  <c r="U668" i="3"/>
  <c r="V97" i="3"/>
  <c r="U97" i="3"/>
  <c r="V665" i="3"/>
  <c r="U665" i="3"/>
  <c r="V462" i="3"/>
  <c r="U462" i="3"/>
  <c r="V52" i="3"/>
  <c r="U52" i="3"/>
  <c r="V167" i="3"/>
  <c r="U167" i="3"/>
  <c r="V173" i="3"/>
  <c r="U173" i="3"/>
  <c r="V778" i="3"/>
  <c r="U778" i="3"/>
  <c r="V632" i="3"/>
  <c r="U632" i="3"/>
  <c r="V393" i="3"/>
  <c r="U393" i="3"/>
  <c r="V770" i="3"/>
  <c r="U770" i="3"/>
  <c r="V731" i="3"/>
  <c r="U731" i="3"/>
  <c r="V733" i="3"/>
  <c r="U733" i="3"/>
  <c r="V520" i="3"/>
  <c r="U520" i="3"/>
  <c r="V33" i="3"/>
  <c r="U33" i="3"/>
  <c r="V567" i="3"/>
  <c r="U567" i="3"/>
  <c r="V54" i="3"/>
  <c r="U54" i="3"/>
  <c r="V77" i="3"/>
  <c r="U77" i="3"/>
  <c r="V289" i="3"/>
  <c r="U289" i="3"/>
  <c r="V811" i="3"/>
  <c r="U811" i="3"/>
  <c r="V621" i="3"/>
  <c r="U621" i="3"/>
  <c r="BJ6" i="1"/>
  <c r="BB91" i="2"/>
  <c r="BB240" i="2"/>
  <c r="BB296" i="2"/>
  <c r="BB309" i="2"/>
  <c r="BB60" i="2"/>
  <c r="AZ239" i="2"/>
  <c r="AZ353" i="2"/>
  <c r="AZ308" i="2"/>
  <c r="AZ54" i="2"/>
  <c r="AY142" i="2"/>
  <c r="V637" i="3"/>
  <c r="U637" i="3"/>
  <c r="G587" i="3"/>
  <c r="V587" i="3"/>
  <c r="U587" i="3"/>
  <c r="V75" i="3"/>
  <c r="U75" i="3"/>
  <c r="V821" i="3"/>
  <c r="U821" i="3"/>
  <c r="V175" i="3"/>
  <c r="U175" i="3"/>
  <c r="V169" i="3"/>
  <c r="U169" i="3"/>
  <c r="V738" i="3"/>
  <c r="U738" i="3"/>
  <c r="V793" i="3"/>
  <c r="U793" i="3"/>
  <c r="V711" i="3"/>
  <c r="U711" i="3"/>
  <c r="V336" i="3"/>
  <c r="U336" i="3"/>
  <c r="V442" i="3"/>
  <c r="U442" i="3"/>
  <c r="V743" i="3"/>
  <c r="U743" i="3"/>
  <c r="V201" i="3"/>
  <c r="U201" i="3"/>
  <c r="V164" i="3"/>
  <c r="U164" i="3"/>
  <c r="V55" i="3"/>
  <c r="U55" i="3"/>
  <c r="V19" i="3"/>
  <c r="U19" i="3"/>
  <c r="V861" i="3"/>
  <c r="U861" i="3"/>
  <c r="V490" i="3"/>
  <c r="U490" i="3"/>
  <c r="V292" i="3"/>
  <c r="U292" i="3"/>
  <c r="V886" i="3"/>
  <c r="U886" i="3"/>
  <c r="V405" i="3"/>
  <c r="U405" i="3"/>
  <c r="V413" i="3"/>
  <c r="U413" i="3"/>
  <c r="V463" i="3"/>
  <c r="U463" i="3"/>
  <c r="V837" i="3"/>
  <c r="U837" i="3"/>
  <c r="V428" i="3"/>
  <c r="U428" i="3"/>
  <c r="V195" i="3"/>
  <c r="U195" i="3"/>
  <c r="V144" i="3"/>
  <c r="U144" i="3"/>
  <c r="V589" i="3"/>
  <c r="U589" i="3"/>
  <c r="V223" i="3"/>
  <c r="U223" i="3"/>
  <c r="V649" i="3"/>
  <c r="U649" i="3"/>
  <c r="V505" i="3"/>
  <c r="U505" i="3"/>
  <c r="V406" i="3"/>
  <c r="U406" i="3"/>
  <c r="V272" i="3"/>
  <c r="U272" i="3"/>
  <c r="V715" i="3"/>
  <c r="U715" i="3"/>
  <c r="V608" i="3"/>
  <c r="U608" i="3"/>
  <c r="V400" i="3"/>
  <c r="U400" i="3"/>
  <c r="V226" i="3"/>
  <c r="U226" i="3"/>
  <c r="V615" i="3"/>
  <c r="U615" i="3"/>
  <c r="V836" i="3"/>
  <c r="U836" i="3"/>
  <c r="V766" i="3"/>
  <c r="U766" i="3"/>
  <c r="V741" i="3"/>
  <c r="U741" i="3"/>
  <c r="V704" i="3"/>
  <c r="U704" i="3"/>
  <c r="V690" i="3"/>
  <c r="U690" i="3"/>
  <c r="V124" i="3"/>
  <c r="U124" i="3"/>
  <c r="V602" i="3"/>
  <c r="U602" i="3"/>
  <c r="V575" i="3"/>
  <c r="U575" i="3"/>
  <c r="V475" i="3"/>
  <c r="U475" i="3"/>
  <c r="V434" i="3"/>
  <c r="U434" i="3"/>
  <c r="V823" i="3"/>
  <c r="U823" i="3"/>
  <c r="V180" i="3"/>
  <c r="U180" i="3"/>
  <c r="V371" i="3"/>
  <c r="U371" i="3"/>
  <c r="V351" i="3"/>
  <c r="U351" i="3"/>
  <c r="V369" i="3"/>
  <c r="U369" i="3"/>
  <c r="V705" i="3"/>
  <c r="U705" i="3"/>
  <c r="V529" i="3"/>
  <c r="U529" i="3"/>
  <c r="V42" i="3"/>
  <c r="U42" i="3"/>
  <c r="V188" i="3"/>
  <c r="U188" i="3"/>
  <c r="V291" i="3"/>
  <c r="U291" i="3"/>
  <c r="V334" i="3"/>
  <c r="U334" i="3"/>
  <c r="V728" i="3"/>
  <c r="U728" i="3"/>
  <c r="V152" i="3"/>
  <c r="U152" i="3"/>
  <c r="V206" i="3"/>
  <c r="U206" i="3"/>
  <c r="V251" i="3"/>
  <c r="U251" i="3"/>
  <c r="V327" i="3"/>
  <c r="U327" i="3"/>
  <c r="V256" i="3"/>
  <c r="U256" i="3"/>
  <c r="V32" i="3"/>
  <c r="U32" i="3"/>
  <c r="V835" i="3"/>
  <c r="U835" i="3"/>
  <c r="V422" i="3"/>
  <c r="U422" i="3"/>
  <c r="V891" i="3"/>
  <c r="U891" i="3"/>
  <c r="V482" i="3"/>
  <c r="U482" i="3"/>
  <c r="V315" i="3"/>
  <c r="U315" i="3"/>
  <c r="V185" i="3"/>
  <c r="U185" i="3"/>
  <c r="G709" i="3"/>
  <c r="V709" i="3"/>
  <c r="U709" i="3"/>
  <c r="V617" i="3"/>
  <c r="U617" i="3"/>
  <c r="V702" i="3"/>
  <c r="U702" i="3"/>
  <c r="V535" i="3"/>
  <c r="U535" i="3"/>
  <c r="V718" i="3"/>
  <c r="U718" i="3"/>
  <c r="V130" i="3"/>
  <c r="U130" i="3"/>
  <c r="V285" i="3"/>
  <c r="U285" i="3"/>
  <c r="V628" i="3"/>
  <c r="U628" i="3"/>
  <c r="V509" i="3"/>
  <c r="U509" i="3"/>
  <c r="V367" i="3"/>
  <c r="U367" i="3"/>
  <c r="V720" i="3"/>
  <c r="U720" i="3"/>
  <c r="V650" i="3"/>
  <c r="U650" i="3"/>
  <c r="V141" i="3"/>
  <c r="U141" i="3"/>
  <c r="V99" i="3"/>
  <c r="U99" i="3"/>
  <c r="V653" i="3"/>
  <c r="U653" i="3"/>
  <c r="BA279" i="2"/>
  <c r="BJ37" i="1"/>
  <c r="BJ237" i="1"/>
  <c r="BB385" i="2"/>
  <c r="BI157" i="1"/>
  <c r="BI103" i="1"/>
  <c r="BI81" i="1"/>
  <c r="BI349" i="1"/>
  <c r="BI101" i="1"/>
  <c r="AZ320" i="2"/>
  <c r="AZ86" i="2"/>
  <c r="BH314" i="1"/>
  <c r="BH322" i="1"/>
  <c r="BH9" i="1"/>
  <c r="AY121" i="2"/>
  <c r="AY300" i="2"/>
  <c r="BH340" i="1"/>
  <c r="AY237" i="2"/>
  <c r="AY278" i="2"/>
  <c r="AY310" i="2"/>
  <c r="BH254" i="1"/>
  <c r="AY138" i="2"/>
  <c r="V203" i="3"/>
  <c r="U203" i="3"/>
  <c r="V754" i="3"/>
  <c r="U754" i="3"/>
  <c r="V809" i="3"/>
  <c r="U809" i="3"/>
  <c r="V87" i="3"/>
  <c r="U87" i="3"/>
  <c r="V774" i="3"/>
  <c r="U774" i="3"/>
  <c r="V377" i="3"/>
  <c r="U377" i="3"/>
  <c r="V86" i="3"/>
  <c r="U86" i="3"/>
  <c r="V454" i="3"/>
  <c r="U454" i="3"/>
  <c r="G644" i="3"/>
  <c r="V644" i="3"/>
  <c r="U644" i="3"/>
  <c r="V555" i="3"/>
  <c r="U555" i="3"/>
  <c r="V401" i="3"/>
  <c r="U401" i="3"/>
  <c r="V663" i="3"/>
  <c r="U663" i="3"/>
  <c r="V57" i="3"/>
  <c r="U57" i="3"/>
  <c r="V675" i="3"/>
  <c r="U675" i="3"/>
  <c r="V831" i="3"/>
  <c r="U831" i="3"/>
  <c r="V39" i="3"/>
  <c r="U39" i="3"/>
  <c r="V200" i="3"/>
  <c r="U200" i="3"/>
  <c r="V214" i="3"/>
  <c r="U214" i="3"/>
  <c r="V383" i="3"/>
  <c r="U383" i="3"/>
  <c r="V12" i="3"/>
  <c r="U12" i="3"/>
  <c r="V692" i="3"/>
  <c r="U692" i="3"/>
  <c r="V89" i="3"/>
  <c r="U89" i="3"/>
  <c r="V565" i="3"/>
  <c r="U565" i="3"/>
  <c r="V533" i="3"/>
  <c r="U533" i="3"/>
  <c r="V472" i="3"/>
  <c r="U472" i="3"/>
  <c r="V339" i="3"/>
  <c r="U339" i="3"/>
  <c r="V70" i="3"/>
  <c r="U70" i="3"/>
  <c r="V202" i="3"/>
  <c r="U202" i="3"/>
  <c r="V782" i="3"/>
  <c r="U782" i="3"/>
  <c r="V248" i="3"/>
  <c r="U248" i="3"/>
  <c r="V652" i="3"/>
  <c r="U652" i="3"/>
  <c r="V635" i="3"/>
  <c r="U635" i="3"/>
  <c r="V554" i="3"/>
  <c r="U554" i="3"/>
  <c r="V484" i="3"/>
  <c r="U484" i="3"/>
  <c r="V845" i="3"/>
  <c r="U845" i="3"/>
  <c r="V797" i="3"/>
  <c r="U797" i="3"/>
  <c r="V784" i="3"/>
  <c r="U784" i="3"/>
  <c r="V737" i="3"/>
  <c r="U737" i="3"/>
  <c r="V699" i="3"/>
  <c r="U699" i="3"/>
  <c r="V634" i="3"/>
  <c r="U634" i="3"/>
  <c r="V333" i="3"/>
  <c r="U333" i="3"/>
  <c r="V599" i="3"/>
  <c r="U599" i="3"/>
  <c r="G582" i="3"/>
  <c r="V582" i="3"/>
  <c r="U582" i="3"/>
  <c r="V468" i="3"/>
  <c r="U468" i="3"/>
  <c r="V433" i="3"/>
  <c r="U433" i="3"/>
  <c r="V283" i="3"/>
  <c r="U283" i="3"/>
  <c r="V789" i="3"/>
  <c r="U789" i="3"/>
  <c r="V395" i="3"/>
  <c r="U395" i="3"/>
  <c r="V548" i="3"/>
  <c r="U548" i="3"/>
  <c r="V477" i="3"/>
  <c r="U477" i="3"/>
  <c r="V43" i="3"/>
  <c r="U43" i="3"/>
  <c r="V319" i="3"/>
  <c r="U319" i="3"/>
  <c r="V363" i="3"/>
  <c r="U363" i="3"/>
  <c r="V305" i="3"/>
  <c r="U305" i="3"/>
  <c r="V76" i="3"/>
  <c r="U76" i="3"/>
  <c r="V385" i="3"/>
  <c r="U385" i="3"/>
  <c r="V186" i="3"/>
  <c r="U186" i="3"/>
  <c r="V786" i="3"/>
  <c r="U786" i="3"/>
  <c r="V408" i="3"/>
  <c r="U408" i="3"/>
  <c r="V191" i="3"/>
  <c r="U191" i="3"/>
  <c r="V257" i="3"/>
  <c r="U257" i="3"/>
  <c r="V687" i="3"/>
  <c r="U687" i="3"/>
  <c r="V391" i="3"/>
  <c r="U391" i="3"/>
  <c r="V688" i="3"/>
  <c r="U688" i="3"/>
  <c r="V162" i="3"/>
  <c r="U162" i="3"/>
  <c r="V136" i="3"/>
  <c r="U136" i="3"/>
  <c r="V627" i="3"/>
  <c r="U627" i="3"/>
  <c r="V50" i="3"/>
  <c r="U50" i="3"/>
  <c r="V11" i="3"/>
  <c r="U11" i="3"/>
  <c r="V689" i="3"/>
  <c r="U689" i="3"/>
  <c r="V209" i="3"/>
  <c r="U209" i="3"/>
  <c r="V115" i="3"/>
  <c r="U115" i="3"/>
  <c r="V674" i="3"/>
  <c r="U674" i="3"/>
  <c r="V863" i="3"/>
  <c r="U863" i="3"/>
  <c r="V629" i="3"/>
  <c r="U629" i="3"/>
  <c r="V813" i="3"/>
  <c r="U813" i="3"/>
  <c r="V17" i="3"/>
  <c r="U17" i="3"/>
  <c r="V69" i="3"/>
  <c r="U69" i="3"/>
  <c r="V722" i="3"/>
  <c r="U722" i="3"/>
  <c r="V526" i="3"/>
  <c r="U526" i="3"/>
  <c r="V118" i="3"/>
  <c r="U118" i="3"/>
  <c r="V341" i="3"/>
  <c r="U341" i="3"/>
  <c r="V758" i="3"/>
  <c r="U758" i="3"/>
  <c r="V445" i="3"/>
  <c r="U445" i="3"/>
  <c r="V703" i="3"/>
  <c r="U703" i="3"/>
  <c r="BJ384" i="1"/>
  <c r="BJ197" i="1"/>
  <c r="BJ20" i="1"/>
  <c r="BJ204" i="1"/>
  <c r="BA366" i="2"/>
  <c r="BJ381" i="1"/>
  <c r="BA309" i="2"/>
  <c r="BB239" i="2"/>
  <c r="BB347" i="2"/>
  <c r="BK339" i="1"/>
  <c r="BB353" i="2"/>
  <c r="BB311" i="2"/>
  <c r="BB209" i="2"/>
  <c r="BK340" i="1"/>
  <c r="BK405" i="1"/>
  <c r="BB428" i="2"/>
  <c r="BB316" i="2"/>
  <c r="BB125" i="2"/>
  <c r="BK241" i="1"/>
  <c r="BK162" i="1"/>
  <c r="BB163" i="2"/>
  <c r="AZ275" i="2"/>
  <c r="BI424" i="1"/>
  <c r="AZ345" i="2"/>
  <c r="AZ426" i="2"/>
  <c r="BH337" i="1"/>
  <c r="AY151" i="2"/>
  <c r="AY455" i="2"/>
  <c r="AY375" i="2"/>
  <c r="V777" i="3"/>
  <c r="U777" i="3"/>
  <c r="V696" i="3"/>
  <c r="U696" i="3"/>
  <c r="V220" i="3"/>
  <c r="U220" i="3"/>
  <c r="V785" i="3"/>
  <c r="U785" i="3"/>
  <c r="V761" i="3"/>
  <c r="U761" i="3"/>
  <c r="V726" i="3"/>
  <c r="U726" i="3"/>
  <c r="V84" i="3"/>
  <c r="U84" i="3"/>
  <c r="V639" i="3"/>
  <c r="U639" i="3"/>
  <c r="G373" i="3"/>
  <c r="V373" i="3"/>
  <c r="U373" i="3"/>
  <c r="V516" i="3"/>
  <c r="U516" i="3"/>
  <c r="V321" i="3"/>
  <c r="U321" i="3"/>
  <c r="V414" i="3"/>
  <c r="U414" i="3"/>
  <c r="V386" i="3"/>
  <c r="U386" i="3"/>
  <c r="V263" i="3"/>
  <c r="U263" i="3"/>
  <c r="V370" i="3"/>
  <c r="U370" i="3"/>
  <c r="V166" i="3"/>
  <c r="U166" i="3"/>
  <c r="V493" i="3"/>
  <c r="U493" i="3"/>
  <c r="V802" i="3"/>
  <c r="U802" i="3"/>
  <c r="V102" i="3"/>
  <c r="U102" i="3"/>
  <c r="V457" i="3"/>
  <c r="U457" i="3"/>
  <c r="V756" i="3"/>
  <c r="U756" i="3"/>
  <c r="V140" i="3"/>
  <c r="U140" i="3"/>
  <c r="V168" i="3"/>
  <c r="U168" i="3"/>
  <c r="V790" i="3"/>
  <c r="U790" i="3"/>
  <c r="V579" i="3"/>
  <c r="U579" i="3"/>
  <c r="V231" i="3"/>
  <c r="U231" i="3"/>
  <c r="V580" i="3"/>
  <c r="U580" i="3"/>
  <c r="V236" i="3"/>
  <c r="U236" i="3"/>
  <c r="V583" i="3"/>
  <c r="U583" i="3"/>
  <c r="V96" i="3"/>
  <c r="U96" i="3"/>
  <c r="V572" i="3"/>
  <c r="U572" i="3"/>
  <c r="V679" i="3"/>
  <c r="U679" i="3"/>
  <c r="V14" i="3"/>
  <c r="U14" i="3"/>
  <c r="V875" i="3"/>
  <c r="U875" i="3"/>
  <c r="V311" i="3"/>
  <c r="U311" i="3"/>
  <c r="V123" i="3"/>
  <c r="U123" i="3"/>
  <c r="V249" i="3"/>
  <c r="U249" i="3"/>
  <c r="V670" i="3"/>
  <c r="U670" i="3"/>
  <c r="V656" i="3"/>
  <c r="U656" i="3"/>
  <c r="V170" i="3"/>
  <c r="U170" i="3"/>
  <c r="V776" i="3"/>
  <c r="U776" i="3"/>
  <c r="V106" i="3"/>
  <c r="U106" i="3"/>
  <c r="V372" i="3"/>
  <c r="U372" i="3"/>
  <c r="V804" i="3"/>
  <c r="U804" i="3"/>
  <c r="V205" i="3"/>
  <c r="U205" i="3"/>
  <c r="V611" i="3"/>
  <c r="U611" i="3"/>
  <c r="V795" i="3"/>
  <c r="U795" i="3"/>
  <c r="V25" i="3"/>
  <c r="U25" i="3"/>
  <c r="V154" i="3"/>
  <c r="U154" i="3"/>
  <c r="V245" i="3"/>
  <c r="U245" i="3"/>
  <c r="V513" i="3"/>
  <c r="U513" i="3"/>
  <c r="V105" i="3"/>
  <c r="U105" i="3"/>
  <c r="V330" i="3"/>
  <c r="U330" i="3"/>
  <c r="V545" i="3"/>
  <c r="U545" i="3"/>
  <c r="V359" i="3"/>
  <c r="U359" i="3"/>
  <c r="V512" i="3"/>
  <c r="U512" i="3"/>
  <c r="V830" i="3"/>
  <c r="U830" i="3"/>
  <c r="V834" i="3"/>
  <c r="U834" i="3"/>
  <c r="BA409" i="2"/>
  <c r="BJ193" i="1"/>
  <c r="BA266" i="2"/>
  <c r="BJ312" i="1"/>
  <c r="BK151" i="1"/>
  <c r="V856" i="3"/>
  <c r="U856" i="3"/>
  <c r="V255" i="3"/>
  <c r="U255" i="3"/>
  <c r="V446" i="3"/>
  <c r="U446" i="3"/>
  <c r="V208" i="3"/>
  <c r="U208" i="3"/>
  <c r="V581" i="3"/>
  <c r="U581" i="3"/>
  <c r="V723" i="3"/>
  <c r="U723" i="3"/>
  <c r="V648" i="3"/>
  <c r="U648" i="3"/>
  <c r="V179" i="3"/>
  <c r="U179" i="3"/>
  <c r="V506" i="3"/>
  <c r="U506" i="3"/>
  <c r="V262" i="3"/>
  <c r="U262" i="3"/>
  <c r="V93" i="3"/>
  <c r="U93" i="3"/>
  <c r="V890" i="3"/>
  <c r="U890" i="3"/>
  <c r="V609" i="3"/>
  <c r="U609" i="3"/>
  <c r="V818" i="3"/>
  <c r="U818" i="3"/>
  <c r="V642" i="3"/>
  <c r="U642" i="3"/>
  <c r="G824" i="3"/>
  <c r="V824" i="3"/>
  <c r="U824" i="3"/>
  <c r="G485" i="3"/>
  <c r="V485" i="3"/>
  <c r="U485" i="3"/>
  <c r="V757" i="3"/>
  <c r="U757" i="3"/>
  <c r="V314" i="3"/>
  <c r="U314" i="3"/>
  <c r="V29" i="3"/>
  <c r="U29" i="3"/>
  <c r="V402" i="3"/>
  <c r="U402" i="3"/>
  <c r="V478" i="3"/>
  <c r="U478" i="3"/>
  <c r="V546" i="3"/>
  <c r="U546" i="3"/>
  <c r="V598" i="3"/>
  <c r="U598" i="3"/>
  <c r="V356" i="3"/>
  <c r="U356" i="3"/>
  <c r="V455" i="3"/>
  <c r="U455" i="3"/>
  <c r="V536" i="3"/>
  <c r="U536" i="3"/>
  <c r="V212" i="3"/>
  <c r="U212" i="3"/>
  <c r="V801" i="3"/>
  <c r="U801" i="3"/>
  <c r="V178" i="3"/>
  <c r="U178" i="3"/>
  <c r="V814" i="3"/>
  <c r="U814" i="3"/>
  <c r="V788" i="3"/>
  <c r="U788" i="3"/>
  <c r="V829" i="3"/>
  <c r="U829" i="3"/>
  <c r="V605" i="3"/>
  <c r="U605" i="3"/>
  <c r="V338" i="3"/>
  <c r="U338" i="3"/>
  <c r="V280" i="3"/>
  <c r="U280" i="3"/>
  <c r="V121" i="3"/>
  <c r="U121" i="3"/>
  <c r="V515" i="3"/>
  <c r="U515" i="3"/>
  <c r="V450" i="3"/>
  <c r="U450" i="3"/>
  <c r="V379" i="3"/>
  <c r="U379" i="3"/>
  <c r="V381" i="3"/>
  <c r="U381" i="3"/>
  <c r="V534" i="3"/>
  <c r="U534" i="3"/>
  <c r="G603" i="3"/>
  <c r="V603" i="3"/>
  <c r="U603" i="3"/>
  <c r="V451" i="3"/>
  <c r="U451" i="3"/>
  <c r="V134" i="3"/>
  <c r="U134" i="3"/>
  <c r="V187" i="3"/>
  <c r="U187" i="3"/>
  <c r="V443" i="3"/>
  <c r="U443" i="3"/>
  <c r="V496" i="3"/>
  <c r="U496" i="3"/>
  <c r="V747" i="3"/>
  <c r="U747" i="3"/>
  <c r="V247" i="3"/>
  <c r="U247" i="3"/>
  <c r="V110" i="3"/>
  <c r="U110" i="3"/>
  <c r="V682" i="3"/>
  <c r="U682" i="3"/>
  <c r="V299" i="3"/>
  <c r="U299" i="3"/>
  <c r="V557" i="3"/>
  <c r="U557" i="3"/>
  <c r="V511" i="3"/>
  <c r="U511" i="3"/>
  <c r="V523" i="3"/>
  <c r="U523" i="3"/>
  <c r="V669" i="3"/>
  <c r="U669" i="3"/>
  <c r="V282" i="3"/>
  <c r="U282" i="3"/>
  <c r="V211" i="3"/>
  <c r="U211" i="3"/>
  <c r="V871" i="3"/>
  <c r="U871" i="3"/>
  <c r="V258" i="3"/>
  <c r="U258" i="3"/>
  <c r="V303" i="3"/>
  <c r="U303" i="3"/>
  <c r="V744" i="3"/>
  <c r="U744" i="3"/>
  <c r="V157" i="3"/>
  <c r="U157" i="3"/>
  <c r="V507" i="3"/>
  <c r="U507" i="3"/>
  <c r="V870" i="3"/>
  <c r="U870" i="3"/>
  <c r="V456" i="3"/>
  <c r="U456" i="3"/>
  <c r="V588" i="3"/>
  <c r="U588" i="3"/>
  <c r="V302" i="3"/>
  <c r="U302" i="3"/>
  <c r="V584" i="3"/>
  <c r="U584" i="3"/>
  <c r="V346" i="3"/>
  <c r="U346" i="3"/>
  <c r="V322" i="3"/>
  <c r="U322" i="3"/>
  <c r="V467" i="3"/>
  <c r="U467" i="3"/>
  <c r="V21" i="3"/>
  <c r="U21" i="3"/>
  <c r="V111" i="3"/>
  <c r="U111" i="3"/>
  <c r="V862" i="3"/>
  <c r="U862" i="3"/>
  <c r="V827" i="3"/>
  <c r="U827" i="3"/>
  <c r="V753" i="3"/>
  <c r="U753" i="3"/>
  <c r="V100" i="3"/>
  <c r="U100" i="3"/>
  <c r="V594" i="3"/>
  <c r="U594" i="3"/>
  <c r="V452" i="3"/>
  <c r="U452" i="3"/>
  <c r="BA347" i="2"/>
  <c r="BA448" i="2"/>
  <c r="BJ129" i="1"/>
  <c r="BJ296" i="1"/>
  <c r="BA311" i="2"/>
  <c r="BJ429" i="1"/>
  <c r="BJ239" i="1"/>
  <c r="BA428" i="2"/>
  <c r="BA163" i="2"/>
  <c r="BJ229" i="1"/>
  <c r="BK155" i="1"/>
  <c r="BK345" i="1"/>
  <c r="BK7" i="1"/>
  <c r="BB200" i="2"/>
  <c r="BB275" i="2"/>
  <c r="BK400" i="1"/>
  <c r="BK313" i="1"/>
  <c r="BK416" i="1"/>
  <c r="BK173" i="1"/>
  <c r="BK142" i="1"/>
  <c r="BK246" i="1"/>
  <c r="BK120" i="1"/>
  <c r="BB411" i="2"/>
  <c r="BK139" i="1"/>
  <c r="BB345" i="2"/>
  <c r="BB426" i="2"/>
  <c r="BK347" i="1"/>
  <c r="BK333" i="1"/>
  <c r="BK86" i="1"/>
  <c r="BI314" i="1"/>
  <c r="AZ368" i="2"/>
  <c r="BI198" i="1"/>
  <c r="BI422" i="1"/>
  <c r="BI121" i="1"/>
  <c r="AZ35" i="2"/>
  <c r="BI49" i="1"/>
  <c r="AZ304" i="2"/>
  <c r="BI150" i="1"/>
  <c r="AZ299" i="2"/>
  <c r="AZ205" i="2"/>
  <c r="BI390" i="1"/>
  <c r="AZ178" i="2"/>
  <c r="AZ370" i="2"/>
  <c r="BI281" i="1"/>
  <c r="BH29" i="1"/>
  <c r="BH433" i="1"/>
  <c r="BH202" i="1"/>
  <c r="AY386" i="2"/>
  <c r="BH26" i="1"/>
  <c r="BH355" i="1"/>
  <c r="BH151" i="1"/>
  <c r="BH426" i="1"/>
  <c r="BH242" i="1"/>
  <c r="AY316" i="2"/>
  <c r="BH142" i="1"/>
  <c r="BH80" i="1"/>
  <c r="BH304" i="1"/>
  <c r="BH438" i="1"/>
  <c r="BH210" i="1"/>
  <c r="AY321" i="2"/>
  <c r="AY92" i="2"/>
  <c r="AY61" i="2"/>
  <c r="BH215" i="1"/>
  <c r="BH99" i="1"/>
  <c r="BH48" i="1"/>
  <c r="AY354" i="2"/>
  <c r="BH305" i="1"/>
  <c r="AY230" i="2"/>
  <c r="V60" i="3"/>
  <c r="U60" i="3"/>
  <c r="V293" i="3"/>
  <c r="U293" i="3"/>
  <c r="V6" i="3"/>
  <c r="U6" i="3"/>
  <c r="V228" i="3"/>
  <c r="U228" i="3"/>
  <c r="V324" i="3"/>
  <c r="U324" i="3"/>
  <c r="V420" i="3"/>
  <c r="U420" i="3"/>
  <c r="V666" i="3"/>
  <c r="U666" i="3"/>
  <c r="V266" i="3"/>
  <c r="U266" i="3"/>
  <c r="V264" i="3"/>
  <c r="U264" i="3"/>
  <c r="V706" i="3"/>
  <c r="U706" i="3"/>
  <c r="V832" i="3"/>
  <c r="U832" i="3"/>
  <c r="V551" i="3"/>
  <c r="U551" i="3"/>
  <c r="V139" i="3"/>
  <c r="U139" i="3"/>
  <c r="V660" i="3"/>
  <c r="U660" i="3"/>
  <c r="V394" i="3"/>
  <c r="U394" i="3"/>
  <c r="V693" i="3"/>
  <c r="U693" i="3"/>
  <c r="V329" i="3"/>
  <c r="U329" i="3"/>
  <c r="V244" i="3"/>
  <c r="U244" i="3"/>
  <c r="V63" i="3"/>
  <c r="U63" i="3"/>
  <c r="V633" i="3"/>
  <c r="U633" i="3"/>
  <c r="V234" i="3"/>
  <c r="U234" i="3"/>
  <c r="V174" i="3"/>
  <c r="U174" i="3"/>
  <c r="V878" i="3"/>
  <c r="U878" i="3"/>
  <c r="V58" i="3"/>
  <c r="U58" i="3"/>
  <c r="V855" i="3"/>
  <c r="U855" i="3"/>
  <c r="V290" i="3"/>
  <c r="U290" i="3"/>
  <c r="V553" i="3"/>
  <c r="U553" i="3"/>
  <c r="V860" i="3"/>
  <c r="U860" i="3"/>
  <c r="V654" i="3"/>
  <c r="U654" i="3"/>
  <c r="BJ157" i="1"/>
  <c r="BJ123" i="1"/>
  <c r="BJ355" i="1"/>
  <c r="BJ417" i="1"/>
  <c r="V527" i="3"/>
  <c r="U527" i="3"/>
  <c r="V430" i="3"/>
  <c r="U430" i="3"/>
  <c r="V717" i="3"/>
  <c r="U717" i="3"/>
  <c r="V844" i="3"/>
  <c r="U844" i="3"/>
  <c r="V631" i="3"/>
  <c r="U631" i="3"/>
  <c r="V887" i="3"/>
  <c r="U887" i="3"/>
  <c r="V625" i="3"/>
  <c r="U625" i="3"/>
  <c r="V562" i="3"/>
  <c r="U562" i="3"/>
  <c r="V712" i="3"/>
  <c r="U712" i="3"/>
  <c r="V127" i="3"/>
  <c r="U127" i="3"/>
  <c r="V165" i="3"/>
  <c r="U165" i="3"/>
  <c r="V225" i="3"/>
  <c r="U225" i="3"/>
  <c r="V542" i="3"/>
  <c r="U542" i="3"/>
  <c r="V541" i="3"/>
  <c r="U541" i="3"/>
  <c r="V59" i="3"/>
  <c r="U59" i="3"/>
  <c r="V570" i="3"/>
  <c r="U570" i="3"/>
  <c r="V843" i="3"/>
  <c r="U843" i="3"/>
  <c r="V358" i="3"/>
  <c r="U358" i="3"/>
  <c r="V135" i="3"/>
  <c r="U135" i="3"/>
  <c r="V230" i="3"/>
  <c r="U230" i="3"/>
  <c r="V698" i="3"/>
  <c r="U698" i="3"/>
  <c r="V839" i="3"/>
  <c r="U839" i="3"/>
  <c r="G655" i="3"/>
  <c r="V655" i="3"/>
  <c r="U655" i="3"/>
  <c r="V67" i="3"/>
  <c r="U67" i="3"/>
  <c r="V480" i="3"/>
  <c r="U480" i="3"/>
  <c r="V762" i="3"/>
  <c r="U762" i="3"/>
  <c r="V447" i="3"/>
  <c r="U447" i="3"/>
  <c r="V601" i="3"/>
  <c r="U601" i="3"/>
  <c r="G841" i="3"/>
  <c r="V841" i="3"/>
  <c r="U841" i="3"/>
  <c r="V819" i="3"/>
  <c r="U819" i="3"/>
  <c r="V49" i="3"/>
  <c r="U49" i="3"/>
  <c r="V866" i="3"/>
  <c r="U866" i="3"/>
  <c r="V348" i="3"/>
  <c r="U348" i="3"/>
  <c r="V563" i="3"/>
  <c r="U563" i="3"/>
  <c r="V607" i="3"/>
  <c r="U607" i="3"/>
  <c r="V671" i="3"/>
  <c r="U671" i="3"/>
  <c r="V353" i="3"/>
  <c r="U353" i="3"/>
  <c r="V792" i="3"/>
  <c r="U792" i="3"/>
  <c r="V517" i="3"/>
  <c r="U517" i="3"/>
  <c r="V197" i="3"/>
  <c r="U197" i="3"/>
  <c r="V382" i="3"/>
  <c r="U382" i="3"/>
  <c r="V713" i="3"/>
  <c r="U713" i="3"/>
  <c r="V678" i="3"/>
  <c r="U678" i="3"/>
  <c r="V613" i="3"/>
  <c r="U613" i="3"/>
  <c r="V514" i="3"/>
  <c r="U514" i="3"/>
  <c r="V486" i="3"/>
  <c r="U486" i="3"/>
  <c r="G850" i="3"/>
  <c r="V850" i="3"/>
  <c r="U850" i="3"/>
  <c r="V15" i="3"/>
  <c r="U15" i="3"/>
  <c r="V479" i="3"/>
  <c r="U479" i="3"/>
  <c r="V26" i="3"/>
  <c r="U26" i="3"/>
  <c r="V714" i="3"/>
  <c r="U714" i="3"/>
  <c r="V643" i="3"/>
  <c r="U643" i="3"/>
  <c r="V559" i="3"/>
  <c r="U559" i="3"/>
  <c r="G552" i="3"/>
  <c r="V552" i="3"/>
  <c r="U552" i="3"/>
  <c r="V476" i="3"/>
  <c r="U476" i="3"/>
  <c r="V421" i="3"/>
  <c r="U421" i="3"/>
  <c r="V412" i="3"/>
  <c r="U412" i="3"/>
  <c r="V769" i="3"/>
  <c r="U769" i="3"/>
  <c r="V325" i="3"/>
  <c r="U325" i="3"/>
  <c r="V342" i="3"/>
  <c r="U342" i="3"/>
  <c r="V640" i="3"/>
  <c r="U640" i="3"/>
  <c r="V94" i="3"/>
  <c r="U94" i="3"/>
  <c r="V270" i="3"/>
  <c r="U270" i="3"/>
  <c r="V61" i="3"/>
  <c r="U61" i="3"/>
  <c r="V137" i="3"/>
  <c r="U137" i="3"/>
  <c r="V16" i="3"/>
  <c r="U16" i="3"/>
  <c r="V465" i="3"/>
  <c r="U465" i="3"/>
  <c r="V129" i="3"/>
  <c r="U129" i="3"/>
  <c r="V739" i="3"/>
  <c r="U739" i="3"/>
  <c r="V155" i="3"/>
  <c r="U155" i="3"/>
  <c r="V680" i="3"/>
  <c r="U680" i="3"/>
  <c r="V439" i="3"/>
  <c r="U439" i="3"/>
  <c r="V309" i="3"/>
  <c r="U309" i="3"/>
  <c r="V149" i="3"/>
  <c r="U149" i="3"/>
  <c r="V636" i="3"/>
  <c r="U636" i="3"/>
  <c r="V72" i="3"/>
  <c r="U72" i="3"/>
  <c r="V840" i="3"/>
  <c r="U840" i="3"/>
  <c r="V295" i="3"/>
  <c r="U295" i="3"/>
  <c r="V260" i="3"/>
  <c r="U260" i="3"/>
  <c r="V684" i="3"/>
  <c r="U684" i="3"/>
  <c r="V806" i="3"/>
  <c r="U806" i="3"/>
  <c r="V489" i="3"/>
  <c r="U489" i="3"/>
  <c r="V409" i="3"/>
  <c r="U409" i="3"/>
  <c r="V522" i="3"/>
  <c r="U522" i="3"/>
  <c r="V20" i="3"/>
  <c r="U20" i="3"/>
  <c r="V82" i="3"/>
  <c r="U82" i="3"/>
  <c r="V780" i="3"/>
  <c r="U780" i="3"/>
  <c r="V390" i="3"/>
  <c r="U390" i="3"/>
  <c r="V298" i="3"/>
  <c r="U298" i="3"/>
  <c r="V646" i="3"/>
  <c r="U646" i="3"/>
  <c r="V239" i="3"/>
  <c r="U239" i="3"/>
  <c r="V66" i="3"/>
  <c r="U66" i="3"/>
  <c r="V335" i="3"/>
  <c r="U335" i="3"/>
  <c r="V398" i="3"/>
  <c r="U398" i="3"/>
  <c r="V571" i="3"/>
  <c r="U571" i="3"/>
  <c r="V284" i="3"/>
  <c r="U284" i="3"/>
  <c r="V499" i="3"/>
  <c r="U499" i="3"/>
  <c r="G781" i="3"/>
  <c r="V781" i="3"/>
  <c r="U781" i="3"/>
  <c r="V171" i="3"/>
  <c r="U171" i="3"/>
  <c r="V229" i="3"/>
  <c r="U229" i="3"/>
  <c r="BA93" i="2"/>
  <c r="BA75" i="2"/>
  <c r="BA312" i="2"/>
  <c r="BB244" i="2"/>
  <c r="BK314" i="1"/>
  <c r="BK68" i="1"/>
  <c r="BK247" i="1"/>
  <c r="BK198" i="1"/>
  <c r="BB413" i="2"/>
  <c r="BK205" i="1"/>
  <c r="BK298" i="1"/>
  <c r="BB304" i="2"/>
  <c r="AZ91" i="2"/>
  <c r="AZ240" i="2"/>
  <c r="BI197" i="1"/>
  <c r="BI322" i="1"/>
  <c r="BI20" i="1"/>
  <c r="AZ78" i="2"/>
  <c r="BI204" i="1"/>
  <c r="BI167" i="1"/>
  <c r="AZ303" i="2"/>
  <c r="AZ296" i="2"/>
  <c r="BI381" i="1"/>
  <c r="BI201" i="1"/>
  <c r="AZ430" i="2"/>
  <c r="BI278" i="1"/>
  <c r="AZ60" i="2"/>
  <c r="BI282" i="1"/>
  <c r="AZ337" i="2"/>
  <c r="AZ10" i="2"/>
  <c r="BH339" i="1"/>
  <c r="AY404" i="2"/>
  <c r="BH375" i="1"/>
  <c r="BH149" i="1"/>
  <c r="BH257" i="1"/>
  <c r="AY99" i="2"/>
  <c r="BH135" i="1"/>
  <c r="BH51" i="1"/>
  <c r="BH160" i="1"/>
  <c r="BH59" i="1"/>
  <c r="AY304" i="2"/>
  <c r="AY211" i="2"/>
  <c r="AY263" i="2"/>
  <c r="AY108" i="2"/>
  <c r="BH284" i="1"/>
  <c r="AY242" i="2"/>
  <c r="AY344" i="2"/>
  <c r="V459" i="3"/>
  <c r="U459" i="3"/>
  <c r="V347" i="3"/>
  <c r="U347" i="3"/>
  <c r="V143" i="3"/>
  <c r="U143" i="3"/>
  <c r="V437" i="3"/>
  <c r="U437" i="3"/>
  <c r="V23" i="3"/>
  <c r="U23" i="3"/>
  <c r="U45" i="3"/>
  <c r="V45" i="3"/>
  <c r="V101" i="3"/>
  <c r="U101" i="3"/>
  <c r="V763" i="3"/>
  <c r="U763" i="3"/>
  <c r="V750" i="3"/>
  <c r="U750" i="3"/>
  <c r="V232" i="3"/>
  <c r="U232" i="3"/>
  <c r="V276" i="3"/>
  <c r="U276" i="3"/>
  <c r="V183" i="3"/>
  <c r="U183" i="3"/>
  <c r="V146" i="3"/>
  <c r="U146" i="3"/>
  <c r="V556" i="3"/>
  <c r="U556" i="3"/>
  <c r="V721" i="3"/>
  <c r="U721" i="3"/>
  <c r="V317" i="3"/>
  <c r="U317" i="3"/>
  <c r="AZ165" i="2"/>
  <c r="V310" i="3"/>
  <c r="U310" i="3"/>
  <c r="V306" i="3"/>
  <c r="U306" i="3"/>
  <c r="V730" i="3"/>
  <c r="U730" i="3"/>
  <c r="V661" i="3"/>
  <c r="U661" i="3"/>
  <c r="V610" i="3"/>
  <c r="U610" i="3"/>
  <c r="V566" i="3"/>
  <c r="U566" i="3"/>
  <c r="V500" i="3"/>
  <c r="U500" i="3"/>
  <c r="V495" i="3"/>
  <c r="U495" i="3"/>
  <c r="V466" i="3"/>
  <c r="U466" i="3"/>
  <c r="V853" i="3"/>
  <c r="U853" i="3"/>
  <c r="V160" i="3"/>
  <c r="U160" i="3"/>
  <c r="V350" i="3"/>
  <c r="U350" i="3"/>
  <c r="V268" i="3"/>
  <c r="U268" i="3"/>
  <c r="V364" i="3"/>
  <c r="U364" i="3"/>
  <c r="V564" i="3"/>
  <c r="U564" i="3"/>
  <c r="V888" i="3"/>
  <c r="U888" i="3"/>
  <c r="U80" i="3"/>
  <c r="U647" i="3"/>
  <c r="U532" i="3"/>
  <c r="U156" i="3"/>
  <c r="U254" i="3"/>
  <c r="U659" i="3"/>
  <c r="U630" i="3"/>
  <c r="F310" i="3"/>
  <c r="K589" i="7" s="1"/>
  <c r="E566" i="3"/>
  <c r="D661" i="3"/>
  <c r="V798" i="3"/>
  <c r="U798" i="3"/>
  <c r="V742" i="3"/>
  <c r="U742" i="3"/>
  <c r="V676" i="3"/>
  <c r="U676" i="3"/>
  <c r="V597" i="3"/>
  <c r="U597" i="3"/>
  <c r="V623" i="3"/>
  <c r="U623" i="3"/>
  <c r="V519" i="3"/>
  <c r="U519" i="3"/>
  <c r="V38" i="3"/>
  <c r="U38" i="3"/>
  <c r="V362" i="3"/>
  <c r="U362" i="3"/>
  <c r="V287" i="3"/>
  <c r="U287" i="3"/>
  <c r="V252" i="3"/>
  <c r="U252" i="3"/>
  <c r="V159" i="3"/>
  <c r="U159" i="3"/>
  <c r="V294" i="3"/>
  <c r="U294" i="3"/>
  <c r="V539" i="3"/>
  <c r="U539" i="3"/>
  <c r="V384" i="3"/>
  <c r="U384" i="3"/>
  <c r="V81" i="3"/>
  <c r="U81" i="3"/>
  <c r="V296" i="3"/>
  <c r="U296" i="3"/>
  <c r="V651" i="3"/>
  <c r="U651" i="3"/>
  <c r="U148" i="3"/>
  <c r="U114" i="3"/>
  <c r="U98" i="3"/>
  <c r="U189" i="3"/>
  <c r="U71" i="3"/>
  <c r="U889" i="3"/>
  <c r="U199" i="3"/>
  <c r="U316" i="3"/>
  <c r="U332" i="3"/>
  <c r="U207" i="3"/>
  <c r="U510" i="3"/>
  <c r="U128" i="3"/>
  <c r="U112" i="3"/>
  <c r="U360" i="3"/>
  <c r="U751" i="3"/>
  <c r="U250" i="3"/>
  <c r="U576" i="3"/>
  <c r="U417" i="3"/>
  <c r="U791" i="3"/>
  <c r="U867" i="3"/>
  <c r="V215" i="3"/>
  <c r="H730" i="3"/>
  <c r="G466" i="3"/>
  <c r="F500" i="3"/>
  <c r="AD500" i="3" s="1"/>
  <c r="E610" i="3"/>
  <c r="D730" i="3"/>
  <c r="V328" i="3"/>
  <c r="U328" i="3"/>
  <c r="V88" i="3"/>
  <c r="U88" i="3"/>
  <c r="V816" i="3"/>
  <c r="U816" i="3"/>
  <c r="V707" i="3"/>
  <c r="U707" i="3"/>
  <c r="V624" i="3"/>
  <c r="U624" i="3"/>
  <c r="V64" i="3"/>
  <c r="U64" i="3"/>
  <c r="V524" i="3"/>
  <c r="U524" i="3"/>
  <c r="V494" i="3"/>
  <c r="U494" i="3"/>
  <c r="V288" i="3"/>
  <c r="U288" i="3"/>
  <c r="V441" i="3"/>
  <c r="U441" i="3"/>
  <c r="V681" i="3"/>
  <c r="U681" i="3"/>
  <c r="V424" i="3"/>
  <c r="U424" i="3"/>
  <c r="V78" i="3"/>
  <c r="U78" i="3"/>
  <c r="V95" i="3"/>
  <c r="U95" i="3"/>
  <c r="V880" i="3"/>
  <c r="U880" i="3"/>
  <c r="V142" i="3"/>
  <c r="U142" i="3"/>
  <c r="V869" i="3"/>
  <c r="U869" i="3"/>
  <c r="V217" i="3"/>
  <c r="U217" i="3"/>
  <c r="V879" i="3"/>
  <c r="U879" i="3"/>
  <c r="U10" i="3"/>
  <c r="U46" i="3"/>
  <c r="U323" i="3"/>
  <c r="U528" i="3"/>
  <c r="U300" i="3"/>
  <c r="U9" i="3"/>
  <c r="V803" i="3"/>
  <c r="D306" i="3"/>
  <c r="V755" i="3"/>
  <c r="U755" i="3"/>
  <c r="V13" i="3"/>
  <c r="U13" i="3"/>
  <c r="V618" i="3"/>
  <c r="U618" i="3"/>
  <c r="V561" i="3"/>
  <c r="U561" i="3"/>
  <c r="V308" i="3"/>
  <c r="U308" i="3"/>
  <c r="V474" i="3"/>
  <c r="U474" i="3"/>
  <c r="V487" i="3"/>
  <c r="U487" i="3"/>
  <c r="V444" i="3"/>
  <c r="U444" i="3"/>
  <c r="V399" i="3"/>
  <c r="U399" i="3"/>
  <c r="V453" i="3"/>
  <c r="U453" i="3"/>
  <c r="V387" i="3"/>
  <c r="U387" i="3"/>
  <c r="V51" i="3"/>
  <c r="U51" i="3"/>
  <c r="V874" i="3"/>
  <c r="U874" i="3"/>
  <c r="V464" i="3"/>
  <c r="U464" i="3"/>
  <c r="V859" i="3"/>
  <c r="U859" i="3"/>
  <c r="U885" i="3"/>
  <c r="U196" i="3"/>
  <c r="U103" i="3"/>
  <c r="U241" i="3"/>
  <c r="U673" i="3"/>
  <c r="U172" i="3"/>
  <c r="U301" i="3"/>
  <c r="U219" i="3"/>
  <c r="U313" i="3"/>
  <c r="U30" i="3"/>
  <c r="U657" i="3"/>
  <c r="U407" i="3"/>
  <c r="U833" i="3"/>
  <c r="U40" i="3"/>
  <c r="U326" i="3"/>
  <c r="G500" i="3"/>
  <c r="F610" i="3"/>
  <c r="E730" i="3"/>
  <c r="AD730" i="3" s="1"/>
  <c r="D466" i="3"/>
  <c r="V729" i="3"/>
  <c r="U729" i="3"/>
  <c r="V596" i="3"/>
  <c r="U596" i="3"/>
  <c r="V573" i="3"/>
  <c r="U573" i="3"/>
  <c r="V549" i="3"/>
  <c r="U549" i="3"/>
  <c r="V473" i="3"/>
  <c r="U473" i="3"/>
  <c r="V133" i="3"/>
  <c r="U133" i="3"/>
  <c r="V182" i="3"/>
  <c r="U182" i="3"/>
  <c r="V808" i="3"/>
  <c r="U808" i="3"/>
  <c r="V620" i="3"/>
  <c r="U620" i="3"/>
  <c r="V727" i="3"/>
  <c r="U727" i="3"/>
  <c r="V210" i="3"/>
  <c r="U210" i="3"/>
  <c r="V213" i="3"/>
  <c r="U213" i="3"/>
  <c r="V767" i="3"/>
  <c r="U767" i="3"/>
  <c r="V672" i="3"/>
  <c r="U672" i="3"/>
  <c r="U8" i="3"/>
  <c r="U48" i="3"/>
  <c r="U318" i="3"/>
  <c r="U37" i="3"/>
  <c r="U558" i="3"/>
  <c r="H310" i="3"/>
  <c r="H495" i="3"/>
  <c r="G566" i="3"/>
  <c r="F661" i="3"/>
  <c r="E306" i="3"/>
  <c r="D310" i="3"/>
  <c r="D495" i="3"/>
  <c r="V768" i="3"/>
  <c r="U768" i="3"/>
  <c r="V752" i="3"/>
  <c r="U752" i="3"/>
  <c r="V600" i="3"/>
  <c r="U600" i="3"/>
  <c r="V544" i="3"/>
  <c r="U544" i="3"/>
  <c r="V508" i="3"/>
  <c r="U508" i="3"/>
  <c r="V471" i="3"/>
  <c r="U471" i="3"/>
  <c r="V449" i="3"/>
  <c r="U449" i="3"/>
  <c r="V261" i="3"/>
  <c r="U261" i="3"/>
  <c r="V392" i="3"/>
  <c r="U392" i="3"/>
  <c r="V22" i="3"/>
  <c r="U22" i="3"/>
  <c r="V604" i="3"/>
  <c r="U604" i="3"/>
  <c r="V181" i="3"/>
  <c r="U181" i="3"/>
  <c r="V354" i="3"/>
  <c r="U354" i="3"/>
  <c r="V735" i="3"/>
  <c r="U735" i="3"/>
  <c r="V122" i="3"/>
  <c r="U122" i="3"/>
  <c r="V233" i="3"/>
  <c r="U233" i="3"/>
  <c r="V340" i="3"/>
  <c r="V85" i="3"/>
  <c r="V246" i="3"/>
  <c r="V92" i="3"/>
  <c r="U7" i="3"/>
  <c r="U193" i="3"/>
  <c r="U18" i="3"/>
  <c r="U147" i="3"/>
  <c r="U259" i="3"/>
  <c r="U224" i="3"/>
  <c r="U593" i="3"/>
  <c r="U278" i="3"/>
  <c r="U281" i="3"/>
  <c r="U626" i="3"/>
  <c r="U732" i="3"/>
  <c r="U108" i="3"/>
  <c r="U331" i="3"/>
  <c r="U440" i="3"/>
  <c r="U876" i="3"/>
  <c r="U388" i="3"/>
  <c r="U877" i="3"/>
  <c r="U150" i="3"/>
  <c r="U297" i="3"/>
  <c r="U540" i="3"/>
  <c r="U411" i="3"/>
  <c r="D500" i="3"/>
  <c r="V271" i="3"/>
  <c r="U271" i="3"/>
  <c r="V858" i="3"/>
  <c r="U858" i="3"/>
  <c r="U279" i="3"/>
  <c r="V279" i="3"/>
  <c r="V694" i="3"/>
  <c r="U694" i="3"/>
  <c r="V586" i="3"/>
  <c r="U586" i="3"/>
  <c r="V882" i="3"/>
  <c r="U882" i="3"/>
  <c r="V543" i="3"/>
  <c r="U543" i="3"/>
  <c r="V503" i="3"/>
  <c r="U503" i="3"/>
  <c r="V427" i="3"/>
  <c r="U427" i="3"/>
  <c r="V448" i="3"/>
  <c r="U448" i="3"/>
  <c r="V664" i="3"/>
  <c r="U664" i="3"/>
  <c r="V423" i="3"/>
  <c r="U423" i="3"/>
  <c r="V849" i="3"/>
  <c r="U849" i="3"/>
  <c r="V176" i="3"/>
  <c r="U176" i="3"/>
  <c r="V518" i="3"/>
  <c r="U518" i="3"/>
  <c r="V374" i="3"/>
  <c r="U374" i="3"/>
  <c r="V677" i="3"/>
  <c r="U677" i="3"/>
  <c r="V158" i="3"/>
  <c r="U158" i="3"/>
  <c r="U31" i="3"/>
  <c r="U184" i="3"/>
  <c r="U312" i="3"/>
  <c r="U504" i="3"/>
  <c r="U585" i="3"/>
  <c r="U28" i="3"/>
  <c r="U481" i="3"/>
  <c r="U488" i="3"/>
  <c r="G661" i="3"/>
  <c r="F306" i="3"/>
  <c r="E310" i="3"/>
  <c r="E495" i="3"/>
  <c r="D566" i="3"/>
  <c r="V846" i="3"/>
  <c r="U846" i="3"/>
  <c r="V765" i="3"/>
  <c r="U765" i="3"/>
  <c r="V686" i="3"/>
  <c r="U686" i="3"/>
  <c r="V307" i="3"/>
  <c r="U307" i="3"/>
  <c r="V531" i="3"/>
  <c r="U531" i="3"/>
  <c r="V497" i="3"/>
  <c r="U497" i="3"/>
  <c r="V274" i="3"/>
  <c r="U274" i="3"/>
  <c r="V410" i="3"/>
  <c r="U410" i="3"/>
  <c r="V53" i="3"/>
  <c r="U53" i="3"/>
  <c r="V838" i="3"/>
  <c r="U838" i="3"/>
  <c r="V227" i="3"/>
  <c r="U227" i="3"/>
  <c r="V192" i="3"/>
  <c r="U192" i="3"/>
  <c r="V425" i="3"/>
  <c r="U425" i="3"/>
  <c r="V131" i="3"/>
  <c r="U131" i="3"/>
  <c r="V760" i="3"/>
  <c r="U760" i="3"/>
  <c r="U163" i="3"/>
  <c r="U153" i="3"/>
  <c r="U198" i="3"/>
  <c r="U74" i="3"/>
  <c r="U204" i="3"/>
  <c r="U62" i="3"/>
  <c r="U145" i="3"/>
  <c r="U267" i="3"/>
  <c r="U125" i="3"/>
  <c r="U591" i="3"/>
  <c r="U138" i="3"/>
  <c r="U745" i="3"/>
  <c r="U431" i="3"/>
  <c r="U304" i="3"/>
  <c r="U749" i="3"/>
  <c r="V710" i="3"/>
  <c r="BJ163" i="1"/>
  <c r="BJ183" i="1"/>
  <c r="BJ226" i="1"/>
  <c r="BA397" i="2"/>
  <c r="BJ9" i="1"/>
  <c r="BJ392" i="1"/>
  <c r="BA183" i="2"/>
  <c r="BK181" i="1"/>
  <c r="BB96" i="2"/>
  <c r="BB190" i="2"/>
  <c r="BJ141" i="1"/>
  <c r="BK293" i="1"/>
  <c r="BK119" i="1"/>
  <c r="BK8" i="1"/>
  <c r="BK370" i="1"/>
  <c r="BK168" i="1"/>
  <c r="BK80" i="1"/>
  <c r="BJ294" i="1"/>
  <c r="BJ372" i="1"/>
  <c r="BJ356" i="1"/>
  <c r="BK98" i="1"/>
  <c r="BK161" i="1"/>
  <c r="BK125" i="1"/>
  <c r="BK89" i="1"/>
  <c r="AE768" i="3"/>
  <c r="AC768" i="3"/>
  <c r="AE752" i="3"/>
  <c r="AC752" i="3"/>
  <c r="AE600" i="3"/>
  <c r="AC600" i="3"/>
  <c r="AE544" i="3"/>
  <c r="AC544" i="3"/>
  <c r="AE508" i="3"/>
  <c r="AC508" i="3"/>
  <c r="AE471" i="3"/>
  <c r="AC471" i="3"/>
  <c r="AE392" i="3"/>
  <c r="AC392" i="3"/>
  <c r="AE354" i="3"/>
  <c r="AC354" i="3"/>
  <c r="BA140" i="2"/>
  <c r="BK79" i="1"/>
  <c r="BI336" i="1"/>
  <c r="BJ98" i="1"/>
  <c r="BA445" i="2"/>
  <c r="BA142" i="2"/>
  <c r="BA197" i="2"/>
  <c r="BJ206" i="1"/>
  <c r="BJ89" i="1"/>
  <c r="BA184" i="2"/>
  <c r="BJ254" i="1"/>
  <c r="BK336" i="1"/>
  <c r="BA23" i="2"/>
  <c r="BJ411" i="1"/>
  <c r="BJ344" i="1"/>
  <c r="BJ41" i="1"/>
  <c r="BJ245" i="1"/>
  <c r="BA31" i="2"/>
  <c r="BK183" i="1"/>
  <c r="BK69" i="1"/>
  <c r="BK365" i="1"/>
  <c r="BK280" i="1"/>
  <c r="BK399" i="1"/>
  <c r="BK284" i="1"/>
  <c r="BK158" i="1"/>
  <c r="BK263" i="1"/>
  <c r="BK289" i="1"/>
  <c r="BI88" i="1"/>
  <c r="BI326" i="1"/>
  <c r="BI127" i="1"/>
  <c r="BI236" i="1"/>
  <c r="BI42" i="1"/>
  <c r="AZ280" i="2"/>
  <c r="BI143" i="1"/>
  <c r="BI287" i="1"/>
  <c r="BI96" i="1"/>
  <c r="BI33" i="1"/>
  <c r="BI116" i="1"/>
  <c r="BI50" i="1"/>
  <c r="BI306" i="1"/>
  <c r="BI90" i="1"/>
  <c r="BI132" i="1"/>
  <c r="BI179" i="1"/>
  <c r="BI190" i="1"/>
  <c r="BH163" i="1"/>
  <c r="BH119" i="1"/>
  <c r="BH7" i="1"/>
  <c r="AY245" i="2"/>
  <c r="AY35" i="2"/>
  <c r="BH92" i="1"/>
  <c r="BH199" i="1"/>
  <c r="BH372" i="1"/>
  <c r="AY369" i="2"/>
  <c r="BH419" i="1"/>
  <c r="BH158" i="1"/>
  <c r="AY221" i="2"/>
  <c r="AY201" i="2"/>
  <c r="BH309" i="1"/>
  <c r="K340" i="3"/>
  <c r="K85" i="3"/>
  <c r="K246" i="3"/>
  <c r="K92" i="3"/>
  <c r="K46" i="3"/>
  <c r="AZ310" i="2"/>
  <c r="AY239" i="2"/>
  <c r="AY199" i="2"/>
  <c r="AY207" i="2"/>
  <c r="AY432" i="2"/>
  <c r="BH179" i="1"/>
  <c r="AY49" i="2"/>
  <c r="BH308" i="1"/>
  <c r="BH289" i="1"/>
  <c r="AZ449" i="2"/>
  <c r="S340" i="3"/>
  <c r="S85" i="3"/>
  <c r="S246" i="3"/>
  <c r="S92" i="3"/>
  <c r="S46" i="3"/>
  <c r="BB213" i="2"/>
  <c r="BB382" i="2"/>
  <c r="BI129" i="1"/>
  <c r="AZ291" i="2"/>
  <c r="P92" i="3"/>
  <c r="P46" i="3"/>
  <c r="BI76" i="1"/>
  <c r="BI330" i="1"/>
  <c r="BI192" i="1"/>
  <c r="BI38" i="1"/>
  <c r="BI350" i="1"/>
  <c r="BI160" i="1"/>
  <c r="BI208" i="1"/>
  <c r="BI398" i="1"/>
  <c r="BH209" i="1"/>
  <c r="BH136" i="1"/>
  <c r="BH383" i="1"/>
  <c r="BH69" i="1"/>
  <c r="BI63" i="1"/>
  <c r="AZ107" i="2"/>
  <c r="AZ208" i="2"/>
  <c r="BI46" i="1"/>
  <c r="BI370" i="1"/>
  <c r="AZ322" i="2"/>
  <c r="AZ77" i="2"/>
  <c r="BI80" i="1"/>
  <c r="AZ8" i="2"/>
  <c r="BH193" i="1"/>
  <c r="BH255" i="1"/>
  <c r="BH227" i="1"/>
  <c r="BH84" i="1"/>
  <c r="BH344" i="1"/>
  <c r="AY440" i="2"/>
  <c r="BH404" i="1"/>
  <c r="BH90" i="1"/>
  <c r="BH281" i="1"/>
  <c r="BK376" i="1"/>
  <c r="AZ444" i="2"/>
  <c r="BI186" i="1"/>
  <c r="BH296" i="1"/>
  <c r="BH171" i="1"/>
  <c r="BH46" i="1"/>
  <c r="BH72" i="1"/>
  <c r="AY433" i="2"/>
  <c r="BH435" i="1"/>
  <c r="BH416" i="1"/>
  <c r="BH352" i="1"/>
  <c r="BH73" i="1"/>
  <c r="BH376" i="1"/>
  <c r="BH388" i="1"/>
  <c r="BH110" i="1"/>
  <c r="BH286" i="1"/>
  <c r="BJ331" i="1"/>
  <c r="BJ148" i="1"/>
  <c r="BJ341" i="1"/>
  <c r="BJ216" i="1"/>
  <c r="BJ56" i="1"/>
  <c r="BJ118" i="1"/>
  <c r="BJ437" i="1"/>
  <c r="BJ279" i="1"/>
  <c r="BJ16" i="1"/>
  <c r="BJ252" i="1"/>
  <c r="BJ311" i="1"/>
  <c r="BJ92" i="1"/>
  <c r="BJ126" i="1"/>
  <c r="BJ387" i="1"/>
  <c r="BA125" i="2"/>
  <c r="BJ159" i="1"/>
  <c r="BJ174" i="1"/>
  <c r="BJ404" i="1"/>
  <c r="BJ224" i="1"/>
  <c r="BJ308" i="1"/>
  <c r="BJ403" i="1"/>
  <c r="BK154" i="1"/>
  <c r="BK259" i="1"/>
  <c r="BK320" i="1"/>
  <c r="BB294" i="2"/>
  <c r="BK240" i="1"/>
  <c r="BK362" i="1"/>
  <c r="BK256" i="1"/>
  <c r="BK43" i="1"/>
  <c r="BK260" i="1"/>
  <c r="BK62" i="1"/>
  <c r="BK277" i="1"/>
  <c r="BK85" i="1"/>
  <c r="BK46" i="1"/>
  <c r="BK72" i="1"/>
  <c r="BK84" i="1"/>
  <c r="BK335" i="1"/>
  <c r="BK419" i="1"/>
  <c r="BK93" i="1"/>
  <c r="BK413" i="1"/>
  <c r="BB48" i="2"/>
  <c r="BK48" i="1"/>
  <c r="BI78" i="1"/>
  <c r="BI288" i="1"/>
  <c r="BI261" i="1"/>
  <c r="BI371" i="1"/>
  <c r="BI412" i="1"/>
  <c r="BI268" i="1"/>
  <c r="AZ285" i="2"/>
  <c r="BI18" i="1"/>
  <c r="BI25" i="1"/>
  <c r="BI430" i="1"/>
  <c r="BI274" i="1"/>
  <c r="BI357" i="1"/>
  <c r="BI153" i="1"/>
  <c r="BI267" i="1"/>
  <c r="BI34" i="1"/>
  <c r="BI111" i="1"/>
  <c r="BI385" i="1"/>
  <c r="BI54" i="1"/>
  <c r="BI144" i="1"/>
  <c r="BI298" i="1"/>
  <c r="BJ334" i="1"/>
  <c r="BJ188" i="1"/>
  <c r="BJ225" i="1"/>
  <c r="BJ133" i="1"/>
  <c r="BJ113" i="1"/>
  <c r="BA254" i="2"/>
  <c r="BJ178" i="1"/>
  <c r="BJ393" i="1"/>
  <c r="BJ55" i="1"/>
  <c r="BJ77" i="1"/>
  <c r="BJ100" i="1"/>
  <c r="BJ38" i="1"/>
  <c r="BJ349" i="1"/>
  <c r="BJ160" i="1"/>
  <c r="BJ101" i="1"/>
  <c r="BJ156" i="1"/>
  <c r="BJ208" i="1"/>
  <c r="BJ398" i="1"/>
  <c r="BJ23" i="1"/>
  <c r="BJ329" i="1"/>
  <c r="BJ234" i="1"/>
  <c r="BK316" i="1"/>
  <c r="BB391" i="2"/>
  <c r="BK83" i="1"/>
  <c r="BK251" i="1"/>
  <c r="BK300" i="1"/>
  <c r="BK369" i="1"/>
  <c r="BK124" i="1"/>
  <c r="BK402" i="1"/>
  <c r="BK196" i="1"/>
  <c r="BK209" i="1"/>
  <c r="BK353" i="1"/>
  <c r="BK136" i="1"/>
  <c r="BK28" i="1"/>
  <c r="BK304" i="1"/>
  <c r="BK74" i="1"/>
  <c r="BK233" i="1"/>
  <c r="BK401" i="1"/>
  <c r="BK338" i="1"/>
  <c r="BK414" i="1"/>
  <c r="BK394" i="1"/>
  <c r="BI253" i="1"/>
  <c r="BI283" i="1"/>
  <c r="BI182" i="1"/>
  <c r="BI135" i="1"/>
  <c r="BI269" i="1"/>
  <c r="BI82" i="1"/>
  <c r="BI302" i="1"/>
  <c r="BI344" i="1"/>
  <c r="BI41" i="1"/>
  <c r="BI185" i="1"/>
  <c r="BI245" i="1"/>
  <c r="BJ259" i="1"/>
  <c r="BJ293" i="1"/>
  <c r="BJ367" i="1"/>
  <c r="BJ320" i="1"/>
  <c r="BJ155" i="1"/>
  <c r="BJ345" i="1"/>
  <c r="BJ362" i="1"/>
  <c r="BJ256" i="1"/>
  <c r="BJ119" i="1"/>
  <c r="BJ43" i="1"/>
  <c r="BJ260" i="1"/>
  <c r="BA187" i="2"/>
  <c r="BJ146" i="1"/>
  <c r="BJ62" i="1"/>
  <c r="BJ277" i="1"/>
  <c r="BA386" i="2"/>
  <c r="BJ19" i="1"/>
  <c r="BJ368" i="1"/>
  <c r="BJ85" i="1"/>
  <c r="BJ8" i="1"/>
  <c r="BJ46" i="1"/>
  <c r="BJ424" i="1"/>
  <c r="BJ72" i="1"/>
  <c r="BJ84" i="1"/>
  <c r="BJ400" i="1"/>
  <c r="BJ370" i="1"/>
  <c r="BJ168" i="1"/>
  <c r="BJ313" i="1"/>
  <c r="BJ416" i="1"/>
  <c r="BJ173" i="1"/>
  <c r="BJ380" i="1"/>
  <c r="BJ142" i="1"/>
  <c r="BJ80" i="1"/>
  <c r="BJ246" i="1"/>
  <c r="BJ335" i="1"/>
  <c r="BJ120" i="1"/>
  <c r="BJ419" i="1"/>
  <c r="BJ139" i="1"/>
  <c r="BA92" i="2"/>
  <c r="BJ93" i="1"/>
  <c r="BJ413" i="1"/>
  <c r="BJ347" i="1"/>
  <c r="BJ333" i="1"/>
  <c r="BJ48" i="1"/>
  <c r="BJ86" i="1"/>
  <c r="BK78" i="1"/>
  <c r="BK288" i="1"/>
  <c r="BK261" i="1"/>
  <c r="BK371" i="1"/>
  <c r="BK412" i="1"/>
  <c r="BK268" i="1"/>
  <c r="BK25" i="1"/>
  <c r="BK430" i="1"/>
  <c r="BB368" i="2"/>
  <c r="BK274" i="1"/>
  <c r="BK357" i="1"/>
  <c r="BK153" i="1"/>
  <c r="BK267" i="1"/>
  <c r="BK34" i="1"/>
  <c r="BK422" i="1"/>
  <c r="BK195" i="1"/>
  <c r="BK292" i="1"/>
  <c r="BK49" i="1"/>
  <c r="BK382" i="1"/>
  <c r="BK385" i="1"/>
  <c r="BK325" i="1"/>
  <c r="BK144" i="1"/>
  <c r="BK406" i="1"/>
  <c r="BK6" i="1"/>
  <c r="BK323" i="1"/>
  <c r="BK60" i="1"/>
  <c r="BK438" i="1"/>
  <c r="BK310" i="1"/>
  <c r="BK150" i="1"/>
  <c r="BB205" i="2"/>
  <c r="BK390" i="1"/>
  <c r="BK281" i="1"/>
  <c r="BK295" i="1"/>
  <c r="BK108" i="1"/>
  <c r="AZ441" i="2"/>
  <c r="BI95" i="1"/>
  <c r="AZ235" i="2"/>
  <c r="BI169" i="1"/>
  <c r="BI40" i="1"/>
  <c r="BI418" i="1"/>
  <c r="BI228" i="1"/>
  <c r="BI407" i="1"/>
  <c r="BI397" i="1"/>
  <c r="BI32" i="1"/>
  <c r="BI64" i="1"/>
  <c r="BI410" i="1"/>
  <c r="BI47" i="1"/>
  <c r="BI315" i="1"/>
  <c r="BJ194" i="1"/>
  <c r="BA420" i="2"/>
  <c r="BJ217" i="1"/>
  <c r="BJ316" i="1"/>
  <c r="BA391" i="2"/>
  <c r="BJ83" i="1"/>
  <c r="BJ117" i="1"/>
  <c r="BJ375" i="1"/>
  <c r="BJ161" i="1"/>
  <c r="BJ434" i="1"/>
  <c r="BJ251" i="1"/>
  <c r="BJ257" i="1"/>
  <c r="BJ300" i="1"/>
  <c r="BJ369" i="1"/>
  <c r="BJ363" i="1"/>
  <c r="BJ124" i="1"/>
  <c r="BJ379" i="1"/>
  <c r="BA241" i="2"/>
  <c r="BJ128" i="1"/>
  <c r="BJ402" i="1"/>
  <c r="BJ196" i="1"/>
  <c r="BJ209" i="1"/>
  <c r="BJ377" i="1"/>
  <c r="BJ353" i="1"/>
  <c r="BJ125" i="1"/>
  <c r="BJ265" i="1"/>
  <c r="BJ136" i="1"/>
  <c r="BJ214" i="1"/>
  <c r="BA168" i="2"/>
  <c r="BJ186" i="1"/>
  <c r="BJ28" i="1"/>
  <c r="BJ304" i="1"/>
  <c r="BJ280" i="1"/>
  <c r="BJ74" i="1"/>
  <c r="BA375" i="2"/>
  <c r="BA108" i="2"/>
  <c r="BJ399" i="1"/>
  <c r="BJ284" i="1"/>
  <c r="BJ158" i="1"/>
  <c r="BJ233" i="1"/>
  <c r="BA124" i="2"/>
  <c r="BJ401" i="1"/>
  <c r="BJ263" i="1"/>
  <c r="BA7" i="2"/>
  <c r="BJ338" i="1"/>
  <c r="BJ414" i="1"/>
  <c r="BJ394" i="1"/>
  <c r="BJ289" i="1"/>
  <c r="BB431" i="2"/>
  <c r="BK436" i="1"/>
  <c r="BB340" i="2"/>
  <c r="BB95" i="2"/>
  <c r="BK37" i="1"/>
  <c r="BK253" i="1"/>
  <c r="BK237" i="1"/>
  <c r="BK88" i="1"/>
  <c r="BB393" i="2"/>
  <c r="BK66" i="1"/>
  <c r="BK283" i="1"/>
  <c r="BK182" i="1"/>
  <c r="BK127" i="1"/>
  <c r="BK236" i="1"/>
  <c r="BB354" i="2"/>
  <c r="BK135" i="1"/>
  <c r="BK269" i="1"/>
  <c r="BK82" i="1"/>
  <c r="BK42" i="1"/>
  <c r="BK143" i="1"/>
  <c r="BK287" i="1"/>
  <c r="BK302" i="1"/>
  <c r="BK96" i="1"/>
  <c r="BK344" i="1"/>
  <c r="BK10" i="1"/>
  <c r="BK41" i="1"/>
  <c r="BK185" i="1"/>
  <c r="BK245" i="1"/>
  <c r="BK33" i="1"/>
  <c r="BK102" i="1"/>
  <c r="BK116" i="1"/>
  <c r="BA132" i="2"/>
  <c r="BJ78" i="1"/>
  <c r="BJ288" i="1"/>
  <c r="BJ261" i="1"/>
  <c r="BA248" i="2"/>
  <c r="BJ11" i="1"/>
  <c r="BJ371" i="1"/>
  <c r="BJ412" i="1"/>
  <c r="BJ268" i="1"/>
  <c r="BJ79" i="1"/>
  <c r="BJ314" i="1"/>
  <c r="BJ303" i="1"/>
  <c r="BA282" i="2"/>
  <c r="BJ25" i="1"/>
  <c r="BJ430" i="1"/>
  <c r="BJ274" i="1"/>
  <c r="BJ357" i="1"/>
  <c r="BJ68" i="1"/>
  <c r="BJ247" i="1"/>
  <c r="BJ198" i="1"/>
  <c r="BJ153" i="1"/>
  <c r="BJ267" i="1"/>
  <c r="BA413" i="2"/>
  <c r="BJ305" i="1"/>
  <c r="BA429" i="2"/>
  <c r="BJ34" i="1"/>
  <c r="BA424" i="2"/>
  <c r="BJ422" i="1"/>
  <c r="BJ121" i="1"/>
  <c r="BJ195" i="1"/>
  <c r="BJ292" i="1"/>
  <c r="BJ49" i="1"/>
  <c r="BJ205" i="1"/>
  <c r="BJ111" i="1"/>
  <c r="BJ382" i="1"/>
  <c r="BJ385" i="1"/>
  <c r="BJ54" i="1"/>
  <c r="BJ325" i="1"/>
  <c r="BJ144" i="1"/>
  <c r="BJ298" i="1"/>
  <c r="BJ406" i="1"/>
  <c r="BA304" i="2"/>
  <c r="BA211" i="2"/>
  <c r="BJ323" i="1"/>
  <c r="BJ60" i="1"/>
  <c r="BJ438" i="1"/>
  <c r="BJ210" i="1"/>
  <c r="BJ310" i="1"/>
  <c r="BA69" i="2"/>
  <c r="BJ150" i="1"/>
  <c r="BA126" i="2"/>
  <c r="BJ390" i="1"/>
  <c r="BA376" i="2"/>
  <c r="BA178" i="2"/>
  <c r="BA223" i="2"/>
  <c r="BA257" i="2"/>
  <c r="BA138" i="2"/>
  <c r="BJ281" i="1"/>
  <c r="BJ295" i="1"/>
  <c r="BJ108" i="1"/>
  <c r="BK29" i="1"/>
  <c r="BB441" i="2"/>
  <c r="BK95" i="1"/>
  <c r="BK301" i="1"/>
  <c r="BK40" i="1"/>
  <c r="BK384" i="1"/>
  <c r="BK197" i="1"/>
  <c r="BK322" i="1"/>
  <c r="BK418" i="1"/>
  <c r="BK228" i="1"/>
  <c r="BK20" i="1"/>
  <c r="BK407" i="1"/>
  <c r="BK397" i="1"/>
  <c r="BB182" i="2"/>
  <c r="BK58" i="1"/>
  <c r="BB78" i="2"/>
  <c r="BK204" i="1"/>
  <c r="BK32" i="1"/>
  <c r="BK64" i="1"/>
  <c r="BK410" i="1"/>
  <c r="BK167" i="1"/>
  <c r="BK47" i="1"/>
  <c r="BK212" i="1"/>
  <c r="BK291" i="1"/>
  <c r="BB303" i="2"/>
  <c r="BK315" i="1"/>
  <c r="BK24" i="1"/>
  <c r="BB418" i="2"/>
  <c r="BK145" i="1"/>
  <c r="BK381" i="1"/>
  <c r="BK131" i="1"/>
  <c r="BK201" i="1"/>
  <c r="BK61" i="1"/>
  <c r="BK352" i="1"/>
  <c r="BK73" i="1"/>
  <c r="BB430" i="2"/>
  <c r="BK278" i="1"/>
  <c r="BK290" i="1"/>
  <c r="BK282" i="1"/>
  <c r="BB310" i="2"/>
  <c r="BB337" i="2"/>
  <c r="BB268" i="2"/>
  <c r="BK184" i="1"/>
  <c r="BB10" i="2"/>
  <c r="BK286" i="1"/>
  <c r="BB33" i="2"/>
  <c r="BK31" i="1"/>
  <c r="BK177" i="1"/>
  <c r="BJ343" i="1"/>
  <c r="BJ88" i="1"/>
  <c r="BJ326" i="1"/>
  <c r="BJ66" i="1"/>
  <c r="BJ283" i="1"/>
  <c r="BJ182" i="1"/>
  <c r="BJ127" i="1"/>
  <c r="BJ236" i="1"/>
  <c r="BA99" i="2"/>
  <c r="BJ135" i="1"/>
  <c r="BJ269" i="1"/>
  <c r="BJ82" i="1"/>
  <c r="BJ42" i="1"/>
  <c r="BJ143" i="1"/>
  <c r="BJ287" i="1"/>
  <c r="BJ302" i="1"/>
  <c r="BJ96" i="1"/>
  <c r="BJ185" i="1"/>
  <c r="BJ33" i="1"/>
  <c r="BJ102" i="1"/>
  <c r="BJ116" i="1"/>
  <c r="BJ50" i="1"/>
  <c r="BJ306" i="1"/>
  <c r="BJ17" i="1"/>
  <c r="BJ200" i="1"/>
  <c r="BJ423" i="1"/>
  <c r="BJ110" i="1"/>
  <c r="BJ90" i="1"/>
  <c r="BJ132" i="1"/>
  <c r="BJ319" i="1"/>
  <c r="BJ179" i="1"/>
  <c r="BJ309" i="1"/>
  <c r="BJ190" i="1"/>
  <c r="BJ231" i="1"/>
  <c r="BK271" i="1"/>
  <c r="BK258" i="1"/>
  <c r="BK272" i="1"/>
  <c r="BK166" i="1"/>
  <c r="BK337" i="1"/>
  <c r="BK193" i="1"/>
  <c r="BK327" i="1"/>
  <c r="BK351" i="1"/>
  <c r="BK250" i="1"/>
  <c r="BK312" i="1"/>
  <c r="BK264" i="1"/>
  <c r="BK346" i="1"/>
  <c r="BK106" i="1"/>
  <c r="BK187" i="1"/>
  <c r="BK354" i="1"/>
  <c r="BK52" i="1"/>
  <c r="BK232" i="1"/>
  <c r="BK191" i="1"/>
  <c r="BK26" i="1"/>
  <c r="BB332" i="2"/>
  <c r="BK361" i="1"/>
  <c r="BK408" i="1"/>
  <c r="BB82" i="2"/>
  <c r="BK242" i="1"/>
  <c r="BB68" i="2"/>
  <c r="BK57" i="1"/>
  <c r="BK223" i="1"/>
  <c r="BK203" i="1"/>
  <c r="BB374" i="2"/>
  <c r="BK275" i="1"/>
  <c r="BK328" i="1"/>
  <c r="BK99" i="1"/>
  <c r="BK218" i="1"/>
  <c r="BK213" i="1"/>
  <c r="BK39" i="1"/>
  <c r="BK67" i="1"/>
  <c r="BK5" i="1"/>
  <c r="B5" i="10"/>
  <c r="B28" i="10"/>
  <c r="B10" i="10"/>
  <c r="B27" i="10"/>
  <c r="B8" i="10"/>
  <c r="B11" i="10"/>
  <c r="B23" i="10"/>
  <c r="B21" i="10"/>
  <c r="B4" i="10"/>
  <c r="B17" i="10"/>
  <c r="B19" i="10"/>
  <c r="B25" i="10"/>
  <c r="F3" i="10"/>
  <c r="B14" i="10"/>
  <c r="B12" i="10"/>
  <c r="B13" i="10"/>
  <c r="B26" i="10"/>
  <c r="B18" i="10"/>
  <c r="B3" i="10"/>
  <c r="B22" i="10"/>
  <c r="B16" i="10"/>
  <c r="B20" i="10"/>
  <c r="B9" i="10"/>
  <c r="F27" i="10"/>
  <c r="B7" i="10"/>
  <c r="B6" i="10"/>
  <c r="B15" i="10"/>
  <c r="B24" i="10"/>
  <c r="BI334" i="1"/>
  <c r="BI188" i="1"/>
  <c r="BI225" i="1"/>
  <c r="AZ155" i="2"/>
  <c r="BI122" i="1"/>
  <c r="BI181" i="1"/>
  <c r="BI433" i="1"/>
  <c r="BI87" i="1"/>
  <c r="BI294" i="1"/>
  <c r="BJ29" i="1"/>
  <c r="BA441" i="2"/>
  <c r="BJ95" i="1"/>
  <c r="BA235" i="2"/>
  <c r="BJ169" i="1"/>
  <c r="BJ301" i="1"/>
  <c r="BJ40" i="1"/>
  <c r="BJ322" i="1"/>
  <c r="BJ418" i="1"/>
  <c r="BJ228" i="1"/>
  <c r="BJ407" i="1"/>
  <c r="BJ397" i="1"/>
  <c r="BA182" i="2"/>
  <c r="BJ58" i="1"/>
  <c r="BJ32" i="1"/>
  <c r="BJ64" i="1"/>
  <c r="BJ410" i="1"/>
  <c r="BJ167" i="1"/>
  <c r="BJ212" i="1"/>
  <c r="BJ291" i="1"/>
  <c r="BJ315" i="1"/>
  <c r="BJ145" i="1"/>
  <c r="BJ131" i="1"/>
  <c r="BJ201" i="1"/>
  <c r="BA341" i="2"/>
  <c r="BJ352" i="1"/>
  <c r="BJ278" i="1"/>
  <c r="BJ290" i="1"/>
  <c r="BJ282" i="1"/>
  <c r="BA357" i="2"/>
  <c r="BA10" i="2"/>
  <c r="BJ286" i="1"/>
  <c r="BA87" i="2"/>
  <c r="BJ177" i="1"/>
  <c r="BJ215" i="1"/>
  <c r="BJ270" i="1"/>
  <c r="BJ65" i="1"/>
  <c r="BK331" i="1"/>
  <c r="BK15" i="1"/>
  <c r="BK35" i="1"/>
  <c r="BK148" i="1"/>
  <c r="BK341" i="1"/>
  <c r="BK216" i="1"/>
  <c r="BK56" i="1"/>
  <c r="BK118" i="1"/>
  <c r="BK437" i="1"/>
  <c r="BK279" i="1"/>
  <c r="BK16" i="1"/>
  <c r="BK252" i="1"/>
  <c r="BK255" i="1"/>
  <c r="BK273" i="1"/>
  <c r="BK311" i="1"/>
  <c r="BB443" i="2"/>
  <c r="BK219" i="1"/>
  <c r="BK239" i="1"/>
  <c r="BB269" i="2"/>
  <c r="BK364" i="1"/>
  <c r="BK22" i="1"/>
  <c r="BK92" i="1"/>
  <c r="BK342" i="1"/>
  <c r="BK386" i="1"/>
  <c r="BK126" i="1"/>
  <c r="BK387" i="1"/>
  <c r="BK199" i="1"/>
  <c r="BK174" i="1"/>
  <c r="BK404" i="1"/>
  <c r="BK420" i="1"/>
  <c r="BK224" i="1"/>
  <c r="BK229" i="1"/>
  <c r="BB65" i="2"/>
  <c r="BK308" i="1"/>
  <c r="BK403" i="1"/>
  <c r="BI154" i="1"/>
  <c r="BI259" i="1"/>
  <c r="BI367" i="1"/>
  <c r="BI320" i="1"/>
  <c r="AZ294" i="2"/>
  <c r="BI240" i="1"/>
  <c r="BI362" i="1"/>
  <c r="BI256" i="1"/>
  <c r="BI7" i="1"/>
  <c r="BI43" i="1"/>
  <c r="BI260" i="1"/>
  <c r="AZ187" i="2"/>
  <c r="BI146" i="1"/>
  <c r="BI62" i="1"/>
  <c r="BI277" i="1"/>
  <c r="BI19" i="1"/>
  <c r="BI368" i="1"/>
  <c r="BI85" i="1"/>
  <c r="BJ358" i="1"/>
  <c r="BJ271" i="1"/>
  <c r="BJ272" i="1"/>
  <c r="BJ166" i="1"/>
  <c r="BJ337" i="1"/>
  <c r="BJ327" i="1"/>
  <c r="BJ351" i="1"/>
  <c r="BJ250" i="1"/>
  <c r="BJ264" i="1"/>
  <c r="BJ346" i="1"/>
  <c r="BJ106" i="1"/>
  <c r="BJ187" i="1"/>
  <c r="BA327" i="2"/>
  <c r="BJ138" i="1"/>
  <c r="BJ354" i="1"/>
  <c r="BJ52" i="1"/>
  <c r="BJ232" i="1"/>
  <c r="BJ191" i="1"/>
  <c r="BJ26" i="1"/>
  <c r="BJ408" i="1"/>
  <c r="BJ57" i="1"/>
  <c r="BJ223" i="1"/>
  <c r="BJ203" i="1"/>
  <c r="BJ69" i="1"/>
  <c r="BJ365" i="1"/>
  <c r="BJ328" i="1"/>
  <c r="BA22" i="2"/>
  <c r="BA61" i="2"/>
  <c r="BA150" i="2"/>
  <c r="BJ99" i="1"/>
  <c r="BJ218" i="1"/>
  <c r="BJ213" i="1"/>
  <c r="BJ39" i="1"/>
  <c r="BJ67" i="1"/>
  <c r="BJ5" i="1"/>
  <c r="BK317" i="1"/>
  <c r="BK334" i="1"/>
  <c r="BK188" i="1"/>
  <c r="BK225" i="1"/>
  <c r="BK222" i="1"/>
  <c r="BB155" i="2"/>
  <c r="BK122" i="1"/>
  <c r="BK157" i="1"/>
  <c r="BK433" i="1"/>
  <c r="BK87" i="1"/>
  <c r="BK202" i="1"/>
  <c r="BK76" i="1"/>
  <c r="BK133" i="1"/>
  <c r="BK113" i="1"/>
  <c r="BB254" i="2"/>
  <c r="BK178" i="1"/>
  <c r="BK330" i="1"/>
  <c r="BK393" i="1"/>
  <c r="BK55" i="1"/>
  <c r="BK77" i="1"/>
  <c r="BK100" i="1"/>
  <c r="BK81" i="1"/>
  <c r="BK192" i="1"/>
  <c r="BK227" i="1"/>
  <c r="BK389" i="1"/>
  <c r="BK123" i="1"/>
  <c r="BK38" i="1"/>
  <c r="BK349" i="1"/>
  <c r="BK107" i="1"/>
  <c r="BK350" i="1"/>
  <c r="BK51" i="1"/>
  <c r="BK160" i="1"/>
  <c r="BK355" i="1"/>
  <c r="BK435" i="1"/>
  <c r="BK101" i="1"/>
  <c r="BK75" i="1"/>
  <c r="BK156" i="1"/>
  <c r="BK208" i="1"/>
  <c r="BK372" i="1"/>
  <c r="BK176" i="1"/>
  <c r="BK398" i="1"/>
  <c r="BK23" i="1"/>
  <c r="BK417" i="1"/>
  <c r="BK388" i="1"/>
  <c r="BK356" i="1"/>
  <c r="BK329" i="1"/>
  <c r="BK44" i="1"/>
  <c r="BK172" i="1"/>
  <c r="BK234" i="1"/>
  <c r="BK13" i="1"/>
  <c r="BB86" i="2"/>
  <c r="BK262" i="1"/>
  <c r="BI316" i="1"/>
  <c r="BI299" i="1"/>
  <c r="BK215" i="1"/>
  <c r="BK270" i="1"/>
  <c r="BK65" i="1"/>
  <c r="BI331" i="1"/>
  <c r="BI339" i="1"/>
  <c r="BI35" i="1"/>
  <c r="BI428" i="1"/>
  <c r="BI148" i="1"/>
  <c r="BI341" i="1"/>
  <c r="BI216" i="1"/>
  <c r="BI118" i="1"/>
  <c r="BI437" i="1"/>
  <c r="BI279" i="1"/>
  <c r="BI16" i="1"/>
  <c r="BI252" i="1"/>
  <c r="AZ209" i="2"/>
  <c r="BI255" i="1"/>
  <c r="BI273" i="1"/>
  <c r="BI311" i="1"/>
  <c r="BI429" i="1"/>
  <c r="AZ88" i="2"/>
  <c r="BI340" i="1"/>
  <c r="AZ443" i="2"/>
  <c r="BI219" i="1"/>
  <c r="BI239" i="1"/>
  <c r="AZ269" i="2"/>
  <c r="BI364" i="1"/>
  <c r="BI405" i="1"/>
  <c r="BI22" i="1"/>
  <c r="BI92" i="1"/>
  <c r="BI342" i="1"/>
  <c r="AZ428" i="2"/>
  <c r="BI386" i="1"/>
  <c r="BI126" i="1"/>
  <c r="BI387" i="1"/>
  <c r="BI141" i="1"/>
  <c r="AZ278" i="2"/>
  <c r="AZ335" i="2"/>
  <c r="BI199" i="1"/>
  <c r="AZ316" i="2"/>
  <c r="AZ125" i="2"/>
  <c r="BI241" i="1"/>
  <c r="BI162" i="1"/>
  <c r="BI159" i="1"/>
  <c r="BI174" i="1"/>
  <c r="AZ163" i="2"/>
  <c r="BI404" i="1"/>
  <c r="BI420" i="1"/>
  <c r="BI224" i="1"/>
  <c r="BI229" i="1"/>
  <c r="AZ442" i="2"/>
  <c r="AZ65" i="2"/>
  <c r="BI202" i="1"/>
  <c r="BI133" i="1"/>
  <c r="BI77" i="1"/>
  <c r="BI227" i="1"/>
  <c r="BI389" i="1"/>
  <c r="BI123" i="1"/>
  <c r="AZ190" i="2"/>
  <c r="BI107" i="1"/>
  <c r="BI51" i="1"/>
  <c r="BI355" i="1"/>
  <c r="BI151" i="1"/>
  <c r="BI435" i="1"/>
  <c r="BI75" i="1"/>
  <c r="BI156" i="1"/>
  <c r="BI372" i="1"/>
  <c r="BI376" i="1"/>
  <c r="BI176" i="1"/>
  <c r="BI23" i="1"/>
  <c r="BI417" i="1"/>
  <c r="BI388" i="1"/>
  <c r="BI356" i="1"/>
  <c r="BI329" i="1"/>
  <c r="BI44" i="1"/>
  <c r="BI172" i="1"/>
  <c r="BI234" i="1"/>
  <c r="BI13" i="1"/>
  <c r="BI262" i="1"/>
  <c r="BH194" i="1"/>
  <c r="AY420" i="2"/>
  <c r="BH217" i="1"/>
  <c r="BH316" i="1"/>
  <c r="BH299" i="1"/>
  <c r="AY391" i="2"/>
  <c r="BH83" i="1"/>
  <c r="BH11" i="1"/>
  <c r="BH371" i="1"/>
  <c r="BH412" i="1"/>
  <c r="BH268" i="1"/>
  <c r="AY285" i="2"/>
  <c r="BH18" i="1"/>
  <c r="BH418" i="1"/>
  <c r="BH228" i="1"/>
  <c r="BH20" i="1"/>
  <c r="BH407" i="1"/>
  <c r="BH397" i="1"/>
  <c r="BH204" i="1"/>
  <c r="BH64" i="1"/>
  <c r="BH410" i="1"/>
  <c r="AY327" i="2"/>
  <c r="BH138" i="1"/>
  <c r="AY443" i="2"/>
  <c r="BH219" i="1"/>
  <c r="BH239" i="1"/>
  <c r="AY38" i="2"/>
  <c r="BH61" i="1"/>
  <c r="BH408" i="1"/>
  <c r="BH325" i="1"/>
  <c r="BH144" i="1"/>
  <c r="BH185" i="1"/>
  <c r="BH159" i="1"/>
  <c r="BH174" i="1"/>
  <c r="AY54" i="2"/>
  <c r="BH23" i="1"/>
  <c r="BH328" i="1"/>
  <c r="BI15" i="1"/>
  <c r="BI72" i="1"/>
  <c r="BI84" i="1"/>
  <c r="BI400" i="1"/>
  <c r="BI313" i="1"/>
  <c r="BI426" i="1"/>
  <c r="BI416" i="1"/>
  <c r="BI173" i="1"/>
  <c r="BI380" i="1"/>
  <c r="BI142" i="1"/>
  <c r="BI246" i="1"/>
  <c r="BI335" i="1"/>
  <c r="BI120" i="1"/>
  <c r="BI419" i="1"/>
  <c r="BI139" i="1"/>
  <c r="BI93" i="1"/>
  <c r="BI413" i="1"/>
  <c r="BI347" i="1"/>
  <c r="BI333" i="1"/>
  <c r="BI48" i="1"/>
  <c r="BI86" i="1"/>
  <c r="BH288" i="1"/>
  <c r="BH261" i="1"/>
  <c r="BH272" i="1"/>
  <c r="BH166" i="1"/>
  <c r="BH327" i="1"/>
  <c r="BH351" i="1"/>
  <c r="BH250" i="1"/>
  <c r="BH312" i="1"/>
  <c r="BH264" i="1"/>
  <c r="BH346" i="1"/>
  <c r="BH106" i="1"/>
  <c r="BH187" i="1"/>
  <c r="BH273" i="1"/>
  <c r="BH429" i="1"/>
  <c r="BH389" i="1"/>
  <c r="BH123" i="1"/>
  <c r="BH38" i="1"/>
  <c r="BH349" i="1"/>
  <c r="AY398" i="2"/>
  <c r="BH361" i="1"/>
  <c r="BH101" i="1"/>
  <c r="BH54" i="1"/>
  <c r="BH241" i="1"/>
  <c r="BH162" i="1"/>
  <c r="BH398" i="1"/>
  <c r="BH246" i="1"/>
  <c r="BH335" i="1"/>
  <c r="BH120" i="1"/>
  <c r="BH390" i="1"/>
  <c r="BH401" i="1"/>
  <c r="BH177" i="1"/>
  <c r="BH190" i="1"/>
  <c r="BH213" i="1"/>
  <c r="BH86" i="1"/>
  <c r="BI358" i="1"/>
  <c r="BI109" i="1"/>
  <c r="BI221" i="1"/>
  <c r="BI375" i="1"/>
  <c r="BI434" i="1"/>
  <c r="BI149" i="1"/>
  <c r="BI257" i="1"/>
  <c r="BI300" i="1"/>
  <c r="BI369" i="1"/>
  <c r="BI124" i="1"/>
  <c r="BI379" i="1"/>
  <c r="BI128" i="1"/>
  <c r="BI402" i="1"/>
  <c r="BI196" i="1"/>
  <c r="BI209" i="1"/>
  <c r="BI377" i="1"/>
  <c r="BI353" i="1"/>
  <c r="BI125" i="1"/>
  <c r="BI265" i="1"/>
  <c r="BI136" i="1"/>
  <c r="BI214" i="1"/>
  <c r="BI28" i="1"/>
  <c r="BI304" i="1"/>
  <c r="AZ115" i="2"/>
  <c r="BI280" i="1"/>
  <c r="BI74" i="1"/>
  <c r="AZ108" i="2"/>
  <c r="BI399" i="1"/>
  <c r="BI284" i="1"/>
  <c r="BI158" i="1"/>
  <c r="AZ230" i="2"/>
  <c r="BI233" i="1"/>
  <c r="BI401" i="1"/>
  <c r="BI263" i="1"/>
  <c r="AZ7" i="2"/>
  <c r="BI338" i="1"/>
  <c r="BI414" i="1"/>
  <c r="BI394" i="1"/>
  <c r="BI289" i="1"/>
  <c r="AY431" i="2"/>
  <c r="BH436" i="1"/>
  <c r="BH37" i="1"/>
  <c r="AY235" i="2"/>
  <c r="BH169" i="1"/>
  <c r="BH40" i="1"/>
  <c r="BH148" i="1"/>
  <c r="BH341" i="1"/>
  <c r="BH216" i="1"/>
  <c r="BH56" i="1"/>
  <c r="BH118" i="1"/>
  <c r="BH437" i="1"/>
  <c r="BH279" i="1"/>
  <c r="BH16" i="1"/>
  <c r="BH252" i="1"/>
  <c r="BH330" i="1"/>
  <c r="BH393" i="1"/>
  <c r="BH55" i="1"/>
  <c r="BH77" i="1"/>
  <c r="BH103" i="1"/>
  <c r="BH81" i="1"/>
  <c r="BH192" i="1"/>
  <c r="BH368" i="1"/>
  <c r="BH85" i="1"/>
  <c r="BH8" i="1"/>
  <c r="BH424" i="1"/>
  <c r="BH201" i="1"/>
  <c r="BH386" i="1"/>
  <c r="BH126" i="1"/>
  <c r="BH387" i="1"/>
  <c r="BH223" i="1"/>
  <c r="BH203" i="1"/>
  <c r="BH176" i="1"/>
  <c r="BH280" i="1"/>
  <c r="BH74" i="1"/>
  <c r="BH310" i="1"/>
  <c r="BI83" i="1"/>
  <c r="BI178" i="1"/>
  <c r="BI251" i="1"/>
  <c r="BI60" i="1"/>
  <c r="BI438" i="1"/>
  <c r="BI210" i="1"/>
  <c r="BI295" i="1"/>
  <c r="BI108" i="1"/>
  <c r="AY441" i="2"/>
  <c r="BH95" i="1"/>
  <c r="AY449" i="2"/>
  <c r="BH109" i="1"/>
  <c r="BH76" i="1"/>
  <c r="BH133" i="1"/>
  <c r="BH113" i="1"/>
  <c r="AY187" i="2"/>
  <c r="BH146" i="1"/>
  <c r="BH277" i="1"/>
  <c r="BH128" i="1"/>
  <c r="BH402" i="1"/>
  <c r="BH381" i="1"/>
  <c r="BH191" i="1"/>
  <c r="BH57" i="1"/>
  <c r="BH380" i="1"/>
  <c r="BH423" i="1"/>
  <c r="BH413" i="1"/>
  <c r="AY196" i="2"/>
  <c r="BH21" i="1"/>
  <c r="BH183" i="1"/>
  <c r="BH287" i="1"/>
  <c r="BH263" i="1"/>
  <c r="BH60" i="1"/>
  <c r="BH205" i="1"/>
  <c r="BH172" i="1"/>
  <c r="BH417" i="1"/>
  <c r="BH31" i="1"/>
  <c r="BH233" i="1"/>
  <c r="BH218" i="1"/>
  <c r="BH333" i="1"/>
  <c r="BI55" i="1"/>
  <c r="BI102" i="1"/>
  <c r="BI137" i="1"/>
  <c r="BI17" i="1"/>
  <c r="BI200" i="1"/>
  <c r="BI423" i="1"/>
  <c r="BI110" i="1"/>
  <c r="BI319" i="1"/>
  <c r="BI309" i="1"/>
  <c r="BI231" i="1"/>
  <c r="BH271" i="1"/>
  <c r="BH129" i="1"/>
  <c r="BH320" i="1"/>
  <c r="AY294" i="2"/>
  <c r="BH240" i="1"/>
  <c r="BH345" i="1"/>
  <c r="BH362" i="1"/>
  <c r="BH256" i="1"/>
  <c r="BH43" i="1"/>
  <c r="BH260" i="1"/>
  <c r="BH379" i="1"/>
  <c r="BH195" i="1"/>
  <c r="BH292" i="1"/>
  <c r="BH22" i="1"/>
  <c r="BH342" i="1"/>
  <c r="BH385" i="1"/>
  <c r="BH186" i="1"/>
  <c r="BH28" i="1"/>
  <c r="BH102" i="1"/>
  <c r="BH116" i="1"/>
  <c r="BH139" i="1"/>
  <c r="BH200" i="1"/>
  <c r="BH229" i="1"/>
  <c r="BH347" i="1"/>
  <c r="BI56" i="1"/>
  <c r="BI24" i="1"/>
  <c r="BI145" i="1"/>
  <c r="BI131" i="1"/>
  <c r="BI61" i="1"/>
  <c r="AZ213" i="2"/>
  <c r="BI352" i="1"/>
  <c r="BI73" i="1"/>
  <c r="BI290" i="1"/>
  <c r="BI184" i="1"/>
  <c r="BI286" i="1"/>
  <c r="BI31" i="1"/>
  <c r="BI177" i="1"/>
  <c r="BI215" i="1"/>
  <c r="BI270" i="1"/>
  <c r="BI65" i="1"/>
  <c r="BH331" i="1"/>
  <c r="BH15" i="1"/>
  <c r="AY155" i="2"/>
  <c r="BH122" i="1"/>
  <c r="BH161" i="1"/>
  <c r="BH53" i="1"/>
  <c r="BH300" i="1"/>
  <c r="BH369" i="1"/>
  <c r="BH124" i="1"/>
  <c r="BH34" i="1"/>
  <c r="BH422" i="1"/>
  <c r="BH121" i="1"/>
  <c r="BH269" i="1"/>
  <c r="BH82" i="1"/>
  <c r="BH232" i="1"/>
  <c r="BH350" i="1"/>
  <c r="BH265" i="1"/>
  <c r="BH156" i="1"/>
  <c r="BH208" i="1"/>
  <c r="BH323" i="1"/>
  <c r="BH282" i="1"/>
  <c r="BH399" i="1"/>
  <c r="BH420" i="1"/>
  <c r="BH224" i="1"/>
  <c r="BH44" i="1"/>
  <c r="BH231" i="1"/>
  <c r="BK50" i="1"/>
  <c r="BK306" i="1"/>
  <c r="BK17" i="1"/>
  <c r="BK200" i="1"/>
  <c r="BK423" i="1"/>
  <c r="BK110" i="1"/>
  <c r="BK90" i="1"/>
  <c r="BK132" i="1"/>
  <c r="BK319" i="1"/>
  <c r="BK179" i="1"/>
  <c r="BK309" i="1"/>
  <c r="BK190" i="1"/>
  <c r="BK231" i="1"/>
  <c r="BI163" i="1"/>
  <c r="BI271" i="1"/>
  <c r="BI258" i="1"/>
  <c r="BI183" i="1"/>
  <c r="BI272" i="1"/>
  <c r="BI337" i="1"/>
  <c r="BI193" i="1"/>
  <c r="BI327" i="1"/>
  <c r="BI351" i="1"/>
  <c r="BI226" i="1"/>
  <c r="BI250" i="1"/>
  <c r="BI312" i="1"/>
  <c r="BI264" i="1"/>
  <c r="BI106" i="1"/>
  <c r="BI187" i="1"/>
  <c r="BI9" i="1"/>
  <c r="BI354" i="1"/>
  <c r="BI392" i="1"/>
  <c r="BI52" i="1"/>
  <c r="BI232" i="1"/>
  <c r="BI191" i="1"/>
  <c r="BI26" i="1"/>
  <c r="BI361" i="1"/>
  <c r="BI408" i="1"/>
  <c r="BI415" i="1"/>
  <c r="AZ82" i="2"/>
  <c r="BI242" i="1"/>
  <c r="BI57" i="1"/>
  <c r="BI223" i="1"/>
  <c r="BI203" i="1"/>
  <c r="AZ374" i="2"/>
  <c r="BI69" i="1"/>
  <c r="BI365" i="1"/>
  <c r="BI275" i="1"/>
  <c r="BI328" i="1"/>
  <c r="AZ22" i="2"/>
  <c r="AZ61" i="2"/>
  <c r="AZ150" i="2"/>
  <c r="BI99" i="1"/>
  <c r="BI218" i="1"/>
  <c r="BI213" i="1"/>
  <c r="BI39" i="1"/>
  <c r="BI67" i="1"/>
  <c r="BI5" i="1"/>
  <c r="BH317" i="1"/>
  <c r="BH249" i="1"/>
  <c r="BH334" i="1"/>
  <c r="BH188" i="1"/>
  <c r="BH225" i="1"/>
  <c r="AY286" i="2"/>
  <c r="BH259" i="1"/>
  <c r="BH293" i="1"/>
  <c r="BH367" i="1"/>
  <c r="AY282" i="2"/>
  <c r="BH25" i="1"/>
  <c r="BH430" i="1"/>
  <c r="BI100" i="1"/>
  <c r="BI346" i="1"/>
  <c r="BH184" i="1"/>
  <c r="BH409" i="1"/>
  <c r="BH270" i="1"/>
  <c r="BH154" i="1"/>
  <c r="AY368" i="2"/>
  <c r="BH274" i="1"/>
  <c r="BH68" i="1"/>
  <c r="BH247" i="1"/>
  <c r="BH153" i="1"/>
  <c r="BH182" i="1"/>
  <c r="BH127" i="1"/>
  <c r="BH236" i="1"/>
  <c r="BH212" i="1"/>
  <c r="BH291" i="1"/>
  <c r="AY303" i="2"/>
  <c r="BH24" i="1"/>
  <c r="BH107" i="1"/>
  <c r="AY312" i="2"/>
  <c r="BH168" i="1"/>
  <c r="BH111" i="1"/>
  <c r="BH382" i="1"/>
  <c r="AY364" i="2"/>
  <c r="BH75" i="1"/>
  <c r="BH406" i="1"/>
  <c r="BH33" i="1"/>
  <c r="AY60" i="2"/>
  <c r="BH275" i="1"/>
  <c r="BH150" i="1"/>
  <c r="AY110" i="2"/>
  <c r="BH17" i="1"/>
  <c r="BH356" i="1"/>
  <c r="BH329" i="1"/>
  <c r="AY179" i="2"/>
  <c r="AY426" i="2"/>
  <c r="AY384" i="2"/>
  <c r="AY22" i="2"/>
  <c r="BH373" i="1"/>
  <c r="BH319" i="1"/>
  <c r="BH414" i="1"/>
  <c r="BH67" i="1"/>
  <c r="BI308" i="1"/>
  <c r="BI403" i="1"/>
  <c r="BH63" i="1"/>
  <c r="AY107" i="2"/>
  <c r="AY93" i="2"/>
  <c r="AY197" i="2"/>
  <c r="BH221" i="1"/>
  <c r="AY351" i="2"/>
  <c r="BH117" i="1"/>
  <c r="BH253" i="1"/>
  <c r="BH396" i="1"/>
  <c r="BH237" i="1"/>
  <c r="BH88" i="1"/>
  <c r="BH326" i="1"/>
  <c r="BH66" i="1"/>
  <c r="BH391" i="1"/>
  <c r="BH411" i="1"/>
  <c r="AY360" i="2"/>
  <c r="BH167" i="1"/>
  <c r="BH47" i="1"/>
  <c r="AY331" i="2"/>
  <c r="BH354" i="1"/>
  <c r="BH392" i="1"/>
  <c r="BH52" i="1"/>
  <c r="BH405" i="1"/>
  <c r="BH400" i="1"/>
  <c r="BH370" i="1"/>
  <c r="BH377" i="1"/>
  <c r="BH353" i="1"/>
  <c r="BH125" i="1"/>
  <c r="BH143" i="1"/>
  <c r="AY309" i="2"/>
  <c r="AY82" i="2"/>
  <c r="BH173" i="1"/>
  <c r="BH214" i="1"/>
  <c r="BH89" i="1"/>
  <c r="BH298" i="1"/>
  <c r="BH245" i="1"/>
  <c r="BH278" i="1"/>
  <c r="BH290" i="1"/>
  <c r="BH365" i="1"/>
  <c r="BH306" i="1"/>
  <c r="AY268" i="2"/>
  <c r="BH132" i="1"/>
  <c r="AY203" i="2"/>
  <c r="BH359" i="1"/>
  <c r="AY89" i="2"/>
  <c r="BH134" i="1"/>
  <c r="BH338" i="1"/>
  <c r="BH108" i="1"/>
  <c r="BH403" i="1"/>
  <c r="BH283" i="1"/>
  <c r="BH234" i="1"/>
  <c r="AY314" i="2"/>
  <c r="BH14" i="1"/>
  <c r="BH262" i="1"/>
  <c r="BH39" i="1"/>
  <c r="H768" i="3"/>
  <c r="P768" i="3"/>
  <c r="E768" i="3"/>
  <c r="M768" i="3"/>
  <c r="J768" i="3"/>
  <c r="G768" i="3"/>
  <c r="O768" i="3"/>
  <c r="D768" i="3"/>
  <c r="L768" i="3"/>
  <c r="I768" i="3"/>
  <c r="F768" i="3"/>
  <c r="N768" i="3"/>
  <c r="S768" i="3"/>
  <c r="K768" i="3"/>
  <c r="H752" i="3"/>
  <c r="P752" i="3"/>
  <c r="E752" i="3"/>
  <c r="M752" i="3"/>
  <c r="J752" i="3"/>
  <c r="G752" i="3"/>
  <c r="O752" i="3"/>
  <c r="D752" i="3"/>
  <c r="L752" i="3"/>
  <c r="I752" i="3"/>
  <c r="F752" i="3"/>
  <c r="N752" i="3"/>
  <c r="S752" i="3"/>
  <c r="K752" i="3"/>
  <c r="H600" i="3"/>
  <c r="P600" i="3"/>
  <c r="E600" i="3"/>
  <c r="M600" i="3"/>
  <c r="J600" i="3"/>
  <c r="G600" i="3"/>
  <c r="O600" i="3"/>
  <c r="D600" i="3"/>
  <c r="L600" i="3"/>
  <c r="I600" i="3"/>
  <c r="F600" i="3"/>
  <c r="N600" i="3"/>
  <c r="S600" i="3"/>
  <c r="K600" i="3"/>
  <c r="H544" i="3"/>
  <c r="P544" i="3"/>
  <c r="E544" i="3"/>
  <c r="M544" i="3"/>
  <c r="J544" i="3"/>
  <c r="G544" i="3"/>
  <c r="O544" i="3"/>
  <c r="D544" i="3"/>
  <c r="L544" i="3"/>
  <c r="I544" i="3"/>
  <c r="F544" i="3"/>
  <c r="N544" i="3"/>
  <c r="S544" i="3"/>
  <c r="K544" i="3"/>
  <c r="H508" i="3"/>
  <c r="P508" i="3"/>
  <c r="E508" i="3"/>
  <c r="M508" i="3"/>
  <c r="J508" i="3"/>
  <c r="G508" i="3"/>
  <c r="O508" i="3"/>
  <c r="D508" i="3"/>
  <c r="L508" i="3"/>
  <c r="I508" i="3"/>
  <c r="F508" i="3"/>
  <c r="N508" i="3"/>
  <c r="S508" i="3"/>
  <c r="K508" i="3"/>
  <c r="H471" i="3"/>
  <c r="P471" i="3"/>
  <c r="E471" i="3"/>
  <c r="M471" i="3"/>
  <c r="J471" i="3"/>
  <c r="G471" i="3"/>
  <c r="O471" i="3"/>
  <c r="D471" i="3"/>
  <c r="L471" i="3"/>
  <c r="I471" i="3"/>
  <c r="F471" i="3"/>
  <c r="N471" i="3"/>
  <c r="S471" i="3"/>
  <c r="K471" i="3"/>
  <c r="H449" i="3"/>
  <c r="P449" i="3"/>
  <c r="E449" i="3"/>
  <c r="M449" i="3"/>
  <c r="J449" i="3"/>
  <c r="G449" i="3"/>
  <c r="O449" i="3"/>
  <c r="D449" i="3"/>
  <c r="L449" i="3"/>
  <c r="I449" i="3"/>
  <c r="F449" i="3"/>
  <c r="N449" i="3"/>
  <c r="S449" i="3"/>
  <c r="K449" i="3"/>
  <c r="H261" i="3"/>
  <c r="P261" i="3"/>
  <c r="E261" i="3"/>
  <c r="M261" i="3"/>
  <c r="J261" i="3"/>
  <c r="G261" i="3"/>
  <c r="O261" i="3"/>
  <c r="D261" i="3"/>
  <c r="L261" i="3"/>
  <c r="I261" i="3"/>
  <c r="F261" i="3"/>
  <c r="N261" i="3"/>
  <c r="S261" i="3"/>
  <c r="K261" i="3"/>
  <c r="P392" i="3"/>
  <c r="M392" i="3"/>
  <c r="J392" i="3"/>
  <c r="O392" i="3"/>
  <c r="L392" i="3"/>
  <c r="I392" i="3"/>
  <c r="N392" i="3"/>
  <c r="S392" i="3"/>
  <c r="K392" i="3"/>
  <c r="P22" i="3"/>
  <c r="M22" i="3"/>
  <c r="J22" i="3"/>
  <c r="O22" i="3"/>
  <c r="L22" i="3"/>
  <c r="I22" i="3"/>
  <c r="N22" i="3"/>
  <c r="S22" i="3"/>
  <c r="K22" i="3"/>
  <c r="P604" i="3"/>
  <c r="M604" i="3"/>
  <c r="J604" i="3"/>
  <c r="O604" i="3"/>
  <c r="L604" i="3"/>
  <c r="I604" i="3"/>
  <c r="N604" i="3"/>
  <c r="S604" i="3"/>
  <c r="K604" i="3"/>
  <c r="P181" i="3"/>
  <c r="M181" i="3"/>
  <c r="J181" i="3"/>
  <c r="O181" i="3"/>
  <c r="L181" i="3"/>
  <c r="I181" i="3"/>
  <c r="N181" i="3"/>
  <c r="S181" i="3"/>
  <c r="K181" i="3"/>
  <c r="P354" i="3"/>
  <c r="M354" i="3"/>
  <c r="J354" i="3"/>
  <c r="O354" i="3"/>
  <c r="L354" i="3"/>
  <c r="I354" i="3"/>
  <c r="N354" i="3"/>
  <c r="S354" i="3"/>
  <c r="K354" i="3"/>
  <c r="P735" i="3"/>
  <c r="M735" i="3"/>
  <c r="J735" i="3"/>
  <c r="O735" i="3"/>
  <c r="L735" i="3"/>
  <c r="I735" i="3"/>
  <c r="N735" i="3"/>
  <c r="S735" i="3"/>
  <c r="K735" i="3"/>
  <c r="P122" i="3"/>
  <c r="M122" i="3"/>
  <c r="J122" i="3"/>
  <c r="O122" i="3"/>
  <c r="L122" i="3"/>
  <c r="I122" i="3"/>
  <c r="N122" i="3"/>
  <c r="S122" i="3"/>
  <c r="K122" i="3"/>
  <c r="P233" i="3"/>
  <c r="M233" i="3"/>
  <c r="J233" i="3"/>
  <c r="O233" i="3"/>
  <c r="L233" i="3"/>
  <c r="I233" i="3"/>
  <c r="N233" i="3"/>
  <c r="S233" i="3"/>
  <c r="K233" i="3"/>
  <c r="P630" i="3"/>
  <c r="M630" i="3"/>
  <c r="J630" i="3"/>
  <c r="O630" i="3"/>
  <c r="L630" i="3"/>
  <c r="I630" i="3"/>
  <c r="N630" i="3"/>
  <c r="S630" i="3"/>
  <c r="K630" i="3"/>
  <c r="P312" i="3"/>
  <c r="M312" i="3"/>
  <c r="J312" i="3"/>
  <c r="O312" i="3"/>
  <c r="L312" i="3"/>
  <c r="I312" i="3"/>
  <c r="N312" i="3"/>
  <c r="S312" i="3"/>
  <c r="K312" i="3"/>
  <c r="P297" i="3"/>
  <c r="M297" i="3"/>
  <c r="J297" i="3"/>
  <c r="O297" i="3"/>
  <c r="L297" i="3"/>
  <c r="I297" i="3"/>
  <c r="N297" i="3"/>
  <c r="S297" i="3"/>
  <c r="K297" i="3"/>
  <c r="P877" i="3"/>
  <c r="M877" i="3"/>
  <c r="J877" i="3"/>
  <c r="O877" i="3"/>
  <c r="L877" i="3"/>
  <c r="I877" i="3"/>
  <c r="N877" i="3"/>
  <c r="S877" i="3"/>
  <c r="K877" i="3"/>
  <c r="P360" i="3"/>
  <c r="M360" i="3"/>
  <c r="J360" i="3"/>
  <c r="O360" i="3"/>
  <c r="L360" i="3"/>
  <c r="I360" i="3"/>
  <c r="N360" i="3"/>
  <c r="S360" i="3"/>
  <c r="K360" i="3"/>
  <c r="P125" i="3"/>
  <c r="M125" i="3"/>
  <c r="J125" i="3"/>
  <c r="O125" i="3"/>
  <c r="L125" i="3"/>
  <c r="I125" i="3"/>
  <c r="N125" i="3"/>
  <c r="S125" i="3"/>
  <c r="K125" i="3"/>
  <c r="P267" i="3"/>
  <c r="M267" i="3"/>
  <c r="J267" i="3"/>
  <c r="O267" i="3"/>
  <c r="L267" i="3"/>
  <c r="I267" i="3"/>
  <c r="N267" i="3"/>
  <c r="S267" i="3"/>
  <c r="K267" i="3"/>
  <c r="AE749" i="3"/>
  <c r="AE729" i="3"/>
  <c r="AE596" i="3"/>
  <c r="AE573" i="3"/>
  <c r="AE549" i="3"/>
  <c r="AE473" i="3"/>
  <c r="N340" i="3"/>
  <c r="N85" i="3"/>
  <c r="N246" i="3"/>
  <c r="N92" i="3"/>
  <c r="N46" i="3"/>
  <c r="I340" i="3"/>
  <c r="I85" i="3"/>
  <c r="I246" i="3"/>
  <c r="I92" i="3"/>
  <c r="I46" i="3"/>
  <c r="L340" i="3"/>
  <c r="L85" i="3"/>
  <c r="L246" i="3"/>
  <c r="L92" i="3"/>
  <c r="L46" i="3"/>
  <c r="O340" i="3"/>
  <c r="O85" i="3"/>
  <c r="O246" i="3"/>
  <c r="J340" i="3"/>
  <c r="J85" i="3"/>
  <c r="J246" i="3"/>
  <c r="J92" i="3"/>
  <c r="J46" i="3"/>
  <c r="M340" i="3"/>
  <c r="M85" i="3"/>
  <c r="M246" i="3"/>
  <c r="M92" i="3"/>
  <c r="M46" i="3"/>
  <c r="P340" i="3"/>
  <c r="P85" i="3"/>
  <c r="P246" i="3"/>
  <c r="BA263" i="2"/>
  <c r="BA437" i="2"/>
  <c r="BA81" i="2"/>
  <c r="BA192" i="2"/>
  <c r="BA9" i="2"/>
  <c r="BA236" i="2"/>
  <c r="BA272" i="2"/>
  <c r="BA417" i="2"/>
  <c r="BA189" i="2"/>
  <c r="BA258" i="2"/>
  <c r="BB38" i="2"/>
  <c r="BB79" i="2"/>
  <c r="BB306" i="2"/>
  <c r="BB66" i="2"/>
  <c r="BB317" i="2"/>
  <c r="BB379" i="2"/>
  <c r="BB226" i="2"/>
  <c r="BB84" i="2"/>
  <c r="BB292" i="2"/>
  <c r="BB49" i="2"/>
  <c r="BB74" i="2"/>
  <c r="BB193" i="2"/>
  <c r="BB19" i="2"/>
  <c r="BB408" i="2"/>
  <c r="AZ85" i="2"/>
  <c r="AZ301" i="2"/>
  <c r="AZ411" i="2"/>
  <c r="AZ173" i="2"/>
  <c r="AZ21" i="2"/>
  <c r="AZ452" i="2"/>
  <c r="AZ76" i="2"/>
  <c r="AZ14" i="2"/>
  <c r="AZ59" i="2"/>
  <c r="AZ307" i="2"/>
  <c r="AZ48" i="2"/>
  <c r="AY167" i="2"/>
  <c r="AY66" i="2"/>
  <c r="AY123" i="2"/>
  <c r="AY81" i="2"/>
  <c r="AY21" i="2"/>
  <c r="AY148" i="2"/>
  <c r="AY378" i="2"/>
  <c r="BA130" i="2"/>
  <c r="BA113" i="2"/>
  <c r="BA151" i="2"/>
  <c r="BA343" i="2"/>
  <c r="BA109" i="2"/>
  <c r="BA321" i="2"/>
  <c r="BA400" i="2"/>
  <c r="BA119" i="2"/>
  <c r="BA100" i="2"/>
  <c r="BA117" i="2"/>
  <c r="BA89" i="2"/>
  <c r="BA162" i="2"/>
  <c r="BB30" i="2"/>
  <c r="BB451" i="2"/>
  <c r="BB159" i="2"/>
  <c r="BB367" i="2"/>
  <c r="BB380" i="2"/>
  <c r="BB219" i="2"/>
  <c r="BB349" i="2"/>
  <c r="AY277" i="2"/>
  <c r="BB307" i="2"/>
  <c r="AY253" i="2"/>
  <c r="AY122" i="2"/>
  <c r="AY341" i="2"/>
  <c r="BA398" i="2"/>
  <c r="BA44" i="2"/>
  <c r="BA106" i="2"/>
  <c r="BA59" i="2"/>
  <c r="BB211" i="2"/>
  <c r="BB299" i="2"/>
  <c r="BB126" i="2"/>
  <c r="BB378" i="2"/>
  <c r="BB138" i="2"/>
  <c r="BB145" i="2"/>
  <c r="AZ418" i="2"/>
  <c r="AZ268" i="2"/>
  <c r="AZ357" i="2"/>
  <c r="AZ388" i="2"/>
  <c r="AZ229" i="2"/>
  <c r="AZ192" i="2"/>
  <c r="AZ9" i="2"/>
  <c r="AZ33" i="2"/>
  <c r="AZ382" i="2"/>
  <c r="AZ417" i="2"/>
  <c r="AY437" i="2"/>
  <c r="AY299" i="2"/>
  <c r="AY357" i="2"/>
  <c r="AY317" i="2"/>
  <c r="AY73" i="2"/>
  <c r="AY55" i="2"/>
  <c r="AY9" i="2"/>
  <c r="AY18" i="2"/>
  <c r="BA245" i="2"/>
  <c r="BA123" i="2"/>
  <c r="BA373" i="2"/>
  <c r="BA225" i="2"/>
  <c r="BA325" i="2"/>
  <c r="BA174" i="2"/>
  <c r="BA148" i="2"/>
  <c r="BA432" i="2"/>
  <c r="BA315" i="2"/>
  <c r="BA203" i="2"/>
  <c r="BA46" i="2"/>
  <c r="BA195" i="2"/>
  <c r="BA390" i="2"/>
  <c r="BA387" i="2"/>
  <c r="BB11" i="2"/>
  <c r="BB80" i="2"/>
  <c r="AZ440" i="2"/>
  <c r="AZ400" i="2"/>
  <c r="AZ40" i="2"/>
  <c r="AY128" i="2"/>
  <c r="BA369" i="2"/>
  <c r="BA222" i="2"/>
  <c r="BA217" i="2"/>
  <c r="BA412" i="2"/>
  <c r="BA214" i="2"/>
  <c r="BB437" i="2"/>
  <c r="BB388" i="2"/>
  <c r="BB229" i="2"/>
  <c r="BB192" i="2"/>
  <c r="BB9" i="2"/>
  <c r="BB417" i="2"/>
  <c r="AZ455" i="2"/>
  <c r="AZ306" i="2"/>
  <c r="AZ66" i="2"/>
  <c r="AZ317" i="2"/>
  <c r="AZ226" i="2"/>
  <c r="AZ346" i="2"/>
  <c r="AZ49" i="2"/>
  <c r="AZ74" i="2"/>
  <c r="AZ19" i="2"/>
  <c r="AY393" i="2"/>
  <c r="AY438" i="2"/>
  <c r="AY225" i="2"/>
  <c r="AY62" i="2"/>
  <c r="AY50" i="2"/>
  <c r="AY11" i="2"/>
  <c r="AY380" i="2"/>
  <c r="AY370" i="2"/>
  <c r="BA431" i="2"/>
  <c r="BA253" i="2"/>
  <c r="BJ27" i="1"/>
  <c r="BA295" i="2"/>
  <c r="BA28" i="2"/>
  <c r="BJ207" i="1"/>
  <c r="BA362" i="2"/>
  <c r="BA52" i="2"/>
  <c r="BA284" i="2"/>
  <c r="BA338" i="2"/>
  <c r="BJ297" i="1"/>
  <c r="BA164" i="2"/>
  <c r="BA255" i="2"/>
  <c r="BA29" i="2"/>
  <c r="BJ30" i="1"/>
  <c r="BA276" i="2"/>
  <c r="BA457" i="2"/>
  <c r="BA395" i="2"/>
  <c r="BA128" i="2"/>
  <c r="BA180" i="2"/>
  <c r="BA120" i="2"/>
  <c r="BA5" i="2"/>
  <c r="BA137" i="2"/>
  <c r="BA314" i="2"/>
  <c r="BA234" i="2"/>
  <c r="BA329" i="2"/>
  <c r="BA381" i="2"/>
  <c r="BA372" i="2"/>
  <c r="BA15" i="2"/>
  <c r="BA160" i="2"/>
  <c r="BA244" i="2"/>
  <c r="BA285" i="2"/>
  <c r="BA368" i="2"/>
  <c r="BA237" i="2"/>
  <c r="BJ432" i="1"/>
  <c r="BJ59" i="1"/>
  <c r="BA246" i="2"/>
  <c r="BA250" i="2"/>
  <c r="BJ383" i="1"/>
  <c r="BA191" i="2"/>
  <c r="BA299" i="2"/>
  <c r="BA205" i="2"/>
  <c r="BA350" i="2"/>
  <c r="BA423" i="2"/>
  <c r="BA378" i="2"/>
  <c r="BA50" i="2"/>
  <c r="BJ105" i="1"/>
  <c r="BA196" i="2"/>
  <c r="BA188" i="2"/>
  <c r="BA370" i="2"/>
  <c r="BA102" i="2"/>
  <c r="BJ359" i="1"/>
  <c r="BJ348" i="1"/>
  <c r="BA145" i="2"/>
  <c r="BA24" i="2"/>
  <c r="BA135" i="2"/>
  <c r="BA459" i="2"/>
  <c r="BA47" i="2"/>
  <c r="BA206" i="2"/>
  <c r="BA153" i="2"/>
  <c r="BA356" i="2"/>
  <c r="BA233" i="2"/>
  <c r="BA101" i="2"/>
  <c r="BA51" i="2"/>
  <c r="BA64" i="2"/>
  <c r="BB161" i="2"/>
  <c r="BB172" i="2"/>
  <c r="BB235" i="2"/>
  <c r="BB360" i="2"/>
  <c r="BB341" i="2"/>
  <c r="BB171" i="2"/>
  <c r="BB359" i="2"/>
  <c r="BB339" i="2"/>
  <c r="BB318" i="2"/>
  <c r="BB26" i="2"/>
  <c r="BB228" i="2"/>
  <c r="BK235" i="1"/>
  <c r="BB293" i="2"/>
  <c r="BK248" i="1"/>
  <c r="BB256" i="2"/>
  <c r="BB43" i="2"/>
  <c r="BK421" i="1"/>
  <c r="BB131" i="2"/>
  <c r="BB263" i="2"/>
  <c r="BK45" i="1"/>
  <c r="BB118" i="2"/>
  <c r="BB37" i="2"/>
  <c r="BB357" i="2"/>
  <c r="BK378" i="1"/>
  <c r="BB169" i="2"/>
  <c r="BB81" i="2"/>
  <c r="BB274" i="2"/>
  <c r="BB87" i="2"/>
  <c r="BB170" i="2"/>
  <c r="BB236" i="2"/>
  <c r="BB272" i="2"/>
  <c r="BK180" i="1"/>
  <c r="BB36" i="2"/>
  <c r="BB243" i="2"/>
  <c r="BB58" i="2"/>
  <c r="BB289" i="2"/>
  <c r="BB392" i="2"/>
  <c r="BB156" i="2"/>
  <c r="BB70" i="2"/>
  <c r="BB189" i="2"/>
  <c r="BB277" i="2"/>
  <c r="BB258" i="2"/>
  <c r="BB333" i="2"/>
  <c r="BB56" i="2"/>
  <c r="BB247" i="2"/>
  <c r="BA95" i="2"/>
  <c r="BA393" i="2"/>
  <c r="BA354" i="2"/>
  <c r="BA433" i="2"/>
  <c r="BA238" i="2"/>
  <c r="BA39" i="2"/>
  <c r="BJ10" i="1"/>
  <c r="BA139" i="2"/>
  <c r="BJ137" i="1"/>
  <c r="BA319" i="2"/>
  <c r="BA110" i="2"/>
  <c r="BA146" i="2"/>
  <c r="BA78" i="2"/>
  <c r="BA303" i="2"/>
  <c r="BA171" i="2"/>
  <c r="BA359" i="2"/>
  <c r="BA339" i="2"/>
  <c r="BA318" i="2"/>
  <c r="BA26" i="2"/>
  <c r="BA228" i="2"/>
  <c r="BJ235" i="1"/>
  <c r="BA293" i="2"/>
  <c r="BA430" i="2"/>
  <c r="BJ248" i="1"/>
  <c r="BA256" i="2"/>
  <c r="BA43" i="2"/>
  <c r="BJ421" i="1"/>
  <c r="BA131" i="2"/>
  <c r="BJ45" i="1"/>
  <c r="BA118" i="2"/>
  <c r="BA337" i="2"/>
  <c r="BA37" i="2"/>
  <c r="BJ378" i="1"/>
  <c r="BA169" i="2"/>
  <c r="BA274" i="2"/>
  <c r="BA388" i="2"/>
  <c r="BA229" i="2"/>
  <c r="BA170" i="2"/>
  <c r="BJ180" i="1"/>
  <c r="BA36" i="2"/>
  <c r="BA243" i="2"/>
  <c r="BA58" i="2"/>
  <c r="BA289" i="2"/>
  <c r="BA392" i="2"/>
  <c r="BA156" i="2"/>
  <c r="BA70" i="2"/>
  <c r="BA277" i="2"/>
  <c r="BA333" i="2"/>
  <c r="BA56" i="2"/>
  <c r="BA247" i="2"/>
  <c r="BK36" i="1"/>
  <c r="BB105" i="2"/>
  <c r="BB157" i="2"/>
  <c r="BB6" i="2"/>
  <c r="BK395" i="1"/>
  <c r="BK211" i="1"/>
  <c r="BB16" i="2"/>
  <c r="BB63" i="2"/>
  <c r="BB405" i="2"/>
  <c r="BB27" i="2"/>
  <c r="BB259" i="2"/>
  <c r="BB112" i="2"/>
  <c r="BB90" i="2"/>
  <c r="BB17" i="2"/>
  <c r="BK114" i="1"/>
  <c r="BK12" i="1"/>
  <c r="BK243" i="1"/>
  <c r="BB346" i="2"/>
  <c r="BB25" i="2"/>
  <c r="BB262" i="2"/>
  <c r="BK230" i="1"/>
  <c r="BK431" i="1"/>
  <c r="BB260" i="2"/>
  <c r="BB363" i="2"/>
  <c r="BB252" i="2"/>
  <c r="BB281" i="2"/>
  <c r="BB127" i="2"/>
  <c r="BB394" i="2"/>
  <c r="AZ324" i="2"/>
  <c r="BI321" i="1"/>
  <c r="AZ12" i="2"/>
  <c r="AZ94" i="2"/>
  <c r="BI318" i="1"/>
  <c r="AZ220" i="2"/>
  <c r="AZ336" i="2"/>
  <c r="BA385" i="2"/>
  <c r="BA449" i="2"/>
  <c r="BA121" i="2"/>
  <c r="BA300" i="2"/>
  <c r="BA332" i="2"/>
  <c r="BJ415" i="1"/>
  <c r="BA438" i="2"/>
  <c r="BA82" i="2"/>
  <c r="BA68" i="2"/>
  <c r="BJ189" i="1"/>
  <c r="BA453" i="2"/>
  <c r="BA440" i="2"/>
  <c r="BA374" i="2"/>
  <c r="BA334" i="2"/>
  <c r="BA167" i="2"/>
  <c r="BJ244" i="1"/>
  <c r="BA176" i="2"/>
  <c r="BA384" i="2"/>
  <c r="BA73" i="2"/>
  <c r="BA57" i="2"/>
  <c r="BJ285" i="1"/>
  <c r="BA204" i="2"/>
  <c r="BJ21" i="1"/>
  <c r="BA358" i="2"/>
  <c r="BA402" i="2"/>
  <c r="BA67" i="2"/>
  <c r="BJ276" i="1"/>
  <c r="BJ134" i="1"/>
  <c r="BA83" i="2"/>
  <c r="BA133" i="2"/>
  <c r="BA450" i="2"/>
  <c r="BA273" i="2"/>
  <c r="BA210" i="2"/>
  <c r="BA45" i="2"/>
  <c r="BB185" i="2"/>
  <c r="BB401" i="2"/>
  <c r="BB421" i="2"/>
  <c r="BB231" i="2"/>
  <c r="BK220" i="1"/>
  <c r="BB446" i="2"/>
  <c r="BB42" i="2"/>
  <c r="BB116" i="2"/>
  <c r="BB129" i="2"/>
  <c r="BB328" i="2"/>
  <c r="BB20" i="2"/>
  <c r="BB323" i="2"/>
  <c r="BK175" i="1"/>
  <c r="BK360" i="1"/>
  <c r="BB104" i="2"/>
  <c r="BB198" i="2"/>
  <c r="BB264" i="2"/>
  <c r="BB18" i="2"/>
  <c r="BB439" i="2"/>
  <c r="BB414" i="2"/>
  <c r="BB270" i="2"/>
  <c r="BB32" i="2"/>
  <c r="BK373" i="1"/>
  <c r="BB224" i="2"/>
  <c r="BB419" i="2"/>
  <c r="BB149" i="2"/>
  <c r="BB427" i="2"/>
  <c r="BB175" i="2"/>
  <c r="BB330" i="2"/>
  <c r="BK71" i="1"/>
  <c r="BB218" i="2"/>
  <c r="BB34" i="2"/>
  <c r="AZ420" i="2"/>
  <c r="AZ142" i="2"/>
  <c r="BA239" i="2"/>
  <c r="BA353" i="2"/>
  <c r="BA209" i="2"/>
  <c r="BA443" i="2"/>
  <c r="BA269" i="2"/>
  <c r="BJ36" i="1"/>
  <c r="BA105" i="2"/>
  <c r="BA157" i="2"/>
  <c r="BA308" i="2"/>
  <c r="BA316" i="2"/>
  <c r="BA291" i="2"/>
  <c r="BA455" i="2"/>
  <c r="BA54" i="2"/>
  <c r="BA6" i="2"/>
  <c r="BJ395" i="1"/>
  <c r="BA306" i="2"/>
  <c r="BA66" i="2"/>
  <c r="BJ211" i="1"/>
  <c r="BA16" i="2"/>
  <c r="BA63" i="2"/>
  <c r="BA317" i="2"/>
  <c r="BA405" i="2"/>
  <c r="BA442" i="2"/>
  <c r="BA226" i="2"/>
  <c r="BA27" i="2"/>
  <c r="BA259" i="2"/>
  <c r="BA84" i="2"/>
  <c r="BA112" i="2"/>
  <c r="BA65" i="2"/>
  <c r="BA292" i="2"/>
  <c r="BA90" i="2"/>
  <c r="BA17" i="2"/>
  <c r="BJ114" i="1"/>
  <c r="BJ12" i="1"/>
  <c r="BJ243" i="1"/>
  <c r="BA346" i="2"/>
  <c r="BA25" i="2"/>
  <c r="BA262" i="2"/>
  <c r="BJ230" i="1"/>
  <c r="BJ431" i="1"/>
  <c r="BA260" i="2"/>
  <c r="BA363" i="2"/>
  <c r="BA252" i="2"/>
  <c r="BA281" i="2"/>
  <c r="BA127" i="2"/>
  <c r="BA394" i="2"/>
  <c r="BA49" i="2"/>
  <c r="BA74" i="2"/>
  <c r="BA193" i="2"/>
  <c r="BA408" i="2"/>
  <c r="BB140" i="2"/>
  <c r="BB187" i="2"/>
  <c r="BB386" i="2"/>
  <c r="BB398" i="2"/>
  <c r="BB324" i="2"/>
  <c r="BB44" i="2"/>
  <c r="BK321" i="1"/>
  <c r="BB322" i="2"/>
  <c r="BB12" i="2"/>
  <c r="BB94" i="2"/>
  <c r="BB77" i="2"/>
  <c r="BB106" i="2"/>
  <c r="BK318" i="1"/>
  <c r="BB220" i="2"/>
  <c r="BB336" i="2"/>
  <c r="BB301" i="2"/>
  <c r="BA404" i="2"/>
  <c r="BA155" i="2"/>
  <c r="BA436" i="2"/>
  <c r="BA96" i="2"/>
  <c r="BA141" i="2"/>
  <c r="BA30" i="2"/>
  <c r="BA190" i="2"/>
  <c r="BA185" i="2"/>
  <c r="BA401" i="2"/>
  <c r="BA421" i="2"/>
  <c r="BA231" i="2"/>
  <c r="BJ220" i="1"/>
  <c r="BA446" i="2"/>
  <c r="BA320" i="2"/>
  <c r="BA42" i="2"/>
  <c r="BA116" i="2"/>
  <c r="BA129" i="2"/>
  <c r="BA328" i="2"/>
  <c r="BA20" i="2"/>
  <c r="BA323" i="2"/>
  <c r="BA451" i="2"/>
  <c r="BJ175" i="1"/>
  <c r="BA159" i="2"/>
  <c r="BJ360" i="1"/>
  <c r="BA179" i="2"/>
  <c r="BA286" i="2"/>
  <c r="BA294" i="2"/>
  <c r="BA200" i="2"/>
  <c r="BA208" i="2"/>
  <c r="BA324" i="2"/>
  <c r="BA85" i="2"/>
  <c r="BJ321" i="1"/>
  <c r="BA322" i="2"/>
  <c r="BA12" i="2"/>
  <c r="BA94" i="2"/>
  <c r="BA77" i="2"/>
  <c r="BJ318" i="1"/>
  <c r="BA220" i="2"/>
  <c r="BA336" i="2"/>
  <c r="BA301" i="2"/>
  <c r="BA411" i="2"/>
  <c r="BA345" i="2"/>
  <c r="BA173" i="2"/>
  <c r="BA426" i="2"/>
  <c r="BA154" i="2"/>
  <c r="BA71" i="2"/>
  <c r="BA21" i="2"/>
  <c r="BA456" i="2"/>
  <c r="BA452" i="2"/>
  <c r="BA76" i="2"/>
  <c r="BA232" i="2"/>
  <c r="BA103" i="2"/>
  <c r="BA212" i="2"/>
  <c r="BA14" i="2"/>
  <c r="BA111" i="2"/>
  <c r="BA305" i="2"/>
  <c r="BA13" i="2"/>
  <c r="BA53" i="2"/>
  <c r="BJ409" i="1"/>
  <c r="BA307" i="2"/>
  <c r="BA48" i="2"/>
  <c r="BA8" i="2"/>
  <c r="BA215" i="2"/>
  <c r="BA288" i="2"/>
  <c r="BA166" i="2"/>
  <c r="BA152" i="2"/>
  <c r="BA435" i="2"/>
  <c r="BA410" i="2"/>
  <c r="BA216" i="2"/>
  <c r="BA326" i="2"/>
  <c r="BB285" i="2"/>
  <c r="BB282" i="2"/>
  <c r="BB429" i="2"/>
  <c r="BB424" i="2"/>
  <c r="BK432" i="1"/>
  <c r="BK59" i="1"/>
  <c r="BB246" i="2"/>
  <c r="BB250" i="2"/>
  <c r="BK383" i="1"/>
  <c r="BA202" i="2"/>
  <c r="BA62" i="2"/>
  <c r="BA344" i="2"/>
  <c r="BA454" i="2"/>
  <c r="BA422" i="2"/>
  <c r="BA147" i="2"/>
  <c r="BA11" i="2"/>
  <c r="BA389" i="2"/>
  <c r="BA72" i="2"/>
  <c r="BA143" i="2"/>
  <c r="BA98" i="2"/>
  <c r="BA194" i="2"/>
  <c r="BA342" i="2"/>
  <c r="BA114" i="2"/>
  <c r="BJ94" i="1"/>
  <c r="BJ115" i="1"/>
  <c r="BJ14" i="1"/>
  <c r="BA134" i="2"/>
  <c r="BA177" i="2"/>
  <c r="BA434" i="2"/>
  <c r="BA447" i="2"/>
  <c r="BA271" i="2"/>
  <c r="BA396" i="2"/>
  <c r="BA186" i="2"/>
  <c r="BA97" i="2"/>
  <c r="BA265" i="2"/>
  <c r="BA80" i="2"/>
  <c r="BB409" i="2"/>
  <c r="BB449" i="2"/>
  <c r="BB266" i="2"/>
  <c r="BB397" i="2"/>
  <c r="BB130" i="2"/>
  <c r="BB121" i="2"/>
  <c r="BB327" i="2"/>
  <c r="BB300" i="2"/>
  <c r="BB227" i="2"/>
  <c r="BB183" i="2"/>
  <c r="BB113" i="2"/>
  <c r="BB151" i="2"/>
  <c r="BK415" i="1"/>
  <c r="BB438" i="2"/>
  <c r="BK189" i="1"/>
  <c r="BB453" i="2"/>
  <c r="BB440" i="2"/>
  <c r="BB343" i="2"/>
  <c r="BB334" i="2"/>
  <c r="BB109" i="2"/>
  <c r="BB321" i="2"/>
  <c r="BB400" i="2"/>
  <c r="BB167" i="2"/>
  <c r="BK244" i="1"/>
  <c r="BB119" i="2"/>
  <c r="BB176" i="2"/>
  <c r="BB384" i="2"/>
  <c r="BB73" i="2"/>
  <c r="BB55" i="2"/>
  <c r="BB57" i="2"/>
  <c r="BB100" i="2"/>
  <c r="BB22" i="2"/>
  <c r="BK285" i="1"/>
  <c r="BB204" i="2"/>
  <c r="BK21" i="1"/>
  <c r="BB358" i="2"/>
  <c r="BB61" i="2"/>
  <c r="BB40" i="2"/>
  <c r="BB117" i="2"/>
  <c r="BB150" i="2"/>
  <c r="BB402" i="2"/>
  <c r="BB67" i="2"/>
  <c r="BB89" i="2"/>
  <c r="BK276" i="1"/>
  <c r="BK134" i="1"/>
  <c r="BB83" i="2"/>
  <c r="BB133" i="2"/>
  <c r="BB450" i="2"/>
  <c r="BB273" i="2"/>
  <c r="BB210" i="2"/>
  <c r="BB162" i="2"/>
  <c r="BB45" i="2"/>
  <c r="BB39" i="2"/>
  <c r="AZ154" i="2"/>
  <c r="AZ232" i="2"/>
  <c r="AZ103" i="2"/>
  <c r="AZ212" i="2"/>
  <c r="AZ111" i="2"/>
  <c r="AZ305" i="2"/>
  <c r="AZ13" i="2"/>
  <c r="AZ53" i="2"/>
  <c r="BI409" i="1"/>
  <c r="AZ215" i="2"/>
  <c r="AZ288" i="2"/>
  <c r="AZ166" i="2"/>
  <c r="AZ152" i="2"/>
  <c r="AZ435" i="2"/>
  <c r="AZ410" i="2"/>
  <c r="AZ216" i="2"/>
  <c r="AZ326" i="2"/>
  <c r="BH36" i="1"/>
  <c r="BH10" i="1"/>
  <c r="AY293" i="2"/>
  <c r="AY328" i="2"/>
  <c r="AY20" i="2"/>
  <c r="AY118" i="2"/>
  <c r="BH244" i="1"/>
  <c r="AY202" i="2"/>
  <c r="AY176" i="2"/>
  <c r="AY264" i="2"/>
  <c r="AY232" i="2"/>
  <c r="BB92" i="2"/>
  <c r="BB173" i="2"/>
  <c r="BB154" i="2"/>
  <c r="BB71" i="2"/>
  <c r="BB76" i="2"/>
  <c r="BB232" i="2"/>
  <c r="BB103" i="2"/>
  <c r="BB212" i="2"/>
  <c r="BB14" i="2"/>
  <c r="BB111" i="2"/>
  <c r="BB59" i="2"/>
  <c r="BB305" i="2"/>
  <c r="BB13" i="2"/>
  <c r="BB53" i="2"/>
  <c r="BK409" i="1"/>
  <c r="BB8" i="2"/>
  <c r="BB215" i="2"/>
  <c r="BB288" i="2"/>
  <c r="BB166" i="2"/>
  <c r="BB152" i="2"/>
  <c r="BB435" i="2"/>
  <c r="BB410" i="2"/>
  <c r="BB216" i="2"/>
  <c r="BB326" i="2"/>
  <c r="AZ282" i="2"/>
  <c r="BI432" i="1"/>
  <c r="BI59" i="1"/>
  <c r="AZ246" i="2"/>
  <c r="AZ250" i="2"/>
  <c r="BI383" i="1"/>
  <c r="BA367" i="2"/>
  <c r="BA104" i="2"/>
  <c r="BA198" i="2"/>
  <c r="BA264" i="2"/>
  <c r="BA380" i="2"/>
  <c r="BA18" i="2"/>
  <c r="BA439" i="2"/>
  <c r="BA414" i="2"/>
  <c r="BA270" i="2"/>
  <c r="BA32" i="2"/>
  <c r="BJ373" i="1"/>
  <c r="BA224" i="2"/>
  <c r="BA86" i="2"/>
  <c r="BA419" i="2"/>
  <c r="BA149" i="2"/>
  <c r="BA427" i="2"/>
  <c r="BA219" i="2"/>
  <c r="BA175" i="2"/>
  <c r="BA330" i="2"/>
  <c r="BJ71" i="1"/>
  <c r="BA218" i="2"/>
  <c r="BA34" i="2"/>
  <c r="BA349" i="2"/>
  <c r="BB420" i="2"/>
  <c r="BB445" i="2"/>
  <c r="BB142" i="2"/>
  <c r="BB197" i="2"/>
  <c r="BB444" i="2"/>
  <c r="BB245" i="2"/>
  <c r="BK27" i="1"/>
  <c r="BB295" i="2"/>
  <c r="BB28" i="2"/>
  <c r="BK207" i="1"/>
  <c r="BB362" i="2"/>
  <c r="BB365" i="2"/>
  <c r="BB52" i="2"/>
  <c r="BB284" i="2"/>
  <c r="BB338" i="2"/>
  <c r="BK297" i="1"/>
  <c r="BB164" i="2"/>
  <c r="BB168" i="2"/>
  <c r="BB255" i="2"/>
  <c r="BB29" i="2"/>
  <c r="BB115" i="2"/>
  <c r="BB184" i="2"/>
  <c r="BB375" i="2"/>
  <c r="BK30" i="1"/>
  <c r="BB108" i="2"/>
  <c r="BB230" i="2"/>
  <c r="BB123" i="2"/>
  <c r="BB276" i="2"/>
  <c r="BB373" i="2"/>
  <c r="BB225" i="2"/>
  <c r="BB325" i="2"/>
  <c r="BB457" i="2"/>
  <c r="BB124" i="2"/>
  <c r="BB395" i="2"/>
  <c r="BB174" i="2"/>
  <c r="BB148" i="2"/>
  <c r="BB128" i="2"/>
  <c r="BB432" i="2"/>
  <c r="BB315" i="2"/>
  <c r="BB180" i="2"/>
  <c r="BB120" i="2"/>
  <c r="BB203" i="2"/>
  <c r="BB46" i="2"/>
  <c r="BB5" i="2"/>
  <c r="BB137" i="2"/>
  <c r="BB314" i="2"/>
  <c r="BB195" i="2"/>
  <c r="BB390" i="2"/>
  <c r="BB234" i="2"/>
  <c r="BB329" i="2"/>
  <c r="BB387" i="2"/>
  <c r="BB381" i="2"/>
  <c r="BB372" i="2"/>
  <c r="BB7" i="2"/>
  <c r="BB15" i="2"/>
  <c r="BB160" i="2"/>
  <c r="BB447" i="2"/>
  <c r="BB191" i="2"/>
  <c r="BB369" i="2"/>
  <c r="BB69" i="2"/>
  <c r="BB350" i="2"/>
  <c r="BB222" i="2"/>
  <c r="BB217" i="2"/>
  <c r="BB376" i="2"/>
  <c r="BB423" i="2"/>
  <c r="BB50" i="2"/>
  <c r="BK105" i="1"/>
  <c r="BB196" i="2"/>
  <c r="BB223" i="2"/>
  <c r="BB257" i="2"/>
  <c r="BB188" i="2"/>
  <c r="BB412" i="2"/>
  <c r="BB102" i="2"/>
  <c r="BK359" i="1"/>
  <c r="BK348" i="1"/>
  <c r="BB24" i="2"/>
  <c r="BB135" i="2"/>
  <c r="BB459" i="2"/>
  <c r="BB47" i="2"/>
  <c r="BB206" i="2"/>
  <c r="BB153" i="2"/>
  <c r="BB356" i="2"/>
  <c r="BB233" i="2"/>
  <c r="BB101" i="2"/>
  <c r="BB51" i="2"/>
  <c r="BB214" i="2"/>
  <c r="BB64" i="2"/>
  <c r="AZ182" i="2"/>
  <c r="AZ171" i="2"/>
  <c r="AZ359" i="2"/>
  <c r="AZ339" i="2"/>
  <c r="AZ318" i="2"/>
  <c r="AZ26" i="2"/>
  <c r="AZ228" i="2"/>
  <c r="BI235" i="1"/>
  <c r="AZ293" i="2"/>
  <c r="BI248" i="1"/>
  <c r="AZ256" i="2"/>
  <c r="AZ43" i="2"/>
  <c r="BI421" i="1"/>
  <c r="AZ131" i="2"/>
  <c r="AZ263" i="2"/>
  <c r="BI45" i="1"/>
  <c r="AZ437" i="2"/>
  <c r="AZ118" i="2"/>
  <c r="AZ37" i="2"/>
  <c r="BI378" i="1"/>
  <c r="AZ169" i="2"/>
  <c r="BB23" i="2"/>
  <c r="BB99" i="2"/>
  <c r="BB433" i="2"/>
  <c r="BB238" i="2"/>
  <c r="BB253" i="2"/>
  <c r="BB280" i="2"/>
  <c r="BB139" i="2"/>
  <c r="BB31" i="2"/>
  <c r="BK137" i="1"/>
  <c r="BB319" i="2"/>
  <c r="BB110" i="2"/>
  <c r="BB146" i="2"/>
  <c r="BB202" i="2"/>
  <c r="BB62" i="2"/>
  <c r="BB344" i="2"/>
  <c r="BB454" i="2"/>
  <c r="BB422" i="2"/>
  <c r="BB147" i="2"/>
  <c r="BB389" i="2"/>
  <c r="BB72" i="2"/>
  <c r="BB143" i="2"/>
  <c r="BB98" i="2"/>
  <c r="BB194" i="2"/>
  <c r="BB342" i="2"/>
  <c r="BB114" i="2"/>
  <c r="BK94" i="1"/>
  <c r="BK115" i="1"/>
  <c r="BK14" i="1"/>
  <c r="BB134" i="2"/>
  <c r="BB177" i="2"/>
  <c r="BB434" i="2"/>
  <c r="BB271" i="2"/>
  <c r="BB396" i="2"/>
  <c r="BB186" i="2"/>
  <c r="BB97" i="2"/>
  <c r="BB265" i="2"/>
  <c r="AZ397" i="2"/>
  <c r="AZ130" i="2"/>
  <c r="AZ121" i="2"/>
  <c r="AZ327" i="2"/>
  <c r="AZ300" i="2"/>
  <c r="AZ227" i="2"/>
  <c r="AZ183" i="2"/>
  <c r="AZ113" i="2"/>
  <c r="AZ151" i="2"/>
  <c r="AZ38" i="2"/>
  <c r="BI36" i="1"/>
  <c r="AZ105" i="2"/>
  <c r="AZ157" i="2"/>
  <c r="AZ6" i="2"/>
  <c r="BI395" i="1"/>
  <c r="AZ79" i="2"/>
  <c r="BI211" i="1"/>
  <c r="AZ16" i="2"/>
  <c r="AZ63" i="2"/>
  <c r="AZ405" i="2"/>
  <c r="AZ379" i="2"/>
  <c r="AZ27" i="2"/>
  <c r="AZ259" i="2"/>
  <c r="AZ84" i="2"/>
  <c r="AZ112" i="2"/>
  <c r="AZ292" i="2"/>
  <c r="AZ90" i="2"/>
  <c r="AZ17" i="2"/>
  <c r="BI114" i="1"/>
  <c r="BI12" i="1"/>
  <c r="BI243" i="1"/>
  <c r="AZ25" i="2"/>
  <c r="AZ262" i="2"/>
  <c r="BI230" i="1"/>
  <c r="BI431" i="1"/>
  <c r="AZ260" i="2"/>
  <c r="AZ363" i="2"/>
  <c r="AZ252" i="2"/>
  <c r="AZ281" i="2"/>
  <c r="AZ127" i="2"/>
  <c r="AZ394" i="2"/>
  <c r="AZ193" i="2"/>
  <c r="AZ408" i="2"/>
  <c r="AY280" i="2"/>
  <c r="AY171" i="2"/>
  <c r="AY359" i="2"/>
  <c r="AY52" i="2"/>
  <c r="AY43" i="2"/>
  <c r="BH421" i="1"/>
  <c r="AY334" i="2"/>
  <c r="BH395" i="1"/>
  <c r="BH30" i="1"/>
  <c r="AY319" i="2"/>
  <c r="AY37" i="2"/>
  <c r="BH211" i="1"/>
  <c r="BH360" i="1"/>
  <c r="AY173" i="2"/>
  <c r="AY373" i="2"/>
  <c r="AY226" i="2"/>
  <c r="AY112" i="2"/>
  <c r="AY120" i="2"/>
  <c r="AY46" i="2"/>
  <c r="AY402" i="2"/>
  <c r="AY13" i="2"/>
  <c r="BH276" i="1"/>
  <c r="BH431" i="1"/>
  <c r="AY260" i="2"/>
  <c r="AY363" i="2"/>
  <c r="AY252" i="2"/>
  <c r="AY175" i="2"/>
  <c r="BH71" i="1"/>
  <c r="AY218" i="2"/>
  <c r="AY326" i="2"/>
  <c r="AY358" i="2"/>
  <c r="AZ96" i="2"/>
  <c r="AZ141" i="2"/>
  <c r="AZ30" i="2"/>
  <c r="AZ185" i="2"/>
  <c r="AZ401" i="2"/>
  <c r="AZ421" i="2"/>
  <c r="AZ231" i="2"/>
  <c r="BI220" i="1"/>
  <c r="AZ446" i="2"/>
  <c r="AZ42" i="2"/>
  <c r="AZ116" i="2"/>
  <c r="AZ129" i="2"/>
  <c r="AZ328" i="2"/>
  <c r="AZ20" i="2"/>
  <c r="AZ323" i="2"/>
  <c r="AZ451" i="2"/>
  <c r="BI175" i="1"/>
  <c r="AZ159" i="2"/>
  <c r="BI360" i="1"/>
  <c r="AZ179" i="2"/>
  <c r="AZ367" i="2"/>
  <c r="AZ104" i="2"/>
  <c r="AZ198" i="2"/>
  <c r="AZ264" i="2"/>
  <c r="AZ380" i="2"/>
  <c r="AZ18" i="2"/>
  <c r="AZ439" i="2"/>
  <c r="AZ414" i="2"/>
  <c r="AZ270" i="2"/>
  <c r="AZ32" i="2"/>
  <c r="BI373" i="1"/>
  <c r="AZ224" i="2"/>
  <c r="AZ419" i="2"/>
  <c r="AZ149" i="2"/>
  <c r="AZ427" i="2"/>
  <c r="AZ219" i="2"/>
  <c r="AZ175" i="2"/>
  <c r="AZ330" i="2"/>
  <c r="BI71" i="1"/>
  <c r="AZ218" i="2"/>
  <c r="AZ34" i="2"/>
  <c r="AZ349" i="2"/>
  <c r="AY182" i="2"/>
  <c r="AY130" i="2"/>
  <c r="AY377" i="2"/>
  <c r="AY269" i="2"/>
  <c r="AY190" i="2"/>
  <c r="AY157" i="2"/>
  <c r="BH248" i="1"/>
  <c r="AY256" i="2"/>
  <c r="AY343" i="2"/>
  <c r="AY276" i="2"/>
  <c r="AY274" i="2"/>
  <c r="AY104" i="2"/>
  <c r="AY456" i="2"/>
  <c r="AY87" i="2"/>
  <c r="AZ362" i="2"/>
  <c r="AZ197" i="2"/>
  <c r="AZ245" i="2"/>
  <c r="AZ241" i="2"/>
  <c r="BI27" i="1"/>
  <c r="AZ295" i="2"/>
  <c r="AZ28" i="2"/>
  <c r="BI207" i="1"/>
  <c r="AZ365" i="2"/>
  <c r="AZ52" i="2"/>
  <c r="AZ284" i="2"/>
  <c r="BI297" i="1"/>
  <c r="AZ164" i="2"/>
  <c r="AZ168" i="2"/>
  <c r="AZ255" i="2"/>
  <c r="AZ29" i="2"/>
  <c r="AZ184" i="2"/>
  <c r="AZ375" i="2"/>
  <c r="BI30" i="1"/>
  <c r="AZ123" i="2"/>
  <c r="AZ276" i="2"/>
  <c r="AZ373" i="2"/>
  <c r="AZ225" i="2"/>
  <c r="AZ325" i="2"/>
  <c r="AZ457" i="2"/>
  <c r="AZ395" i="2"/>
  <c r="AZ174" i="2"/>
  <c r="AZ148" i="2"/>
  <c r="AZ128" i="2"/>
  <c r="AZ432" i="2"/>
  <c r="AZ315" i="2"/>
  <c r="AZ180" i="2"/>
  <c r="AZ120" i="2"/>
  <c r="AZ203" i="2"/>
  <c r="AZ46" i="2"/>
  <c r="AZ5" i="2"/>
  <c r="AZ137" i="2"/>
  <c r="AZ314" i="2"/>
  <c r="AZ195" i="2"/>
  <c r="AZ390" i="2"/>
  <c r="AZ234" i="2"/>
  <c r="AZ329" i="2"/>
  <c r="AZ387" i="2"/>
  <c r="AZ381" i="2"/>
  <c r="AZ15" i="2"/>
  <c r="AZ160" i="2"/>
  <c r="AY340" i="2"/>
  <c r="AY240" i="2"/>
  <c r="AY353" i="2"/>
  <c r="AY311" i="2"/>
  <c r="AY209" i="2"/>
  <c r="AY254" i="2"/>
  <c r="AY208" i="2"/>
  <c r="AY401" i="2"/>
  <c r="AY39" i="2"/>
  <c r="BH235" i="1"/>
  <c r="BH189" i="1"/>
  <c r="AY453" i="2"/>
  <c r="AY116" i="2"/>
  <c r="AY129" i="2"/>
  <c r="AY336" i="2"/>
  <c r="AY301" i="2"/>
  <c r="AY184" i="2"/>
  <c r="AY400" i="2"/>
  <c r="AY306" i="2"/>
  <c r="AY159" i="2"/>
  <c r="AY146" i="2"/>
  <c r="AY379" i="2"/>
  <c r="AY174" i="2"/>
  <c r="AY76" i="2"/>
  <c r="AY315" i="2"/>
  <c r="AZ372" i="2"/>
  <c r="AY330" i="2"/>
  <c r="AZ211" i="2"/>
  <c r="AZ191" i="2"/>
  <c r="AZ369" i="2"/>
  <c r="AZ126" i="2"/>
  <c r="AZ350" i="2"/>
  <c r="AZ222" i="2"/>
  <c r="AZ217" i="2"/>
  <c r="AZ423" i="2"/>
  <c r="AZ378" i="2"/>
  <c r="AZ50" i="2"/>
  <c r="BI105" i="1"/>
  <c r="AZ196" i="2"/>
  <c r="AZ138" i="2"/>
  <c r="AZ188" i="2"/>
  <c r="AZ102" i="2"/>
  <c r="BI359" i="1"/>
  <c r="BI348" i="1"/>
  <c r="AZ145" i="2"/>
  <c r="AZ24" i="2"/>
  <c r="AZ135" i="2"/>
  <c r="AZ459" i="2"/>
  <c r="AZ47" i="2"/>
  <c r="AZ206" i="2"/>
  <c r="AZ153" i="2"/>
  <c r="AZ356" i="2"/>
  <c r="AZ233" i="2"/>
  <c r="AZ101" i="2"/>
  <c r="AZ51" i="2"/>
  <c r="AZ214" i="2"/>
  <c r="AZ64" i="2"/>
  <c r="AY96" i="2"/>
  <c r="AY185" i="2"/>
  <c r="AY324" i="2"/>
  <c r="AY362" i="2"/>
  <c r="AY106" i="2"/>
  <c r="BH318" i="1"/>
  <c r="BH175" i="1"/>
  <c r="BH378" i="1"/>
  <c r="AY169" i="2"/>
  <c r="AY405" i="2"/>
  <c r="AY423" i="2"/>
  <c r="AY422" i="2"/>
  <c r="AY57" i="2"/>
  <c r="AY198" i="2"/>
  <c r="AY204" i="2"/>
  <c r="AY90" i="2"/>
  <c r="BH115" i="1"/>
  <c r="BH243" i="1"/>
  <c r="AY47" i="2"/>
  <c r="AY206" i="2"/>
  <c r="AY153" i="2"/>
  <c r="AY356" i="2"/>
  <c r="AY186" i="2"/>
  <c r="AY258" i="2"/>
  <c r="AY451" i="2"/>
  <c r="AY213" i="2"/>
  <c r="AY105" i="2"/>
  <c r="AY125" i="2"/>
  <c r="AY388" i="2"/>
  <c r="BH230" i="1"/>
  <c r="AY205" i="2"/>
  <c r="AY188" i="2"/>
  <c r="BH94" i="1"/>
  <c r="AY134" i="2"/>
  <c r="AY457" i="2"/>
  <c r="AY137" i="2"/>
  <c r="AY147" i="2"/>
  <c r="AY224" i="2"/>
  <c r="AY395" i="2"/>
  <c r="AY365" i="2"/>
  <c r="AY5" i="2"/>
  <c r="AY265" i="2"/>
  <c r="AZ431" i="2"/>
  <c r="AZ340" i="2"/>
  <c r="AZ433" i="2"/>
  <c r="AZ238" i="2"/>
  <c r="AZ253" i="2"/>
  <c r="AZ39" i="2"/>
  <c r="BI10" i="1"/>
  <c r="AZ139" i="2"/>
  <c r="AZ31" i="2"/>
  <c r="AZ319" i="2"/>
  <c r="AZ110" i="2"/>
  <c r="AZ146" i="2"/>
  <c r="AZ202" i="2"/>
  <c r="AZ62" i="2"/>
  <c r="AZ344" i="2"/>
  <c r="AZ454" i="2"/>
  <c r="AZ422" i="2"/>
  <c r="AZ147" i="2"/>
  <c r="AZ11" i="2"/>
  <c r="AZ389" i="2"/>
  <c r="AZ72" i="2"/>
  <c r="AZ143" i="2"/>
  <c r="AZ98" i="2"/>
  <c r="AZ194" i="2"/>
  <c r="AZ342" i="2"/>
  <c r="AZ114" i="2"/>
  <c r="BI94" i="1"/>
  <c r="BI115" i="1"/>
  <c r="BI14" i="1"/>
  <c r="AZ134" i="2"/>
  <c r="AZ177" i="2"/>
  <c r="AZ434" i="2"/>
  <c r="AZ447" i="2"/>
  <c r="AZ271" i="2"/>
  <c r="AZ396" i="2"/>
  <c r="AZ186" i="2"/>
  <c r="AZ97" i="2"/>
  <c r="AZ265" i="2"/>
  <c r="AZ80" i="2"/>
  <c r="AY275" i="2"/>
  <c r="AY241" i="2"/>
  <c r="BH207" i="1"/>
  <c r="AY26" i="2"/>
  <c r="AY228" i="2"/>
  <c r="AY308" i="2"/>
  <c r="AY231" i="2"/>
  <c r="BH220" i="1"/>
  <c r="AY446" i="2"/>
  <c r="AY255" i="2"/>
  <c r="AY29" i="2"/>
  <c r="BH137" i="1"/>
  <c r="AY454" i="2"/>
  <c r="AY229" i="2"/>
  <c r="AY389" i="2"/>
  <c r="AY72" i="2"/>
  <c r="AY65" i="2"/>
  <c r="AY292" i="2"/>
  <c r="AZ81" i="2"/>
  <c r="AZ274" i="2"/>
  <c r="AZ170" i="2"/>
  <c r="AZ236" i="2"/>
  <c r="AZ272" i="2"/>
  <c r="BI180" i="1"/>
  <c r="AZ36" i="2"/>
  <c r="AZ243" i="2"/>
  <c r="AZ58" i="2"/>
  <c r="AZ289" i="2"/>
  <c r="AZ392" i="2"/>
  <c r="AZ156" i="2"/>
  <c r="AZ70" i="2"/>
  <c r="AZ189" i="2"/>
  <c r="AZ277" i="2"/>
  <c r="AZ258" i="2"/>
  <c r="AZ333" i="2"/>
  <c r="AZ56" i="2"/>
  <c r="AZ247" i="2"/>
  <c r="AY136" i="2"/>
  <c r="AY444" i="2"/>
  <c r="AY424" i="2"/>
  <c r="BH27" i="1"/>
  <c r="AY295" i="2"/>
  <c r="AY28" i="2"/>
  <c r="BH432" i="1"/>
  <c r="AY250" i="2"/>
  <c r="AY12" i="2"/>
  <c r="AY94" i="2"/>
  <c r="BH45" i="1"/>
  <c r="AY323" i="2"/>
  <c r="AY16" i="2"/>
  <c r="AY154" i="2"/>
  <c r="AY71" i="2"/>
  <c r="AY170" i="2"/>
  <c r="AY439" i="2"/>
  <c r="AY414" i="2"/>
  <c r="AY59" i="2"/>
  <c r="AY53" i="2"/>
  <c r="BH348" i="1"/>
  <c r="AY177" i="2"/>
  <c r="AY434" i="2"/>
  <c r="AY392" i="2"/>
  <c r="AY156" i="2"/>
  <c r="AY70" i="2"/>
  <c r="AY273" i="2"/>
  <c r="AY210" i="2"/>
  <c r="AY63" i="2"/>
  <c r="AY191" i="2"/>
  <c r="AZ438" i="2"/>
  <c r="BI189" i="1"/>
  <c r="AZ453" i="2"/>
  <c r="AZ343" i="2"/>
  <c r="AZ334" i="2"/>
  <c r="AZ109" i="2"/>
  <c r="AZ321" i="2"/>
  <c r="AZ167" i="2"/>
  <c r="BI244" i="1"/>
  <c r="AZ119" i="2"/>
  <c r="AZ176" i="2"/>
  <c r="AZ384" i="2"/>
  <c r="AZ73" i="2"/>
  <c r="AZ55" i="2"/>
  <c r="AZ57" i="2"/>
  <c r="AZ100" i="2"/>
  <c r="BI285" i="1"/>
  <c r="AZ204" i="2"/>
  <c r="BI21" i="1"/>
  <c r="AZ358" i="2"/>
  <c r="AZ117" i="2"/>
  <c r="AZ402" i="2"/>
  <c r="AZ67" i="2"/>
  <c r="AZ89" i="2"/>
  <c r="BI276" i="1"/>
  <c r="BI134" i="1"/>
  <c r="AZ83" i="2"/>
  <c r="AZ133" i="2"/>
  <c r="AZ450" i="2"/>
  <c r="AZ273" i="2"/>
  <c r="AZ210" i="2"/>
  <c r="AZ162" i="2"/>
  <c r="AZ45" i="2"/>
  <c r="AY413" i="2"/>
  <c r="AY416" i="2"/>
  <c r="AY296" i="2"/>
  <c r="AY261" i="2"/>
  <c r="AY183" i="2"/>
  <c r="AY339" i="2"/>
  <c r="AY318" i="2"/>
  <c r="AY44" i="2"/>
  <c r="BH321" i="1"/>
  <c r="AY284" i="2"/>
  <c r="AY338" i="2"/>
  <c r="BH297" i="1"/>
  <c r="AY164" i="2"/>
  <c r="AY168" i="2"/>
  <c r="AY109" i="2"/>
  <c r="AY79" i="2"/>
  <c r="AY411" i="2"/>
  <c r="AY69" i="2"/>
  <c r="AY119" i="2"/>
  <c r="AY325" i="2"/>
  <c r="AY217" i="2"/>
  <c r="AY27" i="2"/>
  <c r="AY259" i="2"/>
  <c r="AY84" i="2"/>
  <c r="AY178" i="2"/>
  <c r="BH285" i="1"/>
  <c r="AY103" i="2"/>
  <c r="AY14" i="2"/>
  <c r="AY111" i="2"/>
  <c r="AY102" i="2"/>
  <c r="AY243" i="2"/>
  <c r="AY58" i="2"/>
  <c r="AY289" i="2"/>
  <c r="AY83" i="2"/>
  <c r="AY133" i="2"/>
  <c r="AY281" i="2"/>
  <c r="AY127" i="2"/>
  <c r="AY394" i="2"/>
  <c r="AY34" i="2"/>
  <c r="AY349" i="2"/>
  <c r="AY17" i="2"/>
  <c r="BH114" i="1"/>
  <c r="AY25" i="2"/>
  <c r="AY262" i="2"/>
  <c r="AY427" i="2"/>
  <c r="AY219" i="2"/>
  <c r="AY435" i="2"/>
  <c r="AY15" i="2"/>
  <c r="AY80" i="2"/>
  <c r="AY216" i="2"/>
  <c r="AY450" i="2"/>
  <c r="AY98" i="2"/>
  <c r="AY194" i="2"/>
  <c r="AY272" i="2"/>
  <c r="AY417" i="2"/>
  <c r="AY32" i="2"/>
  <c r="AY36" i="2"/>
  <c r="AY346" i="2"/>
  <c r="AY419" i="2"/>
  <c r="AY149" i="2"/>
  <c r="AY8" i="2"/>
  <c r="AY215" i="2"/>
  <c r="AY288" i="2"/>
  <c r="AY166" i="2"/>
  <c r="AY387" i="2"/>
  <c r="AY381" i="2"/>
  <c r="AY51" i="2"/>
  <c r="AY408" i="2"/>
  <c r="AY212" i="2"/>
  <c r="AY410" i="2"/>
  <c r="AY152" i="2"/>
  <c r="AY372" i="2"/>
  <c r="AY143" i="2"/>
  <c r="AY382" i="2"/>
  <c r="AY236" i="2"/>
  <c r="AY117" i="2"/>
  <c r="AY305" i="2"/>
  <c r="BH180" i="1"/>
  <c r="AY67" i="2"/>
  <c r="AY86" i="2"/>
  <c r="AY307" i="2"/>
  <c r="AY48" i="2"/>
  <c r="AY329" i="2"/>
  <c r="AY144" i="2"/>
  <c r="AY233" i="2"/>
  <c r="AY97" i="2"/>
  <c r="AY333" i="2"/>
  <c r="AY247" i="2"/>
  <c r="AY19" i="2"/>
  <c r="AY56" i="2"/>
  <c r="AY270" i="2"/>
  <c r="BH12" i="1"/>
  <c r="AY24" i="2"/>
  <c r="AY135" i="2"/>
  <c r="AY447" i="2"/>
  <c r="AY271" i="2"/>
  <c r="AY396" i="2"/>
  <c r="AY162" i="2"/>
  <c r="AY74" i="2"/>
  <c r="AY193" i="2"/>
  <c r="AY214" i="2"/>
  <c r="AY189" i="2"/>
  <c r="BB34" i="1"/>
  <c r="AZ34" i="1" s="1"/>
  <c r="BB146" i="1"/>
  <c r="AZ146" i="1" s="1"/>
  <c r="BB58" i="1"/>
  <c r="AZ58" i="1" s="1"/>
  <c r="BB138" i="1"/>
  <c r="AZ138" i="1" s="1"/>
  <c r="BB317" i="1"/>
  <c r="AZ317" i="1" s="1"/>
  <c r="BB169" i="1"/>
  <c r="AZ169" i="1" s="1"/>
  <c r="BB219" i="1"/>
  <c r="AZ219" i="1" s="1"/>
  <c r="BB410" i="1"/>
  <c r="AZ410" i="1" s="1"/>
  <c r="BB113" i="1"/>
  <c r="AZ113" i="1" s="1"/>
  <c r="BH65" i="1"/>
  <c r="BB178" i="1"/>
  <c r="AZ178" i="1" s="1"/>
  <c r="BB188" i="1"/>
  <c r="AZ188" i="1" s="1"/>
  <c r="BB371" i="1"/>
  <c r="AZ371" i="1" s="1"/>
  <c r="BB240" i="1"/>
  <c r="AZ240" i="1" s="1"/>
  <c r="BB56" i="1"/>
  <c r="AZ56" i="1" s="1"/>
  <c r="BB97" i="1"/>
  <c r="AZ97" i="1" s="1"/>
  <c r="BB277" i="1"/>
  <c r="AZ277" i="1" s="1"/>
  <c r="BB341" i="1"/>
  <c r="AZ341" i="1" s="1"/>
  <c r="BB124" i="1"/>
  <c r="AZ124" i="1" s="1"/>
  <c r="BB267" i="1"/>
  <c r="AZ267" i="1" s="1"/>
  <c r="BB187" i="1"/>
  <c r="AZ187" i="1" s="1"/>
  <c r="BB331" i="1"/>
  <c r="AZ331" i="1" s="1"/>
  <c r="BB122" i="1"/>
  <c r="AZ122" i="1" s="1"/>
  <c r="BB166" i="1"/>
  <c r="AZ166" i="1" s="1"/>
  <c r="BB357" i="1"/>
  <c r="AZ357" i="1" s="1"/>
  <c r="BB217" i="1"/>
  <c r="AZ217" i="1" s="1"/>
  <c r="BB100" i="1"/>
  <c r="AZ100" i="1" s="1"/>
  <c r="BB154" i="1"/>
  <c r="AZ154" i="1" s="1"/>
  <c r="BB261" i="1"/>
  <c r="AZ261" i="1" s="1"/>
  <c r="BB194" i="1"/>
  <c r="AZ194" i="1" s="1"/>
  <c r="BB369" i="1"/>
  <c r="AZ369" i="1" s="1"/>
  <c r="BB343" i="1"/>
  <c r="AZ343" i="1" s="1"/>
  <c r="BB271" i="1"/>
  <c r="AZ271" i="1" s="1"/>
  <c r="BB394" i="1"/>
  <c r="AZ394" i="1" s="1"/>
  <c r="BB228" i="1"/>
  <c r="AZ228" i="1" s="1"/>
  <c r="BB260" i="1"/>
  <c r="AZ260" i="1" s="1"/>
  <c r="BB307" i="1"/>
  <c r="AZ307" i="1" s="1"/>
  <c r="BB147" i="1"/>
  <c r="AZ147" i="1" s="1"/>
  <c r="BB222" i="1"/>
  <c r="AZ222" i="1" s="1"/>
  <c r="BB252" i="1"/>
  <c r="AZ252" i="1" s="1"/>
  <c r="BB316" i="1"/>
  <c r="AZ316" i="1" s="1"/>
  <c r="BB397" i="1"/>
  <c r="AZ397" i="1" s="1"/>
  <c r="BB15" i="1"/>
  <c r="AZ15" i="1" s="1"/>
  <c r="BB364" i="1"/>
  <c r="AZ364" i="1" s="1"/>
  <c r="BB225" i="1"/>
  <c r="AZ225" i="1" s="1"/>
  <c r="BB320" i="1"/>
  <c r="AZ320" i="1" s="1"/>
  <c r="BB70" i="1"/>
  <c r="AZ70" i="1" s="1"/>
  <c r="BB40" i="1"/>
  <c r="AZ40" i="1" s="1"/>
  <c r="BB430" i="1"/>
  <c r="AZ430" i="1" s="1"/>
  <c r="BB358" i="1"/>
  <c r="AZ358" i="1" s="1"/>
  <c r="BB78" i="1"/>
  <c r="AZ78" i="1" s="1"/>
  <c r="BB83" i="1"/>
  <c r="AZ83" i="1" s="1"/>
  <c r="BB346" i="1"/>
  <c r="AZ346" i="1" s="1"/>
  <c r="BB259" i="1"/>
  <c r="AZ259" i="1" s="1"/>
  <c r="BB256" i="1"/>
  <c r="AZ256" i="1" s="1"/>
  <c r="BB437" i="1"/>
  <c r="AZ437" i="1" s="1"/>
  <c r="BB268" i="1"/>
  <c r="AZ268" i="1" s="1"/>
  <c r="BB109" i="1"/>
  <c r="AZ109" i="1" s="1"/>
  <c r="BB35" i="1"/>
  <c r="AZ35" i="1" s="1"/>
  <c r="BB18" i="1"/>
  <c r="AZ18" i="1" s="1"/>
  <c r="BB283" i="1"/>
  <c r="AZ283" i="1" s="1"/>
  <c r="BB55" i="1"/>
  <c r="AZ55" i="1" s="1"/>
  <c r="BB114" i="1"/>
  <c r="AZ114" i="1" s="1"/>
  <c r="BB251" i="1"/>
  <c r="AZ251" i="1" s="1"/>
  <c r="BB95" i="1"/>
  <c r="AZ95" i="1" s="1"/>
  <c r="BB436" i="1"/>
  <c r="AZ436" i="1" s="1"/>
  <c r="G292" i="3"/>
  <c r="G837" i="3"/>
  <c r="G226" i="3"/>
  <c r="G704" i="3"/>
  <c r="G575" i="3"/>
  <c r="G705" i="3"/>
  <c r="G722" i="3"/>
  <c r="G341" i="3"/>
  <c r="G754" i="3"/>
  <c r="G809" i="3"/>
  <c r="G555" i="3"/>
  <c r="G675" i="3"/>
  <c r="G831" i="3"/>
  <c r="G39" i="3"/>
  <c r="G12" i="3"/>
  <c r="G692" i="3"/>
  <c r="G89" i="3"/>
  <c r="G565" i="3"/>
  <c r="G533" i="3"/>
  <c r="G472" i="3"/>
  <c r="G782" i="3"/>
  <c r="G248" i="3"/>
  <c r="G652" i="3"/>
  <c r="G635" i="3"/>
  <c r="G554" i="3"/>
  <c r="G484" i="3"/>
  <c r="G845" i="3"/>
  <c r="G797" i="3"/>
  <c r="G737" i="3"/>
  <c r="G699" i="3"/>
  <c r="G634" i="3"/>
  <c r="G333" i="3"/>
  <c r="G599" i="3"/>
  <c r="G468" i="3"/>
  <c r="G433" i="3"/>
  <c r="G283" i="3"/>
  <c r="G305" i="3"/>
  <c r="G76" i="3"/>
  <c r="G513" i="3"/>
  <c r="G223" i="3"/>
  <c r="G766" i="3"/>
  <c r="G434" i="3"/>
  <c r="G718" i="3"/>
  <c r="G237" i="3"/>
  <c r="G83" i="3"/>
  <c r="G779" i="3"/>
  <c r="G641" i="3"/>
  <c r="G881" i="3"/>
  <c r="G177" i="3"/>
  <c r="G460" i="3"/>
  <c r="G619" i="3"/>
  <c r="G796" i="3"/>
  <c r="G777" i="3"/>
  <c r="G696" i="3"/>
  <c r="G856" i="3"/>
  <c r="G220" i="3"/>
  <c r="G785" i="3"/>
  <c r="G726" i="3"/>
  <c r="G639" i="3"/>
  <c r="G516" i="3"/>
  <c r="G414" i="3"/>
  <c r="G493" i="3"/>
  <c r="G875" i="3"/>
  <c r="G170" i="3"/>
  <c r="G862" i="3"/>
  <c r="G753" i="3"/>
  <c r="G836" i="3"/>
  <c r="G690" i="3"/>
  <c r="G475" i="3"/>
  <c r="G291" i="3"/>
  <c r="G285" i="3"/>
  <c r="G118" i="3"/>
  <c r="G255" i="3"/>
  <c r="G446" i="3"/>
  <c r="G93" i="3"/>
  <c r="G609" i="3"/>
  <c r="G642" i="3"/>
  <c r="G314" i="3"/>
  <c r="G546" i="3"/>
  <c r="G598" i="3"/>
  <c r="G455" i="3"/>
  <c r="G801" i="3"/>
  <c r="G178" i="3"/>
  <c r="G814" i="3"/>
  <c r="G788" i="3"/>
  <c r="G338" i="3"/>
  <c r="G121" i="3"/>
  <c r="G515" i="3"/>
  <c r="G450" i="3"/>
  <c r="G211" i="3"/>
  <c r="G303" i="3"/>
  <c r="G855" i="3"/>
  <c r="G553" i="3"/>
  <c r="G852" i="3"/>
  <c r="G854" i="3"/>
  <c r="G787" i="3"/>
  <c r="G568" i="3"/>
  <c r="G502" i="3"/>
  <c r="G812" i="3"/>
  <c r="G378" i="3"/>
  <c r="G717" i="3"/>
  <c r="G324" i="3"/>
  <c r="G171" i="3"/>
  <c r="G542" i="3"/>
  <c r="G541" i="3"/>
  <c r="G698" i="3"/>
  <c r="G839" i="3"/>
  <c r="G480" i="3"/>
  <c r="G601" i="3"/>
  <c r="G348" i="3"/>
  <c r="G563" i="3"/>
  <c r="G607" i="3"/>
  <c r="G671" i="3"/>
  <c r="G517" i="3"/>
  <c r="G713" i="3"/>
  <c r="G678" i="3"/>
  <c r="G613" i="3"/>
  <c r="G514" i="3"/>
  <c r="G486" i="3"/>
  <c r="G714" i="3"/>
  <c r="G643" i="3"/>
  <c r="G559" i="3"/>
  <c r="G476" i="3"/>
  <c r="G421" i="3"/>
  <c r="G412" i="3"/>
  <c r="G640" i="3"/>
  <c r="G129" i="3"/>
  <c r="G840" i="3"/>
  <c r="G684" i="3"/>
  <c r="G851" i="3"/>
  <c r="G606" i="3"/>
  <c r="G416" i="3"/>
  <c r="G612" i="3"/>
  <c r="G712" i="3"/>
  <c r="G700" i="3"/>
  <c r="G736" i="3"/>
  <c r="G616" i="3"/>
  <c r="G375" i="3"/>
  <c r="G872" i="3"/>
  <c r="G79" i="3"/>
  <c r="G775" i="3"/>
  <c r="G221" i="3"/>
  <c r="G491" i="3"/>
  <c r="G826" i="3"/>
  <c r="G638" i="3"/>
  <c r="G547" i="3"/>
  <c r="G748" i="3"/>
  <c r="G883" i="3"/>
  <c r="G708" i="3"/>
  <c r="G483" i="3"/>
  <c r="G469" i="3"/>
  <c r="G842" i="3"/>
  <c r="G746" i="3"/>
  <c r="G771" i="3"/>
  <c r="G701" i="3"/>
  <c r="G637" i="3"/>
  <c r="G614" i="3"/>
  <c r="G501" i="3"/>
  <c r="G459" i="3"/>
  <c r="G595" i="3"/>
  <c r="G343" i="3"/>
  <c r="G45" i="3"/>
  <c r="G54" i="3"/>
  <c r="G289" i="3"/>
  <c r="G734" i="3"/>
  <c r="G470" i="3"/>
  <c r="G666" i="3"/>
  <c r="G740" i="3"/>
  <c r="G577" i="3"/>
  <c r="G569" i="3"/>
  <c r="G119" i="3"/>
  <c r="G337" i="3"/>
  <c r="G365" i="3"/>
  <c r="G538" i="3"/>
  <c r="G799" i="3"/>
  <c r="G820" i="3"/>
  <c r="G773" i="3"/>
  <c r="G691" i="3"/>
  <c r="G645" i="3"/>
  <c r="G574" i="3"/>
  <c r="G550" i="3"/>
  <c r="G498" i="3"/>
  <c r="G435" i="3"/>
  <c r="G590" i="3"/>
  <c r="G117" i="3"/>
  <c r="G116" i="3"/>
  <c r="G665" i="3"/>
  <c r="G173" i="3"/>
  <c r="G393" i="3"/>
  <c r="G720" i="3"/>
  <c r="G463" i="3"/>
  <c r="G589" i="3"/>
  <c r="G649" i="3"/>
  <c r="G615" i="3"/>
  <c r="G741" i="3"/>
  <c r="G602" i="3"/>
  <c r="G823" i="3"/>
  <c r="G334" i="3"/>
  <c r="G445" i="3"/>
  <c r="BH105" i="1"/>
  <c r="BH295" i="1"/>
  <c r="AY350" i="2"/>
  <c r="AY222" i="2"/>
  <c r="AY376" i="2"/>
  <c r="AY223" i="2"/>
  <c r="AY257" i="2"/>
  <c r="AY412" i="2"/>
  <c r="AY145" i="2"/>
  <c r="AY64" i="2"/>
  <c r="I146" i="3"/>
  <c r="G317" i="3"/>
  <c r="I317" i="3"/>
  <c r="I141" i="3"/>
  <c r="I99" i="3"/>
  <c r="I834" i="3"/>
  <c r="I633" i="3"/>
  <c r="I860" i="3"/>
  <c r="G860" i="3"/>
  <c r="I335" i="3"/>
  <c r="G335" i="3"/>
  <c r="I703" i="3"/>
  <c r="S161" i="3"/>
  <c r="P161" i="3"/>
  <c r="N161" i="3"/>
  <c r="O161" i="3"/>
  <c r="L161" i="3"/>
  <c r="M161" i="3"/>
  <c r="J161" i="3"/>
  <c r="K161" i="3"/>
  <c r="J240" i="7"/>
  <c r="I240" i="7"/>
  <c r="I161" i="3"/>
  <c r="J257" i="7"/>
  <c r="S403" i="3"/>
  <c r="P403" i="3"/>
  <c r="O403" i="3"/>
  <c r="N403" i="3"/>
  <c r="M403" i="3"/>
  <c r="L403" i="3"/>
  <c r="K403" i="3"/>
  <c r="J403" i="3"/>
  <c r="I403" i="3"/>
  <c r="S376" i="3"/>
  <c r="P376" i="3"/>
  <c r="O376" i="3"/>
  <c r="N376" i="3"/>
  <c r="M376" i="3"/>
  <c r="L376" i="3"/>
  <c r="K376" i="3"/>
  <c r="J376" i="3"/>
  <c r="I376" i="3"/>
  <c r="S740" i="3"/>
  <c r="P740" i="3"/>
  <c r="O740" i="3"/>
  <c r="M740" i="3"/>
  <c r="N740" i="3"/>
  <c r="K740" i="3"/>
  <c r="L740" i="3"/>
  <c r="J740" i="3"/>
  <c r="E740" i="3"/>
  <c r="D740" i="3"/>
  <c r="H740" i="3"/>
  <c r="I740" i="3"/>
  <c r="I531" i="7"/>
  <c r="J31" i="7"/>
  <c r="I23" i="7"/>
  <c r="S864" i="3"/>
  <c r="P864" i="3"/>
  <c r="O864" i="3"/>
  <c r="N864" i="3"/>
  <c r="M864" i="3"/>
  <c r="L864" i="3"/>
  <c r="K864" i="3"/>
  <c r="J864" i="3"/>
  <c r="I864" i="3"/>
  <c r="S865" i="3"/>
  <c r="P865" i="3"/>
  <c r="O865" i="3"/>
  <c r="N865" i="3"/>
  <c r="M865" i="3"/>
  <c r="L865" i="3"/>
  <c r="K865" i="3"/>
  <c r="J865" i="3"/>
  <c r="I865" i="3"/>
  <c r="S34" i="3"/>
  <c r="P34" i="3"/>
  <c r="O34" i="3"/>
  <c r="N34" i="3"/>
  <c r="M34" i="3"/>
  <c r="L34" i="3"/>
  <c r="K34" i="3"/>
  <c r="J34" i="3"/>
  <c r="I34" i="3"/>
  <c r="P90" i="3"/>
  <c r="S90" i="3"/>
  <c r="O90" i="3"/>
  <c r="M90" i="3"/>
  <c r="L90" i="3"/>
  <c r="N90" i="3"/>
  <c r="J90" i="3"/>
  <c r="K90" i="3"/>
  <c r="J537" i="7"/>
  <c r="I90" i="3"/>
  <c r="S5" i="3"/>
  <c r="P5" i="3"/>
  <c r="O5" i="3"/>
  <c r="N5" i="3"/>
  <c r="L5" i="3"/>
  <c r="K5" i="3"/>
  <c r="M5" i="3"/>
  <c r="J5" i="3"/>
  <c r="I102" i="7"/>
  <c r="I5" i="3"/>
  <c r="S56" i="3"/>
  <c r="P56" i="3"/>
  <c r="O56" i="3"/>
  <c r="N56" i="3"/>
  <c r="M56" i="3"/>
  <c r="L56" i="3"/>
  <c r="K56" i="3"/>
  <c r="J56" i="3"/>
  <c r="J332" i="7"/>
  <c r="I56" i="3"/>
  <c r="S273" i="3"/>
  <c r="P273" i="3"/>
  <c r="O273" i="3"/>
  <c r="N273" i="3"/>
  <c r="M273" i="3"/>
  <c r="K273" i="3"/>
  <c r="L273" i="3"/>
  <c r="J273" i="3"/>
  <c r="I273" i="3"/>
  <c r="I43" i="7"/>
  <c r="J71" i="7"/>
  <c r="S577" i="3"/>
  <c r="P577" i="3"/>
  <c r="O577" i="3"/>
  <c r="N577" i="3"/>
  <c r="M577" i="3"/>
  <c r="L577" i="3"/>
  <c r="J577" i="3"/>
  <c r="K577" i="3"/>
  <c r="E577" i="3"/>
  <c r="D577" i="3"/>
  <c r="I577" i="3"/>
  <c r="H577" i="3"/>
  <c r="S569" i="3"/>
  <c r="P569" i="3"/>
  <c r="O569" i="3"/>
  <c r="N569" i="3"/>
  <c r="M569" i="3"/>
  <c r="L569" i="3"/>
  <c r="K569" i="3"/>
  <c r="J569" i="3"/>
  <c r="E569" i="3"/>
  <c r="D569" i="3"/>
  <c r="H569" i="3"/>
  <c r="I569" i="3"/>
  <c r="S41" i="3"/>
  <c r="P41" i="3"/>
  <c r="O41" i="3"/>
  <c r="N41" i="3"/>
  <c r="M41" i="3"/>
  <c r="L41" i="3"/>
  <c r="K41" i="3"/>
  <c r="J41" i="3"/>
  <c r="I41" i="3"/>
  <c r="S269" i="3"/>
  <c r="P269" i="3"/>
  <c r="O269" i="3"/>
  <c r="N269" i="3"/>
  <c r="M269" i="3"/>
  <c r="L269" i="3"/>
  <c r="K269" i="3"/>
  <c r="J269" i="3"/>
  <c r="I269" i="3"/>
  <c r="S119" i="3"/>
  <c r="P119" i="3"/>
  <c r="O119" i="3"/>
  <c r="N119" i="3"/>
  <c r="M119" i="3"/>
  <c r="K119" i="3"/>
  <c r="L119" i="3"/>
  <c r="J119" i="3"/>
  <c r="E119" i="3"/>
  <c r="D119" i="3"/>
  <c r="H119" i="3"/>
  <c r="I119" i="3"/>
  <c r="S218" i="3"/>
  <c r="P218" i="3"/>
  <c r="O218" i="3"/>
  <c r="N218" i="3"/>
  <c r="M218" i="3"/>
  <c r="K218" i="3"/>
  <c r="L218" i="3"/>
  <c r="J218" i="3"/>
  <c r="J495" i="7"/>
  <c r="I218" i="3"/>
  <c r="S783" i="3"/>
  <c r="P783" i="3"/>
  <c r="O783" i="3"/>
  <c r="N783" i="3"/>
  <c r="M783" i="3"/>
  <c r="L783" i="3"/>
  <c r="K783" i="3"/>
  <c r="J783" i="3"/>
  <c r="J99" i="7"/>
  <c r="I783" i="3"/>
  <c r="S253" i="3"/>
  <c r="P253" i="3"/>
  <c r="O253" i="3"/>
  <c r="N253" i="3"/>
  <c r="M253" i="3"/>
  <c r="L253" i="3"/>
  <c r="K253" i="3"/>
  <c r="J253" i="3"/>
  <c r="I253" i="3"/>
  <c r="S525" i="3"/>
  <c r="P525" i="3"/>
  <c r="O525" i="3"/>
  <c r="N525" i="3"/>
  <c r="M525" i="3"/>
  <c r="L525" i="3"/>
  <c r="K525" i="3"/>
  <c r="J525" i="3"/>
  <c r="J270" i="7"/>
  <c r="I525" i="3"/>
  <c r="J403" i="7"/>
  <c r="S357" i="3"/>
  <c r="P357" i="3"/>
  <c r="O357" i="3"/>
  <c r="M357" i="3"/>
  <c r="N357" i="3"/>
  <c r="L357" i="3"/>
  <c r="J357" i="3"/>
  <c r="K357" i="3"/>
  <c r="I357" i="3"/>
  <c r="S873" i="3"/>
  <c r="P873" i="3"/>
  <c r="O873" i="3"/>
  <c r="N873" i="3"/>
  <c r="M873" i="3"/>
  <c r="L873" i="3"/>
  <c r="K873" i="3"/>
  <c r="J873" i="3"/>
  <c r="I873" i="3"/>
  <c r="S47" i="3"/>
  <c r="P47" i="3"/>
  <c r="O47" i="3"/>
  <c r="N47" i="3"/>
  <c r="M47" i="3"/>
  <c r="L47" i="3"/>
  <c r="K47" i="3"/>
  <c r="J47" i="3"/>
  <c r="J524" i="7"/>
  <c r="I47" i="3"/>
  <c r="S349" i="3"/>
  <c r="P349" i="3"/>
  <c r="O349" i="3"/>
  <c r="N349" i="3"/>
  <c r="L349" i="3"/>
  <c r="M349" i="3"/>
  <c r="K349" i="3"/>
  <c r="J349" i="3"/>
  <c r="I360" i="7"/>
  <c r="I349" i="3"/>
  <c r="S366" i="3"/>
  <c r="P366" i="3"/>
  <c r="O366" i="3"/>
  <c r="M366" i="3"/>
  <c r="N366" i="3"/>
  <c r="L366" i="3"/>
  <c r="J366" i="3"/>
  <c r="K366" i="3"/>
  <c r="I366" i="3"/>
  <c r="S426" i="3"/>
  <c r="P426" i="3"/>
  <c r="O426" i="3"/>
  <c r="N426" i="3"/>
  <c r="M426" i="3"/>
  <c r="L426" i="3"/>
  <c r="K426" i="3"/>
  <c r="J426" i="3"/>
  <c r="I426" i="3"/>
  <c r="S222" i="3"/>
  <c r="P222" i="3"/>
  <c r="O222" i="3"/>
  <c r="N222" i="3"/>
  <c r="M222" i="3"/>
  <c r="K222" i="3"/>
  <c r="L222" i="3"/>
  <c r="J222" i="3"/>
  <c r="J192" i="7"/>
  <c r="I192" i="7"/>
  <c r="I222" i="3"/>
  <c r="S337" i="3"/>
  <c r="P337" i="3"/>
  <c r="O337" i="3"/>
  <c r="N337" i="3"/>
  <c r="M337" i="3"/>
  <c r="L337" i="3"/>
  <c r="K337" i="3"/>
  <c r="J337" i="3"/>
  <c r="E337" i="3"/>
  <c r="J236" i="7" s="1"/>
  <c r="D337" i="3"/>
  <c r="I583" i="7" s="1"/>
  <c r="H337" i="3"/>
  <c r="I337" i="3"/>
  <c r="S828" i="3"/>
  <c r="P828" i="3"/>
  <c r="O828" i="3"/>
  <c r="N828" i="3"/>
  <c r="L828" i="3"/>
  <c r="K828" i="3"/>
  <c r="M828" i="3"/>
  <c r="J828" i="3"/>
  <c r="J385" i="7"/>
  <c r="I828" i="3"/>
  <c r="S240" i="3"/>
  <c r="P240" i="3"/>
  <c r="O240" i="3"/>
  <c r="N240" i="3"/>
  <c r="L240" i="3"/>
  <c r="K240" i="3"/>
  <c r="J240" i="3"/>
  <c r="M240" i="3"/>
  <c r="I240" i="3"/>
  <c r="I562" i="7"/>
  <c r="S365" i="3"/>
  <c r="P365" i="3"/>
  <c r="O365" i="3"/>
  <c r="N365" i="3"/>
  <c r="M365" i="3"/>
  <c r="L365" i="3"/>
  <c r="K365" i="3"/>
  <c r="E365" i="3"/>
  <c r="J365" i="3"/>
  <c r="D365" i="3"/>
  <c r="H365" i="3"/>
  <c r="I365" i="3"/>
  <c r="S538" i="3"/>
  <c r="P538" i="3"/>
  <c r="O538" i="3"/>
  <c r="N538" i="3"/>
  <c r="M538" i="3"/>
  <c r="L538" i="3"/>
  <c r="K538" i="3"/>
  <c r="J538" i="3"/>
  <c r="E538" i="3"/>
  <c r="D538" i="3"/>
  <c r="H538" i="3"/>
  <c r="I538" i="3"/>
  <c r="S458" i="3"/>
  <c r="P458" i="3"/>
  <c r="O458" i="3"/>
  <c r="N458" i="3"/>
  <c r="L458" i="3"/>
  <c r="M458" i="3"/>
  <c r="K458" i="3"/>
  <c r="J458" i="3"/>
  <c r="E458" i="3"/>
  <c r="D458" i="3"/>
  <c r="H458" i="3"/>
  <c r="I458" i="3"/>
  <c r="S799" i="3"/>
  <c r="P799" i="3"/>
  <c r="O799" i="3"/>
  <c r="N799" i="3"/>
  <c r="M799" i="3"/>
  <c r="L799" i="3"/>
  <c r="K799" i="3"/>
  <c r="J799" i="3"/>
  <c r="E799" i="3"/>
  <c r="D799" i="3"/>
  <c r="H799" i="3"/>
  <c r="I799" i="3"/>
  <c r="S820" i="3"/>
  <c r="P820" i="3"/>
  <c r="O820" i="3"/>
  <c r="N820" i="3"/>
  <c r="M820" i="3"/>
  <c r="L820" i="3"/>
  <c r="K820" i="3"/>
  <c r="E820" i="3"/>
  <c r="J820" i="3"/>
  <c r="D820" i="3"/>
  <c r="H820" i="3"/>
  <c r="I820" i="3"/>
  <c r="S773" i="3"/>
  <c r="P773" i="3"/>
  <c r="O773" i="3"/>
  <c r="N773" i="3"/>
  <c r="M773" i="3"/>
  <c r="L773" i="3"/>
  <c r="J773" i="3"/>
  <c r="K773" i="3"/>
  <c r="E773" i="3"/>
  <c r="D773" i="3"/>
  <c r="H773" i="3"/>
  <c r="I773" i="3"/>
  <c r="S716" i="3"/>
  <c r="P716" i="3"/>
  <c r="O716" i="3"/>
  <c r="N716" i="3"/>
  <c r="M716" i="3"/>
  <c r="L716" i="3"/>
  <c r="K716" i="3"/>
  <c r="J716" i="3"/>
  <c r="E716" i="3"/>
  <c r="D716" i="3"/>
  <c r="H716" i="3"/>
  <c r="I716" i="3"/>
  <c r="S691" i="3"/>
  <c r="P691" i="3"/>
  <c r="O691" i="3"/>
  <c r="N691" i="3"/>
  <c r="M691" i="3"/>
  <c r="L691" i="3"/>
  <c r="K691" i="3"/>
  <c r="E691" i="3"/>
  <c r="J691" i="3"/>
  <c r="D691" i="3"/>
  <c r="H691" i="3"/>
  <c r="I691" i="3"/>
  <c r="S645" i="3"/>
  <c r="P645" i="3"/>
  <c r="O645" i="3"/>
  <c r="N645" i="3"/>
  <c r="M645" i="3"/>
  <c r="L645" i="3"/>
  <c r="K645" i="3"/>
  <c r="J645" i="3"/>
  <c r="E645" i="3"/>
  <c r="D645" i="3"/>
  <c r="H645" i="3"/>
  <c r="I645" i="3"/>
  <c r="S574" i="3"/>
  <c r="P574" i="3"/>
  <c r="O574" i="3"/>
  <c r="M574" i="3"/>
  <c r="N574" i="3"/>
  <c r="L574" i="3"/>
  <c r="J574" i="3"/>
  <c r="K574" i="3"/>
  <c r="D574" i="3"/>
  <c r="E574" i="3"/>
  <c r="H574" i="3"/>
  <c r="I574" i="3"/>
  <c r="S550" i="3"/>
  <c r="P550" i="3"/>
  <c r="O550" i="3"/>
  <c r="N550" i="3"/>
  <c r="M550" i="3"/>
  <c r="L550" i="3"/>
  <c r="K550" i="3"/>
  <c r="J550" i="3"/>
  <c r="E550" i="3"/>
  <c r="D550" i="3"/>
  <c r="H550" i="3"/>
  <c r="I550" i="3"/>
  <c r="S498" i="3"/>
  <c r="P498" i="3"/>
  <c r="O498" i="3"/>
  <c r="N498" i="3"/>
  <c r="M498" i="3"/>
  <c r="L498" i="3"/>
  <c r="K498" i="3"/>
  <c r="E498" i="3"/>
  <c r="J498" i="3"/>
  <c r="D498" i="3"/>
  <c r="H498" i="3"/>
  <c r="I498" i="3"/>
  <c r="S435" i="3"/>
  <c r="P435" i="3"/>
  <c r="O435" i="3"/>
  <c r="N435" i="3"/>
  <c r="M435" i="3"/>
  <c r="L435" i="3"/>
  <c r="K435" i="3"/>
  <c r="J435" i="3"/>
  <c r="E435" i="3"/>
  <c r="D435" i="3"/>
  <c r="H435" i="3"/>
  <c r="I435" i="3"/>
  <c r="S521" i="3"/>
  <c r="P521" i="3"/>
  <c r="O521" i="3"/>
  <c r="N521" i="3"/>
  <c r="M521" i="3"/>
  <c r="L521" i="3"/>
  <c r="K521" i="3"/>
  <c r="J521" i="3"/>
  <c r="E521" i="3"/>
  <c r="D521" i="3"/>
  <c r="I521" i="3"/>
  <c r="H521" i="3"/>
  <c r="S397" i="3"/>
  <c r="P397" i="3"/>
  <c r="O397" i="3"/>
  <c r="M397" i="3"/>
  <c r="N397" i="3"/>
  <c r="L397" i="3"/>
  <c r="K397" i="3"/>
  <c r="J397" i="3"/>
  <c r="I397" i="3"/>
  <c r="S404" i="3"/>
  <c r="P404" i="3"/>
  <c r="O404" i="3"/>
  <c r="N404" i="3"/>
  <c r="M404" i="3"/>
  <c r="L404" i="3"/>
  <c r="J404" i="3"/>
  <c r="K404" i="3"/>
  <c r="I404" i="3"/>
  <c r="S560" i="3"/>
  <c r="P560" i="3"/>
  <c r="O560" i="3"/>
  <c r="N560" i="3"/>
  <c r="M560" i="3"/>
  <c r="L560" i="3"/>
  <c r="K560" i="3"/>
  <c r="J560" i="3"/>
  <c r="J458" i="7"/>
  <c r="I560" i="3"/>
  <c r="S243" i="3"/>
  <c r="P243" i="3"/>
  <c r="O243" i="3"/>
  <c r="N243" i="3"/>
  <c r="M243" i="3"/>
  <c r="K243" i="3"/>
  <c r="L243" i="3"/>
  <c r="J243" i="3"/>
  <c r="I243" i="3"/>
  <c r="S590" i="3"/>
  <c r="P590" i="3"/>
  <c r="O590" i="3"/>
  <c r="N590" i="3"/>
  <c r="M590" i="3"/>
  <c r="L590" i="3"/>
  <c r="K590" i="3"/>
  <c r="E590" i="3"/>
  <c r="J528" i="7" s="1"/>
  <c r="J590" i="3"/>
  <c r="D590" i="3"/>
  <c r="I528" i="7" s="1"/>
  <c r="H590" i="3"/>
  <c r="I590" i="3"/>
  <c r="S578" i="3"/>
  <c r="P578" i="3"/>
  <c r="O578" i="3"/>
  <c r="N578" i="3"/>
  <c r="M578" i="3"/>
  <c r="L578" i="3"/>
  <c r="K578" i="3"/>
  <c r="J578" i="3"/>
  <c r="I578" i="3"/>
  <c r="S344" i="3"/>
  <c r="P344" i="3"/>
  <c r="O344" i="3"/>
  <c r="N344" i="3"/>
  <c r="M344" i="3"/>
  <c r="L344" i="3"/>
  <c r="K344" i="3"/>
  <c r="J483" i="7"/>
  <c r="J344" i="3"/>
  <c r="I344" i="3"/>
  <c r="S126" i="3"/>
  <c r="P126" i="3"/>
  <c r="O126" i="3"/>
  <c r="N126" i="3"/>
  <c r="M126" i="3"/>
  <c r="L126" i="3"/>
  <c r="K126" i="3"/>
  <c r="J126" i="3"/>
  <c r="I126" i="3"/>
  <c r="S275" i="3"/>
  <c r="P275" i="3"/>
  <c r="O275" i="3"/>
  <c r="N275" i="3"/>
  <c r="M275" i="3"/>
  <c r="L275" i="3"/>
  <c r="K275" i="3"/>
  <c r="J275" i="3"/>
  <c r="I275" i="3"/>
  <c r="S151" i="3"/>
  <c r="P151" i="3"/>
  <c r="O151" i="3"/>
  <c r="M151" i="3"/>
  <c r="N151" i="3"/>
  <c r="L151" i="3"/>
  <c r="J151" i="3"/>
  <c r="K151" i="3"/>
  <c r="I151" i="3"/>
  <c r="S24" i="3"/>
  <c r="P24" i="3"/>
  <c r="O24" i="3"/>
  <c r="M24" i="3"/>
  <c r="L24" i="3"/>
  <c r="N24" i="3"/>
  <c r="K24" i="3"/>
  <c r="J24" i="3"/>
  <c r="I555" i="7"/>
  <c r="I24" i="3"/>
  <c r="J411" i="7"/>
  <c r="S492" i="3"/>
  <c r="P492" i="3"/>
  <c r="O492" i="3"/>
  <c r="N492" i="3"/>
  <c r="M492" i="3"/>
  <c r="L492" i="3"/>
  <c r="K492" i="3"/>
  <c r="J492" i="3"/>
  <c r="I492" i="3"/>
  <c r="S759" i="3"/>
  <c r="P759" i="3"/>
  <c r="O759" i="3"/>
  <c r="N759" i="3"/>
  <c r="M759" i="3"/>
  <c r="L759" i="3"/>
  <c r="K759" i="3"/>
  <c r="J759" i="3"/>
  <c r="I759" i="3"/>
  <c r="S265" i="3"/>
  <c r="P265" i="3"/>
  <c r="O265" i="3"/>
  <c r="N265" i="3"/>
  <c r="L265" i="3"/>
  <c r="M265" i="3"/>
  <c r="K265" i="3"/>
  <c r="J265" i="3"/>
  <c r="J496" i="7"/>
  <c r="I265" i="3"/>
  <c r="S91" i="3"/>
  <c r="P91" i="3"/>
  <c r="O91" i="3"/>
  <c r="N91" i="3"/>
  <c r="M91" i="3"/>
  <c r="L91" i="3"/>
  <c r="K91" i="3"/>
  <c r="J91" i="3"/>
  <c r="I91" i="3"/>
  <c r="S117" i="3"/>
  <c r="P117" i="3"/>
  <c r="O117" i="3"/>
  <c r="N117" i="3"/>
  <c r="M117" i="3"/>
  <c r="L117" i="3"/>
  <c r="K117" i="3"/>
  <c r="J117" i="3"/>
  <c r="E117" i="3"/>
  <c r="J119" i="7" s="1"/>
  <c r="D117" i="3"/>
  <c r="I119" i="7" s="1"/>
  <c r="H117" i="3"/>
  <c r="I117" i="3"/>
  <c r="S242" i="3"/>
  <c r="P242" i="3"/>
  <c r="O242" i="3"/>
  <c r="N242" i="3"/>
  <c r="M242" i="3"/>
  <c r="L242" i="3"/>
  <c r="K242" i="3"/>
  <c r="J242" i="3"/>
  <c r="I242" i="3"/>
  <c r="S772" i="3"/>
  <c r="P772" i="3"/>
  <c r="O772" i="3"/>
  <c r="N772" i="3"/>
  <c r="M772" i="3"/>
  <c r="L772" i="3"/>
  <c r="K772" i="3"/>
  <c r="J772" i="3"/>
  <c r="I772" i="3"/>
  <c r="S817" i="3"/>
  <c r="P817" i="3"/>
  <c r="O817" i="3"/>
  <c r="N817" i="3"/>
  <c r="M817" i="3"/>
  <c r="L817" i="3"/>
  <c r="K817" i="3"/>
  <c r="J817" i="3"/>
  <c r="I601" i="7"/>
  <c r="I817" i="3"/>
  <c r="S116" i="3"/>
  <c r="P116" i="3"/>
  <c r="O116" i="3"/>
  <c r="N116" i="3"/>
  <c r="M116" i="3"/>
  <c r="L116" i="3"/>
  <c r="K116" i="3"/>
  <c r="J116" i="3"/>
  <c r="E116" i="3"/>
  <c r="D116" i="3"/>
  <c r="I487" i="7" s="1"/>
  <c r="H116" i="3"/>
  <c r="I116" i="3"/>
  <c r="S667" i="3"/>
  <c r="P667" i="3"/>
  <c r="N667" i="3"/>
  <c r="O667" i="3"/>
  <c r="M667" i="3"/>
  <c r="L667" i="3"/>
  <c r="K667" i="3"/>
  <c r="J667" i="3"/>
  <c r="I667" i="3"/>
  <c r="S668" i="3"/>
  <c r="P668" i="3"/>
  <c r="O668" i="3"/>
  <c r="N668" i="3"/>
  <c r="M668" i="3"/>
  <c r="L668" i="3"/>
  <c r="K668" i="3"/>
  <c r="J668" i="3"/>
  <c r="I668" i="3"/>
  <c r="S97" i="3"/>
  <c r="P97" i="3"/>
  <c r="O97" i="3"/>
  <c r="N97" i="3"/>
  <c r="M97" i="3"/>
  <c r="L97" i="3"/>
  <c r="K97" i="3"/>
  <c r="J97" i="3"/>
  <c r="I97" i="3"/>
  <c r="S665" i="3"/>
  <c r="P665" i="3"/>
  <c r="O665" i="3"/>
  <c r="N665" i="3"/>
  <c r="M665" i="3"/>
  <c r="K665" i="3"/>
  <c r="L665" i="3"/>
  <c r="J665" i="3"/>
  <c r="E665" i="3"/>
  <c r="J511" i="7" s="1"/>
  <c r="D665" i="3"/>
  <c r="H665" i="3"/>
  <c r="I665" i="3"/>
  <c r="J446" i="7"/>
  <c r="S462" i="3"/>
  <c r="P462" i="3"/>
  <c r="N462" i="3"/>
  <c r="O462" i="3"/>
  <c r="L462" i="3"/>
  <c r="K462" i="3"/>
  <c r="M462" i="3"/>
  <c r="J462" i="3"/>
  <c r="J273" i="7"/>
  <c r="I273" i="7"/>
  <c r="I462" i="3"/>
  <c r="S52" i="3"/>
  <c r="P52" i="3"/>
  <c r="O52" i="3"/>
  <c r="N52" i="3"/>
  <c r="M52" i="3"/>
  <c r="L52" i="3"/>
  <c r="K52" i="3"/>
  <c r="J52" i="3"/>
  <c r="I52" i="3"/>
  <c r="S167" i="3"/>
  <c r="P167" i="3"/>
  <c r="N167" i="3"/>
  <c r="M167" i="3"/>
  <c r="O167" i="3"/>
  <c r="L167" i="3"/>
  <c r="K167" i="3"/>
  <c r="J167" i="3"/>
  <c r="I167" i="3"/>
  <c r="S173" i="3"/>
  <c r="P173" i="3"/>
  <c r="O173" i="3"/>
  <c r="N173" i="3"/>
  <c r="M173" i="3"/>
  <c r="L173" i="3"/>
  <c r="K173" i="3"/>
  <c r="J173" i="3"/>
  <c r="E173" i="3"/>
  <c r="D173" i="3"/>
  <c r="H173" i="3"/>
  <c r="I173" i="3"/>
  <c r="S778" i="3"/>
  <c r="P778" i="3"/>
  <c r="O778" i="3"/>
  <c r="N778" i="3"/>
  <c r="M778" i="3"/>
  <c r="L778" i="3"/>
  <c r="K778" i="3"/>
  <c r="J778" i="3"/>
  <c r="I778" i="3"/>
  <c r="S632" i="3"/>
  <c r="P632" i="3"/>
  <c r="O632" i="3"/>
  <c r="N632" i="3"/>
  <c r="M632" i="3"/>
  <c r="K632" i="3"/>
  <c r="L632" i="3"/>
  <c r="J632" i="3"/>
  <c r="J359" i="7"/>
  <c r="I632" i="3"/>
  <c r="S393" i="3"/>
  <c r="P393" i="3"/>
  <c r="O393" i="3"/>
  <c r="N393" i="3"/>
  <c r="M393" i="3"/>
  <c r="L393" i="3"/>
  <c r="K393" i="3"/>
  <c r="J393" i="3"/>
  <c r="D393" i="3"/>
  <c r="I299" i="7" s="1"/>
  <c r="E393" i="3"/>
  <c r="J299" i="7" s="1"/>
  <c r="I393" i="3"/>
  <c r="H393" i="3"/>
  <c r="S770" i="3"/>
  <c r="P770" i="3"/>
  <c r="O770" i="3"/>
  <c r="N770" i="3"/>
  <c r="L770" i="3"/>
  <c r="M770" i="3"/>
  <c r="K770" i="3"/>
  <c r="J770" i="3"/>
  <c r="I207" i="7"/>
  <c r="J207" i="7"/>
  <c r="I770" i="3"/>
  <c r="I106" i="7"/>
  <c r="J265" i="7"/>
  <c r="J76" i="7"/>
  <c r="S731" i="3"/>
  <c r="P731" i="3"/>
  <c r="N731" i="3"/>
  <c r="O731" i="3"/>
  <c r="M731" i="3"/>
  <c r="K731" i="3"/>
  <c r="J731" i="3"/>
  <c r="L731" i="3"/>
  <c r="I182" i="7"/>
  <c r="I731" i="3"/>
  <c r="S733" i="3"/>
  <c r="P733" i="3"/>
  <c r="O733" i="3"/>
  <c r="N733" i="3"/>
  <c r="M733" i="3"/>
  <c r="L733" i="3"/>
  <c r="K733" i="3"/>
  <c r="J733" i="3"/>
  <c r="J86" i="7"/>
  <c r="I733" i="3"/>
  <c r="S520" i="3"/>
  <c r="P520" i="3"/>
  <c r="O520" i="3"/>
  <c r="N520" i="3"/>
  <c r="M520" i="3"/>
  <c r="K520" i="3"/>
  <c r="L520" i="3"/>
  <c r="J520" i="3"/>
  <c r="I520" i="3"/>
  <c r="J41" i="7"/>
  <c r="I41" i="7"/>
  <c r="J47" i="7"/>
  <c r="I47" i="7"/>
  <c r="S33" i="3"/>
  <c r="P33" i="3"/>
  <c r="O33" i="3"/>
  <c r="N33" i="3"/>
  <c r="M33" i="3"/>
  <c r="L33" i="3"/>
  <c r="K33" i="3"/>
  <c r="J33" i="3"/>
  <c r="I84" i="7"/>
  <c r="I33" i="3"/>
  <c r="S55" i="3"/>
  <c r="P55" i="3"/>
  <c r="N55" i="3"/>
  <c r="O55" i="3"/>
  <c r="M55" i="3"/>
  <c r="L55" i="3"/>
  <c r="K55" i="3"/>
  <c r="J55" i="3"/>
  <c r="I55" i="3"/>
  <c r="S886" i="3"/>
  <c r="P886" i="3"/>
  <c r="O886" i="3"/>
  <c r="N886" i="3"/>
  <c r="M886" i="3"/>
  <c r="L886" i="3"/>
  <c r="K886" i="3"/>
  <c r="J886" i="3"/>
  <c r="I886" i="3"/>
  <c r="S463" i="3"/>
  <c r="P463" i="3"/>
  <c r="O463" i="3"/>
  <c r="M463" i="3"/>
  <c r="N463" i="3"/>
  <c r="L463" i="3"/>
  <c r="J463" i="3"/>
  <c r="K463" i="3"/>
  <c r="E463" i="3"/>
  <c r="D463" i="3"/>
  <c r="H463" i="3"/>
  <c r="I463" i="3"/>
  <c r="S837" i="3"/>
  <c r="P837" i="3"/>
  <c r="O837" i="3"/>
  <c r="N837" i="3"/>
  <c r="M837" i="3"/>
  <c r="L837" i="3"/>
  <c r="K837" i="3"/>
  <c r="J837" i="3"/>
  <c r="E837" i="3"/>
  <c r="D837" i="3"/>
  <c r="H837" i="3"/>
  <c r="I837" i="3"/>
  <c r="S428" i="3"/>
  <c r="P428" i="3"/>
  <c r="O428" i="3"/>
  <c r="N428" i="3"/>
  <c r="M428" i="3"/>
  <c r="L428" i="3"/>
  <c r="K428" i="3"/>
  <c r="J428" i="3"/>
  <c r="I428" i="3"/>
  <c r="I74" i="7"/>
  <c r="S195" i="3"/>
  <c r="P195" i="3"/>
  <c r="N195" i="3"/>
  <c r="O195" i="3"/>
  <c r="M195" i="3"/>
  <c r="L195" i="3"/>
  <c r="K195" i="3"/>
  <c r="J195" i="3"/>
  <c r="I195" i="3"/>
  <c r="S144" i="3"/>
  <c r="P144" i="3"/>
  <c r="O144" i="3"/>
  <c r="N144" i="3"/>
  <c r="M144" i="3"/>
  <c r="L144" i="3"/>
  <c r="K144" i="3"/>
  <c r="J144" i="3"/>
  <c r="I144" i="3"/>
  <c r="S589" i="3"/>
  <c r="P589" i="3"/>
  <c r="O589" i="3"/>
  <c r="N589" i="3"/>
  <c r="M589" i="3"/>
  <c r="L589" i="3"/>
  <c r="K589" i="3"/>
  <c r="J589" i="3"/>
  <c r="E589" i="3"/>
  <c r="J441" i="7" s="1"/>
  <c r="D589" i="3"/>
  <c r="H589" i="3"/>
  <c r="I589" i="3"/>
  <c r="S223" i="3"/>
  <c r="P223" i="3"/>
  <c r="O223" i="3"/>
  <c r="N223" i="3"/>
  <c r="M223" i="3"/>
  <c r="L223" i="3"/>
  <c r="J223" i="3"/>
  <c r="K223" i="3"/>
  <c r="D223" i="3"/>
  <c r="I567" i="7" s="1"/>
  <c r="E223" i="3"/>
  <c r="H223" i="3"/>
  <c r="I223" i="3"/>
  <c r="J218" i="7"/>
  <c r="S649" i="3"/>
  <c r="P649" i="3"/>
  <c r="O649" i="3"/>
  <c r="N649" i="3"/>
  <c r="M649" i="3"/>
  <c r="K649" i="3"/>
  <c r="L649" i="3"/>
  <c r="E649" i="3"/>
  <c r="J649" i="3"/>
  <c r="D649" i="3"/>
  <c r="H649" i="3"/>
  <c r="I649" i="3"/>
  <c r="S505" i="3"/>
  <c r="P505" i="3"/>
  <c r="O505" i="3"/>
  <c r="M505" i="3"/>
  <c r="N505" i="3"/>
  <c r="L505" i="3"/>
  <c r="J505" i="3"/>
  <c r="K505" i="3"/>
  <c r="I505" i="3"/>
  <c r="I376" i="7"/>
  <c r="J376" i="7"/>
  <c r="S406" i="3"/>
  <c r="P406" i="3"/>
  <c r="O406" i="3"/>
  <c r="N406" i="3"/>
  <c r="M406" i="3"/>
  <c r="L406" i="3"/>
  <c r="J406" i="3"/>
  <c r="K406" i="3"/>
  <c r="I406" i="3"/>
  <c r="S272" i="3"/>
  <c r="P272" i="3"/>
  <c r="O272" i="3"/>
  <c r="N272" i="3"/>
  <c r="M272" i="3"/>
  <c r="L272" i="3"/>
  <c r="K272" i="3"/>
  <c r="J272" i="3"/>
  <c r="J234" i="7"/>
  <c r="I272" i="3"/>
  <c r="I269" i="7"/>
  <c r="S715" i="3"/>
  <c r="P715" i="3"/>
  <c r="O715" i="3"/>
  <c r="N715" i="3"/>
  <c r="M715" i="3"/>
  <c r="L715" i="3"/>
  <c r="K715" i="3"/>
  <c r="J715" i="3"/>
  <c r="I715" i="3"/>
  <c r="S608" i="3"/>
  <c r="P608" i="3"/>
  <c r="M608" i="3"/>
  <c r="N608" i="3"/>
  <c r="L608" i="3"/>
  <c r="O608" i="3"/>
  <c r="J608" i="3"/>
  <c r="K608" i="3"/>
  <c r="I608" i="3"/>
  <c r="S400" i="3"/>
  <c r="P400" i="3"/>
  <c r="O400" i="3"/>
  <c r="N400" i="3"/>
  <c r="M400" i="3"/>
  <c r="L400" i="3"/>
  <c r="K400" i="3"/>
  <c r="J400" i="3"/>
  <c r="I400" i="3"/>
  <c r="S226" i="3"/>
  <c r="P226" i="3"/>
  <c r="O226" i="3"/>
  <c r="N226" i="3"/>
  <c r="M226" i="3"/>
  <c r="K226" i="3"/>
  <c r="L226" i="3"/>
  <c r="J226" i="3"/>
  <c r="E226" i="3"/>
  <c r="D226" i="3"/>
  <c r="H226" i="3"/>
  <c r="I226" i="3"/>
  <c r="J355" i="7"/>
  <c r="J515" i="7"/>
  <c r="I515" i="7"/>
  <c r="S615" i="3"/>
  <c r="P615" i="3"/>
  <c r="O615" i="3"/>
  <c r="N615" i="3"/>
  <c r="M615" i="3"/>
  <c r="L615" i="3"/>
  <c r="K615" i="3"/>
  <c r="J615" i="3"/>
  <c r="E615" i="3"/>
  <c r="D615" i="3"/>
  <c r="H615" i="3"/>
  <c r="I615" i="3"/>
  <c r="J410" i="7"/>
  <c r="S836" i="3"/>
  <c r="P836" i="3"/>
  <c r="O836" i="3"/>
  <c r="N836" i="3"/>
  <c r="M836" i="3"/>
  <c r="L836" i="3"/>
  <c r="K836" i="3"/>
  <c r="E836" i="3"/>
  <c r="J836" i="3"/>
  <c r="D836" i="3"/>
  <c r="H836" i="3"/>
  <c r="I836" i="3"/>
  <c r="P766" i="3"/>
  <c r="S766" i="3"/>
  <c r="O766" i="3"/>
  <c r="N766" i="3"/>
  <c r="L766" i="3"/>
  <c r="K766" i="3"/>
  <c r="M766" i="3"/>
  <c r="J766" i="3"/>
  <c r="E766" i="3"/>
  <c r="D766" i="3"/>
  <c r="H766" i="3"/>
  <c r="I766" i="3"/>
  <c r="S741" i="3"/>
  <c r="P741" i="3"/>
  <c r="O741" i="3"/>
  <c r="N741" i="3"/>
  <c r="M741" i="3"/>
  <c r="L741" i="3"/>
  <c r="K741" i="3"/>
  <c r="E741" i="3"/>
  <c r="J741" i="3"/>
  <c r="D741" i="3"/>
  <c r="H741" i="3"/>
  <c r="I741" i="3"/>
  <c r="S704" i="3"/>
  <c r="P704" i="3"/>
  <c r="O704" i="3"/>
  <c r="M704" i="3"/>
  <c r="N704" i="3"/>
  <c r="L704" i="3"/>
  <c r="J704" i="3"/>
  <c r="K704" i="3"/>
  <c r="E704" i="3"/>
  <c r="D704" i="3"/>
  <c r="H704" i="3"/>
  <c r="I704" i="3"/>
  <c r="S690" i="3"/>
  <c r="P690" i="3"/>
  <c r="O690" i="3"/>
  <c r="N690" i="3"/>
  <c r="M690" i="3"/>
  <c r="L690" i="3"/>
  <c r="K690" i="3"/>
  <c r="J690" i="3"/>
  <c r="E690" i="3"/>
  <c r="D690" i="3"/>
  <c r="I690" i="3"/>
  <c r="H690" i="3"/>
  <c r="S124" i="3"/>
  <c r="P124" i="3"/>
  <c r="O124" i="3"/>
  <c r="N124" i="3"/>
  <c r="M124" i="3"/>
  <c r="L124" i="3"/>
  <c r="K124" i="3"/>
  <c r="J124" i="3"/>
  <c r="I124" i="3"/>
  <c r="S602" i="3"/>
  <c r="P602" i="3"/>
  <c r="O602" i="3"/>
  <c r="N602" i="3"/>
  <c r="M602" i="3"/>
  <c r="L602" i="3"/>
  <c r="K602" i="3"/>
  <c r="E602" i="3"/>
  <c r="J602" i="3"/>
  <c r="D602" i="3"/>
  <c r="H602" i="3"/>
  <c r="I602" i="3"/>
  <c r="P575" i="3"/>
  <c r="S575" i="3"/>
  <c r="O575" i="3"/>
  <c r="M575" i="3"/>
  <c r="N575" i="3"/>
  <c r="L575" i="3"/>
  <c r="J575" i="3"/>
  <c r="K575" i="3"/>
  <c r="E575" i="3"/>
  <c r="D575" i="3"/>
  <c r="H575" i="3"/>
  <c r="I575" i="3"/>
  <c r="S475" i="3"/>
  <c r="P475" i="3"/>
  <c r="O475" i="3"/>
  <c r="N475" i="3"/>
  <c r="M475" i="3"/>
  <c r="L475" i="3"/>
  <c r="K475" i="3"/>
  <c r="J475" i="3"/>
  <c r="E475" i="3"/>
  <c r="D475" i="3"/>
  <c r="H475" i="3"/>
  <c r="I475" i="3"/>
  <c r="S434" i="3"/>
  <c r="P434" i="3"/>
  <c r="O434" i="3"/>
  <c r="N434" i="3"/>
  <c r="M434" i="3"/>
  <c r="L434" i="3"/>
  <c r="K434" i="3"/>
  <c r="J434" i="3"/>
  <c r="E434" i="3"/>
  <c r="D434" i="3"/>
  <c r="I434" i="3"/>
  <c r="H434" i="3"/>
  <c r="S823" i="3"/>
  <c r="P823" i="3"/>
  <c r="O823" i="3"/>
  <c r="N823" i="3"/>
  <c r="M823" i="3"/>
  <c r="L823" i="3"/>
  <c r="K823" i="3"/>
  <c r="E823" i="3"/>
  <c r="J569" i="7" s="1"/>
  <c r="J823" i="3"/>
  <c r="D823" i="3"/>
  <c r="I569" i="7" s="1"/>
  <c r="H823" i="3"/>
  <c r="I823" i="3"/>
  <c r="S180" i="3"/>
  <c r="P180" i="3"/>
  <c r="O180" i="3"/>
  <c r="N180" i="3"/>
  <c r="M180" i="3"/>
  <c r="K180" i="3"/>
  <c r="L180" i="3"/>
  <c r="J180" i="3"/>
  <c r="I180" i="3"/>
  <c r="S371" i="3"/>
  <c r="P371" i="3"/>
  <c r="O371" i="3"/>
  <c r="M371" i="3"/>
  <c r="L371" i="3"/>
  <c r="N371" i="3"/>
  <c r="J371" i="3"/>
  <c r="K371" i="3"/>
  <c r="I371" i="3"/>
  <c r="S351" i="3"/>
  <c r="P351" i="3"/>
  <c r="O351" i="3"/>
  <c r="M351" i="3"/>
  <c r="N351" i="3"/>
  <c r="L351" i="3"/>
  <c r="J351" i="3"/>
  <c r="K351" i="3"/>
  <c r="I351" i="3"/>
  <c r="S369" i="3"/>
  <c r="P369" i="3"/>
  <c r="O369" i="3"/>
  <c r="M369" i="3"/>
  <c r="L369" i="3"/>
  <c r="N369" i="3"/>
  <c r="K369" i="3"/>
  <c r="J369" i="3"/>
  <c r="J557" i="7"/>
  <c r="I369" i="3"/>
  <c r="P705" i="3"/>
  <c r="S705" i="3"/>
  <c r="O705" i="3"/>
  <c r="N705" i="3"/>
  <c r="L705" i="3"/>
  <c r="K705" i="3"/>
  <c r="M705" i="3"/>
  <c r="J705" i="3"/>
  <c r="E705" i="3"/>
  <c r="J352" i="7" s="1"/>
  <c r="D705" i="3"/>
  <c r="H705" i="3"/>
  <c r="I705" i="3"/>
  <c r="S529" i="3"/>
  <c r="P529" i="3"/>
  <c r="M529" i="3"/>
  <c r="L529" i="3"/>
  <c r="N529" i="3"/>
  <c r="O529" i="3"/>
  <c r="K529" i="3"/>
  <c r="J529" i="3"/>
  <c r="J467" i="7"/>
  <c r="I529" i="3"/>
  <c r="S42" i="3"/>
  <c r="P42" i="3"/>
  <c r="O42" i="3"/>
  <c r="N42" i="3"/>
  <c r="M42" i="3"/>
  <c r="L42" i="3"/>
  <c r="K42" i="3"/>
  <c r="J42" i="3"/>
  <c r="I42" i="3"/>
  <c r="S188" i="3"/>
  <c r="P188" i="3"/>
  <c r="O188" i="3"/>
  <c r="M188" i="3"/>
  <c r="N188" i="3"/>
  <c r="L188" i="3"/>
  <c r="K188" i="3"/>
  <c r="J188" i="3"/>
  <c r="I188" i="3"/>
  <c r="S291" i="3"/>
  <c r="P291" i="3"/>
  <c r="O291" i="3"/>
  <c r="M291" i="3"/>
  <c r="N291" i="3"/>
  <c r="L291" i="3"/>
  <c r="J291" i="3"/>
  <c r="K291" i="3"/>
  <c r="E291" i="3"/>
  <c r="D291" i="3"/>
  <c r="H291" i="3"/>
  <c r="I291" i="3"/>
  <c r="S334" i="3"/>
  <c r="P334" i="3"/>
  <c r="O334" i="3"/>
  <c r="N334" i="3"/>
  <c r="M334" i="3"/>
  <c r="L334" i="3"/>
  <c r="K334" i="3"/>
  <c r="J334" i="3"/>
  <c r="E334" i="3"/>
  <c r="J421" i="7" s="1"/>
  <c r="D334" i="3"/>
  <c r="H334" i="3"/>
  <c r="I334" i="3"/>
  <c r="S728" i="3"/>
  <c r="P728" i="3"/>
  <c r="O728" i="3"/>
  <c r="N728" i="3"/>
  <c r="M728" i="3"/>
  <c r="L728" i="3"/>
  <c r="K728" i="3"/>
  <c r="J728" i="3"/>
  <c r="I728" i="3"/>
  <c r="S152" i="3"/>
  <c r="P152" i="3"/>
  <c r="O152" i="3"/>
  <c r="N152" i="3"/>
  <c r="M152" i="3"/>
  <c r="L152" i="3"/>
  <c r="K152" i="3"/>
  <c r="J152" i="3"/>
  <c r="I152" i="3"/>
  <c r="S206" i="3"/>
  <c r="P206" i="3"/>
  <c r="O206" i="3"/>
  <c r="N206" i="3"/>
  <c r="M206" i="3"/>
  <c r="L206" i="3"/>
  <c r="K206" i="3"/>
  <c r="J206" i="3"/>
  <c r="I206" i="3"/>
  <c r="S251" i="3"/>
  <c r="P251" i="3"/>
  <c r="O251" i="3"/>
  <c r="N251" i="3"/>
  <c r="M251" i="3"/>
  <c r="L251" i="3"/>
  <c r="K251" i="3"/>
  <c r="J251" i="3"/>
  <c r="I251" i="3"/>
  <c r="S327" i="3"/>
  <c r="P327" i="3"/>
  <c r="O327" i="3"/>
  <c r="N327" i="3"/>
  <c r="M327" i="3"/>
  <c r="L327" i="3"/>
  <c r="K327" i="3"/>
  <c r="J327" i="3"/>
  <c r="I327" i="3"/>
  <c r="S256" i="3"/>
  <c r="P256" i="3"/>
  <c r="O256" i="3"/>
  <c r="N256" i="3"/>
  <c r="M256" i="3"/>
  <c r="L256" i="3"/>
  <c r="K256" i="3"/>
  <c r="J256" i="3"/>
  <c r="J301" i="7"/>
  <c r="I256" i="3"/>
  <c r="S32" i="3"/>
  <c r="P32" i="3"/>
  <c r="O32" i="3"/>
  <c r="N32" i="3"/>
  <c r="M32" i="3"/>
  <c r="L32" i="3"/>
  <c r="K32" i="3"/>
  <c r="J32" i="3"/>
  <c r="I32" i="3"/>
  <c r="J367" i="7"/>
  <c r="I367" i="7"/>
  <c r="J350" i="7"/>
  <c r="J379" i="7"/>
  <c r="S835" i="3"/>
  <c r="P835" i="3"/>
  <c r="O835" i="3"/>
  <c r="N835" i="3"/>
  <c r="M835" i="3"/>
  <c r="L835" i="3"/>
  <c r="K835" i="3"/>
  <c r="J520" i="7"/>
  <c r="J835" i="3"/>
  <c r="I835" i="3"/>
  <c r="S422" i="3"/>
  <c r="P422" i="3"/>
  <c r="O422" i="3"/>
  <c r="N422" i="3"/>
  <c r="M422" i="3"/>
  <c r="L422" i="3"/>
  <c r="K422" i="3"/>
  <c r="J422" i="3"/>
  <c r="J271" i="7"/>
  <c r="I422" i="3"/>
  <c r="S891" i="3"/>
  <c r="O891" i="3"/>
  <c r="N891" i="3"/>
  <c r="P891" i="3"/>
  <c r="M891" i="3"/>
  <c r="K891" i="3"/>
  <c r="L891" i="3"/>
  <c r="J891" i="3"/>
  <c r="I891" i="3"/>
  <c r="J408" i="7"/>
  <c r="S482" i="3"/>
  <c r="P482" i="3"/>
  <c r="O482" i="3"/>
  <c r="N482" i="3"/>
  <c r="M482" i="3"/>
  <c r="K482" i="3"/>
  <c r="L482" i="3"/>
  <c r="J482" i="3"/>
  <c r="I482" i="3"/>
  <c r="S315" i="3"/>
  <c r="P315" i="3"/>
  <c r="O315" i="3"/>
  <c r="N315" i="3"/>
  <c r="M315" i="3"/>
  <c r="L315" i="3"/>
  <c r="K315" i="3"/>
  <c r="J315" i="3"/>
  <c r="I315" i="3"/>
  <c r="S185" i="3"/>
  <c r="P185" i="3"/>
  <c r="O185" i="3"/>
  <c r="N185" i="3"/>
  <c r="K185" i="3"/>
  <c r="M185" i="3"/>
  <c r="L185" i="3"/>
  <c r="J185" i="3"/>
  <c r="I185" i="3"/>
  <c r="J574" i="7"/>
  <c r="I574" i="7"/>
  <c r="S709" i="3"/>
  <c r="P709" i="3"/>
  <c r="N709" i="3"/>
  <c r="O709" i="3"/>
  <c r="M709" i="3"/>
  <c r="L709" i="3"/>
  <c r="K709" i="3"/>
  <c r="J709" i="3"/>
  <c r="E709" i="3"/>
  <c r="J354" i="7" s="1"/>
  <c r="D709" i="3"/>
  <c r="I354" i="7" s="1"/>
  <c r="H709" i="3"/>
  <c r="I709" i="3"/>
  <c r="S617" i="3"/>
  <c r="P617" i="3"/>
  <c r="O617" i="3"/>
  <c r="N617" i="3"/>
  <c r="M617" i="3"/>
  <c r="L617" i="3"/>
  <c r="K617" i="3"/>
  <c r="J617" i="3"/>
  <c r="J154" i="7"/>
  <c r="I617" i="3"/>
  <c r="S702" i="3"/>
  <c r="P702" i="3"/>
  <c r="O702" i="3"/>
  <c r="N702" i="3"/>
  <c r="M702" i="3"/>
  <c r="L702" i="3"/>
  <c r="K702" i="3"/>
  <c r="J702" i="3"/>
  <c r="I702" i="3"/>
  <c r="S535" i="3"/>
  <c r="P535" i="3"/>
  <c r="O535" i="3"/>
  <c r="N535" i="3"/>
  <c r="M535" i="3"/>
  <c r="L535" i="3"/>
  <c r="K535" i="3"/>
  <c r="J535" i="3"/>
  <c r="I535" i="3"/>
  <c r="S718" i="3"/>
  <c r="P718" i="3"/>
  <c r="N718" i="3"/>
  <c r="O718" i="3"/>
  <c r="M718" i="3"/>
  <c r="L718" i="3"/>
  <c r="J718" i="3"/>
  <c r="K718" i="3"/>
  <c r="E718" i="3"/>
  <c r="J477" i="7" s="1"/>
  <c r="D718" i="3"/>
  <c r="I477" i="7" s="1"/>
  <c r="H718" i="3"/>
  <c r="I718" i="3"/>
  <c r="S130" i="3"/>
  <c r="P130" i="3"/>
  <c r="O130" i="3"/>
  <c r="N130" i="3"/>
  <c r="M130" i="3"/>
  <c r="L130" i="3"/>
  <c r="K130" i="3"/>
  <c r="J130" i="3"/>
  <c r="I461" i="7"/>
  <c r="J461" i="7"/>
  <c r="I130" i="3"/>
  <c r="I188" i="7"/>
  <c r="J188" i="7"/>
  <c r="I121" i="7"/>
  <c r="I163" i="7"/>
  <c r="J163" i="7"/>
  <c r="I338" i="7"/>
  <c r="J103" i="7"/>
  <c r="I184" i="7"/>
  <c r="S285" i="3"/>
  <c r="P285" i="3"/>
  <c r="O285" i="3"/>
  <c r="N285" i="3"/>
  <c r="M285" i="3"/>
  <c r="L285" i="3"/>
  <c r="K285" i="3"/>
  <c r="J285" i="3"/>
  <c r="D285" i="3"/>
  <c r="E285" i="3"/>
  <c r="J148" i="7" s="1"/>
  <c r="I285" i="3"/>
  <c r="H285" i="3"/>
  <c r="S628" i="3"/>
  <c r="P628" i="3"/>
  <c r="O628" i="3"/>
  <c r="N628" i="3"/>
  <c r="M628" i="3"/>
  <c r="L628" i="3"/>
  <c r="K628" i="3"/>
  <c r="J628" i="3"/>
  <c r="I165" i="7"/>
  <c r="I628" i="3"/>
  <c r="S509" i="3"/>
  <c r="P509" i="3"/>
  <c r="N509" i="3"/>
  <c r="O509" i="3"/>
  <c r="M509" i="3"/>
  <c r="L509" i="3"/>
  <c r="K509" i="3"/>
  <c r="J509" i="3"/>
  <c r="I40" i="7"/>
  <c r="J40" i="7"/>
  <c r="I509" i="3"/>
  <c r="J39" i="7"/>
  <c r="I39" i="7"/>
  <c r="S367" i="3"/>
  <c r="P367" i="3"/>
  <c r="O367" i="3"/>
  <c r="N367" i="3"/>
  <c r="M367" i="3"/>
  <c r="L367" i="3"/>
  <c r="K367" i="3"/>
  <c r="J367" i="3"/>
  <c r="I34" i="7"/>
  <c r="J34" i="7"/>
  <c r="I367" i="3"/>
  <c r="J14" i="7"/>
  <c r="I14" i="7"/>
  <c r="S743" i="3"/>
  <c r="P743" i="3"/>
  <c r="O743" i="3"/>
  <c r="N743" i="3"/>
  <c r="M743" i="3"/>
  <c r="L743" i="3"/>
  <c r="K743" i="3"/>
  <c r="J743" i="3"/>
  <c r="I743" i="3"/>
  <c r="J42" i="7"/>
  <c r="S87" i="3"/>
  <c r="P87" i="3"/>
  <c r="O87" i="3"/>
  <c r="N87" i="3"/>
  <c r="M87" i="3"/>
  <c r="L87" i="3"/>
  <c r="K87" i="3"/>
  <c r="J87" i="3"/>
  <c r="J485" i="7"/>
  <c r="I485" i="7"/>
  <c r="I87" i="3"/>
  <c r="S377" i="3"/>
  <c r="P377" i="3"/>
  <c r="O377" i="3"/>
  <c r="N377" i="3"/>
  <c r="M377" i="3"/>
  <c r="L377" i="3"/>
  <c r="J377" i="3"/>
  <c r="K377" i="3"/>
  <c r="I377" i="3"/>
  <c r="I561" i="7"/>
  <c r="S644" i="3"/>
  <c r="P644" i="3"/>
  <c r="O644" i="3"/>
  <c r="M644" i="3"/>
  <c r="N644" i="3"/>
  <c r="L644" i="3"/>
  <c r="J644" i="3"/>
  <c r="K644" i="3"/>
  <c r="E644" i="3"/>
  <c r="D644" i="3"/>
  <c r="H644" i="3"/>
  <c r="I644" i="3"/>
  <c r="S663" i="3"/>
  <c r="P663" i="3"/>
  <c r="O663" i="3"/>
  <c r="N663" i="3"/>
  <c r="M663" i="3"/>
  <c r="L663" i="3"/>
  <c r="K663" i="3"/>
  <c r="J663" i="3"/>
  <c r="I663" i="3"/>
  <c r="S675" i="3"/>
  <c r="P675" i="3"/>
  <c r="O675" i="3"/>
  <c r="M675" i="3"/>
  <c r="N675" i="3"/>
  <c r="L675" i="3"/>
  <c r="J675" i="3"/>
  <c r="K675" i="3"/>
  <c r="E675" i="3"/>
  <c r="D675" i="3"/>
  <c r="H675" i="3"/>
  <c r="I675" i="3"/>
  <c r="S214" i="3"/>
  <c r="P214" i="3"/>
  <c r="O214" i="3"/>
  <c r="N214" i="3"/>
  <c r="M214" i="3"/>
  <c r="L214" i="3"/>
  <c r="J214" i="3"/>
  <c r="K214" i="3"/>
  <c r="I214" i="3"/>
  <c r="S383" i="3"/>
  <c r="P383" i="3"/>
  <c r="O383" i="3"/>
  <c r="N383" i="3"/>
  <c r="M383" i="3"/>
  <c r="L383" i="3"/>
  <c r="K383" i="3"/>
  <c r="J383" i="3"/>
  <c r="J595" i="7"/>
  <c r="I595" i="7"/>
  <c r="I383" i="3"/>
  <c r="S692" i="3"/>
  <c r="P692" i="3"/>
  <c r="O692" i="3"/>
  <c r="N692" i="3"/>
  <c r="M692" i="3"/>
  <c r="L692" i="3"/>
  <c r="K692" i="3"/>
  <c r="J692" i="3"/>
  <c r="E692" i="3"/>
  <c r="D692" i="3"/>
  <c r="H692" i="3"/>
  <c r="I692" i="3"/>
  <c r="S89" i="3"/>
  <c r="P89" i="3"/>
  <c r="O89" i="3"/>
  <c r="N89" i="3"/>
  <c r="M89" i="3"/>
  <c r="L89" i="3"/>
  <c r="K89" i="3"/>
  <c r="E89" i="3"/>
  <c r="J475" i="7" s="1"/>
  <c r="J89" i="3"/>
  <c r="D89" i="3"/>
  <c r="H89" i="3"/>
  <c r="I89" i="3"/>
  <c r="J55" i="7"/>
  <c r="I55" i="7"/>
  <c r="S565" i="3"/>
  <c r="P565" i="3"/>
  <c r="O565" i="3"/>
  <c r="N565" i="3"/>
  <c r="M565" i="3"/>
  <c r="L565" i="3"/>
  <c r="J565" i="3"/>
  <c r="K565" i="3"/>
  <c r="E565" i="3"/>
  <c r="D565" i="3"/>
  <c r="H565" i="3"/>
  <c r="I565" i="3"/>
  <c r="S533" i="3"/>
  <c r="P533" i="3"/>
  <c r="O533" i="3"/>
  <c r="N533" i="3"/>
  <c r="M533" i="3"/>
  <c r="L533" i="3"/>
  <c r="K533" i="3"/>
  <c r="J533" i="3"/>
  <c r="D533" i="3"/>
  <c r="I289" i="7" s="1"/>
  <c r="E533" i="3"/>
  <c r="J289" i="7" s="1"/>
  <c r="H533" i="3"/>
  <c r="I533" i="3"/>
  <c r="J565" i="7"/>
  <c r="S472" i="3"/>
  <c r="P472" i="3"/>
  <c r="O472" i="3"/>
  <c r="N472" i="3"/>
  <c r="M472" i="3"/>
  <c r="L472" i="3"/>
  <c r="K472" i="3"/>
  <c r="E472" i="3"/>
  <c r="J472" i="3"/>
  <c r="D472" i="3"/>
  <c r="H472" i="3"/>
  <c r="I472" i="3"/>
  <c r="S339" i="3"/>
  <c r="P339" i="3"/>
  <c r="O339" i="3"/>
  <c r="N339" i="3"/>
  <c r="M339" i="3"/>
  <c r="L339" i="3"/>
  <c r="K339" i="3"/>
  <c r="J339" i="3"/>
  <c r="I339" i="3"/>
  <c r="S70" i="3"/>
  <c r="P70" i="3"/>
  <c r="O70" i="3"/>
  <c r="N70" i="3"/>
  <c r="L70" i="3"/>
  <c r="M70" i="3"/>
  <c r="K70" i="3"/>
  <c r="J70" i="3"/>
  <c r="I70" i="3"/>
  <c r="S202" i="3"/>
  <c r="P202" i="3"/>
  <c r="O202" i="3"/>
  <c r="N202" i="3"/>
  <c r="M202" i="3"/>
  <c r="L202" i="3"/>
  <c r="K202" i="3"/>
  <c r="J202" i="3"/>
  <c r="J266" i="7"/>
  <c r="I266" i="7"/>
  <c r="I202" i="3"/>
  <c r="S782" i="3"/>
  <c r="P782" i="3"/>
  <c r="O782" i="3"/>
  <c r="N782" i="3"/>
  <c r="M782" i="3"/>
  <c r="K782" i="3"/>
  <c r="J782" i="3"/>
  <c r="L782" i="3"/>
  <c r="E782" i="3"/>
  <c r="D782" i="3"/>
  <c r="H782" i="3"/>
  <c r="I782" i="3"/>
  <c r="S248" i="3"/>
  <c r="P248" i="3"/>
  <c r="O248" i="3"/>
  <c r="M248" i="3"/>
  <c r="N248" i="3"/>
  <c r="L248" i="3"/>
  <c r="J248" i="3"/>
  <c r="K248" i="3"/>
  <c r="E248" i="3"/>
  <c r="J559" i="7" s="1"/>
  <c r="D248" i="3"/>
  <c r="I559" i="7" s="1"/>
  <c r="H248" i="3"/>
  <c r="I248" i="3"/>
  <c r="J586" i="7"/>
  <c r="I586" i="7"/>
  <c r="S652" i="3"/>
  <c r="P652" i="3"/>
  <c r="O652" i="3"/>
  <c r="N652" i="3"/>
  <c r="M652" i="3"/>
  <c r="L652" i="3"/>
  <c r="K652" i="3"/>
  <c r="J652" i="3"/>
  <c r="E652" i="3"/>
  <c r="D652" i="3"/>
  <c r="H652" i="3"/>
  <c r="I652" i="3"/>
  <c r="S635" i="3"/>
  <c r="P635" i="3"/>
  <c r="O635" i="3"/>
  <c r="N635" i="3"/>
  <c r="M635" i="3"/>
  <c r="L635" i="3"/>
  <c r="J635" i="3"/>
  <c r="K635" i="3"/>
  <c r="E635" i="3"/>
  <c r="D635" i="3"/>
  <c r="H635" i="3"/>
  <c r="I635" i="3"/>
  <c r="S554" i="3"/>
  <c r="P554" i="3"/>
  <c r="O554" i="3"/>
  <c r="N554" i="3"/>
  <c r="M554" i="3"/>
  <c r="L554" i="3"/>
  <c r="K554" i="3"/>
  <c r="J554" i="3"/>
  <c r="E554" i="3"/>
  <c r="D554" i="3"/>
  <c r="I554" i="3"/>
  <c r="H554" i="3"/>
  <c r="S484" i="3"/>
  <c r="O484" i="3"/>
  <c r="P484" i="3"/>
  <c r="N484" i="3"/>
  <c r="M484" i="3"/>
  <c r="K484" i="3"/>
  <c r="L484" i="3"/>
  <c r="E484" i="3"/>
  <c r="J484" i="3"/>
  <c r="D484" i="3"/>
  <c r="H484" i="3"/>
  <c r="I484" i="3"/>
  <c r="S845" i="3"/>
  <c r="P845" i="3"/>
  <c r="O845" i="3"/>
  <c r="N845" i="3"/>
  <c r="M845" i="3"/>
  <c r="L845" i="3"/>
  <c r="K845" i="3"/>
  <c r="J845" i="3"/>
  <c r="E845" i="3"/>
  <c r="D845" i="3"/>
  <c r="H845" i="3"/>
  <c r="I845" i="3"/>
  <c r="S797" i="3"/>
  <c r="P797" i="3"/>
  <c r="O797" i="3"/>
  <c r="N797" i="3"/>
  <c r="M797" i="3"/>
  <c r="L797" i="3"/>
  <c r="K797" i="3"/>
  <c r="J797" i="3"/>
  <c r="E797" i="3"/>
  <c r="D797" i="3"/>
  <c r="H797" i="3"/>
  <c r="I797" i="3"/>
  <c r="S784" i="3"/>
  <c r="P784" i="3"/>
  <c r="O784" i="3"/>
  <c r="M784" i="3"/>
  <c r="N784" i="3"/>
  <c r="L784" i="3"/>
  <c r="K784" i="3"/>
  <c r="J784" i="3"/>
  <c r="I784" i="3"/>
  <c r="S737" i="3"/>
  <c r="P737" i="3"/>
  <c r="M737" i="3"/>
  <c r="O737" i="3"/>
  <c r="L737" i="3"/>
  <c r="N737" i="3"/>
  <c r="K737" i="3"/>
  <c r="J737" i="3"/>
  <c r="E737" i="3"/>
  <c r="D737" i="3"/>
  <c r="H737" i="3"/>
  <c r="I737" i="3"/>
  <c r="S699" i="3"/>
  <c r="P699" i="3"/>
  <c r="O699" i="3"/>
  <c r="N699" i="3"/>
  <c r="M699" i="3"/>
  <c r="L699" i="3"/>
  <c r="K699" i="3"/>
  <c r="E699" i="3"/>
  <c r="J699" i="3"/>
  <c r="D699" i="3"/>
  <c r="H699" i="3"/>
  <c r="I699" i="3"/>
  <c r="S634" i="3"/>
  <c r="P634" i="3"/>
  <c r="O634" i="3"/>
  <c r="N634" i="3"/>
  <c r="M634" i="3"/>
  <c r="L634" i="3"/>
  <c r="K634" i="3"/>
  <c r="J634" i="3"/>
  <c r="E634" i="3"/>
  <c r="D634" i="3"/>
  <c r="H634" i="3"/>
  <c r="I634" i="3"/>
  <c r="S333" i="3"/>
  <c r="P333" i="3"/>
  <c r="O333" i="3"/>
  <c r="N333" i="3"/>
  <c r="M333" i="3"/>
  <c r="L333" i="3"/>
  <c r="K333" i="3"/>
  <c r="J333" i="3"/>
  <c r="E333" i="3"/>
  <c r="J603" i="7" s="1"/>
  <c r="D333" i="3"/>
  <c r="I603" i="7" s="1"/>
  <c r="I333" i="3"/>
  <c r="H333" i="3"/>
  <c r="S599" i="3"/>
  <c r="P599" i="3"/>
  <c r="O599" i="3"/>
  <c r="N599" i="3"/>
  <c r="L599" i="3"/>
  <c r="M599" i="3"/>
  <c r="K599" i="3"/>
  <c r="J599" i="3"/>
  <c r="E599" i="3"/>
  <c r="J572" i="7" s="1"/>
  <c r="D599" i="3"/>
  <c r="I572" i="7" s="1"/>
  <c r="H599" i="3"/>
  <c r="I599" i="3"/>
  <c r="S582" i="3"/>
  <c r="P582" i="3"/>
  <c r="O582" i="3"/>
  <c r="N582" i="3"/>
  <c r="M582" i="3"/>
  <c r="L582" i="3"/>
  <c r="K582" i="3"/>
  <c r="J582" i="3"/>
  <c r="E582" i="3"/>
  <c r="J429" i="7" s="1"/>
  <c r="D582" i="3"/>
  <c r="I429" i="7" s="1"/>
  <c r="H582" i="3"/>
  <c r="I582" i="3"/>
  <c r="S468" i="3"/>
  <c r="P468" i="3"/>
  <c r="M468" i="3"/>
  <c r="O468" i="3"/>
  <c r="N468" i="3"/>
  <c r="L468" i="3"/>
  <c r="K468" i="3"/>
  <c r="J468" i="3"/>
  <c r="D468" i="3"/>
  <c r="E468" i="3"/>
  <c r="H468" i="3"/>
  <c r="I468" i="3"/>
  <c r="S433" i="3"/>
  <c r="P433" i="3"/>
  <c r="O433" i="3"/>
  <c r="M433" i="3"/>
  <c r="N433" i="3"/>
  <c r="L433" i="3"/>
  <c r="K433" i="3"/>
  <c r="J433" i="3"/>
  <c r="E433" i="3"/>
  <c r="D433" i="3"/>
  <c r="H433" i="3"/>
  <c r="I433" i="3"/>
  <c r="S283" i="3"/>
  <c r="P283" i="3"/>
  <c r="O283" i="3"/>
  <c r="N283" i="3"/>
  <c r="M283" i="3"/>
  <c r="L283" i="3"/>
  <c r="K283" i="3"/>
  <c r="J283" i="3"/>
  <c r="E283" i="3"/>
  <c r="D283" i="3"/>
  <c r="H283" i="3"/>
  <c r="I283" i="3"/>
  <c r="S789" i="3"/>
  <c r="P789" i="3"/>
  <c r="O789" i="3"/>
  <c r="M789" i="3"/>
  <c r="L789" i="3"/>
  <c r="N789" i="3"/>
  <c r="J789" i="3"/>
  <c r="K789" i="3"/>
  <c r="I789" i="3"/>
  <c r="S395" i="3"/>
  <c r="P395" i="3"/>
  <c r="O395" i="3"/>
  <c r="N395" i="3"/>
  <c r="M395" i="3"/>
  <c r="L395" i="3"/>
  <c r="K395" i="3"/>
  <c r="J395" i="3"/>
  <c r="I395" i="3"/>
  <c r="S548" i="3"/>
  <c r="P548" i="3"/>
  <c r="O548" i="3"/>
  <c r="M548" i="3"/>
  <c r="N548" i="3"/>
  <c r="L548" i="3"/>
  <c r="K548" i="3"/>
  <c r="J548" i="3"/>
  <c r="I548" i="3"/>
  <c r="S477" i="3"/>
  <c r="P477" i="3"/>
  <c r="O477" i="3"/>
  <c r="M477" i="3"/>
  <c r="L477" i="3"/>
  <c r="N477" i="3"/>
  <c r="J477" i="3"/>
  <c r="K477" i="3"/>
  <c r="I477" i="3"/>
  <c r="S43" i="3"/>
  <c r="P43" i="3"/>
  <c r="O43" i="3"/>
  <c r="M43" i="3"/>
  <c r="N43" i="3"/>
  <c r="L43" i="3"/>
  <c r="J43" i="3"/>
  <c r="K43" i="3"/>
  <c r="I43" i="3"/>
  <c r="S319" i="3"/>
  <c r="P319" i="3"/>
  <c r="O319" i="3"/>
  <c r="M319" i="3"/>
  <c r="N319" i="3"/>
  <c r="L319" i="3"/>
  <c r="K319" i="3"/>
  <c r="J319" i="3"/>
  <c r="I319" i="3"/>
  <c r="S363" i="3"/>
  <c r="P363" i="3"/>
  <c r="O363" i="3"/>
  <c r="M363" i="3"/>
  <c r="N363" i="3"/>
  <c r="L363" i="3"/>
  <c r="K363" i="3"/>
  <c r="J363" i="3"/>
  <c r="I363" i="3"/>
  <c r="S305" i="3"/>
  <c r="P305" i="3"/>
  <c r="O305" i="3"/>
  <c r="M305" i="3"/>
  <c r="N305" i="3"/>
  <c r="L305" i="3"/>
  <c r="J305" i="3"/>
  <c r="K305" i="3"/>
  <c r="E305" i="3"/>
  <c r="D305" i="3"/>
  <c r="H305" i="3"/>
  <c r="I305" i="3"/>
  <c r="S76" i="3"/>
  <c r="P76" i="3"/>
  <c r="O76" i="3"/>
  <c r="N76" i="3"/>
  <c r="L76" i="3"/>
  <c r="M76" i="3"/>
  <c r="K76" i="3"/>
  <c r="J76" i="3"/>
  <c r="E76" i="3"/>
  <c r="J478" i="7" s="1"/>
  <c r="D76" i="3"/>
  <c r="I478" i="7" s="1"/>
  <c r="H76" i="3"/>
  <c r="I76" i="3"/>
  <c r="S385" i="3"/>
  <c r="P385" i="3"/>
  <c r="O385" i="3"/>
  <c r="N385" i="3"/>
  <c r="M385" i="3"/>
  <c r="L385" i="3"/>
  <c r="K385" i="3"/>
  <c r="J385" i="3"/>
  <c r="I385" i="3"/>
  <c r="S186" i="3"/>
  <c r="P186" i="3"/>
  <c r="O186" i="3"/>
  <c r="N186" i="3"/>
  <c r="M186" i="3"/>
  <c r="L186" i="3"/>
  <c r="K186" i="3"/>
  <c r="J186" i="3"/>
  <c r="J542" i="7"/>
  <c r="I542" i="7"/>
  <c r="I186" i="3"/>
  <c r="S786" i="3"/>
  <c r="P786" i="3"/>
  <c r="O786" i="3"/>
  <c r="N786" i="3"/>
  <c r="M786" i="3"/>
  <c r="L786" i="3"/>
  <c r="K786" i="3"/>
  <c r="J786" i="3"/>
  <c r="I786" i="3"/>
  <c r="S408" i="3"/>
  <c r="P408" i="3"/>
  <c r="O408" i="3"/>
  <c r="N408" i="3"/>
  <c r="M408" i="3"/>
  <c r="L408" i="3"/>
  <c r="K408" i="3"/>
  <c r="J408" i="3"/>
  <c r="I408" i="3"/>
  <c r="S191" i="3"/>
  <c r="P191" i="3"/>
  <c r="O191" i="3"/>
  <c r="N191" i="3"/>
  <c r="M191" i="3"/>
  <c r="L191" i="3"/>
  <c r="K191" i="3"/>
  <c r="J191" i="3"/>
  <c r="I191" i="3"/>
  <c r="S257" i="3"/>
  <c r="P257" i="3"/>
  <c r="O257" i="3"/>
  <c r="N257" i="3"/>
  <c r="M257" i="3"/>
  <c r="L257" i="3"/>
  <c r="K257" i="3"/>
  <c r="J257" i="3"/>
  <c r="I257" i="3"/>
  <c r="J525" i="7"/>
  <c r="J462" i="7"/>
  <c r="I462" i="7"/>
  <c r="S687" i="3"/>
  <c r="P687" i="3"/>
  <c r="O687" i="3"/>
  <c r="N687" i="3"/>
  <c r="M687" i="3"/>
  <c r="L687" i="3"/>
  <c r="K687" i="3"/>
  <c r="J687" i="3"/>
  <c r="I687" i="3"/>
  <c r="S391" i="3"/>
  <c r="P391" i="3"/>
  <c r="O391" i="3"/>
  <c r="N391" i="3"/>
  <c r="M391" i="3"/>
  <c r="L391" i="3"/>
  <c r="K391" i="3"/>
  <c r="J391" i="3"/>
  <c r="J380" i="7"/>
  <c r="I391" i="3"/>
  <c r="S688" i="3"/>
  <c r="P688" i="3"/>
  <c r="O688" i="3"/>
  <c r="N688" i="3"/>
  <c r="M688" i="3"/>
  <c r="L688" i="3"/>
  <c r="K688" i="3"/>
  <c r="J688" i="3"/>
  <c r="I688" i="3"/>
  <c r="S162" i="3"/>
  <c r="P162" i="3"/>
  <c r="O162" i="3"/>
  <c r="N162" i="3"/>
  <c r="M162" i="3"/>
  <c r="L162" i="3"/>
  <c r="K162" i="3"/>
  <c r="J162" i="3"/>
  <c r="I162" i="3"/>
  <c r="J282" i="7"/>
  <c r="J420" i="7"/>
  <c r="S136" i="3"/>
  <c r="P136" i="3"/>
  <c r="O136" i="3"/>
  <c r="N136" i="3"/>
  <c r="M136" i="3"/>
  <c r="L136" i="3"/>
  <c r="K136" i="3"/>
  <c r="J136" i="3"/>
  <c r="I136" i="3"/>
  <c r="S627" i="3"/>
  <c r="P627" i="3"/>
  <c r="O627" i="3"/>
  <c r="N627" i="3"/>
  <c r="M627" i="3"/>
  <c r="L627" i="3"/>
  <c r="K627" i="3"/>
  <c r="J627" i="3"/>
  <c r="I627" i="3"/>
  <c r="S50" i="3"/>
  <c r="P50" i="3"/>
  <c r="O50" i="3"/>
  <c r="N50" i="3"/>
  <c r="M50" i="3"/>
  <c r="L50" i="3"/>
  <c r="K50" i="3"/>
  <c r="J50" i="3"/>
  <c r="I50" i="3"/>
  <c r="J333" i="7"/>
  <c r="I333" i="7"/>
  <c r="J397" i="7"/>
  <c r="I397" i="7"/>
  <c r="J432" i="7"/>
  <c r="J527" i="7"/>
  <c r="I527" i="7"/>
  <c r="J329" i="7"/>
  <c r="I329" i="7"/>
  <c r="S11" i="3"/>
  <c r="P11" i="3"/>
  <c r="O11" i="3"/>
  <c r="N11" i="3"/>
  <c r="M11" i="3"/>
  <c r="L11" i="3"/>
  <c r="K11" i="3"/>
  <c r="J11" i="3"/>
  <c r="I11" i="3"/>
  <c r="S689" i="3"/>
  <c r="P689" i="3"/>
  <c r="O689" i="3"/>
  <c r="N689" i="3"/>
  <c r="L689" i="3"/>
  <c r="M689" i="3"/>
  <c r="K689" i="3"/>
  <c r="J689" i="3"/>
  <c r="J193" i="7"/>
  <c r="I689" i="3"/>
  <c r="S209" i="3"/>
  <c r="P209" i="3"/>
  <c r="O209" i="3"/>
  <c r="M209" i="3"/>
  <c r="N209" i="3"/>
  <c r="L209" i="3"/>
  <c r="K209" i="3"/>
  <c r="J209" i="3"/>
  <c r="J203" i="7"/>
  <c r="I209" i="3"/>
  <c r="S115" i="3"/>
  <c r="P115" i="3"/>
  <c r="O115" i="3"/>
  <c r="N115" i="3"/>
  <c r="M115" i="3"/>
  <c r="L115" i="3"/>
  <c r="K115" i="3"/>
  <c r="J115" i="3"/>
  <c r="J319" i="7"/>
  <c r="I115" i="3"/>
  <c r="S674" i="3"/>
  <c r="P674" i="3"/>
  <c r="O674" i="3"/>
  <c r="N674" i="3"/>
  <c r="M674" i="3"/>
  <c r="L674" i="3"/>
  <c r="K674" i="3"/>
  <c r="J674" i="3"/>
  <c r="I459" i="7"/>
  <c r="J459" i="7"/>
  <c r="I674" i="3"/>
  <c r="J170" i="7"/>
  <c r="J342" i="7"/>
  <c r="S863" i="3"/>
  <c r="P863" i="3"/>
  <c r="O863" i="3"/>
  <c r="N863" i="3"/>
  <c r="M863" i="3"/>
  <c r="K863" i="3"/>
  <c r="J863" i="3"/>
  <c r="L863" i="3"/>
  <c r="I863" i="3"/>
  <c r="J135" i="7"/>
  <c r="I135" i="7"/>
  <c r="J190" i="7"/>
  <c r="J129" i="7"/>
  <c r="I129" i="7"/>
  <c r="J160" i="7"/>
  <c r="S629" i="3"/>
  <c r="P629" i="3"/>
  <c r="N629" i="3"/>
  <c r="O629" i="3"/>
  <c r="M629" i="3"/>
  <c r="L629" i="3"/>
  <c r="K629" i="3"/>
  <c r="J629" i="3"/>
  <c r="J179" i="7"/>
  <c r="I629" i="3"/>
  <c r="S813" i="3"/>
  <c r="P813" i="3"/>
  <c r="O813" i="3"/>
  <c r="N813" i="3"/>
  <c r="M813" i="3"/>
  <c r="L813" i="3"/>
  <c r="K813" i="3"/>
  <c r="J813" i="3"/>
  <c r="I813" i="3"/>
  <c r="J54" i="7"/>
  <c r="I54" i="7"/>
  <c r="J12" i="7"/>
  <c r="S17" i="3"/>
  <c r="P17" i="3"/>
  <c r="O17" i="3"/>
  <c r="N17" i="3"/>
  <c r="M17" i="3"/>
  <c r="L17" i="3"/>
  <c r="K17" i="3"/>
  <c r="J17" i="3"/>
  <c r="J19" i="7"/>
  <c r="I19" i="7"/>
  <c r="I17" i="3"/>
  <c r="S438" i="3"/>
  <c r="P438" i="3"/>
  <c r="O438" i="3"/>
  <c r="N438" i="3"/>
  <c r="M438" i="3"/>
  <c r="L438" i="3"/>
  <c r="K438" i="3"/>
  <c r="J438" i="3"/>
  <c r="I438" i="3"/>
  <c r="S237" i="3"/>
  <c r="P237" i="3"/>
  <c r="O237" i="3"/>
  <c r="N237" i="3"/>
  <c r="M237" i="3"/>
  <c r="L237" i="3"/>
  <c r="K237" i="3"/>
  <c r="J237" i="3"/>
  <c r="E237" i="3"/>
  <c r="D237" i="3"/>
  <c r="H237" i="3"/>
  <c r="I237" i="3"/>
  <c r="S764" i="3"/>
  <c r="P764" i="3"/>
  <c r="O764" i="3"/>
  <c r="N764" i="3"/>
  <c r="M764" i="3"/>
  <c r="L764" i="3"/>
  <c r="K764" i="3"/>
  <c r="J764" i="3"/>
  <c r="I764" i="3"/>
  <c r="I22" i="7"/>
  <c r="J22" i="7"/>
  <c r="J149" i="7"/>
  <c r="J413" i="7"/>
  <c r="S177" i="3"/>
  <c r="P177" i="3"/>
  <c r="O177" i="3"/>
  <c r="N177" i="3"/>
  <c r="M177" i="3"/>
  <c r="L177" i="3"/>
  <c r="J177" i="3"/>
  <c r="K177" i="3"/>
  <c r="D177" i="3"/>
  <c r="I224" i="7" s="1"/>
  <c r="E177" i="3"/>
  <c r="H177" i="3"/>
  <c r="I177" i="3"/>
  <c r="J75" i="7"/>
  <c r="I75" i="7"/>
  <c r="J400" i="7"/>
  <c r="J341" i="7"/>
  <c r="I341" i="7"/>
  <c r="S120" i="3"/>
  <c r="P120" i="3"/>
  <c r="O120" i="3"/>
  <c r="N120" i="3"/>
  <c r="M120" i="3"/>
  <c r="L120" i="3"/>
  <c r="K120" i="3"/>
  <c r="J120" i="3"/>
  <c r="J349" i="7"/>
  <c r="I120" i="3"/>
  <c r="S368" i="3"/>
  <c r="P368" i="3"/>
  <c r="O368" i="3"/>
  <c r="N368" i="3"/>
  <c r="M368" i="3"/>
  <c r="L368" i="3"/>
  <c r="K368" i="3"/>
  <c r="J368" i="3"/>
  <c r="E368" i="3"/>
  <c r="J604" i="7" s="1"/>
  <c r="D368" i="3"/>
  <c r="H368" i="3"/>
  <c r="I368" i="3"/>
  <c r="I428" i="7"/>
  <c r="J473" i="7"/>
  <c r="S822" i="3"/>
  <c r="P822" i="3"/>
  <c r="O822" i="3"/>
  <c r="N822" i="3"/>
  <c r="M822" i="3"/>
  <c r="L822" i="3"/>
  <c r="K822" i="3"/>
  <c r="J822" i="3"/>
  <c r="E822" i="3"/>
  <c r="D822" i="3"/>
  <c r="I822" i="3"/>
  <c r="H822" i="3"/>
  <c r="S796" i="3"/>
  <c r="P796" i="3"/>
  <c r="N796" i="3"/>
  <c r="O796" i="3"/>
  <c r="M796" i="3"/>
  <c r="L796" i="3"/>
  <c r="K796" i="3"/>
  <c r="J796" i="3"/>
  <c r="E796" i="3"/>
  <c r="J215" i="7" s="1"/>
  <c r="D796" i="3"/>
  <c r="I215" i="7" s="1"/>
  <c r="H796" i="3"/>
  <c r="I796" i="3"/>
  <c r="S777" i="3"/>
  <c r="P777" i="3"/>
  <c r="O777" i="3"/>
  <c r="N777" i="3"/>
  <c r="M777" i="3"/>
  <c r="L777" i="3"/>
  <c r="K777" i="3"/>
  <c r="E777" i="3"/>
  <c r="J777" i="3"/>
  <c r="D777" i="3"/>
  <c r="H777" i="3"/>
  <c r="I777" i="3"/>
  <c r="S696" i="3"/>
  <c r="P696" i="3"/>
  <c r="O696" i="3"/>
  <c r="N696" i="3"/>
  <c r="M696" i="3"/>
  <c r="L696" i="3"/>
  <c r="K696" i="3"/>
  <c r="E696" i="3"/>
  <c r="J696" i="3"/>
  <c r="D696" i="3"/>
  <c r="H696" i="3"/>
  <c r="I696" i="3"/>
  <c r="S856" i="3"/>
  <c r="O856" i="3"/>
  <c r="P856" i="3"/>
  <c r="N856" i="3"/>
  <c r="M856" i="3"/>
  <c r="L856" i="3"/>
  <c r="K856" i="3"/>
  <c r="E856" i="3"/>
  <c r="J856" i="3"/>
  <c r="D856" i="3"/>
  <c r="H856" i="3"/>
  <c r="I856" i="3"/>
  <c r="S220" i="3"/>
  <c r="P220" i="3"/>
  <c r="O220" i="3"/>
  <c r="N220" i="3"/>
  <c r="M220" i="3"/>
  <c r="L220" i="3"/>
  <c r="K220" i="3"/>
  <c r="E220" i="3"/>
  <c r="J532" i="7" s="1"/>
  <c r="J220" i="3"/>
  <c r="D220" i="3"/>
  <c r="I532" i="7" s="1"/>
  <c r="H220" i="3"/>
  <c r="I220" i="3"/>
  <c r="S785" i="3"/>
  <c r="P785" i="3"/>
  <c r="O785" i="3"/>
  <c r="N785" i="3"/>
  <c r="M785" i="3"/>
  <c r="L785" i="3"/>
  <c r="K785" i="3"/>
  <c r="E785" i="3"/>
  <c r="J785" i="3"/>
  <c r="D785" i="3"/>
  <c r="H785" i="3"/>
  <c r="I785" i="3"/>
  <c r="S761" i="3"/>
  <c r="P761" i="3"/>
  <c r="O761" i="3"/>
  <c r="N761" i="3"/>
  <c r="M761" i="3"/>
  <c r="L761" i="3"/>
  <c r="K761" i="3"/>
  <c r="J761" i="3"/>
  <c r="I761" i="3"/>
  <c r="S726" i="3"/>
  <c r="P726" i="3"/>
  <c r="O726" i="3"/>
  <c r="N726" i="3"/>
  <c r="M726" i="3"/>
  <c r="L726" i="3"/>
  <c r="K726" i="3"/>
  <c r="J726" i="3"/>
  <c r="E726" i="3"/>
  <c r="D726" i="3"/>
  <c r="H726" i="3"/>
  <c r="I726" i="3"/>
  <c r="S84" i="3"/>
  <c r="P84" i="3"/>
  <c r="O84" i="3"/>
  <c r="N84" i="3"/>
  <c r="M84" i="3"/>
  <c r="L84" i="3"/>
  <c r="K84" i="3"/>
  <c r="J84" i="3"/>
  <c r="I84" i="3"/>
  <c r="S639" i="3"/>
  <c r="P639" i="3"/>
  <c r="O639" i="3"/>
  <c r="M639" i="3"/>
  <c r="N639" i="3"/>
  <c r="L639" i="3"/>
  <c r="K639" i="3"/>
  <c r="J639" i="3"/>
  <c r="E639" i="3"/>
  <c r="D639" i="3"/>
  <c r="H639" i="3"/>
  <c r="I639" i="3"/>
  <c r="S373" i="3"/>
  <c r="P373" i="3"/>
  <c r="O373" i="3"/>
  <c r="N373" i="3"/>
  <c r="M373" i="3"/>
  <c r="L373" i="3"/>
  <c r="K373" i="3"/>
  <c r="E373" i="3"/>
  <c r="J331" i="7" s="1"/>
  <c r="J373" i="3"/>
  <c r="D373" i="3"/>
  <c r="I331" i="7" s="1"/>
  <c r="H373" i="3"/>
  <c r="I373" i="3"/>
  <c r="S516" i="3"/>
  <c r="P516" i="3"/>
  <c r="O516" i="3"/>
  <c r="N516" i="3"/>
  <c r="M516" i="3"/>
  <c r="L516" i="3"/>
  <c r="K516" i="3"/>
  <c r="J516" i="3"/>
  <c r="E516" i="3"/>
  <c r="D516" i="3"/>
  <c r="H516" i="3"/>
  <c r="I516" i="3"/>
  <c r="S321" i="3"/>
  <c r="P321" i="3"/>
  <c r="O321" i="3"/>
  <c r="N321" i="3"/>
  <c r="M321" i="3"/>
  <c r="L321" i="3"/>
  <c r="K321" i="3"/>
  <c r="J321" i="3"/>
  <c r="I321" i="3"/>
  <c r="S414" i="3"/>
  <c r="P414" i="3"/>
  <c r="O414" i="3"/>
  <c r="N414" i="3"/>
  <c r="M414" i="3"/>
  <c r="L414" i="3"/>
  <c r="K414" i="3"/>
  <c r="E414" i="3"/>
  <c r="J414" i="3"/>
  <c r="D414" i="3"/>
  <c r="H414" i="3"/>
  <c r="I414" i="3"/>
  <c r="S386" i="3"/>
  <c r="P386" i="3"/>
  <c r="O386" i="3"/>
  <c r="M386" i="3"/>
  <c r="N386" i="3"/>
  <c r="K386" i="3"/>
  <c r="J386" i="3"/>
  <c r="L386" i="3"/>
  <c r="I386" i="3"/>
  <c r="S263" i="3"/>
  <c r="P263" i="3"/>
  <c r="O263" i="3"/>
  <c r="N263" i="3"/>
  <c r="M263" i="3"/>
  <c r="L263" i="3"/>
  <c r="K263" i="3"/>
  <c r="J263" i="3"/>
  <c r="I598" i="7"/>
  <c r="I263" i="3"/>
  <c r="S370" i="3"/>
  <c r="P370" i="3"/>
  <c r="O370" i="3"/>
  <c r="M370" i="3"/>
  <c r="N370" i="3"/>
  <c r="L370" i="3"/>
  <c r="K370" i="3"/>
  <c r="J370" i="3"/>
  <c r="I370" i="3"/>
  <c r="S166" i="3"/>
  <c r="P166" i="3"/>
  <c r="O166" i="3"/>
  <c r="N166" i="3"/>
  <c r="M166" i="3"/>
  <c r="L166" i="3"/>
  <c r="K166" i="3"/>
  <c r="J166" i="3"/>
  <c r="I166" i="3"/>
  <c r="S493" i="3"/>
  <c r="O493" i="3"/>
  <c r="P493" i="3"/>
  <c r="N493" i="3"/>
  <c r="M493" i="3"/>
  <c r="K493" i="3"/>
  <c r="L493" i="3"/>
  <c r="J493" i="3"/>
  <c r="E493" i="3"/>
  <c r="J460" i="7" s="1"/>
  <c r="D493" i="3"/>
  <c r="H493" i="3"/>
  <c r="I493" i="3"/>
  <c r="S802" i="3"/>
  <c r="P802" i="3"/>
  <c r="O802" i="3"/>
  <c r="N802" i="3"/>
  <c r="M802" i="3"/>
  <c r="L802" i="3"/>
  <c r="K802" i="3"/>
  <c r="J802" i="3"/>
  <c r="I802" i="3"/>
  <c r="S102" i="3"/>
  <c r="P102" i="3"/>
  <c r="O102" i="3"/>
  <c r="N102" i="3"/>
  <c r="M102" i="3"/>
  <c r="L102" i="3"/>
  <c r="K102" i="3"/>
  <c r="J102" i="3"/>
  <c r="I102" i="3"/>
  <c r="S457" i="3"/>
  <c r="O457" i="3"/>
  <c r="P457" i="3"/>
  <c r="N457" i="3"/>
  <c r="M457" i="3"/>
  <c r="L457" i="3"/>
  <c r="K457" i="3"/>
  <c r="J457" i="3"/>
  <c r="J578" i="7"/>
  <c r="I578" i="7"/>
  <c r="I457" i="3"/>
  <c r="S756" i="3"/>
  <c r="P756" i="3"/>
  <c r="O756" i="3"/>
  <c r="N756" i="3"/>
  <c r="M756" i="3"/>
  <c r="L756" i="3"/>
  <c r="K756" i="3"/>
  <c r="J756" i="3"/>
  <c r="I756" i="3"/>
  <c r="S140" i="3"/>
  <c r="P140" i="3"/>
  <c r="O140" i="3"/>
  <c r="N140" i="3"/>
  <c r="L140" i="3"/>
  <c r="M140" i="3"/>
  <c r="K140" i="3"/>
  <c r="J140" i="3"/>
  <c r="I140" i="3"/>
  <c r="S168" i="3"/>
  <c r="P168" i="3"/>
  <c r="O168" i="3"/>
  <c r="N168" i="3"/>
  <c r="M168" i="3"/>
  <c r="L168" i="3"/>
  <c r="K168" i="3"/>
  <c r="J168" i="3"/>
  <c r="J571" i="7"/>
  <c r="I571" i="7"/>
  <c r="I168" i="3"/>
  <c r="S790" i="3"/>
  <c r="P790" i="3"/>
  <c r="O790" i="3"/>
  <c r="N790" i="3"/>
  <c r="M790" i="3"/>
  <c r="L790" i="3"/>
  <c r="K790" i="3"/>
  <c r="J790" i="3"/>
  <c r="I790" i="3"/>
  <c r="S579" i="3"/>
  <c r="P579" i="3"/>
  <c r="O579" i="3"/>
  <c r="M579" i="3"/>
  <c r="L579" i="3"/>
  <c r="N579" i="3"/>
  <c r="K579" i="3"/>
  <c r="J579" i="3"/>
  <c r="I579" i="3"/>
  <c r="S231" i="3"/>
  <c r="P231" i="3"/>
  <c r="O231" i="3"/>
  <c r="N231" i="3"/>
  <c r="M231" i="3"/>
  <c r="L231" i="3"/>
  <c r="K231" i="3"/>
  <c r="J231" i="3"/>
  <c r="J469" i="7"/>
  <c r="I469" i="7"/>
  <c r="I231" i="3"/>
  <c r="S580" i="3"/>
  <c r="P580" i="3"/>
  <c r="N580" i="3"/>
  <c r="O580" i="3"/>
  <c r="M580" i="3"/>
  <c r="L580" i="3"/>
  <c r="J580" i="3"/>
  <c r="K580" i="3"/>
  <c r="I580" i="3"/>
  <c r="S236" i="3"/>
  <c r="P236" i="3"/>
  <c r="O236" i="3"/>
  <c r="N236" i="3"/>
  <c r="M236" i="3"/>
  <c r="L236" i="3"/>
  <c r="K236" i="3"/>
  <c r="J236" i="3"/>
  <c r="J437" i="7"/>
  <c r="I236" i="3"/>
  <c r="S583" i="3"/>
  <c r="P583" i="3"/>
  <c r="O583" i="3"/>
  <c r="M583" i="3"/>
  <c r="N583" i="3"/>
  <c r="L583" i="3"/>
  <c r="K583" i="3"/>
  <c r="J583" i="3"/>
  <c r="I583" i="3"/>
  <c r="S96" i="3"/>
  <c r="P96" i="3"/>
  <c r="O96" i="3"/>
  <c r="N96" i="3"/>
  <c r="M96" i="3"/>
  <c r="L96" i="3"/>
  <c r="K96" i="3"/>
  <c r="J96" i="3"/>
  <c r="I96" i="3"/>
  <c r="J260" i="7"/>
  <c r="S572" i="3"/>
  <c r="P572" i="3"/>
  <c r="O572" i="3"/>
  <c r="N572" i="3"/>
  <c r="M572" i="3"/>
  <c r="L572" i="3"/>
  <c r="K572" i="3"/>
  <c r="J572" i="3"/>
  <c r="I572" i="3"/>
  <c r="S679" i="3"/>
  <c r="P679" i="3"/>
  <c r="O679" i="3"/>
  <c r="N679" i="3"/>
  <c r="M679" i="3"/>
  <c r="L679" i="3"/>
  <c r="K679" i="3"/>
  <c r="J679" i="3"/>
  <c r="J607" i="7"/>
  <c r="I679" i="3"/>
  <c r="S14" i="3"/>
  <c r="P14" i="3"/>
  <c r="O14" i="3"/>
  <c r="N14" i="3"/>
  <c r="L14" i="3"/>
  <c r="M14" i="3"/>
  <c r="K14" i="3"/>
  <c r="J14" i="3"/>
  <c r="I14" i="3"/>
  <c r="J371" i="7"/>
  <c r="I371" i="7"/>
  <c r="J401" i="7"/>
  <c r="I401" i="7"/>
  <c r="J498" i="7"/>
  <c r="I498" i="7"/>
  <c r="S875" i="3"/>
  <c r="P875" i="3"/>
  <c r="N875" i="3"/>
  <c r="O875" i="3"/>
  <c r="M875" i="3"/>
  <c r="L875" i="3"/>
  <c r="K875" i="3"/>
  <c r="E875" i="3"/>
  <c r="J448" i="7" s="1"/>
  <c r="J875" i="3"/>
  <c r="D875" i="3"/>
  <c r="H875" i="3"/>
  <c r="I875" i="3"/>
  <c r="S311" i="3"/>
  <c r="P311" i="3"/>
  <c r="O311" i="3"/>
  <c r="N311" i="3"/>
  <c r="M311" i="3"/>
  <c r="L311" i="3"/>
  <c r="K311" i="3"/>
  <c r="J311" i="3"/>
  <c r="J312" i="7"/>
  <c r="I312" i="7"/>
  <c r="I311" i="3"/>
  <c r="S123" i="3"/>
  <c r="P123" i="3"/>
  <c r="O123" i="3"/>
  <c r="N123" i="3"/>
  <c r="M123" i="3"/>
  <c r="K123" i="3"/>
  <c r="L123" i="3"/>
  <c r="J123" i="3"/>
  <c r="I123" i="3"/>
  <c r="S249" i="3"/>
  <c r="P249" i="3"/>
  <c r="O249" i="3"/>
  <c r="N249" i="3"/>
  <c r="M249" i="3"/>
  <c r="L249" i="3"/>
  <c r="K249" i="3"/>
  <c r="J249" i="3"/>
  <c r="I249" i="3"/>
  <c r="S670" i="3"/>
  <c r="P670" i="3"/>
  <c r="O670" i="3"/>
  <c r="N670" i="3"/>
  <c r="M670" i="3"/>
  <c r="L670" i="3"/>
  <c r="K670" i="3"/>
  <c r="J670" i="3"/>
  <c r="J201" i="7"/>
  <c r="I670" i="3"/>
  <c r="S656" i="3"/>
  <c r="P656" i="3"/>
  <c r="O656" i="3"/>
  <c r="N656" i="3"/>
  <c r="M656" i="3"/>
  <c r="L656" i="3"/>
  <c r="K656" i="3"/>
  <c r="J656" i="3"/>
  <c r="J243" i="7"/>
  <c r="I656" i="3"/>
  <c r="S170" i="3"/>
  <c r="P170" i="3"/>
  <c r="N170" i="3"/>
  <c r="O170" i="3"/>
  <c r="M170" i="3"/>
  <c r="L170" i="3"/>
  <c r="K170" i="3"/>
  <c r="J170" i="3"/>
  <c r="E170" i="3"/>
  <c r="J183" i="7" s="1"/>
  <c r="D170" i="3"/>
  <c r="I183" i="7" s="1"/>
  <c r="H170" i="3"/>
  <c r="I170" i="3"/>
  <c r="S776" i="3"/>
  <c r="P776" i="3"/>
  <c r="O776" i="3"/>
  <c r="N776" i="3"/>
  <c r="M776" i="3"/>
  <c r="L776" i="3"/>
  <c r="K776" i="3"/>
  <c r="J776" i="3"/>
  <c r="J68" i="7"/>
  <c r="I776" i="3"/>
  <c r="S106" i="3"/>
  <c r="P106" i="3"/>
  <c r="O106" i="3"/>
  <c r="N106" i="3"/>
  <c r="M106" i="3"/>
  <c r="K106" i="3"/>
  <c r="J106" i="3"/>
  <c r="L106" i="3"/>
  <c r="I168" i="7"/>
  <c r="I106" i="3"/>
  <c r="I291" i="7"/>
  <c r="J291" i="7"/>
  <c r="I144" i="7"/>
  <c r="J144" i="7"/>
  <c r="J278" i="7"/>
  <c r="I278" i="7"/>
  <c r="S372" i="3"/>
  <c r="P372" i="3"/>
  <c r="O372" i="3"/>
  <c r="M372" i="3"/>
  <c r="N372" i="3"/>
  <c r="L372" i="3"/>
  <c r="K372" i="3"/>
  <c r="J372" i="3"/>
  <c r="I58" i="7"/>
  <c r="I372" i="3"/>
  <c r="S804" i="3"/>
  <c r="P804" i="3"/>
  <c r="O804" i="3"/>
  <c r="M804" i="3"/>
  <c r="N804" i="3"/>
  <c r="L804" i="3"/>
  <c r="K804" i="3"/>
  <c r="J804" i="3"/>
  <c r="J25" i="7"/>
  <c r="I25" i="7"/>
  <c r="I804" i="3"/>
  <c r="S205" i="3"/>
  <c r="P205" i="3"/>
  <c r="O205" i="3"/>
  <c r="N205" i="3"/>
  <c r="M205" i="3"/>
  <c r="L205" i="3"/>
  <c r="K205" i="3"/>
  <c r="J205" i="3"/>
  <c r="I205" i="3"/>
  <c r="S611" i="3"/>
  <c r="P611" i="3"/>
  <c r="O611" i="3"/>
  <c r="N611" i="3"/>
  <c r="M611" i="3"/>
  <c r="L611" i="3"/>
  <c r="J611" i="3"/>
  <c r="K611" i="3"/>
  <c r="I107" i="7"/>
  <c r="I611" i="3"/>
  <c r="S795" i="3"/>
  <c r="P795" i="3"/>
  <c r="O795" i="3"/>
  <c r="N795" i="3"/>
  <c r="M795" i="3"/>
  <c r="L795" i="3"/>
  <c r="K795" i="3"/>
  <c r="J795" i="3"/>
  <c r="I117" i="7"/>
  <c r="J117" i="7"/>
  <c r="I795" i="3"/>
  <c r="S25" i="3"/>
  <c r="P25" i="3"/>
  <c r="O25" i="3"/>
  <c r="N25" i="3"/>
  <c r="M25" i="3"/>
  <c r="L25" i="3"/>
  <c r="K25" i="3"/>
  <c r="J70" i="7"/>
  <c r="J25" i="3"/>
  <c r="I25" i="3"/>
  <c r="S154" i="3"/>
  <c r="P154" i="3"/>
  <c r="O154" i="3"/>
  <c r="N154" i="3"/>
  <c r="M154" i="3"/>
  <c r="L154" i="3"/>
  <c r="J154" i="3"/>
  <c r="I17" i="7"/>
  <c r="K154" i="3"/>
  <c r="I154" i="3"/>
  <c r="P201" i="3"/>
  <c r="S201" i="3"/>
  <c r="O201" i="3"/>
  <c r="M201" i="3"/>
  <c r="N201" i="3"/>
  <c r="J201" i="3"/>
  <c r="K201" i="3"/>
  <c r="L201" i="3"/>
  <c r="J304" i="7"/>
  <c r="I201" i="3"/>
  <c r="S861" i="3"/>
  <c r="P861" i="3"/>
  <c r="O861" i="3"/>
  <c r="N861" i="3"/>
  <c r="M861" i="3"/>
  <c r="L861" i="3"/>
  <c r="K861" i="3"/>
  <c r="J861" i="3"/>
  <c r="I861" i="3"/>
  <c r="S490" i="3"/>
  <c r="P490" i="3"/>
  <c r="O490" i="3"/>
  <c r="N490" i="3"/>
  <c r="M490" i="3"/>
  <c r="K490" i="3"/>
  <c r="L490" i="3"/>
  <c r="J490" i="3"/>
  <c r="I490" i="3"/>
  <c r="S405" i="3"/>
  <c r="P405" i="3"/>
  <c r="O405" i="3"/>
  <c r="N405" i="3"/>
  <c r="M405" i="3"/>
  <c r="L405" i="3"/>
  <c r="K405" i="3"/>
  <c r="J405" i="3"/>
  <c r="I405" i="3"/>
  <c r="J377" i="7"/>
  <c r="S809" i="3"/>
  <c r="P809" i="3"/>
  <c r="O809" i="3"/>
  <c r="N809" i="3"/>
  <c r="M809" i="3"/>
  <c r="L809" i="3"/>
  <c r="K809" i="3"/>
  <c r="J809" i="3"/>
  <c r="E809" i="3"/>
  <c r="J419" i="7" s="1"/>
  <c r="D809" i="3"/>
  <c r="H809" i="3"/>
  <c r="I809" i="3"/>
  <c r="S774" i="3"/>
  <c r="P774" i="3"/>
  <c r="O774" i="3"/>
  <c r="N774" i="3"/>
  <c r="M774" i="3"/>
  <c r="L774" i="3"/>
  <c r="K774" i="3"/>
  <c r="J774" i="3"/>
  <c r="J384" i="7"/>
  <c r="I774" i="3"/>
  <c r="S86" i="3"/>
  <c r="P86" i="3"/>
  <c r="O86" i="3"/>
  <c r="N86" i="3"/>
  <c r="M86" i="3"/>
  <c r="L86" i="3"/>
  <c r="K86" i="3"/>
  <c r="J86" i="3"/>
  <c r="I86" i="3"/>
  <c r="S555" i="3"/>
  <c r="P555" i="3"/>
  <c r="O555" i="3"/>
  <c r="N555" i="3"/>
  <c r="M555" i="3"/>
  <c r="L555" i="3"/>
  <c r="K555" i="3"/>
  <c r="E555" i="3"/>
  <c r="J555" i="3"/>
  <c r="D555" i="3"/>
  <c r="H555" i="3"/>
  <c r="I555" i="3"/>
  <c r="S57" i="3"/>
  <c r="P57" i="3"/>
  <c r="O57" i="3"/>
  <c r="M57" i="3"/>
  <c r="N57" i="3"/>
  <c r="L57" i="3"/>
  <c r="J57" i="3"/>
  <c r="K57" i="3"/>
  <c r="J335" i="7"/>
  <c r="I57" i="3"/>
  <c r="S39" i="3"/>
  <c r="P39" i="3"/>
  <c r="O39" i="3"/>
  <c r="N39" i="3"/>
  <c r="M39" i="3"/>
  <c r="L39" i="3"/>
  <c r="K39" i="3"/>
  <c r="J39" i="3"/>
  <c r="E39" i="3"/>
  <c r="J405" i="7" s="1"/>
  <c r="D39" i="3"/>
  <c r="I405" i="7" s="1"/>
  <c r="H39" i="3"/>
  <c r="I39" i="3"/>
  <c r="S12" i="3"/>
  <c r="P12" i="3"/>
  <c r="O12" i="3"/>
  <c r="N12" i="3"/>
  <c r="M12" i="3"/>
  <c r="L12" i="3"/>
  <c r="K12" i="3"/>
  <c r="J12" i="3"/>
  <c r="E12" i="3"/>
  <c r="J560" i="7" s="1"/>
  <c r="D12" i="3"/>
  <c r="I11" i="7" s="1"/>
  <c r="H12" i="3"/>
  <c r="I12" i="3"/>
  <c r="J126" i="7"/>
  <c r="I126" i="7"/>
  <c r="S419" i="3"/>
  <c r="P419" i="3"/>
  <c r="O419" i="3"/>
  <c r="N419" i="3"/>
  <c r="M419" i="3"/>
  <c r="L419" i="3"/>
  <c r="K419" i="3"/>
  <c r="J419" i="3"/>
  <c r="I419" i="3"/>
  <c r="J104" i="7"/>
  <c r="S418" i="3"/>
  <c r="P418" i="3"/>
  <c r="O418" i="3"/>
  <c r="N418" i="3"/>
  <c r="M418" i="3"/>
  <c r="L418" i="3"/>
  <c r="K418" i="3"/>
  <c r="J418" i="3"/>
  <c r="I418" i="3"/>
  <c r="S83" i="3"/>
  <c r="P83" i="3"/>
  <c r="O83" i="3"/>
  <c r="N83" i="3"/>
  <c r="M83" i="3"/>
  <c r="L83" i="3"/>
  <c r="K83" i="3"/>
  <c r="E83" i="3"/>
  <c r="J509" i="7" s="1"/>
  <c r="J83" i="3"/>
  <c r="D83" i="3"/>
  <c r="I509" i="7" s="1"/>
  <c r="H83" i="3"/>
  <c r="I83" i="3"/>
  <c r="I250" i="7"/>
  <c r="S779" i="3"/>
  <c r="P779" i="3"/>
  <c r="O779" i="3"/>
  <c r="N779" i="3"/>
  <c r="L779" i="3"/>
  <c r="M779" i="3"/>
  <c r="K779" i="3"/>
  <c r="J779" i="3"/>
  <c r="E779" i="3"/>
  <c r="D779" i="3"/>
  <c r="H779" i="3"/>
  <c r="I779" i="3"/>
  <c r="S881" i="3"/>
  <c r="P881" i="3"/>
  <c r="O881" i="3"/>
  <c r="M881" i="3"/>
  <c r="L881" i="3"/>
  <c r="N881" i="3"/>
  <c r="K881" i="3"/>
  <c r="J881" i="3"/>
  <c r="E881" i="3"/>
  <c r="D881" i="3"/>
  <c r="H881" i="3"/>
  <c r="I881" i="3"/>
  <c r="I16" i="7"/>
  <c r="S380" i="3"/>
  <c r="P380" i="3"/>
  <c r="O380" i="3"/>
  <c r="N380" i="3"/>
  <c r="M380" i="3"/>
  <c r="L380" i="3"/>
  <c r="K380" i="3"/>
  <c r="J380" i="3"/>
  <c r="I380" i="3"/>
  <c r="S695" i="3"/>
  <c r="P695" i="3"/>
  <c r="O695" i="3"/>
  <c r="N695" i="3"/>
  <c r="M695" i="3"/>
  <c r="L695" i="3"/>
  <c r="K695" i="3"/>
  <c r="J695" i="3"/>
  <c r="J276" i="7"/>
  <c r="I276" i="7"/>
  <c r="I695" i="3"/>
  <c r="J440" i="7"/>
  <c r="I440" i="7"/>
  <c r="S725" i="3"/>
  <c r="P725" i="3"/>
  <c r="O725" i="3"/>
  <c r="N725" i="3"/>
  <c r="M725" i="3"/>
  <c r="K725" i="3"/>
  <c r="L725" i="3"/>
  <c r="J725" i="3"/>
  <c r="E725" i="3"/>
  <c r="D725" i="3"/>
  <c r="H725" i="3"/>
  <c r="I725" i="3"/>
  <c r="S619" i="3"/>
  <c r="P619" i="3"/>
  <c r="O619" i="3"/>
  <c r="N619" i="3"/>
  <c r="M619" i="3"/>
  <c r="L619" i="3"/>
  <c r="K619" i="3"/>
  <c r="E619" i="3"/>
  <c r="J619" i="3"/>
  <c r="D619" i="3"/>
  <c r="H619" i="3"/>
  <c r="I619" i="3"/>
  <c r="S432" i="3"/>
  <c r="P432" i="3"/>
  <c r="O432" i="3"/>
  <c r="N432" i="3"/>
  <c r="M432" i="3"/>
  <c r="L432" i="3"/>
  <c r="J432" i="3"/>
  <c r="K432" i="3"/>
  <c r="J415" i="7"/>
  <c r="I432" i="3"/>
  <c r="J348" i="7"/>
  <c r="S255" i="3"/>
  <c r="P255" i="3"/>
  <c r="O255" i="3"/>
  <c r="M255" i="3"/>
  <c r="L255" i="3"/>
  <c r="N255" i="3"/>
  <c r="J255" i="3"/>
  <c r="K255" i="3"/>
  <c r="E255" i="3"/>
  <c r="D255" i="3"/>
  <c r="H255" i="3"/>
  <c r="I255" i="3"/>
  <c r="S446" i="3"/>
  <c r="P446" i="3"/>
  <c r="O446" i="3"/>
  <c r="N446" i="3"/>
  <c r="M446" i="3"/>
  <c r="L446" i="3"/>
  <c r="K446" i="3"/>
  <c r="J446" i="3"/>
  <c r="E446" i="3"/>
  <c r="D446" i="3"/>
  <c r="H446" i="3"/>
  <c r="I446" i="3"/>
  <c r="S208" i="3"/>
  <c r="P208" i="3"/>
  <c r="O208" i="3"/>
  <c r="N208" i="3"/>
  <c r="M208" i="3"/>
  <c r="L208" i="3"/>
  <c r="K208" i="3"/>
  <c r="J208" i="3"/>
  <c r="J435" i="7"/>
  <c r="I435" i="7"/>
  <c r="I208" i="3"/>
  <c r="S581" i="3"/>
  <c r="P581" i="3"/>
  <c r="O581" i="3"/>
  <c r="N581" i="3"/>
  <c r="M581" i="3"/>
  <c r="L581" i="3"/>
  <c r="K581" i="3"/>
  <c r="J581" i="3"/>
  <c r="I581" i="3"/>
  <c r="J323" i="7"/>
  <c r="I323" i="7"/>
  <c r="J386" i="7"/>
  <c r="I386" i="7"/>
  <c r="J204" i="7"/>
  <c r="I204" i="7"/>
  <c r="S723" i="3"/>
  <c r="P723" i="3"/>
  <c r="O723" i="3"/>
  <c r="N723" i="3"/>
  <c r="M723" i="3"/>
  <c r="L723" i="3"/>
  <c r="K723" i="3"/>
  <c r="J723" i="3"/>
  <c r="I723" i="3"/>
  <c r="J147" i="7"/>
  <c r="I147" i="7"/>
  <c r="S648" i="3"/>
  <c r="P648" i="3"/>
  <c r="O648" i="3"/>
  <c r="N648" i="3"/>
  <c r="M648" i="3"/>
  <c r="L648" i="3"/>
  <c r="K648" i="3"/>
  <c r="J648" i="3"/>
  <c r="I648" i="3"/>
  <c r="I62" i="7"/>
  <c r="S179" i="3"/>
  <c r="P179" i="3"/>
  <c r="O179" i="3"/>
  <c r="N179" i="3"/>
  <c r="M179" i="3"/>
  <c r="L179" i="3"/>
  <c r="K179" i="3"/>
  <c r="J179" i="3"/>
  <c r="I179" i="3"/>
  <c r="S506" i="3"/>
  <c r="P506" i="3"/>
  <c r="O506" i="3"/>
  <c r="N506" i="3"/>
  <c r="M506" i="3"/>
  <c r="L506" i="3"/>
  <c r="K506" i="3"/>
  <c r="J506" i="3"/>
  <c r="I506" i="3"/>
  <c r="S262" i="3"/>
  <c r="P262" i="3"/>
  <c r="O262" i="3"/>
  <c r="N262" i="3"/>
  <c r="M262" i="3"/>
  <c r="L262" i="3"/>
  <c r="J262" i="3"/>
  <c r="K262" i="3"/>
  <c r="I262" i="3"/>
  <c r="S93" i="3"/>
  <c r="P93" i="3"/>
  <c r="O93" i="3"/>
  <c r="N93" i="3"/>
  <c r="L93" i="3"/>
  <c r="M93" i="3"/>
  <c r="K93" i="3"/>
  <c r="J93" i="3"/>
  <c r="D93" i="3"/>
  <c r="I81" i="7" s="1"/>
  <c r="E93" i="3"/>
  <c r="I93" i="3"/>
  <c r="H93" i="3"/>
  <c r="S890" i="3"/>
  <c r="P890" i="3"/>
  <c r="O890" i="3"/>
  <c r="M890" i="3"/>
  <c r="N890" i="3"/>
  <c r="L890" i="3"/>
  <c r="K890" i="3"/>
  <c r="J890" i="3"/>
  <c r="I96" i="7"/>
  <c r="I890" i="3"/>
  <c r="I241" i="7"/>
  <c r="S609" i="3"/>
  <c r="P609" i="3"/>
  <c r="O609" i="3"/>
  <c r="N609" i="3"/>
  <c r="M609" i="3"/>
  <c r="L609" i="3"/>
  <c r="K609" i="3"/>
  <c r="J609" i="3"/>
  <c r="E609" i="3"/>
  <c r="J450" i="7" s="1"/>
  <c r="D609" i="3"/>
  <c r="H609" i="3"/>
  <c r="I609" i="3"/>
  <c r="S818" i="3"/>
  <c r="P818" i="3"/>
  <c r="O818" i="3"/>
  <c r="N818" i="3"/>
  <c r="M818" i="3"/>
  <c r="L818" i="3"/>
  <c r="K818" i="3"/>
  <c r="J818" i="3"/>
  <c r="I143" i="7"/>
  <c r="I818" i="3"/>
  <c r="S642" i="3"/>
  <c r="P642" i="3"/>
  <c r="O642" i="3"/>
  <c r="N642" i="3"/>
  <c r="M642" i="3"/>
  <c r="L642" i="3"/>
  <c r="K642" i="3"/>
  <c r="J642" i="3"/>
  <c r="E642" i="3"/>
  <c r="J244" i="7" s="1"/>
  <c r="D642" i="3"/>
  <c r="I244" i="7" s="1"/>
  <c r="H642" i="3"/>
  <c r="I642" i="3"/>
  <c r="S824" i="3"/>
  <c r="P824" i="3"/>
  <c r="O824" i="3"/>
  <c r="N824" i="3"/>
  <c r="M824" i="3"/>
  <c r="L824" i="3"/>
  <c r="K824" i="3"/>
  <c r="J824" i="3"/>
  <c r="E824" i="3"/>
  <c r="J507" i="7" s="1"/>
  <c r="D824" i="3"/>
  <c r="I507" i="7" s="1"/>
  <c r="H824" i="3"/>
  <c r="I824" i="3"/>
  <c r="S485" i="3"/>
  <c r="P485" i="3"/>
  <c r="O485" i="3"/>
  <c r="N485" i="3"/>
  <c r="M485" i="3"/>
  <c r="L485" i="3"/>
  <c r="K485" i="3"/>
  <c r="E485" i="3"/>
  <c r="J485" i="3"/>
  <c r="D485" i="3"/>
  <c r="H485" i="3"/>
  <c r="I485" i="3"/>
  <c r="S757" i="3"/>
  <c r="P757" i="3"/>
  <c r="O757" i="3"/>
  <c r="N757" i="3"/>
  <c r="M757" i="3"/>
  <c r="L757" i="3"/>
  <c r="K757" i="3"/>
  <c r="J757" i="3"/>
  <c r="J370" i="7"/>
  <c r="I370" i="7"/>
  <c r="I757" i="3"/>
  <c r="S314" i="3"/>
  <c r="P314" i="3"/>
  <c r="O314" i="3"/>
  <c r="N314" i="3"/>
  <c r="M314" i="3"/>
  <c r="L314" i="3"/>
  <c r="K314" i="3"/>
  <c r="J314" i="3"/>
  <c r="E314" i="3"/>
  <c r="J123" i="7" s="1"/>
  <c r="D314" i="3"/>
  <c r="H314" i="3"/>
  <c r="I314" i="3"/>
  <c r="J321" i="7"/>
  <c r="I321" i="7"/>
  <c r="J523" i="7"/>
  <c r="S29" i="3"/>
  <c r="P29" i="3"/>
  <c r="N29" i="3"/>
  <c r="M29" i="3"/>
  <c r="O29" i="3"/>
  <c r="L29" i="3"/>
  <c r="K29" i="3"/>
  <c r="J29" i="3"/>
  <c r="I29" i="3"/>
  <c r="S402" i="3"/>
  <c r="P402" i="3"/>
  <c r="O402" i="3"/>
  <c r="N402" i="3"/>
  <c r="M402" i="3"/>
  <c r="L402" i="3"/>
  <c r="K402" i="3"/>
  <c r="J402" i="3"/>
  <c r="I402" i="3"/>
  <c r="S478" i="3"/>
  <c r="P478" i="3"/>
  <c r="O478" i="3"/>
  <c r="N478" i="3"/>
  <c r="M478" i="3"/>
  <c r="K478" i="3"/>
  <c r="J478" i="3"/>
  <c r="L478" i="3"/>
  <c r="J268" i="7"/>
  <c r="I478" i="3"/>
  <c r="S546" i="3"/>
  <c r="O546" i="3"/>
  <c r="P546" i="3"/>
  <c r="N546" i="3"/>
  <c r="M546" i="3"/>
  <c r="L546" i="3"/>
  <c r="K546" i="3"/>
  <c r="E546" i="3"/>
  <c r="J546" i="3"/>
  <c r="D546" i="3"/>
  <c r="H546" i="3"/>
  <c r="I546" i="3"/>
  <c r="S598" i="3"/>
  <c r="P598" i="3"/>
  <c r="O598" i="3"/>
  <c r="N598" i="3"/>
  <c r="M598" i="3"/>
  <c r="L598" i="3"/>
  <c r="K598" i="3"/>
  <c r="J598" i="3"/>
  <c r="E598" i="3"/>
  <c r="D598" i="3"/>
  <c r="H598" i="3"/>
  <c r="I598" i="3"/>
  <c r="S356" i="3"/>
  <c r="P356" i="3"/>
  <c r="O356" i="3"/>
  <c r="N356" i="3"/>
  <c r="L356" i="3"/>
  <c r="M356" i="3"/>
  <c r="K356" i="3"/>
  <c r="J356" i="3"/>
  <c r="I356" i="3"/>
  <c r="S455" i="3"/>
  <c r="P455" i="3"/>
  <c r="O455" i="3"/>
  <c r="N455" i="3"/>
  <c r="M455" i="3"/>
  <c r="L455" i="3"/>
  <c r="K455" i="3"/>
  <c r="J455" i="3"/>
  <c r="E455" i="3"/>
  <c r="D455" i="3"/>
  <c r="H455" i="3"/>
  <c r="I455" i="3"/>
  <c r="S536" i="3"/>
  <c r="P536" i="3"/>
  <c r="O536" i="3"/>
  <c r="N536" i="3"/>
  <c r="M536" i="3"/>
  <c r="L536" i="3"/>
  <c r="K536" i="3"/>
  <c r="J536" i="3"/>
  <c r="I536" i="3"/>
  <c r="P212" i="3"/>
  <c r="S212" i="3"/>
  <c r="O212" i="3"/>
  <c r="M212" i="3"/>
  <c r="N212" i="3"/>
  <c r="L212" i="3"/>
  <c r="J212" i="3"/>
  <c r="K212" i="3"/>
  <c r="I212" i="3"/>
  <c r="S801" i="3"/>
  <c r="P801" i="3"/>
  <c r="O801" i="3"/>
  <c r="M801" i="3"/>
  <c r="N801" i="3"/>
  <c r="L801" i="3"/>
  <c r="K801" i="3"/>
  <c r="J801" i="3"/>
  <c r="E801" i="3"/>
  <c r="D801" i="3"/>
  <c r="H801" i="3"/>
  <c r="I801" i="3"/>
  <c r="S178" i="3"/>
  <c r="P178" i="3"/>
  <c r="O178" i="3"/>
  <c r="N178" i="3"/>
  <c r="M178" i="3"/>
  <c r="L178" i="3"/>
  <c r="K178" i="3"/>
  <c r="J178" i="3"/>
  <c r="E178" i="3"/>
  <c r="D178" i="3"/>
  <c r="H178" i="3"/>
  <c r="I178" i="3"/>
  <c r="J543" i="7"/>
  <c r="S814" i="3"/>
  <c r="P814" i="3"/>
  <c r="O814" i="3"/>
  <c r="N814" i="3"/>
  <c r="M814" i="3"/>
  <c r="L814" i="3"/>
  <c r="K814" i="3"/>
  <c r="J814" i="3"/>
  <c r="E814" i="3"/>
  <c r="D814" i="3"/>
  <c r="H814" i="3"/>
  <c r="I814" i="3"/>
  <c r="S788" i="3"/>
  <c r="P788" i="3"/>
  <c r="O788" i="3"/>
  <c r="M788" i="3"/>
  <c r="N788" i="3"/>
  <c r="L788" i="3"/>
  <c r="J788" i="3"/>
  <c r="K788" i="3"/>
  <c r="D788" i="3"/>
  <c r="E788" i="3"/>
  <c r="H788" i="3"/>
  <c r="I788" i="3"/>
  <c r="S829" i="3"/>
  <c r="P829" i="3"/>
  <c r="O829" i="3"/>
  <c r="N829" i="3"/>
  <c r="M829" i="3"/>
  <c r="L829" i="3"/>
  <c r="K829" i="3"/>
  <c r="J829" i="3"/>
  <c r="I829" i="3"/>
  <c r="S605" i="3"/>
  <c r="P605" i="3"/>
  <c r="O605" i="3"/>
  <c r="M605" i="3"/>
  <c r="N605" i="3"/>
  <c r="L605" i="3"/>
  <c r="J605" i="3"/>
  <c r="K605" i="3"/>
  <c r="I605" i="3"/>
  <c r="S338" i="3"/>
  <c r="P338" i="3"/>
  <c r="O338" i="3"/>
  <c r="N338" i="3"/>
  <c r="M338" i="3"/>
  <c r="L338" i="3"/>
  <c r="J338" i="3"/>
  <c r="K338" i="3"/>
  <c r="D338" i="3"/>
  <c r="E338" i="3"/>
  <c r="J577" i="7" s="1"/>
  <c r="H338" i="3"/>
  <c r="I338" i="3"/>
  <c r="S280" i="3"/>
  <c r="P280" i="3"/>
  <c r="O280" i="3"/>
  <c r="N280" i="3"/>
  <c r="M280" i="3"/>
  <c r="L280" i="3"/>
  <c r="K280" i="3"/>
  <c r="J280" i="3"/>
  <c r="I280" i="3"/>
  <c r="S121" i="3"/>
  <c r="P121" i="3"/>
  <c r="O121" i="3"/>
  <c r="M121" i="3"/>
  <c r="N121" i="3"/>
  <c r="L121" i="3"/>
  <c r="K121" i="3"/>
  <c r="J121" i="3"/>
  <c r="E121" i="3"/>
  <c r="J521" i="7" s="1"/>
  <c r="D121" i="3"/>
  <c r="H121" i="3"/>
  <c r="I121" i="3"/>
  <c r="S515" i="3"/>
  <c r="O515" i="3"/>
  <c r="P515" i="3"/>
  <c r="N515" i="3"/>
  <c r="M515" i="3"/>
  <c r="L515" i="3"/>
  <c r="K515" i="3"/>
  <c r="E515" i="3"/>
  <c r="J515" i="3"/>
  <c r="D515" i="3"/>
  <c r="H515" i="3"/>
  <c r="I515" i="3"/>
  <c r="S450" i="3"/>
  <c r="P450" i="3"/>
  <c r="O450" i="3"/>
  <c r="N450" i="3"/>
  <c r="M450" i="3"/>
  <c r="L450" i="3"/>
  <c r="J450" i="3"/>
  <c r="K450" i="3"/>
  <c r="E450" i="3"/>
  <c r="I450" i="3"/>
  <c r="H450" i="3"/>
  <c r="D450" i="3"/>
  <c r="S379" i="3"/>
  <c r="P379" i="3"/>
  <c r="O379" i="3"/>
  <c r="N379" i="3"/>
  <c r="M379" i="3"/>
  <c r="L379" i="3"/>
  <c r="K379" i="3"/>
  <c r="J379" i="3"/>
  <c r="I379" i="3"/>
  <c r="S381" i="3"/>
  <c r="P381" i="3"/>
  <c r="O381" i="3"/>
  <c r="N381" i="3"/>
  <c r="M381" i="3"/>
  <c r="L381" i="3"/>
  <c r="K381" i="3"/>
  <c r="J381" i="3"/>
  <c r="I381" i="3"/>
  <c r="S534" i="3"/>
  <c r="P534" i="3"/>
  <c r="O534" i="3"/>
  <c r="N534" i="3"/>
  <c r="M534" i="3"/>
  <c r="L534" i="3"/>
  <c r="K534" i="3"/>
  <c r="J534" i="3"/>
  <c r="I534" i="3"/>
  <c r="S603" i="3"/>
  <c r="P603" i="3"/>
  <c r="O603" i="3"/>
  <c r="N603" i="3"/>
  <c r="M603" i="3"/>
  <c r="L603" i="3"/>
  <c r="J603" i="3"/>
  <c r="K603" i="3"/>
  <c r="E603" i="3"/>
  <c r="D603" i="3"/>
  <c r="H603" i="3"/>
  <c r="I603" i="3"/>
  <c r="S451" i="3"/>
  <c r="P451" i="3"/>
  <c r="O451" i="3"/>
  <c r="N451" i="3"/>
  <c r="L451" i="3"/>
  <c r="M451" i="3"/>
  <c r="K451" i="3"/>
  <c r="J451" i="3"/>
  <c r="I451" i="3"/>
  <c r="S134" i="3"/>
  <c r="P134" i="3"/>
  <c r="O134" i="3"/>
  <c r="N134" i="3"/>
  <c r="M134" i="3"/>
  <c r="L134" i="3"/>
  <c r="K134" i="3"/>
  <c r="J134" i="3"/>
  <c r="J508" i="7"/>
  <c r="I134" i="3"/>
  <c r="S187" i="3"/>
  <c r="P187" i="3"/>
  <c r="O187" i="3"/>
  <c r="N187" i="3"/>
  <c r="M187" i="3"/>
  <c r="L187" i="3"/>
  <c r="K187" i="3"/>
  <c r="J187" i="3"/>
  <c r="I187" i="3"/>
  <c r="S443" i="3"/>
  <c r="P443" i="3"/>
  <c r="N443" i="3"/>
  <c r="O443" i="3"/>
  <c r="M443" i="3"/>
  <c r="L443" i="3"/>
  <c r="K443" i="3"/>
  <c r="J443" i="3"/>
  <c r="I443" i="3"/>
  <c r="S496" i="3"/>
  <c r="P496" i="3"/>
  <c r="O496" i="3"/>
  <c r="N496" i="3"/>
  <c r="M496" i="3"/>
  <c r="L496" i="3"/>
  <c r="J496" i="3"/>
  <c r="K496" i="3"/>
  <c r="I496" i="3"/>
  <c r="S747" i="3"/>
  <c r="P747" i="3"/>
  <c r="O747" i="3"/>
  <c r="N747" i="3"/>
  <c r="M747" i="3"/>
  <c r="L747" i="3"/>
  <c r="K747" i="3"/>
  <c r="J747" i="3"/>
  <c r="I747" i="3"/>
  <c r="S247" i="3"/>
  <c r="P247" i="3"/>
  <c r="O247" i="3"/>
  <c r="N247" i="3"/>
  <c r="M247" i="3"/>
  <c r="L247" i="3"/>
  <c r="J247" i="3"/>
  <c r="K247" i="3"/>
  <c r="I247" i="3"/>
  <c r="J582" i="7"/>
  <c r="S110" i="3"/>
  <c r="P110" i="3"/>
  <c r="O110" i="3"/>
  <c r="N110" i="3"/>
  <c r="M110" i="3"/>
  <c r="L110" i="3"/>
  <c r="K110" i="3"/>
  <c r="J110" i="3"/>
  <c r="I110" i="3"/>
  <c r="S682" i="3"/>
  <c r="P682" i="3"/>
  <c r="O682" i="3"/>
  <c r="N682" i="3"/>
  <c r="M682" i="3"/>
  <c r="L682" i="3"/>
  <c r="K682" i="3"/>
  <c r="J682" i="3"/>
  <c r="I682" i="3"/>
  <c r="S299" i="3"/>
  <c r="P299" i="3"/>
  <c r="O299" i="3"/>
  <c r="N299" i="3"/>
  <c r="M299" i="3"/>
  <c r="L299" i="3"/>
  <c r="K299" i="3"/>
  <c r="J299" i="3"/>
  <c r="I299" i="3"/>
  <c r="S557" i="3"/>
  <c r="P557" i="3"/>
  <c r="O557" i="3"/>
  <c r="N557" i="3"/>
  <c r="M557" i="3"/>
  <c r="L557" i="3"/>
  <c r="K557" i="3"/>
  <c r="J557" i="3"/>
  <c r="I557" i="3"/>
  <c r="J558" i="7"/>
  <c r="S511" i="3"/>
  <c r="P511" i="3"/>
  <c r="O511" i="3"/>
  <c r="M511" i="3"/>
  <c r="L511" i="3"/>
  <c r="N511" i="3"/>
  <c r="J511" i="3"/>
  <c r="K511" i="3"/>
  <c r="I511" i="3"/>
  <c r="S523" i="3"/>
  <c r="P523" i="3"/>
  <c r="O523" i="3"/>
  <c r="N523" i="3"/>
  <c r="M523" i="3"/>
  <c r="L523" i="3"/>
  <c r="K523" i="3"/>
  <c r="J523" i="3"/>
  <c r="J303" i="7"/>
  <c r="I523" i="3"/>
  <c r="S669" i="3"/>
  <c r="P669" i="3"/>
  <c r="O669" i="3"/>
  <c r="N669" i="3"/>
  <c r="M669" i="3"/>
  <c r="K669" i="3"/>
  <c r="J669" i="3"/>
  <c r="L669" i="3"/>
  <c r="I669" i="3"/>
  <c r="S282" i="3"/>
  <c r="P282" i="3"/>
  <c r="O282" i="3"/>
  <c r="N282" i="3"/>
  <c r="M282" i="3"/>
  <c r="L282" i="3"/>
  <c r="K282" i="3"/>
  <c r="J282" i="3"/>
  <c r="J588" i="7"/>
  <c r="I588" i="7"/>
  <c r="I282" i="3"/>
  <c r="J517" i="7"/>
  <c r="S211" i="3"/>
  <c r="P211" i="3"/>
  <c r="O211" i="3"/>
  <c r="N211" i="3"/>
  <c r="M211" i="3"/>
  <c r="L211" i="3"/>
  <c r="K211" i="3"/>
  <c r="J211" i="3"/>
  <c r="E211" i="3"/>
  <c r="D211" i="3"/>
  <c r="H211" i="3"/>
  <c r="I211" i="3"/>
  <c r="S871" i="3"/>
  <c r="P871" i="3"/>
  <c r="N871" i="3"/>
  <c r="O871" i="3"/>
  <c r="M871" i="3"/>
  <c r="L871" i="3"/>
  <c r="K871" i="3"/>
  <c r="J871" i="3"/>
  <c r="I871" i="3"/>
  <c r="S258" i="3"/>
  <c r="P258" i="3"/>
  <c r="O258" i="3"/>
  <c r="N258" i="3"/>
  <c r="M258" i="3"/>
  <c r="L258" i="3"/>
  <c r="K258" i="3"/>
  <c r="J258" i="3"/>
  <c r="J529" i="7"/>
  <c r="I529" i="7"/>
  <c r="I258" i="3"/>
  <c r="J173" i="7"/>
  <c r="I173" i="7"/>
  <c r="J502" i="7"/>
  <c r="I502" i="7"/>
  <c r="I279" i="7"/>
  <c r="J337" i="7"/>
  <c r="I337" i="7"/>
  <c r="S303" i="3"/>
  <c r="P303" i="3"/>
  <c r="O303" i="3"/>
  <c r="N303" i="3"/>
  <c r="M303" i="3"/>
  <c r="L303" i="3"/>
  <c r="K303" i="3"/>
  <c r="J303" i="3"/>
  <c r="E303" i="3"/>
  <c r="J436" i="7" s="1"/>
  <c r="D303" i="3"/>
  <c r="I436" i="7" s="1"/>
  <c r="H303" i="3"/>
  <c r="I303" i="3"/>
  <c r="S744" i="3"/>
  <c r="P744" i="3"/>
  <c r="N744" i="3"/>
  <c r="O744" i="3"/>
  <c r="M744" i="3"/>
  <c r="L744" i="3"/>
  <c r="K744" i="3"/>
  <c r="J290" i="7"/>
  <c r="J744" i="3"/>
  <c r="I290" i="7"/>
  <c r="I744" i="3"/>
  <c r="S157" i="3"/>
  <c r="P157" i="3"/>
  <c r="O157" i="3"/>
  <c r="N157" i="3"/>
  <c r="M157" i="3"/>
  <c r="L157" i="3"/>
  <c r="K157" i="3"/>
  <c r="J157" i="3"/>
  <c r="I309" i="7"/>
  <c r="I157" i="3"/>
  <c r="S507" i="3"/>
  <c r="P507" i="3"/>
  <c r="O507" i="3"/>
  <c r="N507" i="3"/>
  <c r="M507" i="3"/>
  <c r="L507" i="3"/>
  <c r="J507" i="3"/>
  <c r="K507" i="3"/>
  <c r="J412" i="7"/>
  <c r="I507" i="3"/>
  <c r="S870" i="3"/>
  <c r="P870" i="3"/>
  <c r="O870" i="3"/>
  <c r="N870" i="3"/>
  <c r="M870" i="3"/>
  <c r="L870" i="3"/>
  <c r="K870" i="3"/>
  <c r="J870" i="3"/>
  <c r="J298" i="7"/>
  <c r="I298" i="7"/>
  <c r="I870" i="3"/>
  <c r="I275" i="7"/>
  <c r="J275" i="7"/>
  <c r="S456" i="3"/>
  <c r="P456" i="3"/>
  <c r="O456" i="3"/>
  <c r="N456" i="3"/>
  <c r="M456" i="3"/>
  <c r="K456" i="3"/>
  <c r="L456" i="3"/>
  <c r="J456" i="3"/>
  <c r="J389" i="7"/>
  <c r="I389" i="7"/>
  <c r="I456" i="3"/>
  <c r="S588" i="3"/>
  <c r="P588" i="3"/>
  <c r="O588" i="3"/>
  <c r="N588" i="3"/>
  <c r="M588" i="3"/>
  <c r="L588" i="3"/>
  <c r="K588" i="3"/>
  <c r="J588" i="3"/>
  <c r="I293" i="7"/>
  <c r="I588" i="3"/>
  <c r="J197" i="7"/>
  <c r="I197" i="7"/>
  <c r="I518" i="7"/>
  <c r="J518" i="7"/>
  <c r="S164" i="3"/>
  <c r="P164" i="3"/>
  <c r="O164" i="3"/>
  <c r="N164" i="3"/>
  <c r="M164" i="3"/>
  <c r="L164" i="3"/>
  <c r="K164" i="3"/>
  <c r="J164" i="3"/>
  <c r="J336" i="7"/>
  <c r="I336" i="7"/>
  <c r="I164" i="3"/>
  <c r="S292" i="3"/>
  <c r="P292" i="3"/>
  <c r="O292" i="3"/>
  <c r="N292" i="3"/>
  <c r="M292" i="3"/>
  <c r="L292" i="3"/>
  <c r="J292" i="3"/>
  <c r="K292" i="3"/>
  <c r="D292" i="3"/>
  <c r="E292" i="3"/>
  <c r="H292" i="3"/>
  <c r="I292" i="3"/>
  <c r="I315" i="7"/>
  <c r="S277" i="3"/>
  <c r="P277" i="3"/>
  <c r="O277" i="3"/>
  <c r="N277" i="3"/>
  <c r="M277" i="3"/>
  <c r="L277" i="3"/>
  <c r="K277" i="3"/>
  <c r="J277" i="3"/>
  <c r="I24" i="7"/>
  <c r="J24" i="7"/>
  <c r="I277" i="3"/>
  <c r="S754" i="3"/>
  <c r="P754" i="3"/>
  <c r="O754" i="3"/>
  <c r="N754" i="3"/>
  <c r="M754" i="3"/>
  <c r="L754" i="3"/>
  <c r="K754" i="3"/>
  <c r="J754" i="3"/>
  <c r="E754" i="3"/>
  <c r="D754" i="3"/>
  <c r="H754" i="3"/>
  <c r="I754" i="3"/>
  <c r="J113" i="7"/>
  <c r="S454" i="3"/>
  <c r="P454" i="3"/>
  <c r="O454" i="3"/>
  <c r="N454" i="3"/>
  <c r="M454" i="3"/>
  <c r="L454" i="3"/>
  <c r="K454" i="3"/>
  <c r="J454" i="3"/>
  <c r="I454" i="3"/>
  <c r="S401" i="3"/>
  <c r="P401" i="3"/>
  <c r="N401" i="3"/>
  <c r="M401" i="3"/>
  <c r="O401" i="3"/>
  <c r="L401" i="3"/>
  <c r="J401" i="3"/>
  <c r="K401" i="3"/>
  <c r="I401" i="3"/>
  <c r="I220" i="7"/>
  <c r="S831" i="3"/>
  <c r="P831" i="3"/>
  <c r="O831" i="3"/>
  <c r="N831" i="3"/>
  <c r="M831" i="3"/>
  <c r="L831" i="3"/>
  <c r="K831" i="3"/>
  <c r="J831" i="3"/>
  <c r="E831" i="3"/>
  <c r="J295" i="7" s="1"/>
  <c r="D831" i="3"/>
  <c r="H831" i="3"/>
  <c r="I831" i="3"/>
  <c r="S200" i="3"/>
  <c r="P200" i="3"/>
  <c r="O200" i="3"/>
  <c r="N200" i="3"/>
  <c r="M200" i="3"/>
  <c r="L200" i="3"/>
  <c r="K200" i="3"/>
  <c r="J258" i="7"/>
  <c r="J200" i="3"/>
  <c r="I258" i="7"/>
  <c r="I200" i="3"/>
  <c r="J500" i="7"/>
  <c r="I500" i="7"/>
  <c r="J142" i="7"/>
  <c r="S683" i="3"/>
  <c r="P683" i="3"/>
  <c r="O683" i="3"/>
  <c r="N683" i="3"/>
  <c r="M683" i="3"/>
  <c r="L683" i="3"/>
  <c r="K683" i="3"/>
  <c r="J683" i="3"/>
  <c r="I683" i="3"/>
  <c r="S104" i="3"/>
  <c r="P104" i="3"/>
  <c r="O104" i="3"/>
  <c r="N104" i="3"/>
  <c r="M104" i="3"/>
  <c r="L104" i="3"/>
  <c r="K104" i="3"/>
  <c r="J104" i="3"/>
  <c r="J141" i="7"/>
  <c r="I141" i="7"/>
  <c r="I104" i="3"/>
  <c r="J169" i="7"/>
  <c r="I169" i="7"/>
  <c r="S641" i="3"/>
  <c r="P641" i="3"/>
  <c r="O641" i="3"/>
  <c r="N641" i="3"/>
  <c r="M641" i="3"/>
  <c r="L641" i="3"/>
  <c r="K641" i="3"/>
  <c r="J641" i="3"/>
  <c r="E641" i="3"/>
  <c r="J287" i="7" s="1"/>
  <c r="D641" i="3"/>
  <c r="I287" i="7" s="1"/>
  <c r="H641" i="3"/>
  <c r="I641" i="3"/>
  <c r="S109" i="3"/>
  <c r="P109" i="3"/>
  <c r="O109" i="3"/>
  <c r="N109" i="3"/>
  <c r="L109" i="3"/>
  <c r="K109" i="3"/>
  <c r="M109" i="3"/>
  <c r="J109" i="3"/>
  <c r="I109" i="3"/>
  <c r="S68" i="3"/>
  <c r="P68" i="3"/>
  <c r="O68" i="3"/>
  <c r="N68" i="3"/>
  <c r="M68" i="3"/>
  <c r="L68" i="3"/>
  <c r="J68" i="3"/>
  <c r="K68" i="3"/>
  <c r="I68" i="3"/>
  <c r="S238" i="3"/>
  <c r="P238" i="3"/>
  <c r="O238" i="3"/>
  <c r="N238" i="3"/>
  <c r="M238" i="3"/>
  <c r="L238" i="3"/>
  <c r="K238" i="3"/>
  <c r="J238" i="3"/>
  <c r="J472" i="7"/>
  <c r="I238" i="3"/>
  <c r="S460" i="3"/>
  <c r="P460" i="3"/>
  <c r="O460" i="3"/>
  <c r="N460" i="3"/>
  <c r="M460" i="3"/>
  <c r="L460" i="3"/>
  <c r="K460" i="3"/>
  <c r="J460" i="3"/>
  <c r="E460" i="3"/>
  <c r="D460" i="3"/>
  <c r="H460" i="3"/>
  <c r="I460" i="3"/>
  <c r="S352" i="3"/>
  <c r="P352" i="3"/>
  <c r="N352" i="3"/>
  <c r="O352" i="3"/>
  <c r="M352" i="3"/>
  <c r="L352" i="3"/>
  <c r="K352" i="3"/>
  <c r="J352" i="3"/>
  <c r="I352" i="3"/>
  <c r="S851" i="3"/>
  <c r="P851" i="3"/>
  <c r="O851" i="3"/>
  <c r="M851" i="3"/>
  <c r="L851" i="3"/>
  <c r="N851" i="3"/>
  <c r="J851" i="3"/>
  <c r="K851" i="3"/>
  <c r="E851" i="3"/>
  <c r="D851" i="3"/>
  <c r="I455" i="7" s="1"/>
  <c r="H851" i="3"/>
  <c r="I851" i="3"/>
  <c r="S884" i="3"/>
  <c r="P884" i="3"/>
  <c r="O884" i="3"/>
  <c r="N884" i="3"/>
  <c r="L884" i="3"/>
  <c r="M884" i="3"/>
  <c r="K884" i="3"/>
  <c r="J27" i="7"/>
  <c r="J884" i="3"/>
  <c r="I884" i="3"/>
  <c r="S606" i="3"/>
  <c r="P606" i="3"/>
  <c r="O606" i="3"/>
  <c r="N606" i="3"/>
  <c r="M606" i="3"/>
  <c r="L606" i="3"/>
  <c r="K606" i="3"/>
  <c r="E606" i="3"/>
  <c r="J424" i="7" s="1"/>
  <c r="J606" i="3"/>
  <c r="D606" i="3"/>
  <c r="H606" i="3"/>
  <c r="I606" i="3"/>
  <c r="J153" i="7"/>
  <c r="I153" i="7"/>
  <c r="S73" i="3"/>
  <c r="P73" i="3"/>
  <c r="O73" i="3"/>
  <c r="N73" i="3"/>
  <c r="M73" i="3"/>
  <c r="L73" i="3"/>
  <c r="K73" i="3"/>
  <c r="J73" i="3"/>
  <c r="I73" i="3"/>
  <c r="S734" i="3"/>
  <c r="P734" i="3"/>
  <c r="O734" i="3"/>
  <c r="N734" i="3"/>
  <c r="M734" i="3"/>
  <c r="L734" i="3"/>
  <c r="K734" i="3"/>
  <c r="J734" i="3"/>
  <c r="E734" i="3"/>
  <c r="J330" i="7" s="1"/>
  <c r="D734" i="3"/>
  <c r="I330" i="7" s="1"/>
  <c r="H734" i="3"/>
  <c r="I734" i="3"/>
  <c r="S810" i="3"/>
  <c r="P810" i="3"/>
  <c r="N810" i="3"/>
  <c r="O810" i="3"/>
  <c r="M810" i="3"/>
  <c r="L810" i="3"/>
  <c r="K810" i="3"/>
  <c r="J810" i="3"/>
  <c r="I810" i="3"/>
  <c r="S794" i="3"/>
  <c r="P794" i="3"/>
  <c r="O794" i="3"/>
  <c r="N794" i="3"/>
  <c r="M794" i="3"/>
  <c r="L794" i="3"/>
  <c r="K794" i="3"/>
  <c r="J794" i="3"/>
  <c r="I794" i="3"/>
  <c r="S658" i="3"/>
  <c r="P658" i="3"/>
  <c r="O658" i="3"/>
  <c r="N658" i="3"/>
  <c r="M658" i="3"/>
  <c r="L658" i="3"/>
  <c r="K658" i="3"/>
  <c r="J658" i="3"/>
  <c r="I658" i="3"/>
  <c r="S132" i="3"/>
  <c r="P132" i="3"/>
  <c r="O132" i="3"/>
  <c r="N132" i="3"/>
  <c r="M132" i="3"/>
  <c r="L132" i="3"/>
  <c r="K132" i="3"/>
  <c r="J132" i="3"/>
  <c r="I132" i="3"/>
  <c r="S345" i="3"/>
  <c r="P345" i="3"/>
  <c r="O345" i="3"/>
  <c r="N345" i="3"/>
  <c r="M345" i="3"/>
  <c r="L345" i="3"/>
  <c r="K345" i="3"/>
  <c r="J345" i="3"/>
  <c r="J369" i="7"/>
  <c r="I369" i="7"/>
  <c r="I345" i="3"/>
  <c r="S847" i="3"/>
  <c r="P847" i="3"/>
  <c r="O847" i="3"/>
  <c r="N847" i="3"/>
  <c r="M847" i="3"/>
  <c r="L847" i="3"/>
  <c r="K847" i="3"/>
  <c r="J847" i="3"/>
  <c r="E847" i="3"/>
  <c r="J600" i="7" s="1"/>
  <c r="D847" i="3"/>
  <c r="I600" i="7" s="1"/>
  <c r="I847" i="3"/>
  <c r="H847" i="3"/>
  <c r="J49" i="7"/>
  <c r="S807" i="3"/>
  <c r="P807" i="3"/>
  <c r="O807" i="3"/>
  <c r="N807" i="3"/>
  <c r="M807" i="3"/>
  <c r="L807" i="3"/>
  <c r="K807" i="3"/>
  <c r="J807" i="3"/>
  <c r="I807" i="3"/>
  <c r="S113" i="3"/>
  <c r="P113" i="3"/>
  <c r="O113" i="3"/>
  <c r="N113" i="3"/>
  <c r="M113" i="3"/>
  <c r="L113" i="3"/>
  <c r="K113" i="3"/>
  <c r="J113" i="3"/>
  <c r="I113" i="3"/>
  <c r="P416" i="3"/>
  <c r="S416" i="3"/>
  <c r="N416" i="3"/>
  <c r="M416" i="3"/>
  <c r="L416" i="3"/>
  <c r="O416" i="3"/>
  <c r="J416" i="3"/>
  <c r="K416" i="3"/>
  <c r="D416" i="3"/>
  <c r="H416" i="3"/>
  <c r="I416" i="3"/>
  <c r="E416" i="3"/>
  <c r="S361" i="3"/>
  <c r="P361" i="3"/>
  <c r="O361" i="3"/>
  <c r="N361" i="3"/>
  <c r="M361" i="3"/>
  <c r="L361" i="3"/>
  <c r="K361" i="3"/>
  <c r="J361" i="3"/>
  <c r="J306" i="7"/>
  <c r="I361" i="3"/>
  <c r="S286" i="3"/>
  <c r="P286" i="3"/>
  <c r="N286" i="3"/>
  <c r="O286" i="3"/>
  <c r="M286" i="3"/>
  <c r="L286" i="3"/>
  <c r="K286" i="3"/>
  <c r="J316" i="7"/>
  <c r="J286" i="3"/>
  <c r="I316" i="7"/>
  <c r="I286" i="3"/>
  <c r="J284" i="7"/>
  <c r="I284" i="7"/>
  <c r="J7" i="7"/>
  <c r="I7" i="7"/>
  <c r="I199" i="7"/>
  <c r="J199" i="7"/>
  <c r="J98" i="7"/>
  <c r="I98" i="7"/>
  <c r="S815" i="3"/>
  <c r="P815" i="3"/>
  <c r="O815" i="3"/>
  <c r="N815" i="3"/>
  <c r="M815" i="3"/>
  <c r="L815" i="3"/>
  <c r="K815" i="3"/>
  <c r="J815" i="3"/>
  <c r="J470" i="7"/>
  <c r="I470" i="7"/>
  <c r="I815" i="3"/>
  <c r="P107" i="3"/>
  <c r="S107" i="3"/>
  <c r="O107" i="3"/>
  <c r="M107" i="3"/>
  <c r="N107" i="3"/>
  <c r="L107" i="3"/>
  <c r="K107" i="3"/>
  <c r="J107" i="3"/>
  <c r="I107" i="3"/>
  <c r="I95" i="7"/>
  <c r="S662" i="3"/>
  <c r="P662" i="3"/>
  <c r="O662" i="3"/>
  <c r="N662" i="3"/>
  <c r="M662" i="3"/>
  <c r="L662" i="3"/>
  <c r="K662" i="3"/>
  <c r="J662" i="3"/>
  <c r="J533" i="7"/>
  <c r="I662" i="3"/>
  <c r="J251" i="7"/>
  <c r="I251" i="7"/>
  <c r="J545" i="7"/>
  <c r="I545" i="7"/>
  <c r="I50" i="7"/>
  <c r="J50" i="7"/>
  <c r="S825" i="3"/>
  <c r="P825" i="3"/>
  <c r="O825" i="3"/>
  <c r="N825" i="3"/>
  <c r="M825" i="3"/>
  <c r="L825" i="3"/>
  <c r="K825" i="3"/>
  <c r="J825" i="3"/>
  <c r="J35" i="7"/>
  <c r="I35" i="7"/>
  <c r="I825" i="3"/>
  <c r="S396" i="3"/>
  <c r="P396" i="3"/>
  <c r="O396" i="3"/>
  <c r="N396" i="3"/>
  <c r="M396" i="3"/>
  <c r="L396" i="3"/>
  <c r="K396" i="3"/>
  <c r="J396" i="3"/>
  <c r="I396" i="3"/>
  <c r="S622" i="3"/>
  <c r="P622" i="3"/>
  <c r="O622" i="3"/>
  <c r="N622" i="3"/>
  <c r="M622" i="3"/>
  <c r="L622" i="3"/>
  <c r="K622" i="3"/>
  <c r="J622" i="3"/>
  <c r="I622" i="3"/>
  <c r="S194" i="3"/>
  <c r="P194" i="3"/>
  <c r="O194" i="3"/>
  <c r="N194" i="3"/>
  <c r="M194" i="3"/>
  <c r="L194" i="3"/>
  <c r="J194" i="3"/>
  <c r="K194" i="3"/>
  <c r="J396" i="7"/>
  <c r="I396" i="7"/>
  <c r="I194" i="3"/>
  <c r="S355" i="3"/>
  <c r="P355" i="3"/>
  <c r="O355" i="3"/>
  <c r="M355" i="3"/>
  <c r="L355" i="3"/>
  <c r="N355" i="3"/>
  <c r="K355" i="3"/>
  <c r="J355" i="3"/>
  <c r="J570" i="7"/>
  <c r="I355" i="3"/>
  <c r="S852" i="3"/>
  <c r="P852" i="3"/>
  <c r="O852" i="3"/>
  <c r="N852" i="3"/>
  <c r="M852" i="3"/>
  <c r="L852" i="3"/>
  <c r="K852" i="3"/>
  <c r="J852" i="3"/>
  <c r="E852" i="3"/>
  <c r="D852" i="3"/>
  <c r="H852" i="3"/>
  <c r="I852" i="3"/>
  <c r="S216" i="3"/>
  <c r="P216" i="3"/>
  <c r="O216" i="3"/>
  <c r="N216" i="3"/>
  <c r="M216" i="3"/>
  <c r="L216" i="3"/>
  <c r="K216" i="3"/>
  <c r="J216" i="3"/>
  <c r="J584" i="7"/>
  <c r="I584" i="7"/>
  <c r="I216" i="3"/>
  <c r="J566" i="7"/>
  <c r="S612" i="3"/>
  <c r="P612" i="3"/>
  <c r="O612" i="3"/>
  <c r="M612" i="3"/>
  <c r="N612" i="3"/>
  <c r="L612" i="3"/>
  <c r="J612" i="3"/>
  <c r="K612" i="3"/>
  <c r="E612" i="3"/>
  <c r="D612" i="3"/>
  <c r="H612" i="3"/>
  <c r="I612" i="3"/>
  <c r="S568" i="3"/>
  <c r="P568" i="3"/>
  <c r="M568" i="3"/>
  <c r="N568" i="3"/>
  <c r="O568" i="3"/>
  <c r="L568" i="3"/>
  <c r="K568" i="3"/>
  <c r="J568" i="3"/>
  <c r="E568" i="3"/>
  <c r="D568" i="3"/>
  <c r="H568" i="3"/>
  <c r="I568" i="3"/>
  <c r="S502" i="3"/>
  <c r="P502" i="3"/>
  <c r="O502" i="3"/>
  <c r="N502" i="3"/>
  <c r="M502" i="3"/>
  <c r="K502" i="3"/>
  <c r="L502" i="3"/>
  <c r="J502" i="3"/>
  <c r="E502" i="3"/>
  <c r="D502" i="3"/>
  <c r="H502" i="3"/>
  <c r="I502" i="3"/>
  <c r="S854" i="3"/>
  <c r="P854" i="3"/>
  <c r="O854" i="3"/>
  <c r="N854" i="3"/>
  <c r="M854" i="3"/>
  <c r="L854" i="3"/>
  <c r="K854" i="3"/>
  <c r="J854" i="3"/>
  <c r="E854" i="3"/>
  <c r="D854" i="3"/>
  <c r="I854" i="3"/>
  <c r="H854" i="3"/>
  <c r="S812" i="3"/>
  <c r="P812" i="3"/>
  <c r="O812" i="3"/>
  <c r="M812" i="3"/>
  <c r="L812" i="3"/>
  <c r="N812" i="3"/>
  <c r="J812" i="3"/>
  <c r="K812" i="3"/>
  <c r="E812" i="3"/>
  <c r="D812" i="3"/>
  <c r="H812" i="3"/>
  <c r="I812" i="3"/>
  <c r="S787" i="3"/>
  <c r="P787" i="3"/>
  <c r="O787" i="3"/>
  <c r="N787" i="3"/>
  <c r="M787" i="3"/>
  <c r="L787" i="3"/>
  <c r="J787" i="3"/>
  <c r="K787" i="3"/>
  <c r="E787" i="3"/>
  <c r="D787" i="3"/>
  <c r="H787" i="3"/>
  <c r="I787" i="3"/>
  <c r="S857" i="3"/>
  <c r="P857" i="3"/>
  <c r="O857" i="3"/>
  <c r="N857" i="3"/>
  <c r="M857" i="3"/>
  <c r="L857" i="3"/>
  <c r="K857" i="3"/>
  <c r="J857" i="3"/>
  <c r="I857" i="3"/>
  <c r="S719" i="3"/>
  <c r="P719" i="3"/>
  <c r="O719" i="3"/>
  <c r="N719" i="3"/>
  <c r="M719" i="3"/>
  <c r="L719" i="3"/>
  <c r="K719" i="3"/>
  <c r="J719" i="3"/>
  <c r="E719" i="3"/>
  <c r="J390" i="7" s="1"/>
  <c r="D719" i="3"/>
  <c r="H719" i="3"/>
  <c r="I719" i="3"/>
  <c r="S320" i="3"/>
  <c r="P320" i="3"/>
  <c r="O320" i="3"/>
  <c r="N320" i="3"/>
  <c r="M320" i="3"/>
  <c r="L320" i="3"/>
  <c r="K320" i="3"/>
  <c r="J320" i="3"/>
  <c r="I320" i="3"/>
  <c r="S592" i="3"/>
  <c r="P592" i="3"/>
  <c r="O592" i="3"/>
  <c r="N592" i="3"/>
  <c r="M592" i="3"/>
  <c r="L592" i="3"/>
  <c r="K592" i="3"/>
  <c r="J592" i="3"/>
  <c r="E592" i="3"/>
  <c r="D592" i="3"/>
  <c r="H592" i="3"/>
  <c r="I592" i="3"/>
  <c r="P378" i="3"/>
  <c r="S378" i="3"/>
  <c r="O378" i="3"/>
  <c r="M378" i="3"/>
  <c r="N378" i="3"/>
  <c r="L378" i="3"/>
  <c r="J378" i="3"/>
  <c r="K378" i="3"/>
  <c r="E378" i="3"/>
  <c r="D378" i="3"/>
  <c r="H378" i="3"/>
  <c r="I378" i="3"/>
  <c r="S805" i="3"/>
  <c r="P805" i="3"/>
  <c r="O805" i="3"/>
  <c r="M805" i="3"/>
  <c r="N805" i="3"/>
  <c r="L805" i="3"/>
  <c r="K805" i="3"/>
  <c r="J805" i="3"/>
  <c r="I805" i="3"/>
  <c r="S685" i="3"/>
  <c r="P685" i="3"/>
  <c r="O685" i="3"/>
  <c r="M685" i="3"/>
  <c r="L685" i="3"/>
  <c r="N685" i="3"/>
  <c r="K685" i="3"/>
  <c r="J685" i="3"/>
  <c r="I685" i="3"/>
  <c r="S470" i="3"/>
  <c r="P470" i="3"/>
  <c r="O470" i="3"/>
  <c r="N470" i="3"/>
  <c r="M470" i="3"/>
  <c r="L470" i="3"/>
  <c r="K470" i="3"/>
  <c r="E470" i="3"/>
  <c r="J470" i="3"/>
  <c r="D470" i="3"/>
  <c r="H470" i="3"/>
  <c r="I470" i="3"/>
  <c r="S527" i="3"/>
  <c r="P527" i="3"/>
  <c r="O527" i="3"/>
  <c r="N527" i="3"/>
  <c r="M527" i="3"/>
  <c r="L527" i="3"/>
  <c r="K527" i="3"/>
  <c r="J527" i="3"/>
  <c r="I527" i="3"/>
  <c r="S60" i="3"/>
  <c r="P60" i="3"/>
  <c r="O60" i="3"/>
  <c r="N60" i="3"/>
  <c r="M60" i="3"/>
  <c r="L60" i="3"/>
  <c r="J60" i="3"/>
  <c r="K60" i="3"/>
  <c r="I60" i="3"/>
  <c r="S430" i="3"/>
  <c r="P430" i="3"/>
  <c r="O430" i="3"/>
  <c r="N430" i="3"/>
  <c r="M430" i="3"/>
  <c r="L430" i="3"/>
  <c r="K430" i="3"/>
  <c r="J430" i="3"/>
  <c r="I430" i="3"/>
  <c r="S717" i="3"/>
  <c r="P717" i="3"/>
  <c r="O717" i="3"/>
  <c r="N717" i="3"/>
  <c r="M717" i="3"/>
  <c r="L717" i="3"/>
  <c r="K717" i="3"/>
  <c r="J717" i="3"/>
  <c r="E717" i="3"/>
  <c r="D717" i="3"/>
  <c r="I717" i="3"/>
  <c r="H717" i="3"/>
  <c r="S844" i="3"/>
  <c r="P844" i="3"/>
  <c r="O844" i="3"/>
  <c r="N844" i="3"/>
  <c r="M844" i="3"/>
  <c r="L844" i="3"/>
  <c r="K844" i="3"/>
  <c r="J844" i="3"/>
  <c r="I844" i="3"/>
  <c r="S293" i="3"/>
  <c r="P293" i="3"/>
  <c r="O293" i="3"/>
  <c r="N293" i="3"/>
  <c r="M293" i="3"/>
  <c r="L293" i="3"/>
  <c r="K293" i="3"/>
  <c r="J293" i="3"/>
  <c r="I293" i="3"/>
  <c r="S6" i="3"/>
  <c r="P6" i="3"/>
  <c r="O6" i="3"/>
  <c r="N6" i="3"/>
  <c r="M6" i="3"/>
  <c r="L6" i="3"/>
  <c r="J6" i="3"/>
  <c r="K6" i="3"/>
  <c r="J519" i="7"/>
  <c r="I6" i="3"/>
  <c r="I519" i="7"/>
  <c r="S631" i="3"/>
  <c r="P631" i="3"/>
  <c r="O631" i="3"/>
  <c r="N631" i="3"/>
  <c r="M631" i="3"/>
  <c r="L631" i="3"/>
  <c r="J631" i="3"/>
  <c r="K631" i="3"/>
  <c r="J596" i="7"/>
  <c r="I631" i="3"/>
  <c r="S228" i="3"/>
  <c r="P228" i="3"/>
  <c r="O228" i="3"/>
  <c r="N228" i="3"/>
  <c r="M228" i="3"/>
  <c r="L228" i="3"/>
  <c r="K228" i="3"/>
  <c r="J228" i="3"/>
  <c r="I228" i="3"/>
  <c r="S887" i="3"/>
  <c r="P887" i="3"/>
  <c r="O887" i="3"/>
  <c r="N887" i="3"/>
  <c r="M887" i="3"/>
  <c r="L887" i="3"/>
  <c r="J887" i="3"/>
  <c r="K887" i="3"/>
  <c r="I887" i="3"/>
  <c r="S324" i="3"/>
  <c r="P324" i="3"/>
  <c r="O324" i="3"/>
  <c r="N324" i="3"/>
  <c r="M324" i="3"/>
  <c r="K324" i="3"/>
  <c r="L324" i="3"/>
  <c r="J324" i="3"/>
  <c r="E324" i="3"/>
  <c r="D324" i="3"/>
  <c r="H324" i="3"/>
  <c r="I324" i="3"/>
  <c r="S625" i="3"/>
  <c r="P625" i="3"/>
  <c r="O625" i="3"/>
  <c r="N625" i="3"/>
  <c r="M625" i="3"/>
  <c r="L625" i="3"/>
  <c r="K625" i="3"/>
  <c r="J625" i="3"/>
  <c r="I625" i="3"/>
  <c r="S420" i="3"/>
  <c r="P420" i="3"/>
  <c r="O420" i="3"/>
  <c r="N420" i="3"/>
  <c r="L420" i="3"/>
  <c r="M420" i="3"/>
  <c r="K420" i="3"/>
  <c r="J420" i="3"/>
  <c r="I420" i="3"/>
  <c r="S562" i="3"/>
  <c r="P562" i="3"/>
  <c r="O562" i="3"/>
  <c r="N562" i="3"/>
  <c r="M562" i="3"/>
  <c r="L562" i="3"/>
  <c r="K562" i="3"/>
  <c r="J562" i="3"/>
  <c r="I562" i="3"/>
  <c r="S666" i="3"/>
  <c r="P666" i="3"/>
  <c r="O666" i="3"/>
  <c r="N666" i="3"/>
  <c r="M666" i="3"/>
  <c r="L666" i="3"/>
  <c r="K666" i="3"/>
  <c r="J666" i="3"/>
  <c r="E666" i="3"/>
  <c r="J513" i="7" s="1"/>
  <c r="D666" i="3"/>
  <c r="I513" i="7" s="1"/>
  <c r="I666" i="3"/>
  <c r="H666" i="3"/>
  <c r="S712" i="3"/>
  <c r="P712" i="3"/>
  <c r="O712" i="3"/>
  <c r="M712" i="3"/>
  <c r="L712" i="3"/>
  <c r="N712" i="3"/>
  <c r="K712" i="3"/>
  <c r="J712" i="3"/>
  <c r="E712" i="3"/>
  <c r="D712" i="3"/>
  <c r="H712" i="3"/>
  <c r="I712" i="3"/>
  <c r="S266" i="3"/>
  <c r="P266" i="3"/>
  <c r="O266" i="3"/>
  <c r="N266" i="3"/>
  <c r="M266" i="3"/>
  <c r="L266" i="3"/>
  <c r="K266" i="3"/>
  <c r="J266" i="3"/>
  <c r="I266" i="3"/>
  <c r="S127" i="3"/>
  <c r="P127" i="3"/>
  <c r="O127" i="3"/>
  <c r="N127" i="3"/>
  <c r="M127" i="3"/>
  <c r="L127" i="3"/>
  <c r="K127" i="3"/>
  <c r="J127" i="3"/>
  <c r="I127" i="3"/>
  <c r="S264" i="3"/>
  <c r="P264" i="3"/>
  <c r="O264" i="3"/>
  <c r="N264" i="3"/>
  <c r="M264" i="3"/>
  <c r="L264" i="3"/>
  <c r="K264" i="3"/>
  <c r="J490" i="7"/>
  <c r="J264" i="3"/>
  <c r="I490" i="7"/>
  <c r="I264" i="3"/>
  <c r="S165" i="3"/>
  <c r="P165" i="3"/>
  <c r="O165" i="3"/>
  <c r="N165" i="3"/>
  <c r="M165" i="3"/>
  <c r="L165" i="3"/>
  <c r="K165" i="3"/>
  <c r="J165" i="3"/>
  <c r="I165" i="3"/>
  <c r="J339" i="7"/>
  <c r="I339" i="7"/>
  <c r="S706" i="3"/>
  <c r="P706" i="3"/>
  <c r="O706" i="3"/>
  <c r="N706" i="3"/>
  <c r="L706" i="3"/>
  <c r="K706" i="3"/>
  <c r="M706" i="3"/>
  <c r="J706" i="3"/>
  <c r="I706" i="3"/>
  <c r="S225" i="3"/>
  <c r="P225" i="3"/>
  <c r="O225" i="3"/>
  <c r="N225" i="3"/>
  <c r="M225" i="3"/>
  <c r="L225" i="3"/>
  <c r="K225" i="3"/>
  <c r="J225" i="3"/>
  <c r="I225" i="3"/>
  <c r="J454" i="7"/>
  <c r="I454" i="7"/>
  <c r="J551" i="7"/>
  <c r="J488" i="7"/>
  <c r="J328" i="7"/>
  <c r="S832" i="3"/>
  <c r="P832" i="3"/>
  <c r="O832" i="3"/>
  <c r="N832" i="3"/>
  <c r="M832" i="3"/>
  <c r="K832" i="3"/>
  <c r="L832" i="3"/>
  <c r="J832" i="3"/>
  <c r="I832" i="3"/>
  <c r="S551" i="3"/>
  <c r="P551" i="3"/>
  <c r="O551" i="3"/>
  <c r="N551" i="3"/>
  <c r="L551" i="3"/>
  <c r="M551" i="3"/>
  <c r="K551" i="3"/>
  <c r="J551" i="3"/>
  <c r="I551" i="3"/>
  <c r="S139" i="3"/>
  <c r="P139" i="3"/>
  <c r="N139" i="3"/>
  <c r="O139" i="3"/>
  <c r="L139" i="3"/>
  <c r="M139" i="3"/>
  <c r="J139" i="3"/>
  <c r="K139" i="3"/>
  <c r="J556" i="7"/>
  <c r="I556" i="7"/>
  <c r="I139" i="3"/>
  <c r="J261" i="7"/>
  <c r="I261" i="7"/>
  <c r="I501" i="7"/>
  <c r="J501" i="7"/>
  <c r="S660" i="3"/>
  <c r="P660" i="3"/>
  <c r="O660" i="3"/>
  <c r="N660" i="3"/>
  <c r="M660" i="3"/>
  <c r="L660" i="3"/>
  <c r="J660" i="3"/>
  <c r="K660" i="3"/>
  <c r="I357" i="7"/>
  <c r="J357" i="7"/>
  <c r="I660" i="3"/>
  <c r="I307" i="7"/>
  <c r="J307" i="7"/>
  <c r="J418" i="7"/>
  <c r="I418" i="7"/>
  <c r="S394" i="3"/>
  <c r="P394" i="3"/>
  <c r="O394" i="3"/>
  <c r="N394" i="3"/>
  <c r="M394" i="3"/>
  <c r="L394" i="3"/>
  <c r="K394" i="3"/>
  <c r="J394" i="3"/>
  <c r="I325" i="7"/>
  <c r="J325" i="7"/>
  <c r="I394" i="3"/>
  <c r="S693" i="3"/>
  <c r="P693" i="3"/>
  <c r="O693" i="3"/>
  <c r="N693" i="3"/>
  <c r="M693" i="3"/>
  <c r="K693" i="3"/>
  <c r="L693" i="3"/>
  <c r="J693" i="3"/>
  <c r="J308" i="7"/>
  <c r="I308" i="7"/>
  <c r="I693" i="3"/>
  <c r="I366" i="7"/>
  <c r="J366" i="7"/>
  <c r="I114" i="7"/>
  <c r="J114" i="7"/>
  <c r="S19" i="3"/>
  <c r="P19" i="3"/>
  <c r="N19" i="3"/>
  <c r="O19" i="3"/>
  <c r="M19" i="3"/>
  <c r="L19" i="3"/>
  <c r="K19" i="3"/>
  <c r="J19" i="3"/>
  <c r="J272" i="7"/>
  <c r="I272" i="7"/>
  <c r="I19" i="3"/>
  <c r="S413" i="3"/>
  <c r="P413" i="3"/>
  <c r="O413" i="3"/>
  <c r="N413" i="3"/>
  <c r="M413" i="3"/>
  <c r="L413" i="3"/>
  <c r="K413" i="3"/>
  <c r="J413" i="3"/>
  <c r="I413" i="3"/>
  <c r="S203" i="3"/>
  <c r="P203" i="3"/>
  <c r="O203" i="3"/>
  <c r="N203" i="3"/>
  <c r="M203" i="3"/>
  <c r="L203" i="3"/>
  <c r="K203" i="3"/>
  <c r="J203" i="3"/>
  <c r="J274" i="7"/>
  <c r="I274" i="7"/>
  <c r="I203" i="3"/>
  <c r="J210" i="7"/>
  <c r="I210" i="7"/>
  <c r="S542" i="3"/>
  <c r="P542" i="3"/>
  <c r="O542" i="3"/>
  <c r="N542" i="3"/>
  <c r="M542" i="3"/>
  <c r="L542" i="3"/>
  <c r="K542" i="3"/>
  <c r="J542" i="3"/>
  <c r="E542" i="3"/>
  <c r="D542" i="3"/>
  <c r="H542" i="3"/>
  <c r="I542" i="3"/>
  <c r="S541" i="3"/>
  <c r="P541" i="3"/>
  <c r="O541" i="3"/>
  <c r="M541" i="3"/>
  <c r="N541" i="3"/>
  <c r="L541" i="3"/>
  <c r="J541" i="3"/>
  <c r="K541" i="3"/>
  <c r="E541" i="3"/>
  <c r="D541" i="3"/>
  <c r="H541" i="3"/>
  <c r="I541" i="3"/>
  <c r="I180" i="7"/>
  <c r="J539" i="7"/>
  <c r="I539" i="7"/>
  <c r="S59" i="3"/>
  <c r="P59" i="3"/>
  <c r="O59" i="3"/>
  <c r="N59" i="3"/>
  <c r="M59" i="3"/>
  <c r="L59" i="3"/>
  <c r="K59" i="3"/>
  <c r="J59" i="3"/>
  <c r="I59" i="3"/>
  <c r="S570" i="3"/>
  <c r="P570" i="3"/>
  <c r="O570" i="3"/>
  <c r="N570" i="3"/>
  <c r="M570" i="3"/>
  <c r="L570" i="3"/>
  <c r="K570" i="3"/>
  <c r="J570" i="3"/>
  <c r="J222" i="7"/>
  <c r="I570" i="3"/>
  <c r="S843" i="3"/>
  <c r="P843" i="3"/>
  <c r="O843" i="3"/>
  <c r="N843" i="3"/>
  <c r="M843" i="3"/>
  <c r="L843" i="3"/>
  <c r="K843" i="3"/>
  <c r="J843" i="3"/>
  <c r="I843" i="3"/>
  <c r="S358" i="3"/>
  <c r="P358" i="3"/>
  <c r="O358" i="3"/>
  <c r="N358" i="3"/>
  <c r="M358" i="3"/>
  <c r="L358" i="3"/>
  <c r="J358" i="3"/>
  <c r="K358" i="3"/>
  <c r="I196" i="7"/>
  <c r="J196" i="7"/>
  <c r="I358" i="3"/>
  <c r="S135" i="3"/>
  <c r="P135" i="3"/>
  <c r="O135" i="3"/>
  <c r="N135" i="3"/>
  <c r="M135" i="3"/>
  <c r="L135" i="3"/>
  <c r="J135" i="3"/>
  <c r="K135" i="3"/>
  <c r="J235" i="7"/>
  <c r="I135" i="3"/>
  <c r="S230" i="3"/>
  <c r="P230" i="3"/>
  <c r="O230" i="3"/>
  <c r="N230" i="3"/>
  <c r="M230" i="3"/>
  <c r="K230" i="3"/>
  <c r="L230" i="3"/>
  <c r="J230" i="3"/>
  <c r="J345" i="7"/>
  <c r="I230" i="3"/>
  <c r="S698" i="3"/>
  <c r="P698" i="3"/>
  <c r="N698" i="3"/>
  <c r="O698" i="3"/>
  <c r="M698" i="3"/>
  <c r="L698" i="3"/>
  <c r="J698" i="3"/>
  <c r="K698" i="3"/>
  <c r="E698" i="3"/>
  <c r="J463" i="7" s="1"/>
  <c r="D698" i="3"/>
  <c r="I463" i="7" s="1"/>
  <c r="H698" i="3"/>
  <c r="I698" i="3"/>
  <c r="S839" i="3"/>
  <c r="P839" i="3"/>
  <c r="O839" i="3"/>
  <c r="N839" i="3"/>
  <c r="M839" i="3"/>
  <c r="L839" i="3"/>
  <c r="K839" i="3"/>
  <c r="J839" i="3"/>
  <c r="E839" i="3"/>
  <c r="D839" i="3"/>
  <c r="H839" i="3"/>
  <c r="I839" i="3"/>
  <c r="S655" i="3"/>
  <c r="P655" i="3"/>
  <c r="O655" i="3"/>
  <c r="M655" i="3"/>
  <c r="N655" i="3"/>
  <c r="L655" i="3"/>
  <c r="J655" i="3"/>
  <c r="K655" i="3"/>
  <c r="E655" i="3"/>
  <c r="D655" i="3"/>
  <c r="H655" i="3"/>
  <c r="I655" i="3"/>
  <c r="S67" i="3"/>
  <c r="P67" i="3"/>
  <c r="O67" i="3"/>
  <c r="N67" i="3"/>
  <c r="M67" i="3"/>
  <c r="L67" i="3"/>
  <c r="K67" i="3"/>
  <c r="J67" i="3"/>
  <c r="J340" i="7"/>
  <c r="I340" i="7"/>
  <c r="I67" i="3"/>
  <c r="J456" i="7"/>
  <c r="I456" i="7"/>
  <c r="S480" i="3"/>
  <c r="P480" i="3"/>
  <c r="O480" i="3"/>
  <c r="N480" i="3"/>
  <c r="M480" i="3"/>
  <c r="K480" i="3"/>
  <c r="L480" i="3"/>
  <c r="J480" i="3"/>
  <c r="E480" i="3"/>
  <c r="D480" i="3"/>
  <c r="H480" i="3"/>
  <c r="I480" i="3"/>
  <c r="S762" i="3"/>
  <c r="P762" i="3"/>
  <c r="N762" i="3"/>
  <c r="O762" i="3"/>
  <c r="M762" i="3"/>
  <c r="L762" i="3"/>
  <c r="K762" i="3"/>
  <c r="J762" i="3"/>
  <c r="I762" i="3"/>
  <c r="J580" i="7"/>
  <c r="J534" i="7"/>
  <c r="J422" i="7"/>
  <c r="S447" i="3"/>
  <c r="P447" i="3"/>
  <c r="O447" i="3"/>
  <c r="N447" i="3"/>
  <c r="M447" i="3"/>
  <c r="L447" i="3"/>
  <c r="K447" i="3"/>
  <c r="J447" i="3"/>
  <c r="J296" i="7"/>
  <c r="I447" i="3"/>
  <c r="S601" i="3"/>
  <c r="P601" i="3"/>
  <c r="O601" i="3"/>
  <c r="M601" i="3"/>
  <c r="L601" i="3"/>
  <c r="N601" i="3"/>
  <c r="K601" i="3"/>
  <c r="J601" i="3"/>
  <c r="E601" i="3"/>
  <c r="J288" i="7" s="1"/>
  <c r="D601" i="3"/>
  <c r="H601" i="3"/>
  <c r="I601" i="3"/>
  <c r="S841" i="3"/>
  <c r="P841" i="3"/>
  <c r="O841" i="3"/>
  <c r="N841" i="3"/>
  <c r="M841" i="3"/>
  <c r="L841" i="3"/>
  <c r="K841" i="3"/>
  <c r="E841" i="3"/>
  <c r="J417" i="7" s="1"/>
  <c r="J841" i="3"/>
  <c r="D841" i="3"/>
  <c r="I417" i="7" s="1"/>
  <c r="H841" i="3"/>
  <c r="I841" i="3"/>
  <c r="I59" i="7"/>
  <c r="J59" i="7"/>
  <c r="S819" i="3"/>
  <c r="P819" i="3"/>
  <c r="O819" i="3"/>
  <c r="N819" i="3"/>
  <c r="M819" i="3"/>
  <c r="L819" i="3"/>
  <c r="K819" i="3"/>
  <c r="J819" i="3"/>
  <c r="J94" i="7"/>
  <c r="I819" i="3"/>
  <c r="I44" i="7"/>
  <c r="J44" i="7"/>
  <c r="S49" i="3"/>
  <c r="P49" i="3"/>
  <c r="O49" i="3"/>
  <c r="N49" i="3"/>
  <c r="M49" i="3"/>
  <c r="L49" i="3"/>
  <c r="K49" i="3"/>
  <c r="J49" i="3"/>
  <c r="I49" i="3"/>
  <c r="S866" i="3"/>
  <c r="P866" i="3"/>
  <c r="O866" i="3"/>
  <c r="N866" i="3"/>
  <c r="M866" i="3"/>
  <c r="L866" i="3"/>
  <c r="K866" i="3"/>
  <c r="J866" i="3"/>
  <c r="J164" i="7"/>
  <c r="I866" i="3"/>
  <c r="S348" i="3"/>
  <c r="P348" i="3"/>
  <c r="O348" i="3"/>
  <c r="N348" i="3"/>
  <c r="M348" i="3"/>
  <c r="K348" i="3"/>
  <c r="L348" i="3"/>
  <c r="J348" i="3"/>
  <c r="E348" i="3"/>
  <c r="J402" i="7" s="1"/>
  <c r="D348" i="3"/>
  <c r="H348" i="3"/>
  <c r="I348" i="3"/>
  <c r="S563" i="3"/>
  <c r="P563" i="3"/>
  <c r="N563" i="3"/>
  <c r="M563" i="3"/>
  <c r="O563" i="3"/>
  <c r="L563" i="3"/>
  <c r="J563" i="3"/>
  <c r="K563" i="3"/>
  <c r="D563" i="3"/>
  <c r="E563" i="3"/>
  <c r="H563" i="3"/>
  <c r="I563" i="3"/>
  <c r="S607" i="3"/>
  <c r="P607" i="3"/>
  <c r="O607" i="3"/>
  <c r="N607" i="3"/>
  <c r="M607" i="3"/>
  <c r="K607" i="3"/>
  <c r="J607" i="3"/>
  <c r="L607" i="3"/>
  <c r="E607" i="3"/>
  <c r="J344" i="7" s="1"/>
  <c r="D607" i="3"/>
  <c r="H607" i="3"/>
  <c r="I607" i="3"/>
  <c r="S671" i="3"/>
  <c r="P671" i="3"/>
  <c r="O671" i="3"/>
  <c r="N671" i="3"/>
  <c r="M671" i="3"/>
  <c r="L671" i="3"/>
  <c r="K671" i="3"/>
  <c r="J671" i="3"/>
  <c r="E671" i="3"/>
  <c r="D671" i="3"/>
  <c r="H671" i="3"/>
  <c r="I671" i="3"/>
  <c r="S353" i="3"/>
  <c r="P353" i="3"/>
  <c r="O353" i="3"/>
  <c r="N353" i="3"/>
  <c r="M353" i="3"/>
  <c r="L353" i="3"/>
  <c r="K353" i="3"/>
  <c r="J353" i="3"/>
  <c r="I353" i="3"/>
  <c r="J187" i="7"/>
  <c r="I187" i="7"/>
  <c r="S792" i="3"/>
  <c r="P792" i="3"/>
  <c r="O792" i="3"/>
  <c r="N792" i="3"/>
  <c r="M792" i="3"/>
  <c r="L792" i="3"/>
  <c r="K792" i="3"/>
  <c r="J792" i="3"/>
  <c r="I792" i="3"/>
  <c r="S517" i="3"/>
  <c r="P517" i="3"/>
  <c r="O517" i="3"/>
  <c r="N517" i="3"/>
  <c r="M517" i="3"/>
  <c r="L517" i="3"/>
  <c r="J517" i="3"/>
  <c r="K517" i="3"/>
  <c r="D517" i="3"/>
  <c r="E517" i="3"/>
  <c r="H517" i="3"/>
  <c r="I517" i="3"/>
  <c r="J365" i="7"/>
  <c r="S197" i="3"/>
  <c r="P197" i="3"/>
  <c r="O197" i="3"/>
  <c r="M197" i="3"/>
  <c r="N197" i="3"/>
  <c r="L197" i="3"/>
  <c r="J197" i="3"/>
  <c r="K197" i="3"/>
  <c r="J589" i="7"/>
  <c r="I197" i="3"/>
  <c r="S382" i="3"/>
  <c r="P382" i="3"/>
  <c r="M382" i="3"/>
  <c r="O382" i="3"/>
  <c r="L382" i="3"/>
  <c r="N382" i="3"/>
  <c r="K382" i="3"/>
  <c r="J382" i="3"/>
  <c r="J136" i="7"/>
  <c r="I136" i="7"/>
  <c r="I382" i="3"/>
  <c r="I587" i="7"/>
  <c r="J587" i="7"/>
  <c r="S713" i="3"/>
  <c r="P713" i="3"/>
  <c r="O713" i="3"/>
  <c r="N713" i="3"/>
  <c r="M713" i="3"/>
  <c r="L713" i="3"/>
  <c r="K713" i="3"/>
  <c r="J713" i="3"/>
  <c r="E713" i="3"/>
  <c r="D713" i="3"/>
  <c r="H713" i="3"/>
  <c r="I713" i="3"/>
  <c r="S678" i="3"/>
  <c r="P678" i="3"/>
  <c r="O678" i="3"/>
  <c r="N678" i="3"/>
  <c r="M678" i="3"/>
  <c r="L678" i="3"/>
  <c r="J678" i="3"/>
  <c r="K678" i="3"/>
  <c r="E678" i="3"/>
  <c r="D678" i="3"/>
  <c r="I678" i="3"/>
  <c r="H678" i="3"/>
  <c r="S613" i="3"/>
  <c r="P613" i="3"/>
  <c r="O613" i="3"/>
  <c r="N613" i="3"/>
  <c r="L613" i="3"/>
  <c r="M613" i="3"/>
  <c r="K613" i="3"/>
  <c r="J613" i="3"/>
  <c r="E613" i="3"/>
  <c r="D613" i="3"/>
  <c r="H613" i="3"/>
  <c r="I613" i="3"/>
  <c r="S514" i="3"/>
  <c r="P514" i="3"/>
  <c r="O514" i="3"/>
  <c r="N514" i="3"/>
  <c r="M514" i="3"/>
  <c r="L514" i="3"/>
  <c r="K514" i="3"/>
  <c r="J514" i="3"/>
  <c r="E514" i="3"/>
  <c r="D514" i="3"/>
  <c r="H514" i="3"/>
  <c r="I514" i="3"/>
  <c r="S486" i="3"/>
  <c r="P486" i="3"/>
  <c r="O486" i="3"/>
  <c r="N486" i="3"/>
  <c r="M486" i="3"/>
  <c r="L486" i="3"/>
  <c r="K486" i="3"/>
  <c r="J486" i="3"/>
  <c r="E486" i="3"/>
  <c r="D486" i="3"/>
  <c r="H486" i="3"/>
  <c r="I486" i="3"/>
  <c r="S850" i="3"/>
  <c r="P850" i="3"/>
  <c r="O850" i="3"/>
  <c r="M850" i="3"/>
  <c r="N850" i="3"/>
  <c r="L850" i="3"/>
  <c r="K850" i="3"/>
  <c r="J850" i="3"/>
  <c r="E850" i="3"/>
  <c r="D850" i="3"/>
  <c r="H850" i="3"/>
  <c r="I850" i="3"/>
  <c r="S15" i="3"/>
  <c r="P15" i="3"/>
  <c r="O15" i="3"/>
  <c r="N15" i="3"/>
  <c r="M15" i="3"/>
  <c r="L15" i="3"/>
  <c r="K15" i="3"/>
  <c r="J15" i="3"/>
  <c r="I15" i="3"/>
  <c r="P479" i="3"/>
  <c r="S479" i="3"/>
  <c r="O479" i="3"/>
  <c r="M479" i="3"/>
  <c r="N479" i="3"/>
  <c r="L479" i="3"/>
  <c r="J479" i="3"/>
  <c r="K479" i="3"/>
  <c r="I479" i="3"/>
  <c r="S26" i="3"/>
  <c r="P26" i="3"/>
  <c r="O26" i="3"/>
  <c r="M26" i="3"/>
  <c r="N26" i="3"/>
  <c r="L26" i="3"/>
  <c r="K26" i="3"/>
  <c r="J26" i="3"/>
  <c r="I26" i="3"/>
  <c r="S714" i="3"/>
  <c r="P714" i="3"/>
  <c r="O714" i="3"/>
  <c r="N714" i="3"/>
  <c r="M714" i="3"/>
  <c r="L714" i="3"/>
  <c r="J714" i="3"/>
  <c r="K714" i="3"/>
  <c r="E714" i="3"/>
  <c r="D714" i="3"/>
  <c r="I714" i="3"/>
  <c r="H714" i="3"/>
  <c r="S643" i="3"/>
  <c r="P643" i="3"/>
  <c r="O643" i="3"/>
  <c r="N643" i="3"/>
  <c r="M643" i="3"/>
  <c r="L643" i="3"/>
  <c r="K643" i="3"/>
  <c r="J643" i="3"/>
  <c r="E643" i="3"/>
  <c r="J480" i="7" s="1"/>
  <c r="D643" i="3"/>
  <c r="H643" i="3"/>
  <c r="I643" i="3"/>
  <c r="S559" i="3"/>
  <c r="P559" i="3"/>
  <c r="O559" i="3"/>
  <c r="N559" i="3"/>
  <c r="M559" i="3"/>
  <c r="L559" i="3"/>
  <c r="K559" i="3"/>
  <c r="J559" i="3"/>
  <c r="E559" i="3"/>
  <c r="D559" i="3"/>
  <c r="H559" i="3"/>
  <c r="I559" i="3"/>
  <c r="S552" i="3"/>
  <c r="P552" i="3"/>
  <c r="O552" i="3"/>
  <c r="M552" i="3"/>
  <c r="N552" i="3"/>
  <c r="L552" i="3"/>
  <c r="J552" i="3"/>
  <c r="K552" i="3"/>
  <c r="E552" i="3"/>
  <c r="D552" i="3"/>
  <c r="H552" i="3"/>
  <c r="I552" i="3"/>
  <c r="S476" i="3"/>
  <c r="P476" i="3"/>
  <c r="O476" i="3"/>
  <c r="M476" i="3"/>
  <c r="N476" i="3"/>
  <c r="L476" i="3"/>
  <c r="J476" i="3"/>
  <c r="K476" i="3"/>
  <c r="E476" i="3"/>
  <c r="D476" i="3"/>
  <c r="H476" i="3"/>
  <c r="I476" i="3"/>
  <c r="S421" i="3"/>
  <c r="P421" i="3"/>
  <c r="O421" i="3"/>
  <c r="N421" i="3"/>
  <c r="M421" i="3"/>
  <c r="K421" i="3"/>
  <c r="L421" i="3"/>
  <c r="J421" i="3"/>
  <c r="E421" i="3"/>
  <c r="D421" i="3"/>
  <c r="H421" i="3"/>
  <c r="I421" i="3"/>
  <c r="S412" i="3"/>
  <c r="P412" i="3"/>
  <c r="O412" i="3"/>
  <c r="N412" i="3"/>
  <c r="M412" i="3"/>
  <c r="L412" i="3"/>
  <c r="K412" i="3"/>
  <c r="J412" i="3"/>
  <c r="E412" i="3"/>
  <c r="D412" i="3"/>
  <c r="H412" i="3"/>
  <c r="I412" i="3"/>
  <c r="S769" i="3"/>
  <c r="P769" i="3"/>
  <c r="O769" i="3"/>
  <c r="N769" i="3"/>
  <c r="L769" i="3"/>
  <c r="M769" i="3"/>
  <c r="K769" i="3"/>
  <c r="J769" i="3"/>
  <c r="I769" i="3"/>
  <c r="S325" i="3"/>
  <c r="P325" i="3"/>
  <c r="O325" i="3"/>
  <c r="N325" i="3"/>
  <c r="M325" i="3"/>
  <c r="L325" i="3"/>
  <c r="K325" i="3"/>
  <c r="J325" i="3"/>
  <c r="I325" i="3"/>
  <c r="S342" i="3"/>
  <c r="P342" i="3"/>
  <c r="O342" i="3"/>
  <c r="N342" i="3"/>
  <c r="M342" i="3"/>
  <c r="L342" i="3"/>
  <c r="K342" i="3"/>
  <c r="J342" i="3"/>
  <c r="I342" i="3"/>
  <c r="S640" i="3"/>
  <c r="P640" i="3"/>
  <c r="O640" i="3"/>
  <c r="M640" i="3"/>
  <c r="N640" i="3"/>
  <c r="L640" i="3"/>
  <c r="J640" i="3"/>
  <c r="K640" i="3"/>
  <c r="D640" i="3"/>
  <c r="E640" i="3"/>
  <c r="H640" i="3"/>
  <c r="I640" i="3"/>
  <c r="S94" i="3"/>
  <c r="P94" i="3"/>
  <c r="O94" i="3"/>
  <c r="N94" i="3"/>
  <c r="M94" i="3"/>
  <c r="L94" i="3"/>
  <c r="K94" i="3"/>
  <c r="J94" i="3"/>
  <c r="I94" i="3"/>
  <c r="S270" i="3"/>
  <c r="P270" i="3"/>
  <c r="O270" i="3"/>
  <c r="N270" i="3"/>
  <c r="M270" i="3"/>
  <c r="L270" i="3"/>
  <c r="K270" i="3"/>
  <c r="J270" i="3"/>
  <c r="I270" i="3"/>
  <c r="S61" i="3"/>
  <c r="P61" i="3"/>
  <c r="M61" i="3"/>
  <c r="O61" i="3"/>
  <c r="N61" i="3"/>
  <c r="L61" i="3"/>
  <c r="K61" i="3"/>
  <c r="J61" i="3"/>
  <c r="I61" i="3"/>
  <c r="S137" i="3"/>
  <c r="P137" i="3"/>
  <c r="O137" i="3"/>
  <c r="M137" i="3"/>
  <c r="N137" i="3"/>
  <c r="L137" i="3"/>
  <c r="J137" i="3"/>
  <c r="K137" i="3"/>
  <c r="I137" i="3"/>
  <c r="S16" i="3"/>
  <c r="P16" i="3"/>
  <c r="O16" i="3"/>
  <c r="N16" i="3"/>
  <c r="M16" i="3"/>
  <c r="L16" i="3"/>
  <c r="K16" i="3"/>
  <c r="J16" i="3"/>
  <c r="I16" i="3"/>
  <c r="S465" i="3"/>
  <c r="P465" i="3"/>
  <c r="O465" i="3"/>
  <c r="M465" i="3"/>
  <c r="N465" i="3"/>
  <c r="L465" i="3"/>
  <c r="J465" i="3"/>
  <c r="K465" i="3"/>
  <c r="I465" i="3"/>
  <c r="S129" i="3"/>
  <c r="P129" i="3"/>
  <c r="O129" i="3"/>
  <c r="N129" i="3"/>
  <c r="M129" i="3"/>
  <c r="L129" i="3"/>
  <c r="K129" i="3"/>
  <c r="J129" i="3"/>
  <c r="E129" i="3"/>
  <c r="D129" i="3"/>
  <c r="H129" i="3"/>
  <c r="I129" i="3"/>
  <c r="S739" i="3"/>
  <c r="P739" i="3"/>
  <c r="O739" i="3"/>
  <c r="N739" i="3"/>
  <c r="M739" i="3"/>
  <c r="K739" i="3"/>
  <c r="L739" i="3"/>
  <c r="J739" i="3"/>
  <c r="I739" i="3"/>
  <c r="S155" i="3"/>
  <c r="P155" i="3"/>
  <c r="N155" i="3"/>
  <c r="M155" i="3"/>
  <c r="O155" i="3"/>
  <c r="L155" i="3"/>
  <c r="J155" i="3"/>
  <c r="K155" i="3"/>
  <c r="I155" i="3"/>
  <c r="P680" i="3"/>
  <c r="S680" i="3"/>
  <c r="N680" i="3"/>
  <c r="M680" i="3"/>
  <c r="O680" i="3"/>
  <c r="L680" i="3"/>
  <c r="J680" i="3"/>
  <c r="K680" i="3"/>
  <c r="I680" i="3"/>
  <c r="S439" i="3"/>
  <c r="P439" i="3"/>
  <c r="O439" i="3"/>
  <c r="N439" i="3"/>
  <c r="M439" i="3"/>
  <c r="L439" i="3"/>
  <c r="K439" i="3"/>
  <c r="J439" i="3"/>
  <c r="I439" i="3"/>
  <c r="S309" i="3"/>
  <c r="P309" i="3"/>
  <c r="O309" i="3"/>
  <c r="N309" i="3"/>
  <c r="M309" i="3"/>
  <c r="L309" i="3"/>
  <c r="K309" i="3"/>
  <c r="J309" i="3"/>
  <c r="I309" i="3"/>
  <c r="S149" i="3"/>
  <c r="P149" i="3"/>
  <c r="M149" i="3"/>
  <c r="O149" i="3"/>
  <c r="L149" i="3"/>
  <c r="N149" i="3"/>
  <c r="J149" i="3"/>
  <c r="K149" i="3"/>
  <c r="J522" i="7"/>
  <c r="I522" i="7"/>
  <c r="I149" i="3"/>
  <c r="S636" i="3"/>
  <c r="P636" i="3"/>
  <c r="O636" i="3"/>
  <c r="N636" i="3"/>
  <c r="K636" i="3"/>
  <c r="M636" i="3"/>
  <c r="L636" i="3"/>
  <c r="J636" i="3"/>
  <c r="J452" i="7"/>
  <c r="I636" i="3"/>
  <c r="S72" i="3"/>
  <c r="P72" i="3"/>
  <c r="N72" i="3"/>
  <c r="O72" i="3"/>
  <c r="M72" i="3"/>
  <c r="L72" i="3"/>
  <c r="K72" i="3"/>
  <c r="J72" i="3"/>
  <c r="I72" i="3"/>
  <c r="S840" i="3"/>
  <c r="P840" i="3"/>
  <c r="O840" i="3"/>
  <c r="N840" i="3"/>
  <c r="M840" i="3"/>
  <c r="L840" i="3"/>
  <c r="K840" i="3"/>
  <c r="J840" i="3"/>
  <c r="E840" i="3"/>
  <c r="J406" i="7" s="1"/>
  <c r="D840" i="3"/>
  <c r="H840" i="3"/>
  <c r="I840" i="3"/>
  <c r="J499" i="7"/>
  <c r="S295" i="3"/>
  <c r="P295" i="3"/>
  <c r="O295" i="3"/>
  <c r="N295" i="3"/>
  <c r="L295" i="3"/>
  <c r="M295" i="3"/>
  <c r="K295" i="3"/>
  <c r="J295" i="3"/>
  <c r="I295" i="3"/>
  <c r="S260" i="3"/>
  <c r="P260" i="3"/>
  <c r="O260" i="3"/>
  <c r="N260" i="3"/>
  <c r="M260" i="3"/>
  <c r="L260" i="3"/>
  <c r="K260" i="3"/>
  <c r="J260" i="3"/>
  <c r="I260" i="3"/>
  <c r="S684" i="3"/>
  <c r="P684" i="3"/>
  <c r="O684" i="3"/>
  <c r="N684" i="3"/>
  <c r="M684" i="3"/>
  <c r="L684" i="3"/>
  <c r="K684" i="3"/>
  <c r="J684" i="3"/>
  <c r="E684" i="3"/>
  <c r="J427" i="7" s="1"/>
  <c r="D684" i="3"/>
  <c r="H684" i="3"/>
  <c r="I684" i="3"/>
  <c r="S806" i="3"/>
  <c r="P806" i="3"/>
  <c r="O806" i="3"/>
  <c r="N806" i="3"/>
  <c r="M806" i="3"/>
  <c r="L806" i="3"/>
  <c r="K806" i="3"/>
  <c r="J806" i="3"/>
  <c r="I806" i="3"/>
  <c r="S489" i="3"/>
  <c r="P489" i="3"/>
  <c r="O489" i="3"/>
  <c r="N489" i="3"/>
  <c r="M489" i="3"/>
  <c r="L489" i="3"/>
  <c r="K489" i="3"/>
  <c r="J489" i="3"/>
  <c r="J283" i="7"/>
  <c r="I489" i="3"/>
  <c r="S409" i="3"/>
  <c r="P409" i="3"/>
  <c r="O409" i="3"/>
  <c r="N409" i="3"/>
  <c r="M409" i="3"/>
  <c r="L409" i="3"/>
  <c r="K409" i="3"/>
  <c r="J409" i="3"/>
  <c r="I409" i="3"/>
  <c r="J486" i="7"/>
  <c r="S522" i="3"/>
  <c r="P522" i="3"/>
  <c r="O522" i="3"/>
  <c r="N522" i="3"/>
  <c r="M522" i="3"/>
  <c r="L522" i="3"/>
  <c r="K522" i="3"/>
  <c r="J522" i="3"/>
  <c r="J253" i="7"/>
  <c r="I522" i="3"/>
  <c r="J145" i="7"/>
  <c r="J246" i="7"/>
  <c r="S20" i="3"/>
  <c r="P20" i="3"/>
  <c r="O20" i="3"/>
  <c r="N20" i="3"/>
  <c r="M20" i="3"/>
  <c r="L20" i="3"/>
  <c r="K20" i="3"/>
  <c r="J20" i="3"/>
  <c r="I157" i="7"/>
  <c r="J157" i="7"/>
  <c r="I20" i="3"/>
  <c r="S82" i="3"/>
  <c r="P82" i="3"/>
  <c r="O82" i="3"/>
  <c r="N82" i="3"/>
  <c r="M82" i="3"/>
  <c r="L82" i="3"/>
  <c r="K82" i="3"/>
  <c r="J82" i="3"/>
  <c r="J516" i="7"/>
  <c r="I82" i="3"/>
  <c r="J116" i="7"/>
  <c r="I158" i="7"/>
  <c r="J158" i="7"/>
  <c r="I130" i="7"/>
  <c r="J130" i="7"/>
  <c r="I134" i="7"/>
  <c r="J134" i="7"/>
  <c r="J227" i="7"/>
  <c r="S780" i="3"/>
  <c r="P780" i="3"/>
  <c r="O780" i="3"/>
  <c r="N780" i="3"/>
  <c r="L780" i="3"/>
  <c r="M780" i="3"/>
  <c r="K780" i="3"/>
  <c r="J780" i="3"/>
  <c r="J166" i="7"/>
  <c r="I780" i="3"/>
  <c r="S390" i="3"/>
  <c r="P390" i="3"/>
  <c r="N390" i="3"/>
  <c r="O390" i="3"/>
  <c r="M390" i="3"/>
  <c r="L390" i="3"/>
  <c r="K390" i="3"/>
  <c r="J390" i="3"/>
  <c r="J64" i="7"/>
  <c r="I64" i="7"/>
  <c r="I390" i="3"/>
  <c r="S298" i="3"/>
  <c r="P298" i="3"/>
  <c r="O298" i="3"/>
  <c r="N298" i="3"/>
  <c r="M298" i="3"/>
  <c r="L298" i="3"/>
  <c r="K298" i="3"/>
  <c r="J298" i="3"/>
  <c r="I298" i="3"/>
  <c r="I48" i="7"/>
  <c r="J48" i="7"/>
  <c r="S646" i="3"/>
  <c r="P646" i="3"/>
  <c r="O646" i="3"/>
  <c r="N646" i="3"/>
  <c r="L646" i="3"/>
  <c r="M646" i="3"/>
  <c r="K646" i="3"/>
  <c r="J646" i="3"/>
  <c r="J139" i="7"/>
  <c r="I139" i="7"/>
  <c r="I646" i="3"/>
  <c r="S239" i="3"/>
  <c r="P239" i="3"/>
  <c r="O239" i="3"/>
  <c r="N239" i="3"/>
  <c r="M239" i="3"/>
  <c r="L239" i="3"/>
  <c r="K239" i="3"/>
  <c r="J239" i="3"/>
  <c r="J36" i="7"/>
  <c r="I36" i="7"/>
  <c r="I239" i="3"/>
  <c r="S700" i="3"/>
  <c r="P700" i="3"/>
  <c r="O700" i="3"/>
  <c r="N700" i="3"/>
  <c r="M700" i="3"/>
  <c r="L700" i="3"/>
  <c r="K700" i="3"/>
  <c r="J700" i="3"/>
  <c r="D700" i="3"/>
  <c r="I108" i="7" s="1"/>
  <c r="E700" i="3"/>
  <c r="J108" i="7" s="1"/>
  <c r="H700" i="3"/>
  <c r="I700" i="3"/>
  <c r="J115" i="7"/>
  <c r="I115" i="7"/>
  <c r="S736" i="3"/>
  <c r="P736" i="3"/>
  <c r="O736" i="3"/>
  <c r="N736" i="3"/>
  <c r="M736" i="3"/>
  <c r="L736" i="3"/>
  <c r="J736" i="3"/>
  <c r="K736" i="3"/>
  <c r="E736" i="3"/>
  <c r="D736" i="3"/>
  <c r="I736" i="3"/>
  <c r="H736" i="3"/>
  <c r="S65" i="3"/>
  <c r="P65" i="3"/>
  <c r="O65" i="3"/>
  <c r="N65" i="3"/>
  <c r="M65" i="3"/>
  <c r="L65" i="3"/>
  <c r="J65" i="3"/>
  <c r="K65" i="3"/>
  <c r="I65" i="3"/>
  <c r="S616" i="3"/>
  <c r="P616" i="3"/>
  <c r="O616" i="3"/>
  <c r="N616" i="3"/>
  <c r="M616" i="3"/>
  <c r="K616" i="3"/>
  <c r="J616" i="3"/>
  <c r="L616" i="3"/>
  <c r="E616" i="3"/>
  <c r="D616" i="3"/>
  <c r="H616" i="3"/>
  <c r="I616" i="3"/>
  <c r="J214" i="7"/>
  <c r="I137" i="7"/>
  <c r="J137" i="7"/>
  <c r="S35" i="3"/>
  <c r="P35" i="3"/>
  <c r="O35" i="3"/>
  <c r="N35" i="3"/>
  <c r="M35" i="3"/>
  <c r="L35" i="3"/>
  <c r="K35" i="3"/>
  <c r="J35" i="3"/>
  <c r="J404" i="7"/>
  <c r="I35" i="3"/>
  <c r="J489" i="7"/>
  <c r="S868" i="3"/>
  <c r="P868" i="3"/>
  <c r="O868" i="3"/>
  <c r="N868" i="3"/>
  <c r="M868" i="3"/>
  <c r="L868" i="3"/>
  <c r="J868" i="3"/>
  <c r="K868" i="3"/>
  <c r="J327" i="7"/>
  <c r="I868" i="3"/>
  <c r="S697" i="3"/>
  <c r="P697" i="3"/>
  <c r="O697" i="3"/>
  <c r="N697" i="3"/>
  <c r="M697" i="3"/>
  <c r="L697" i="3"/>
  <c r="K697" i="3"/>
  <c r="J697" i="3"/>
  <c r="I697" i="3"/>
  <c r="S375" i="3"/>
  <c r="P375" i="3"/>
  <c r="O375" i="3"/>
  <c r="N375" i="3"/>
  <c r="M375" i="3"/>
  <c r="L375" i="3"/>
  <c r="K375" i="3"/>
  <c r="J375" i="3"/>
  <c r="E375" i="3"/>
  <c r="D375" i="3"/>
  <c r="I609" i="7" s="1"/>
  <c r="H375" i="3"/>
  <c r="I375" i="3"/>
  <c r="S415" i="3"/>
  <c r="P415" i="3"/>
  <c r="O415" i="3"/>
  <c r="N415" i="3"/>
  <c r="M415" i="3"/>
  <c r="L415" i="3"/>
  <c r="K415" i="3"/>
  <c r="J415" i="3"/>
  <c r="J322" i="7"/>
  <c r="I415" i="3"/>
  <c r="S872" i="3"/>
  <c r="P872" i="3"/>
  <c r="N872" i="3"/>
  <c r="O872" i="3"/>
  <c r="L872" i="3"/>
  <c r="M872" i="3"/>
  <c r="K872" i="3"/>
  <c r="E872" i="3"/>
  <c r="J150" i="7" s="1"/>
  <c r="J872" i="3"/>
  <c r="D872" i="3"/>
  <c r="I150" i="7" s="1"/>
  <c r="H872" i="3"/>
  <c r="I872" i="3"/>
  <c r="S79" i="3"/>
  <c r="P79" i="3"/>
  <c r="O79" i="3"/>
  <c r="N79" i="3"/>
  <c r="M79" i="3"/>
  <c r="L79" i="3"/>
  <c r="K79" i="3"/>
  <c r="J79" i="3"/>
  <c r="E79" i="3"/>
  <c r="J9" i="7" s="1"/>
  <c r="D79" i="3"/>
  <c r="H79" i="3"/>
  <c r="I79" i="3"/>
  <c r="I111" i="7"/>
  <c r="S775" i="3"/>
  <c r="P775" i="3"/>
  <c r="O775" i="3"/>
  <c r="N775" i="3"/>
  <c r="M775" i="3"/>
  <c r="L775" i="3"/>
  <c r="K775" i="3"/>
  <c r="J775" i="3"/>
  <c r="E775" i="3"/>
  <c r="D775" i="3"/>
  <c r="H775" i="3"/>
  <c r="I775" i="3"/>
  <c r="J573" i="7"/>
  <c r="J320" i="7"/>
  <c r="S724" i="3"/>
  <c r="P724" i="3"/>
  <c r="O724" i="3"/>
  <c r="N724" i="3"/>
  <c r="M724" i="3"/>
  <c r="L724" i="3"/>
  <c r="K724" i="3"/>
  <c r="J724" i="3"/>
  <c r="J314" i="7"/>
  <c r="I724" i="3"/>
  <c r="J302" i="7"/>
  <c r="S221" i="3"/>
  <c r="P221" i="3"/>
  <c r="O221" i="3"/>
  <c r="N221" i="3"/>
  <c r="M221" i="3"/>
  <c r="L221" i="3"/>
  <c r="K221" i="3"/>
  <c r="J221" i="3"/>
  <c r="E221" i="3"/>
  <c r="J474" i="7" s="1"/>
  <c r="D221" i="3"/>
  <c r="H221" i="3"/>
  <c r="I221" i="3"/>
  <c r="S800" i="3"/>
  <c r="P800" i="3"/>
  <c r="O800" i="3"/>
  <c r="N800" i="3"/>
  <c r="M800" i="3"/>
  <c r="L800" i="3"/>
  <c r="K800" i="3"/>
  <c r="J800" i="3"/>
  <c r="E800" i="3"/>
  <c r="D800" i="3"/>
  <c r="H800" i="3"/>
  <c r="I800" i="3"/>
  <c r="S491" i="3"/>
  <c r="P491" i="3"/>
  <c r="O491" i="3"/>
  <c r="N491" i="3"/>
  <c r="M491" i="3"/>
  <c r="L491" i="3"/>
  <c r="K491" i="3"/>
  <c r="J491" i="3"/>
  <c r="E491" i="3"/>
  <c r="D491" i="3"/>
  <c r="H491" i="3"/>
  <c r="I491" i="3"/>
  <c r="S826" i="3"/>
  <c r="O826" i="3"/>
  <c r="P826" i="3"/>
  <c r="N826" i="3"/>
  <c r="M826" i="3"/>
  <c r="L826" i="3"/>
  <c r="K826" i="3"/>
  <c r="E826" i="3"/>
  <c r="D826" i="3"/>
  <c r="J826" i="3"/>
  <c r="H826" i="3"/>
  <c r="I826" i="3"/>
  <c r="S638" i="3"/>
  <c r="P638" i="3"/>
  <c r="O638" i="3"/>
  <c r="N638" i="3"/>
  <c r="M638" i="3"/>
  <c r="L638" i="3"/>
  <c r="K638" i="3"/>
  <c r="E638" i="3"/>
  <c r="J638" i="3"/>
  <c r="D638" i="3"/>
  <c r="H638" i="3"/>
  <c r="I638" i="3"/>
  <c r="S547" i="3"/>
  <c r="P547" i="3"/>
  <c r="O547" i="3"/>
  <c r="N547" i="3"/>
  <c r="M547" i="3"/>
  <c r="L547" i="3"/>
  <c r="K547" i="3"/>
  <c r="J547" i="3"/>
  <c r="E547" i="3"/>
  <c r="J185" i="7" s="1"/>
  <c r="D547" i="3"/>
  <c r="I294" i="7" s="1"/>
  <c r="H547" i="3"/>
  <c r="I547" i="3"/>
  <c r="S36" i="3"/>
  <c r="P36" i="3"/>
  <c r="O36" i="3"/>
  <c r="N36" i="3"/>
  <c r="M36" i="3"/>
  <c r="L36" i="3"/>
  <c r="K36" i="3"/>
  <c r="J36" i="3"/>
  <c r="I36" i="3"/>
  <c r="S44" i="3"/>
  <c r="P44" i="3"/>
  <c r="O44" i="3"/>
  <c r="N44" i="3"/>
  <c r="M44" i="3"/>
  <c r="L44" i="3"/>
  <c r="K44" i="3"/>
  <c r="J44" i="3"/>
  <c r="J381" i="7"/>
  <c r="I44" i="3"/>
  <c r="J347" i="7"/>
  <c r="S748" i="3"/>
  <c r="P748" i="3"/>
  <c r="O748" i="3"/>
  <c r="N748" i="3"/>
  <c r="M748" i="3"/>
  <c r="L748" i="3"/>
  <c r="K748" i="3"/>
  <c r="J748" i="3"/>
  <c r="E748" i="3"/>
  <c r="D748" i="3"/>
  <c r="H748" i="3"/>
  <c r="I748" i="3"/>
  <c r="S883" i="3"/>
  <c r="P883" i="3"/>
  <c r="O883" i="3"/>
  <c r="M883" i="3"/>
  <c r="N883" i="3"/>
  <c r="L883" i="3"/>
  <c r="K883" i="3"/>
  <c r="J883" i="3"/>
  <c r="D883" i="3"/>
  <c r="E883" i="3"/>
  <c r="H883" i="3"/>
  <c r="I883" i="3"/>
  <c r="S708" i="3"/>
  <c r="P708" i="3"/>
  <c r="O708" i="3"/>
  <c r="M708" i="3"/>
  <c r="N708" i="3"/>
  <c r="L708" i="3"/>
  <c r="J708" i="3"/>
  <c r="K708" i="3"/>
  <c r="E708" i="3"/>
  <c r="D708" i="3"/>
  <c r="H708" i="3"/>
  <c r="I708" i="3"/>
  <c r="S483" i="3"/>
  <c r="P483" i="3"/>
  <c r="O483" i="3"/>
  <c r="N483" i="3"/>
  <c r="M483" i="3"/>
  <c r="L483" i="3"/>
  <c r="K483" i="3"/>
  <c r="J483" i="3"/>
  <c r="E483" i="3"/>
  <c r="D483" i="3"/>
  <c r="H483" i="3"/>
  <c r="I483" i="3"/>
  <c r="S469" i="3"/>
  <c r="P469" i="3"/>
  <c r="O469" i="3"/>
  <c r="N469" i="3"/>
  <c r="L469" i="3"/>
  <c r="M469" i="3"/>
  <c r="K469" i="3"/>
  <c r="J469" i="3"/>
  <c r="E469" i="3"/>
  <c r="D469" i="3"/>
  <c r="H469" i="3"/>
  <c r="I469" i="3"/>
  <c r="S842" i="3"/>
  <c r="P842" i="3"/>
  <c r="O842" i="3"/>
  <c r="M842" i="3"/>
  <c r="N842" i="3"/>
  <c r="L842" i="3"/>
  <c r="K842" i="3"/>
  <c r="J842" i="3"/>
  <c r="E842" i="3"/>
  <c r="D842" i="3"/>
  <c r="H842" i="3"/>
  <c r="I842" i="3"/>
  <c r="S389" i="3"/>
  <c r="P389" i="3"/>
  <c r="O389" i="3"/>
  <c r="N389" i="3"/>
  <c r="M389" i="3"/>
  <c r="L389" i="3"/>
  <c r="K389" i="3"/>
  <c r="J389" i="3"/>
  <c r="I389" i="3"/>
  <c r="S746" i="3"/>
  <c r="P746" i="3"/>
  <c r="N746" i="3"/>
  <c r="M746" i="3"/>
  <c r="O746" i="3"/>
  <c r="L746" i="3"/>
  <c r="J746" i="3"/>
  <c r="K746" i="3"/>
  <c r="D746" i="3"/>
  <c r="E746" i="3"/>
  <c r="H746" i="3"/>
  <c r="I746" i="3"/>
  <c r="S771" i="3"/>
  <c r="O771" i="3"/>
  <c r="P771" i="3"/>
  <c r="N771" i="3"/>
  <c r="M771" i="3"/>
  <c r="L771" i="3"/>
  <c r="K771" i="3"/>
  <c r="E771" i="3"/>
  <c r="J771" i="3"/>
  <c r="D771" i="3"/>
  <c r="H771" i="3"/>
  <c r="I771" i="3"/>
  <c r="S701" i="3"/>
  <c r="P701" i="3"/>
  <c r="O701" i="3"/>
  <c r="N701" i="3"/>
  <c r="M701" i="3"/>
  <c r="L701" i="3"/>
  <c r="K701" i="3"/>
  <c r="E701" i="3"/>
  <c r="J701" i="3"/>
  <c r="D701" i="3"/>
  <c r="H701" i="3"/>
  <c r="I701" i="3"/>
  <c r="S637" i="3"/>
  <c r="P637" i="3"/>
  <c r="O637" i="3"/>
  <c r="N637" i="3"/>
  <c r="M637" i="3"/>
  <c r="L637" i="3"/>
  <c r="K637" i="3"/>
  <c r="J637" i="3"/>
  <c r="E637" i="3"/>
  <c r="D637" i="3"/>
  <c r="H637" i="3"/>
  <c r="I637" i="3"/>
  <c r="S614" i="3"/>
  <c r="P614" i="3"/>
  <c r="O614" i="3"/>
  <c r="N614" i="3"/>
  <c r="M614" i="3"/>
  <c r="L614" i="3"/>
  <c r="K614" i="3"/>
  <c r="J614" i="3"/>
  <c r="E614" i="3"/>
  <c r="D614" i="3"/>
  <c r="I614" i="3"/>
  <c r="H614" i="3"/>
  <c r="S587" i="3"/>
  <c r="P587" i="3"/>
  <c r="O587" i="3"/>
  <c r="M587" i="3"/>
  <c r="N587" i="3"/>
  <c r="L587" i="3"/>
  <c r="K587" i="3"/>
  <c r="J587" i="3"/>
  <c r="E587" i="3"/>
  <c r="J431" i="7" s="1"/>
  <c r="D587" i="3"/>
  <c r="H587" i="3"/>
  <c r="I587" i="3"/>
  <c r="S501" i="3"/>
  <c r="P501" i="3"/>
  <c r="O501" i="3"/>
  <c r="N501" i="3"/>
  <c r="M501" i="3"/>
  <c r="L501" i="3"/>
  <c r="K501" i="3"/>
  <c r="J501" i="3"/>
  <c r="E501" i="3"/>
  <c r="J361" i="7" s="1"/>
  <c r="D501" i="3"/>
  <c r="H501" i="3"/>
  <c r="I501" i="3"/>
  <c r="S459" i="3"/>
  <c r="P459" i="3"/>
  <c r="O459" i="3"/>
  <c r="N459" i="3"/>
  <c r="M459" i="3"/>
  <c r="K459" i="3"/>
  <c r="L459" i="3"/>
  <c r="E459" i="3"/>
  <c r="J459" i="3"/>
  <c r="D459" i="3"/>
  <c r="H459" i="3"/>
  <c r="I459" i="3"/>
  <c r="S436" i="3"/>
  <c r="P436" i="3"/>
  <c r="O436" i="3"/>
  <c r="N436" i="3"/>
  <c r="M436" i="3"/>
  <c r="L436" i="3"/>
  <c r="K436" i="3"/>
  <c r="J436" i="3"/>
  <c r="E436" i="3"/>
  <c r="D436" i="3"/>
  <c r="H436" i="3"/>
  <c r="I436" i="3"/>
  <c r="S347" i="3"/>
  <c r="P347" i="3"/>
  <c r="O347" i="3"/>
  <c r="N347" i="3"/>
  <c r="M347" i="3"/>
  <c r="L347" i="3"/>
  <c r="K347" i="3"/>
  <c r="J347" i="3"/>
  <c r="J468" i="7"/>
  <c r="I347" i="3"/>
  <c r="S75" i="3"/>
  <c r="P75" i="3"/>
  <c r="O75" i="3"/>
  <c r="N75" i="3"/>
  <c r="M75" i="3"/>
  <c r="L75" i="3"/>
  <c r="K75" i="3"/>
  <c r="J75" i="3"/>
  <c r="I75" i="3"/>
  <c r="S143" i="3"/>
  <c r="P143" i="3"/>
  <c r="O143" i="3"/>
  <c r="N143" i="3"/>
  <c r="M143" i="3"/>
  <c r="L143" i="3"/>
  <c r="K143" i="3"/>
  <c r="J143" i="3"/>
  <c r="I143" i="3"/>
  <c r="S595" i="3"/>
  <c r="P595" i="3"/>
  <c r="O595" i="3"/>
  <c r="N595" i="3"/>
  <c r="L595" i="3"/>
  <c r="K595" i="3"/>
  <c r="J595" i="3"/>
  <c r="M595" i="3"/>
  <c r="E595" i="3"/>
  <c r="J506" i="7" s="1"/>
  <c r="D595" i="3"/>
  <c r="H595" i="3"/>
  <c r="I595" i="3"/>
  <c r="S821" i="3"/>
  <c r="P821" i="3"/>
  <c r="O821" i="3"/>
  <c r="N821" i="3"/>
  <c r="M821" i="3"/>
  <c r="L821" i="3"/>
  <c r="K821" i="3"/>
  <c r="J821" i="3"/>
  <c r="I821" i="3"/>
  <c r="S437" i="3"/>
  <c r="P437" i="3"/>
  <c r="O437" i="3"/>
  <c r="N437" i="3"/>
  <c r="M437" i="3"/>
  <c r="K437" i="3"/>
  <c r="J437" i="3"/>
  <c r="L437" i="3"/>
  <c r="I437" i="3"/>
  <c r="S461" i="3"/>
  <c r="P461" i="3"/>
  <c r="O461" i="3"/>
  <c r="M461" i="3"/>
  <c r="N461" i="3"/>
  <c r="L461" i="3"/>
  <c r="J461" i="3"/>
  <c r="K461" i="3"/>
  <c r="I461" i="3"/>
  <c r="S175" i="3"/>
  <c r="P175" i="3"/>
  <c r="O175" i="3"/>
  <c r="N175" i="3"/>
  <c r="M175" i="3"/>
  <c r="L175" i="3"/>
  <c r="K175" i="3"/>
  <c r="J175" i="3"/>
  <c r="I175" i="3"/>
  <c r="S23" i="3"/>
  <c r="P23" i="3"/>
  <c r="O23" i="3"/>
  <c r="N23" i="3"/>
  <c r="M23" i="3"/>
  <c r="L23" i="3"/>
  <c r="K23" i="3"/>
  <c r="J23" i="3"/>
  <c r="I23" i="3"/>
  <c r="S343" i="3"/>
  <c r="P343" i="3"/>
  <c r="O343" i="3"/>
  <c r="M343" i="3"/>
  <c r="N343" i="3"/>
  <c r="L343" i="3"/>
  <c r="J343" i="3"/>
  <c r="K343" i="3"/>
  <c r="D343" i="3"/>
  <c r="I608" i="7" s="1"/>
  <c r="E343" i="3"/>
  <c r="H343" i="3"/>
  <c r="I343" i="3"/>
  <c r="S537" i="3"/>
  <c r="P537" i="3"/>
  <c r="O537" i="3"/>
  <c r="M537" i="3"/>
  <c r="N537" i="3"/>
  <c r="L537" i="3"/>
  <c r="J537" i="3"/>
  <c r="K537" i="3"/>
  <c r="I537" i="3"/>
  <c r="S169" i="3"/>
  <c r="O169" i="3"/>
  <c r="P169" i="3"/>
  <c r="N169" i="3"/>
  <c r="M169" i="3"/>
  <c r="L169" i="3"/>
  <c r="K169" i="3"/>
  <c r="J169" i="3"/>
  <c r="I169" i="3"/>
  <c r="S190" i="3"/>
  <c r="P190" i="3"/>
  <c r="O190" i="3"/>
  <c r="N190" i="3"/>
  <c r="M190" i="3"/>
  <c r="L190" i="3"/>
  <c r="K190" i="3"/>
  <c r="J190" i="3"/>
  <c r="I190" i="3"/>
  <c r="J590" i="7"/>
  <c r="J363" i="7"/>
  <c r="S530" i="3"/>
  <c r="P530" i="3"/>
  <c r="O530" i="3"/>
  <c r="N530" i="3"/>
  <c r="L530" i="3"/>
  <c r="M530" i="3"/>
  <c r="K530" i="3"/>
  <c r="J530" i="3"/>
  <c r="I530" i="3"/>
  <c r="S235" i="3"/>
  <c r="P235" i="3"/>
  <c r="O235" i="3"/>
  <c r="N235" i="3"/>
  <c r="M235" i="3"/>
  <c r="L235" i="3"/>
  <c r="K235" i="3"/>
  <c r="J235" i="3"/>
  <c r="I235" i="3"/>
  <c r="S45" i="3"/>
  <c r="P45" i="3"/>
  <c r="O45" i="3"/>
  <c r="N45" i="3"/>
  <c r="M45" i="3"/>
  <c r="L45" i="3"/>
  <c r="K45" i="3"/>
  <c r="J45" i="3"/>
  <c r="E45" i="3"/>
  <c r="J530" i="7" s="1"/>
  <c r="D45" i="3"/>
  <c r="I510" i="7" s="1"/>
  <c r="H45" i="3"/>
  <c r="I45" i="3"/>
  <c r="S848" i="3"/>
  <c r="P848" i="3"/>
  <c r="O848" i="3"/>
  <c r="N848" i="3"/>
  <c r="M848" i="3"/>
  <c r="L848" i="3"/>
  <c r="K848" i="3"/>
  <c r="J848" i="3"/>
  <c r="I848" i="3"/>
  <c r="S738" i="3"/>
  <c r="P738" i="3"/>
  <c r="O738" i="3"/>
  <c r="N738" i="3"/>
  <c r="M738" i="3"/>
  <c r="L738" i="3"/>
  <c r="K738" i="3"/>
  <c r="J738" i="3"/>
  <c r="I738" i="3"/>
  <c r="S101" i="3"/>
  <c r="P101" i="3"/>
  <c r="O101" i="3"/>
  <c r="N101" i="3"/>
  <c r="M101" i="3"/>
  <c r="K101" i="3"/>
  <c r="L101" i="3"/>
  <c r="J101" i="3"/>
  <c r="I101" i="3"/>
  <c r="J548" i="7"/>
  <c r="J466" i="7"/>
  <c r="J353" i="7"/>
  <c r="I353" i="7"/>
  <c r="S793" i="3"/>
  <c r="P793" i="3"/>
  <c r="O793" i="3"/>
  <c r="N793" i="3"/>
  <c r="M793" i="3"/>
  <c r="L793" i="3"/>
  <c r="K793" i="3"/>
  <c r="J793" i="3"/>
  <c r="J399" i="7"/>
  <c r="I793" i="3"/>
  <c r="S429" i="3"/>
  <c r="P429" i="3"/>
  <c r="O429" i="3"/>
  <c r="N429" i="3"/>
  <c r="M429" i="3"/>
  <c r="L429" i="3"/>
  <c r="K429" i="3"/>
  <c r="J429" i="3"/>
  <c r="J305" i="7"/>
  <c r="I429" i="3"/>
  <c r="S763" i="3"/>
  <c r="P763" i="3"/>
  <c r="O763" i="3"/>
  <c r="N763" i="3"/>
  <c r="M763" i="3"/>
  <c r="L763" i="3"/>
  <c r="K763" i="3"/>
  <c r="J763" i="3"/>
  <c r="J262" i="7"/>
  <c r="I763" i="3"/>
  <c r="J343" i="7"/>
  <c r="S711" i="3"/>
  <c r="P711" i="3"/>
  <c r="N711" i="3"/>
  <c r="O711" i="3"/>
  <c r="M711" i="3"/>
  <c r="L711" i="3"/>
  <c r="K711" i="3"/>
  <c r="J711" i="3"/>
  <c r="J388" i="7"/>
  <c r="I711" i="3"/>
  <c r="J259" i="7"/>
  <c r="J125" i="7"/>
  <c r="I125" i="7"/>
  <c r="S336" i="3"/>
  <c r="P336" i="3"/>
  <c r="O336" i="3"/>
  <c r="N336" i="3"/>
  <c r="M336" i="3"/>
  <c r="L336" i="3"/>
  <c r="K336" i="3"/>
  <c r="J336" i="3"/>
  <c r="J239" i="7"/>
  <c r="I336" i="3"/>
  <c r="I292" i="7"/>
  <c r="J292" i="7"/>
  <c r="I122" i="7"/>
  <c r="J122" i="7"/>
  <c r="I128" i="7"/>
  <c r="J128" i="7"/>
  <c r="J245" i="7"/>
  <c r="I97" i="7"/>
  <c r="S750" i="3"/>
  <c r="P750" i="3"/>
  <c r="O750" i="3"/>
  <c r="N750" i="3"/>
  <c r="M750" i="3"/>
  <c r="L750" i="3"/>
  <c r="K750" i="3"/>
  <c r="J750" i="3"/>
  <c r="I77" i="7"/>
  <c r="J77" i="7"/>
  <c r="I750" i="3"/>
  <c r="I52" i="7"/>
  <c r="S232" i="3"/>
  <c r="P232" i="3"/>
  <c r="O232" i="3"/>
  <c r="N232" i="3"/>
  <c r="M232" i="3"/>
  <c r="L232" i="3"/>
  <c r="K232" i="3"/>
  <c r="J232" i="3"/>
  <c r="J82" i="7"/>
  <c r="I82" i="7"/>
  <c r="I232" i="3"/>
  <c r="S442" i="3"/>
  <c r="P442" i="3"/>
  <c r="O442" i="3"/>
  <c r="N442" i="3"/>
  <c r="L442" i="3"/>
  <c r="M442" i="3"/>
  <c r="K442" i="3"/>
  <c r="J442" i="3"/>
  <c r="J63" i="7"/>
  <c r="I63" i="7"/>
  <c r="I442" i="3"/>
  <c r="I9" i="7"/>
  <c r="J471" i="7"/>
  <c r="J285" i="7"/>
  <c r="S69" i="3"/>
  <c r="P69" i="3"/>
  <c r="O69" i="3"/>
  <c r="N69" i="3"/>
  <c r="M69" i="3"/>
  <c r="L69" i="3"/>
  <c r="K69" i="3"/>
  <c r="J69" i="3"/>
  <c r="S722" i="3"/>
  <c r="P722" i="3"/>
  <c r="O722" i="3"/>
  <c r="N722" i="3"/>
  <c r="M722" i="3"/>
  <c r="L722" i="3"/>
  <c r="K722" i="3"/>
  <c r="J722" i="3"/>
  <c r="E722" i="3"/>
  <c r="D722" i="3"/>
  <c r="I132" i="7" s="1"/>
  <c r="H722" i="3"/>
  <c r="J156" i="7"/>
  <c r="S526" i="3"/>
  <c r="P526" i="3"/>
  <c r="O526" i="3"/>
  <c r="N526" i="3"/>
  <c r="M526" i="3"/>
  <c r="L526" i="3"/>
  <c r="K526" i="3"/>
  <c r="J526" i="3"/>
  <c r="S118" i="3"/>
  <c r="P118" i="3"/>
  <c r="O118" i="3"/>
  <c r="M118" i="3"/>
  <c r="N118" i="3"/>
  <c r="K118" i="3"/>
  <c r="L118" i="3"/>
  <c r="J118" i="3"/>
  <c r="E118" i="3"/>
  <c r="J503" i="7" s="1"/>
  <c r="D118" i="3"/>
  <c r="I503" i="7" s="1"/>
  <c r="H118" i="3"/>
  <c r="S341" i="3"/>
  <c r="P341" i="3"/>
  <c r="O341" i="3"/>
  <c r="N341" i="3"/>
  <c r="M341" i="3"/>
  <c r="L341" i="3"/>
  <c r="K341" i="3"/>
  <c r="J341" i="3"/>
  <c r="E341" i="3"/>
  <c r="J194" i="7" s="1"/>
  <c r="D341" i="3"/>
  <c r="I216" i="7" s="1"/>
  <c r="H341" i="3"/>
  <c r="S758" i="3"/>
  <c r="P758" i="3"/>
  <c r="O758" i="3"/>
  <c r="N758" i="3"/>
  <c r="M758" i="3"/>
  <c r="L758" i="3"/>
  <c r="K758" i="3"/>
  <c r="J758" i="3"/>
  <c r="I33" i="7"/>
  <c r="J33" i="7"/>
  <c r="I758" i="3"/>
  <c r="P445" i="3"/>
  <c r="S445" i="3"/>
  <c r="M445" i="3"/>
  <c r="N445" i="3"/>
  <c r="O445" i="3"/>
  <c r="L445" i="3"/>
  <c r="J445" i="3"/>
  <c r="K445" i="3"/>
  <c r="E445" i="3"/>
  <c r="D445" i="3"/>
  <c r="H445" i="3"/>
  <c r="J10" i="7"/>
  <c r="I10" i="7"/>
  <c r="S703" i="3"/>
  <c r="P703" i="3"/>
  <c r="O703" i="3"/>
  <c r="N703" i="3"/>
  <c r="M703" i="3"/>
  <c r="L703" i="3"/>
  <c r="K703" i="3"/>
  <c r="J378" i="7"/>
  <c r="J703" i="3"/>
  <c r="I289" i="3"/>
  <c r="I571" i="3"/>
  <c r="I183" i="3"/>
  <c r="I512" i="3"/>
  <c r="I54" i="3"/>
  <c r="I721" i="3"/>
  <c r="I398" i="3"/>
  <c r="I811" i="3"/>
  <c r="S245" i="3"/>
  <c r="P245" i="3"/>
  <c r="O245" i="3"/>
  <c r="N245" i="3"/>
  <c r="M245" i="3"/>
  <c r="L245" i="3"/>
  <c r="K245" i="3"/>
  <c r="J245" i="3"/>
  <c r="J67" i="7"/>
  <c r="I67" i="7"/>
  <c r="J281" i="7"/>
  <c r="S513" i="3"/>
  <c r="P513" i="3"/>
  <c r="O513" i="3"/>
  <c r="N513" i="3"/>
  <c r="M513" i="3"/>
  <c r="L513" i="3"/>
  <c r="J513" i="3"/>
  <c r="K513" i="3"/>
  <c r="E513" i="3"/>
  <c r="J191" i="7" s="1"/>
  <c r="D513" i="3"/>
  <c r="S105" i="3"/>
  <c r="P105" i="3"/>
  <c r="O105" i="3"/>
  <c r="N105" i="3"/>
  <c r="M105" i="3"/>
  <c r="L105" i="3"/>
  <c r="K105" i="3"/>
  <c r="J105" i="3"/>
  <c r="I140" i="7"/>
  <c r="J140" i="7"/>
  <c r="S330" i="3"/>
  <c r="P330" i="3"/>
  <c r="O330" i="3"/>
  <c r="N330" i="3"/>
  <c r="M330" i="3"/>
  <c r="L330" i="3"/>
  <c r="K330" i="3"/>
  <c r="J330" i="3"/>
  <c r="I101" i="7"/>
  <c r="J101" i="7"/>
  <c r="S545" i="3"/>
  <c r="P545" i="3"/>
  <c r="O545" i="3"/>
  <c r="N545" i="3"/>
  <c r="M545" i="3"/>
  <c r="L545" i="3"/>
  <c r="K545" i="3"/>
  <c r="J545" i="3"/>
  <c r="J414" i="7"/>
  <c r="I545" i="3"/>
  <c r="S359" i="3"/>
  <c r="P359" i="3"/>
  <c r="O359" i="3"/>
  <c r="N359" i="3"/>
  <c r="M359" i="3"/>
  <c r="L359" i="3"/>
  <c r="K359" i="3"/>
  <c r="J359" i="3"/>
  <c r="I359" i="3"/>
  <c r="S512" i="3"/>
  <c r="P512" i="3"/>
  <c r="O512" i="3"/>
  <c r="N512" i="3"/>
  <c r="M512" i="3"/>
  <c r="L512" i="3"/>
  <c r="K512" i="3"/>
  <c r="J512" i="3"/>
  <c r="J206" i="7"/>
  <c r="S830" i="3"/>
  <c r="P830" i="3"/>
  <c r="O830" i="3"/>
  <c r="N830" i="3"/>
  <c r="M830" i="3"/>
  <c r="L830" i="3"/>
  <c r="K830" i="3"/>
  <c r="J830" i="3"/>
  <c r="J186" i="7"/>
  <c r="S834" i="3"/>
  <c r="P834" i="3"/>
  <c r="O834" i="3"/>
  <c r="M834" i="3"/>
  <c r="N834" i="3"/>
  <c r="L834" i="3"/>
  <c r="K834" i="3"/>
  <c r="J834" i="3"/>
  <c r="J395" i="7"/>
  <c r="J254" i="7"/>
  <c r="I254" i="7"/>
  <c r="J263" i="7"/>
  <c r="I621" i="3"/>
  <c r="I302" i="3"/>
  <c r="H513" i="3"/>
  <c r="S467" i="3"/>
  <c r="P467" i="3"/>
  <c r="O467" i="3"/>
  <c r="N467" i="3"/>
  <c r="L467" i="3"/>
  <c r="M467" i="3"/>
  <c r="J467" i="3"/>
  <c r="K467" i="3"/>
  <c r="J444" i="7"/>
  <c r="I467" i="3"/>
  <c r="S21" i="3"/>
  <c r="P21" i="3"/>
  <c r="O21" i="3"/>
  <c r="N21" i="3"/>
  <c r="M21" i="3"/>
  <c r="L21" i="3"/>
  <c r="K21" i="3"/>
  <c r="J21" i="3"/>
  <c r="J255" i="7"/>
  <c r="S111" i="3"/>
  <c r="P111" i="3"/>
  <c r="O111" i="3"/>
  <c r="N111" i="3"/>
  <c r="M111" i="3"/>
  <c r="L111" i="3"/>
  <c r="K111" i="3"/>
  <c r="J111" i="3"/>
  <c r="I80" i="7"/>
  <c r="J80" i="7"/>
  <c r="S862" i="3"/>
  <c r="P862" i="3"/>
  <c r="O862" i="3"/>
  <c r="N862" i="3"/>
  <c r="M862" i="3"/>
  <c r="L862" i="3"/>
  <c r="K862" i="3"/>
  <c r="J862" i="3"/>
  <c r="D862" i="3"/>
  <c r="I228" i="7" s="1"/>
  <c r="E862" i="3"/>
  <c r="J228" i="7" s="1"/>
  <c r="S827" i="3"/>
  <c r="P827" i="3"/>
  <c r="O827" i="3"/>
  <c r="N827" i="3"/>
  <c r="M827" i="3"/>
  <c r="L827" i="3"/>
  <c r="J827" i="3"/>
  <c r="K827" i="3"/>
  <c r="S753" i="3"/>
  <c r="P753" i="3"/>
  <c r="O753" i="3"/>
  <c r="N753" i="3"/>
  <c r="M753" i="3"/>
  <c r="L753" i="3"/>
  <c r="K753" i="3"/>
  <c r="J753" i="3"/>
  <c r="E753" i="3"/>
  <c r="J540" i="7" s="1"/>
  <c r="D753" i="3"/>
  <c r="H753" i="3"/>
  <c r="S100" i="3"/>
  <c r="P100" i="3"/>
  <c r="O100" i="3"/>
  <c r="N100" i="3"/>
  <c r="M100" i="3"/>
  <c r="L100" i="3"/>
  <c r="K100" i="3"/>
  <c r="J229" i="7"/>
  <c r="J100" i="3"/>
  <c r="J223" i="7"/>
  <c r="S594" i="3"/>
  <c r="P594" i="3"/>
  <c r="O594" i="3"/>
  <c r="N594" i="3"/>
  <c r="L594" i="3"/>
  <c r="M594" i="3"/>
  <c r="K594" i="3"/>
  <c r="J594" i="3"/>
  <c r="I72" i="7"/>
  <c r="J72" i="7"/>
  <c r="I594" i="3"/>
  <c r="S452" i="3"/>
  <c r="P452" i="3"/>
  <c r="O452" i="3"/>
  <c r="N452" i="3"/>
  <c r="M452" i="3"/>
  <c r="L452" i="3"/>
  <c r="K452" i="3"/>
  <c r="J452" i="3"/>
  <c r="J205" i="7"/>
  <c r="I452" i="3"/>
  <c r="J392" i="7"/>
  <c r="I118" i="3"/>
  <c r="I100" i="3"/>
  <c r="J358" i="7"/>
  <c r="I358" i="7"/>
  <c r="I20" i="7"/>
  <c r="J20" i="7"/>
  <c r="S174" i="3"/>
  <c r="P174" i="3"/>
  <c r="O174" i="3"/>
  <c r="N174" i="3"/>
  <c r="M174" i="3"/>
  <c r="L174" i="3"/>
  <c r="K174" i="3"/>
  <c r="J174" i="3"/>
  <c r="I30" i="7"/>
  <c r="I174" i="3"/>
  <c r="S878" i="3"/>
  <c r="P878" i="3"/>
  <c r="O878" i="3"/>
  <c r="N878" i="3"/>
  <c r="L878" i="3"/>
  <c r="M878" i="3"/>
  <c r="K878" i="3"/>
  <c r="J878" i="3"/>
  <c r="J167" i="7"/>
  <c r="S58" i="3"/>
  <c r="P58" i="3"/>
  <c r="O58" i="3"/>
  <c r="N58" i="3"/>
  <c r="M58" i="3"/>
  <c r="L58" i="3"/>
  <c r="K58" i="3"/>
  <c r="J58" i="3"/>
  <c r="J267" i="7"/>
  <c r="S855" i="3"/>
  <c r="P855" i="3"/>
  <c r="O855" i="3"/>
  <c r="N855" i="3"/>
  <c r="M855" i="3"/>
  <c r="L855" i="3"/>
  <c r="K855" i="3"/>
  <c r="J855" i="3"/>
  <c r="E855" i="3"/>
  <c r="D855" i="3"/>
  <c r="H855" i="3"/>
  <c r="S290" i="3"/>
  <c r="P290" i="3"/>
  <c r="O290" i="3"/>
  <c r="N290" i="3"/>
  <c r="M290" i="3"/>
  <c r="L290" i="3"/>
  <c r="K290" i="3"/>
  <c r="J290" i="3"/>
  <c r="I26" i="7"/>
  <c r="I290" i="3"/>
  <c r="S553" i="3"/>
  <c r="P553" i="3"/>
  <c r="O553" i="3"/>
  <c r="N553" i="3"/>
  <c r="M553" i="3"/>
  <c r="L553" i="3"/>
  <c r="K553" i="3"/>
  <c r="J553" i="3"/>
  <c r="E553" i="3"/>
  <c r="D553" i="3"/>
  <c r="H553" i="3"/>
  <c r="J423" i="7"/>
  <c r="S860" i="3"/>
  <c r="P860" i="3"/>
  <c r="O860" i="3"/>
  <c r="N860" i="3"/>
  <c r="M860" i="3"/>
  <c r="L860" i="3"/>
  <c r="K860" i="3"/>
  <c r="J860" i="3"/>
  <c r="D860" i="3"/>
  <c r="E860" i="3"/>
  <c r="J445" i="7" s="1"/>
  <c r="H860" i="3"/>
  <c r="S654" i="3"/>
  <c r="P654" i="3"/>
  <c r="O654" i="3"/>
  <c r="N654" i="3"/>
  <c r="M654" i="3"/>
  <c r="L654" i="3"/>
  <c r="K654" i="3"/>
  <c r="J654" i="3"/>
  <c r="J66" i="7"/>
  <c r="I855" i="3"/>
  <c r="I720" i="3"/>
  <c r="I341" i="3"/>
  <c r="I245" i="3"/>
  <c r="I111" i="3"/>
  <c r="I77" i="3"/>
  <c r="I21" i="3"/>
  <c r="S66" i="3"/>
  <c r="P66" i="3"/>
  <c r="O66" i="3"/>
  <c r="N66" i="3"/>
  <c r="M66" i="3"/>
  <c r="L66" i="3"/>
  <c r="K66" i="3"/>
  <c r="J66" i="3"/>
  <c r="J277" i="7"/>
  <c r="S335" i="3"/>
  <c r="P335" i="3"/>
  <c r="O335" i="3"/>
  <c r="N335" i="3"/>
  <c r="M335" i="3"/>
  <c r="K335" i="3"/>
  <c r="J335" i="3"/>
  <c r="L335" i="3"/>
  <c r="E335" i="3"/>
  <c r="J110" i="7" s="1"/>
  <c r="D335" i="3"/>
  <c r="I110" i="7" s="1"/>
  <c r="H335" i="3"/>
  <c r="J256" i="7"/>
  <c r="S398" i="3"/>
  <c r="P398" i="3"/>
  <c r="O398" i="3"/>
  <c r="N398" i="3"/>
  <c r="M398" i="3"/>
  <c r="L398" i="3"/>
  <c r="K398" i="3"/>
  <c r="J398" i="3"/>
  <c r="J172" i="7"/>
  <c r="J433" i="7"/>
  <c r="S571" i="3"/>
  <c r="P571" i="3"/>
  <c r="O571" i="3"/>
  <c r="M571" i="3"/>
  <c r="N571" i="3"/>
  <c r="L571" i="3"/>
  <c r="J571" i="3"/>
  <c r="K571" i="3"/>
  <c r="J202" i="7"/>
  <c r="S284" i="3"/>
  <c r="P284" i="3"/>
  <c r="O284" i="3"/>
  <c r="N284" i="3"/>
  <c r="L284" i="3"/>
  <c r="M284" i="3"/>
  <c r="K284" i="3"/>
  <c r="J284" i="3"/>
  <c r="J439" i="7"/>
  <c r="S499" i="3"/>
  <c r="P499" i="3"/>
  <c r="O499" i="3"/>
  <c r="N499" i="3"/>
  <c r="L499" i="3"/>
  <c r="M499" i="3"/>
  <c r="K499" i="3"/>
  <c r="J499" i="3"/>
  <c r="I133" i="7"/>
  <c r="J133" i="7"/>
  <c r="S781" i="3"/>
  <c r="P781" i="3"/>
  <c r="O781" i="3"/>
  <c r="N781" i="3"/>
  <c r="M781" i="3"/>
  <c r="L781" i="3"/>
  <c r="K781" i="3"/>
  <c r="J781" i="3"/>
  <c r="E781" i="3"/>
  <c r="D781" i="3"/>
  <c r="H781" i="3"/>
  <c r="J91" i="7"/>
  <c r="I91" i="7"/>
  <c r="S171" i="3"/>
  <c r="P171" i="3"/>
  <c r="O171" i="3"/>
  <c r="N171" i="3"/>
  <c r="M171" i="3"/>
  <c r="L171" i="3"/>
  <c r="K171" i="3"/>
  <c r="J171" i="3"/>
  <c r="E171" i="3"/>
  <c r="J300" i="7" s="1"/>
  <c r="D171" i="3"/>
  <c r="I79" i="7"/>
  <c r="J79" i="7"/>
  <c r="S229" i="3"/>
  <c r="P229" i="3"/>
  <c r="O229" i="3"/>
  <c r="N229" i="3"/>
  <c r="M229" i="3"/>
  <c r="L229" i="3"/>
  <c r="K229" i="3"/>
  <c r="J229" i="3"/>
  <c r="I229" i="3"/>
  <c r="I654" i="3"/>
  <c r="I722" i="3"/>
  <c r="I526" i="3"/>
  <c r="I650" i="3"/>
  <c r="H862" i="3"/>
  <c r="S302" i="3"/>
  <c r="P302" i="3"/>
  <c r="O302" i="3"/>
  <c r="N302" i="3"/>
  <c r="M302" i="3"/>
  <c r="L302" i="3"/>
  <c r="K302" i="3"/>
  <c r="J302" i="3"/>
  <c r="J297" i="7"/>
  <c r="J248" i="7"/>
  <c r="J159" i="7"/>
  <c r="I159" i="7"/>
  <c r="J60" i="7"/>
  <c r="I60" i="7"/>
  <c r="J280" i="7"/>
  <c r="I89" i="7"/>
  <c r="J89" i="7"/>
  <c r="J217" i="7"/>
  <c r="S584" i="3"/>
  <c r="P584" i="3"/>
  <c r="O584" i="3"/>
  <c r="N584" i="3"/>
  <c r="M584" i="3"/>
  <c r="L584" i="3"/>
  <c r="K584" i="3"/>
  <c r="J584" i="3"/>
  <c r="J178" i="7"/>
  <c r="I584" i="3"/>
  <c r="S346" i="3"/>
  <c r="P346" i="3"/>
  <c r="O346" i="3"/>
  <c r="N346" i="3"/>
  <c r="M346" i="3"/>
  <c r="L346" i="3"/>
  <c r="K346" i="3"/>
  <c r="J346" i="3"/>
  <c r="J93" i="7"/>
  <c r="I93" i="7"/>
  <c r="I346" i="3"/>
  <c r="S322" i="3"/>
  <c r="P322" i="3"/>
  <c r="O322" i="3"/>
  <c r="N322" i="3"/>
  <c r="L322" i="3"/>
  <c r="M322" i="3"/>
  <c r="J322" i="3"/>
  <c r="K322" i="3"/>
  <c r="J53" i="7"/>
  <c r="I53" i="7"/>
  <c r="I322" i="3"/>
  <c r="J57" i="7"/>
  <c r="I57" i="7"/>
  <c r="I15" i="7"/>
  <c r="S276" i="3"/>
  <c r="P276" i="3"/>
  <c r="O276" i="3"/>
  <c r="N276" i="3"/>
  <c r="M276" i="3"/>
  <c r="L276" i="3"/>
  <c r="K276" i="3"/>
  <c r="J276" i="3"/>
  <c r="J37" i="7"/>
  <c r="I37" i="7"/>
  <c r="J233" i="7"/>
  <c r="S183" i="3"/>
  <c r="P183" i="3"/>
  <c r="O183" i="3"/>
  <c r="N183" i="3"/>
  <c r="M183" i="3"/>
  <c r="L183" i="3"/>
  <c r="J183" i="3"/>
  <c r="K183" i="3"/>
  <c r="J225" i="7"/>
  <c r="J85" i="7"/>
  <c r="S146" i="3"/>
  <c r="P146" i="3"/>
  <c r="O146" i="3"/>
  <c r="N146" i="3"/>
  <c r="M146" i="3"/>
  <c r="L146" i="3"/>
  <c r="K146" i="3"/>
  <c r="J146" i="3"/>
  <c r="J317" i="7"/>
  <c r="J311" i="7"/>
  <c r="S556" i="3"/>
  <c r="P556" i="3"/>
  <c r="O556" i="3"/>
  <c r="N556" i="3"/>
  <c r="L556" i="3"/>
  <c r="M556" i="3"/>
  <c r="K556" i="3"/>
  <c r="J556" i="3"/>
  <c r="J362" i="7"/>
  <c r="I109" i="7"/>
  <c r="J482" i="7"/>
  <c r="S721" i="3"/>
  <c r="P721" i="3"/>
  <c r="N721" i="3"/>
  <c r="O721" i="3"/>
  <c r="M721" i="3"/>
  <c r="L721" i="3"/>
  <c r="K721" i="3"/>
  <c r="J721" i="3"/>
  <c r="J175" i="7"/>
  <c r="S317" i="3"/>
  <c r="P317" i="3"/>
  <c r="O317" i="3"/>
  <c r="N317" i="3"/>
  <c r="M317" i="3"/>
  <c r="L317" i="3"/>
  <c r="K317" i="3"/>
  <c r="J317" i="3"/>
  <c r="E317" i="3"/>
  <c r="J146" i="7" s="1"/>
  <c r="D317" i="3"/>
  <c r="I146" i="7" s="1"/>
  <c r="H317" i="3"/>
  <c r="J162" i="7"/>
  <c r="J447" i="7"/>
  <c r="I781" i="3"/>
  <c r="I553" i="3"/>
  <c r="I69" i="3"/>
  <c r="I753" i="3"/>
  <c r="I284" i="3"/>
  <c r="I878" i="3"/>
  <c r="I58" i="3"/>
  <c r="I276" i="3"/>
  <c r="J209" i="7"/>
  <c r="J28" i="7"/>
  <c r="I28" i="7"/>
  <c r="J176" i="7"/>
  <c r="J56" i="7"/>
  <c r="J174" i="7"/>
  <c r="S329" i="3"/>
  <c r="P329" i="3"/>
  <c r="O329" i="3"/>
  <c r="N329" i="3"/>
  <c r="M329" i="3"/>
  <c r="L329" i="3"/>
  <c r="K329" i="3"/>
  <c r="J329" i="3"/>
  <c r="I120" i="7"/>
  <c r="J120" i="7"/>
  <c r="I329" i="3"/>
  <c r="S244" i="3"/>
  <c r="P244" i="3"/>
  <c r="O244" i="3"/>
  <c r="N244" i="3"/>
  <c r="M244" i="3"/>
  <c r="L244" i="3"/>
  <c r="K244" i="3"/>
  <c r="J244" i="3"/>
  <c r="I73" i="7"/>
  <c r="J73" i="7"/>
  <c r="I244" i="3"/>
  <c r="S63" i="3"/>
  <c r="P63" i="3"/>
  <c r="O63" i="3"/>
  <c r="N63" i="3"/>
  <c r="M63" i="3"/>
  <c r="L63" i="3"/>
  <c r="K63" i="3"/>
  <c r="J63" i="3"/>
  <c r="I63" i="3"/>
  <c r="S633" i="3"/>
  <c r="P633" i="3"/>
  <c r="O633" i="3"/>
  <c r="N633" i="3"/>
  <c r="M633" i="3"/>
  <c r="L633" i="3"/>
  <c r="K633" i="3"/>
  <c r="J633" i="3"/>
  <c r="J29" i="7"/>
  <c r="S234" i="3"/>
  <c r="P234" i="3"/>
  <c r="O234" i="3"/>
  <c r="N234" i="3"/>
  <c r="M234" i="3"/>
  <c r="L234" i="3"/>
  <c r="K234" i="3"/>
  <c r="J234" i="3"/>
  <c r="I90" i="7"/>
  <c r="I234" i="3"/>
  <c r="S567" i="3"/>
  <c r="P567" i="3"/>
  <c r="O567" i="3"/>
  <c r="N567" i="3"/>
  <c r="M567" i="3"/>
  <c r="L567" i="3"/>
  <c r="J567" i="3"/>
  <c r="K567" i="3"/>
  <c r="J181" i="7"/>
  <c r="I567" i="3"/>
  <c r="J398" i="7"/>
  <c r="J597" i="7"/>
  <c r="S54" i="3"/>
  <c r="P54" i="3"/>
  <c r="O54" i="3"/>
  <c r="N54" i="3"/>
  <c r="M54" i="3"/>
  <c r="L54" i="3"/>
  <c r="K54" i="3"/>
  <c r="J54" i="3"/>
  <c r="E54" i="3"/>
  <c r="J212" i="7" s="1"/>
  <c r="D54" i="3"/>
  <c r="I69" i="7" s="1"/>
  <c r="H54" i="3"/>
  <c r="S77" i="3"/>
  <c r="P77" i="3"/>
  <c r="O77" i="3"/>
  <c r="N77" i="3"/>
  <c r="M77" i="3"/>
  <c r="L77" i="3"/>
  <c r="K77" i="3"/>
  <c r="J77" i="3"/>
  <c r="J211" i="7"/>
  <c r="S289" i="3"/>
  <c r="P289" i="3"/>
  <c r="O289" i="3"/>
  <c r="N289" i="3"/>
  <c r="M289" i="3"/>
  <c r="L289" i="3"/>
  <c r="J289" i="3"/>
  <c r="K289" i="3"/>
  <c r="E289" i="3"/>
  <c r="J493" i="7" s="1"/>
  <c r="D289" i="3"/>
  <c r="H289" i="3"/>
  <c r="P811" i="3"/>
  <c r="S811" i="3"/>
  <c r="N811" i="3"/>
  <c r="O811" i="3"/>
  <c r="L811" i="3"/>
  <c r="M811" i="3"/>
  <c r="J811" i="3"/>
  <c r="K811" i="3"/>
  <c r="J189" i="7"/>
  <c r="S621" i="3"/>
  <c r="P621" i="3"/>
  <c r="O621" i="3"/>
  <c r="N621" i="3"/>
  <c r="M621" i="3"/>
  <c r="L621" i="3"/>
  <c r="K621" i="3"/>
  <c r="J621" i="3"/>
  <c r="J195" i="7"/>
  <c r="J553" i="7"/>
  <c r="J226" i="7"/>
  <c r="J247" i="7"/>
  <c r="J351" i="7"/>
  <c r="I513" i="3"/>
  <c r="I827" i="3"/>
  <c r="I171" i="3"/>
  <c r="I556" i="3"/>
  <c r="I830" i="3"/>
  <c r="I862" i="3"/>
  <c r="I66" i="3"/>
  <c r="I499" i="3"/>
  <c r="H171" i="3"/>
  <c r="J465" i="7"/>
  <c r="J127" i="7"/>
  <c r="I8" i="7"/>
  <c r="J8" i="7"/>
  <c r="S720" i="3"/>
  <c r="P720" i="3"/>
  <c r="O720" i="3"/>
  <c r="N720" i="3"/>
  <c r="M720" i="3"/>
  <c r="L720" i="3"/>
  <c r="K720" i="3"/>
  <c r="J720" i="3"/>
  <c r="E720" i="3"/>
  <c r="D720" i="3"/>
  <c r="H720" i="3"/>
  <c r="S650" i="3"/>
  <c r="P650" i="3"/>
  <c r="O650" i="3"/>
  <c r="N650" i="3"/>
  <c r="M650" i="3"/>
  <c r="L650" i="3"/>
  <c r="K650" i="3"/>
  <c r="J650" i="3"/>
  <c r="I45" i="7"/>
  <c r="J541" i="7"/>
  <c r="I541" i="7"/>
  <c r="S141" i="3"/>
  <c r="P141" i="3"/>
  <c r="O141" i="3"/>
  <c r="N141" i="3"/>
  <c r="M141" i="3"/>
  <c r="L141" i="3"/>
  <c r="K141" i="3"/>
  <c r="J141" i="3"/>
  <c r="I87" i="7"/>
  <c r="J87" i="7"/>
  <c r="S99" i="3"/>
  <c r="P99" i="3"/>
  <c r="O99" i="3"/>
  <c r="N99" i="3"/>
  <c r="M99" i="3"/>
  <c r="L99" i="3"/>
  <c r="K99" i="3"/>
  <c r="J99" i="3"/>
  <c r="J374" i="7"/>
  <c r="I374" i="7"/>
  <c r="J434" i="7"/>
  <c r="J286" i="7"/>
  <c r="I88" i="7"/>
  <c r="J88" i="7"/>
  <c r="J13" i="7"/>
  <c r="I13" i="7"/>
  <c r="S653" i="3"/>
  <c r="P653" i="3"/>
  <c r="O653" i="3"/>
  <c r="N653" i="3"/>
  <c r="M653" i="3"/>
  <c r="K653" i="3"/>
  <c r="J653" i="3"/>
  <c r="L653" i="3"/>
  <c r="I65" i="7"/>
  <c r="I653" i="3"/>
  <c r="I38" i="7"/>
  <c r="I445" i="3"/>
  <c r="I105" i="3"/>
  <c r="I330" i="3"/>
  <c r="J109" i="7"/>
  <c r="F237" i="3"/>
  <c r="K131" i="7" s="1"/>
  <c r="K413" i="7"/>
  <c r="F177" i="3"/>
  <c r="K224" i="7" s="1"/>
  <c r="F368" i="3"/>
  <c r="K604" i="7" s="1"/>
  <c r="F822" i="3"/>
  <c r="F777" i="3"/>
  <c r="F726" i="3"/>
  <c r="F414" i="3"/>
  <c r="K469" i="7"/>
  <c r="K371" i="7"/>
  <c r="K243" i="7"/>
  <c r="K291" i="7"/>
  <c r="K278" i="7"/>
  <c r="K81" i="7"/>
  <c r="K25" i="7"/>
  <c r="K70" i="7"/>
  <c r="K181" i="7"/>
  <c r="K398" i="7"/>
  <c r="K597" i="7"/>
  <c r="F54" i="3"/>
  <c r="K212" i="7" s="1"/>
  <c r="K211" i="7"/>
  <c r="F289" i="3"/>
  <c r="K493" i="7" s="1"/>
  <c r="K189" i="7"/>
  <c r="K195" i="7"/>
  <c r="K553" i="7"/>
  <c r="K226" i="7"/>
  <c r="K247" i="7"/>
  <c r="K351" i="7"/>
  <c r="K69" i="7"/>
  <c r="F696" i="3"/>
  <c r="F856" i="3"/>
  <c r="F373" i="3"/>
  <c r="K331" i="7" s="1"/>
  <c r="K598" i="7"/>
  <c r="K578" i="7"/>
  <c r="K260" i="7"/>
  <c r="K401" i="7"/>
  <c r="K498" i="7"/>
  <c r="F875" i="3"/>
  <c r="K448" i="7" s="1"/>
  <c r="K312" i="7"/>
  <c r="K201" i="7"/>
  <c r="F170" i="3"/>
  <c r="K183" i="7" s="1"/>
  <c r="K168" i="7"/>
  <c r="K144" i="7"/>
  <c r="K151" i="7"/>
  <c r="K58" i="7"/>
  <c r="K152" i="7"/>
  <c r="K117" i="7"/>
  <c r="K348" i="7"/>
  <c r="F255" i="3"/>
  <c r="F446" i="3"/>
  <c r="K435" i="7"/>
  <c r="K323" i="7"/>
  <c r="K386" i="7"/>
  <c r="K204" i="7"/>
  <c r="K177" i="7"/>
  <c r="F93" i="3"/>
  <c r="K241" i="7"/>
  <c r="F609" i="3"/>
  <c r="K450" i="7" s="1"/>
  <c r="F642" i="3"/>
  <c r="K244" i="7" s="1"/>
  <c r="F824" i="3"/>
  <c r="K507" i="7" s="1"/>
  <c r="F485" i="3"/>
  <c r="K370" i="7"/>
  <c r="F314" i="3"/>
  <c r="K123" i="7" s="1"/>
  <c r="K321" i="7"/>
  <c r="K523" i="7"/>
  <c r="K268" i="7"/>
  <c r="F546" i="3"/>
  <c r="F598" i="3"/>
  <c r="F455" i="3"/>
  <c r="F801" i="3"/>
  <c r="F178" i="3"/>
  <c r="F814" i="3"/>
  <c r="F788" i="3"/>
  <c r="F338" i="3"/>
  <c r="K577" i="7" s="1"/>
  <c r="F121" i="3"/>
  <c r="K521" i="7" s="1"/>
  <c r="F515" i="3"/>
  <c r="F450" i="3"/>
  <c r="F603" i="3"/>
  <c r="K508" i="7"/>
  <c r="K582" i="7"/>
  <c r="K558" i="7"/>
  <c r="K303" i="7"/>
  <c r="K588" i="7"/>
  <c r="K517" i="7"/>
  <c r="F211" i="3"/>
  <c r="K124" i="7" s="1"/>
  <c r="K529" i="7"/>
  <c r="K173" i="7"/>
  <c r="K502" i="7"/>
  <c r="K279" i="7"/>
  <c r="K337" i="7"/>
  <c r="F303" i="3"/>
  <c r="K436" i="7" s="1"/>
  <c r="K290" i="7"/>
  <c r="K309" i="7"/>
  <c r="K412" i="7"/>
  <c r="K298" i="7"/>
  <c r="K275" i="7"/>
  <c r="K389" i="7"/>
  <c r="K293" i="7"/>
  <c r="K197" i="7"/>
  <c r="K518" i="7"/>
  <c r="K297" i="7"/>
  <c r="K248" i="7"/>
  <c r="K159" i="7"/>
  <c r="K280" i="7"/>
  <c r="K89" i="7"/>
  <c r="K217" i="7"/>
  <c r="K178" i="7"/>
  <c r="K93" i="7"/>
  <c r="K53" i="7"/>
  <c r="K15" i="7"/>
  <c r="K465" i="7"/>
  <c r="K8" i="7"/>
  <c r="F720" i="3"/>
  <c r="K541" i="7"/>
  <c r="K87" i="7"/>
  <c r="K374" i="7"/>
  <c r="K434" i="7"/>
  <c r="K286" i="7"/>
  <c r="K88" i="7"/>
  <c r="K13" i="7"/>
  <c r="K65" i="7"/>
  <c r="K38" i="7"/>
  <c r="K250" i="7"/>
  <c r="K149" i="7"/>
  <c r="K472" i="7"/>
  <c r="K276" i="7"/>
  <c r="F619" i="3"/>
  <c r="F847" i="3"/>
  <c r="K600" i="7" s="1"/>
  <c r="F416" i="3"/>
  <c r="K199" i="7"/>
  <c r="K251" i="7"/>
  <c r="K566" i="7"/>
  <c r="F568" i="3"/>
  <c r="F787" i="3"/>
  <c r="F717" i="3"/>
  <c r="K519" i="7"/>
  <c r="K596" i="7"/>
  <c r="F324" i="3"/>
  <c r="F666" i="3"/>
  <c r="K513" i="7" s="1"/>
  <c r="F712" i="3"/>
  <c r="K490" i="7"/>
  <c r="K339" i="7"/>
  <c r="K454" i="7"/>
  <c r="K488" i="7"/>
  <c r="K328" i="7"/>
  <c r="K556" i="7"/>
  <c r="K261" i="7"/>
  <c r="K501" i="7"/>
  <c r="K357" i="7"/>
  <c r="K307" i="7"/>
  <c r="K418" i="7"/>
  <c r="K325" i="7"/>
  <c r="K308" i="7"/>
  <c r="K366" i="7"/>
  <c r="K209" i="7"/>
  <c r="K28" i="7"/>
  <c r="K176" i="7"/>
  <c r="K56" i="7"/>
  <c r="K174" i="7"/>
  <c r="K61" i="7"/>
  <c r="K471" i="7"/>
  <c r="K285" i="7"/>
  <c r="F722" i="3"/>
  <c r="K156" i="7"/>
  <c r="F118" i="3"/>
  <c r="K503" i="7" s="1"/>
  <c r="F341" i="3"/>
  <c r="K194" i="7" s="1"/>
  <c r="F445" i="3"/>
  <c r="K10" i="7"/>
  <c r="K378" i="7"/>
  <c r="K104" i="7"/>
  <c r="F641" i="3"/>
  <c r="K287" i="7" s="1"/>
  <c r="K75" i="7"/>
  <c r="K341" i="7"/>
  <c r="F851" i="3"/>
  <c r="K455" i="7" s="1"/>
  <c r="K369" i="7"/>
  <c r="K306" i="7"/>
  <c r="K545" i="7"/>
  <c r="K570" i="7"/>
  <c r="F470" i="3"/>
  <c r="K235" i="7"/>
  <c r="K340" i="7"/>
  <c r="F643" i="3"/>
  <c r="K480" i="7" s="1"/>
  <c r="F421" i="3"/>
  <c r="F129" i="3"/>
  <c r="K46" i="7"/>
  <c r="K522" i="7"/>
  <c r="K452" i="7"/>
  <c r="F840" i="3"/>
  <c r="K406" i="7" s="1"/>
  <c r="K499" i="7"/>
  <c r="K249" i="7"/>
  <c r="F684" i="3"/>
  <c r="K427" i="7" s="1"/>
  <c r="K283" i="7"/>
  <c r="K486" i="7"/>
  <c r="K253" i="7"/>
  <c r="K145" i="7"/>
  <c r="K246" i="7"/>
  <c r="K157" i="7"/>
  <c r="K516" i="7"/>
  <c r="K116" i="7"/>
  <c r="K158" i="7"/>
  <c r="K227" i="7"/>
  <c r="K166" i="7"/>
  <c r="K64" i="7"/>
  <c r="K48" i="7"/>
  <c r="K139" i="7"/>
  <c r="K36" i="7"/>
  <c r="K281" i="7"/>
  <c r="F513" i="3"/>
  <c r="K191" i="7" s="1"/>
  <c r="K101" i="7"/>
  <c r="K414" i="7"/>
  <c r="K206" i="7"/>
  <c r="K186" i="7"/>
  <c r="K395" i="7"/>
  <c r="K254" i="7"/>
  <c r="K263" i="7"/>
  <c r="K505" i="7"/>
  <c r="F83" i="3"/>
  <c r="K509" i="7" s="1"/>
  <c r="F779" i="3"/>
  <c r="F460" i="3"/>
  <c r="F725" i="3"/>
  <c r="K428" i="7"/>
  <c r="F220" i="3"/>
  <c r="K532" i="7" s="1"/>
  <c r="F516" i="3"/>
  <c r="K563" i="7"/>
  <c r="K7" i="7"/>
  <c r="K533" i="7"/>
  <c r="F612" i="3"/>
  <c r="F812" i="3"/>
  <c r="F378" i="3"/>
  <c r="K345" i="7"/>
  <c r="K456" i="7"/>
  <c r="K296" i="7"/>
  <c r="K59" i="7"/>
  <c r="F607" i="3"/>
  <c r="K344" i="7" s="1"/>
  <c r="F613" i="3"/>
  <c r="F714" i="3"/>
  <c r="F559" i="3"/>
  <c r="F412" i="3"/>
  <c r="F640" i="3"/>
  <c r="K484" i="7" s="1"/>
  <c r="F700" i="3"/>
  <c r="K108" i="7" s="1"/>
  <c r="K549" i="7"/>
  <c r="K115" i="7"/>
  <c r="K240" i="7"/>
  <c r="F736" i="3"/>
  <c r="K257" i="7"/>
  <c r="K481" i="7"/>
  <c r="K264" i="7"/>
  <c r="F616" i="3"/>
  <c r="K214" i="7"/>
  <c r="K137" i="7"/>
  <c r="K404" i="7"/>
  <c r="K489" i="7"/>
  <c r="K327" i="7"/>
  <c r="F375" i="3"/>
  <c r="K322" i="7"/>
  <c r="F872" i="3"/>
  <c r="F79" i="3"/>
  <c r="K9" i="7" s="1"/>
  <c r="K111" i="7"/>
  <c r="F775" i="3"/>
  <c r="K573" i="7"/>
  <c r="K320" i="7"/>
  <c r="K314" i="7"/>
  <c r="K302" i="7"/>
  <c r="F221" i="3"/>
  <c r="K474" i="7" s="1"/>
  <c r="F800" i="3"/>
  <c r="F491" i="3"/>
  <c r="F826" i="3"/>
  <c r="F638" i="3"/>
  <c r="F547" i="3"/>
  <c r="K185" i="7" s="1"/>
  <c r="K381" i="7"/>
  <c r="K347" i="7"/>
  <c r="F748" i="3"/>
  <c r="F883" i="3"/>
  <c r="F708" i="3"/>
  <c r="F483" i="3"/>
  <c r="F469" i="3"/>
  <c r="F842" i="3"/>
  <c r="F746" i="3"/>
  <c r="F771" i="3"/>
  <c r="F701" i="3"/>
  <c r="F637" i="3"/>
  <c r="F614" i="3"/>
  <c r="F587" i="3"/>
  <c r="K431" i="7" s="1"/>
  <c r="F501" i="3"/>
  <c r="K361" i="7" s="1"/>
  <c r="F459" i="3"/>
  <c r="F436" i="3"/>
  <c r="K468" i="7"/>
  <c r="F595" i="3"/>
  <c r="K506" i="7" s="1"/>
  <c r="F343" i="3"/>
  <c r="K590" i="7"/>
  <c r="K363" i="7"/>
  <c r="F45" i="3"/>
  <c r="K530" i="7" s="1"/>
  <c r="K548" i="7"/>
  <c r="K466" i="7"/>
  <c r="K353" i="7"/>
  <c r="K399" i="7"/>
  <c r="K305" i="7"/>
  <c r="K262" i="7"/>
  <c r="K388" i="7"/>
  <c r="K259" i="7"/>
  <c r="K239" i="7"/>
  <c r="K292" i="7"/>
  <c r="K161" i="7"/>
  <c r="K122" i="7"/>
  <c r="K128" i="7"/>
  <c r="K245" i="7"/>
  <c r="K97" i="7"/>
  <c r="K52" i="7"/>
  <c r="K82" i="7"/>
  <c r="K63" i="7"/>
  <c r="K444" i="7"/>
  <c r="K255" i="7"/>
  <c r="K80" i="7"/>
  <c r="F862" i="3"/>
  <c r="K228" i="7" s="1"/>
  <c r="F753" i="3"/>
  <c r="K540" i="7" s="1"/>
  <c r="K229" i="7"/>
  <c r="K223" i="7"/>
  <c r="K72" i="7"/>
  <c r="K205" i="7"/>
  <c r="K392" i="7"/>
  <c r="K169" i="7"/>
  <c r="K400" i="7"/>
  <c r="K415" i="7"/>
  <c r="F796" i="3"/>
  <c r="K215" i="7" s="1"/>
  <c r="K512" i="7"/>
  <c r="F639" i="3"/>
  <c r="K153" i="7"/>
  <c r="K284" i="7"/>
  <c r="K95" i="7"/>
  <c r="K584" i="7"/>
  <c r="F854" i="3"/>
  <c r="F719" i="3"/>
  <c r="K390" i="7" s="1"/>
  <c r="K180" i="7"/>
  <c r="K196" i="7"/>
  <c r="F839" i="3"/>
  <c r="K44" i="7"/>
  <c r="F348" i="3"/>
  <c r="K402" i="7" s="1"/>
  <c r="K365" i="7"/>
  <c r="K136" i="7"/>
  <c r="F678" i="3"/>
  <c r="F514" i="3"/>
  <c r="F552" i="3"/>
  <c r="K531" i="7"/>
  <c r="K31" i="7"/>
  <c r="K537" i="7"/>
  <c r="K102" i="7"/>
  <c r="K332" i="7"/>
  <c r="K43" i="7"/>
  <c r="K71" i="7"/>
  <c r="F577" i="3"/>
  <c r="F569" i="3"/>
  <c r="K310" i="7" s="1"/>
  <c r="K346" i="7"/>
  <c r="F119" i="3"/>
  <c r="K495" i="7"/>
  <c r="K99" i="7"/>
  <c r="K270" i="7"/>
  <c r="K403" i="7"/>
  <c r="K231" i="7"/>
  <c r="K524" i="7"/>
  <c r="K360" i="7"/>
  <c r="AE366" i="3"/>
  <c r="K192" i="7"/>
  <c r="F337" i="3"/>
  <c r="K236" i="7" s="1"/>
  <c r="K385" i="7"/>
  <c r="K535" i="7"/>
  <c r="K318" i="7"/>
  <c r="K562" i="7"/>
  <c r="F365" i="3"/>
  <c r="F538" i="3"/>
  <c r="F458" i="3"/>
  <c r="F799" i="3"/>
  <c r="F820" i="3"/>
  <c r="F773" i="3"/>
  <c r="F716" i="3"/>
  <c r="F691" i="3"/>
  <c r="F645" i="3"/>
  <c r="K599" i="7" s="1"/>
  <c r="F574" i="3"/>
  <c r="F550" i="3"/>
  <c r="F498" i="3"/>
  <c r="F435" i="3"/>
  <c r="F521" i="3"/>
  <c r="K458" i="7"/>
  <c r="F590" i="3"/>
  <c r="K528" i="7" s="1"/>
  <c r="K391" i="7"/>
  <c r="K483" i="7"/>
  <c r="K554" i="7"/>
  <c r="K555" i="7"/>
  <c r="K411" i="7"/>
  <c r="K496" i="7"/>
  <c r="K232" i="7"/>
  <c r="F117" i="3"/>
  <c r="K119" i="7" s="1"/>
  <c r="K601" i="7"/>
  <c r="K479" i="7"/>
  <c r="F116" i="3"/>
  <c r="K487" i="7" s="1"/>
  <c r="AE667" i="3"/>
  <c r="F665" i="3"/>
  <c r="K511" i="7" s="1"/>
  <c r="K546" i="7"/>
  <c r="K446" i="7"/>
  <c r="K313" i="7"/>
  <c r="K273" i="7"/>
  <c r="F173" i="3"/>
  <c r="K238" i="7" s="1"/>
  <c r="K359" i="7"/>
  <c r="F393" i="3"/>
  <c r="K299" i="7" s="1"/>
  <c r="K207" i="7"/>
  <c r="K265" i="7"/>
  <c r="K92" i="7"/>
  <c r="K76" i="7"/>
  <c r="K182" i="7"/>
  <c r="K86" i="7"/>
  <c r="K100" i="7"/>
  <c r="K41" i="7"/>
  <c r="K47" i="7"/>
  <c r="K84" i="7"/>
  <c r="K358" i="7"/>
  <c r="K20" i="7"/>
  <c r="K30" i="7"/>
  <c r="K267" i="7"/>
  <c r="F855" i="3"/>
  <c r="K26" i="7"/>
  <c r="F553" i="3"/>
  <c r="K423" i="7"/>
  <c r="F860" i="3"/>
  <c r="K445" i="7" s="1"/>
  <c r="K66" i="7"/>
  <c r="K22" i="7"/>
  <c r="F881" i="3"/>
  <c r="K440" i="7"/>
  <c r="K349" i="7"/>
  <c r="F606" i="3"/>
  <c r="K424" i="7" s="1"/>
  <c r="F734" i="3"/>
  <c r="K330" i="7" s="1"/>
  <c r="K316" i="7"/>
  <c r="K470" i="7"/>
  <c r="K35" i="7"/>
  <c r="K396" i="7"/>
  <c r="F502" i="3"/>
  <c r="F592" i="3"/>
  <c r="F541" i="3"/>
  <c r="K222" i="7"/>
  <c r="K422" i="7"/>
  <c r="F601" i="3"/>
  <c r="K288" i="7" s="1"/>
  <c r="K94" i="7"/>
  <c r="F671" i="3"/>
  <c r="K187" i="7"/>
  <c r="F517" i="3"/>
  <c r="K587" i="7"/>
  <c r="F713" i="3"/>
  <c r="F850" i="3"/>
  <c r="F740" i="3"/>
  <c r="K334" i="7"/>
  <c r="K83" i="7"/>
  <c r="K304" i="7"/>
  <c r="K336" i="7"/>
  <c r="K242" i="7"/>
  <c r="K272" i="7"/>
  <c r="K42" i="7"/>
  <c r="F292" i="3"/>
  <c r="K451" i="7"/>
  <c r="K315" i="7"/>
  <c r="F463" i="3"/>
  <c r="F837" i="3"/>
  <c r="K437" i="7" s="1"/>
  <c r="K221" i="7"/>
  <c r="K453" i="7"/>
  <c r="K74" i="7"/>
  <c r="K375" i="7"/>
  <c r="K171" i="7"/>
  <c r="F589" i="3"/>
  <c r="K441" i="7" s="1"/>
  <c r="F223" i="3"/>
  <c r="K567" i="7" s="1"/>
  <c r="K218" i="7"/>
  <c r="F649" i="3"/>
  <c r="K376" i="7"/>
  <c r="AE406" i="3"/>
  <c r="K234" i="7"/>
  <c r="K269" i="7"/>
  <c r="K18" i="7"/>
  <c r="F226" i="3"/>
  <c r="K387" i="7"/>
  <c r="K355" i="7"/>
  <c r="K515" i="7"/>
  <c r="F615" i="3"/>
  <c r="K410" i="7"/>
  <c r="F836" i="3"/>
  <c r="F766" i="3"/>
  <c r="F741" i="3"/>
  <c r="F704" i="3"/>
  <c r="F690" i="3"/>
  <c r="F602" i="3"/>
  <c r="F575" i="3"/>
  <c r="F475" i="3"/>
  <c r="F434" i="3"/>
  <c r="F823" i="3"/>
  <c r="K569" i="7" s="1"/>
  <c r="K557" i="7"/>
  <c r="F705" i="3"/>
  <c r="K352" i="7" s="1"/>
  <c r="K467" i="7"/>
  <c r="F291" i="3"/>
  <c r="F334" i="3"/>
  <c r="K421" i="7" s="1"/>
  <c r="K301" i="7"/>
  <c r="K367" i="7"/>
  <c r="K350" i="7"/>
  <c r="K379" i="7"/>
  <c r="K520" i="7"/>
  <c r="K271" i="7"/>
  <c r="K408" i="7"/>
  <c r="K574" i="7"/>
  <c r="F709" i="3"/>
  <c r="K354" i="7" s="1"/>
  <c r="K154" i="7"/>
  <c r="F718" i="3"/>
  <c r="K477" i="7" s="1"/>
  <c r="K461" i="7"/>
  <c r="K213" i="7"/>
  <c r="K188" i="7"/>
  <c r="K121" i="7"/>
  <c r="K163" i="7"/>
  <c r="K138" i="7"/>
  <c r="K338" i="7"/>
  <c r="K103" i="7"/>
  <c r="K184" i="7"/>
  <c r="F285" i="3"/>
  <c r="K148" i="7" s="1"/>
  <c r="K165" i="7"/>
  <c r="K40" i="7"/>
  <c r="K39" i="7"/>
  <c r="K5" i="7"/>
  <c r="K34" i="7"/>
  <c r="K277" i="7"/>
  <c r="F335" i="3"/>
  <c r="K110" i="7" s="1"/>
  <c r="K256" i="7"/>
  <c r="K172" i="7"/>
  <c r="K433" i="7"/>
  <c r="K202" i="7"/>
  <c r="K439" i="7"/>
  <c r="K133" i="7"/>
  <c r="F781" i="3"/>
  <c r="K91" i="7"/>
  <c r="F171" i="3"/>
  <c r="K141" i="7"/>
  <c r="K16" i="7"/>
  <c r="K473" i="7"/>
  <c r="F785" i="3"/>
  <c r="F493" i="3"/>
  <c r="K460" i="7" s="1"/>
  <c r="K571" i="7"/>
  <c r="K27" i="7"/>
  <c r="K50" i="7"/>
  <c r="F852" i="3"/>
  <c r="F542" i="3"/>
  <c r="F698" i="3"/>
  <c r="K463" i="7" s="1"/>
  <c r="F655" i="3"/>
  <c r="F480" i="3"/>
  <c r="F841" i="3"/>
  <c r="K417" i="7" s="1"/>
  <c r="F563" i="3"/>
  <c r="F486" i="3"/>
  <c r="F476" i="3"/>
  <c r="K21" i="7"/>
  <c r="K377" i="7"/>
  <c r="K274" i="7"/>
  <c r="K237" i="7"/>
  <c r="F754" i="3"/>
  <c r="K112" i="7" s="1"/>
  <c r="F809" i="3"/>
  <c r="K419" i="7" s="1"/>
  <c r="K485" i="7"/>
  <c r="K384" i="7"/>
  <c r="K210" i="7"/>
  <c r="K113" i="7"/>
  <c r="K561" i="7"/>
  <c r="F644" i="3"/>
  <c r="F555" i="3"/>
  <c r="K393" i="7"/>
  <c r="K220" i="7"/>
  <c r="K335" i="7"/>
  <c r="F675" i="3"/>
  <c r="F831" i="3"/>
  <c r="K295" i="7" s="1"/>
  <c r="F39" i="3"/>
  <c r="K405" i="7" s="1"/>
  <c r="K258" i="7"/>
  <c r="K595" i="7"/>
  <c r="F12" i="3"/>
  <c r="K560" i="7" s="1"/>
  <c r="K500" i="7"/>
  <c r="F692" i="3"/>
  <c r="K504" i="7"/>
  <c r="K126" i="7"/>
  <c r="F89" i="3"/>
  <c r="K475" i="7" s="1"/>
  <c r="K55" i="7"/>
  <c r="F565" i="3"/>
  <c r="F533" i="3"/>
  <c r="K289" i="7" s="1"/>
  <c r="K565" i="7"/>
  <c r="F472" i="3"/>
  <c r="K266" i="7"/>
  <c r="F782" i="3"/>
  <c r="F248" i="3"/>
  <c r="K559" i="7" s="1"/>
  <c r="K586" i="7"/>
  <c r="F652" i="3"/>
  <c r="F635" i="3"/>
  <c r="F554" i="3"/>
  <c r="F484" i="3"/>
  <c r="F845" i="3"/>
  <c r="F797" i="3"/>
  <c r="F737" i="3"/>
  <c r="F699" i="3"/>
  <c r="F634" i="3"/>
  <c r="F333" i="3"/>
  <c r="K603" i="7" s="1"/>
  <c r="F599" i="3"/>
  <c r="K572" i="7" s="1"/>
  <c r="F582" i="3"/>
  <c r="K429" i="7" s="1"/>
  <c r="F468" i="3"/>
  <c r="F433" i="3"/>
  <c r="F283" i="3"/>
  <c r="F305" i="3"/>
  <c r="F76" i="3"/>
  <c r="K478" i="7" s="1"/>
  <c r="K542" i="7"/>
  <c r="K525" i="7"/>
  <c r="K462" i="7"/>
  <c r="K380" i="7"/>
  <c r="K282" i="7"/>
  <c r="K420" i="7"/>
  <c r="K333" i="7"/>
  <c r="K397" i="7"/>
  <c r="K432" i="7"/>
  <c r="K527" i="7"/>
  <c r="K329" i="7"/>
  <c r="K193" i="7"/>
  <c r="K203" i="7"/>
  <c r="K319" i="7"/>
  <c r="K459" i="7"/>
  <c r="K170" i="7"/>
  <c r="K342" i="7"/>
  <c r="K208" i="7"/>
  <c r="K135" i="7"/>
  <c r="K190" i="7"/>
  <c r="K129" i="7"/>
  <c r="K179" i="7"/>
  <c r="K230" i="7"/>
  <c r="K54" i="7"/>
  <c r="K12" i="7"/>
  <c r="K19" i="7"/>
  <c r="K37" i="7"/>
  <c r="K233" i="7"/>
  <c r="K225" i="7"/>
  <c r="K85" i="7"/>
  <c r="K311" i="7"/>
  <c r="K362" i="7"/>
  <c r="K109" i="7"/>
  <c r="K175" i="7"/>
  <c r="F317" i="3"/>
  <c r="K146" i="7" s="1"/>
  <c r="K162" i="7"/>
  <c r="K447" i="7"/>
  <c r="BB200" i="1"/>
  <c r="AZ200" i="1" s="1"/>
  <c r="BB140" i="1"/>
  <c r="AZ140" i="1" s="1"/>
  <c r="BB386" i="1"/>
  <c r="AZ386" i="1" s="1"/>
  <c r="BB303" i="1"/>
  <c r="AZ303" i="1" s="1"/>
  <c r="BB312" i="1"/>
  <c r="AZ312" i="1" s="1"/>
  <c r="BB352" i="1"/>
  <c r="AZ352" i="1" s="1"/>
  <c r="BB362" i="1"/>
  <c r="AZ362" i="1" s="1"/>
  <c r="BB157" i="1"/>
  <c r="AZ157" i="1" s="1"/>
  <c r="BB337" i="1"/>
  <c r="AZ337" i="1" s="1"/>
  <c r="BB76" i="1"/>
  <c r="AZ76" i="1" s="1"/>
  <c r="BB156" i="1"/>
  <c r="AZ156" i="1" s="1"/>
  <c r="BB98" i="1"/>
  <c r="AZ98" i="1" s="1"/>
  <c r="BB171" i="1"/>
  <c r="AZ171" i="1" s="1"/>
  <c r="BB322" i="1"/>
  <c r="AZ322" i="1" s="1"/>
  <c r="BB103" i="1"/>
  <c r="AZ103" i="1" s="1"/>
  <c r="BB234" i="1"/>
  <c r="AZ234" i="1" s="1"/>
  <c r="BB301" i="1"/>
  <c r="AZ301" i="1" s="1"/>
  <c r="BB408" i="1"/>
  <c r="AZ408" i="1" s="1"/>
  <c r="BB153" i="1"/>
  <c r="AZ153" i="1" s="1"/>
  <c r="BB181" i="1"/>
  <c r="AZ181" i="1" s="1"/>
  <c r="BB232" i="1"/>
  <c r="AZ232" i="1" s="1"/>
  <c r="BB136" i="1"/>
  <c r="AZ136" i="1" s="1"/>
  <c r="BB183" i="1"/>
  <c r="AZ183" i="1" s="1"/>
  <c r="BB126" i="1"/>
  <c r="AZ126" i="1" s="1"/>
  <c r="BB361" i="1"/>
  <c r="AZ361" i="1" s="1"/>
  <c r="BB255" i="1"/>
  <c r="AZ255" i="1" s="1"/>
  <c r="BB282" i="1"/>
  <c r="AZ282" i="1" s="1"/>
  <c r="BB350" i="1"/>
  <c r="AZ350" i="1" s="1"/>
  <c r="BB185" i="1"/>
  <c r="AZ185" i="1" s="1"/>
  <c r="BB347" i="1"/>
  <c r="AZ347" i="1" s="1"/>
  <c r="BB72" i="1"/>
  <c r="AZ72" i="1" s="1"/>
  <c r="BB247" i="1"/>
  <c r="AZ247" i="1" s="1"/>
  <c r="BB81" i="1"/>
  <c r="AZ81" i="1" s="1"/>
  <c r="BB16" i="1"/>
  <c r="AZ16" i="1" s="1"/>
  <c r="BB402" i="1"/>
  <c r="AZ402" i="1" s="1"/>
  <c r="BB9" i="1"/>
  <c r="AZ9" i="1" s="1"/>
  <c r="BB326" i="1"/>
  <c r="AZ326" i="1" s="1"/>
  <c r="BB195" i="1"/>
  <c r="AZ195" i="1" s="1"/>
  <c r="BB26" i="1"/>
  <c r="AZ26" i="1" s="1"/>
  <c r="BB45" i="1"/>
  <c r="AZ45" i="1" s="1"/>
  <c r="BB206" i="1"/>
  <c r="AZ206" i="1" s="1"/>
  <c r="BB201" i="1"/>
  <c r="AZ201" i="1" s="1"/>
  <c r="BB422" i="1"/>
  <c r="AZ422" i="1" s="1"/>
  <c r="BB199" i="1"/>
  <c r="AZ199" i="1" s="1"/>
  <c r="BB164" i="1"/>
  <c r="AZ164" i="1" s="1"/>
  <c r="BB392" i="1"/>
  <c r="AZ392" i="1" s="1"/>
  <c r="BB101" i="1"/>
  <c r="AZ101" i="1" s="1"/>
  <c r="BB378" i="1"/>
  <c r="AZ378" i="1" s="1"/>
  <c r="BB426" i="1"/>
  <c r="AZ426" i="1" s="1"/>
  <c r="BB417" i="1"/>
  <c r="AZ417" i="1" s="1"/>
  <c r="BB182" i="1"/>
  <c r="AZ182" i="1" s="1"/>
  <c r="BB379" i="1"/>
  <c r="AZ379" i="1" s="1"/>
  <c r="BB258" i="1"/>
  <c r="AZ258" i="1" s="1"/>
  <c r="AU158" i="1"/>
  <c r="AV158" i="1"/>
  <c r="AW158" i="1"/>
  <c r="AX158" i="1"/>
  <c r="AY158" i="1"/>
  <c r="BF158" i="1"/>
  <c r="AU39" i="1"/>
  <c r="AV39" i="1"/>
  <c r="AW39" i="1"/>
  <c r="AX39" i="1"/>
  <c r="AY39" i="1"/>
  <c r="BF39" i="1"/>
  <c r="AU65" i="1"/>
  <c r="AV65" i="1"/>
  <c r="AW65" i="1"/>
  <c r="AX65" i="1"/>
  <c r="AY65" i="1"/>
  <c r="BF65" i="1"/>
  <c r="AU233" i="1"/>
  <c r="AV233" i="1"/>
  <c r="AW233" i="1"/>
  <c r="AX233" i="1"/>
  <c r="AY233" i="1"/>
  <c r="BF233" i="1"/>
  <c r="AU338" i="1"/>
  <c r="AV338" i="1"/>
  <c r="AW338" i="1"/>
  <c r="AX338" i="1"/>
  <c r="AY338" i="1"/>
  <c r="BF338" i="1"/>
  <c r="AU359" i="1"/>
  <c r="AV359" i="1"/>
  <c r="AW359" i="1"/>
  <c r="AX359" i="1"/>
  <c r="AY359" i="1"/>
  <c r="BF359" i="1"/>
  <c r="AU134" i="1"/>
  <c r="AV134" i="1"/>
  <c r="AW134" i="1"/>
  <c r="AX134" i="1"/>
  <c r="AY134" i="1"/>
  <c r="BF134" i="1"/>
  <c r="AU243" i="1"/>
  <c r="AV243" i="1"/>
  <c r="AW243" i="1"/>
  <c r="AX243" i="1"/>
  <c r="AY243" i="1"/>
  <c r="BF243" i="1"/>
  <c r="AU145" i="1"/>
  <c r="AV145" i="1"/>
  <c r="AW145" i="1"/>
  <c r="AX145" i="1"/>
  <c r="AY145" i="1"/>
  <c r="BF145" i="1"/>
  <c r="AU262" i="1"/>
  <c r="AV262" i="1"/>
  <c r="AW262" i="1"/>
  <c r="AX262" i="1"/>
  <c r="AY262" i="1"/>
  <c r="BF262" i="1"/>
  <c r="AU67" i="1"/>
  <c r="AV67" i="1"/>
  <c r="AW67" i="1"/>
  <c r="AX67" i="1"/>
  <c r="AY67" i="1"/>
  <c r="BF67" i="1"/>
  <c r="AU403" i="1"/>
  <c r="AV403" i="1"/>
  <c r="AW403" i="1"/>
  <c r="AX403" i="1"/>
  <c r="AY403" i="1"/>
  <c r="BF403" i="1"/>
  <c r="AU319" i="1"/>
  <c r="AV319" i="1"/>
  <c r="AW319" i="1"/>
  <c r="AX319" i="1"/>
  <c r="AY319" i="1"/>
  <c r="BF319" i="1"/>
  <c r="AU306" i="1"/>
  <c r="AV306" i="1"/>
  <c r="AW306" i="1"/>
  <c r="AX306" i="1"/>
  <c r="AY306" i="1"/>
  <c r="BF306" i="1"/>
  <c r="AU180" i="1"/>
  <c r="AV180" i="1"/>
  <c r="AW180" i="1"/>
  <c r="AX180" i="1"/>
  <c r="AY180" i="1"/>
  <c r="BF180" i="1"/>
  <c r="AU48" i="1"/>
  <c r="AV48" i="1"/>
  <c r="AW48" i="1"/>
  <c r="AX48" i="1"/>
  <c r="AY48" i="1"/>
  <c r="BF48" i="1"/>
  <c r="AU373" i="1"/>
  <c r="AV373" i="1"/>
  <c r="AW373" i="1"/>
  <c r="AX373" i="1"/>
  <c r="AY373" i="1"/>
  <c r="BF373" i="1"/>
  <c r="AU90" i="1"/>
  <c r="AV90" i="1"/>
  <c r="AW90" i="1"/>
  <c r="AX90" i="1"/>
  <c r="AY90" i="1"/>
  <c r="BF90" i="1"/>
  <c r="AU30" i="1"/>
  <c r="AV30" i="1"/>
  <c r="AW30" i="1"/>
  <c r="AX30" i="1"/>
  <c r="AY30" i="1"/>
  <c r="BF30" i="1"/>
  <c r="AU284" i="1"/>
  <c r="AV284" i="1"/>
  <c r="AW284" i="1"/>
  <c r="AX284" i="1"/>
  <c r="AY284" i="1"/>
  <c r="BF284" i="1"/>
  <c r="AU304" i="1"/>
  <c r="AV304" i="1"/>
  <c r="AW304" i="1"/>
  <c r="AX304" i="1"/>
  <c r="AY304" i="1"/>
  <c r="BF304" i="1"/>
  <c r="AU33" i="1"/>
  <c r="AV33" i="1"/>
  <c r="AW33" i="1"/>
  <c r="AX33" i="1"/>
  <c r="AY33" i="1"/>
  <c r="BF33" i="1"/>
  <c r="AU229" i="1"/>
  <c r="AV229" i="1"/>
  <c r="AW229" i="1"/>
  <c r="AX229" i="1"/>
  <c r="AY229" i="1"/>
  <c r="BF229" i="1"/>
  <c r="AU132" i="1"/>
  <c r="AV132" i="1"/>
  <c r="AW132" i="1"/>
  <c r="AX132" i="1"/>
  <c r="AY132" i="1"/>
  <c r="BF132" i="1"/>
  <c r="AU106" i="1"/>
  <c r="AV106" i="1"/>
  <c r="AW106" i="1"/>
  <c r="AX106" i="1"/>
  <c r="AY106" i="1"/>
  <c r="BF106" i="1"/>
  <c r="AU297" i="1"/>
  <c r="AV297" i="1"/>
  <c r="AW297" i="1"/>
  <c r="AX297" i="1"/>
  <c r="AY297" i="1"/>
  <c r="BF297" i="1"/>
  <c r="AU28" i="1"/>
  <c r="AV28" i="1"/>
  <c r="AW28" i="1"/>
  <c r="AX28" i="1"/>
  <c r="AY28" i="1"/>
  <c r="BF28" i="1"/>
  <c r="AU141" i="1"/>
  <c r="AV141" i="1"/>
  <c r="AW141" i="1"/>
  <c r="AX141" i="1"/>
  <c r="AY141" i="1"/>
  <c r="BF141" i="1"/>
  <c r="AU391" i="1"/>
  <c r="AV391" i="1"/>
  <c r="AW391" i="1"/>
  <c r="AX391" i="1"/>
  <c r="AY391" i="1"/>
  <c r="BF391" i="1"/>
  <c r="AU363" i="1"/>
  <c r="AV363" i="1"/>
  <c r="AW363" i="1"/>
  <c r="AX363" i="1"/>
  <c r="AY363" i="1"/>
  <c r="BF363" i="1"/>
  <c r="AU381" i="1"/>
  <c r="AV381" i="1"/>
  <c r="AW381" i="1"/>
  <c r="AX381" i="1"/>
  <c r="AY381" i="1"/>
  <c r="BF381" i="1"/>
  <c r="AU17" i="1"/>
  <c r="AV17" i="1"/>
  <c r="AW17" i="1"/>
  <c r="AX17" i="1"/>
  <c r="AY17" i="1"/>
  <c r="BF17" i="1"/>
  <c r="AU105" i="1"/>
  <c r="AV105" i="1"/>
  <c r="AW105" i="1"/>
  <c r="AX105" i="1"/>
  <c r="AY105" i="1"/>
  <c r="BF105" i="1"/>
  <c r="AU163" i="1"/>
  <c r="AV163" i="1"/>
  <c r="AW163" i="1"/>
  <c r="AX163" i="1"/>
  <c r="AY163" i="1"/>
  <c r="BF163" i="1"/>
  <c r="AU75" i="1"/>
  <c r="AV75" i="1"/>
  <c r="AW75" i="1"/>
  <c r="AX75" i="1"/>
  <c r="AY75" i="1"/>
  <c r="BF75" i="1"/>
  <c r="AU108" i="1"/>
  <c r="AV108" i="1"/>
  <c r="AW108" i="1"/>
  <c r="AX108" i="1"/>
  <c r="AY108" i="1"/>
  <c r="BF108" i="1"/>
  <c r="AU276" i="1"/>
  <c r="AV276" i="1"/>
  <c r="AW276" i="1"/>
  <c r="AX276" i="1"/>
  <c r="AY276" i="1"/>
  <c r="BF276" i="1"/>
  <c r="AU135" i="1"/>
  <c r="AV135" i="1"/>
  <c r="AW135" i="1"/>
  <c r="AX135" i="1"/>
  <c r="AY135" i="1"/>
  <c r="BF135" i="1"/>
  <c r="AU57" i="1"/>
  <c r="AV57" i="1"/>
  <c r="AW57" i="1"/>
  <c r="AX57" i="1"/>
  <c r="AY57" i="1"/>
  <c r="BF57" i="1"/>
  <c r="AU177" i="1"/>
  <c r="AV177" i="1"/>
  <c r="AW177" i="1"/>
  <c r="AX177" i="1"/>
  <c r="AY177" i="1"/>
  <c r="BF177" i="1"/>
  <c r="AU161" i="1"/>
  <c r="AV161" i="1"/>
  <c r="AW161" i="1"/>
  <c r="AX161" i="1"/>
  <c r="AY161" i="1"/>
  <c r="BF161" i="1"/>
  <c r="AU389" i="1"/>
  <c r="AV389" i="1"/>
  <c r="AW389" i="1"/>
  <c r="AX389" i="1"/>
  <c r="AY389" i="1"/>
  <c r="BF389" i="1"/>
  <c r="AU278" i="1"/>
  <c r="AV278" i="1"/>
  <c r="AW278" i="1"/>
  <c r="AX278" i="1"/>
  <c r="AY278" i="1"/>
  <c r="BF278" i="1"/>
  <c r="AU281" i="1"/>
  <c r="AV281" i="1"/>
  <c r="AW281" i="1"/>
  <c r="AX281" i="1"/>
  <c r="AY281" i="1"/>
  <c r="BF281" i="1"/>
  <c r="AU327" i="1"/>
  <c r="AV327" i="1"/>
  <c r="AW327" i="1"/>
  <c r="AX327" i="1"/>
  <c r="AY327" i="1"/>
  <c r="BF327" i="1"/>
  <c r="AU226" i="1"/>
  <c r="AV226" i="1"/>
  <c r="AW226" i="1"/>
  <c r="AX226" i="1"/>
  <c r="AY226" i="1"/>
  <c r="BF226" i="1"/>
  <c r="AU118" i="1"/>
  <c r="AV118" i="1"/>
  <c r="AW118" i="1"/>
  <c r="AX118" i="1"/>
  <c r="AY118" i="1"/>
  <c r="BF118" i="1"/>
  <c r="AU91" i="1"/>
  <c r="AV91" i="1"/>
  <c r="AW91" i="1"/>
  <c r="AX91" i="1"/>
  <c r="AY91" i="1"/>
  <c r="BF91" i="1"/>
  <c r="AU274" i="1"/>
  <c r="AV274" i="1"/>
  <c r="AW274" i="1"/>
  <c r="AX274" i="1"/>
  <c r="AY274" i="1"/>
  <c r="BF274" i="1"/>
  <c r="AU12" i="1"/>
  <c r="AV12" i="1"/>
  <c r="AW12" i="1"/>
  <c r="AX12" i="1"/>
  <c r="AY12" i="1"/>
  <c r="BF12" i="1"/>
  <c r="AU111" i="1"/>
  <c r="AV111" i="1"/>
  <c r="AW111" i="1"/>
  <c r="AX111" i="1"/>
  <c r="AY111" i="1"/>
  <c r="BF111" i="1"/>
  <c r="AU375" i="1"/>
  <c r="AV375" i="1"/>
  <c r="AW375" i="1"/>
  <c r="AX375" i="1"/>
  <c r="AY375" i="1"/>
  <c r="BF375" i="1"/>
  <c r="AU24" i="1"/>
  <c r="AV24" i="1"/>
  <c r="AW24" i="1"/>
  <c r="AX24" i="1"/>
  <c r="AY24" i="1"/>
  <c r="BF24" i="1"/>
  <c r="AU74" i="1"/>
  <c r="AV74" i="1"/>
  <c r="AW74" i="1"/>
  <c r="AX74" i="1"/>
  <c r="AY74" i="1"/>
  <c r="BF74" i="1"/>
  <c r="AU285" i="1"/>
  <c r="AV285" i="1"/>
  <c r="AW285" i="1"/>
  <c r="AX285" i="1"/>
  <c r="AY285" i="1"/>
  <c r="BF285" i="1"/>
  <c r="AU116" i="1"/>
  <c r="AV116" i="1"/>
  <c r="AW116" i="1"/>
  <c r="AX116" i="1"/>
  <c r="AY116" i="1"/>
  <c r="BF116" i="1"/>
  <c r="AU380" i="1"/>
  <c r="AV380" i="1"/>
  <c r="AW380" i="1"/>
  <c r="AX380" i="1"/>
  <c r="AY380" i="1"/>
  <c r="BF380" i="1"/>
  <c r="AU79" i="1"/>
  <c r="AV79" i="1"/>
  <c r="AW79" i="1"/>
  <c r="AX79" i="1"/>
  <c r="AY79" i="1"/>
  <c r="BF79" i="1"/>
  <c r="AU385" i="1"/>
  <c r="AV385" i="1"/>
  <c r="AW385" i="1"/>
  <c r="AX385" i="1"/>
  <c r="AY385" i="1"/>
  <c r="BF385" i="1"/>
  <c r="AU242" i="1"/>
  <c r="AV242" i="1"/>
  <c r="AW242" i="1"/>
  <c r="AX242" i="1"/>
  <c r="AY242" i="1"/>
  <c r="BF242" i="1"/>
  <c r="AU289" i="1"/>
  <c r="AV289" i="1"/>
  <c r="AW289" i="1"/>
  <c r="AX289" i="1"/>
  <c r="AY289" i="1"/>
  <c r="BF289" i="1"/>
  <c r="AU372" i="1"/>
  <c r="AV372" i="1"/>
  <c r="AW372" i="1"/>
  <c r="AX372" i="1"/>
  <c r="AY372" i="1"/>
  <c r="BF372" i="1"/>
  <c r="AU44" i="1"/>
  <c r="AV44" i="1"/>
  <c r="AW44" i="1"/>
  <c r="AX44" i="1"/>
  <c r="AY44" i="1"/>
  <c r="BF44" i="1"/>
  <c r="AU168" i="1"/>
  <c r="AV168" i="1"/>
  <c r="AW168" i="1"/>
  <c r="AX168" i="1"/>
  <c r="AY168" i="1"/>
  <c r="BF168" i="1"/>
  <c r="AU196" i="1"/>
  <c r="AV196" i="1"/>
  <c r="AW196" i="1"/>
  <c r="AX196" i="1"/>
  <c r="AY196" i="1"/>
  <c r="BF196" i="1"/>
  <c r="AU214" i="1"/>
  <c r="AV214" i="1"/>
  <c r="AW214" i="1"/>
  <c r="AX214" i="1"/>
  <c r="AY214" i="1"/>
  <c r="BF214" i="1"/>
  <c r="AU172" i="1"/>
  <c r="AV172" i="1"/>
  <c r="AW172" i="1"/>
  <c r="AX172" i="1"/>
  <c r="AY172" i="1"/>
  <c r="BF172" i="1"/>
  <c r="AU245" i="1"/>
  <c r="AV245" i="1"/>
  <c r="AW245" i="1"/>
  <c r="AX245" i="1"/>
  <c r="AY245" i="1"/>
  <c r="BF245" i="1"/>
  <c r="AU354" i="1"/>
  <c r="AV354" i="1"/>
  <c r="AW354" i="1"/>
  <c r="AX354" i="1"/>
  <c r="AY354" i="1"/>
  <c r="BF354" i="1"/>
  <c r="AU184" i="1"/>
  <c r="AV184" i="1"/>
  <c r="AW184" i="1"/>
  <c r="AX184" i="1"/>
  <c r="AY184" i="1"/>
  <c r="BF184" i="1"/>
  <c r="AU125" i="1"/>
  <c r="AV125" i="1"/>
  <c r="AW125" i="1"/>
  <c r="AX125" i="1"/>
  <c r="AY125" i="1"/>
  <c r="BF125" i="1"/>
  <c r="AU43" i="1"/>
  <c r="AV43" i="1"/>
  <c r="AW43" i="1"/>
  <c r="AX43" i="1"/>
  <c r="AY43" i="1"/>
  <c r="BF43" i="1"/>
  <c r="AU22" i="1"/>
  <c r="AV22" i="1"/>
  <c r="AW22" i="1"/>
  <c r="AX22" i="1"/>
  <c r="AY22" i="1"/>
  <c r="BF22" i="1"/>
  <c r="AU60" i="1"/>
  <c r="AV60" i="1"/>
  <c r="AW60" i="1"/>
  <c r="AX60" i="1"/>
  <c r="AY60" i="1"/>
  <c r="BF60" i="1"/>
  <c r="AU7" i="1"/>
  <c r="AV7" i="1"/>
  <c r="AW7" i="1"/>
  <c r="AX7" i="1"/>
  <c r="AY7" i="1"/>
  <c r="BF7" i="1"/>
  <c r="AU420" i="1"/>
  <c r="AV420" i="1"/>
  <c r="AW420" i="1"/>
  <c r="AX420" i="1"/>
  <c r="AY420" i="1"/>
  <c r="BF420" i="1"/>
  <c r="AU292" i="1"/>
  <c r="AV292" i="1"/>
  <c r="AW292" i="1"/>
  <c r="AX292" i="1"/>
  <c r="AY292" i="1"/>
  <c r="BF292" i="1"/>
  <c r="AU349" i="1"/>
  <c r="AV349" i="1"/>
  <c r="AW349" i="1"/>
  <c r="AX349" i="1"/>
  <c r="AY349" i="1"/>
  <c r="BF349" i="1"/>
  <c r="AU110" i="1"/>
  <c r="AV110" i="1"/>
  <c r="AW110" i="1"/>
  <c r="AX110" i="1"/>
  <c r="AY110" i="1"/>
  <c r="BF110" i="1"/>
  <c r="AU428" i="1"/>
  <c r="AV428" i="1"/>
  <c r="AW428" i="1"/>
  <c r="AX428" i="1"/>
  <c r="AY428" i="1"/>
  <c r="BF428" i="1"/>
  <c r="AU89" i="1"/>
  <c r="AV89" i="1"/>
  <c r="AW89" i="1"/>
  <c r="AX89" i="1"/>
  <c r="AY89" i="1"/>
  <c r="BF89" i="1"/>
  <c r="AU99" i="1"/>
  <c r="AV99" i="1"/>
  <c r="AW99" i="1"/>
  <c r="AX99" i="1"/>
  <c r="AY99" i="1"/>
  <c r="BF99" i="1"/>
  <c r="AU133" i="1"/>
  <c r="AV133" i="1"/>
  <c r="AW133" i="1"/>
  <c r="AX133" i="1"/>
  <c r="AY133" i="1"/>
  <c r="BF133" i="1"/>
  <c r="AU390" i="1"/>
  <c r="AV390" i="1"/>
  <c r="AW390" i="1"/>
  <c r="AX390" i="1"/>
  <c r="AY390" i="1"/>
  <c r="BF390" i="1"/>
  <c r="AU92" i="1"/>
  <c r="AV92" i="1"/>
  <c r="AW92" i="1"/>
  <c r="AX92" i="1"/>
  <c r="AY92" i="1"/>
  <c r="BF92" i="1"/>
  <c r="AU328" i="1"/>
  <c r="AV328" i="1"/>
  <c r="AW328" i="1"/>
  <c r="AX328" i="1"/>
  <c r="AY328" i="1"/>
  <c r="BF328" i="1"/>
  <c r="AU198" i="1"/>
  <c r="AV198" i="1"/>
  <c r="AW198" i="1"/>
  <c r="AX198" i="1"/>
  <c r="AY198" i="1"/>
  <c r="BF198" i="1"/>
  <c r="AU398" i="1"/>
  <c r="AV398" i="1"/>
  <c r="AW398" i="1"/>
  <c r="AX398" i="1"/>
  <c r="AY398" i="1"/>
  <c r="BF398" i="1"/>
  <c r="AU107" i="1"/>
  <c r="AV107" i="1"/>
  <c r="AW107" i="1"/>
  <c r="AX107" i="1"/>
  <c r="AY107" i="1"/>
  <c r="BF107" i="1"/>
  <c r="AU370" i="1"/>
  <c r="AV370" i="1"/>
  <c r="AW370" i="1"/>
  <c r="AX370" i="1"/>
  <c r="AY370" i="1"/>
  <c r="BF370" i="1"/>
  <c r="AU388" i="1"/>
  <c r="AV388" i="1"/>
  <c r="AW388" i="1"/>
  <c r="AX388" i="1"/>
  <c r="AY388" i="1"/>
  <c r="BF388" i="1"/>
  <c r="AU212" i="1"/>
  <c r="AV212" i="1"/>
  <c r="AW212" i="1"/>
  <c r="AX212" i="1"/>
  <c r="AY212" i="1"/>
  <c r="BF212" i="1"/>
  <c r="AU399" i="1"/>
  <c r="AV399" i="1"/>
  <c r="AW399" i="1"/>
  <c r="AX399" i="1"/>
  <c r="AY399" i="1"/>
  <c r="BF399" i="1"/>
  <c r="AU96" i="1"/>
  <c r="AV96" i="1"/>
  <c r="AW96" i="1"/>
  <c r="AX96" i="1"/>
  <c r="AY96" i="1"/>
  <c r="BF96" i="1"/>
  <c r="AU294" i="1"/>
  <c r="AV294" i="1"/>
  <c r="AW294" i="1"/>
  <c r="AX294" i="1"/>
  <c r="AY294" i="1"/>
  <c r="BF294" i="1"/>
  <c r="AU190" i="1"/>
  <c r="AV190" i="1"/>
  <c r="AW190" i="1"/>
  <c r="AX190" i="1"/>
  <c r="AY190" i="1"/>
  <c r="BF190" i="1"/>
  <c r="AU286" i="1"/>
  <c r="AV286" i="1"/>
  <c r="AW286" i="1"/>
  <c r="AX286" i="1"/>
  <c r="AY286" i="1"/>
  <c r="BF286" i="1"/>
  <c r="AU423" i="1"/>
  <c r="AV423" i="1"/>
  <c r="AW423" i="1"/>
  <c r="AX423" i="1"/>
  <c r="AY423" i="1"/>
  <c r="BF423" i="1"/>
  <c r="AU11" i="1"/>
  <c r="AV11" i="1"/>
  <c r="AW11" i="1"/>
  <c r="AX11" i="1"/>
  <c r="AY11" i="1"/>
  <c r="BF11" i="1"/>
  <c r="AU143" i="1"/>
  <c r="AV143" i="1"/>
  <c r="AW143" i="1"/>
  <c r="AX143" i="1"/>
  <c r="AY143" i="1"/>
  <c r="BF143" i="1"/>
  <c r="AU299" i="1"/>
  <c r="AV299" i="1"/>
  <c r="AW299" i="1"/>
  <c r="AX299" i="1"/>
  <c r="AY299" i="1"/>
  <c r="BF299" i="1"/>
  <c r="AU224" i="1"/>
  <c r="AV224" i="1"/>
  <c r="AW224" i="1"/>
  <c r="AX224" i="1"/>
  <c r="AY224" i="1"/>
  <c r="BF224" i="1"/>
  <c r="AU340" i="1"/>
  <c r="AV340" i="1"/>
  <c r="AW340" i="1"/>
  <c r="AX340" i="1"/>
  <c r="AY340" i="1"/>
  <c r="BF340" i="1"/>
  <c r="AU396" i="1"/>
  <c r="AV396" i="1"/>
  <c r="AW396" i="1"/>
  <c r="AX396" i="1"/>
  <c r="AY396" i="1"/>
  <c r="BF396" i="1"/>
  <c r="AU336" i="1"/>
  <c r="AV336" i="1"/>
  <c r="AW336" i="1"/>
  <c r="AX336" i="1"/>
  <c r="AY336" i="1"/>
  <c r="BF336" i="1"/>
  <c r="AU36" i="1"/>
  <c r="AV36" i="1"/>
  <c r="AW36" i="1"/>
  <c r="AX36" i="1"/>
  <c r="AY36" i="1"/>
  <c r="BF36" i="1"/>
  <c r="AU360" i="1"/>
  <c r="AV360" i="1"/>
  <c r="AW360" i="1"/>
  <c r="AX360" i="1"/>
  <c r="AY360" i="1"/>
  <c r="BF360" i="1"/>
  <c r="AU311" i="1"/>
  <c r="AV311" i="1"/>
  <c r="AW311" i="1"/>
  <c r="AX311" i="1"/>
  <c r="AY311" i="1"/>
  <c r="BF311" i="1"/>
  <c r="AU404" i="1"/>
  <c r="AV404" i="1"/>
  <c r="AW404" i="1"/>
  <c r="AX404" i="1"/>
  <c r="AY404" i="1"/>
  <c r="BF404" i="1"/>
  <c r="AU77" i="1"/>
  <c r="AV77" i="1"/>
  <c r="AW77" i="1"/>
  <c r="AX77" i="1"/>
  <c r="AY77" i="1"/>
  <c r="BF77" i="1"/>
  <c r="AU418" i="1"/>
  <c r="AV418" i="1"/>
  <c r="AW418" i="1"/>
  <c r="AX418" i="1"/>
  <c r="AY418" i="1"/>
  <c r="BF418" i="1"/>
  <c r="AU173" i="1"/>
  <c r="AV173" i="1"/>
  <c r="AW173" i="1"/>
  <c r="AX173" i="1"/>
  <c r="AY173" i="1"/>
  <c r="BF173" i="1"/>
  <c r="AU249" i="1"/>
  <c r="AV249" i="1"/>
  <c r="AW249" i="1"/>
  <c r="AX249" i="1"/>
  <c r="AY249" i="1"/>
  <c r="BF249" i="1"/>
  <c r="AU411" i="1"/>
  <c r="AV411" i="1"/>
  <c r="AW411" i="1"/>
  <c r="AX411" i="1"/>
  <c r="AY411" i="1"/>
  <c r="BF411" i="1"/>
  <c r="AU318" i="1"/>
  <c r="AV318" i="1"/>
  <c r="AW318" i="1"/>
  <c r="AX318" i="1"/>
  <c r="AY318" i="1"/>
  <c r="BF318" i="1"/>
  <c r="AU27" i="1"/>
  <c r="AV27" i="1"/>
  <c r="AW27" i="1"/>
  <c r="AX27" i="1"/>
  <c r="AY27" i="1"/>
  <c r="BF27" i="1"/>
  <c r="AU130" i="1"/>
  <c r="AV130" i="1"/>
  <c r="AW130" i="1"/>
  <c r="AX130" i="1"/>
  <c r="AY130" i="1"/>
  <c r="BF130" i="1"/>
  <c r="AU221" i="1"/>
  <c r="AV221" i="1"/>
  <c r="AW221" i="1"/>
  <c r="AX221" i="1"/>
  <c r="AY221" i="1"/>
  <c r="BF221" i="1"/>
  <c r="AU139" i="1"/>
  <c r="AV139" i="1"/>
  <c r="AW139" i="1"/>
  <c r="AX139" i="1"/>
  <c r="AY139" i="1"/>
  <c r="BF139" i="1"/>
  <c r="AU144" i="1"/>
  <c r="AV144" i="1"/>
  <c r="AW144" i="1"/>
  <c r="AX144" i="1"/>
  <c r="AY144" i="1"/>
  <c r="BF144" i="1"/>
  <c r="AU191" i="1"/>
  <c r="AV191" i="1"/>
  <c r="AW191" i="1"/>
  <c r="AX191" i="1"/>
  <c r="AY191" i="1"/>
  <c r="BF191" i="1"/>
  <c r="AU280" i="1"/>
  <c r="AV280" i="1"/>
  <c r="AW280" i="1"/>
  <c r="AX280" i="1"/>
  <c r="AY280" i="1"/>
  <c r="BF280" i="1"/>
  <c r="AU333" i="1"/>
  <c r="AV333" i="1"/>
  <c r="AW333" i="1"/>
  <c r="AX333" i="1"/>
  <c r="AY333" i="1"/>
  <c r="BF333" i="1"/>
  <c r="AU412" i="1"/>
  <c r="AV412" i="1"/>
  <c r="AW412" i="1"/>
  <c r="AX412" i="1"/>
  <c r="AY412" i="1"/>
  <c r="BF412" i="1"/>
  <c r="AU150" i="1"/>
  <c r="AV150" i="1"/>
  <c r="AW150" i="1"/>
  <c r="AX150" i="1"/>
  <c r="AY150" i="1"/>
  <c r="BF150" i="1"/>
  <c r="AU38" i="1"/>
  <c r="AV38" i="1"/>
  <c r="AW38" i="1"/>
  <c r="AX38" i="1"/>
  <c r="AY38" i="1"/>
  <c r="BF38" i="1"/>
  <c r="AU329" i="1"/>
  <c r="AV329" i="1"/>
  <c r="AW329" i="1"/>
  <c r="AX329" i="1"/>
  <c r="AY329" i="1"/>
  <c r="BF329" i="1"/>
  <c r="AU123" i="1"/>
  <c r="AV123" i="1"/>
  <c r="AW123" i="1"/>
  <c r="AX123" i="1"/>
  <c r="AY123" i="1"/>
  <c r="BF123" i="1"/>
  <c r="AU6" i="1"/>
  <c r="AV6" i="1"/>
  <c r="AW6" i="1"/>
  <c r="AX6" i="1"/>
  <c r="AY6" i="1"/>
  <c r="BF6" i="1"/>
  <c r="AU330" i="1"/>
  <c r="AV330" i="1"/>
  <c r="AW330" i="1"/>
  <c r="AX330" i="1"/>
  <c r="AY330" i="1"/>
  <c r="BF330" i="1"/>
  <c r="AU421" i="1"/>
  <c r="AV421" i="1"/>
  <c r="AW421" i="1"/>
  <c r="AX421" i="1"/>
  <c r="AY421" i="1"/>
  <c r="BF421" i="1"/>
  <c r="AU400" i="1"/>
  <c r="AV400" i="1"/>
  <c r="AW400" i="1"/>
  <c r="AX400" i="1"/>
  <c r="AY400" i="1"/>
  <c r="BF400" i="1"/>
  <c r="AU23" i="1"/>
  <c r="AV23" i="1"/>
  <c r="AW23" i="1"/>
  <c r="AX23" i="1"/>
  <c r="AY23" i="1"/>
  <c r="BF23" i="1"/>
  <c r="AU207" i="1"/>
  <c r="AV207" i="1"/>
  <c r="AW207" i="1"/>
  <c r="AX207" i="1"/>
  <c r="AY207" i="1"/>
  <c r="BF207" i="1"/>
  <c r="AU264" i="1"/>
  <c r="AV264" i="1"/>
  <c r="AW264" i="1"/>
  <c r="AX264" i="1"/>
  <c r="AY264" i="1"/>
  <c r="BF264" i="1"/>
  <c r="AU227" i="1"/>
  <c r="AV227" i="1"/>
  <c r="AW227" i="1"/>
  <c r="AX227" i="1"/>
  <c r="AY227" i="1"/>
  <c r="BF227" i="1"/>
  <c r="AU250" i="1"/>
  <c r="AV250" i="1"/>
  <c r="AW250" i="1"/>
  <c r="AX250" i="1"/>
  <c r="AY250" i="1"/>
  <c r="BF250" i="1"/>
  <c r="AU120" i="1"/>
  <c r="AV120" i="1"/>
  <c r="AW120" i="1"/>
  <c r="AX120" i="1"/>
  <c r="AY120" i="1"/>
  <c r="BF120" i="1"/>
  <c r="AU8" i="1"/>
  <c r="AV8" i="1"/>
  <c r="AW8" i="1"/>
  <c r="AX8" i="1"/>
  <c r="AY8" i="1"/>
  <c r="BF8" i="1"/>
  <c r="AU204" i="1"/>
  <c r="AV204" i="1"/>
  <c r="AW204" i="1"/>
  <c r="AX204" i="1"/>
  <c r="AY204" i="1"/>
  <c r="BF204" i="1"/>
  <c r="AU162" i="1"/>
  <c r="AV162" i="1"/>
  <c r="AW162" i="1"/>
  <c r="AX162" i="1"/>
  <c r="AY162" i="1"/>
  <c r="BF162" i="1"/>
  <c r="AU46" i="1"/>
  <c r="AV46" i="1"/>
  <c r="AW46" i="1"/>
  <c r="AX46" i="1"/>
  <c r="AY46" i="1"/>
  <c r="BF46" i="1"/>
  <c r="AU298" i="1"/>
  <c r="AV298" i="1"/>
  <c r="AW298" i="1"/>
  <c r="AX298" i="1"/>
  <c r="AY298" i="1"/>
  <c r="BF298" i="1"/>
  <c r="AU127" i="1"/>
  <c r="AV127" i="1"/>
  <c r="AW127" i="1"/>
  <c r="AX127" i="1"/>
  <c r="AY127" i="1"/>
  <c r="BF127" i="1"/>
  <c r="AU241" i="1"/>
  <c r="AV241" i="1"/>
  <c r="AW241" i="1"/>
  <c r="AX241" i="1"/>
  <c r="AY241" i="1"/>
  <c r="BF241" i="1"/>
  <c r="AU237" i="1"/>
  <c r="AV237" i="1"/>
  <c r="AW237" i="1"/>
  <c r="AX237" i="1"/>
  <c r="AY237" i="1"/>
  <c r="BF237" i="1"/>
  <c r="AU80" i="1"/>
  <c r="AV80" i="1"/>
  <c r="AW80" i="1"/>
  <c r="AX80" i="1"/>
  <c r="AY80" i="1"/>
  <c r="BF80" i="1"/>
  <c r="AU179" i="1"/>
  <c r="AV179" i="1"/>
  <c r="AW179" i="1"/>
  <c r="AX179" i="1"/>
  <c r="AY179" i="1"/>
  <c r="BF179" i="1"/>
  <c r="AU310" i="1"/>
  <c r="AV310" i="1"/>
  <c r="AW310" i="1"/>
  <c r="AX310" i="1"/>
  <c r="AY310" i="1"/>
  <c r="BF310" i="1"/>
  <c r="AU54" i="1"/>
  <c r="AV54" i="1"/>
  <c r="AW54" i="1"/>
  <c r="AX54" i="1"/>
  <c r="AY54" i="1"/>
  <c r="BF54" i="1"/>
  <c r="AU53" i="1"/>
  <c r="AV53" i="1"/>
  <c r="AW53" i="1"/>
  <c r="AX53" i="1"/>
  <c r="AY53" i="1"/>
  <c r="BF53" i="1"/>
  <c r="AU246" i="1"/>
  <c r="AV246" i="1"/>
  <c r="AW246" i="1"/>
  <c r="AX246" i="1"/>
  <c r="AY246" i="1"/>
  <c r="BF246" i="1"/>
  <c r="AU159" i="1"/>
  <c r="AV159" i="1"/>
  <c r="AW159" i="1"/>
  <c r="AX159" i="1"/>
  <c r="AY159" i="1"/>
  <c r="BF159" i="1"/>
  <c r="AU73" i="1"/>
  <c r="AV73" i="1"/>
  <c r="AW73" i="1"/>
  <c r="AX73" i="1"/>
  <c r="AY73" i="1"/>
  <c r="BF73" i="1"/>
  <c r="AU167" i="1"/>
  <c r="AV167" i="1"/>
  <c r="AW167" i="1"/>
  <c r="AX167" i="1"/>
  <c r="AY167" i="1"/>
  <c r="BF167" i="1"/>
  <c r="AU353" i="1"/>
  <c r="AV353" i="1"/>
  <c r="AW353" i="1"/>
  <c r="AX353" i="1"/>
  <c r="AY353" i="1"/>
  <c r="BF353" i="1"/>
  <c r="AU293" i="1"/>
  <c r="AV293" i="1"/>
  <c r="AW293" i="1"/>
  <c r="AX293" i="1"/>
  <c r="AY293" i="1"/>
  <c r="BF293" i="1"/>
  <c r="AU202" i="1"/>
  <c r="AV202" i="1"/>
  <c r="AW202" i="1"/>
  <c r="AX202" i="1"/>
  <c r="AY202" i="1"/>
  <c r="BF202" i="1"/>
  <c r="AU231" i="1"/>
  <c r="AV231" i="1"/>
  <c r="AW231" i="1"/>
  <c r="AX231" i="1"/>
  <c r="AY231" i="1"/>
  <c r="BF231" i="1"/>
  <c r="AU176" i="1"/>
  <c r="AV176" i="1"/>
  <c r="AW176" i="1"/>
  <c r="AX176" i="1"/>
  <c r="AY176" i="1"/>
  <c r="BF176" i="1"/>
  <c r="AU215" i="1"/>
  <c r="AV215" i="1"/>
  <c r="AW215" i="1"/>
  <c r="AX215" i="1"/>
  <c r="AY215" i="1"/>
  <c r="BF215" i="1"/>
  <c r="AU419" i="1"/>
  <c r="AV419" i="1"/>
  <c r="AW419" i="1"/>
  <c r="AX419" i="1"/>
  <c r="AY419" i="1"/>
  <c r="BF419" i="1"/>
  <c r="AU149" i="1"/>
  <c r="AV149" i="1"/>
  <c r="AW149" i="1"/>
  <c r="AX149" i="1"/>
  <c r="AY149" i="1"/>
  <c r="BF149" i="1"/>
  <c r="AU366" i="1"/>
  <c r="AV366" i="1"/>
  <c r="AW366" i="1"/>
  <c r="AX366" i="1"/>
  <c r="AY366" i="1"/>
  <c r="BF366" i="1"/>
  <c r="AU151" i="1"/>
  <c r="AV151" i="1"/>
  <c r="AW151" i="1"/>
  <c r="AX151" i="1"/>
  <c r="AY151" i="1"/>
  <c r="BF151" i="1"/>
  <c r="AU334" i="1"/>
  <c r="AV334" i="1"/>
  <c r="AW334" i="1"/>
  <c r="AX334" i="1"/>
  <c r="AY334" i="1"/>
  <c r="BF334" i="1"/>
  <c r="AU10" i="1"/>
  <c r="AV10" i="1"/>
  <c r="AW10" i="1"/>
  <c r="AX10" i="1"/>
  <c r="AY10" i="1"/>
  <c r="BF10" i="1"/>
  <c r="AU68" i="1"/>
  <c r="AV68" i="1"/>
  <c r="AW68" i="1"/>
  <c r="AX68" i="1"/>
  <c r="AY68" i="1"/>
  <c r="BF68" i="1"/>
  <c r="AU406" i="1"/>
  <c r="AV406" i="1"/>
  <c r="AW406" i="1"/>
  <c r="AX406" i="1"/>
  <c r="AY406" i="1"/>
  <c r="BF406" i="1"/>
  <c r="AU254" i="1"/>
  <c r="AV254" i="1"/>
  <c r="AW254" i="1"/>
  <c r="AX254" i="1"/>
  <c r="AY254" i="1"/>
  <c r="BF254" i="1"/>
  <c r="AU210" i="1"/>
  <c r="AV210" i="1"/>
  <c r="AW210" i="1"/>
  <c r="AX210" i="1"/>
  <c r="AY210" i="1"/>
  <c r="BF210" i="1"/>
  <c r="AU376" i="1"/>
  <c r="AV376" i="1"/>
  <c r="AW376" i="1"/>
  <c r="AX376" i="1"/>
  <c r="AY376" i="1"/>
  <c r="BF376" i="1"/>
  <c r="AU186" i="1"/>
  <c r="AV186" i="1"/>
  <c r="AW186" i="1"/>
  <c r="AX186" i="1"/>
  <c r="AY186" i="1"/>
  <c r="BF186" i="1"/>
  <c r="AU209" i="1"/>
  <c r="AV209" i="1"/>
  <c r="AW209" i="1"/>
  <c r="AX209" i="1"/>
  <c r="AY209" i="1"/>
  <c r="BF209" i="1"/>
  <c r="AU413" i="1"/>
  <c r="AV413" i="1"/>
  <c r="AW413" i="1"/>
  <c r="AX413" i="1"/>
  <c r="AY413" i="1"/>
  <c r="BF413" i="1"/>
  <c r="AU88" i="1"/>
  <c r="AV88" i="1"/>
  <c r="AW88" i="1"/>
  <c r="AX88" i="1"/>
  <c r="AY88" i="1"/>
  <c r="BF88" i="1"/>
  <c r="AU300" i="1"/>
  <c r="AV300" i="1"/>
  <c r="AW300" i="1"/>
  <c r="AX300" i="1"/>
  <c r="AY300" i="1"/>
  <c r="BF300" i="1"/>
  <c r="AU344" i="1"/>
  <c r="AV344" i="1"/>
  <c r="AW344" i="1"/>
  <c r="AX344" i="1"/>
  <c r="AY344" i="1"/>
  <c r="BF344" i="1"/>
  <c r="AU368" i="1"/>
  <c r="AV368" i="1"/>
  <c r="AW368" i="1"/>
  <c r="AX368" i="1"/>
  <c r="AY368" i="1"/>
  <c r="BF368" i="1"/>
  <c r="AU160" i="1"/>
  <c r="AV160" i="1"/>
  <c r="AW160" i="1"/>
  <c r="AX160" i="1"/>
  <c r="AY160" i="1"/>
  <c r="BF160" i="1"/>
  <c r="AU208" i="1"/>
  <c r="AV208" i="1"/>
  <c r="AW208" i="1"/>
  <c r="AX208" i="1"/>
  <c r="AY208" i="1"/>
  <c r="BF208" i="1"/>
  <c r="AU220" i="1"/>
  <c r="AV220" i="1"/>
  <c r="AW220" i="1"/>
  <c r="AX220" i="1"/>
  <c r="AY220" i="1"/>
  <c r="BF220" i="1"/>
  <c r="AU189" i="1"/>
  <c r="AV189" i="1"/>
  <c r="AW189" i="1"/>
  <c r="AX189" i="1"/>
  <c r="AY189" i="1"/>
  <c r="BF189" i="1"/>
  <c r="AU32" i="1"/>
  <c r="AV32" i="1"/>
  <c r="AW32" i="1"/>
  <c r="AX32" i="1"/>
  <c r="AY32" i="1"/>
  <c r="BF32" i="1"/>
  <c r="AU244" i="1"/>
  <c r="AV244" i="1"/>
  <c r="AW244" i="1"/>
  <c r="AX244" i="1"/>
  <c r="AY244" i="1"/>
  <c r="BF244" i="1"/>
  <c r="AU197" i="1"/>
  <c r="AV197" i="1"/>
  <c r="AW197" i="1"/>
  <c r="AX197" i="1"/>
  <c r="AY197" i="1"/>
  <c r="BF197" i="1"/>
  <c r="AU85" i="1"/>
  <c r="AV85" i="1"/>
  <c r="AW85" i="1"/>
  <c r="AX85" i="1"/>
  <c r="AY85" i="1"/>
  <c r="BF85" i="1"/>
  <c r="AU374" i="1"/>
  <c r="AV374" i="1"/>
  <c r="AW374" i="1"/>
  <c r="AX374" i="1"/>
  <c r="AY374" i="1"/>
  <c r="BF374" i="1"/>
  <c r="AU342" i="1"/>
  <c r="AV342" i="1"/>
  <c r="AW342" i="1"/>
  <c r="AX342" i="1"/>
  <c r="AY342" i="1"/>
  <c r="BF342" i="1"/>
  <c r="AU409" i="1"/>
  <c r="AV409" i="1"/>
  <c r="AW409" i="1"/>
  <c r="AX409" i="1"/>
  <c r="AY409" i="1"/>
  <c r="BF409" i="1"/>
  <c r="AU119" i="1"/>
  <c r="AV119" i="1"/>
  <c r="AW119" i="1"/>
  <c r="AX119" i="1"/>
  <c r="AY119" i="1"/>
  <c r="BF119" i="1"/>
  <c r="AU174" i="1"/>
  <c r="AV174" i="1"/>
  <c r="AW174" i="1"/>
  <c r="AX174" i="1"/>
  <c r="AY174" i="1"/>
  <c r="BF174" i="1"/>
  <c r="AU52" i="1"/>
  <c r="AV52" i="1"/>
  <c r="AW52" i="1"/>
  <c r="AX52" i="1"/>
  <c r="AY52" i="1"/>
  <c r="BF52" i="1"/>
  <c r="AU239" i="1"/>
  <c r="AV239" i="1"/>
  <c r="AW239" i="1"/>
  <c r="AX239" i="1"/>
  <c r="AY239" i="1"/>
  <c r="BF239" i="1"/>
  <c r="AU393" i="1"/>
  <c r="AV393" i="1"/>
  <c r="AW393" i="1"/>
  <c r="AX393" i="1"/>
  <c r="AY393" i="1"/>
  <c r="BF393" i="1"/>
  <c r="AU305" i="1"/>
  <c r="AV305" i="1"/>
  <c r="AW305" i="1"/>
  <c r="AX305" i="1"/>
  <c r="AY305" i="1"/>
  <c r="BF305" i="1"/>
  <c r="AU216" i="1"/>
  <c r="AV216" i="1"/>
  <c r="AW216" i="1"/>
  <c r="AX216" i="1"/>
  <c r="AY216" i="1"/>
  <c r="BF216" i="1"/>
  <c r="AU433" i="1"/>
  <c r="AV433" i="1"/>
  <c r="AW433" i="1"/>
  <c r="AX433" i="1"/>
  <c r="AY433" i="1"/>
  <c r="BF433" i="1"/>
  <c r="AU314" i="1"/>
  <c r="AV314" i="1"/>
  <c r="AW314" i="1"/>
  <c r="AX314" i="1"/>
  <c r="AY314" i="1"/>
  <c r="BF314" i="1"/>
  <c r="AU235" i="1"/>
  <c r="AV235" i="1"/>
  <c r="AW235" i="1"/>
  <c r="AX235" i="1"/>
  <c r="AY235" i="1"/>
  <c r="BF235" i="1"/>
  <c r="AU290" i="1"/>
  <c r="AV290" i="1"/>
  <c r="AW290" i="1"/>
  <c r="AX290" i="1"/>
  <c r="AY290" i="1"/>
  <c r="BF290" i="1"/>
  <c r="AU51" i="1"/>
  <c r="AV51" i="1"/>
  <c r="AW51" i="1"/>
  <c r="AX51" i="1"/>
  <c r="AY51" i="1"/>
  <c r="BF51" i="1"/>
  <c r="AU129" i="1"/>
  <c r="AV129" i="1"/>
  <c r="AW129" i="1"/>
  <c r="AX129" i="1"/>
  <c r="AY129" i="1"/>
  <c r="BF129" i="1"/>
  <c r="AU87" i="1"/>
  <c r="AV87" i="1"/>
  <c r="AW87" i="1"/>
  <c r="AX87" i="1"/>
  <c r="AY87" i="1"/>
  <c r="BF87" i="1"/>
  <c r="AU401" i="1"/>
  <c r="AV401" i="1"/>
  <c r="AW401" i="1"/>
  <c r="AX401" i="1"/>
  <c r="AY401" i="1"/>
  <c r="BF401" i="1"/>
  <c r="AU308" i="1"/>
  <c r="AV308" i="1"/>
  <c r="AW308" i="1"/>
  <c r="AX308" i="1"/>
  <c r="AY308" i="1"/>
  <c r="BF308" i="1"/>
  <c r="AU61" i="1"/>
  <c r="AV61" i="1"/>
  <c r="AW61" i="1"/>
  <c r="AX61" i="1"/>
  <c r="AY61" i="1"/>
  <c r="BF61" i="1"/>
  <c r="AU20" i="1"/>
  <c r="AV20" i="1"/>
  <c r="AW20" i="1"/>
  <c r="AX20" i="1"/>
  <c r="AY20" i="1"/>
  <c r="BF20" i="1"/>
  <c r="AU351" i="1"/>
  <c r="AV351" i="1"/>
  <c r="AW351" i="1"/>
  <c r="AX351" i="1"/>
  <c r="AY351" i="1"/>
  <c r="BF351" i="1"/>
  <c r="AU339" i="1"/>
  <c r="AV339" i="1"/>
  <c r="AW339" i="1"/>
  <c r="AX339" i="1"/>
  <c r="AY339" i="1"/>
  <c r="BF339" i="1"/>
  <c r="AU296" i="1"/>
  <c r="AV296" i="1"/>
  <c r="AW296" i="1"/>
  <c r="AX296" i="1"/>
  <c r="AY296" i="1"/>
  <c r="BF296" i="1"/>
  <c r="AU287" i="1"/>
  <c r="AV287" i="1"/>
  <c r="AW287" i="1"/>
  <c r="AX287" i="1"/>
  <c r="AY287" i="1"/>
  <c r="BF287" i="1"/>
  <c r="AU275" i="1"/>
  <c r="AV275" i="1"/>
  <c r="AW275" i="1"/>
  <c r="AX275" i="1"/>
  <c r="AY275" i="1"/>
  <c r="BF275" i="1"/>
  <c r="AU387" i="1"/>
  <c r="AV387" i="1"/>
  <c r="AW387" i="1"/>
  <c r="AX387" i="1"/>
  <c r="AY387" i="1"/>
  <c r="BF387" i="1"/>
  <c r="AU265" i="1"/>
  <c r="AV265" i="1"/>
  <c r="AW265" i="1"/>
  <c r="AX265" i="1"/>
  <c r="AY265" i="1"/>
  <c r="BF265" i="1"/>
  <c r="AU270" i="1"/>
  <c r="AV270" i="1"/>
  <c r="AW270" i="1"/>
  <c r="AX270" i="1"/>
  <c r="AY270" i="1"/>
  <c r="BF270" i="1"/>
  <c r="AU131" i="1"/>
  <c r="AV131" i="1"/>
  <c r="AW131" i="1"/>
  <c r="AX131" i="1"/>
  <c r="AY131" i="1"/>
  <c r="BF131" i="1"/>
  <c r="AU211" i="1"/>
  <c r="AV211" i="1"/>
  <c r="AW211" i="1"/>
  <c r="AX211" i="1"/>
  <c r="AY211" i="1"/>
  <c r="BF211" i="1"/>
  <c r="AU302" i="1"/>
  <c r="AV302" i="1"/>
  <c r="AW302" i="1"/>
  <c r="AX302" i="1"/>
  <c r="AY302" i="1"/>
  <c r="BF302" i="1"/>
  <c r="AU41" i="1"/>
  <c r="AV41" i="1"/>
  <c r="AW41" i="1"/>
  <c r="AX41" i="1"/>
  <c r="AY41" i="1"/>
  <c r="BF41" i="1"/>
  <c r="AU429" i="1"/>
  <c r="AV429" i="1"/>
  <c r="AW429" i="1"/>
  <c r="AX429" i="1"/>
  <c r="AY429" i="1"/>
  <c r="BF429" i="1"/>
  <c r="AU315" i="1"/>
  <c r="AV315" i="1"/>
  <c r="AW315" i="1"/>
  <c r="AX315" i="1"/>
  <c r="AY315" i="1"/>
  <c r="BF315" i="1"/>
  <c r="AU269" i="1"/>
  <c r="AV269" i="1"/>
  <c r="AW269" i="1"/>
  <c r="AX269" i="1"/>
  <c r="AY269" i="1"/>
  <c r="BF269" i="1"/>
  <c r="AU395" i="1"/>
  <c r="AV395" i="1"/>
  <c r="AW395" i="1"/>
  <c r="AX395" i="1"/>
  <c r="AY395" i="1"/>
  <c r="BF395" i="1"/>
  <c r="AU66" i="1"/>
  <c r="AV66" i="1"/>
  <c r="AW66" i="1"/>
  <c r="AX66" i="1"/>
  <c r="AY66" i="1"/>
  <c r="BF66" i="1"/>
  <c r="AU29" i="1"/>
  <c r="AV29" i="1"/>
  <c r="AW29" i="1"/>
  <c r="AX29" i="1"/>
  <c r="AY29" i="1"/>
  <c r="BF29" i="1"/>
  <c r="AU50" i="1"/>
  <c r="AV50" i="1"/>
  <c r="AW50" i="1"/>
  <c r="AX50" i="1"/>
  <c r="AY50" i="1"/>
  <c r="BF50" i="1"/>
  <c r="AU142" i="1"/>
  <c r="AV142" i="1"/>
  <c r="AW142" i="1"/>
  <c r="AX142" i="1"/>
  <c r="AY142" i="1"/>
  <c r="BF142" i="1"/>
  <c r="AU438" i="1"/>
  <c r="AV438" i="1"/>
  <c r="AW438" i="1"/>
  <c r="AX438" i="1"/>
  <c r="AY438" i="1"/>
  <c r="BF438" i="1"/>
  <c r="AU193" i="1"/>
  <c r="AV193" i="1"/>
  <c r="AW193" i="1"/>
  <c r="AX193" i="1"/>
  <c r="AY193" i="1"/>
  <c r="BF193" i="1"/>
  <c r="AU137" i="1"/>
  <c r="AV137" i="1"/>
  <c r="AW137" i="1"/>
  <c r="AX137" i="1"/>
  <c r="AY137" i="1"/>
  <c r="BF137" i="1"/>
  <c r="AU323" i="1"/>
  <c r="AV323" i="1"/>
  <c r="AW323" i="1"/>
  <c r="AX323" i="1"/>
  <c r="AY323" i="1"/>
  <c r="BF323" i="1"/>
  <c r="AU84" i="1"/>
  <c r="AV84" i="1"/>
  <c r="AW84" i="1"/>
  <c r="AX84" i="1"/>
  <c r="AY84" i="1"/>
  <c r="BF84" i="1"/>
  <c r="AU64" i="1"/>
  <c r="AV64" i="1"/>
  <c r="AW64" i="1"/>
  <c r="AX64" i="1"/>
  <c r="AY64" i="1"/>
  <c r="BF64" i="1"/>
  <c r="AU257" i="1"/>
  <c r="AV257" i="1"/>
  <c r="AW257" i="1"/>
  <c r="AX257" i="1"/>
  <c r="AY257" i="1"/>
  <c r="BF257" i="1"/>
  <c r="AU37" i="1"/>
  <c r="AV37" i="1"/>
  <c r="AW37" i="1"/>
  <c r="AX37" i="1"/>
  <c r="AY37" i="1"/>
  <c r="BF37" i="1"/>
  <c r="AU416" i="1"/>
  <c r="AV416" i="1"/>
  <c r="AW416" i="1"/>
  <c r="AX416" i="1"/>
  <c r="AY416" i="1"/>
  <c r="BF416" i="1"/>
  <c r="AU405" i="1"/>
  <c r="AV405" i="1"/>
  <c r="AW405" i="1"/>
  <c r="AX405" i="1"/>
  <c r="AY405" i="1"/>
  <c r="BF405" i="1"/>
  <c r="AU291" i="1"/>
  <c r="AV291" i="1"/>
  <c r="AW291" i="1"/>
  <c r="AX291" i="1"/>
  <c r="AY291" i="1"/>
  <c r="BF291" i="1"/>
  <c r="AU175" i="1"/>
  <c r="AV175" i="1"/>
  <c r="AW175" i="1"/>
  <c r="AX175" i="1"/>
  <c r="AY175" i="1"/>
  <c r="BF175" i="1"/>
  <c r="AU355" i="1"/>
  <c r="AV355" i="1"/>
  <c r="AW355" i="1"/>
  <c r="AX355" i="1"/>
  <c r="AY355" i="1"/>
  <c r="BF355" i="1"/>
  <c r="AU117" i="1"/>
  <c r="AV117" i="1"/>
  <c r="AW117" i="1"/>
  <c r="AX117" i="1"/>
  <c r="AY117" i="1"/>
  <c r="BF117" i="1"/>
  <c r="AU128" i="1"/>
  <c r="AV128" i="1"/>
  <c r="AW128" i="1"/>
  <c r="AX128" i="1"/>
  <c r="AY128" i="1"/>
  <c r="BF128" i="1"/>
  <c r="AU223" i="1"/>
  <c r="AV223" i="1"/>
  <c r="AW223" i="1"/>
  <c r="AX223" i="1"/>
  <c r="AY223" i="1"/>
  <c r="BF223" i="1"/>
  <c r="AU148" i="1"/>
  <c r="AV148" i="1"/>
  <c r="AW148" i="1"/>
  <c r="AX148" i="1"/>
  <c r="AY148" i="1"/>
  <c r="BF148" i="1"/>
  <c r="AU253" i="1"/>
  <c r="AV253" i="1"/>
  <c r="AW253" i="1"/>
  <c r="AX253" i="1"/>
  <c r="AY253" i="1"/>
  <c r="BF253" i="1"/>
  <c r="AU25" i="1"/>
  <c r="AV25" i="1"/>
  <c r="AW25" i="1"/>
  <c r="AX25" i="1"/>
  <c r="AY25" i="1"/>
  <c r="BF25" i="1"/>
  <c r="AU121" i="1"/>
  <c r="AV121" i="1"/>
  <c r="AW121" i="1"/>
  <c r="AX121" i="1"/>
  <c r="AY121" i="1"/>
  <c r="BF121" i="1"/>
  <c r="AU31" i="1"/>
  <c r="AV31" i="1"/>
  <c r="AW31" i="1"/>
  <c r="AX31" i="1"/>
  <c r="AY31" i="1"/>
  <c r="BF31" i="1"/>
  <c r="AU230" i="1"/>
  <c r="AV230" i="1"/>
  <c r="AW230" i="1"/>
  <c r="AX230" i="1"/>
  <c r="AY230" i="1"/>
  <c r="BF230" i="1"/>
  <c r="AU313" i="1"/>
  <c r="AV313" i="1"/>
  <c r="AW313" i="1"/>
  <c r="AX313" i="1"/>
  <c r="AY313" i="1"/>
  <c r="BF313" i="1"/>
  <c r="AU382" i="1"/>
  <c r="AV382" i="1"/>
  <c r="AW382" i="1"/>
  <c r="AX382" i="1"/>
  <c r="AY382" i="1"/>
  <c r="BF382" i="1"/>
  <c r="AU155" i="1"/>
  <c r="AV155" i="1"/>
  <c r="AW155" i="1"/>
  <c r="AX155" i="1"/>
  <c r="AY155" i="1"/>
  <c r="BF155" i="1"/>
  <c r="AU295" i="1"/>
  <c r="AV295" i="1"/>
  <c r="AW295" i="1"/>
  <c r="AX295" i="1"/>
  <c r="AY295" i="1"/>
  <c r="BF295" i="1"/>
  <c r="AU273" i="1"/>
  <c r="AV273" i="1"/>
  <c r="AW273" i="1"/>
  <c r="AX273" i="1"/>
  <c r="AY273" i="1"/>
  <c r="BF273" i="1"/>
  <c r="AU42" i="1"/>
  <c r="AV42" i="1"/>
  <c r="AW42" i="1"/>
  <c r="AX42" i="1"/>
  <c r="AY42" i="1"/>
  <c r="BF42" i="1"/>
  <c r="AU309" i="1"/>
  <c r="AV309" i="1"/>
  <c r="AW309" i="1"/>
  <c r="AX309" i="1"/>
  <c r="AY309" i="1"/>
  <c r="BF309" i="1"/>
  <c r="AU93" i="1"/>
  <c r="AV93" i="1"/>
  <c r="AW93" i="1"/>
  <c r="AX93" i="1"/>
  <c r="AY93" i="1"/>
  <c r="BF93" i="1"/>
  <c r="AU383" i="1"/>
  <c r="AV383" i="1"/>
  <c r="AW383" i="1"/>
  <c r="AX383" i="1"/>
  <c r="AY383" i="1"/>
  <c r="BF383" i="1"/>
  <c r="AU377" i="1"/>
  <c r="AV377" i="1"/>
  <c r="AW377" i="1"/>
  <c r="AX377" i="1"/>
  <c r="AY377" i="1"/>
  <c r="BF377" i="1"/>
  <c r="AU432" i="1"/>
  <c r="AV432" i="1"/>
  <c r="AW432" i="1"/>
  <c r="AX432" i="1"/>
  <c r="AY432" i="1"/>
  <c r="BF432" i="1"/>
  <c r="AU115" i="1"/>
  <c r="AV115" i="1"/>
  <c r="AW115" i="1"/>
  <c r="AX115" i="1"/>
  <c r="AY115" i="1"/>
  <c r="BF115" i="1"/>
  <c r="AU263" i="1"/>
  <c r="AV263" i="1"/>
  <c r="AW263" i="1"/>
  <c r="AX263" i="1"/>
  <c r="AY263" i="1"/>
  <c r="BF263" i="1"/>
  <c r="AU321" i="1"/>
  <c r="AV321" i="1"/>
  <c r="AW321" i="1"/>
  <c r="AX321" i="1"/>
  <c r="AY321" i="1"/>
  <c r="BF321" i="1"/>
  <c r="AU236" i="1"/>
  <c r="AV236" i="1"/>
  <c r="AW236" i="1"/>
  <c r="AX236" i="1"/>
  <c r="AY236" i="1"/>
  <c r="BF236" i="1"/>
  <c r="AU63" i="1"/>
  <c r="AV63" i="1"/>
  <c r="AW63" i="1"/>
  <c r="AX63" i="1"/>
  <c r="AY63" i="1"/>
  <c r="BF63" i="1"/>
  <c r="AU424" i="1"/>
  <c r="AV424" i="1"/>
  <c r="AW424" i="1"/>
  <c r="AX424" i="1"/>
  <c r="AY424" i="1"/>
  <c r="BF424" i="1"/>
  <c r="AU205" i="1"/>
  <c r="AV205" i="1"/>
  <c r="AW205" i="1"/>
  <c r="AX205" i="1"/>
  <c r="AY205" i="1"/>
  <c r="BF205" i="1"/>
  <c r="AU384" i="1"/>
  <c r="AV384" i="1"/>
  <c r="AW384" i="1"/>
  <c r="AX384" i="1"/>
  <c r="AY384" i="1"/>
  <c r="BF384" i="1"/>
  <c r="AU332" i="1"/>
  <c r="AV332" i="1"/>
  <c r="AW332" i="1"/>
  <c r="AX332" i="1"/>
  <c r="AY332" i="1"/>
  <c r="BF332" i="1"/>
  <c r="AU325" i="1"/>
  <c r="AV325" i="1"/>
  <c r="AW325" i="1"/>
  <c r="AX325" i="1"/>
  <c r="AY325" i="1"/>
  <c r="BF325" i="1"/>
  <c r="AU365" i="1"/>
  <c r="AV365" i="1"/>
  <c r="AW365" i="1"/>
  <c r="AX365" i="1"/>
  <c r="AY365" i="1"/>
  <c r="BF365" i="1"/>
  <c r="AU71" i="1"/>
  <c r="AV71" i="1"/>
  <c r="AW71" i="1"/>
  <c r="AX71" i="1"/>
  <c r="AY71" i="1"/>
  <c r="BF71" i="1"/>
  <c r="AU434" i="1"/>
  <c r="AV434" i="1"/>
  <c r="AW434" i="1"/>
  <c r="AX434" i="1"/>
  <c r="AY434" i="1"/>
  <c r="BF434" i="1"/>
  <c r="AU192" i="1"/>
  <c r="AV192" i="1"/>
  <c r="AW192" i="1"/>
  <c r="AX192" i="1"/>
  <c r="AY192" i="1"/>
  <c r="BF192" i="1"/>
  <c r="AU47" i="1"/>
  <c r="AV47" i="1"/>
  <c r="AW47" i="1"/>
  <c r="AX47" i="1"/>
  <c r="AY47" i="1"/>
  <c r="BF47" i="1"/>
  <c r="AU13" i="1"/>
  <c r="AV13" i="1"/>
  <c r="AW13" i="1"/>
  <c r="AX13" i="1"/>
  <c r="AY13" i="1"/>
  <c r="BF13" i="1"/>
  <c r="AU248" i="1"/>
  <c r="AV248" i="1"/>
  <c r="AW248" i="1"/>
  <c r="AX248" i="1"/>
  <c r="AY248" i="1"/>
  <c r="BF248" i="1"/>
  <c r="AU19" i="1"/>
  <c r="AV19" i="1"/>
  <c r="AW19" i="1"/>
  <c r="AX19" i="1"/>
  <c r="AY19" i="1"/>
  <c r="BF19" i="1"/>
  <c r="AU69" i="1"/>
  <c r="AV69" i="1"/>
  <c r="AW69" i="1"/>
  <c r="AX69" i="1"/>
  <c r="AY69" i="1"/>
  <c r="BF69" i="1"/>
  <c r="AU356" i="1"/>
  <c r="AV356" i="1"/>
  <c r="AW356" i="1"/>
  <c r="AX356" i="1"/>
  <c r="AY356" i="1"/>
  <c r="BF356" i="1"/>
  <c r="AU62" i="1"/>
  <c r="AV62" i="1"/>
  <c r="AW62" i="1"/>
  <c r="AX62" i="1"/>
  <c r="AY62" i="1"/>
  <c r="BF62" i="1"/>
  <c r="AU272" i="1"/>
  <c r="AV272" i="1"/>
  <c r="AW272" i="1"/>
  <c r="AX272" i="1"/>
  <c r="AY272" i="1"/>
  <c r="BF272" i="1"/>
  <c r="AU279" i="1"/>
  <c r="AV279" i="1"/>
  <c r="AW279" i="1"/>
  <c r="AX279" i="1"/>
  <c r="AY279" i="1"/>
  <c r="BF279" i="1"/>
  <c r="AU415" i="1"/>
  <c r="AV415" i="1"/>
  <c r="AW415" i="1"/>
  <c r="AX415" i="1"/>
  <c r="AY415" i="1"/>
  <c r="BF415" i="1"/>
  <c r="AU59" i="1"/>
  <c r="AV59" i="1"/>
  <c r="AW59" i="1"/>
  <c r="AX59" i="1"/>
  <c r="AY59" i="1"/>
  <c r="BF59" i="1"/>
  <c r="AU203" i="1"/>
  <c r="AV203" i="1"/>
  <c r="AW203" i="1"/>
  <c r="AX203" i="1"/>
  <c r="AY203" i="1"/>
  <c r="BF203" i="1"/>
  <c r="AU102" i="1"/>
  <c r="AV102" i="1"/>
  <c r="AW102" i="1"/>
  <c r="AX102" i="1"/>
  <c r="AY102" i="1"/>
  <c r="BF102" i="1"/>
  <c r="AU407" i="1"/>
  <c r="AV407" i="1"/>
  <c r="AW407" i="1"/>
  <c r="AX407" i="1"/>
  <c r="AY407" i="1"/>
  <c r="BF407" i="1"/>
  <c r="AU345" i="1"/>
  <c r="AV345" i="1"/>
  <c r="AW345" i="1"/>
  <c r="AX345" i="1"/>
  <c r="AY345" i="1"/>
  <c r="BF345" i="1"/>
  <c r="AU49" i="1"/>
  <c r="AV49" i="1"/>
  <c r="AW49" i="1"/>
  <c r="AX49" i="1"/>
  <c r="AY49" i="1"/>
  <c r="BF49" i="1"/>
  <c r="AU335" i="1"/>
  <c r="AV335" i="1"/>
  <c r="AW335" i="1"/>
  <c r="AX335" i="1"/>
  <c r="AY335" i="1"/>
  <c r="BF335" i="1"/>
  <c r="AU435" i="1"/>
  <c r="AV435" i="1"/>
  <c r="AW435" i="1"/>
  <c r="AX435" i="1"/>
  <c r="AY435" i="1"/>
  <c r="BF435" i="1"/>
  <c r="AU94" i="1"/>
  <c r="AV94" i="1"/>
  <c r="AW94" i="1"/>
  <c r="AX94" i="1"/>
  <c r="AY94" i="1"/>
  <c r="BF94" i="1"/>
  <c r="AU14" i="1"/>
  <c r="AV14" i="1"/>
  <c r="AW14" i="1"/>
  <c r="AX14" i="1"/>
  <c r="AY14" i="1"/>
  <c r="BF14" i="1"/>
  <c r="AU431" i="1"/>
  <c r="AV431" i="1"/>
  <c r="AW431" i="1"/>
  <c r="AX431" i="1"/>
  <c r="AY431" i="1"/>
  <c r="BF431" i="1"/>
  <c r="AU5" i="1"/>
  <c r="AV5" i="1"/>
  <c r="AW5" i="1"/>
  <c r="AX5" i="1"/>
  <c r="AY5" i="1"/>
  <c r="BF5" i="1"/>
  <c r="AU348" i="1"/>
  <c r="AV348" i="1"/>
  <c r="AW348" i="1"/>
  <c r="AX348" i="1"/>
  <c r="AY348" i="1"/>
  <c r="BF348" i="1"/>
  <c r="AU218" i="1"/>
  <c r="AV218" i="1"/>
  <c r="AW218" i="1"/>
  <c r="AX218" i="1"/>
  <c r="AY218" i="1"/>
  <c r="BF218" i="1"/>
  <c r="AW458" i="2"/>
  <c r="AW328" i="2"/>
  <c r="AW136" i="2"/>
  <c r="AW132" i="2"/>
  <c r="AW88" i="2"/>
  <c r="AW339" i="2"/>
  <c r="AW385" i="2"/>
  <c r="AW445" i="2"/>
  <c r="AW165" i="2"/>
  <c r="AW161" i="2"/>
  <c r="AW448" i="2"/>
  <c r="AW226" i="2"/>
  <c r="AW214" i="2"/>
  <c r="AW80" i="2"/>
  <c r="AW457" i="2"/>
  <c r="AW89" i="2"/>
  <c r="AW19" i="2"/>
  <c r="AW57" i="2"/>
  <c r="AW36" i="2"/>
  <c r="AW313" i="2"/>
  <c r="AE74" i="3" l="1"/>
  <c r="AC387" i="3"/>
  <c r="AY234" i="2"/>
  <c r="BH141" i="1"/>
  <c r="BH311" i="1"/>
  <c r="AC364" i="3"/>
  <c r="AC495" i="3"/>
  <c r="K150" i="7"/>
  <c r="K11" i="7"/>
  <c r="J45" i="7"/>
  <c r="I99" i="7"/>
  <c r="K78" i="7"/>
  <c r="K132" i="7"/>
  <c r="J97" i="7"/>
  <c r="BH415" i="1"/>
  <c r="I68" i="7"/>
  <c r="AE38" i="3"/>
  <c r="K155" i="7"/>
  <c r="K107" i="7"/>
  <c r="I124" i="7"/>
  <c r="J21" i="7"/>
  <c r="AE219" i="3"/>
  <c r="J124" i="7"/>
  <c r="AE64" i="3"/>
  <c r="J96" i="7"/>
  <c r="J84" i="7"/>
  <c r="I152" i="7"/>
  <c r="I86" i="7"/>
  <c r="K45" i="7"/>
  <c r="K62" i="7"/>
  <c r="J152" i="7"/>
  <c r="J171" i="7"/>
  <c r="J102" i="7"/>
  <c r="J155" i="7"/>
  <c r="I112" i="7"/>
  <c r="J69" i="7"/>
  <c r="J112" i="7"/>
  <c r="AY390" i="2"/>
  <c r="BH93" i="1"/>
  <c r="BH434" i="1"/>
  <c r="BH41" i="1"/>
  <c r="AD849" i="3"/>
  <c r="AD539" i="3"/>
  <c r="AD227" i="3"/>
  <c r="AD710" i="3"/>
  <c r="Q661" i="3"/>
  <c r="Q765" i="3"/>
  <c r="BH6" i="1"/>
  <c r="BH96" i="1"/>
  <c r="AY342" i="2"/>
  <c r="AY366" i="2"/>
  <c r="AD145" i="3"/>
  <c r="AD304" i="3"/>
  <c r="AD254" i="3"/>
  <c r="AD596" i="3"/>
  <c r="AD659" i="3"/>
  <c r="AD38" i="3"/>
  <c r="AD326" i="3"/>
  <c r="AD51" i="3"/>
  <c r="AD112" i="3"/>
  <c r="AD561" i="3"/>
  <c r="AD524" i="3"/>
  <c r="AD566" i="3"/>
  <c r="AD647" i="3"/>
  <c r="AD301" i="3"/>
  <c r="AD217" i="3"/>
  <c r="AD307" i="3"/>
  <c r="AD30" i="3"/>
  <c r="AD765" i="3"/>
  <c r="AD558" i="3"/>
  <c r="AD31" i="3"/>
  <c r="AD213" i="3"/>
  <c r="AD867" i="3"/>
  <c r="AD664" i="3"/>
  <c r="AD160" i="3"/>
  <c r="AD156" i="3"/>
  <c r="AD495" i="3"/>
  <c r="AD729" i="3"/>
  <c r="AD745" i="3"/>
  <c r="AD503" i="3"/>
  <c r="AD518" i="3"/>
  <c r="AD308" i="3"/>
  <c r="AD576" i="3"/>
  <c r="AD95" i="3"/>
  <c r="AD549" i="3"/>
  <c r="AD755" i="3"/>
  <c r="AD410" i="3"/>
  <c r="AD519" i="3"/>
  <c r="AD271" i="3"/>
  <c r="AD686" i="3"/>
  <c r="AE125" i="3"/>
  <c r="AD727" i="3"/>
  <c r="AD488" i="3"/>
  <c r="AE727" i="3"/>
  <c r="AE267" i="3"/>
  <c r="I78" i="7"/>
  <c r="AE710" i="3"/>
  <c r="AD661" i="3"/>
  <c r="AD388" i="3"/>
  <c r="AE767" i="3"/>
  <c r="AE176" i="3"/>
  <c r="AD876" i="3"/>
  <c r="AE22" i="3"/>
  <c r="AD623" i="3"/>
  <c r="AD803" i="3"/>
  <c r="AE760" i="3"/>
  <c r="AE53" i="3"/>
  <c r="AD80" i="3"/>
  <c r="AD798" i="3"/>
  <c r="I190" i="7"/>
  <c r="AD425" i="3"/>
  <c r="AD300" i="3"/>
  <c r="AD888" i="3"/>
  <c r="I148" i="7"/>
  <c r="J138" i="7"/>
  <c r="AD597" i="3"/>
  <c r="I265" i="7"/>
  <c r="AD853" i="3"/>
  <c r="AE217" i="3"/>
  <c r="AD313" i="3"/>
  <c r="AE735" i="3"/>
  <c r="AE246" i="3"/>
  <c r="AE192" i="3"/>
  <c r="AD350" i="3"/>
  <c r="AD78" i="3"/>
  <c r="J576" i="7"/>
  <c r="J562" i="7"/>
  <c r="I318" i="7"/>
  <c r="I71" i="7"/>
  <c r="J334" i="7"/>
  <c r="AE160" i="3"/>
  <c r="J180" i="7"/>
  <c r="J220" i="7"/>
  <c r="J184" i="7"/>
  <c r="AE518" i="3"/>
  <c r="AD586" i="3"/>
  <c r="J453" i="7"/>
  <c r="I49" i="7"/>
  <c r="AD618" i="3"/>
  <c r="J269" i="7"/>
  <c r="I446" i="7"/>
  <c r="J372" i="7"/>
  <c r="AE591" i="3"/>
  <c r="AD742" i="3"/>
  <c r="I177" i="7"/>
  <c r="I104" i="7"/>
  <c r="AE849" i="3"/>
  <c r="AE30" i="3"/>
  <c r="AE623" i="3"/>
  <c r="AD464" i="3"/>
  <c r="AE9" i="3"/>
  <c r="AD296" i="3"/>
  <c r="I66" i="7"/>
  <c r="I46" i="7"/>
  <c r="J428" i="7"/>
  <c r="I160" i="7"/>
  <c r="I475" i="7"/>
  <c r="I238" i="7"/>
  <c r="AE254" i="3"/>
  <c r="AE224" i="3"/>
  <c r="AD651" i="3"/>
  <c r="J455" i="7"/>
  <c r="I517" i="7"/>
  <c r="I118" i="7"/>
  <c r="I377" i="7"/>
  <c r="J224" i="7"/>
  <c r="I149" i="7"/>
  <c r="J249" i="7"/>
  <c r="J484" i="7"/>
  <c r="I390" i="7"/>
  <c r="J95" i="7"/>
  <c r="I563" i="7"/>
  <c r="J237" i="7"/>
  <c r="I103" i="7"/>
  <c r="AE296" i="3"/>
  <c r="J132" i="7"/>
  <c r="J563" i="7"/>
  <c r="J177" i="7"/>
  <c r="J107" i="7"/>
  <c r="I460" i="7"/>
  <c r="I12" i="7"/>
  <c r="J213" i="7"/>
  <c r="AD103" i="3"/>
  <c r="AD281" i="3"/>
  <c r="AD487" i="3"/>
  <c r="I580" i="7"/>
  <c r="J512" i="7"/>
  <c r="J504" i="7"/>
  <c r="J78" i="7"/>
  <c r="I56" i="7"/>
  <c r="J315" i="7"/>
  <c r="J250" i="7"/>
  <c r="J505" i="7"/>
  <c r="I21" i="7"/>
  <c r="I535" i="7"/>
  <c r="AD196" i="3"/>
  <c r="AE751" i="3"/>
  <c r="J279" i="7"/>
  <c r="I450" i="7"/>
  <c r="J338" i="7"/>
  <c r="AE51" i="3"/>
  <c r="AE13" i="3"/>
  <c r="AD192" i="3"/>
  <c r="AD531" i="3"/>
  <c r="AE259" i="3"/>
  <c r="AD858" i="3"/>
  <c r="AD28" i="3"/>
  <c r="AD833" i="3"/>
  <c r="AE112" i="3"/>
  <c r="AE88" i="3"/>
  <c r="AD749" i="3"/>
  <c r="AD278" i="3"/>
  <c r="J346" i="7"/>
  <c r="AE250" i="3"/>
  <c r="AD9" i="3"/>
  <c r="AD53" i="3"/>
  <c r="AD532" i="3"/>
  <c r="AE207" i="3"/>
  <c r="AD13" i="3"/>
  <c r="AE199" i="3"/>
  <c r="AD147" i="3"/>
  <c r="AD328" i="3"/>
  <c r="AD252" i="3"/>
  <c r="AE604" i="3"/>
  <c r="AD694" i="3"/>
  <c r="AD624" i="3"/>
  <c r="AD198" i="3"/>
  <c r="AD444" i="3"/>
  <c r="AE808" i="3"/>
  <c r="AE28" i="3"/>
  <c r="AE304" i="3"/>
  <c r="AD142" i="3"/>
  <c r="AE328" i="3"/>
  <c r="AD274" i="3"/>
  <c r="AD64" i="3"/>
  <c r="J585" i="7"/>
  <c r="AE281" i="3"/>
  <c r="AD681" i="3"/>
  <c r="AE78" i="3"/>
  <c r="AD707" i="3"/>
  <c r="AE888" i="3"/>
  <c r="AD374" i="3"/>
  <c r="AE297" i="3"/>
  <c r="AE838" i="3"/>
  <c r="AD427" i="3"/>
  <c r="AE672" i="3"/>
  <c r="AD48" i="3"/>
  <c r="AD767" i="3"/>
  <c r="I310" i="7"/>
  <c r="AE340" i="3"/>
  <c r="AD466" i="3"/>
  <c r="AD108" i="3"/>
  <c r="AD148" i="3"/>
  <c r="AE681" i="3"/>
  <c r="AE593" i="3"/>
  <c r="AE630" i="3"/>
  <c r="AD176" i="3"/>
  <c r="AD448" i="3"/>
  <c r="AE278" i="3"/>
  <c r="AD133" i="3"/>
  <c r="AE182" i="3"/>
  <c r="AE27" i="3"/>
  <c r="AE108" i="3"/>
  <c r="AD672" i="3"/>
  <c r="AE142" i="3"/>
  <c r="AD880" i="3"/>
  <c r="AD131" i="3"/>
  <c r="AE316" i="3"/>
  <c r="AE331" i="3"/>
  <c r="AE241" i="3"/>
  <c r="AE312" i="3"/>
  <c r="AD323" i="3"/>
  <c r="AD407" i="3"/>
  <c r="AE833" i="3"/>
  <c r="AD138" i="3"/>
  <c r="AE288" i="3"/>
  <c r="AE8" i="3"/>
  <c r="AE300" i="3"/>
  <c r="AE92" i="3"/>
  <c r="AD497" i="3"/>
  <c r="AD210" i="3"/>
  <c r="AE271" i="3"/>
  <c r="AE307" i="3"/>
  <c r="AD318" i="3"/>
  <c r="AE210" i="3"/>
  <c r="AD27" i="3"/>
  <c r="J5" i="7"/>
  <c r="J221" i="7"/>
  <c r="J535" i="7"/>
  <c r="AE131" i="3"/>
  <c r="AE732" i="3"/>
  <c r="AE274" i="3"/>
  <c r="AE318" i="3"/>
  <c r="I123" i="7"/>
  <c r="I473" i="7"/>
  <c r="I301" i="7"/>
  <c r="I76" i="7"/>
  <c r="J313" i="7"/>
  <c r="J43" i="7"/>
  <c r="AD751" i="3"/>
  <c r="AD288" i="3"/>
  <c r="AD7" i="3"/>
  <c r="AE46" i="3"/>
  <c r="I342" i="7"/>
  <c r="I237" i="7"/>
  <c r="I171" i="7"/>
  <c r="J74" i="7"/>
  <c r="J555" i="7"/>
  <c r="J531" i="7"/>
  <c r="AE163" i="3"/>
  <c r="AE869" i="3"/>
  <c r="AD182" i="3"/>
  <c r="I346" i="7"/>
  <c r="AE133" i="3"/>
  <c r="AE407" i="3"/>
  <c r="AE85" i="3"/>
  <c r="AE540" i="3"/>
  <c r="AD440" i="3"/>
  <c r="J241" i="7"/>
  <c r="J561" i="7"/>
  <c r="J121" i="7"/>
  <c r="I408" i="7"/>
  <c r="I155" i="7"/>
  <c r="J487" i="7"/>
  <c r="AE145" i="3"/>
  <c r="AD879" i="3"/>
  <c r="J393" i="7"/>
  <c r="I451" i="7"/>
  <c r="I602" i="7"/>
  <c r="I565" i="7"/>
  <c r="I379" i="7"/>
  <c r="J310" i="7"/>
  <c r="AE279" i="3"/>
  <c r="AE877" i="3"/>
  <c r="AD543" i="3"/>
  <c r="AE626" i="3"/>
  <c r="AD540" i="3"/>
  <c r="AD204" i="3"/>
  <c r="AE147" i="3"/>
  <c r="AE252" i="3"/>
  <c r="AE184" i="3"/>
  <c r="AE138" i="3"/>
  <c r="AE558" i="3"/>
  <c r="AE745" i="3"/>
  <c r="AE227" i="3"/>
  <c r="J592" i="7"/>
  <c r="AD259" i="3"/>
  <c r="AD564" i="3"/>
  <c r="AE196" i="3"/>
  <c r="AE388" i="3"/>
  <c r="AE417" i="3"/>
  <c r="AD88" i="3"/>
  <c r="AD846" i="3"/>
  <c r="AD882" i="3"/>
  <c r="AD481" i="3"/>
  <c r="I607" i="7"/>
  <c r="AE48" i="3"/>
  <c r="J497" i="7"/>
  <c r="AD473" i="3"/>
  <c r="AD411" i="3"/>
  <c r="AD384" i="3"/>
  <c r="AD591" i="3"/>
  <c r="AD98" i="3"/>
  <c r="AD869" i="3"/>
  <c r="AD760" i="3"/>
  <c r="AE153" i="3"/>
  <c r="AE215" i="3"/>
  <c r="AE853" i="3"/>
  <c r="AD163" i="3"/>
  <c r="AE80" i="3"/>
  <c r="K326" i="7"/>
  <c r="AE576" i="3"/>
  <c r="AE464" i="3"/>
  <c r="AE876" i="3"/>
  <c r="AE294" i="3"/>
  <c r="AE158" i="3"/>
  <c r="J438" i="7"/>
  <c r="AD310" i="3"/>
  <c r="AE18" i="3"/>
  <c r="AD424" i="3"/>
  <c r="AD189" i="3"/>
  <c r="AE803" i="3"/>
  <c r="AD316" i="3"/>
  <c r="K394" i="7"/>
  <c r="AE261" i="3"/>
  <c r="AD528" i="3"/>
  <c r="K514" i="7"/>
  <c r="AE150" i="3"/>
  <c r="AD510" i="3"/>
  <c r="AE122" i="3"/>
  <c r="J606" i="7"/>
  <c r="AD172" i="3"/>
  <c r="AD331" i="3"/>
  <c r="AE859" i="3"/>
  <c r="AE198" i="3"/>
  <c r="AE156" i="3"/>
  <c r="AE620" i="3"/>
  <c r="K443" i="7"/>
  <c r="AE7" i="3"/>
  <c r="AE431" i="3"/>
  <c r="AE40" i="3"/>
  <c r="AD585" i="3"/>
  <c r="AD593" i="3"/>
  <c r="K457" i="7"/>
  <c r="K581" i="7"/>
  <c r="K492" i="7"/>
  <c r="K494" i="7"/>
  <c r="J62" i="7"/>
  <c r="J387" i="7"/>
  <c r="J238" i="7"/>
  <c r="J479" i="7"/>
  <c r="AE510" i="3"/>
  <c r="AD423" i="3"/>
  <c r="AE287" i="3"/>
  <c r="AD620" i="3"/>
  <c r="AE425" i="3"/>
  <c r="AE268" i="3"/>
  <c r="K300" i="7"/>
  <c r="K294" i="7"/>
  <c r="J567" i="7"/>
  <c r="J51" i="7"/>
  <c r="J546" i="7"/>
  <c r="AD150" i="3"/>
  <c r="I551" i="7"/>
  <c r="I42" i="7"/>
  <c r="I51" i="7"/>
  <c r="J106" i="7"/>
  <c r="AD158" i="3"/>
  <c r="AE885" i="3"/>
  <c r="AE585" i="3"/>
  <c r="J81" i="7"/>
  <c r="J599" i="7"/>
  <c r="J23" i="7"/>
  <c r="AD294" i="3"/>
  <c r="AD573" i="3"/>
  <c r="K442" i="7"/>
  <c r="K324" i="7"/>
  <c r="J583" i="7"/>
  <c r="J451" i="7"/>
  <c r="J208" i="7"/>
  <c r="J318" i="7"/>
  <c r="J549" i="7"/>
  <c r="AE10" i="3"/>
  <c r="AD657" i="3"/>
  <c r="I131" i="7"/>
  <c r="I504" i="7"/>
  <c r="I5" i="7"/>
  <c r="AE528" i="3"/>
  <c r="AE114" i="3"/>
  <c r="J11" i="7"/>
  <c r="J131" i="7"/>
  <c r="I432" i="7"/>
  <c r="I218" i="7"/>
  <c r="J83" i="7"/>
  <c r="AE213" i="3"/>
  <c r="K464" i="7"/>
  <c r="K510" i="7"/>
  <c r="I576" i="7"/>
  <c r="AE440" i="3"/>
  <c r="AE301" i="3"/>
  <c r="AD224" i="3"/>
  <c r="K317" i="7"/>
  <c r="K602" i="7"/>
  <c r="J564" i="7"/>
  <c r="K438" i="7"/>
  <c r="I606" i="7"/>
  <c r="I564" i="7"/>
  <c r="I425" i="7"/>
  <c r="AE148" i="3"/>
  <c r="AD859" i="3"/>
  <c r="AD37" i="3"/>
  <c r="AE313" i="3"/>
  <c r="K547" i="7"/>
  <c r="AE189" i="3"/>
  <c r="AE889" i="3"/>
  <c r="AE657" i="3"/>
  <c r="AE326" i="3"/>
  <c r="AD159" i="3"/>
  <c r="AD399" i="3"/>
  <c r="AD364" i="3"/>
  <c r="AE95" i="3"/>
  <c r="K482" i="7"/>
  <c r="K430" i="7"/>
  <c r="AE310" i="3"/>
  <c r="AE874" i="3"/>
  <c r="K552" i="7"/>
  <c r="K550" i="7"/>
  <c r="J356" i="7"/>
  <c r="J536" i="7"/>
  <c r="AD215" i="3"/>
  <c r="AE332" i="3"/>
  <c r="AE62" i="3"/>
  <c r="AE128" i="3"/>
  <c r="AE504" i="3"/>
  <c r="AD677" i="3"/>
  <c r="AE411" i="3"/>
  <c r="AD808" i="3"/>
  <c r="K526" i="7"/>
  <c r="J409" i="7"/>
  <c r="AD287" i="3"/>
  <c r="AD673" i="3"/>
  <c r="AD417" i="3"/>
  <c r="AD791" i="3"/>
  <c r="AD504" i="3"/>
  <c r="K575" i="7"/>
  <c r="K425" i="7"/>
  <c r="J443" i="7"/>
  <c r="J602" i="7"/>
  <c r="I497" i="7"/>
  <c r="K607" i="7"/>
  <c r="J425" i="7"/>
  <c r="AE159" i="3"/>
  <c r="AD74" i="3"/>
  <c r="K426" i="7"/>
  <c r="K606" i="7"/>
  <c r="J416" i="7"/>
  <c r="AE306" i="3"/>
  <c r="AE532" i="3"/>
  <c r="AE647" i="3"/>
  <c r="AD626" i="3"/>
  <c r="AD81" i="3"/>
  <c r="AE453" i="3"/>
  <c r="J198" i="7"/>
  <c r="J609" i="7"/>
  <c r="J449" i="7"/>
  <c r="J476" i="7"/>
  <c r="I547" i="7"/>
  <c r="J544" i="7"/>
  <c r="AE31" i="3"/>
  <c r="AD889" i="3"/>
  <c r="K198" i="7"/>
  <c r="K609" i="7"/>
  <c r="K592" i="7"/>
  <c r="K568" i="7"/>
  <c r="K594" i="7"/>
  <c r="J568" i="7"/>
  <c r="J373" i="7"/>
  <c r="J442" i="7"/>
  <c r="J457" i="7"/>
  <c r="I326" i="7"/>
  <c r="J547" i="7"/>
  <c r="J550" i="7"/>
  <c r="J492" i="7"/>
  <c r="J605" i="7"/>
  <c r="AD387" i="3"/>
  <c r="K219" i="7"/>
  <c r="K534" i="7"/>
  <c r="K382" i="7"/>
  <c r="K216" i="7"/>
  <c r="K538" i="7"/>
  <c r="K343" i="7"/>
  <c r="K356" i="7"/>
  <c r="K373" i="7"/>
  <c r="K252" i="7"/>
  <c r="K416" i="7"/>
  <c r="K593" i="7"/>
  <c r="I494" i="7"/>
  <c r="J594" i="7"/>
  <c r="I364" i="7"/>
  <c r="J326" i="7"/>
  <c r="I491" i="7"/>
  <c r="J538" i="7"/>
  <c r="K580" i="7"/>
  <c r="K583" i="7"/>
  <c r="K543" i="7"/>
  <c r="K368" i="7"/>
  <c r="J294" i="7"/>
  <c r="I593" i="7"/>
  <c r="I592" i="7"/>
  <c r="J526" i="7"/>
  <c r="J494" i="7"/>
  <c r="I594" i="7"/>
  <c r="J510" i="7"/>
  <c r="J368" i="7"/>
  <c r="J364" i="7"/>
  <c r="I200" i="7"/>
  <c r="J491" i="7"/>
  <c r="J382" i="7"/>
  <c r="AD114" i="3"/>
  <c r="AE98" i="3"/>
  <c r="AD431" i="3"/>
  <c r="AE37" i="3"/>
  <c r="K591" i="7"/>
  <c r="K497" i="7"/>
  <c r="K536" i="7"/>
  <c r="K476" i="7"/>
  <c r="K372" i="7"/>
  <c r="K449" i="7"/>
  <c r="I356" i="7"/>
  <c r="J593" i="7"/>
  <c r="I416" i="7"/>
  <c r="I443" i="7"/>
  <c r="J200" i="7"/>
  <c r="I430" i="7"/>
  <c r="I579" i="7"/>
  <c r="J581" i="7"/>
  <c r="I575" i="7"/>
  <c r="J324" i="7"/>
  <c r="J430" i="7"/>
  <c r="J216" i="7"/>
  <c r="K200" i="7"/>
  <c r="K579" i="7"/>
  <c r="K407" i="7"/>
  <c r="K608" i="7"/>
  <c r="K383" i="7"/>
  <c r="K551" i="7"/>
  <c r="J407" i="7"/>
  <c r="J608" i="7"/>
  <c r="J383" i="7"/>
  <c r="J579" i="7"/>
  <c r="I591" i="7"/>
  <c r="I219" i="7"/>
  <c r="I514" i="7"/>
  <c r="I426" i="7"/>
  <c r="J575" i="7"/>
  <c r="K364" i="7"/>
  <c r="K491" i="7"/>
  <c r="K409" i="7"/>
  <c r="K544" i="7"/>
  <c r="K605" i="7"/>
  <c r="K585" i="7"/>
  <c r="K539" i="7"/>
  <c r="K564" i="7"/>
  <c r="K576" i="7"/>
  <c r="J252" i="7"/>
  <c r="J464" i="7"/>
  <c r="I449" i="7"/>
  <c r="J591" i="7"/>
  <c r="J219" i="7"/>
  <c r="J514" i="7"/>
  <c r="J552" i="7"/>
  <c r="J426" i="7"/>
  <c r="I544" i="7"/>
  <c r="J394" i="7"/>
  <c r="F3" i="3"/>
  <c r="G3" i="3"/>
  <c r="AD219" i="3"/>
  <c r="AD874" i="3"/>
  <c r="AE677" i="3"/>
  <c r="AD62" i="3"/>
  <c r="AD453" i="3"/>
  <c r="Q483" i="3"/>
  <c r="Q561" i="3"/>
  <c r="Q858" i="3"/>
  <c r="Q543" i="3"/>
  <c r="AE564" i="3"/>
  <c r="AE374" i="3"/>
  <c r="AE71" i="3"/>
  <c r="AE350" i="3"/>
  <c r="AE488" i="3"/>
  <c r="AE879" i="3"/>
  <c r="AE172" i="3"/>
  <c r="AE233" i="3"/>
  <c r="AE193" i="3"/>
  <c r="AE81" i="3"/>
  <c r="AE323" i="3"/>
  <c r="AE673" i="3"/>
  <c r="AE539" i="3"/>
  <c r="AE791" i="3"/>
  <c r="AE362" i="3"/>
  <c r="AD312" i="3"/>
  <c r="AD22" i="3"/>
  <c r="AD752" i="3"/>
  <c r="AD268" i="3"/>
  <c r="AD610" i="3"/>
  <c r="AD233" i="3"/>
  <c r="AD306" i="3"/>
  <c r="AD85" i="3"/>
  <c r="AD604" i="3"/>
  <c r="AD600" i="3"/>
  <c r="AD261" i="3"/>
  <c r="AD360" i="3"/>
  <c r="AD354" i="3"/>
  <c r="AD508" i="3"/>
  <c r="AD340" i="3"/>
  <c r="AD267" i="3"/>
  <c r="AD877" i="3"/>
  <c r="AD181" i="3"/>
  <c r="AD544" i="3"/>
  <c r="AD630" i="3"/>
  <c r="AD392" i="3"/>
  <c r="AD768" i="3"/>
  <c r="BH130" i="1"/>
  <c r="AD46" i="3"/>
  <c r="AD125" i="3"/>
  <c r="AD735" i="3"/>
  <c r="AD471" i="3"/>
  <c r="AD92" i="3"/>
  <c r="AD297" i="3"/>
  <c r="AD246" i="3"/>
  <c r="AD122" i="3"/>
  <c r="AD449" i="3"/>
  <c r="AE621" i="3"/>
  <c r="AE855" i="3"/>
  <c r="AE526" i="3"/>
  <c r="AE746" i="3"/>
  <c r="AE883" i="3"/>
  <c r="AE65" i="3"/>
  <c r="AE553" i="3"/>
  <c r="AE827" i="3"/>
  <c r="AE111" i="3"/>
  <c r="AE101" i="3"/>
  <c r="AE848" i="3"/>
  <c r="AE169" i="3"/>
  <c r="AE175" i="3"/>
  <c r="AE461" i="3"/>
  <c r="AE143" i="3"/>
  <c r="AE614" i="3"/>
  <c r="AE701" i="3"/>
  <c r="AE842" i="3"/>
  <c r="AE483" i="3"/>
  <c r="AE36" i="3"/>
  <c r="AE638" i="3"/>
  <c r="AE775" i="3"/>
  <c r="AE79" i="3"/>
  <c r="AE736" i="3"/>
  <c r="AE155" i="3"/>
  <c r="AE762" i="3"/>
  <c r="AE68" i="3"/>
  <c r="AE292" i="3"/>
  <c r="AE69" i="3"/>
  <c r="AE720" i="3"/>
  <c r="AE781" i="3"/>
  <c r="AE445" i="3"/>
  <c r="AE738" i="3"/>
  <c r="AE235" i="3"/>
  <c r="AE530" i="3"/>
  <c r="AE190" i="3"/>
  <c r="AE537" i="3"/>
  <c r="AE23" i="3"/>
  <c r="AE437" i="3"/>
  <c r="AE436" i="3"/>
  <c r="AE459" i="3"/>
  <c r="AE637" i="3"/>
  <c r="AE771" i="3"/>
  <c r="AE389" i="3"/>
  <c r="AE469" i="3"/>
  <c r="AE708" i="3"/>
  <c r="AE748" i="3"/>
  <c r="AE491" i="3"/>
  <c r="AE800" i="3"/>
  <c r="AE616" i="3"/>
  <c r="AE260" i="3"/>
  <c r="AE739" i="3"/>
  <c r="AE129" i="3"/>
  <c r="AE16" i="3"/>
  <c r="AE94" i="3"/>
  <c r="AE342" i="3"/>
  <c r="AE769" i="3"/>
  <c r="AE421" i="3"/>
  <c r="AE552" i="3"/>
  <c r="AE229" i="3"/>
  <c r="AE826" i="3"/>
  <c r="AE317" i="3"/>
  <c r="AE654" i="3"/>
  <c r="AE118" i="3"/>
  <c r="AE409" i="3"/>
  <c r="AE295" i="3"/>
  <c r="AE309" i="3"/>
  <c r="AE439" i="3"/>
  <c r="AE465" i="3"/>
  <c r="AE137" i="3"/>
  <c r="AE270" i="3"/>
  <c r="AE325" i="3"/>
  <c r="AE412" i="3"/>
  <c r="AE476" i="3"/>
  <c r="AE559" i="3"/>
  <c r="AE26" i="3"/>
  <c r="AE15" i="3"/>
  <c r="AE514" i="3"/>
  <c r="AE613" i="3"/>
  <c r="AE678" i="3"/>
  <c r="AE480" i="3"/>
  <c r="AE839" i="3"/>
  <c r="AE843" i="3"/>
  <c r="AE542" i="3"/>
  <c r="AE413" i="3"/>
  <c r="AE832" i="3"/>
  <c r="AE706" i="3"/>
  <c r="AE266" i="3"/>
  <c r="AE420" i="3"/>
  <c r="AE324" i="3"/>
  <c r="AE228" i="3"/>
  <c r="AE293" i="3"/>
  <c r="AE717" i="3"/>
  <c r="AE60" i="3"/>
  <c r="AE685" i="3"/>
  <c r="AE378" i="3"/>
  <c r="AE320" i="3"/>
  <c r="AE857" i="3"/>
  <c r="AE812" i="3"/>
  <c r="AE612" i="3"/>
  <c r="AE622" i="3"/>
  <c r="AE107" i="3"/>
  <c r="AE113" i="3"/>
  <c r="AE132" i="3"/>
  <c r="AE658" i="3"/>
  <c r="AE810" i="3"/>
  <c r="AE454" i="3"/>
  <c r="AE515" i="3"/>
  <c r="AE338" i="3"/>
  <c r="AE29" i="3"/>
  <c r="AE786" i="3"/>
  <c r="AE43" i="3"/>
  <c r="AE433" i="3"/>
  <c r="AE784" i="3"/>
  <c r="AE562" i="3"/>
  <c r="AE714" i="3"/>
  <c r="AE479" i="3"/>
  <c r="AE850" i="3"/>
  <c r="AE486" i="3"/>
  <c r="AE713" i="3"/>
  <c r="AE792" i="3"/>
  <c r="AE671" i="3"/>
  <c r="AE49" i="3"/>
  <c r="AE841" i="3"/>
  <c r="AE655" i="3"/>
  <c r="AE541" i="3"/>
  <c r="AE225" i="3"/>
  <c r="AE127" i="3"/>
  <c r="AE712" i="3"/>
  <c r="AE625" i="3"/>
  <c r="AE887" i="3"/>
  <c r="AE844" i="3"/>
  <c r="AE430" i="3"/>
  <c r="AE527" i="3"/>
  <c r="AE470" i="3"/>
  <c r="AE592" i="3"/>
  <c r="AE787" i="3"/>
  <c r="AE854" i="3"/>
  <c r="AE502" i="3"/>
  <c r="AE568" i="3"/>
  <c r="AE852" i="3"/>
  <c r="AE807" i="3"/>
  <c r="AE352" i="3"/>
  <c r="AE460" i="3"/>
  <c r="AE109" i="3"/>
  <c r="AE683" i="3"/>
  <c r="AE871" i="3"/>
  <c r="AE669" i="3"/>
  <c r="AE511" i="3"/>
  <c r="AE557" i="3"/>
  <c r="AE682" i="3"/>
  <c r="AE747" i="3"/>
  <c r="AE443" i="3"/>
  <c r="AE451" i="3"/>
  <c r="AE381" i="3"/>
  <c r="AE121" i="3"/>
  <c r="AE280" i="3"/>
  <c r="AE605" i="3"/>
  <c r="AE405" i="3"/>
  <c r="AE61" i="3"/>
  <c r="AE517" i="3"/>
  <c r="AE563" i="3"/>
  <c r="AE165" i="3"/>
  <c r="AE805" i="3"/>
  <c r="AE416" i="3"/>
  <c r="AE794" i="3"/>
  <c r="AE73" i="3"/>
  <c r="AE401" i="3"/>
  <c r="AE788" i="3"/>
  <c r="AE385" i="3"/>
  <c r="AE450" i="3"/>
  <c r="AE463" i="3"/>
  <c r="AE97" i="3"/>
  <c r="AE151" i="3"/>
  <c r="AE773" i="3"/>
  <c r="AE357" i="3"/>
  <c r="AE34" i="3"/>
  <c r="AE801" i="3"/>
  <c r="AE212" i="3"/>
  <c r="AE536" i="3"/>
  <c r="AE356" i="3"/>
  <c r="AE546" i="3"/>
  <c r="AE402" i="3"/>
  <c r="AE485" i="3"/>
  <c r="AE506" i="3"/>
  <c r="AE723" i="3"/>
  <c r="AE255" i="3"/>
  <c r="AE619" i="3"/>
  <c r="AE881" i="3"/>
  <c r="AE83" i="3"/>
  <c r="AE555" i="3"/>
  <c r="AE809" i="3"/>
  <c r="AE861" i="3"/>
  <c r="AE875" i="3"/>
  <c r="AE96" i="3"/>
  <c r="AE790" i="3"/>
  <c r="AE756" i="3"/>
  <c r="AE370" i="3"/>
  <c r="AE516" i="3"/>
  <c r="AE639" i="3"/>
  <c r="AE726" i="3"/>
  <c r="AE785" i="3"/>
  <c r="AE856" i="3"/>
  <c r="AE368" i="3"/>
  <c r="AE764" i="3"/>
  <c r="AE50" i="3"/>
  <c r="AE687" i="3"/>
  <c r="AE257" i="3"/>
  <c r="AE408" i="3"/>
  <c r="AE305" i="3"/>
  <c r="AE319" i="3"/>
  <c r="AE477" i="3"/>
  <c r="AE554" i="3"/>
  <c r="AE339" i="3"/>
  <c r="AE663" i="3"/>
  <c r="AE702" i="3"/>
  <c r="AE251" i="3"/>
  <c r="AE291" i="3"/>
  <c r="AE371" i="3"/>
  <c r="AE608" i="3"/>
  <c r="AE505" i="3"/>
  <c r="AE574" i="3"/>
  <c r="AE688" i="3"/>
  <c r="AE468" i="3"/>
  <c r="AE247" i="3"/>
  <c r="AE195" i="3"/>
  <c r="AE167" i="3"/>
  <c r="AE273" i="3"/>
  <c r="AE211" i="3"/>
  <c r="AE299" i="3"/>
  <c r="AE110" i="3"/>
  <c r="AE496" i="3"/>
  <c r="AE603" i="3"/>
  <c r="AE534" i="3"/>
  <c r="AE379" i="3"/>
  <c r="AE829" i="3"/>
  <c r="AE178" i="3"/>
  <c r="AE455" i="3"/>
  <c r="AE598" i="3"/>
  <c r="AE262" i="3"/>
  <c r="AE179" i="3"/>
  <c r="AE648" i="3"/>
  <c r="AE725" i="3"/>
  <c r="AE779" i="3"/>
  <c r="AE419" i="3"/>
  <c r="AE123" i="3"/>
  <c r="AE14" i="3"/>
  <c r="AE572" i="3"/>
  <c r="AE583" i="3"/>
  <c r="AE580" i="3"/>
  <c r="AE579" i="3"/>
  <c r="AE140" i="3"/>
  <c r="AE102" i="3"/>
  <c r="AE802" i="3"/>
  <c r="AE166" i="3"/>
  <c r="AE414" i="3"/>
  <c r="AE321" i="3"/>
  <c r="AE84" i="3"/>
  <c r="AE761" i="3"/>
  <c r="AE220" i="3"/>
  <c r="AE627" i="3"/>
  <c r="AE162" i="3"/>
  <c r="AE789" i="3"/>
  <c r="AE845" i="3"/>
  <c r="AE635" i="3"/>
  <c r="AE248" i="3"/>
  <c r="AE675" i="3"/>
  <c r="AE644" i="3"/>
  <c r="AE377" i="3"/>
  <c r="AE42" i="3"/>
  <c r="AE351" i="3"/>
  <c r="AE575" i="3"/>
  <c r="AE704" i="3"/>
  <c r="AE668" i="3"/>
  <c r="AE865" i="3"/>
  <c r="AE533" i="3"/>
  <c r="AE715" i="3"/>
  <c r="AE214" i="3"/>
  <c r="AE772" i="3"/>
  <c r="AE126" i="3"/>
  <c r="AE243" i="3"/>
  <c r="AE404" i="3"/>
  <c r="AE521" i="3"/>
  <c r="AE498" i="3"/>
  <c r="AE799" i="3"/>
  <c r="AE365" i="3"/>
  <c r="AE119" i="3"/>
  <c r="AE41" i="3"/>
  <c r="AE577" i="3"/>
  <c r="AE740" i="3"/>
  <c r="AE696" i="3"/>
  <c r="AE777" i="3"/>
  <c r="AE822" i="3"/>
  <c r="AE76" i="3"/>
  <c r="AE395" i="3"/>
  <c r="AE283" i="3"/>
  <c r="AE634" i="3"/>
  <c r="AE737" i="3"/>
  <c r="AE797" i="3"/>
  <c r="AE484" i="3"/>
  <c r="AE782" i="3"/>
  <c r="AE565" i="3"/>
  <c r="AE692" i="3"/>
  <c r="AE185" i="3"/>
  <c r="AE728" i="3"/>
  <c r="AE602" i="3"/>
  <c r="AE690" i="3"/>
  <c r="AE741" i="3"/>
  <c r="AE836" i="3"/>
  <c r="AE615" i="3"/>
  <c r="AE226" i="3"/>
  <c r="AE837" i="3"/>
  <c r="AE886" i="3"/>
  <c r="AE242" i="3"/>
  <c r="AE117" i="3"/>
  <c r="AE759" i="3"/>
  <c r="AE397" i="3"/>
  <c r="AE435" i="3"/>
  <c r="AE716" i="3"/>
  <c r="AE820" i="3"/>
  <c r="AE458" i="3"/>
  <c r="AE538" i="3"/>
  <c r="AE253" i="3"/>
  <c r="AE11" i="3"/>
  <c r="AE363" i="3"/>
  <c r="AE333" i="3"/>
  <c r="AE652" i="3"/>
  <c r="AE70" i="3"/>
  <c r="AE32" i="3"/>
  <c r="AE327" i="3"/>
  <c r="AE206" i="3"/>
  <c r="AE152" i="3"/>
  <c r="AE705" i="3"/>
  <c r="AE180" i="3"/>
  <c r="AE434" i="3"/>
  <c r="AE124" i="3"/>
  <c r="AE766" i="3"/>
  <c r="AE649" i="3"/>
  <c r="AE744" i="3"/>
  <c r="AE815" i="3"/>
  <c r="I351" i="7"/>
  <c r="I255" i="7"/>
  <c r="AE21" i="3"/>
  <c r="I202" i="7"/>
  <c r="AE571" i="3"/>
  <c r="I343" i="7"/>
  <c r="I185" i="7"/>
  <c r="AE547" i="3"/>
  <c r="I427" i="7"/>
  <c r="AE684" i="3"/>
  <c r="I499" i="7"/>
  <c r="I465" i="7"/>
  <c r="I247" i="7"/>
  <c r="I553" i="7"/>
  <c r="I212" i="7"/>
  <c r="AE54" i="3"/>
  <c r="I482" i="7"/>
  <c r="I285" i="7"/>
  <c r="I407" i="7"/>
  <c r="AE343" i="3"/>
  <c r="I327" i="7"/>
  <c r="AE868" i="3"/>
  <c r="I404" i="7"/>
  <c r="AE35" i="3"/>
  <c r="I166" i="7"/>
  <c r="AE780" i="3"/>
  <c r="I246" i="7"/>
  <c r="I253" i="7"/>
  <c r="AE522" i="3"/>
  <c r="AE353" i="3"/>
  <c r="AE862" i="3"/>
  <c r="AE99" i="3"/>
  <c r="I162" i="7"/>
  <c r="I277" i="7"/>
  <c r="AE66" i="3"/>
  <c r="I209" i="7"/>
  <c r="I248" i="7"/>
  <c r="I423" i="7"/>
  <c r="I378" i="7"/>
  <c r="AE703" i="3"/>
  <c r="I239" i="7"/>
  <c r="AE336" i="3"/>
  <c r="I399" i="7"/>
  <c r="AE793" i="3"/>
  <c r="I548" i="7"/>
  <c r="I530" i="7"/>
  <c r="AE45" i="3"/>
  <c r="I577" i="7"/>
  <c r="AE75" i="3"/>
  <c r="I302" i="7"/>
  <c r="I320" i="7"/>
  <c r="I516" i="7"/>
  <c r="AE82" i="3"/>
  <c r="I283" i="7"/>
  <c r="AE489" i="3"/>
  <c r="I604" i="7"/>
  <c r="AE72" i="3"/>
  <c r="I372" i="7"/>
  <c r="I585" i="7"/>
  <c r="AE680" i="3"/>
  <c r="I568" i="7"/>
  <c r="I434" i="7"/>
  <c r="I174" i="7"/>
  <c r="I176" i="7"/>
  <c r="I317" i="7"/>
  <c r="AE146" i="3"/>
  <c r="I225" i="7"/>
  <c r="AE183" i="3"/>
  <c r="I300" i="7"/>
  <c r="AE171" i="3"/>
  <c r="I256" i="7"/>
  <c r="I167" i="7"/>
  <c r="AE878" i="3"/>
  <c r="I540" i="7"/>
  <c r="AE753" i="3"/>
  <c r="I186" i="7"/>
  <c r="AE830" i="3"/>
  <c r="AE796" i="3"/>
  <c r="I286" i="7"/>
  <c r="I311" i="7"/>
  <c r="I229" i="7"/>
  <c r="AE100" i="3"/>
  <c r="I395" i="7"/>
  <c r="AE834" i="3"/>
  <c r="I189" i="7"/>
  <c r="AE811" i="3"/>
  <c r="I267" i="7"/>
  <c r="AE58" i="3"/>
  <c r="I493" i="7"/>
  <c r="AE289" i="3"/>
  <c r="I191" i="7"/>
  <c r="AE513" i="3"/>
  <c r="I296" i="7"/>
  <c r="AE447" i="3"/>
  <c r="AE358" i="3"/>
  <c r="I398" i="7"/>
  <c r="I195" i="7"/>
  <c r="I226" i="7"/>
  <c r="I597" i="7"/>
  <c r="I181" i="7"/>
  <c r="AE567" i="3"/>
  <c r="I178" i="7"/>
  <c r="AE584" i="3"/>
  <c r="I297" i="7"/>
  <c r="AE302" i="3"/>
  <c r="I433" i="7"/>
  <c r="I223" i="7"/>
  <c r="I444" i="7"/>
  <c r="AE467" i="3"/>
  <c r="I206" i="7"/>
  <c r="AE512" i="3"/>
  <c r="I414" i="7"/>
  <c r="AE545" i="3"/>
  <c r="I471" i="7"/>
  <c r="I388" i="7"/>
  <c r="AE711" i="3"/>
  <c r="I305" i="7"/>
  <c r="AE429" i="3"/>
  <c r="I590" i="7"/>
  <c r="I438" i="7"/>
  <c r="AE821" i="3"/>
  <c r="I468" i="7"/>
  <c r="AE347" i="3"/>
  <c r="I361" i="7"/>
  <c r="AE501" i="3"/>
  <c r="I474" i="7"/>
  <c r="AE221" i="3"/>
  <c r="I314" i="7"/>
  <c r="AE724" i="3"/>
  <c r="I198" i="7"/>
  <c r="AE375" i="3"/>
  <c r="I489" i="7"/>
  <c r="I486" i="7"/>
  <c r="I383" i="7"/>
  <c r="AE806" i="3"/>
  <c r="I252" i="7"/>
  <c r="I249" i="7"/>
  <c r="I406" i="7"/>
  <c r="AE840" i="3"/>
  <c r="I452" i="7"/>
  <c r="AE636" i="3"/>
  <c r="I480" i="7"/>
  <c r="AE643" i="3"/>
  <c r="I365" i="7"/>
  <c r="I344" i="7"/>
  <c r="AE607" i="3"/>
  <c r="I402" i="7"/>
  <c r="AE348" i="3"/>
  <c r="AE628" i="3"/>
  <c r="AE609" i="3"/>
  <c r="I194" i="7"/>
  <c r="AE341" i="3"/>
  <c r="I161" i="7"/>
  <c r="I259" i="7"/>
  <c r="I466" i="7"/>
  <c r="I431" i="7"/>
  <c r="AE587" i="3"/>
  <c r="I381" i="7"/>
  <c r="AE44" i="3"/>
  <c r="I322" i="7"/>
  <c r="AE415" i="3"/>
  <c r="I447" i="7"/>
  <c r="I175" i="7"/>
  <c r="AE721" i="3"/>
  <c r="I362" i="7"/>
  <c r="AE556" i="3"/>
  <c r="I233" i="7"/>
  <c r="I439" i="7"/>
  <c r="AE284" i="3"/>
  <c r="I245" i="7"/>
  <c r="I214" i="7"/>
  <c r="I227" i="7"/>
  <c r="I484" i="7"/>
  <c r="AE640" i="3"/>
  <c r="I164" i="7"/>
  <c r="AE866" i="3"/>
  <c r="I534" i="7"/>
  <c r="AE173" i="3"/>
  <c r="AE87" i="3"/>
  <c r="I262" i="7"/>
  <c r="AE763" i="3"/>
  <c r="I363" i="7"/>
  <c r="I506" i="7"/>
  <c r="AE595" i="3"/>
  <c r="I573" i="7"/>
  <c r="I211" i="7"/>
  <c r="AE77" i="3"/>
  <c r="I217" i="7"/>
  <c r="I280" i="7"/>
  <c r="I172" i="7"/>
  <c r="AE398" i="3"/>
  <c r="I445" i="7"/>
  <c r="AE860" i="3"/>
  <c r="I392" i="7"/>
  <c r="I205" i="7"/>
  <c r="AE452" i="3"/>
  <c r="I263" i="7"/>
  <c r="I281" i="7"/>
  <c r="I347" i="7"/>
  <c r="AE130" i="3"/>
  <c r="AE697" i="3"/>
  <c r="AE191" i="3"/>
  <c r="I221" i="7"/>
  <c r="AE428" i="3"/>
  <c r="I242" i="7"/>
  <c r="AE55" i="3"/>
  <c r="I313" i="7"/>
  <c r="I546" i="7"/>
  <c r="I479" i="7"/>
  <c r="I536" i="7"/>
  <c r="I496" i="7"/>
  <c r="AE265" i="3"/>
  <c r="I419" i="7"/>
  <c r="AE492" i="3"/>
  <c r="I391" i="7"/>
  <c r="AE578" i="3"/>
  <c r="I581" i="7"/>
  <c r="AE691" i="3"/>
  <c r="I492" i="7"/>
  <c r="AE240" i="3"/>
  <c r="I385" i="7"/>
  <c r="AE828" i="3"/>
  <c r="I236" i="7"/>
  <c r="AE337" i="3"/>
  <c r="I524" i="7"/>
  <c r="AE47" i="3"/>
  <c r="I270" i="7"/>
  <c r="AE525" i="3"/>
  <c r="I495" i="7"/>
  <c r="AE218" i="3"/>
  <c r="I324" i="7"/>
  <c r="AE269" i="3"/>
  <c r="I537" i="7"/>
  <c r="AE90" i="3"/>
  <c r="I334" i="7"/>
  <c r="I481" i="7"/>
  <c r="AE403" i="3"/>
  <c r="I257" i="7"/>
  <c r="AE149" i="3"/>
  <c r="AE144" i="3"/>
  <c r="AE394" i="3"/>
  <c r="I589" i="7"/>
  <c r="AE197" i="3"/>
  <c r="I222" i="7"/>
  <c r="AE570" i="3"/>
  <c r="I328" i="7"/>
  <c r="I566" i="7"/>
  <c r="I424" i="7"/>
  <c r="AE606" i="3"/>
  <c r="I472" i="7"/>
  <c r="AE238" i="3"/>
  <c r="AE831" i="3"/>
  <c r="I295" i="7"/>
  <c r="I558" i="7"/>
  <c r="I582" i="7"/>
  <c r="I464" i="7"/>
  <c r="AE187" i="3"/>
  <c r="I415" i="7"/>
  <c r="AE432" i="3"/>
  <c r="I335" i="7"/>
  <c r="AE57" i="3"/>
  <c r="I260" i="7"/>
  <c r="I437" i="7"/>
  <c r="AE236" i="3"/>
  <c r="I476" i="7"/>
  <c r="AE386" i="3"/>
  <c r="I413" i="7"/>
  <c r="I179" i="7"/>
  <c r="AE629" i="3"/>
  <c r="I208" i="7"/>
  <c r="I442" i="7"/>
  <c r="AE136" i="3"/>
  <c r="I282" i="7"/>
  <c r="I409" i="7"/>
  <c r="AE482" i="3"/>
  <c r="I271" i="7"/>
  <c r="AE422" i="3"/>
  <c r="I467" i="7"/>
  <c r="AE529" i="3"/>
  <c r="I557" i="7"/>
  <c r="AE369" i="3"/>
  <c r="I552" i="7"/>
  <c r="AE475" i="3"/>
  <c r="I355" i="7"/>
  <c r="I441" i="7"/>
  <c r="AE589" i="3"/>
  <c r="I538" i="7"/>
  <c r="I554" i="7"/>
  <c r="AE275" i="3"/>
  <c r="AE426" i="3"/>
  <c r="I605" i="7"/>
  <c r="AE679" i="3"/>
  <c r="AE349" i="3"/>
  <c r="AE551" i="3"/>
  <c r="AE177" i="3"/>
  <c r="AE200" i="3"/>
  <c r="AE263" i="3"/>
  <c r="AE393" i="3"/>
  <c r="AE695" i="3"/>
  <c r="AE256" i="3"/>
  <c r="AE847" i="3"/>
  <c r="AE693" i="3"/>
  <c r="AE116" i="3"/>
  <c r="I596" i="7"/>
  <c r="AE631" i="3"/>
  <c r="I523" i="7"/>
  <c r="AE157" i="3"/>
  <c r="AE493" i="3"/>
  <c r="AE590" i="3"/>
  <c r="AE59" i="3"/>
  <c r="AE311" i="3"/>
  <c r="AE666" i="3"/>
  <c r="AE569" i="3"/>
  <c r="AE106" i="3"/>
  <c r="AE446" i="3"/>
  <c r="AE743" i="3"/>
  <c r="AE39" i="3"/>
  <c r="AE202" i="3"/>
  <c r="AE203" i="3"/>
  <c r="AE588" i="3"/>
  <c r="AE709" i="3"/>
  <c r="AE851" i="3"/>
  <c r="AE24" i="3"/>
  <c r="AE757" i="3"/>
  <c r="AE222" i="3"/>
  <c r="AE731" i="3"/>
  <c r="AE674" i="3"/>
  <c r="I533" i="7"/>
  <c r="AE662" i="3"/>
  <c r="I453" i="7"/>
  <c r="I511" i="7"/>
  <c r="AE665" i="3"/>
  <c r="I232" i="7"/>
  <c r="AE91" i="3"/>
  <c r="I411" i="7"/>
  <c r="I550" i="7"/>
  <c r="I483" i="7"/>
  <c r="AE344" i="3"/>
  <c r="I458" i="7"/>
  <c r="AE560" i="3"/>
  <c r="I394" i="7"/>
  <c r="AE550" i="3"/>
  <c r="I599" i="7"/>
  <c r="AE645" i="3"/>
  <c r="I231" i="7"/>
  <c r="AE873" i="3"/>
  <c r="I403" i="7"/>
  <c r="I264" i="7"/>
  <c r="AE376" i="3"/>
  <c r="I549" i="7"/>
  <c r="AE361" i="3"/>
  <c r="AE56" i="3"/>
  <c r="AE272" i="3"/>
  <c r="AE870" i="3"/>
  <c r="AE824" i="3"/>
  <c r="AE67" i="3"/>
  <c r="AE383" i="3"/>
  <c r="AE345" i="3"/>
  <c r="AE719" i="3"/>
  <c r="AE396" i="3"/>
  <c r="AE282" i="3"/>
  <c r="AE6" i="3"/>
  <c r="AE813" i="3"/>
  <c r="AE230" i="3"/>
  <c r="AE582" i="3"/>
  <c r="I288" i="7"/>
  <c r="AE601" i="3"/>
  <c r="I488" i="7"/>
  <c r="I570" i="7"/>
  <c r="AE355" i="3"/>
  <c r="I303" i="7"/>
  <c r="AE523" i="3"/>
  <c r="I508" i="7"/>
  <c r="AE134" i="3"/>
  <c r="I526" i="7"/>
  <c r="AE814" i="3"/>
  <c r="I543" i="7"/>
  <c r="I352" i="7"/>
  <c r="AE581" i="3"/>
  <c r="I348" i="7"/>
  <c r="I560" i="7"/>
  <c r="AE12" i="3"/>
  <c r="I393" i="7"/>
  <c r="I304" i="7"/>
  <c r="AE201" i="3"/>
  <c r="I243" i="7"/>
  <c r="AE656" i="3"/>
  <c r="I512" i="7"/>
  <c r="I349" i="7"/>
  <c r="AE120" i="3"/>
  <c r="I400" i="7"/>
  <c r="I373" i="7"/>
  <c r="I505" i="7"/>
  <c r="AE438" i="3"/>
  <c r="I319" i="7"/>
  <c r="AE115" i="3"/>
  <c r="I203" i="7"/>
  <c r="AE209" i="3"/>
  <c r="I420" i="7"/>
  <c r="I380" i="7"/>
  <c r="AE391" i="3"/>
  <c r="I525" i="7"/>
  <c r="I457" i="7"/>
  <c r="I521" i="7"/>
  <c r="AE548" i="3"/>
  <c r="I213" i="7"/>
  <c r="I382" i="7"/>
  <c r="AE891" i="3"/>
  <c r="I520" i="7"/>
  <c r="AE835" i="3"/>
  <c r="I350" i="7"/>
  <c r="I421" i="7"/>
  <c r="AE334" i="3"/>
  <c r="I410" i="7"/>
  <c r="I387" i="7"/>
  <c r="AE303" i="3"/>
  <c r="AE170" i="3"/>
  <c r="AE19" i="3"/>
  <c r="AE139" i="3"/>
  <c r="AE698" i="3"/>
  <c r="AE258" i="3"/>
  <c r="AE186" i="3"/>
  <c r="AE168" i="3"/>
  <c r="AE188" i="3"/>
  <c r="AE699" i="3"/>
  <c r="AE208" i="3"/>
  <c r="AE216" i="3"/>
  <c r="AE457" i="3"/>
  <c r="AE380" i="3"/>
  <c r="AE164" i="3"/>
  <c r="I235" i="7"/>
  <c r="AE135" i="3"/>
  <c r="I268" i="7"/>
  <c r="AE478" i="3"/>
  <c r="I368" i="7"/>
  <c r="I359" i="7"/>
  <c r="AE632" i="3"/>
  <c r="I448" i="7"/>
  <c r="AE52" i="3"/>
  <c r="AE774" i="3"/>
  <c r="AE670" i="3"/>
  <c r="AE462" i="3"/>
  <c r="AE286" i="3"/>
  <c r="AE660" i="3"/>
  <c r="AE507" i="3"/>
  <c r="AE223" i="3"/>
  <c r="AE373" i="3"/>
  <c r="AE86" i="3"/>
  <c r="AE823" i="3"/>
  <c r="AE770" i="3"/>
  <c r="AE194" i="3"/>
  <c r="AE490" i="3"/>
  <c r="AE641" i="3"/>
  <c r="AE778" i="3"/>
  <c r="I422" i="7"/>
  <c r="AE535" i="3"/>
  <c r="AE718" i="3"/>
  <c r="AE161" i="3"/>
  <c r="AE689" i="3"/>
  <c r="AE642" i="3"/>
  <c r="AE231" i="3"/>
  <c r="AE472" i="3"/>
  <c r="AE264" i="3"/>
  <c r="AE89" i="3"/>
  <c r="AE93" i="3"/>
  <c r="AE249" i="3"/>
  <c r="AE734" i="3"/>
  <c r="AE456" i="3"/>
  <c r="AE599" i="3"/>
  <c r="AE863" i="3"/>
  <c r="AE315" i="3"/>
  <c r="AE817" i="3"/>
  <c r="AE633" i="3"/>
  <c r="AE594" i="3"/>
  <c r="AE105" i="3"/>
  <c r="AE346" i="3"/>
  <c r="AE141" i="3"/>
  <c r="AE653" i="3"/>
  <c r="AE754" i="3"/>
  <c r="AE733" i="3"/>
  <c r="AE237" i="3"/>
  <c r="K32" i="7"/>
  <c r="AE367" i="3"/>
  <c r="AE330" i="3"/>
  <c r="AE825" i="3"/>
  <c r="AE372" i="3"/>
  <c r="AE104" i="3"/>
  <c r="AE864" i="3"/>
  <c r="AE285" i="3"/>
  <c r="AE418" i="3"/>
  <c r="AE232" i="3"/>
  <c r="AE245" i="3"/>
  <c r="AE390" i="3"/>
  <c r="AE795" i="3"/>
  <c r="AE700" i="3"/>
  <c r="AE818" i="3"/>
  <c r="AE329" i="3"/>
  <c r="AE890" i="3"/>
  <c r="AE884" i="3"/>
  <c r="AE722" i="3"/>
  <c r="AE819" i="3"/>
  <c r="AE276" i="3"/>
  <c r="AE442" i="3"/>
  <c r="AE5" i="3"/>
  <c r="I32" i="7"/>
  <c r="AE617" i="3"/>
  <c r="AE298" i="3"/>
  <c r="AE750" i="3"/>
  <c r="AE382" i="3"/>
  <c r="AE804" i="3"/>
  <c r="AE783" i="3"/>
  <c r="AE499" i="3"/>
  <c r="AE239" i="3"/>
  <c r="AE650" i="3"/>
  <c r="AE509" i="3"/>
  <c r="AE872" i="3"/>
  <c r="AE234" i="3"/>
  <c r="AE758" i="3"/>
  <c r="AE611" i="3"/>
  <c r="AE25" i="3"/>
  <c r="AE290" i="3"/>
  <c r="AE520" i="3"/>
  <c r="J32" i="7"/>
  <c r="AE20" i="3"/>
  <c r="AE277" i="3"/>
  <c r="AE174" i="3"/>
  <c r="AE646" i="3"/>
  <c r="AE359" i="3"/>
  <c r="AE33" i="3"/>
  <c r="AE335" i="3"/>
  <c r="AE63" i="3"/>
  <c r="AE776" i="3"/>
  <c r="AE322" i="3"/>
  <c r="AE314" i="3"/>
  <c r="AE244" i="3"/>
  <c r="AE205" i="3"/>
  <c r="K4" i="7"/>
  <c r="K6" i="7"/>
  <c r="AE400" i="3"/>
  <c r="AE17" i="3"/>
  <c r="I4" i="7"/>
  <c r="I6" i="7"/>
  <c r="AE154" i="3"/>
  <c r="J4" i="7"/>
  <c r="J6" i="7"/>
  <c r="AD827" i="3"/>
  <c r="AD512" i="3"/>
  <c r="AD653" i="3"/>
  <c r="AD594" i="3"/>
  <c r="AD290" i="3"/>
  <c r="AD183" i="3"/>
  <c r="AD878" i="3"/>
  <c r="AD105" i="3"/>
  <c r="AD553" i="3"/>
  <c r="AD146" i="3"/>
  <c r="AD100" i="3"/>
  <c r="AD171" i="3"/>
  <c r="AD359" i="3"/>
  <c r="AD398" i="3"/>
  <c r="AD526" i="3"/>
  <c r="AD650" i="3"/>
  <c r="AD452" i="3"/>
  <c r="BB52" i="1"/>
  <c r="AZ52" i="1" s="1"/>
  <c r="BB63" i="1"/>
  <c r="AZ63" i="1" s="1"/>
  <c r="Q122" i="3" s="1"/>
  <c r="BB31" i="1"/>
  <c r="AZ31" i="1" s="1"/>
  <c r="BB253" i="1"/>
  <c r="AZ253" i="1" s="1"/>
  <c r="BB64" i="1"/>
  <c r="AZ64" i="1" s="1"/>
  <c r="BB50" i="1"/>
  <c r="AZ50" i="1" s="1"/>
  <c r="BB390" i="1"/>
  <c r="AZ390" i="1" s="1"/>
  <c r="BB22" i="1"/>
  <c r="AZ22" i="1" s="1"/>
  <c r="BB74" i="1"/>
  <c r="AZ74" i="1" s="1"/>
  <c r="BB435" i="1"/>
  <c r="AZ435" i="1" s="1"/>
  <c r="BB127" i="1"/>
  <c r="AZ127" i="1" s="1"/>
  <c r="BB281" i="1"/>
  <c r="AZ281" i="1" s="1"/>
  <c r="BB17" i="1"/>
  <c r="AZ17" i="1" s="1"/>
  <c r="BB33" i="1"/>
  <c r="AZ33" i="1" s="1"/>
  <c r="BB210" i="1"/>
  <c r="AZ210" i="1" s="1"/>
  <c r="BB249" i="1"/>
  <c r="AZ249" i="1" s="1"/>
  <c r="BB218" i="1"/>
  <c r="AZ218" i="1" s="1"/>
  <c r="BB423" i="1"/>
  <c r="AZ423" i="1" s="1"/>
  <c r="BB328" i="1"/>
  <c r="AZ328" i="1" s="1"/>
  <c r="BB278" i="1"/>
  <c r="AZ278" i="1" s="1"/>
  <c r="BB262" i="1"/>
  <c r="AZ262" i="1" s="1"/>
  <c r="BB158" i="1"/>
  <c r="AZ158" i="1" s="1"/>
  <c r="BB11" i="1"/>
  <c r="AZ11" i="1" s="1"/>
  <c r="BB295" i="1"/>
  <c r="AZ295" i="1" s="1"/>
  <c r="BB395" i="1"/>
  <c r="AZ395" i="1" s="1"/>
  <c r="BB406" i="1"/>
  <c r="AZ406" i="1" s="1"/>
  <c r="BB131" i="1"/>
  <c r="AZ131" i="1" s="1"/>
  <c r="BB354" i="1"/>
  <c r="AZ354" i="1" s="1"/>
  <c r="BB243" i="1"/>
  <c r="AZ243" i="1" s="1"/>
  <c r="BB10" i="1"/>
  <c r="AZ10" i="1" s="1"/>
  <c r="BB284" i="1"/>
  <c r="AZ284" i="1" s="1"/>
  <c r="BB90" i="1"/>
  <c r="AZ90" i="1" s="1"/>
  <c r="BB94" i="1"/>
  <c r="AZ94" i="1" s="1"/>
  <c r="BB204" i="1"/>
  <c r="AZ204" i="1" s="1"/>
  <c r="BB332" i="1"/>
  <c r="AZ332" i="1" s="1"/>
  <c r="BB215" i="1"/>
  <c r="AZ215" i="1" s="1"/>
  <c r="BB167" i="1"/>
  <c r="AZ167" i="1" s="1"/>
  <c r="BB162" i="1"/>
  <c r="AZ162" i="1" s="1"/>
  <c r="BB329" i="1"/>
  <c r="AZ329" i="1" s="1"/>
  <c r="BB139" i="1"/>
  <c r="AZ139" i="1" s="1"/>
  <c r="BB244" i="1"/>
  <c r="AZ244" i="1" s="1"/>
  <c r="BB412" i="1"/>
  <c r="AZ412" i="1" s="1"/>
  <c r="BB27" i="1"/>
  <c r="AZ27" i="1" s="1"/>
  <c r="BB224" i="1"/>
  <c r="AZ224" i="1" s="1"/>
  <c r="BB377" i="1"/>
  <c r="AZ377" i="1" s="1"/>
  <c r="BB355" i="1"/>
  <c r="AZ355" i="1" s="1"/>
  <c r="BB387" i="1"/>
  <c r="AZ387" i="1" s="1"/>
  <c r="Q248" i="3" s="1"/>
  <c r="BB235" i="1"/>
  <c r="AZ235" i="1" s="1"/>
  <c r="BB150" i="1"/>
  <c r="AZ150" i="1" s="1"/>
  <c r="BB289" i="1"/>
  <c r="AZ289" i="1" s="1"/>
  <c r="BB292" i="1"/>
  <c r="AZ292" i="1" s="1"/>
  <c r="BB75" i="1"/>
  <c r="AZ75" i="1" s="1"/>
  <c r="BB279" i="1"/>
  <c r="AZ279" i="1" s="1"/>
  <c r="BB62" i="1"/>
  <c r="AZ62" i="1" s="1"/>
  <c r="BB47" i="1"/>
  <c r="AZ47" i="1" s="1"/>
  <c r="Q88" i="3" s="1"/>
  <c r="BB29" i="1"/>
  <c r="AZ29" i="1" s="1"/>
  <c r="BB61" i="1"/>
  <c r="AZ61" i="1" s="1"/>
  <c r="BB189" i="1"/>
  <c r="AZ189" i="1" s="1"/>
  <c r="BB300" i="1"/>
  <c r="AZ300" i="1" s="1"/>
  <c r="BB399" i="1"/>
  <c r="AZ399" i="1" s="1"/>
  <c r="BB198" i="1"/>
  <c r="AZ198" i="1" s="1"/>
  <c r="BB428" i="1"/>
  <c r="AZ428" i="1" s="1"/>
  <c r="BB7" i="1"/>
  <c r="AZ7" i="1" s="1"/>
  <c r="BB106" i="1"/>
  <c r="AZ106" i="1" s="1"/>
  <c r="BB125" i="1"/>
  <c r="AZ125" i="1" s="1"/>
  <c r="BB242" i="1"/>
  <c r="AZ242" i="1" s="1"/>
  <c r="BB12" i="1"/>
  <c r="AZ12" i="1" s="1"/>
  <c r="BB327" i="1"/>
  <c r="AZ327" i="1" s="1"/>
  <c r="BB424" i="1"/>
  <c r="AZ424" i="1" s="1"/>
  <c r="BB263" i="1"/>
  <c r="AZ263" i="1" s="1"/>
  <c r="BB115" i="1"/>
  <c r="AZ115" i="1" s="1"/>
  <c r="Q531" i="3" s="1"/>
  <c r="BB223" i="1"/>
  <c r="AZ223" i="1" s="1"/>
  <c r="Q624" i="3" s="1"/>
  <c r="BB421" i="1"/>
  <c r="AZ421" i="1" s="1"/>
  <c r="BB36" i="1"/>
  <c r="AZ36" i="1" s="1"/>
  <c r="BB133" i="1"/>
  <c r="AZ133" i="1" s="1"/>
  <c r="Q389" i="3" s="1"/>
  <c r="BB349" i="1"/>
  <c r="AZ349" i="1" s="1"/>
  <c r="Q686" i="3" s="1"/>
  <c r="BB372" i="1"/>
  <c r="AZ372" i="1" s="1"/>
  <c r="BB116" i="1"/>
  <c r="AZ116" i="1" s="1"/>
  <c r="BB276" i="1"/>
  <c r="AZ276" i="1" s="1"/>
  <c r="Q274" i="3" s="1"/>
  <c r="BB248" i="1"/>
  <c r="AZ248" i="1" s="1"/>
  <c r="BB434" i="1"/>
  <c r="AZ434" i="1" s="1"/>
  <c r="Q879" i="3" s="1"/>
  <c r="BB205" i="1"/>
  <c r="AZ205" i="1" s="1"/>
  <c r="Q596" i="3" s="1"/>
  <c r="BB42" i="1"/>
  <c r="AZ42" i="1" s="1"/>
  <c r="BB382" i="1"/>
  <c r="AZ382" i="1" s="1"/>
  <c r="BB265" i="1"/>
  <c r="AZ265" i="1" s="1"/>
  <c r="BB413" i="1"/>
  <c r="AZ413" i="1" s="1"/>
  <c r="Q300" i="3" s="1"/>
  <c r="BB68" i="1"/>
  <c r="AZ68" i="1" s="1"/>
  <c r="BB202" i="1"/>
  <c r="AZ202" i="1" s="1"/>
  <c r="BB159" i="1"/>
  <c r="AZ159" i="1" s="1"/>
  <c r="BB65" i="1"/>
  <c r="AZ65" i="1" s="1"/>
  <c r="BB302" i="1"/>
  <c r="AZ302" i="1" s="1"/>
  <c r="BB293" i="1"/>
  <c r="AZ293" i="1" s="1"/>
  <c r="BB298" i="1"/>
  <c r="AZ298" i="1" s="1"/>
  <c r="BB214" i="1"/>
  <c r="AZ214" i="1" s="1"/>
  <c r="BB306" i="1"/>
  <c r="AZ306" i="1" s="1"/>
  <c r="BB365" i="1"/>
  <c r="AZ365" i="1" s="1"/>
  <c r="Q882" i="3" s="1"/>
  <c r="BB41" i="1"/>
  <c r="AZ41" i="1" s="1"/>
  <c r="BB287" i="1"/>
  <c r="AZ287" i="1" s="1"/>
  <c r="Q459" i="3" s="1"/>
  <c r="BB129" i="1"/>
  <c r="AZ129" i="1" s="1"/>
  <c r="BB216" i="1"/>
  <c r="AZ216" i="1" s="1"/>
  <c r="BB120" i="1"/>
  <c r="AZ120" i="1" s="1"/>
  <c r="BB130" i="1"/>
  <c r="AZ130" i="1" s="1"/>
  <c r="BB89" i="1"/>
  <c r="AZ89" i="1" s="1"/>
  <c r="BB381" i="1"/>
  <c r="AZ381" i="1" s="1"/>
  <c r="BB67" i="1"/>
  <c r="AZ67" i="1" s="1"/>
  <c r="BB145" i="1"/>
  <c r="AZ145" i="1" s="1"/>
  <c r="BB5" i="1"/>
  <c r="AZ5" i="1" s="1"/>
  <c r="BB314" i="1"/>
  <c r="AZ314" i="1" s="1"/>
  <c r="Q502" i="3" s="1"/>
  <c r="BB433" i="1"/>
  <c r="AZ433" i="1" s="1"/>
  <c r="BB393" i="1"/>
  <c r="AZ393" i="1" s="1"/>
  <c r="BB54" i="1"/>
  <c r="AZ54" i="1" s="1"/>
  <c r="BB8" i="1"/>
  <c r="AZ8" i="1" s="1"/>
  <c r="Q30" i="3" s="1"/>
  <c r="BB207" i="1"/>
  <c r="AZ207" i="1" s="1"/>
  <c r="BB28" i="1"/>
  <c r="AZ28" i="1" s="1"/>
  <c r="BB359" i="1"/>
  <c r="AZ359" i="1" s="1"/>
  <c r="BB429" i="1"/>
  <c r="AZ429" i="1" s="1"/>
  <c r="BB226" i="1"/>
  <c r="AZ226" i="1" s="1"/>
  <c r="BB135" i="1"/>
  <c r="AZ135" i="1" s="1"/>
  <c r="BB141" i="1"/>
  <c r="AZ141" i="1" s="1"/>
  <c r="Q387" i="3" s="1"/>
  <c r="BB348" i="1"/>
  <c r="AZ348" i="1" s="1"/>
  <c r="BB384" i="1"/>
  <c r="AZ384" i="1" s="1"/>
  <c r="BB269" i="1"/>
  <c r="AZ269" i="1" s="1"/>
  <c r="Q287" i="3" s="1"/>
  <c r="BB119" i="1"/>
  <c r="AZ119" i="1" s="1"/>
  <c r="BB227" i="1"/>
  <c r="AZ227" i="1" s="1"/>
  <c r="BB396" i="1"/>
  <c r="AZ396" i="1" s="1"/>
  <c r="BB92" i="1"/>
  <c r="AZ92" i="1" s="1"/>
  <c r="BB44" i="1"/>
  <c r="AZ44" i="1" s="1"/>
  <c r="Q81" i="3" s="1"/>
  <c r="BB163" i="1"/>
  <c r="AZ163" i="1" s="1"/>
  <c r="BB30" i="1"/>
  <c r="AZ30" i="1" s="1"/>
  <c r="BB53" i="1"/>
  <c r="AZ53" i="1" s="1"/>
  <c r="BB237" i="1"/>
  <c r="AZ237" i="1" s="1"/>
  <c r="Q544" i="3" s="1"/>
  <c r="BB280" i="1"/>
  <c r="AZ280" i="1" s="1"/>
  <c r="BB110" i="1"/>
  <c r="AZ110" i="1" s="1"/>
  <c r="BB196" i="1"/>
  <c r="AZ196" i="1" s="1"/>
  <c r="BB385" i="1"/>
  <c r="AZ385" i="1" s="1"/>
  <c r="BB57" i="1"/>
  <c r="AZ57" i="1" s="1"/>
  <c r="BB391" i="1"/>
  <c r="AZ391" i="1" s="1"/>
  <c r="Q217" i="3" s="1"/>
  <c r="BB419" i="1"/>
  <c r="AZ419" i="1" s="1"/>
  <c r="BB411" i="1"/>
  <c r="AZ411" i="1" s="1"/>
  <c r="BB102" i="1"/>
  <c r="AZ102" i="1" s="1"/>
  <c r="BB71" i="1"/>
  <c r="AZ71" i="1" s="1"/>
  <c r="BB93" i="1"/>
  <c r="AZ93" i="1" s="1"/>
  <c r="BB309" i="1"/>
  <c r="AZ309" i="1" s="1"/>
  <c r="BB142" i="1"/>
  <c r="AZ142" i="1" s="1"/>
  <c r="BB339" i="1"/>
  <c r="AZ339" i="1" s="1"/>
  <c r="BB87" i="1"/>
  <c r="AZ87" i="1" s="1"/>
  <c r="BB374" i="1"/>
  <c r="AZ374" i="1" s="1"/>
  <c r="Q798" i="3" s="1"/>
  <c r="BB344" i="1"/>
  <c r="AZ344" i="1" s="1"/>
  <c r="BB149" i="1"/>
  <c r="AZ149" i="1" s="1"/>
  <c r="BB400" i="1"/>
  <c r="AZ400" i="1" s="1"/>
  <c r="BB420" i="1"/>
  <c r="AZ420" i="1" s="1"/>
  <c r="BB24" i="1"/>
  <c r="AZ24" i="1" s="1"/>
  <c r="BB389" i="1"/>
  <c r="AZ389" i="1" s="1"/>
  <c r="BB105" i="1"/>
  <c r="AZ105" i="1" s="1"/>
  <c r="BB345" i="1"/>
  <c r="AZ345" i="1" s="1"/>
  <c r="BB19" i="1"/>
  <c r="AZ19" i="1" s="1"/>
  <c r="BB117" i="1"/>
  <c r="AZ117" i="1" s="1"/>
  <c r="BB305" i="1"/>
  <c r="AZ305" i="1" s="1"/>
  <c r="BB186" i="1"/>
  <c r="AZ186" i="1" s="1"/>
  <c r="BB246" i="1"/>
  <c r="AZ246" i="1" s="1"/>
  <c r="BB264" i="1"/>
  <c r="AZ264" i="1" s="1"/>
  <c r="BB123" i="1"/>
  <c r="AZ123" i="1" s="1"/>
  <c r="BB221" i="1"/>
  <c r="AZ221" i="1" s="1"/>
  <c r="BB173" i="1"/>
  <c r="AZ173" i="1" s="1"/>
  <c r="BB418" i="1"/>
  <c r="AZ418" i="1" s="1"/>
  <c r="BB336" i="1"/>
  <c r="AZ336" i="1" s="1"/>
  <c r="BB286" i="1"/>
  <c r="AZ286" i="1" s="1"/>
  <c r="BB107" i="1"/>
  <c r="AZ107" i="1" s="1"/>
  <c r="BB91" i="1"/>
  <c r="AZ91" i="1" s="1"/>
  <c r="BB229" i="1"/>
  <c r="AZ229" i="1" s="1"/>
  <c r="BB48" i="1"/>
  <c r="AZ48" i="1" s="1"/>
  <c r="BB403" i="1"/>
  <c r="AZ403" i="1" s="1"/>
  <c r="Q610" i="3" s="1"/>
  <c r="BB233" i="1"/>
  <c r="AZ233" i="1" s="1"/>
  <c r="BB250" i="1"/>
  <c r="AZ250" i="1" s="1"/>
  <c r="BB360" i="1"/>
  <c r="AZ360" i="1" s="1"/>
  <c r="BB285" i="1"/>
  <c r="AZ285" i="1" s="1"/>
  <c r="BB69" i="1"/>
  <c r="AZ69" i="1" s="1"/>
  <c r="BB321" i="1"/>
  <c r="AZ321" i="1" s="1"/>
  <c r="BB230" i="1"/>
  <c r="AZ230" i="1" s="1"/>
  <c r="BB275" i="1"/>
  <c r="AZ275" i="1" s="1"/>
  <c r="BB6" i="1"/>
  <c r="AZ6" i="1" s="1"/>
  <c r="BB38" i="1"/>
  <c r="AZ38" i="1" s="1"/>
  <c r="BB311" i="1"/>
  <c r="AZ311" i="1" s="1"/>
  <c r="BB340" i="1"/>
  <c r="AZ340" i="1" s="1"/>
  <c r="BB143" i="1"/>
  <c r="AZ143" i="1" s="1"/>
  <c r="BB212" i="1"/>
  <c r="AZ212" i="1" s="1"/>
  <c r="BB99" i="1"/>
  <c r="AZ99" i="1" s="1"/>
  <c r="BB380" i="1"/>
  <c r="AZ380" i="1" s="1"/>
  <c r="BB132" i="1"/>
  <c r="AZ132" i="1" s="1"/>
  <c r="BB313" i="1"/>
  <c r="AZ313" i="1" s="1"/>
  <c r="Q297" i="3" s="1"/>
  <c r="BB59" i="1"/>
  <c r="AZ59" i="1" s="1"/>
  <c r="BB415" i="1"/>
  <c r="AZ415" i="1" s="1"/>
  <c r="BB192" i="1"/>
  <c r="AZ192" i="1" s="1"/>
  <c r="BB49" i="1"/>
  <c r="AZ49" i="1" s="1"/>
  <c r="Q28" i="3" s="1"/>
  <c r="BB407" i="1"/>
  <c r="AZ407" i="1" s="1"/>
  <c r="BB203" i="1"/>
  <c r="AZ203" i="1" s="1"/>
  <c r="BB272" i="1"/>
  <c r="AZ272" i="1" s="1"/>
  <c r="BB356" i="1"/>
  <c r="AZ356" i="1" s="1"/>
  <c r="BB13" i="1"/>
  <c r="AZ13" i="1" s="1"/>
  <c r="BB416" i="1"/>
  <c r="AZ416" i="1" s="1"/>
  <c r="Q354" i="3"/>
  <c r="BB197" i="1"/>
  <c r="AZ197" i="1" s="1"/>
  <c r="BB368" i="1"/>
  <c r="AZ368" i="1" s="1"/>
  <c r="BB383" i="1"/>
  <c r="AZ383" i="1" s="1"/>
  <c r="Q729" i="3" s="1"/>
  <c r="BB273" i="1"/>
  <c r="AZ273" i="1" s="1"/>
  <c r="BB155" i="1"/>
  <c r="AZ155" i="1" s="1"/>
  <c r="BB291" i="1"/>
  <c r="AZ291" i="1" s="1"/>
  <c r="Q60" i="3" s="1"/>
  <c r="BB257" i="1"/>
  <c r="AZ257" i="1" s="1"/>
  <c r="BB66" i="1"/>
  <c r="AZ66" i="1" s="1"/>
  <c r="Q64" i="3" s="1"/>
  <c r="Q694" i="3"/>
  <c r="BB239" i="1"/>
  <c r="AZ239" i="1" s="1"/>
  <c r="BB85" i="1"/>
  <c r="AZ85" i="1" s="1"/>
  <c r="BB376" i="1"/>
  <c r="AZ376" i="1" s="1"/>
  <c r="Q566" i="3"/>
  <c r="BB176" i="1"/>
  <c r="AZ176" i="1" s="1"/>
  <c r="BB241" i="1"/>
  <c r="AZ241" i="1" s="1"/>
  <c r="BB46" i="1"/>
  <c r="AZ46" i="1" s="1"/>
  <c r="BB191" i="1"/>
  <c r="AZ191" i="1" s="1"/>
  <c r="BB144" i="1"/>
  <c r="AZ144" i="1" s="1"/>
  <c r="BB294" i="1"/>
  <c r="AZ294" i="1" s="1"/>
  <c r="BB184" i="1"/>
  <c r="AZ184" i="1" s="1"/>
  <c r="BB108" i="1"/>
  <c r="AZ108" i="1" s="1"/>
  <c r="Q312" i="3" s="1"/>
  <c r="BB180" i="1"/>
  <c r="AZ180" i="1" s="1"/>
  <c r="BB432" i="1"/>
  <c r="AZ432" i="1" s="1"/>
  <c r="BB121" i="1"/>
  <c r="AZ121" i="1" s="1"/>
  <c r="Q414" i="3" s="1"/>
  <c r="BB148" i="1"/>
  <c r="AZ148" i="1" s="1"/>
  <c r="BB20" i="1"/>
  <c r="AZ20" i="1" s="1"/>
  <c r="BB51" i="1"/>
  <c r="AZ51" i="1" s="1"/>
  <c r="BB208" i="1"/>
  <c r="AZ208" i="1" s="1"/>
  <c r="BB179" i="1"/>
  <c r="AZ179" i="1" s="1"/>
  <c r="BB118" i="1"/>
  <c r="AZ118" i="1" s="1"/>
  <c r="BB297" i="1"/>
  <c r="AZ297" i="1" s="1"/>
  <c r="BB79" i="1"/>
  <c r="AZ79" i="1" s="1"/>
  <c r="BB236" i="1"/>
  <c r="AZ236" i="1" s="1"/>
  <c r="BB84" i="1"/>
  <c r="AZ84" i="1" s="1"/>
  <c r="BB137" i="1"/>
  <c r="AZ137" i="1" s="1"/>
  <c r="BB193" i="1"/>
  <c r="AZ193" i="1" s="1"/>
  <c r="BB296" i="1"/>
  <c r="AZ296" i="1" s="1"/>
  <c r="BB32" i="1"/>
  <c r="AZ32" i="1" s="1"/>
  <c r="BB73" i="1"/>
  <c r="AZ73" i="1" s="1"/>
  <c r="BB370" i="1"/>
  <c r="AZ370" i="1" s="1"/>
  <c r="BB398" i="1"/>
  <c r="AZ398" i="1" s="1"/>
  <c r="Q484" i="3" s="1"/>
  <c r="BB245" i="1"/>
  <c r="AZ245" i="1" s="1"/>
  <c r="BB172" i="1"/>
  <c r="AZ172" i="1" s="1"/>
  <c r="BB274" i="1"/>
  <c r="AZ274" i="1" s="1"/>
  <c r="BB177" i="1"/>
  <c r="AZ177" i="1" s="1"/>
  <c r="Q516" i="3"/>
  <c r="BB409" i="1"/>
  <c r="AZ409" i="1" s="1"/>
  <c r="Q748" i="3" s="1"/>
  <c r="BB151" i="1"/>
  <c r="AZ151" i="1" s="1"/>
  <c r="BB318" i="1"/>
  <c r="AZ318" i="1" s="1"/>
  <c r="BB375" i="1"/>
  <c r="AZ375" i="1" s="1"/>
  <c r="BB111" i="1"/>
  <c r="AZ111" i="1" s="1"/>
  <c r="BB161" i="1"/>
  <c r="AZ161" i="1" s="1"/>
  <c r="BB304" i="1"/>
  <c r="AZ304" i="1" s="1"/>
  <c r="BB270" i="1"/>
  <c r="AZ270" i="1" s="1"/>
  <c r="BB351" i="1"/>
  <c r="AZ351" i="1" s="1"/>
  <c r="BB211" i="1"/>
  <c r="AZ211" i="1" s="1"/>
  <c r="BB335" i="1"/>
  <c r="AZ335" i="1" s="1"/>
  <c r="Q328" i="3"/>
  <c r="BB325" i="1"/>
  <c r="AZ325" i="1" s="1"/>
  <c r="BB315" i="1"/>
  <c r="AZ315" i="1" s="1"/>
  <c r="BB438" i="1"/>
  <c r="AZ438" i="1" s="1"/>
  <c r="BB290" i="1"/>
  <c r="AZ290" i="1" s="1"/>
  <c r="BB25" i="1"/>
  <c r="AZ25" i="1" s="1"/>
  <c r="BB128" i="1"/>
  <c r="AZ128" i="1" s="1"/>
  <c r="BB175" i="1"/>
  <c r="AZ175" i="1" s="1"/>
  <c r="Q474" i="3" s="1"/>
  <c r="BB405" i="1"/>
  <c r="AZ405" i="1" s="1"/>
  <c r="BB37" i="1"/>
  <c r="AZ37" i="1" s="1"/>
  <c r="BB323" i="1"/>
  <c r="AZ323" i="1" s="1"/>
  <c r="BB401" i="1"/>
  <c r="AZ401" i="1" s="1"/>
  <c r="Q261" i="3" s="1"/>
  <c r="BB334" i="1"/>
  <c r="AZ334" i="1" s="1"/>
  <c r="BB366" i="1"/>
  <c r="AZ366" i="1" s="1"/>
  <c r="BB174" i="1"/>
  <c r="AZ174" i="1" s="1"/>
  <c r="BB342" i="1"/>
  <c r="AZ342" i="1" s="1"/>
  <c r="BB220" i="1"/>
  <c r="AZ220" i="1" s="1"/>
  <c r="BB160" i="1"/>
  <c r="AZ160" i="1" s="1"/>
  <c r="Q801" i="3" s="1"/>
  <c r="BB88" i="1"/>
  <c r="AZ88" i="1" s="1"/>
  <c r="BB209" i="1"/>
  <c r="AZ209" i="1" s="1"/>
  <c r="BB254" i="1"/>
  <c r="AZ254" i="1" s="1"/>
  <c r="BB308" i="1"/>
  <c r="AZ308" i="1" s="1"/>
  <c r="BB330" i="1"/>
  <c r="AZ330" i="1" s="1"/>
  <c r="BB23" i="1"/>
  <c r="AZ23" i="1" s="1"/>
  <c r="Q40" i="3" s="1"/>
  <c r="BB77" i="1"/>
  <c r="AZ77" i="1" s="1"/>
  <c r="BB310" i="1"/>
  <c r="AZ310" i="1" s="1"/>
  <c r="BB80" i="1"/>
  <c r="AZ80" i="1" s="1"/>
  <c r="BB231" i="1"/>
  <c r="AZ231" i="1" s="1"/>
  <c r="BB190" i="1"/>
  <c r="AZ190" i="1" s="1"/>
  <c r="BB353" i="1"/>
  <c r="AZ353" i="1" s="1"/>
  <c r="BB299" i="1"/>
  <c r="AZ299" i="1" s="1"/>
  <c r="BB333" i="1"/>
  <c r="AZ333" i="1" s="1"/>
  <c r="BB404" i="1"/>
  <c r="AZ404" i="1" s="1"/>
  <c r="Q471" i="3" s="1"/>
  <c r="BB96" i="1"/>
  <c r="AZ96" i="1" s="1"/>
  <c r="BB43" i="1"/>
  <c r="AZ43" i="1" s="1"/>
  <c r="BB60" i="1"/>
  <c r="AZ60" i="1" s="1"/>
  <c r="Q271" i="3"/>
  <c r="BB388" i="1"/>
  <c r="AZ388" i="1" s="1"/>
  <c r="BB168" i="1"/>
  <c r="AZ168" i="1" s="1"/>
  <c r="Q613" i="3" s="1"/>
  <c r="BB363" i="1"/>
  <c r="AZ363" i="1" s="1"/>
  <c r="BB134" i="1"/>
  <c r="AZ134" i="1" s="1"/>
  <c r="BB373" i="1"/>
  <c r="AZ373" i="1" s="1"/>
  <c r="BB338" i="1"/>
  <c r="AZ338" i="1" s="1"/>
  <c r="BB39" i="1"/>
  <c r="AZ39" i="1" s="1"/>
  <c r="BB319" i="1"/>
  <c r="AZ319" i="1" s="1"/>
  <c r="BB431" i="1"/>
  <c r="AZ431" i="1" s="1"/>
  <c r="BB14" i="1"/>
  <c r="AZ14" i="1" s="1"/>
  <c r="AV1" i="2"/>
  <c r="Q310" i="3" l="1"/>
  <c r="Q845" i="3"/>
  <c r="Q752" i="3"/>
  <c r="Q15" i="3"/>
  <c r="Q449" i="3"/>
  <c r="Q652" i="3"/>
  <c r="Q612" i="3"/>
  <c r="Q846" i="3"/>
  <c r="Q812" i="3"/>
  <c r="Q856" i="3"/>
  <c r="Q263" i="3"/>
  <c r="Q602" i="3"/>
  <c r="Q573" i="3"/>
  <c r="Q600" i="3"/>
  <c r="Q279" i="3"/>
  <c r="Q51" i="3"/>
  <c r="Q586" i="3"/>
  <c r="Q384" i="3"/>
  <c r="Q395" i="3"/>
  <c r="Q854" i="3"/>
  <c r="Q497" i="3"/>
  <c r="Q392" i="3"/>
  <c r="Q707" i="3"/>
  <c r="Q816" i="3"/>
  <c r="Q696" i="3"/>
  <c r="Q421" i="3"/>
  <c r="Q410" i="3"/>
  <c r="Q108" i="3"/>
  <c r="Q448" i="3"/>
  <c r="Q708" i="3"/>
  <c r="Q362" i="3"/>
  <c r="Q364" i="3"/>
  <c r="Q133" i="3"/>
  <c r="Q713" i="3"/>
  <c r="Q95" i="3"/>
  <c r="Q9" i="3"/>
  <c r="Q618" i="3"/>
  <c r="Q131" i="3"/>
  <c r="Q503" i="3"/>
  <c r="Q755" i="3"/>
  <c r="Q78" i="3"/>
  <c r="Q466" i="3"/>
  <c r="Q487" i="3"/>
  <c r="Q427" i="3"/>
  <c r="Q519" i="3"/>
  <c r="Q470" i="3"/>
  <c r="Q592" i="3"/>
  <c r="Q308" i="3"/>
  <c r="Q176" i="3"/>
  <c r="Q469" i="3"/>
  <c r="Q479" i="3"/>
  <c r="Q773" i="3"/>
  <c r="Q582" i="3"/>
  <c r="Q493" i="3"/>
  <c r="Q514" i="3"/>
  <c r="Q639" i="3"/>
  <c r="Q486" i="3"/>
  <c r="Q333" i="3"/>
  <c r="Q637" i="3"/>
  <c r="Q574" i="3"/>
  <c r="Q726" i="3"/>
  <c r="Q498" i="3"/>
  <c r="Q365" i="3"/>
  <c r="Q568" i="3"/>
  <c r="Q635" i="3"/>
  <c r="Q450" i="3"/>
  <c r="Q524" i="3"/>
  <c r="Q597" i="3"/>
  <c r="Q704" i="3"/>
  <c r="Q373" i="3"/>
  <c r="Q13" i="3"/>
  <c r="Q501" i="3"/>
  <c r="Q444" i="3"/>
  <c r="Q785" i="3"/>
  <c r="Q22" i="3"/>
  <c r="Q678" i="3"/>
  <c r="Q850" i="3"/>
  <c r="Q787" i="3"/>
  <c r="Q476" i="3"/>
  <c r="Q716" i="3"/>
  <c r="Q645" i="3"/>
  <c r="Q595" i="3"/>
  <c r="Q799" i="3"/>
  <c r="Q737" i="3"/>
  <c r="Q690" i="3"/>
  <c r="Q836" i="3"/>
  <c r="Q521" i="3"/>
  <c r="Q307" i="3"/>
  <c r="Q515" i="3"/>
  <c r="Q714" i="3"/>
  <c r="Q371" i="3"/>
  <c r="Q883" i="3"/>
  <c r="Q178" i="3"/>
  <c r="Q433" i="3"/>
  <c r="Q53" i="3"/>
  <c r="Q227" i="3"/>
  <c r="Q634" i="3"/>
  <c r="Q424" i="3"/>
  <c r="Q306" i="3"/>
  <c r="Q797" i="3"/>
  <c r="Q386" i="3"/>
  <c r="Q766" i="3"/>
  <c r="Q473" i="3"/>
  <c r="Q691" i="3"/>
  <c r="Q842" i="3"/>
  <c r="Q777" i="3"/>
  <c r="Q554" i="3"/>
  <c r="Q538" i="3"/>
  <c r="Q814" i="3"/>
  <c r="Q192" i="3"/>
  <c r="Q158" i="3"/>
  <c r="Q508" i="3"/>
  <c r="Q719" i="3"/>
  <c r="Q75" i="3"/>
  <c r="Q252" i="3"/>
  <c r="Q552" i="3"/>
  <c r="Q160" i="3"/>
  <c r="Q379" i="3"/>
  <c r="Q495" i="3"/>
  <c r="Q575" i="3"/>
  <c r="Q771" i="3"/>
  <c r="Q559" i="3"/>
  <c r="Q404" i="3"/>
  <c r="Q159" i="3"/>
  <c r="Q347" i="3"/>
  <c r="Q820" i="3"/>
  <c r="Q500" i="3"/>
  <c r="Q643" i="3"/>
  <c r="Q399" i="3"/>
  <c r="Q749" i="3"/>
  <c r="Q475" i="3"/>
  <c r="Q676" i="3"/>
  <c r="Q351" i="3"/>
  <c r="Q741" i="3"/>
  <c r="Q423" i="3"/>
  <c r="Q441" i="3"/>
  <c r="Q742" i="3"/>
  <c r="Q788" i="3"/>
  <c r="Q458" i="3"/>
  <c r="Q550" i="3"/>
  <c r="Q587" i="3"/>
  <c r="Q436" i="3"/>
  <c r="Q494" i="3"/>
  <c r="Q381" i="3"/>
  <c r="Q468" i="3"/>
  <c r="Q590" i="3"/>
  <c r="Q94" i="3"/>
  <c r="Q435" i="3"/>
  <c r="Q615" i="3"/>
  <c r="Q782" i="3"/>
  <c r="Q412" i="3"/>
  <c r="Q181" i="3"/>
  <c r="Q880" i="3"/>
  <c r="Q434" i="3"/>
  <c r="Q730" i="3"/>
  <c r="Q640" i="3"/>
  <c r="Q350" i="3"/>
  <c r="Q614" i="3"/>
  <c r="Q768" i="3"/>
  <c r="Q603" i="3"/>
  <c r="Q717" i="3"/>
  <c r="Q549" i="3"/>
  <c r="Q599" i="3"/>
  <c r="Q288" i="3"/>
  <c r="Q180" i="3"/>
  <c r="Q699" i="3"/>
  <c r="Q701" i="3"/>
  <c r="Q746" i="3"/>
  <c r="Q220" i="3"/>
  <c r="AD720" i="3"/>
  <c r="AD834" i="3"/>
  <c r="AD445" i="3"/>
  <c r="AD118" i="3"/>
  <c r="AD69" i="3"/>
  <c r="AD21" i="3"/>
  <c r="AD703" i="3"/>
  <c r="AD721" i="3"/>
  <c r="AD545" i="3"/>
  <c r="AD654" i="3"/>
  <c r="AD556" i="3"/>
  <c r="AD753" i="3"/>
  <c r="AD467" i="3"/>
  <c r="AD758" i="3"/>
  <c r="AD862" i="3"/>
  <c r="AD855" i="3"/>
  <c r="AD830" i="3"/>
  <c r="AD245" i="3"/>
  <c r="AD276" i="3"/>
  <c r="AD99" i="3"/>
  <c r="AD317" i="3"/>
  <c r="AD58" i="3"/>
  <c r="AD513" i="3"/>
  <c r="AD722" i="3"/>
  <c r="AD330" i="3"/>
  <c r="AD860" i="3"/>
  <c r="AD174" i="3"/>
  <c r="AD111" i="3"/>
  <c r="AD141" i="3"/>
  <c r="AD341" i="3"/>
  <c r="AD229" i="3"/>
  <c r="AD66" i="3"/>
  <c r="AD284" i="3"/>
  <c r="AD335" i="3"/>
  <c r="AD571" i="3"/>
  <c r="AD781" i="3"/>
  <c r="AD499" i="3"/>
  <c r="AD77" i="3"/>
  <c r="AD621" i="3"/>
  <c r="AD54" i="3"/>
  <c r="AD289" i="3"/>
  <c r="AD567" i="3"/>
  <c r="AD811" i="3"/>
  <c r="AD701" i="3"/>
  <c r="AD809" i="3"/>
  <c r="AD739" i="3"/>
  <c r="AD714" i="3"/>
  <c r="AX21" i="1"/>
  <c r="AX414" i="1"/>
  <c r="AX86" i="1"/>
  <c r="AD73" i="3" l="1"/>
  <c r="AD366" i="3"/>
  <c r="AD113" i="3"/>
  <c r="AD820" i="3"/>
  <c r="AD786" i="3"/>
  <c r="AD305" i="3"/>
  <c r="AD15" i="3"/>
  <c r="AD282" i="3"/>
  <c r="AD104" i="3"/>
  <c r="AD403" i="3"/>
  <c r="AD408" i="3"/>
  <c r="AD273" i="3"/>
  <c r="AD255" i="3"/>
  <c r="AD230" i="3"/>
  <c r="AU3" i="2"/>
  <c r="AW266" i="2" l="1"/>
  <c r="AW323" i="2"/>
  <c r="AW116" i="2"/>
  <c r="AW207" i="2"/>
  <c r="AW333" i="2"/>
  <c r="AW187" i="2"/>
  <c r="AD309" i="3" l="1"/>
  <c r="H22" i="10" l="1"/>
  <c r="H19" i="10"/>
  <c r="C9" i="9"/>
  <c r="C10" i="9"/>
  <c r="C11" i="9"/>
  <c r="C12" i="9"/>
  <c r="C13" i="9"/>
  <c r="C14" i="9"/>
  <c r="C15" i="9"/>
  <c r="C16" i="9"/>
  <c r="C17" i="9"/>
  <c r="C18" i="9"/>
  <c r="C19" i="9"/>
  <c r="C20" i="9"/>
  <c r="C21" i="9"/>
  <c r="C22" i="9"/>
  <c r="C23" i="9"/>
  <c r="C24" i="9"/>
  <c r="C25" i="9"/>
  <c r="C26" i="9"/>
  <c r="C27" i="9"/>
  <c r="C28" i="9"/>
  <c r="C29" i="9"/>
  <c r="C30" i="9"/>
  <c r="C31" i="9"/>
  <c r="C32" i="9"/>
  <c r="C33" i="9"/>
  <c r="C34" i="9"/>
  <c r="C35" i="9"/>
  <c r="C36" i="9"/>
  <c r="C37" i="9"/>
  <c r="C38" i="9"/>
  <c r="C39" i="9"/>
  <c r="C40" i="9"/>
  <c r="C41" i="9"/>
  <c r="C42" i="9"/>
  <c r="C43" i="9"/>
  <c r="C44" i="9"/>
  <c r="C45" i="9"/>
  <c r="C46" i="9"/>
  <c r="C47" i="9"/>
  <c r="C48" i="9"/>
  <c r="C49" i="9"/>
  <c r="C50" i="9"/>
  <c r="C51" i="9"/>
  <c r="C52" i="9"/>
  <c r="C53" i="9"/>
  <c r="C54" i="9"/>
  <c r="C55" i="9"/>
  <c r="C56" i="9"/>
  <c r="C57" i="9"/>
  <c r="C58" i="9"/>
  <c r="C59" i="9"/>
  <c r="C60" i="9"/>
  <c r="C61" i="9"/>
  <c r="C62" i="9"/>
  <c r="C63" i="9"/>
  <c r="C64" i="9"/>
  <c r="C65" i="9"/>
  <c r="C66" i="9"/>
  <c r="C67" i="9"/>
  <c r="C68" i="9"/>
  <c r="C69" i="9"/>
  <c r="C70" i="9"/>
  <c r="C71" i="9"/>
  <c r="C72" i="9"/>
  <c r="C73" i="9"/>
  <c r="C74" i="9"/>
  <c r="C75" i="9"/>
  <c r="C76" i="9"/>
  <c r="C77" i="9"/>
  <c r="C78" i="9"/>
  <c r="C79" i="9"/>
  <c r="C80" i="9"/>
  <c r="C81" i="9"/>
  <c r="C82" i="9"/>
  <c r="C83" i="9"/>
  <c r="C84" i="9"/>
  <c r="C85" i="9"/>
  <c r="C86" i="9"/>
  <c r="C87" i="9"/>
  <c r="C88" i="9"/>
  <c r="C89" i="9"/>
  <c r="C90" i="9"/>
  <c r="C91" i="9"/>
  <c r="C92" i="9"/>
  <c r="C93" i="9"/>
  <c r="C94" i="9"/>
  <c r="C95" i="9"/>
  <c r="C96" i="9"/>
  <c r="C97" i="9"/>
  <c r="C98" i="9"/>
  <c r="C99" i="9"/>
  <c r="C100" i="9"/>
  <c r="C101" i="9"/>
  <c r="C102" i="9"/>
  <c r="C103" i="9"/>
  <c r="C104" i="9"/>
  <c r="C105" i="9"/>
  <c r="C106" i="9"/>
  <c r="C8" i="9"/>
  <c r="AD891" i="3" l="1"/>
  <c r="AY21" i="1"/>
  <c r="AW21" i="1"/>
  <c r="AU21" i="1"/>
  <c r="AY86" i="1"/>
  <c r="AW86" i="1"/>
  <c r="AU86" i="1"/>
  <c r="AY414" i="1"/>
  <c r="AW414" i="1"/>
  <c r="AU414" i="1"/>
  <c r="BB21" i="1" l="1"/>
  <c r="BB86" i="1"/>
  <c r="BB414" i="1"/>
  <c r="AD840" i="3" l="1"/>
  <c r="AD315" i="3"/>
  <c r="AD327" i="3"/>
  <c r="AD688" i="3"/>
  <c r="AD598" i="3"/>
  <c r="H5" i="10"/>
  <c r="H20" i="10"/>
  <c r="H21" i="10"/>
  <c r="H26" i="10"/>
  <c r="H25" i="10"/>
  <c r="H6" i="10"/>
  <c r="H27" i="10"/>
  <c r="H8" i="10"/>
  <c r="H17" i="10"/>
  <c r="H13" i="10"/>
  <c r="H28" i="10"/>
  <c r="H9" i="10"/>
  <c r="H15" i="10"/>
  <c r="H18" i="10"/>
  <c r="H3" i="10"/>
  <c r="H12" i="10"/>
  <c r="H16" i="10"/>
  <c r="H14" i="10"/>
  <c r="H24" i="10"/>
  <c r="H10" i="10"/>
  <c r="H23" i="10"/>
  <c r="H11" i="10"/>
  <c r="H4" i="10"/>
  <c r="H7" i="10"/>
  <c r="AW415" i="2" l="1"/>
  <c r="AW120" i="2"/>
  <c r="H29" i="10"/>
  <c r="AW244" i="2" l="1"/>
  <c r="AW75" i="2"/>
  <c r="AW304" i="2"/>
  <c r="AW33" i="2"/>
  <c r="AW331" i="2"/>
  <c r="AW246" i="2"/>
  <c r="AW16" i="2"/>
  <c r="AW119" i="2"/>
  <c r="AW320" i="2"/>
  <c r="AW307" i="2"/>
  <c r="AW376" i="2"/>
  <c r="AW147" i="2"/>
  <c r="AW442" i="2"/>
  <c r="AW282" i="2"/>
  <c r="AW146" i="2"/>
  <c r="AW5" i="2"/>
  <c r="AW354" i="2"/>
  <c r="AW168" i="2"/>
  <c r="AW438" i="2"/>
  <c r="AW62" i="2"/>
  <c r="AW413" i="2"/>
  <c r="AW357" i="2"/>
  <c r="AW294" i="2"/>
  <c r="AW227" i="2"/>
  <c r="AW11" i="2"/>
  <c r="AW145" i="2"/>
  <c r="AW235" i="2"/>
  <c r="AW432" i="2"/>
  <c r="AW213" i="2"/>
  <c r="AW369" i="2"/>
  <c r="AW222" i="2"/>
  <c r="AW412" i="2"/>
  <c r="AW50" i="2"/>
  <c r="AW427" i="2"/>
  <c r="AW364" i="2"/>
  <c r="AW115" i="2"/>
  <c r="AW154" i="2"/>
  <c r="AW373" i="2"/>
  <c r="AW81" i="2"/>
  <c r="AW118" i="2"/>
  <c r="AW143" i="2"/>
  <c r="AW181" i="2"/>
  <c r="AW128" i="2"/>
  <c r="AW71" i="2"/>
  <c r="AW110" i="2"/>
  <c r="AW12" i="2"/>
  <c r="AW30" i="2"/>
  <c r="AW402" i="2"/>
  <c r="AW148" i="2"/>
  <c r="AW77" i="2"/>
  <c r="AW37" i="2"/>
  <c r="AW174" i="2"/>
  <c r="AW68" i="2"/>
  <c r="AW176" i="2"/>
  <c r="AW211" i="2"/>
  <c r="AW140" i="2"/>
  <c r="AW139" i="2"/>
  <c r="AW106" i="2"/>
  <c r="AW321" i="2"/>
  <c r="AW360" i="2"/>
  <c r="AW45" i="2"/>
  <c r="AW188" i="2"/>
  <c r="AW236" i="2"/>
  <c r="AW317" i="2"/>
  <c r="AW421" i="2"/>
  <c r="AW332" i="2"/>
  <c r="AW54" i="2"/>
  <c r="AW18" i="2"/>
  <c r="AW311" i="2"/>
  <c r="AW113" i="2"/>
  <c r="AW199" i="2"/>
  <c r="AW24" i="2"/>
  <c r="AW397" i="2"/>
  <c r="AW347" i="2"/>
  <c r="AW167" i="2"/>
  <c r="AW441" i="2"/>
  <c r="AW303" i="2"/>
  <c r="AW41" i="2"/>
  <c r="AW335" i="2"/>
  <c r="AW134" i="2"/>
  <c r="AW456" i="2"/>
  <c r="AW84" i="2"/>
  <c r="AW8" i="2"/>
  <c r="AW251" i="2"/>
  <c r="AW121" i="2"/>
  <c r="AW198" i="2"/>
  <c r="AW378" i="2"/>
  <c r="AW291" i="2"/>
  <c r="AW190" i="2"/>
  <c r="AW345" i="2"/>
  <c r="AW27" i="2"/>
  <c r="AW337" i="2"/>
  <c r="AW239" i="2"/>
  <c r="AW334" i="2"/>
  <c r="AW66" i="2"/>
  <c r="AW178" i="2"/>
  <c r="AW264" i="2"/>
  <c r="AW367" i="2"/>
  <c r="AW224" i="2"/>
  <c r="AW23" i="2"/>
  <c r="AW310" i="2"/>
  <c r="AW64" i="2"/>
  <c r="AW40" i="2"/>
  <c r="AW393" i="2"/>
  <c r="AW95" i="2"/>
  <c r="AW368" i="2"/>
  <c r="AW230" i="2"/>
  <c r="AW209" i="2"/>
  <c r="AW253" i="2"/>
  <c r="AW241" i="2"/>
  <c r="AW172" i="2"/>
  <c r="AW117" i="2"/>
  <c r="AW411" i="2"/>
  <c r="AW96" i="2"/>
  <c r="AW26" i="2"/>
  <c r="AW394" i="2"/>
  <c r="AW60" i="2"/>
  <c r="AW420" i="2"/>
  <c r="AW182" i="2"/>
  <c r="AW278" i="2"/>
  <c r="AW342" i="2"/>
  <c r="AW255" i="2"/>
  <c r="AW384" i="2"/>
  <c r="AW151" i="2"/>
  <c r="AW82" i="2"/>
  <c r="AW409" i="2"/>
  <c r="AW451" i="2"/>
  <c r="AW269" i="2"/>
  <c r="AW440" i="2"/>
  <c r="AW296" i="2"/>
  <c r="AW375" i="2"/>
  <c r="AW137" i="2"/>
  <c r="AW316" i="2"/>
  <c r="AW141" i="2"/>
  <c r="AW276" i="2"/>
  <c r="AW437" i="2"/>
  <c r="AW114" i="2"/>
  <c r="AW430" i="2"/>
  <c r="AW65" i="2"/>
  <c r="AW309" i="2"/>
  <c r="AW312" i="2"/>
  <c r="AW274" i="2"/>
  <c r="AW370" i="2"/>
  <c r="AW103" i="2"/>
  <c r="AW142" i="2"/>
  <c r="AW247" i="2"/>
  <c r="AW122" i="2"/>
  <c r="AW425" i="2"/>
  <c r="AW343" i="2"/>
  <c r="AW102" i="2"/>
  <c r="AW245" i="2"/>
  <c r="AW205" i="2"/>
  <c r="AW93" i="2"/>
  <c r="AW449" i="2"/>
  <c r="AW52" i="2"/>
  <c r="AW59" i="2"/>
  <c r="AW322" i="2"/>
  <c r="AW341" i="2"/>
  <c r="AW390" i="2"/>
  <c r="AW305" i="2"/>
  <c r="AW86" i="2"/>
  <c r="AW379" i="2"/>
  <c r="AW123" i="2"/>
  <c r="AW125" i="2"/>
  <c r="AW365" i="2"/>
  <c r="AW350" i="2"/>
  <c r="AW13" i="2"/>
  <c r="AW108" i="2"/>
  <c r="AW300" i="2"/>
  <c r="AW308" i="2"/>
  <c r="AW44" i="2"/>
  <c r="AW109" i="2"/>
  <c r="AW386" i="2"/>
  <c r="AW405" i="2"/>
  <c r="AW192" i="2"/>
  <c r="AW79" i="2"/>
  <c r="AW286" i="2"/>
  <c r="AW126" i="2"/>
  <c r="AW374" i="2"/>
  <c r="AW433" i="2"/>
  <c r="AW452" i="2"/>
  <c r="AW319" i="2"/>
  <c r="AW353" i="2"/>
  <c r="AW159" i="2"/>
  <c r="AW444" i="2"/>
  <c r="AW208" i="2"/>
  <c r="AW284" i="2"/>
  <c r="AW223" i="2"/>
  <c r="AW349" i="2"/>
  <c r="AW381" i="2"/>
  <c r="AW454" i="2"/>
  <c r="AW324" i="2"/>
  <c r="AW285" i="2"/>
  <c r="AW325" i="2"/>
  <c r="AW429" i="2"/>
  <c r="AW272" i="2"/>
  <c r="AW431" i="2"/>
  <c r="AW248" i="2"/>
  <c r="AW100" i="2"/>
  <c r="AW204" i="2"/>
  <c r="AW158" i="2"/>
  <c r="AW242" i="2"/>
  <c r="AW301" i="2"/>
  <c r="AW177" i="2"/>
  <c r="AW58" i="2"/>
  <c r="AW243" i="2"/>
  <c r="AW306" i="2"/>
  <c r="AW74" i="2"/>
  <c r="AW21" i="2"/>
  <c r="AW225" i="2"/>
  <c r="AW184" i="2"/>
  <c r="AW400" i="2"/>
  <c r="AW408" i="2"/>
  <c r="AW171" i="2"/>
  <c r="AW261" i="2"/>
  <c r="AW424" i="2"/>
  <c r="AW240" i="2"/>
  <c r="AW404" i="2"/>
  <c r="AW69" i="2"/>
  <c r="AW217" i="2"/>
  <c r="AW280" i="2"/>
  <c r="AW340" i="2"/>
  <c r="AW426" i="2"/>
  <c r="AW91" i="2"/>
  <c r="AW455" i="2"/>
  <c r="AW417" i="2"/>
  <c r="AW401" i="2"/>
  <c r="I1" i="10"/>
  <c r="G9" i="9" l="1"/>
  <c r="G10" i="9"/>
  <c r="G11" i="9"/>
  <c r="G12" i="9"/>
  <c r="G13" i="9"/>
  <c r="G14" i="9"/>
  <c r="G15" i="9"/>
  <c r="G16" i="9"/>
  <c r="G17" i="9"/>
  <c r="G18" i="9"/>
  <c r="G19" i="9"/>
  <c r="G20" i="9"/>
  <c r="G21" i="9"/>
  <c r="G22" i="9"/>
  <c r="G23" i="9"/>
  <c r="G24" i="9"/>
  <c r="G25" i="9"/>
  <c r="G26" i="9"/>
  <c r="G27" i="9"/>
  <c r="G28" i="9"/>
  <c r="G29" i="9"/>
  <c r="G30" i="9"/>
  <c r="G31" i="9"/>
  <c r="G32" i="9"/>
  <c r="G33" i="9"/>
  <c r="G34" i="9"/>
  <c r="G35" i="9"/>
  <c r="G36" i="9"/>
  <c r="G37" i="9"/>
  <c r="G38" i="9"/>
  <c r="G39" i="9"/>
  <c r="G40" i="9"/>
  <c r="G41" i="9"/>
  <c r="G42" i="9"/>
  <c r="G43" i="9"/>
  <c r="G44" i="9"/>
  <c r="G45" i="9"/>
  <c r="G46" i="9"/>
  <c r="G47" i="9"/>
  <c r="G48" i="9"/>
  <c r="G49" i="9"/>
  <c r="G50" i="9"/>
  <c r="G51" i="9"/>
  <c r="G52" i="9"/>
  <c r="G53" i="9"/>
  <c r="G54" i="9"/>
  <c r="G55" i="9"/>
  <c r="G56" i="9"/>
  <c r="G57" i="9"/>
  <c r="G58" i="9"/>
  <c r="G59" i="9"/>
  <c r="G60" i="9"/>
  <c r="G61" i="9"/>
  <c r="G62" i="9"/>
  <c r="G63" i="9"/>
  <c r="G64" i="9"/>
  <c r="G65" i="9"/>
  <c r="G66" i="9"/>
  <c r="G67" i="9"/>
  <c r="G68" i="9"/>
  <c r="G69" i="9"/>
  <c r="G70" i="9"/>
  <c r="G71" i="9"/>
  <c r="G72" i="9"/>
  <c r="G73" i="9"/>
  <c r="G74" i="9"/>
  <c r="G75" i="9"/>
  <c r="G76" i="9"/>
  <c r="G77" i="9"/>
  <c r="G78" i="9"/>
  <c r="G79" i="9"/>
  <c r="G80" i="9"/>
  <c r="G81" i="9"/>
  <c r="G82" i="9"/>
  <c r="G83" i="9"/>
  <c r="G84" i="9"/>
  <c r="G85" i="9"/>
  <c r="G86" i="9"/>
  <c r="G87" i="9"/>
  <c r="G88" i="9"/>
  <c r="G89" i="9"/>
  <c r="G90" i="9"/>
  <c r="G91" i="9"/>
  <c r="G92" i="9"/>
  <c r="G93" i="9"/>
  <c r="G94" i="9"/>
  <c r="G95" i="9"/>
  <c r="G96" i="9"/>
  <c r="G97" i="9"/>
  <c r="G98" i="9"/>
  <c r="G99" i="9"/>
  <c r="G100" i="9"/>
  <c r="G101" i="9"/>
  <c r="G102" i="9"/>
  <c r="G103" i="9"/>
  <c r="G104" i="9"/>
  <c r="G105" i="9"/>
  <c r="G106" i="9"/>
  <c r="G8" i="9"/>
  <c r="F9" i="9"/>
  <c r="F10" i="9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F44" i="9"/>
  <c r="F45" i="9"/>
  <c r="F46" i="9"/>
  <c r="F47" i="9"/>
  <c r="F48" i="9"/>
  <c r="F49" i="9"/>
  <c r="F50" i="9"/>
  <c r="F51" i="9"/>
  <c r="F52" i="9"/>
  <c r="F53" i="9"/>
  <c r="F54" i="9"/>
  <c r="F55" i="9"/>
  <c r="F56" i="9"/>
  <c r="F57" i="9"/>
  <c r="F58" i="9"/>
  <c r="F59" i="9"/>
  <c r="F60" i="9"/>
  <c r="F61" i="9"/>
  <c r="F62" i="9"/>
  <c r="F63" i="9"/>
  <c r="F64" i="9"/>
  <c r="F65" i="9"/>
  <c r="F66" i="9"/>
  <c r="F67" i="9"/>
  <c r="F68" i="9"/>
  <c r="F69" i="9"/>
  <c r="F70" i="9"/>
  <c r="F71" i="9"/>
  <c r="F72" i="9"/>
  <c r="F73" i="9"/>
  <c r="F74" i="9"/>
  <c r="F75" i="9"/>
  <c r="F76" i="9"/>
  <c r="F77" i="9"/>
  <c r="F78" i="9"/>
  <c r="F79" i="9"/>
  <c r="F80" i="9"/>
  <c r="F81" i="9"/>
  <c r="F82" i="9"/>
  <c r="F83" i="9"/>
  <c r="F84" i="9"/>
  <c r="F85" i="9"/>
  <c r="F86" i="9"/>
  <c r="F87" i="9"/>
  <c r="F88" i="9"/>
  <c r="F89" i="9"/>
  <c r="F90" i="9"/>
  <c r="F91" i="9"/>
  <c r="F92" i="9"/>
  <c r="F93" i="9"/>
  <c r="F94" i="9"/>
  <c r="F95" i="9"/>
  <c r="F96" i="9"/>
  <c r="F97" i="9"/>
  <c r="F98" i="9"/>
  <c r="F99" i="9"/>
  <c r="F100" i="9"/>
  <c r="F101" i="9"/>
  <c r="F102" i="9"/>
  <c r="F103" i="9"/>
  <c r="F104" i="9"/>
  <c r="F105" i="9"/>
  <c r="F106" i="9"/>
  <c r="F8" i="9"/>
  <c r="D9" i="9"/>
  <c r="B9" i="9" s="1"/>
  <c r="D10" i="9"/>
  <c r="B10" i="9" s="1"/>
  <c r="D11" i="9"/>
  <c r="B11" i="9" s="1"/>
  <c r="D12" i="9"/>
  <c r="B12" i="9" s="1"/>
  <c r="D13" i="9"/>
  <c r="B13" i="9" s="1"/>
  <c r="D14" i="9"/>
  <c r="B14" i="9" s="1"/>
  <c r="D15" i="9"/>
  <c r="B15" i="9" s="1"/>
  <c r="D16" i="9"/>
  <c r="B16" i="9" s="1"/>
  <c r="D17" i="9"/>
  <c r="B17" i="9" s="1"/>
  <c r="D18" i="9"/>
  <c r="B18" i="9" s="1"/>
  <c r="D19" i="9"/>
  <c r="B19" i="9" s="1"/>
  <c r="D20" i="9"/>
  <c r="B20" i="9" s="1"/>
  <c r="D21" i="9"/>
  <c r="B21" i="9" s="1"/>
  <c r="D22" i="9"/>
  <c r="B22" i="9" s="1"/>
  <c r="D23" i="9"/>
  <c r="B23" i="9" s="1"/>
  <c r="D24" i="9"/>
  <c r="B24" i="9" s="1"/>
  <c r="D25" i="9"/>
  <c r="B25" i="9" s="1"/>
  <c r="D26" i="9"/>
  <c r="B26" i="9" s="1"/>
  <c r="D27" i="9"/>
  <c r="B27" i="9" s="1"/>
  <c r="D28" i="9"/>
  <c r="B28" i="9" s="1"/>
  <c r="D29" i="9"/>
  <c r="B29" i="9" s="1"/>
  <c r="D30" i="9"/>
  <c r="B30" i="9" s="1"/>
  <c r="D31" i="9"/>
  <c r="B31" i="9" s="1"/>
  <c r="D32" i="9"/>
  <c r="B32" i="9" s="1"/>
  <c r="D33" i="9"/>
  <c r="B33" i="9" s="1"/>
  <c r="D34" i="9"/>
  <c r="B34" i="9" s="1"/>
  <c r="D35" i="9"/>
  <c r="B35" i="9" s="1"/>
  <c r="D36" i="9"/>
  <c r="B36" i="9" s="1"/>
  <c r="D37" i="9"/>
  <c r="B37" i="9" s="1"/>
  <c r="D38" i="9"/>
  <c r="B38" i="9" s="1"/>
  <c r="D39" i="9"/>
  <c r="B39" i="9" s="1"/>
  <c r="D40" i="9"/>
  <c r="B40" i="9" s="1"/>
  <c r="D41" i="9"/>
  <c r="B41" i="9" s="1"/>
  <c r="D42" i="9"/>
  <c r="B42" i="9" s="1"/>
  <c r="D43" i="9"/>
  <c r="B43" i="9" s="1"/>
  <c r="D44" i="9"/>
  <c r="B44" i="9" s="1"/>
  <c r="D45" i="9"/>
  <c r="B45" i="9" s="1"/>
  <c r="D46" i="9"/>
  <c r="B46" i="9" s="1"/>
  <c r="D47" i="9"/>
  <c r="B47" i="9" s="1"/>
  <c r="D48" i="9"/>
  <c r="B48" i="9" s="1"/>
  <c r="D49" i="9"/>
  <c r="B49" i="9" s="1"/>
  <c r="D50" i="9"/>
  <c r="B50" i="9" s="1"/>
  <c r="D51" i="9"/>
  <c r="B51" i="9" s="1"/>
  <c r="D52" i="9"/>
  <c r="B52" i="9" s="1"/>
  <c r="D53" i="9"/>
  <c r="B53" i="9" s="1"/>
  <c r="D54" i="9"/>
  <c r="B54" i="9" s="1"/>
  <c r="D55" i="9"/>
  <c r="B55" i="9" s="1"/>
  <c r="D56" i="9"/>
  <c r="B56" i="9" s="1"/>
  <c r="D57" i="9"/>
  <c r="B57" i="9" s="1"/>
  <c r="D58" i="9"/>
  <c r="B58" i="9" s="1"/>
  <c r="D59" i="9"/>
  <c r="B59" i="9" s="1"/>
  <c r="D60" i="9"/>
  <c r="B60" i="9" s="1"/>
  <c r="D61" i="9"/>
  <c r="B61" i="9" s="1"/>
  <c r="D62" i="9"/>
  <c r="B62" i="9" s="1"/>
  <c r="D63" i="9"/>
  <c r="B63" i="9" s="1"/>
  <c r="D64" i="9"/>
  <c r="B64" i="9" s="1"/>
  <c r="D65" i="9"/>
  <c r="B65" i="9" s="1"/>
  <c r="D66" i="9"/>
  <c r="B66" i="9" s="1"/>
  <c r="D67" i="9"/>
  <c r="B67" i="9" s="1"/>
  <c r="D68" i="9"/>
  <c r="B68" i="9" s="1"/>
  <c r="D69" i="9"/>
  <c r="B69" i="9" s="1"/>
  <c r="D70" i="9"/>
  <c r="B70" i="9" s="1"/>
  <c r="D71" i="9"/>
  <c r="B71" i="9" s="1"/>
  <c r="D72" i="9"/>
  <c r="B72" i="9" s="1"/>
  <c r="D73" i="9"/>
  <c r="B73" i="9" s="1"/>
  <c r="D74" i="9"/>
  <c r="B74" i="9" s="1"/>
  <c r="D75" i="9"/>
  <c r="B75" i="9" s="1"/>
  <c r="D76" i="9"/>
  <c r="B76" i="9" s="1"/>
  <c r="D77" i="9"/>
  <c r="B77" i="9" s="1"/>
  <c r="D78" i="9"/>
  <c r="B78" i="9" s="1"/>
  <c r="D79" i="9"/>
  <c r="B79" i="9" s="1"/>
  <c r="D80" i="9"/>
  <c r="B80" i="9" s="1"/>
  <c r="D81" i="9"/>
  <c r="B81" i="9" s="1"/>
  <c r="D82" i="9"/>
  <c r="B82" i="9" s="1"/>
  <c r="D83" i="9"/>
  <c r="B83" i="9" s="1"/>
  <c r="D84" i="9"/>
  <c r="B84" i="9" s="1"/>
  <c r="D85" i="9"/>
  <c r="B85" i="9" s="1"/>
  <c r="D86" i="9"/>
  <c r="B86" i="9" s="1"/>
  <c r="D87" i="9"/>
  <c r="B87" i="9" s="1"/>
  <c r="D88" i="9"/>
  <c r="B88" i="9" s="1"/>
  <c r="D89" i="9"/>
  <c r="B89" i="9" s="1"/>
  <c r="D90" i="9"/>
  <c r="B90" i="9" s="1"/>
  <c r="D91" i="9"/>
  <c r="B91" i="9" s="1"/>
  <c r="D92" i="9"/>
  <c r="B92" i="9" s="1"/>
  <c r="D93" i="9"/>
  <c r="B93" i="9" s="1"/>
  <c r="D94" i="9"/>
  <c r="B94" i="9" s="1"/>
  <c r="D95" i="9"/>
  <c r="B95" i="9" s="1"/>
  <c r="D96" i="9"/>
  <c r="B96" i="9" s="1"/>
  <c r="D97" i="9"/>
  <c r="B97" i="9" s="1"/>
  <c r="D98" i="9"/>
  <c r="B98" i="9" s="1"/>
  <c r="D99" i="9"/>
  <c r="B99" i="9" s="1"/>
  <c r="D100" i="9"/>
  <c r="B100" i="9" s="1"/>
  <c r="D101" i="9"/>
  <c r="B101" i="9" s="1"/>
  <c r="D102" i="9"/>
  <c r="B102" i="9" s="1"/>
  <c r="D103" i="9"/>
  <c r="B103" i="9" s="1"/>
  <c r="D104" i="9"/>
  <c r="B104" i="9" s="1"/>
  <c r="D105" i="9"/>
  <c r="B105" i="9" s="1"/>
  <c r="D106" i="9"/>
  <c r="B106" i="9" s="1"/>
  <c r="D8" i="9"/>
  <c r="B8" i="9" s="1"/>
  <c r="E9" i="9"/>
  <c r="E10" i="9"/>
  <c r="E11" i="9"/>
  <c r="E12" i="9"/>
  <c r="E13" i="9"/>
  <c r="E14" i="9"/>
  <c r="E15" i="9"/>
  <c r="E16" i="9"/>
  <c r="E17" i="9"/>
  <c r="E18" i="9"/>
  <c r="E19" i="9"/>
  <c r="E20" i="9"/>
  <c r="E21" i="9"/>
  <c r="E22" i="9"/>
  <c r="E23" i="9"/>
  <c r="E24" i="9"/>
  <c r="E25" i="9"/>
  <c r="E26" i="9"/>
  <c r="E27" i="9"/>
  <c r="E28" i="9"/>
  <c r="E29" i="9"/>
  <c r="E30" i="9"/>
  <c r="E31" i="9"/>
  <c r="E32" i="9"/>
  <c r="E33" i="9"/>
  <c r="E34" i="9"/>
  <c r="E35" i="9"/>
  <c r="E36" i="9"/>
  <c r="E37" i="9"/>
  <c r="E38" i="9"/>
  <c r="E39" i="9"/>
  <c r="E40" i="9"/>
  <c r="E41" i="9"/>
  <c r="E42" i="9"/>
  <c r="E43" i="9"/>
  <c r="E44" i="9"/>
  <c r="E45" i="9"/>
  <c r="E46" i="9"/>
  <c r="E47" i="9"/>
  <c r="E48" i="9"/>
  <c r="E49" i="9"/>
  <c r="E50" i="9"/>
  <c r="E51" i="9"/>
  <c r="E52" i="9"/>
  <c r="E53" i="9"/>
  <c r="E54" i="9"/>
  <c r="E55" i="9"/>
  <c r="E56" i="9"/>
  <c r="E57" i="9"/>
  <c r="E58" i="9"/>
  <c r="E59" i="9"/>
  <c r="E60" i="9"/>
  <c r="E61" i="9"/>
  <c r="E62" i="9"/>
  <c r="E63" i="9"/>
  <c r="E64" i="9"/>
  <c r="E65" i="9"/>
  <c r="E66" i="9"/>
  <c r="E67" i="9"/>
  <c r="E68" i="9"/>
  <c r="E69" i="9"/>
  <c r="E70" i="9"/>
  <c r="E71" i="9"/>
  <c r="E72" i="9"/>
  <c r="E73" i="9"/>
  <c r="E74" i="9"/>
  <c r="E75" i="9"/>
  <c r="E76" i="9"/>
  <c r="E77" i="9"/>
  <c r="E78" i="9"/>
  <c r="E79" i="9"/>
  <c r="E80" i="9"/>
  <c r="E81" i="9"/>
  <c r="E82" i="9"/>
  <c r="E83" i="9"/>
  <c r="E84" i="9"/>
  <c r="E85" i="9"/>
  <c r="E86" i="9"/>
  <c r="E87" i="9"/>
  <c r="E88" i="9"/>
  <c r="E89" i="9"/>
  <c r="E90" i="9"/>
  <c r="E91" i="9"/>
  <c r="E92" i="9"/>
  <c r="E93" i="9"/>
  <c r="E94" i="9"/>
  <c r="E95" i="9"/>
  <c r="E96" i="9"/>
  <c r="E97" i="9"/>
  <c r="E98" i="9"/>
  <c r="E99" i="9"/>
  <c r="E100" i="9"/>
  <c r="E101" i="9"/>
  <c r="E102" i="9"/>
  <c r="E103" i="9"/>
  <c r="E104" i="9"/>
  <c r="E105" i="9"/>
  <c r="E106" i="9"/>
  <c r="E8" i="9"/>
  <c r="C20" i="8"/>
  <c r="B20" i="8"/>
  <c r="C12" i="8"/>
  <c r="B12" i="8"/>
  <c r="C13" i="8"/>
  <c r="B13" i="8"/>
  <c r="C19" i="8"/>
  <c r="B19" i="8"/>
  <c r="C18" i="8"/>
  <c r="B18" i="8"/>
  <c r="C17" i="8"/>
  <c r="B17" i="8"/>
  <c r="C16" i="8"/>
  <c r="B16" i="8"/>
  <c r="C15" i="8"/>
  <c r="B15" i="8"/>
  <c r="C14" i="8"/>
  <c r="B14" i="8"/>
  <c r="C11" i="8"/>
  <c r="B11" i="8"/>
  <c r="C10" i="8"/>
  <c r="B10" i="8"/>
  <c r="C9" i="8"/>
  <c r="B9" i="8"/>
  <c r="C8" i="8"/>
  <c r="B8" i="8"/>
  <c r="C7" i="8"/>
  <c r="B7" i="8"/>
  <c r="C6" i="8"/>
  <c r="B6" i="8"/>
  <c r="C5" i="8"/>
  <c r="B5" i="8"/>
  <c r="AC3" i="8"/>
  <c r="AC1" i="8"/>
  <c r="AO3" i="2"/>
  <c r="P3" i="2"/>
  <c r="O3" i="2"/>
  <c r="N3" i="2"/>
  <c r="M3" i="2"/>
  <c r="L3" i="2"/>
  <c r="M3" i="1"/>
  <c r="L3" i="1"/>
  <c r="AM298" i="2" l="1"/>
  <c r="AM352" i="2"/>
  <c r="AM383" i="2"/>
  <c r="AN283" i="2"/>
  <c r="AN403" i="2"/>
  <c r="AM361" i="2"/>
  <c r="AM290" i="2"/>
  <c r="AN298" i="2"/>
  <c r="AN352" i="2"/>
  <c r="AN383" i="2"/>
  <c r="AM407" i="2"/>
  <c r="AM267" i="2"/>
  <c r="AN361" i="2"/>
  <c r="AN290" i="2"/>
  <c r="AM355" i="2"/>
  <c r="AM399" i="2"/>
  <c r="AN407" i="2"/>
  <c r="AN267" i="2"/>
  <c r="AM297" i="2"/>
  <c r="AM249" i="2"/>
  <c r="AN355" i="2"/>
  <c r="AN399" i="2"/>
  <c r="AM287" i="2"/>
  <c r="AN297" i="2"/>
  <c r="AN249" i="2"/>
  <c r="AM302" i="2"/>
  <c r="AM406" i="2"/>
  <c r="AN287" i="2"/>
  <c r="AM283" i="2"/>
  <c r="AM403" i="2"/>
  <c r="AN302" i="2"/>
  <c r="AN406" i="2"/>
  <c r="AM142" i="2"/>
  <c r="AM324" i="2"/>
  <c r="AM398" i="2"/>
  <c r="AM418" i="2"/>
  <c r="AM199" i="2"/>
  <c r="AM241" i="2"/>
  <c r="AM38" i="2"/>
  <c r="AM434" i="2"/>
  <c r="AM226" i="2"/>
  <c r="AM265" i="2"/>
  <c r="AM441" i="2"/>
  <c r="AM59" i="2"/>
  <c r="AM53" i="2"/>
  <c r="AM451" i="2"/>
  <c r="AM12" i="2"/>
  <c r="AM301" i="2"/>
  <c r="AM81" i="2"/>
  <c r="AM349" i="2"/>
  <c r="AM295" i="2"/>
  <c r="AQ295" i="2" s="1"/>
  <c r="AM315" i="2"/>
  <c r="AM28" i="2"/>
  <c r="AM271" i="2"/>
  <c r="AM45" i="2"/>
  <c r="AM227" i="2"/>
  <c r="AM209" i="2"/>
  <c r="AM454" i="2"/>
  <c r="AM151" i="2"/>
  <c r="AM213" i="2"/>
  <c r="AM132" i="2"/>
  <c r="AM217" i="2"/>
  <c r="AM78" i="2"/>
  <c r="AM279" i="2"/>
  <c r="AM292" i="2"/>
  <c r="AM162" i="2"/>
  <c r="AM99" i="2"/>
  <c r="AM397" i="2"/>
  <c r="AM306" i="2"/>
  <c r="AM347" i="2"/>
  <c r="AM333" i="2"/>
  <c r="AM431" i="2"/>
  <c r="AM39" i="2"/>
  <c r="AM194" i="2"/>
  <c r="AM300" i="2"/>
  <c r="AM188" i="2"/>
  <c r="AM228" i="2"/>
  <c r="AM362" i="2"/>
  <c r="AM157" i="2"/>
  <c r="AM389" i="2"/>
  <c r="AM18" i="2"/>
  <c r="AM62" i="2"/>
  <c r="AM452" i="2"/>
  <c r="AN398" i="2"/>
  <c r="AN328" i="2"/>
  <c r="AM274" i="2"/>
  <c r="AN441" i="2"/>
  <c r="AN146" i="2"/>
  <c r="AM336" i="2"/>
  <c r="AN295" i="2"/>
  <c r="AN419" i="2"/>
  <c r="AN424" i="2"/>
  <c r="AM136" i="2"/>
  <c r="AN217" i="2"/>
  <c r="AN402" i="2"/>
  <c r="AM112" i="2"/>
  <c r="AN306" i="2"/>
  <c r="AM224" i="2"/>
  <c r="AN188" i="2"/>
  <c r="AN48" i="2"/>
  <c r="AM196" i="2"/>
  <c r="AN452" i="2"/>
  <c r="AN261" i="2"/>
  <c r="AN343" i="2"/>
  <c r="AN377" i="2"/>
  <c r="AN192" i="2"/>
  <c r="AN299" i="2"/>
  <c r="AN378" i="2"/>
  <c r="AN386" i="2"/>
  <c r="AN85" i="2"/>
  <c r="AN373" i="2"/>
  <c r="AN41" i="2"/>
  <c r="AN96" i="2"/>
  <c r="AN37" i="2"/>
  <c r="AN231" i="2"/>
  <c r="AN189" i="2"/>
  <c r="AN113" i="2"/>
  <c r="AN391" i="2"/>
  <c r="AN66" i="2"/>
  <c r="AN262" i="2"/>
  <c r="AN319" i="2"/>
  <c r="AN174" i="2"/>
  <c r="AN247" i="2"/>
  <c r="AN122" i="2"/>
  <c r="AN73" i="2"/>
  <c r="AN446" i="2"/>
  <c r="AN293" i="2"/>
  <c r="AN51" i="2"/>
  <c r="AN29" i="2"/>
  <c r="AN164" i="2"/>
  <c r="AN90" i="2"/>
  <c r="AN34" i="2"/>
  <c r="AN94" i="2"/>
  <c r="AN135" i="2"/>
  <c r="AN388" i="2"/>
  <c r="AN74" i="2"/>
  <c r="AN173" i="2"/>
  <c r="AN58" i="2"/>
  <c r="AN238" i="2"/>
  <c r="AN107" i="2"/>
  <c r="AN291" i="2"/>
  <c r="AN119" i="2"/>
  <c r="AN117" i="2"/>
  <c r="AN324" i="2"/>
  <c r="AN245" i="2"/>
  <c r="AM328" i="2"/>
  <c r="AN265" i="2"/>
  <c r="AN438" i="2"/>
  <c r="AM146" i="2"/>
  <c r="AN349" i="2"/>
  <c r="AM419" i="2"/>
  <c r="AN130" i="2"/>
  <c r="AM424" i="2"/>
  <c r="AN132" i="2"/>
  <c r="AN236" i="2"/>
  <c r="AN289" i="2"/>
  <c r="AM402" i="2"/>
  <c r="AN397" i="2"/>
  <c r="AN36" i="2"/>
  <c r="AN300" i="2"/>
  <c r="AN359" i="2"/>
  <c r="AM48" i="2"/>
  <c r="AN62" i="2"/>
  <c r="AM261" i="2"/>
  <c r="AM343" i="2"/>
  <c r="AM377" i="2"/>
  <c r="AM192" i="2"/>
  <c r="AM299" i="2"/>
  <c r="AM378" i="2"/>
  <c r="AM386" i="2"/>
  <c r="AM85" i="2"/>
  <c r="AM373" i="2"/>
  <c r="AM41" i="2"/>
  <c r="AM96" i="2"/>
  <c r="AM37" i="2"/>
  <c r="AM231" i="2"/>
  <c r="AM189" i="2"/>
  <c r="AM113" i="2"/>
  <c r="AM391" i="2"/>
  <c r="AM66" i="2"/>
  <c r="AM262" i="2"/>
  <c r="AM319" i="2"/>
  <c r="AM174" i="2"/>
  <c r="AM247" i="2"/>
  <c r="AM122" i="2"/>
  <c r="AM73" i="2"/>
  <c r="AM446" i="2"/>
  <c r="AM293" i="2"/>
  <c r="AM51" i="2"/>
  <c r="AM29" i="2"/>
  <c r="AM164" i="2"/>
  <c r="AM90" i="2"/>
  <c r="AN142" i="2"/>
  <c r="AN307" i="2"/>
  <c r="AM245" i="2"/>
  <c r="AN226" i="2"/>
  <c r="AM438" i="2"/>
  <c r="AN81" i="2"/>
  <c r="AN185" i="2"/>
  <c r="AM130" i="2"/>
  <c r="AN213" i="2"/>
  <c r="AN141" i="2"/>
  <c r="AM236" i="2"/>
  <c r="AM289" i="2"/>
  <c r="AQ289" i="2" s="1"/>
  <c r="AN420" i="2"/>
  <c r="AM36" i="2"/>
  <c r="AN194" i="2"/>
  <c r="AN435" i="2"/>
  <c r="AM359" i="2"/>
  <c r="AN18" i="2"/>
  <c r="AN371" i="2"/>
  <c r="AM307" i="2"/>
  <c r="AN434" i="2"/>
  <c r="AN272" i="2"/>
  <c r="AN301" i="2"/>
  <c r="AM185" i="2"/>
  <c r="AN151" i="2"/>
  <c r="AN393" i="2"/>
  <c r="AM141" i="2"/>
  <c r="AN292" i="2"/>
  <c r="AN321" i="2"/>
  <c r="AM420" i="2"/>
  <c r="AN39" i="2"/>
  <c r="AN105" i="2"/>
  <c r="AM435" i="2"/>
  <c r="AN389" i="2"/>
  <c r="AN13" i="2"/>
  <c r="AN240" i="2"/>
  <c r="AM371" i="2"/>
  <c r="AN38" i="2"/>
  <c r="AN269" i="2"/>
  <c r="AM272" i="2"/>
  <c r="AN12" i="2"/>
  <c r="AN26" i="2"/>
  <c r="AN45" i="2"/>
  <c r="AN454" i="2"/>
  <c r="AN282" i="2"/>
  <c r="AM393" i="2"/>
  <c r="AN99" i="2"/>
  <c r="AN21" i="2"/>
  <c r="AM321" i="2"/>
  <c r="AN431" i="2"/>
  <c r="AN381" i="2"/>
  <c r="AM105" i="2"/>
  <c r="AN16" i="2"/>
  <c r="AM13" i="2"/>
  <c r="AN235" i="2"/>
  <c r="AN404" i="2"/>
  <c r="AN334" i="2"/>
  <c r="AN357" i="2"/>
  <c r="AN428" i="2"/>
  <c r="AN340" i="2"/>
  <c r="AN44" i="2"/>
  <c r="AN440" i="2"/>
  <c r="AN183" i="2"/>
  <c r="AN248" i="2"/>
  <c r="AN368" i="2"/>
  <c r="AN285" i="2"/>
  <c r="AM240" i="2"/>
  <c r="AN241" i="2"/>
  <c r="AN109" i="2"/>
  <c r="AM269" i="2"/>
  <c r="AN451" i="2"/>
  <c r="AN198" i="2"/>
  <c r="AM26" i="2"/>
  <c r="AN271" i="2"/>
  <c r="AN209" i="2"/>
  <c r="AN172" i="2"/>
  <c r="AM282" i="2"/>
  <c r="AN318" i="2"/>
  <c r="AN162" i="2"/>
  <c r="AN72" i="2"/>
  <c r="AM21" i="2"/>
  <c r="AN411" i="2"/>
  <c r="AM381" i="2"/>
  <c r="AN157" i="2"/>
  <c r="AN6" i="2"/>
  <c r="AM16" i="2"/>
  <c r="AM235" i="2"/>
  <c r="AM404" i="2"/>
  <c r="AM334" i="2"/>
  <c r="AM357" i="2"/>
  <c r="AM428" i="2"/>
  <c r="AM340" i="2"/>
  <c r="AM44" i="2"/>
  <c r="AM440" i="2"/>
  <c r="AM183" i="2"/>
  <c r="AM248" i="2"/>
  <c r="AM368" i="2"/>
  <c r="AM17" i="2"/>
  <c r="AM408" i="2"/>
  <c r="AM148" i="2"/>
  <c r="AM346" i="2"/>
  <c r="AM114" i="2"/>
  <c r="AM437" i="2"/>
  <c r="AM125" i="2"/>
  <c r="AM276" i="2"/>
  <c r="AM177" i="2"/>
  <c r="AM9" i="2"/>
  <c r="AM42" i="2"/>
  <c r="AM338" i="2"/>
  <c r="AM256" i="2"/>
  <c r="AM43" i="2"/>
  <c r="AM46" i="2"/>
  <c r="AM258" i="2"/>
  <c r="AM453" i="2"/>
  <c r="AM118" i="2"/>
  <c r="AM342" i="2"/>
  <c r="AM98" i="2"/>
  <c r="AM5" i="2"/>
  <c r="AM303" i="2"/>
  <c r="AM202" i="2"/>
  <c r="AM246" i="2"/>
  <c r="AM176" i="2"/>
  <c r="AM243" i="2"/>
  <c r="AM57" i="2"/>
  <c r="AM285" i="2"/>
  <c r="AN199" i="2"/>
  <c r="AN83" i="2"/>
  <c r="AM109" i="2"/>
  <c r="AN53" i="2"/>
  <c r="AN50" i="2"/>
  <c r="AM198" i="2"/>
  <c r="AN28" i="2"/>
  <c r="AN227" i="2"/>
  <c r="AN405" i="2"/>
  <c r="AM172" i="2"/>
  <c r="AN279" i="2"/>
  <c r="AN239" i="2"/>
  <c r="AM318" i="2"/>
  <c r="AM72" i="2"/>
  <c r="AN333" i="2"/>
  <c r="AN250" i="2"/>
  <c r="AM411" i="2"/>
  <c r="AN362" i="2"/>
  <c r="AN145" i="2"/>
  <c r="AM6" i="2"/>
  <c r="AN336" i="2"/>
  <c r="AN42" i="2"/>
  <c r="AN118" i="2"/>
  <c r="AN202" i="2"/>
  <c r="AN59" i="2"/>
  <c r="AN136" i="2"/>
  <c r="AM239" i="2"/>
  <c r="AN276" i="2"/>
  <c r="AN46" i="2"/>
  <c r="AM34" i="2"/>
  <c r="AM74" i="2"/>
  <c r="AM291" i="2"/>
  <c r="AM83" i="2"/>
  <c r="AN224" i="2"/>
  <c r="AM145" i="2"/>
  <c r="AN114" i="2"/>
  <c r="AN5" i="2"/>
  <c r="AN347" i="2"/>
  <c r="AN148" i="2"/>
  <c r="AN9" i="2"/>
  <c r="AM388" i="2"/>
  <c r="AM107" i="2"/>
  <c r="AM387" i="2"/>
  <c r="AM253" i="2"/>
  <c r="AM400" i="2"/>
  <c r="AM353" i="2"/>
  <c r="AM305" i="2"/>
  <c r="AM308" i="2"/>
  <c r="AM412" i="2"/>
  <c r="AM264" i="2"/>
  <c r="AM317" i="2"/>
  <c r="AM20" i="2"/>
  <c r="AM220" i="2"/>
  <c r="AM390" i="2"/>
  <c r="AM106" i="2"/>
  <c r="AM64" i="2"/>
  <c r="AM190" i="2"/>
  <c r="AM449" i="2"/>
  <c r="AM187" i="2"/>
  <c r="AM416" i="2"/>
  <c r="AM225" i="2"/>
  <c r="AM365" i="2"/>
  <c r="AM458" i="2"/>
  <c r="AM374" i="2"/>
  <c r="AM208" i="2"/>
  <c r="AM158" i="2"/>
  <c r="AM280" i="2"/>
  <c r="AM167" i="2"/>
  <c r="AM284" i="2"/>
  <c r="AM313" i="2"/>
  <c r="AM171" i="2"/>
  <c r="AM84" i="2"/>
  <c r="AM134" i="2"/>
  <c r="AN315" i="2"/>
  <c r="AN17" i="2"/>
  <c r="AN125" i="2"/>
  <c r="AN43" i="2"/>
  <c r="AN453" i="2"/>
  <c r="AN98" i="2"/>
  <c r="AN176" i="2"/>
  <c r="AN274" i="2"/>
  <c r="AM50" i="2"/>
  <c r="AN78" i="2"/>
  <c r="AN196" i="2"/>
  <c r="AN346" i="2"/>
  <c r="AN338" i="2"/>
  <c r="AM135" i="2"/>
  <c r="AM58" i="2"/>
  <c r="AM238" i="2"/>
  <c r="AM117" i="2"/>
  <c r="AN418" i="2"/>
  <c r="AM405" i="2"/>
  <c r="AN228" i="2"/>
  <c r="AN408" i="2"/>
  <c r="AN177" i="2"/>
  <c r="AN258" i="2"/>
  <c r="AN342" i="2"/>
  <c r="AN246" i="2"/>
  <c r="AN323" i="2"/>
  <c r="AN281" i="2"/>
  <c r="AN369" i="2"/>
  <c r="AN191" i="2"/>
  <c r="AN457" i="2"/>
  <c r="AN121" i="2"/>
  <c r="AN120" i="2"/>
  <c r="AN30" i="2"/>
  <c r="AN316" i="2"/>
  <c r="AN129" i="2"/>
  <c r="AN131" i="2"/>
  <c r="AN427" i="2"/>
  <c r="AN193" i="2"/>
  <c r="AN67" i="2"/>
  <c r="AN11" i="2"/>
  <c r="AN354" i="2"/>
  <c r="AN304" i="2"/>
  <c r="AN229" i="2"/>
  <c r="AN455" i="2"/>
  <c r="AN104" i="2"/>
  <c r="AN409" i="2"/>
  <c r="AN82" i="2"/>
  <c r="AN108" i="2"/>
  <c r="AN182" i="2"/>
  <c r="AN444" i="2"/>
  <c r="AN54" i="2"/>
  <c r="AN92" i="2"/>
  <c r="AN443" i="2"/>
  <c r="AN91" i="2"/>
  <c r="AN320" i="2"/>
  <c r="AN75" i="2"/>
  <c r="AN337" i="2"/>
  <c r="AN55" i="2"/>
  <c r="AN222" i="2"/>
  <c r="AN163" i="2"/>
  <c r="AN205" i="2"/>
  <c r="AN175" i="2"/>
  <c r="AM250" i="2"/>
  <c r="AM94" i="2"/>
  <c r="AN400" i="2"/>
  <c r="AN308" i="2"/>
  <c r="AN106" i="2"/>
  <c r="AM173" i="2"/>
  <c r="AM191" i="2"/>
  <c r="AM30" i="2"/>
  <c r="AM131" i="2"/>
  <c r="AM11" i="2"/>
  <c r="AM354" i="2"/>
  <c r="AM455" i="2"/>
  <c r="AM108" i="2"/>
  <c r="AM92" i="2"/>
  <c r="AM75" i="2"/>
  <c r="AM156" i="2"/>
  <c r="AM223" i="2"/>
  <c r="AM382" i="2"/>
  <c r="AM25" i="2"/>
  <c r="AM325" i="2"/>
  <c r="AM214" i="2"/>
  <c r="AM147" i="2"/>
  <c r="AM32" i="2"/>
  <c r="AM63" i="2"/>
  <c r="AM166" i="2"/>
  <c r="AM275" i="2"/>
  <c r="AM77" i="2"/>
  <c r="AM168" i="2"/>
  <c r="AM296" i="2"/>
  <c r="AM415" i="2"/>
  <c r="AM379" i="2"/>
  <c r="AM165" i="2"/>
  <c r="AM401" i="2"/>
  <c r="AM332" i="2"/>
  <c r="AM286" i="2"/>
  <c r="AM341" i="2"/>
  <c r="AM242" i="2"/>
  <c r="AM425" i="2"/>
  <c r="AM137" i="2"/>
  <c r="AM170" i="2"/>
  <c r="AM234" i="2"/>
  <c r="AM204" i="2"/>
  <c r="AM128" i="2"/>
  <c r="AM80" i="2"/>
  <c r="AM126" i="2"/>
  <c r="AM35" i="2"/>
  <c r="AM71" i="2"/>
  <c r="AM395" i="2"/>
  <c r="AM14" i="2"/>
  <c r="AM76" i="2"/>
  <c r="AM259" i="2"/>
  <c r="AM100" i="2"/>
  <c r="AM219" i="2"/>
  <c r="AM19" i="2"/>
  <c r="AN253" i="2"/>
  <c r="AN305" i="2"/>
  <c r="AN317" i="2"/>
  <c r="AN390" i="2"/>
  <c r="AN112" i="2"/>
  <c r="AM369" i="2"/>
  <c r="AM120" i="2"/>
  <c r="AM129" i="2"/>
  <c r="AM67" i="2"/>
  <c r="AM229" i="2"/>
  <c r="AM82" i="2"/>
  <c r="AM54" i="2"/>
  <c r="AM320" i="2"/>
  <c r="AM222" i="2"/>
  <c r="AM175" i="2"/>
  <c r="AN437" i="2"/>
  <c r="AM119" i="2"/>
  <c r="AN57" i="2"/>
  <c r="AN387" i="2"/>
  <c r="AN353" i="2"/>
  <c r="AN264" i="2"/>
  <c r="AN220" i="2"/>
  <c r="AN190" i="2"/>
  <c r="AN416" i="2"/>
  <c r="AN458" i="2"/>
  <c r="AN158" i="2"/>
  <c r="AN313" i="2"/>
  <c r="AN256" i="2"/>
  <c r="AN303" i="2"/>
  <c r="AM281" i="2"/>
  <c r="AM121" i="2"/>
  <c r="AM316" i="2"/>
  <c r="AM193" i="2"/>
  <c r="AM409" i="2"/>
  <c r="AM444" i="2"/>
  <c r="AM91" i="2"/>
  <c r="AM55" i="2"/>
  <c r="AM205" i="2"/>
  <c r="AM263" i="2"/>
  <c r="AM422" i="2"/>
  <c r="AM380" i="2"/>
  <c r="AM103" i="2"/>
  <c r="AM366" i="2"/>
  <c r="AM257" i="2"/>
  <c r="AM417" i="2"/>
  <c r="AM10" i="2"/>
  <c r="AM169" i="2"/>
  <c r="AM149" i="2"/>
  <c r="AM439" i="2"/>
  <c r="AM363" i="2"/>
  <c r="AN412" i="2"/>
  <c r="AN20" i="2"/>
  <c r="AN64" i="2"/>
  <c r="AN365" i="2"/>
  <c r="AN284" i="2"/>
  <c r="AN134" i="2"/>
  <c r="AM323" i="2"/>
  <c r="AN280" i="2"/>
  <c r="AM337" i="2"/>
  <c r="AN156" i="2"/>
  <c r="AN25" i="2"/>
  <c r="AN166" i="2"/>
  <c r="AM87" i="2"/>
  <c r="AN379" i="2"/>
  <c r="AN207" i="2"/>
  <c r="AM155" i="2"/>
  <c r="AM457" i="2"/>
  <c r="AN263" i="2"/>
  <c r="AN257" i="2"/>
  <c r="AN439" i="2"/>
  <c r="AN367" i="2"/>
  <c r="AN415" i="2"/>
  <c r="AN413" i="2"/>
  <c r="AM207" i="2"/>
  <c r="AN425" i="2"/>
  <c r="AM429" i="2"/>
  <c r="AN80" i="2"/>
  <c r="AN133" i="2"/>
  <c r="AM47" i="2"/>
  <c r="AN100" i="2"/>
  <c r="AN225" i="2"/>
  <c r="AM182" i="2"/>
  <c r="AN208" i="2"/>
  <c r="AN382" i="2"/>
  <c r="AN147" i="2"/>
  <c r="AN63" i="2"/>
  <c r="AM367" i="2"/>
  <c r="AN296" i="2"/>
  <c r="AN350" i="2"/>
  <c r="AM413" i="2"/>
  <c r="AN242" i="2"/>
  <c r="AN243" i="2"/>
  <c r="AM427" i="2"/>
  <c r="AN171" i="2"/>
  <c r="AN380" i="2"/>
  <c r="AN366" i="2"/>
  <c r="AN169" i="2"/>
  <c r="AN168" i="2"/>
  <c r="AN200" i="2"/>
  <c r="AM350" i="2"/>
  <c r="AN341" i="2"/>
  <c r="AN370" i="2"/>
  <c r="AN204" i="2"/>
  <c r="AN69" i="2"/>
  <c r="AM322" i="2"/>
  <c r="AN76" i="2"/>
  <c r="AN423" i="2"/>
  <c r="AN331" i="2"/>
  <c r="AN448" i="2"/>
  <c r="AN394" i="2"/>
  <c r="AN327" i="2"/>
  <c r="AN335" i="2"/>
  <c r="AN385" i="2"/>
  <c r="AN351" i="2"/>
  <c r="AN456" i="2"/>
  <c r="AN211" i="2"/>
  <c r="AN115" i="2"/>
  <c r="AN140" i="2"/>
  <c r="AN88" i="2"/>
  <c r="AN221" i="2"/>
  <c r="AN159" i="2"/>
  <c r="AN414" i="2"/>
  <c r="AN430" i="2"/>
  <c r="AN212" i="2"/>
  <c r="AN61" i="2"/>
  <c r="AN111" i="2"/>
  <c r="AN68" i="2"/>
  <c r="AN339" i="2"/>
  <c r="AN251" i="2"/>
  <c r="AN23" i="2"/>
  <c r="AM304" i="2"/>
  <c r="AN187" i="2"/>
  <c r="AM163" i="2"/>
  <c r="AN214" i="2"/>
  <c r="AN77" i="2"/>
  <c r="AN445" i="2"/>
  <c r="AM200" i="2"/>
  <c r="AN286" i="2"/>
  <c r="AN244" i="2"/>
  <c r="AM370" i="2"/>
  <c r="AN234" i="2"/>
  <c r="AN110" i="2"/>
  <c r="AM69" i="2"/>
  <c r="AN14" i="2"/>
  <c r="AM423" i="2"/>
  <c r="AM331" i="2"/>
  <c r="AM448" i="2"/>
  <c r="AM394" i="2"/>
  <c r="AM327" i="2"/>
  <c r="AM335" i="2"/>
  <c r="AM385" i="2"/>
  <c r="AM351" i="2"/>
  <c r="AM456" i="2"/>
  <c r="AM211" i="2"/>
  <c r="AM115" i="2"/>
  <c r="AM140" i="2"/>
  <c r="AM88" i="2"/>
  <c r="AM221" i="2"/>
  <c r="AM159" i="2"/>
  <c r="AM414" i="2"/>
  <c r="AM430" i="2"/>
  <c r="AM212" i="2"/>
  <c r="AM61" i="2"/>
  <c r="AM111" i="2"/>
  <c r="AM68" i="2"/>
  <c r="AM339" i="2"/>
  <c r="AM251" i="2"/>
  <c r="AM23" i="2"/>
  <c r="AM153" i="2"/>
  <c r="AM15" i="2"/>
  <c r="AN374" i="2"/>
  <c r="AM443" i="2"/>
  <c r="AN167" i="2"/>
  <c r="AN422" i="2"/>
  <c r="AN103" i="2"/>
  <c r="AN10" i="2"/>
  <c r="AN149" i="2"/>
  <c r="AN275" i="2"/>
  <c r="AN433" i="2"/>
  <c r="AM445" i="2"/>
  <c r="AN332" i="2"/>
  <c r="AN364" i="2"/>
  <c r="AM244" i="2"/>
  <c r="AN170" i="2"/>
  <c r="AN442" i="2"/>
  <c r="AM110" i="2"/>
  <c r="AN395" i="2"/>
  <c r="AN97" i="2"/>
  <c r="AN223" i="2"/>
  <c r="AN325" i="2"/>
  <c r="AN32" i="2"/>
  <c r="AN181" i="2"/>
  <c r="AM433" i="2"/>
  <c r="AN401" i="2"/>
  <c r="AN376" i="2"/>
  <c r="AM364" i="2"/>
  <c r="AN215" i="2"/>
  <c r="AM442" i="2"/>
  <c r="AN71" i="2"/>
  <c r="AN65" i="2"/>
  <c r="AM97" i="2"/>
  <c r="AN417" i="2"/>
  <c r="AM254" i="2"/>
  <c r="AM421" i="2"/>
  <c r="AM203" i="2"/>
  <c r="AM180" i="2"/>
  <c r="AM197" i="2"/>
  <c r="AM358" i="2"/>
  <c r="AM139" i="2"/>
  <c r="AM60" i="2"/>
  <c r="AN49" i="2"/>
  <c r="AM104" i="2"/>
  <c r="AN87" i="2"/>
  <c r="AM376" i="2"/>
  <c r="AM215" i="2"/>
  <c r="AN268" i="2"/>
  <c r="AN360" i="2"/>
  <c r="AN344" i="2"/>
  <c r="AN345" i="2"/>
  <c r="AN384" i="2"/>
  <c r="AN52" i="2"/>
  <c r="AN237" i="2"/>
  <c r="AM49" i="2"/>
  <c r="AN278" i="2"/>
  <c r="AN392" i="2"/>
  <c r="AN310" i="2"/>
  <c r="AN24" i="2"/>
  <c r="AN230" i="2"/>
  <c r="AN216" i="2"/>
  <c r="AN152" i="2"/>
  <c r="AN447" i="2"/>
  <c r="AN314" i="2"/>
  <c r="AN201" i="2"/>
  <c r="AN233" i="2"/>
  <c r="AN186" i="2"/>
  <c r="AN70" i="2"/>
  <c r="AN260" i="2"/>
  <c r="AN210" i="2"/>
  <c r="AN450" i="2"/>
  <c r="AN127" i="2"/>
  <c r="AN144" i="2"/>
  <c r="AN330" i="2"/>
  <c r="AN27" i="2"/>
  <c r="AN356" i="2"/>
  <c r="AN459" i="2"/>
  <c r="AN329" i="2"/>
  <c r="AN123" i="2"/>
  <c r="AN33" i="2"/>
  <c r="AN432" i="2"/>
  <c r="AN184" i="2"/>
  <c r="AN8" i="2"/>
  <c r="AN116" i="2"/>
  <c r="AN449" i="2"/>
  <c r="AN35" i="2"/>
  <c r="AM133" i="2"/>
  <c r="AM65" i="2"/>
  <c r="AM268" i="2"/>
  <c r="AM360" i="2"/>
  <c r="AM344" i="2"/>
  <c r="AM345" i="2"/>
  <c r="AM384" i="2"/>
  <c r="AM52" i="2"/>
  <c r="AM237" i="2"/>
  <c r="AM278" i="2"/>
  <c r="AM392" i="2"/>
  <c r="AM310" i="2"/>
  <c r="AM24" i="2"/>
  <c r="AM230" i="2"/>
  <c r="AM216" i="2"/>
  <c r="AM152" i="2"/>
  <c r="AM447" i="2"/>
  <c r="AM314" i="2"/>
  <c r="AM201" i="2"/>
  <c r="AM233" i="2"/>
  <c r="AM186" i="2"/>
  <c r="AM70" i="2"/>
  <c r="AM260" i="2"/>
  <c r="AM210" i="2"/>
  <c r="AM450" i="2"/>
  <c r="AM127" i="2"/>
  <c r="AM144" i="2"/>
  <c r="AM330" i="2"/>
  <c r="AM27" i="2"/>
  <c r="AM356" i="2"/>
  <c r="AM459" i="2"/>
  <c r="AM329" i="2"/>
  <c r="AM123" i="2"/>
  <c r="AM33" i="2"/>
  <c r="AM432" i="2"/>
  <c r="AM184" i="2"/>
  <c r="AM8" i="2"/>
  <c r="AM116" i="2"/>
  <c r="AN363" i="2"/>
  <c r="AN270" i="2"/>
  <c r="AN19" i="2"/>
  <c r="AN179" i="2"/>
  <c r="AN40" i="2"/>
  <c r="AN195" i="2"/>
  <c r="AN266" i="2"/>
  <c r="AN255" i="2"/>
  <c r="AN155" i="2"/>
  <c r="AN137" i="2"/>
  <c r="AM270" i="2"/>
  <c r="AN128" i="2"/>
  <c r="AM179" i="2"/>
  <c r="AM40" i="2"/>
  <c r="AM195" i="2"/>
  <c r="AM266" i="2"/>
  <c r="AM255" i="2"/>
  <c r="AN15" i="2"/>
  <c r="AN84" i="2"/>
  <c r="AN165" i="2"/>
  <c r="AN126" i="2"/>
  <c r="AN322" i="2"/>
  <c r="AN259" i="2"/>
  <c r="AN294" i="2"/>
  <c r="AN436" i="2"/>
  <c r="AN375" i="2"/>
  <c r="AN273" i="2"/>
  <c r="AN311" i="2"/>
  <c r="AN31" i="2"/>
  <c r="AN348" i="2"/>
  <c r="AN161" i="2"/>
  <c r="AN426" i="2"/>
  <c r="AN150" i="2"/>
  <c r="AN93" i="2"/>
  <c r="AN79" i="2"/>
  <c r="AN124" i="2"/>
  <c r="AN95" i="2"/>
  <c r="AN312" i="2"/>
  <c r="AN22" i="2"/>
  <c r="AN372" i="2"/>
  <c r="AN160" i="2"/>
  <c r="AN277" i="2"/>
  <c r="AN218" i="2"/>
  <c r="AN288" i="2"/>
  <c r="AN410" i="2"/>
  <c r="AN232" i="2"/>
  <c r="AN138" i="2"/>
  <c r="AN7" i="2"/>
  <c r="AN56" i="2"/>
  <c r="AN326" i="2"/>
  <c r="AN101" i="2"/>
  <c r="AN252" i="2"/>
  <c r="AN206" i="2"/>
  <c r="AN396" i="2"/>
  <c r="AN154" i="2"/>
  <c r="AN102" i="2"/>
  <c r="AN309" i="2"/>
  <c r="AN178" i="2"/>
  <c r="AN89" i="2"/>
  <c r="AN86" i="2"/>
  <c r="AN143" i="2"/>
  <c r="AM181" i="2"/>
  <c r="AN429" i="2"/>
  <c r="AN219" i="2"/>
  <c r="AM294" i="2"/>
  <c r="AM436" i="2"/>
  <c r="AM375" i="2"/>
  <c r="AM273" i="2"/>
  <c r="AM311" i="2"/>
  <c r="AM31" i="2"/>
  <c r="AM348" i="2"/>
  <c r="AM161" i="2"/>
  <c r="AM426" i="2"/>
  <c r="AN153" i="2"/>
  <c r="AM150" i="2"/>
  <c r="AM93" i="2"/>
  <c r="AM79" i="2"/>
  <c r="AM124" i="2"/>
  <c r="AM95" i="2"/>
  <c r="AM312" i="2"/>
  <c r="AM22" i="2"/>
  <c r="AM372" i="2"/>
  <c r="AM160" i="2"/>
  <c r="AM277" i="2"/>
  <c r="AM218" i="2"/>
  <c r="AM288" i="2"/>
  <c r="AM410" i="2"/>
  <c r="AM232" i="2"/>
  <c r="AM138" i="2"/>
  <c r="AM7" i="2"/>
  <c r="AM56" i="2"/>
  <c r="AM326" i="2"/>
  <c r="AM101" i="2"/>
  <c r="AM252" i="2"/>
  <c r="AM206" i="2"/>
  <c r="AM396" i="2"/>
  <c r="AM154" i="2"/>
  <c r="AM102" i="2"/>
  <c r="AM309" i="2"/>
  <c r="AM178" i="2"/>
  <c r="AM89" i="2"/>
  <c r="AM86" i="2"/>
  <c r="AM143" i="2"/>
  <c r="AN47" i="2"/>
  <c r="AN254" i="2"/>
  <c r="AN421" i="2"/>
  <c r="AN203" i="2"/>
  <c r="AN180" i="2"/>
  <c r="AN197" i="2"/>
  <c r="AN358" i="2"/>
  <c r="AN139" i="2"/>
  <c r="AN60" i="2"/>
  <c r="Q170" i="3"/>
  <c r="AQ48" i="2"/>
  <c r="AD734" i="3"/>
  <c r="AD769" i="3"/>
  <c r="AD715" i="3"/>
  <c r="V11" i="8"/>
  <c r="V14" i="8"/>
  <c r="S15" i="8"/>
  <c r="V15" i="8" s="1"/>
  <c r="S7" i="8"/>
  <c r="V7" i="8" s="1"/>
  <c r="S8" i="8"/>
  <c r="V8" i="8" s="1"/>
  <c r="F16" i="8"/>
  <c r="N17" i="8"/>
  <c r="N18" i="8"/>
  <c r="N16" i="8"/>
  <c r="D14" i="8"/>
  <c r="F18" i="8"/>
  <c r="L11" i="8"/>
  <c r="L14" i="8"/>
  <c r="M9" i="8"/>
  <c r="H11" i="8"/>
  <c r="P11" i="8"/>
  <c r="H14" i="8"/>
  <c r="P14" i="8"/>
  <c r="D15" i="8"/>
  <c r="L15" i="8"/>
  <c r="H15" i="8"/>
  <c r="P15" i="8"/>
  <c r="S16" i="8"/>
  <c r="P16" i="8"/>
  <c r="L16" i="8"/>
  <c r="H16" i="8"/>
  <c r="D16" i="8"/>
  <c r="S18" i="8"/>
  <c r="P18" i="8"/>
  <c r="L18" i="8"/>
  <c r="H18" i="8"/>
  <c r="D18" i="8"/>
  <c r="F8" i="8"/>
  <c r="J8" i="8"/>
  <c r="N8" i="8"/>
  <c r="D7" i="8"/>
  <c r="H7" i="8"/>
  <c r="L7" i="8"/>
  <c r="P7" i="8"/>
  <c r="H8" i="8"/>
  <c r="L8" i="8"/>
  <c r="P8" i="8"/>
  <c r="I9" i="8"/>
  <c r="F11" i="8"/>
  <c r="J11" i="8"/>
  <c r="N11" i="8"/>
  <c r="F14" i="8"/>
  <c r="J14" i="8"/>
  <c r="N14" i="8"/>
  <c r="F15" i="8"/>
  <c r="J15" i="8"/>
  <c r="N15" i="8"/>
  <c r="J16" i="8"/>
  <c r="F17" i="8"/>
  <c r="J18" i="8"/>
  <c r="S17" i="8"/>
  <c r="P17" i="8"/>
  <c r="L17" i="8"/>
  <c r="H17" i="8"/>
  <c r="D17" i="8"/>
  <c r="F7" i="8"/>
  <c r="J7" i="8"/>
  <c r="N7" i="8"/>
  <c r="J17" i="8"/>
  <c r="P6" i="8"/>
  <c r="N6" i="8"/>
  <c r="L6" i="8"/>
  <c r="J6" i="8"/>
  <c r="H6" i="8"/>
  <c r="F6" i="8"/>
  <c r="E5" i="8"/>
  <c r="G5" i="8"/>
  <c r="I5" i="8"/>
  <c r="K5" i="8"/>
  <c r="M5" i="8"/>
  <c r="O5" i="8"/>
  <c r="Q5" i="8"/>
  <c r="S5" i="8"/>
  <c r="G6" i="8"/>
  <c r="K6" i="8"/>
  <c r="O6" i="8"/>
  <c r="S6" i="8"/>
  <c r="D5" i="8"/>
  <c r="F5" i="8"/>
  <c r="H5" i="8"/>
  <c r="J5" i="8"/>
  <c r="L5" i="8"/>
  <c r="N5" i="8"/>
  <c r="P5" i="8"/>
  <c r="E6" i="8"/>
  <c r="I6" i="8"/>
  <c r="M6" i="8"/>
  <c r="P9" i="8"/>
  <c r="N9" i="8"/>
  <c r="L9" i="8"/>
  <c r="J9" i="8"/>
  <c r="H9" i="8"/>
  <c r="F9" i="8"/>
  <c r="G9" i="8"/>
  <c r="K9" i="8"/>
  <c r="O9" i="8"/>
  <c r="S9" i="8"/>
  <c r="E10" i="8"/>
  <c r="I10" i="8"/>
  <c r="M10" i="8"/>
  <c r="P10" i="8"/>
  <c r="N10" i="8"/>
  <c r="L10" i="8"/>
  <c r="J10" i="8"/>
  <c r="H10" i="8"/>
  <c r="F10" i="8"/>
  <c r="D10" i="8"/>
  <c r="G10" i="8"/>
  <c r="K10" i="8"/>
  <c r="O10" i="8"/>
  <c r="S10" i="8"/>
  <c r="P19" i="8"/>
  <c r="N19" i="8"/>
  <c r="L19" i="8"/>
  <c r="J19" i="8"/>
  <c r="H19" i="8"/>
  <c r="F19" i="8"/>
  <c r="D19" i="8"/>
  <c r="P13" i="8"/>
  <c r="N13" i="8"/>
  <c r="L13" i="8"/>
  <c r="J13" i="8"/>
  <c r="H13" i="8"/>
  <c r="F13" i="8"/>
  <c r="D13" i="8"/>
  <c r="G19" i="8"/>
  <c r="K19" i="8"/>
  <c r="O19" i="8"/>
  <c r="S19" i="8"/>
  <c r="G13" i="8"/>
  <c r="K13" i="8"/>
  <c r="O13" i="8"/>
  <c r="S13" i="8"/>
  <c r="E7" i="8"/>
  <c r="G7" i="8"/>
  <c r="I7" i="8"/>
  <c r="K7" i="8"/>
  <c r="M7" i="8"/>
  <c r="O7" i="8"/>
  <c r="E8" i="8"/>
  <c r="G8" i="8"/>
  <c r="I8" i="8"/>
  <c r="K8" i="8"/>
  <c r="M8" i="8"/>
  <c r="O8" i="8"/>
  <c r="E11" i="8"/>
  <c r="G11" i="8"/>
  <c r="I11" i="8"/>
  <c r="K11" i="8"/>
  <c r="M11" i="8"/>
  <c r="O11" i="8"/>
  <c r="E14" i="8"/>
  <c r="G14" i="8"/>
  <c r="I14" i="8"/>
  <c r="K14" i="8"/>
  <c r="M14" i="8"/>
  <c r="O14" i="8"/>
  <c r="E19" i="8"/>
  <c r="I19" i="8"/>
  <c r="M19" i="8"/>
  <c r="E13" i="8"/>
  <c r="I13" i="8"/>
  <c r="M13" i="8"/>
  <c r="P12" i="8"/>
  <c r="N12" i="8"/>
  <c r="L12" i="8"/>
  <c r="J12" i="8"/>
  <c r="H12" i="8"/>
  <c r="F12" i="8"/>
  <c r="D12" i="8"/>
  <c r="P20" i="8"/>
  <c r="N20" i="8"/>
  <c r="L20" i="8"/>
  <c r="J20" i="8"/>
  <c r="H20" i="8"/>
  <c r="F20" i="8"/>
  <c r="D20" i="8"/>
  <c r="G12" i="8"/>
  <c r="K12" i="8"/>
  <c r="O12" i="8"/>
  <c r="S12" i="8"/>
  <c r="G20" i="8"/>
  <c r="K20" i="8"/>
  <c r="O20" i="8"/>
  <c r="S20" i="8"/>
  <c r="E15" i="8"/>
  <c r="G15" i="8"/>
  <c r="I15" i="8"/>
  <c r="K15" i="8"/>
  <c r="M15" i="8"/>
  <c r="O15" i="8"/>
  <c r="E16" i="8"/>
  <c r="G16" i="8"/>
  <c r="I16" i="8"/>
  <c r="K16" i="8"/>
  <c r="M16" i="8"/>
  <c r="O16" i="8"/>
  <c r="E17" i="8"/>
  <c r="G17" i="8"/>
  <c r="I17" i="8"/>
  <c r="K17" i="8"/>
  <c r="M17" i="8"/>
  <c r="O17" i="8"/>
  <c r="E18" i="8"/>
  <c r="G18" i="8"/>
  <c r="I18" i="8"/>
  <c r="K18" i="8"/>
  <c r="M18" i="8"/>
  <c r="O18" i="8"/>
  <c r="E12" i="8"/>
  <c r="I12" i="8"/>
  <c r="M12" i="8"/>
  <c r="E20" i="8"/>
  <c r="I20" i="8"/>
  <c r="M20" i="8"/>
  <c r="Q10" i="8"/>
  <c r="Q16" i="8"/>
  <c r="Q12" i="8"/>
  <c r="AQ34" i="2" l="1"/>
  <c r="Q62" i="3" s="1"/>
  <c r="AQ189" i="2"/>
  <c r="AQ315" i="2"/>
  <c r="AQ129" i="2"/>
  <c r="AQ175" i="2"/>
  <c r="AQ162" i="2"/>
  <c r="AQ194" i="2"/>
  <c r="AQ149" i="2"/>
  <c r="AQ228" i="2"/>
  <c r="AQ196" i="2"/>
  <c r="AQ63" i="2"/>
  <c r="AQ215" i="2"/>
  <c r="AQ47" i="2"/>
  <c r="AQ219" i="2"/>
  <c r="AQ422" i="2"/>
  <c r="AQ17" i="2"/>
  <c r="AQ97" i="2"/>
  <c r="AQ156" i="2"/>
  <c r="AQ395" i="2"/>
  <c r="AQ283" i="2"/>
  <c r="AQ212" i="2"/>
  <c r="Q301" i="3"/>
  <c r="AQ105" i="2"/>
  <c r="AQ90" i="2"/>
  <c r="AQ231" i="2"/>
  <c r="Q117" i="3" s="1"/>
  <c r="AQ9" i="2"/>
  <c r="AQ262" i="2"/>
  <c r="AQ112" i="2"/>
  <c r="AQ20" i="2"/>
  <c r="AQ387" i="2"/>
  <c r="AQ51" i="2"/>
  <c r="AQ338" i="2"/>
  <c r="AQ389" i="2"/>
  <c r="AQ29" i="2"/>
  <c r="AQ169" i="2"/>
  <c r="AQ298" i="2"/>
  <c r="AQ76" i="2"/>
  <c r="AQ150" i="2"/>
  <c r="AQ403" i="2"/>
  <c r="AQ287" i="2"/>
  <c r="AQ399" i="2"/>
  <c r="AQ355" i="2"/>
  <c r="AQ290" i="2"/>
  <c r="AQ361" i="2"/>
  <c r="AQ382" i="2"/>
  <c r="AQ406" i="2"/>
  <c r="AQ249" i="2"/>
  <c r="AQ267" i="2"/>
  <c r="AQ302" i="2"/>
  <c r="AQ297" i="2"/>
  <c r="AQ407" i="2"/>
  <c r="AQ383" i="2"/>
  <c r="AQ352" i="2"/>
  <c r="AQ234" i="2"/>
  <c r="AQ453" i="2"/>
  <c r="AQ233" i="2"/>
  <c r="AQ14" i="2"/>
  <c r="AQ170" i="2"/>
  <c r="AQ61" i="2"/>
  <c r="Q112" i="3" s="1"/>
  <c r="AQ131" i="2"/>
  <c r="AQ43" i="2"/>
  <c r="AQ42" i="2"/>
  <c r="AQ39" i="2"/>
  <c r="Q420" i="3" s="1"/>
  <c r="AQ396" i="2"/>
  <c r="AQ232" i="2"/>
  <c r="AQ434" i="2"/>
  <c r="AQ414" i="2"/>
  <c r="AQ258" i="2"/>
  <c r="AQ271" i="2"/>
  <c r="AQ144" i="2"/>
  <c r="AQ195" i="2"/>
  <c r="AQ250" i="2"/>
  <c r="AQ166" i="2"/>
  <c r="AQ392" i="2"/>
  <c r="AQ152" i="2"/>
  <c r="AQ135" i="2"/>
  <c r="AQ446" i="2"/>
  <c r="AQ153" i="2"/>
  <c r="Q293" i="3" s="1"/>
  <c r="AQ363" i="2"/>
  <c r="AQ157" i="2"/>
  <c r="AQ218" i="2"/>
  <c r="AQ447" i="2"/>
  <c r="AQ260" i="2"/>
  <c r="AQ358" i="2"/>
  <c r="AQ277" i="2"/>
  <c r="AQ72" i="2"/>
  <c r="AQ259" i="2"/>
  <c r="AQ201" i="2"/>
  <c r="AQ273" i="2"/>
  <c r="AQ127" i="2"/>
  <c r="AQ49" i="2"/>
  <c r="AQ185" i="2"/>
  <c r="AQ56" i="2"/>
  <c r="AQ15" i="2"/>
  <c r="AQ270" i="2"/>
  <c r="AQ206" i="2"/>
  <c r="AQ410" i="2"/>
  <c r="AQ160" i="2"/>
  <c r="AQ459" i="2"/>
  <c r="AQ330" i="2"/>
  <c r="AQ186" i="2"/>
  <c r="AQ111" i="2"/>
  <c r="AQ133" i="2"/>
  <c r="AQ191" i="2"/>
  <c r="Q129" i="3" s="1"/>
  <c r="Q115" i="3"/>
  <c r="Q376" i="3"/>
  <c r="Q76" i="3"/>
  <c r="AQ164" i="2"/>
  <c r="AQ7" i="2"/>
  <c r="AQ348" i="2"/>
  <c r="AQ101" i="2"/>
  <c r="AQ288" i="2"/>
  <c r="AQ22" i="2"/>
  <c r="AQ70" i="2"/>
  <c r="AQ356" i="2"/>
  <c r="AQ210" i="2"/>
  <c r="AQ359" i="2"/>
  <c r="AQ435" i="2"/>
  <c r="AQ292" i="2"/>
  <c r="AQ53" i="2"/>
  <c r="AQ450" i="2"/>
  <c r="AQ138" i="2"/>
  <c r="AQ329" i="2"/>
  <c r="AQ216" i="2"/>
  <c r="AQ32" i="2"/>
  <c r="AQ281" i="2"/>
  <c r="AQ220" i="2"/>
  <c r="AQ203" i="2"/>
  <c r="AQ423" i="2"/>
  <c r="AQ439" i="2"/>
  <c r="AQ256" i="2"/>
  <c r="Q242" i="3" s="1"/>
  <c r="AQ46" i="2"/>
  <c r="AQ318" i="2"/>
  <c r="Q343" i="3"/>
  <c r="AQ293" i="2"/>
  <c r="AQ94" i="2"/>
  <c r="AQ362" i="2"/>
  <c r="Q790" i="3" s="1"/>
  <c r="AQ28" i="2"/>
  <c r="Q385" i="3" s="1"/>
  <c r="AQ326" i="2"/>
  <c r="AQ252" i="2"/>
  <c r="AQ372" i="2"/>
  <c r="AQ89" i="2"/>
  <c r="AQ95" i="2"/>
  <c r="AQ58" i="2"/>
  <c r="AQ45" i="2"/>
  <c r="AQ341" i="2"/>
  <c r="Q79" i="3"/>
  <c r="AQ317" i="2"/>
  <c r="AQ261" i="2"/>
  <c r="Q804" i="3" s="1"/>
  <c r="AQ109" i="2"/>
  <c r="AQ325" i="2"/>
  <c r="AQ119" i="2"/>
  <c r="AQ30" i="2"/>
  <c r="AQ106" i="2"/>
  <c r="AQ408" i="2"/>
  <c r="AQ247" i="2"/>
  <c r="AQ444" i="2"/>
  <c r="AQ332" i="2"/>
  <c r="AQ269" i="2"/>
  <c r="AQ334" i="2"/>
  <c r="AQ71" i="2"/>
  <c r="AQ240" i="2"/>
  <c r="AQ128" i="2"/>
  <c r="AQ374" i="2"/>
  <c r="Q712" i="3" s="1"/>
  <c r="AQ145" i="2"/>
  <c r="AQ208" i="2"/>
  <c r="Q353" i="3" s="1"/>
  <c r="AQ381" i="2"/>
  <c r="Q653" i="3" s="1"/>
  <c r="AQ187" i="2"/>
  <c r="AQ161" i="2"/>
  <c r="AQ322" i="2"/>
  <c r="AQ438" i="2"/>
  <c r="AQ266" i="2"/>
  <c r="AQ241" i="2"/>
  <c r="Q446" i="3" s="1"/>
  <c r="AQ441" i="2"/>
  <c r="AQ41" i="2"/>
  <c r="AQ139" i="2"/>
  <c r="AQ93" i="2"/>
  <c r="AQ430" i="2"/>
  <c r="AQ88" i="2"/>
  <c r="Q432" i="3" s="1"/>
  <c r="AQ214" i="2"/>
  <c r="Q340" i="3" s="1"/>
  <c r="AQ113" i="2"/>
  <c r="AQ426" i="2"/>
  <c r="AQ429" i="2"/>
  <c r="Q555" i="3" s="1"/>
  <c r="AQ52" i="2"/>
  <c r="AQ305" i="2"/>
  <c r="AQ375" i="2"/>
  <c r="AQ431" i="2"/>
  <c r="Q368" i="3"/>
  <c r="AQ60" i="2"/>
  <c r="AQ121" i="2"/>
  <c r="AQ188" i="2"/>
  <c r="AQ313" i="2"/>
  <c r="AQ379" i="2"/>
  <c r="AQ21" i="2"/>
  <c r="AQ115" i="2"/>
  <c r="AQ402" i="2"/>
  <c r="AQ68" i="2"/>
  <c r="AQ378" i="2"/>
  <c r="AQ125" i="2"/>
  <c r="AQ8" i="2"/>
  <c r="Q10" i="3" s="1"/>
  <c r="AQ344" i="2"/>
  <c r="AQ458" i="2"/>
  <c r="AQ311" i="2"/>
  <c r="AQ100" i="2"/>
  <c r="AQ168" i="2"/>
  <c r="AQ319" i="2"/>
  <c r="AQ401" i="2"/>
  <c r="AQ245" i="2"/>
  <c r="AQ425" i="2"/>
  <c r="AQ230" i="2"/>
  <c r="Q455" i="3"/>
  <c r="AQ213" i="2"/>
  <c r="AQ452" i="2"/>
  <c r="AQ50" i="2"/>
  <c r="AQ204" i="2"/>
  <c r="AQ448" i="2"/>
  <c r="AQ284" i="2"/>
  <c r="AQ244" i="2"/>
  <c r="AQ242" i="2"/>
  <c r="AQ386" i="2"/>
  <c r="AQ65" i="2"/>
  <c r="AQ340" i="2"/>
  <c r="AQ365" i="2"/>
  <c r="AQ404" i="2"/>
  <c r="AQ309" i="2"/>
  <c r="AQ57" i="2"/>
  <c r="AQ328" i="2"/>
  <c r="Q344" i="3" s="1"/>
  <c r="AQ445" i="2"/>
  <c r="AQ456" i="2"/>
  <c r="AQ427" i="2"/>
  <c r="AQ350" i="2"/>
  <c r="AQ174" i="2"/>
  <c r="AQ198" i="2"/>
  <c r="AQ285" i="2"/>
  <c r="AQ291" i="2"/>
  <c r="AQ411" i="2"/>
  <c r="AQ296" i="2"/>
  <c r="AQ114" i="2"/>
  <c r="AQ333" i="2"/>
  <c r="AQ19" i="2"/>
  <c r="AQ368" i="2"/>
  <c r="Q826" i="3" s="1"/>
  <c r="AQ308" i="2"/>
  <c r="AQ184" i="2"/>
  <c r="AQ397" i="2"/>
  <c r="AQ24" i="2"/>
  <c r="AQ390" i="2"/>
  <c r="AQ394" i="2"/>
  <c r="AQ239" i="2"/>
  <c r="AQ433" i="2"/>
  <c r="AQ306" i="2"/>
  <c r="Q491" i="3"/>
  <c r="AQ64" i="2"/>
  <c r="AQ102" i="2"/>
  <c r="Q541" i="3"/>
  <c r="AQ369" i="2"/>
  <c r="Q703" i="3" s="1"/>
  <c r="AQ303" i="2"/>
  <c r="AQ248" i="2"/>
  <c r="AQ449" i="2"/>
  <c r="AQ337" i="2"/>
  <c r="AQ301" i="2"/>
  <c r="AQ86" i="2"/>
  <c r="AQ142" i="2"/>
  <c r="AQ272" i="2"/>
  <c r="AQ190" i="2"/>
  <c r="AQ151" i="2"/>
  <c r="AQ312" i="2"/>
  <c r="AQ158" i="2"/>
  <c r="AQ235" i="2"/>
  <c r="AQ420" i="2"/>
  <c r="AQ255" i="2"/>
  <c r="Q109" i="3" s="1"/>
  <c r="AQ205" i="2"/>
  <c r="AQ177" i="2"/>
  <c r="AQ141" i="2"/>
  <c r="AQ280" i="2"/>
  <c r="AQ323" i="2"/>
  <c r="AQ116" i="2"/>
  <c r="AQ132" i="2"/>
  <c r="AQ165" i="2"/>
  <c r="AQ421" i="2"/>
  <c r="AQ182" i="2"/>
  <c r="Q734" i="3" s="1"/>
  <c r="Q107" i="3"/>
  <c r="AQ81" i="2"/>
  <c r="AQ253" i="2"/>
  <c r="AQ316" i="2"/>
  <c r="AQ13" i="2"/>
  <c r="Q884" i="3" s="1"/>
  <c r="AQ27" i="2"/>
  <c r="AQ236" i="2"/>
  <c r="Q499" i="3" s="1"/>
  <c r="AQ370" i="2"/>
  <c r="AQ364" i="2"/>
  <c r="AQ137" i="2"/>
  <c r="AQ324" i="2"/>
  <c r="Q83" i="3" s="1"/>
  <c r="AQ343" i="2"/>
  <c r="AQ417" i="2"/>
  <c r="AQ74" i="2"/>
  <c r="Q187" i="3" s="1"/>
  <c r="AQ75" i="2"/>
  <c r="AQ360" i="2"/>
  <c r="Q565" i="3" s="1"/>
  <c r="AQ227" i="2"/>
  <c r="AQ320" i="2"/>
  <c r="AQ339" i="2"/>
  <c r="AQ79" i="2"/>
  <c r="AQ393" i="2"/>
  <c r="AQ282" i="2"/>
  <c r="AQ415" i="2"/>
  <c r="AQ117" i="2"/>
  <c r="AQ432" i="2"/>
  <c r="AQ69" i="2"/>
  <c r="AQ400" i="2"/>
  <c r="Q430" i="3" s="1"/>
  <c r="AQ120" i="2"/>
  <c r="AQ59" i="2"/>
  <c r="AQ454" i="2"/>
  <c r="Q878" i="3" s="1"/>
  <c r="AQ217" i="2"/>
  <c r="AQ345" i="2"/>
  <c r="Q821" i="3" s="1"/>
  <c r="AQ171" i="2"/>
  <c r="AQ251" i="2"/>
  <c r="Q360" i="3" s="1"/>
  <c r="AQ26" i="2"/>
  <c r="AQ310" i="2"/>
  <c r="AQ147" i="2"/>
  <c r="AQ451" i="2"/>
  <c r="AQ353" i="2"/>
  <c r="Q655" i="3" s="1"/>
  <c r="AQ335" i="2"/>
  <c r="AQ384" i="2"/>
  <c r="AQ385" i="2"/>
  <c r="AQ80" i="2"/>
  <c r="AQ413" i="2"/>
  <c r="AQ300" i="2"/>
  <c r="AQ36" i="2"/>
  <c r="AQ457" i="2"/>
  <c r="AQ154" i="2"/>
  <c r="AQ11" i="2"/>
  <c r="AQ84" i="2"/>
  <c r="AQ148" i="2"/>
  <c r="Q598" i="3"/>
  <c r="AQ103" i="2"/>
  <c r="AQ110" i="2"/>
  <c r="AQ349" i="2"/>
  <c r="AQ37" i="2"/>
  <c r="AQ23" i="2"/>
  <c r="AQ246" i="2"/>
  <c r="Q775" i="3"/>
  <c r="AQ223" i="2"/>
  <c r="AQ192" i="2"/>
  <c r="AQ178" i="2"/>
  <c r="AQ373" i="2"/>
  <c r="Q715" i="3"/>
  <c r="AQ357" i="2"/>
  <c r="AQ134" i="2"/>
  <c r="AQ33" i="2"/>
  <c r="AQ409" i="2"/>
  <c r="AQ225" i="2"/>
  <c r="AQ226" i="2"/>
  <c r="AQ367" i="2"/>
  <c r="AQ376" i="2"/>
  <c r="AQ126" i="2"/>
  <c r="AQ274" i="2"/>
  <c r="Q337" i="3"/>
  <c r="AQ172" i="2"/>
  <c r="AQ286" i="2"/>
  <c r="AQ347" i="2"/>
  <c r="AQ342" i="2"/>
  <c r="AQ278" i="2"/>
  <c r="Q571" i="3" s="1"/>
  <c r="AQ118" i="2"/>
  <c r="AQ440" i="2"/>
  <c r="AQ66" i="2"/>
  <c r="AQ123" i="2"/>
  <c r="AQ437" i="2"/>
  <c r="AQ243" i="2"/>
  <c r="AQ44" i="2"/>
  <c r="AQ304" i="2"/>
  <c r="AQ140" i="2"/>
  <c r="Q118" i="3" s="1"/>
  <c r="AQ77" i="2"/>
  <c r="AQ62" i="2"/>
  <c r="AQ136" i="2"/>
  <c r="AQ54" i="2"/>
  <c r="AQ455" i="2"/>
  <c r="AQ181" i="2"/>
  <c r="AQ18" i="2"/>
  <c r="AQ91" i="2"/>
  <c r="AQ143" i="2"/>
  <c r="Q223" i="3"/>
  <c r="AQ405" i="2"/>
  <c r="AQ211" i="2"/>
  <c r="AQ294" i="2"/>
  <c r="AQ199" i="2"/>
  <c r="AQ122" i="2"/>
  <c r="AQ424" i="2"/>
  <c r="AQ307" i="2"/>
  <c r="AQ222" i="2"/>
  <c r="AQ108" i="2"/>
  <c r="AQ354" i="2"/>
  <c r="AQ276" i="2"/>
  <c r="AQ412" i="2"/>
  <c r="AQ442" i="2"/>
  <c r="AQ146" i="2"/>
  <c r="AQ176" i="2"/>
  <c r="AQ321" i="2"/>
  <c r="AQ5" i="2"/>
  <c r="Q6" i="3" s="1"/>
  <c r="AQ331" i="2"/>
  <c r="Q382" i="3" s="1"/>
  <c r="AQ207" i="2"/>
  <c r="AQ12" i="2"/>
  <c r="AQ96" i="2"/>
  <c r="AQ209" i="2"/>
  <c r="AQ167" i="2"/>
  <c r="AQ264" i="2"/>
  <c r="AQ82" i="2"/>
  <c r="AQ16" i="2"/>
  <c r="Q472" i="3"/>
  <c r="AQ224" i="2"/>
  <c r="AQ159" i="2"/>
  <c r="AQ40" i="2"/>
  <c r="Q589" i="3"/>
  <c r="Q781" i="3"/>
  <c r="D11" i="8"/>
  <c r="Z11" i="8" s="1"/>
  <c r="D6" i="8"/>
  <c r="Z6" i="8" s="1"/>
  <c r="D8" i="8"/>
  <c r="Y8" i="8" s="1"/>
  <c r="AD200" i="3"/>
  <c r="Q9" i="8"/>
  <c r="AD109" i="3"/>
  <c r="AD253" i="3"/>
  <c r="AD671" i="3"/>
  <c r="AD446" i="3"/>
  <c r="AD292" i="3"/>
  <c r="AD675" i="3"/>
  <c r="AD343" i="3"/>
  <c r="Q15" i="8"/>
  <c r="D9" i="8"/>
  <c r="AA9" i="8" s="1"/>
  <c r="Y12" i="8"/>
  <c r="AA12" i="8"/>
  <c r="X12" i="8"/>
  <c r="Z12" i="8"/>
  <c r="Y19" i="8"/>
  <c r="AA19" i="8"/>
  <c r="X19" i="8"/>
  <c r="Z19" i="8"/>
  <c r="Y10" i="8"/>
  <c r="AA10" i="8"/>
  <c r="X10" i="8"/>
  <c r="Z10" i="8"/>
  <c r="Z5" i="8"/>
  <c r="X5" i="8"/>
  <c r="AA5" i="8"/>
  <c r="Y5" i="8"/>
  <c r="Y17" i="8"/>
  <c r="AA17" i="8"/>
  <c r="X17" i="8"/>
  <c r="Z17" i="8"/>
  <c r="Y16" i="8"/>
  <c r="AA16" i="8"/>
  <c r="X16" i="8"/>
  <c r="Z16" i="8"/>
  <c r="Y15" i="8"/>
  <c r="AA15" i="8"/>
  <c r="X15" i="8"/>
  <c r="Z15" i="8"/>
  <c r="Y20" i="8"/>
  <c r="AA20" i="8"/>
  <c r="X20" i="8"/>
  <c r="Z20" i="8"/>
  <c r="Y13" i="8"/>
  <c r="AA13" i="8"/>
  <c r="X13" i="8"/>
  <c r="Z13" i="8"/>
  <c r="Y7" i="8"/>
  <c r="AA7" i="8"/>
  <c r="X7" i="8"/>
  <c r="Z7" i="8"/>
  <c r="Y18" i="8"/>
  <c r="AA18" i="8"/>
  <c r="X18" i="8"/>
  <c r="Z18" i="8"/>
  <c r="Y14" i="8"/>
  <c r="AA14" i="8"/>
  <c r="X14" i="8"/>
  <c r="Z14" i="8"/>
  <c r="AD469" i="3"/>
  <c r="AD639" i="3"/>
  <c r="AD592" i="3"/>
  <c r="AD480" i="3"/>
  <c r="AD608" i="3"/>
  <c r="AD89" i="3"/>
  <c r="AD680" i="3"/>
  <c r="AD221" i="3"/>
  <c r="AD63" i="3"/>
  <c r="AD459" i="3"/>
  <c r="AD856" i="3"/>
  <c r="AD324" i="3"/>
  <c r="AD347" i="3"/>
  <c r="AD773" i="3"/>
  <c r="AD266" i="3"/>
  <c r="AD351" i="3"/>
  <c r="AD33" i="3"/>
  <c r="AD582" i="3"/>
  <c r="AD117" i="3"/>
  <c r="AD541" i="3"/>
  <c r="AD442" i="3"/>
  <c r="AD815" i="3"/>
  <c r="AD861" i="3"/>
  <c r="AD203" i="3"/>
  <c r="AD339" i="3"/>
  <c r="AD178" i="3"/>
  <c r="AD505" i="3"/>
  <c r="AD180" i="3"/>
  <c r="AD43" i="3"/>
  <c r="AD5" i="3"/>
  <c r="AD801" i="3"/>
  <c r="AD436" i="3"/>
  <c r="AD483" i="3"/>
  <c r="AD490" i="3"/>
  <c r="AD726" i="3"/>
  <c r="AD527" i="3"/>
  <c r="AD119" i="3"/>
  <c r="AD41" i="3"/>
  <c r="AD740" i="3"/>
  <c r="AD56" i="3"/>
  <c r="AD743" i="3"/>
  <c r="AD770" i="3"/>
  <c r="AD173" i="3"/>
  <c r="AD377" i="3"/>
  <c r="AD102" i="3"/>
  <c r="AD684" i="3"/>
  <c r="AD548" i="3"/>
  <c r="AD143" i="3"/>
  <c r="AD693" i="3"/>
  <c r="AD285" i="3"/>
  <c r="AD759" i="3"/>
  <c r="AD447" i="3"/>
  <c r="AD836" i="3"/>
  <c r="AD479" i="3"/>
  <c r="AD825" i="3"/>
  <c r="AD570" i="3"/>
  <c r="AD797" i="3"/>
  <c r="AD426" i="3"/>
  <c r="AD75" i="3"/>
  <c r="AD625" i="3"/>
  <c r="AD577" i="3"/>
  <c r="AD11" i="3"/>
  <c r="AD263" i="3"/>
  <c r="AD256" i="3"/>
  <c r="AD280" i="3"/>
  <c r="AD599" i="3"/>
  <c r="AD603" i="3"/>
  <c r="AD349" i="3"/>
  <c r="AD299" i="3"/>
  <c r="AD460" i="3"/>
  <c r="AD380" i="3"/>
  <c r="AD748" i="3"/>
  <c r="AD55" i="3"/>
  <c r="AD520" i="3"/>
  <c r="AD249" i="3"/>
  <c r="AD382" i="3"/>
  <c r="AD91" i="3"/>
  <c r="AD641" i="3"/>
  <c r="AD386" i="3"/>
  <c r="AD389" i="3"/>
  <c r="AD144" i="3"/>
  <c r="AD886" i="3"/>
  <c r="AD795" i="3"/>
  <c r="Q17" i="8"/>
  <c r="Q11" i="8"/>
  <c r="Q7" i="8"/>
  <c r="Q20" i="8"/>
  <c r="Q18" i="8"/>
  <c r="Q13" i="8"/>
  <c r="Q14" i="8"/>
  <c r="Q8" i="8"/>
  <c r="Q6" i="8"/>
  <c r="V17" i="8"/>
  <c r="V18" i="8"/>
  <c r="V16" i="8"/>
  <c r="V20" i="8"/>
  <c r="V12" i="8"/>
  <c r="V13" i="8"/>
  <c r="V19" i="8"/>
  <c r="V10" i="8"/>
  <c r="V5" i="8"/>
  <c r="V9" i="8"/>
  <c r="V6" i="8"/>
  <c r="Q464" i="3" l="1"/>
  <c r="Q26" i="3"/>
  <c r="Q137" i="3"/>
  <c r="Q267" i="3"/>
  <c r="Q403" i="3"/>
  <c r="Q183" i="3"/>
  <c r="Q114" i="3"/>
  <c r="Q548" i="3"/>
  <c r="Q576" i="3"/>
  <c r="Q751" i="3"/>
  <c r="Q219" i="3"/>
  <c r="Q867" i="3"/>
  <c r="Q663" i="3"/>
  <c r="Q325" i="3"/>
  <c r="Q163" i="3"/>
  <c r="Q48" i="3"/>
  <c r="Q510" i="3"/>
  <c r="Q84" i="3"/>
  <c r="Q769" i="3"/>
  <c r="Q823" i="3"/>
  <c r="Q431" i="3"/>
  <c r="Q437" i="3"/>
  <c r="Q874" i="3"/>
  <c r="Q677" i="3"/>
  <c r="Q833" i="3"/>
  <c r="Q623" i="3"/>
  <c r="Q805" i="3"/>
  <c r="Q657" i="3"/>
  <c r="Q313" i="3"/>
  <c r="Q451" i="3"/>
  <c r="Q71" i="3"/>
  <c r="Q198" i="3"/>
  <c r="Q682" i="3"/>
  <c r="Q545" i="3"/>
  <c r="Q417" i="3"/>
  <c r="Q363" i="3"/>
  <c r="Q802" i="3"/>
  <c r="Q710" i="3"/>
  <c r="Q259" i="3"/>
  <c r="Q859" i="3"/>
  <c r="Q193" i="3"/>
  <c r="Q270" i="3"/>
  <c r="Q246" i="3"/>
  <c r="Q233" i="3"/>
  <c r="Q844" i="3"/>
  <c r="Q304" i="3"/>
  <c r="Q522" i="3"/>
  <c r="Q840" i="3"/>
  <c r="Q411" i="3"/>
  <c r="Q296" i="3"/>
  <c r="Q188" i="3"/>
  <c r="Q791" i="3"/>
  <c r="Q318" i="3"/>
  <c r="Q92" i="3"/>
  <c r="Q85" i="3"/>
  <c r="Q745" i="3"/>
  <c r="Q61" i="3"/>
  <c r="Q863" i="3"/>
  <c r="Q236" i="3"/>
  <c r="Q191" i="3"/>
  <c r="Q128" i="3"/>
  <c r="Q647" i="3"/>
  <c r="Q273" i="3"/>
  <c r="Q254" i="3"/>
  <c r="Q153" i="3"/>
  <c r="Q103" i="3"/>
  <c r="Q25" i="3"/>
  <c r="Q518" i="3"/>
  <c r="Q558" i="3"/>
  <c r="Q583" i="3"/>
  <c r="Q808" i="3"/>
  <c r="Q172" i="3"/>
  <c r="Q320" i="3"/>
  <c r="Q243" i="3"/>
  <c r="Q44" i="3"/>
  <c r="Q156" i="3"/>
  <c r="Q37" i="3"/>
  <c r="Q838" i="3"/>
  <c r="Q560" i="3"/>
  <c r="Q439" i="3"/>
  <c r="Q780" i="3"/>
  <c r="Q332" i="3"/>
  <c r="Q407" i="3"/>
  <c r="Q294" i="3"/>
  <c r="Q134" i="3"/>
  <c r="Q572" i="3"/>
  <c r="Q705" i="3"/>
  <c r="Q196" i="3"/>
  <c r="Q680" i="3"/>
  <c r="Q205" i="3"/>
  <c r="Q124" i="3"/>
  <c r="Q626" i="3"/>
  <c r="Q578" i="3"/>
  <c r="Q776" i="3"/>
  <c r="Q504" i="3"/>
  <c r="Q166" i="3"/>
  <c r="Q145" i="3"/>
  <c r="Q585" i="3"/>
  <c r="Q877" i="3"/>
  <c r="Q27" i="3"/>
  <c r="Q760" i="3"/>
  <c r="Q591" i="3"/>
  <c r="Q440" i="3"/>
  <c r="Q869" i="3"/>
  <c r="Q605" i="3"/>
  <c r="Q792" i="3"/>
  <c r="Q142" i="3"/>
  <c r="Q184" i="3"/>
  <c r="Q672" i="3"/>
  <c r="Q46" i="3"/>
  <c r="Q331" i="3"/>
  <c r="Q98" i="3"/>
  <c r="Q369" i="3"/>
  <c r="Q199" i="3"/>
  <c r="Q147" i="3"/>
  <c r="Q241" i="3"/>
  <c r="Q397" i="3"/>
  <c r="Q532" i="3"/>
  <c r="Q113" i="3"/>
  <c r="Q711" i="3"/>
  <c r="Q323" i="3"/>
  <c r="Q539" i="3"/>
  <c r="Q876" i="3"/>
  <c r="Q829" i="3"/>
  <c r="Q529" i="3"/>
  <c r="Q125" i="3"/>
  <c r="Q43" i="3"/>
  <c r="Q481" i="3"/>
  <c r="Q126" i="3"/>
  <c r="Q564" i="3"/>
  <c r="Q732" i="3"/>
  <c r="Q73" i="3"/>
  <c r="Q743" i="3"/>
  <c r="Q588" i="3"/>
  <c r="Q839" i="3"/>
  <c r="Q794" i="3"/>
  <c r="Q641" i="3"/>
  <c r="Q330" i="3"/>
  <c r="Q80" i="3"/>
  <c r="Q222" i="3"/>
  <c r="Q761" i="3"/>
  <c r="Q616" i="3"/>
  <c r="Q326" i="3"/>
  <c r="Q120" i="3"/>
  <c r="Q889" i="3"/>
  <c r="Q90" i="3"/>
  <c r="Q727" i="3"/>
  <c r="Q628" i="3"/>
  <c r="Q278" i="3"/>
  <c r="Q651" i="3"/>
  <c r="Q795" i="3"/>
  <c r="Q16" i="3"/>
  <c r="Q461" i="3"/>
  <c r="Q349" i="3"/>
  <c r="Q215" i="3"/>
  <c r="Q740" i="3"/>
  <c r="Q604" i="3"/>
  <c r="Q683" i="3"/>
  <c r="Q888" i="3"/>
  <c r="Q819" i="3"/>
  <c r="Q102" i="3"/>
  <c r="Q317" i="3"/>
  <c r="Q374" i="3"/>
  <c r="Q772" i="3"/>
  <c r="Q74" i="3"/>
  <c r="Q69" i="3"/>
  <c r="Q528" i="3"/>
  <c r="Q204" i="3"/>
  <c r="Q762" i="3"/>
  <c r="Q210" i="3"/>
  <c r="Q285" i="3"/>
  <c r="Q735" i="3"/>
  <c r="Q731" i="3"/>
  <c r="Q281" i="3"/>
  <c r="Q860" i="3"/>
  <c r="Q853" i="3"/>
  <c r="Q203" i="3"/>
  <c r="Q400" i="3"/>
  <c r="Q8" i="3"/>
  <c r="Q629" i="3"/>
  <c r="Q280" i="3"/>
  <c r="Q311" i="3"/>
  <c r="Q195" i="3"/>
  <c r="Q847" i="3"/>
  <c r="Q793" i="3"/>
  <c r="Q104" i="3"/>
  <c r="Q185" i="3"/>
  <c r="Q822" i="3"/>
  <c r="Q442" i="3"/>
  <c r="Q258" i="3"/>
  <c r="Q406" i="3"/>
  <c r="Q339" i="3"/>
  <c r="Q116" i="3"/>
  <c r="Q644" i="3"/>
  <c r="Q149" i="3"/>
  <c r="Q264" i="3"/>
  <c r="Q105" i="3"/>
  <c r="Q136" i="3"/>
  <c r="Q460" i="3"/>
  <c r="Q266" i="3"/>
  <c r="Q321" i="3"/>
  <c r="Q346" i="3"/>
  <c r="Q50" i="3"/>
  <c r="Q796" i="3"/>
  <c r="Q155" i="3"/>
  <c r="Q662" i="3"/>
  <c r="Q693" i="3"/>
  <c r="Q329" i="3"/>
  <c r="Q209" i="3"/>
  <c r="Q764" i="3"/>
  <c r="Q29" i="3"/>
  <c r="Q130" i="3"/>
  <c r="Q164" i="3"/>
  <c r="Q551" i="3"/>
  <c r="Q393" i="3"/>
  <c r="Q190" i="3"/>
  <c r="Q688" i="3"/>
  <c r="Q157" i="3"/>
  <c r="Q520" i="3"/>
  <c r="Q416" i="3"/>
  <c r="Q283" i="3"/>
  <c r="Q824" i="3"/>
  <c r="Q871" i="3"/>
  <c r="Q121" i="3"/>
  <c r="Q55" i="3"/>
  <c r="Q173" i="3"/>
  <c r="Q218" i="3"/>
  <c r="Q257" i="3"/>
  <c r="Q377" i="3"/>
  <c r="Q175" i="3"/>
  <c r="Q72" i="3"/>
  <c r="Q638" i="3"/>
  <c r="Q757" i="3"/>
  <c r="Q322" i="3"/>
  <c r="Q789" i="3"/>
  <c r="Q478" i="3"/>
  <c r="Q864" i="3"/>
  <c r="Q179" i="3"/>
  <c r="Q489" i="3"/>
  <c r="Q534" i="3"/>
  <c r="Q670" i="3"/>
  <c r="Q675" i="3"/>
  <c r="Q394" i="3"/>
  <c r="Q700" i="3"/>
  <c r="Q41" i="3"/>
  <c r="Q569" i="3"/>
  <c r="Q260" i="3"/>
  <c r="Q398" i="3"/>
  <c r="Q724" i="3"/>
  <c r="Q490" i="3"/>
  <c r="Q239" i="3"/>
  <c r="Q865" i="3"/>
  <c r="Q601" i="3"/>
  <c r="Q485" i="3"/>
  <c r="Q654" i="3"/>
  <c r="Q20" i="3"/>
  <c r="Q230" i="3"/>
  <c r="Q530" i="3"/>
  <c r="Q314" i="3"/>
  <c r="Q295" i="3"/>
  <c r="Q728" i="3"/>
  <c r="Q660" i="3"/>
  <c r="Q465" i="3"/>
  <c r="Q367" i="3"/>
  <c r="Q456" i="3"/>
  <c r="Q862" i="3"/>
  <c r="Q52" i="3"/>
  <c r="Q834" i="3"/>
  <c r="Q669" i="3"/>
  <c r="Q872" i="3"/>
  <c r="Q462" i="3"/>
  <c r="Q581" i="3"/>
  <c r="Q247" i="3"/>
  <c r="Q852" i="3"/>
  <c r="Q21" i="3"/>
  <c r="Q57" i="3"/>
  <c r="Q402" i="3"/>
  <c r="Q627" i="3"/>
  <c r="Q721" i="3"/>
  <c r="Q679" i="3"/>
  <c r="Q813" i="3"/>
  <c r="Q221" i="3"/>
  <c r="Q165" i="3"/>
  <c r="Q650" i="3"/>
  <c r="Q315" i="3"/>
  <c r="Q817" i="3"/>
  <c r="Q401" i="3"/>
  <c r="Q290" i="3"/>
  <c r="Q496" i="3"/>
  <c r="Q633" i="3"/>
  <c r="Q428" i="3"/>
  <c r="Q390" i="3"/>
  <c r="Q336" i="3"/>
  <c r="Q800" i="3"/>
  <c r="Q739" i="3"/>
  <c r="Q154" i="3"/>
  <c r="Q786" i="3"/>
  <c r="Q611" i="3"/>
  <c r="Q758" i="3"/>
  <c r="Q668" i="3"/>
  <c r="Q352" i="3"/>
  <c r="Q208" i="3"/>
  <c r="Q625" i="3"/>
  <c r="Q526" i="3"/>
  <c r="Q291" i="3"/>
  <c r="Q167" i="3"/>
  <c r="Q720" i="3"/>
  <c r="Q305" i="3"/>
  <c r="Q809" i="3"/>
  <c r="Q667" i="3"/>
  <c r="Q452" i="3"/>
  <c r="Q33" i="3"/>
  <c r="Q54" i="3"/>
  <c r="Q91" i="3"/>
  <c r="Q671" i="3"/>
  <c r="Q443" i="3"/>
  <c r="Q636" i="3"/>
  <c r="Q110" i="3"/>
  <c r="Q429" i="3"/>
  <c r="Q584" i="3"/>
  <c r="Q415" i="3"/>
  <c r="Q65" i="3"/>
  <c r="Q96" i="3"/>
  <c r="Q861" i="3"/>
  <c r="Q244" i="3"/>
  <c r="Q366" i="3"/>
  <c r="Q506" i="3"/>
  <c r="Q873" i="3"/>
  <c r="Q177" i="3"/>
  <c r="Q245" i="3"/>
  <c r="Q68" i="3"/>
  <c r="Q348" i="3"/>
  <c r="Q235" i="3"/>
  <c r="Q139" i="3"/>
  <c r="Q272" i="3"/>
  <c r="Q34" i="3"/>
  <c r="Q837" i="3"/>
  <c r="Q89" i="3"/>
  <c r="Q537" i="3"/>
  <c r="Q324" i="3"/>
  <c r="Q146" i="3"/>
  <c r="Q39" i="3"/>
  <c r="Q830" i="3"/>
  <c r="Q631" i="3"/>
  <c r="Q228" i="3"/>
  <c r="Q697" i="3"/>
  <c r="Q835" i="3"/>
  <c r="Q881" i="3"/>
  <c r="Q256" i="3"/>
  <c r="Q463" i="3"/>
  <c r="Q750" i="3"/>
  <c r="Q674" i="3"/>
  <c r="Q141" i="3"/>
  <c r="Q535" i="3"/>
  <c r="Q32" i="3"/>
  <c r="Q418" i="3"/>
  <c r="Q151" i="3"/>
  <c r="Q225" i="3"/>
  <c r="Q687" i="3"/>
  <c r="Q779" i="3"/>
  <c r="Q517" i="3"/>
  <c r="Q738" i="3"/>
  <c r="Q457" i="3"/>
  <c r="Q622" i="3"/>
  <c r="Q298" i="3"/>
  <c r="Q810" i="3"/>
  <c r="Q35" i="3"/>
  <c r="Q807" i="3"/>
  <c r="Q383" i="3"/>
  <c r="Q234" i="3"/>
  <c r="Q512" i="3"/>
  <c r="Q511" i="3"/>
  <c r="Q276" i="3"/>
  <c r="Q887" i="3"/>
  <c r="Q237" i="3"/>
  <c r="Q123" i="3"/>
  <c r="Q606" i="3"/>
  <c r="Q778" i="3"/>
  <c r="Q617" i="3"/>
  <c r="Q292" i="3"/>
  <c r="Q806" i="3"/>
  <c r="Q327" i="3"/>
  <c r="Q275" i="3"/>
  <c r="Q359" i="3"/>
  <c r="Q231" i="3"/>
  <c r="Q23" i="3"/>
  <c r="Q828" i="3"/>
  <c r="Q695" i="3"/>
  <c r="Q82" i="3"/>
  <c r="Q608" i="3"/>
  <c r="Q426" i="3"/>
  <c r="Q47" i="3"/>
  <c r="Q174" i="3"/>
  <c r="Q211" i="3"/>
  <c r="Q24" i="3"/>
  <c r="Q269" i="3"/>
  <c r="Q567" i="3"/>
  <c r="AD805" i="3"/>
  <c r="Y11" i="8"/>
  <c r="X11" i="8"/>
  <c r="AA11" i="8"/>
  <c r="Y6" i="8"/>
  <c r="AA6" i="8"/>
  <c r="X6" i="8"/>
  <c r="AW55" i="2"/>
  <c r="AQ55" i="2"/>
  <c r="Q214" i="3" s="1"/>
  <c r="AW130" i="2"/>
  <c r="AQ130" i="2"/>
  <c r="Q563" i="3" s="1"/>
  <c r="AW179" i="2"/>
  <c r="AQ179" i="2"/>
  <c r="Q265" i="3" s="1"/>
  <c r="AW99" i="2"/>
  <c r="AQ99" i="2"/>
  <c r="Q388" i="3" s="1"/>
  <c r="Q513" i="3"/>
  <c r="Q119" i="3"/>
  <c r="AW87" i="2"/>
  <c r="AQ87" i="2"/>
  <c r="Q425" i="3" s="1"/>
  <c r="AW83" i="2"/>
  <c r="AQ83" i="2"/>
  <c r="Q316" i="3" s="1"/>
  <c r="AW377" i="2"/>
  <c r="AQ377" i="2"/>
  <c r="Q505" i="3" s="1"/>
  <c r="Q200" i="3"/>
  <c r="AW344" i="2"/>
  <c r="Q255" i="3"/>
  <c r="AW238" i="2"/>
  <c r="AQ238" i="2"/>
  <c r="Q709" i="3" s="1"/>
  <c r="AW257" i="2"/>
  <c r="AQ257" i="2"/>
  <c r="Q855" i="3"/>
  <c r="AW35" i="2"/>
  <c r="AQ35" i="2"/>
  <c r="AW92" i="2"/>
  <c r="AQ92" i="2"/>
  <c r="Q249" i="3" s="1"/>
  <c r="AW254" i="2"/>
  <c r="AQ254" i="2"/>
  <c r="AW73" i="2"/>
  <c r="AQ73" i="2"/>
  <c r="AW237" i="2"/>
  <c r="AQ237" i="2"/>
  <c r="Q702" i="3" s="1"/>
  <c r="AW419" i="2"/>
  <c r="AQ419" i="2"/>
  <c r="Q268" i="3" s="1"/>
  <c r="AW31" i="2"/>
  <c r="AQ31" i="2"/>
  <c r="Q97" i="3" s="1"/>
  <c r="AW229" i="2"/>
  <c r="AQ229" i="2"/>
  <c r="AW418" i="2"/>
  <c r="AQ418" i="2"/>
  <c r="Q492" i="3" s="1"/>
  <c r="AW366" i="2"/>
  <c r="AQ366" i="2"/>
  <c r="Q106" i="3" s="1"/>
  <c r="AW163" i="2"/>
  <c r="AQ163" i="2"/>
  <c r="Q630" i="3" s="1"/>
  <c r="AW193" i="2"/>
  <c r="AQ193" i="2"/>
  <c r="Q250" i="3" s="1"/>
  <c r="AW275" i="2"/>
  <c r="AQ275" i="2"/>
  <c r="AW107" i="2"/>
  <c r="AQ107" i="2"/>
  <c r="Q201" i="3" s="1"/>
  <c r="AW428" i="2"/>
  <c r="AQ428" i="2"/>
  <c r="Q213" i="3" s="1"/>
  <c r="Q238" i="3"/>
  <c r="AW155" i="2"/>
  <c r="AQ155" i="2"/>
  <c r="Q232" i="3" s="1"/>
  <c r="Q619" i="3"/>
  <c r="AW104" i="2"/>
  <c r="AQ104" i="2"/>
  <c r="AW183" i="2"/>
  <c r="AQ183" i="2"/>
  <c r="Q422" i="3" s="1"/>
  <c r="Q774" i="3"/>
  <c r="AW436" i="2"/>
  <c r="AQ436" i="2"/>
  <c r="Q438" i="3" s="1"/>
  <c r="Q413" i="3"/>
  <c r="Q240" i="3"/>
  <c r="AW314" i="2"/>
  <c r="AQ314" i="2"/>
  <c r="AW197" i="2"/>
  <c r="AQ197" i="2"/>
  <c r="Q140" i="3" s="1"/>
  <c r="AW416" i="2"/>
  <c r="AQ416" i="2"/>
  <c r="Q509" i="3" s="1"/>
  <c r="AW6" i="2"/>
  <c r="AQ6" i="2"/>
  <c r="Q18" i="3" s="1"/>
  <c r="AW391" i="2"/>
  <c r="AQ391" i="2"/>
  <c r="Q380" i="3" s="1"/>
  <c r="AW336" i="2"/>
  <c r="AQ336" i="2"/>
  <c r="Q286" i="3" s="1"/>
  <c r="AW180" i="2"/>
  <c r="AQ180" i="2"/>
  <c r="Q202" i="3" s="1"/>
  <c r="AW173" i="2"/>
  <c r="AQ173" i="2"/>
  <c r="Q229" i="3"/>
  <c r="AW67" i="2"/>
  <c r="AQ67" i="2"/>
  <c r="Q885" i="3" s="1"/>
  <c r="AW299" i="2"/>
  <c r="AQ299" i="2"/>
  <c r="Q562" i="3" s="1"/>
  <c r="AW268" i="2"/>
  <c r="AQ268" i="2"/>
  <c r="Q664" i="3" s="1"/>
  <c r="AW443" i="2"/>
  <c r="AQ443" i="2"/>
  <c r="Q848" i="3" s="1"/>
  <c r="AW78" i="2"/>
  <c r="AQ78" i="2"/>
  <c r="Q216" i="3" s="1"/>
  <c r="Q77" i="3"/>
  <c r="AW351" i="2"/>
  <c r="AQ351" i="2"/>
  <c r="Q659" i="3" s="1"/>
  <c r="AW25" i="2"/>
  <c r="AQ25" i="2"/>
  <c r="Q253" i="3" s="1"/>
  <c r="AW263" i="2"/>
  <c r="AQ263" i="2"/>
  <c r="Q319" i="3" s="1"/>
  <c r="AW202" i="2"/>
  <c r="AQ202" i="2"/>
  <c r="Q488" i="3" s="1"/>
  <c r="AW327" i="2"/>
  <c r="AQ327" i="2"/>
  <c r="Q378" i="3" s="1"/>
  <c r="AW388" i="2"/>
  <c r="AQ388" i="2"/>
  <c r="AW38" i="2"/>
  <c r="AQ38" i="2"/>
  <c r="AW98" i="2"/>
  <c r="AQ98" i="2"/>
  <c r="Q31" i="3" s="1"/>
  <c r="AW221" i="2"/>
  <c r="AQ221" i="2"/>
  <c r="AW265" i="2"/>
  <c r="AQ265" i="2"/>
  <c r="Q722" i="3" s="1"/>
  <c r="AW10" i="2"/>
  <c r="AQ10" i="2"/>
  <c r="Q135" i="3" s="1"/>
  <c r="AW200" i="2"/>
  <c r="AQ200" i="2"/>
  <c r="Q725" i="3" s="1"/>
  <c r="AW85" i="2"/>
  <c r="AQ85" i="2"/>
  <c r="Q756" i="3" s="1"/>
  <c r="AW398" i="2"/>
  <c r="AQ398" i="2"/>
  <c r="Q841" i="3" s="1"/>
  <c r="AW380" i="2"/>
  <c r="AQ380" i="2"/>
  <c r="Q747" i="3" s="1"/>
  <c r="AW346" i="2"/>
  <c r="AQ346" i="2"/>
  <c r="AW124" i="2"/>
  <c r="AQ124" i="2"/>
  <c r="Q299" i="3" s="1"/>
  <c r="AW371" i="2"/>
  <c r="AQ371" i="2"/>
  <c r="AW279" i="2"/>
  <c r="AQ279" i="2"/>
  <c r="Q868" i="3" s="1"/>
  <c r="AD704" i="3"/>
  <c r="AD799" i="3"/>
  <c r="AD68" i="3"/>
  <c r="BF21" i="1"/>
  <c r="AV21" i="1"/>
  <c r="AZ21" i="1" s="1"/>
  <c r="BF414" i="1"/>
  <c r="AV414" i="1"/>
  <c r="AZ414" i="1" s="1"/>
  <c r="BF86" i="1"/>
  <c r="AV86" i="1"/>
  <c r="AZ86" i="1" s="1"/>
  <c r="AD454" i="3"/>
  <c r="AD154" i="3"/>
  <c r="AD857" i="3"/>
  <c r="AD368" i="3"/>
  <c r="AD319" i="3"/>
  <c r="AD712" i="3"/>
  <c r="AD107" i="3"/>
  <c r="AD871" i="3"/>
  <c r="AD761" i="3"/>
  <c r="AD116" i="3"/>
  <c r="X8" i="8"/>
  <c r="AD25" i="3"/>
  <c r="AD39" i="3"/>
  <c r="AD810" i="3"/>
  <c r="Z8" i="8"/>
  <c r="AA8" i="8"/>
  <c r="AD432" i="3"/>
  <c r="AD140" i="3"/>
  <c r="AD695" i="3"/>
  <c r="R15" i="8"/>
  <c r="R10" i="8"/>
  <c r="Y9" i="8"/>
  <c r="X9" i="8"/>
  <c r="Z9" i="8"/>
  <c r="R9" i="8"/>
  <c r="R12" i="8"/>
  <c r="R19" i="8"/>
  <c r="R16" i="8"/>
  <c r="R13" i="8"/>
  <c r="R20" i="8"/>
  <c r="R17" i="8"/>
  <c r="R18" i="8"/>
  <c r="R7" i="8"/>
  <c r="R14" i="8"/>
  <c r="R11" i="8"/>
  <c r="R8" i="8"/>
  <c r="R6" i="8"/>
  <c r="Q718" i="3" l="1"/>
  <c r="Q67" i="3"/>
  <c r="Q182" i="3"/>
  <c r="Q226" i="3"/>
  <c r="Q338" i="3"/>
  <c r="Q38" i="3"/>
  <c r="BA238" i="1"/>
  <c r="BA324" i="1"/>
  <c r="BA152" i="1"/>
  <c r="BA112" i="1"/>
  <c r="BA165" i="1"/>
  <c r="BA104" i="1"/>
  <c r="BA266" i="1"/>
  <c r="BA427" i="1"/>
  <c r="BA170" i="1"/>
  <c r="BA425" i="1"/>
  <c r="Q152" i="3"/>
  <c r="Q138" i="3"/>
  <c r="Q212" i="3"/>
  <c r="Q70" i="3"/>
  <c r="Q189" i="3"/>
  <c r="Q646" i="3"/>
  <c r="Q372" i="3"/>
  <c r="Q169" i="3"/>
  <c r="Q143" i="3"/>
  <c r="Q342" i="3"/>
  <c r="AR267" i="2"/>
  <c r="AR105" i="2"/>
  <c r="AR298" i="2"/>
  <c r="AR399" i="2"/>
  <c r="Q849" i="3"/>
  <c r="Q447" i="3"/>
  <c r="Q150" i="3"/>
  <c r="AR63" i="2"/>
  <c r="AR352" i="2"/>
  <c r="AR302" i="2"/>
  <c r="AR295" i="2"/>
  <c r="Q370" i="3"/>
  <c r="Q42" i="3"/>
  <c r="Q224" i="3"/>
  <c r="Q168" i="3"/>
  <c r="Q303" i="3"/>
  <c r="Q783" i="3"/>
  <c r="Q480" i="3"/>
  <c r="Q419" i="3"/>
  <c r="AR406" i="2"/>
  <c r="AR355" i="2"/>
  <c r="Q207" i="3"/>
  <c r="Q148" i="3"/>
  <c r="AR89" i="2"/>
  <c r="AR383" i="2"/>
  <c r="Q815" i="3"/>
  <c r="Q453" i="3"/>
  <c r="Q580" i="3"/>
  <c r="Q127" i="3"/>
  <c r="Q744" i="3"/>
  <c r="AR249" i="2"/>
  <c r="AR403" i="2"/>
  <c r="AR283" i="2"/>
  <c r="Q162" i="3"/>
  <c r="Q477" i="3"/>
  <c r="AR361" i="2"/>
  <c r="Q49" i="3"/>
  <c r="Q843" i="3"/>
  <c r="Q767" i="3"/>
  <c r="Q706" i="3"/>
  <c r="Q17" i="3"/>
  <c r="Q482" i="3"/>
  <c r="Q277" i="3"/>
  <c r="AR297" i="2"/>
  <c r="AR259" i="2"/>
  <c r="AR287" i="2"/>
  <c r="AR358" i="2"/>
  <c r="AR446" i="2"/>
  <c r="Q673" i="3"/>
  <c r="Q556" i="3"/>
  <c r="Q620" i="3"/>
  <c r="Q685" i="3"/>
  <c r="Q632" i="3"/>
  <c r="Q803" i="3"/>
  <c r="AR290" i="2"/>
  <c r="AR395" i="2"/>
  <c r="AR407" i="2"/>
  <c r="AR277" i="2"/>
  <c r="Q19" i="3"/>
  <c r="Q63" i="3"/>
  <c r="Q14" i="3"/>
  <c r="Q7" i="3"/>
  <c r="Q723" i="3"/>
  <c r="Q540" i="3"/>
  <c r="Q825" i="3"/>
  <c r="Q681" i="3"/>
  <c r="Q197" i="3"/>
  <c r="Q409" i="3"/>
  <c r="Q866" i="3"/>
  <c r="Q302" i="3"/>
  <c r="Q547" i="3"/>
  <c r="Q759" i="3"/>
  <c r="Q144" i="3"/>
  <c r="Q784" i="3"/>
  <c r="Q692" i="3"/>
  <c r="Q593" i="3"/>
  <c r="Q12" i="3"/>
  <c r="Q890" i="3"/>
  <c r="Q579" i="3"/>
  <c r="BA6" i="1"/>
  <c r="Q851" i="3"/>
  <c r="Q857" i="3"/>
  <c r="Q467" i="3"/>
  <c r="Q289" i="3"/>
  <c r="Q609" i="3"/>
  <c r="Q577" i="3"/>
  <c r="Q507" i="3"/>
  <c r="Q405" i="3"/>
  <c r="Q607" i="3"/>
  <c r="Q86" i="3"/>
  <c r="Q335" i="3"/>
  <c r="Q733" i="3"/>
  <c r="Q99" i="3"/>
  <c r="Q870" i="3"/>
  <c r="Q525" i="3"/>
  <c r="Q689" i="3"/>
  <c r="Q171" i="3"/>
  <c r="Q736" i="3"/>
  <c r="Q527" i="3"/>
  <c r="Q546" i="3"/>
  <c r="Q454" i="3"/>
  <c r="Q533" i="3"/>
  <c r="Q684" i="3"/>
  <c r="Q132" i="3"/>
  <c r="Q594" i="3"/>
  <c r="Q206" i="3"/>
  <c r="Q262" i="3"/>
  <c r="Q334" i="3"/>
  <c r="Q186" i="3"/>
  <c r="Q763" i="3"/>
  <c r="Q536" i="3"/>
  <c r="Q11" i="3"/>
  <c r="Q811" i="3"/>
  <c r="Q831" i="3"/>
  <c r="Q523" i="3"/>
  <c r="Q753" i="3"/>
  <c r="Q818" i="3"/>
  <c r="Q282" i="3"/>
  <c r="Q391" i="3"/>
  <c r="Q542" i="3"/>
  <c r="Q341" i="3"/>
  <c r="Q345" i="3"/>
  <c r="Q36" i="3"/>
  <c r="Q111" i="3"/>
  <c r="Q642" i="3"/>
  <c r="Q100" i="3"/>
  <c r="Q56" i="3"/>
  <c r="Q891" i="3"/>
  <c r="Q570" i="3"/>
  <c r="Q251" i="3"/>
  <c r="Q827" i="3"/>
  <c r="Q93" i="3"/>
  <c r="Q649" i="3"/>
  <c r="Q656" i="3"/>
  <c r="Q5" i="3"/>
  <c r="Q886" i="3"/>
  <c r="Q408" i="3"/>
  <c r="Q658" i="3"/>
  <c r="Q284" i="3"/>
  <c r="Q648" i="3"/>
  <c r="Q309" i="3"/>
  <c r="Q445" i="3"/>
  <c r="Q87" i="3"/>
  <c r="Q875" i="3"/>
  <c r="Q45" i="3"/>
  <c r="Q357" i="3"/>
  <c r="Q832" i="3"/>
  <c r="Q101" i="3"/>
  <c r="Q553" i="3"/>
  <c r="Q194" i="3"/>
  <c r="Q355" i="3"/>
  <c r="Q361" i="3"/>
  <c r="Q375" i="3"/>
  <c r="Q754" i="3"/>
  <c r="Q665" i="3"/>
  <c r="Q621" i="3"/>
  <c r="Q66" i="3"/>
  <c r="Q161" i="3"/>
  <c r="Q356" i="3"/>
  <c r="Q59" i="3"/>
  <c r="Q396" i="3"/>
  <c r="Q770" i="3"/>
  <c r="Q698" i="3"/>
  <c r="Q557" i="3"/>
  <c r="Q58" i="3"/>
  <c r="Q666" i="3"/>
  <c r="Q358" i="3"/>
  <c r="BA58" i="1"/>
  <c r="BA147" i="1"/>
  <c r="R399" i="3" s="1"/>
  <c r="BA213" i="1"/>
  <c r="BA82" i="1"/>
  <c r="BA437" i="1"/>
  <c r="BA217" i="1"/>
  <c r="BA316" i="1"/>
  <c r="BA252" i="1"/>
  <c r="BA367" i="1"/>
  <c r="BA343" i="1"/>
  <c r="BA240" i="1"/>
  <c r="BA271" i="1"/>
  <c r="BA371" i="1"/>
  <c r="BA346" i="1"/>
  <c r="BA369" i="1"/>
  <c r="BA436" i="1"/>
  <c r="BA261" i="1"/>
  <c r="BA83" i="1"/>
  <c r="BA109" i="1"/>
  <c r="BA187" i="1"/>
  <c r="BA122" i="1"/>
  <c r="BA146" i="1"/>
  <c r="BA397" i="1"/>
  <c r="BA138" i="1"/>
  <c r="BA219" i="1"/>
  <c r="BA251" i="1"/>
  <c r="BA267" i="1"/>
  <c r="BA358" i="1"/>
  <c r="BA222" i="1"/>
  <c r="BA35" i="1"/>
  <c r="BA320" i="1"/>
  <c r="BA288" i="1"/>
  <c r="BA18" i="1"/>
  <c r="BA178" i="1"/>
  <c r="BA364" i="1"/>
  <c r="BA228" i="1"/>
  <c r="BA394" i="1"/>
  <c r="BA410" i="1"/>
  <c r="BA194" i="1"/>
  <c r="BA56" i="1"/>
  <c r="BA307" i="1"/>
  <c r="BA114" i="1"/>
  <c r="BA97" i="1"/>
  <c r="BA40" i="1"/>
  <c r="BA95" i="1"/>
  <c r="BA256" i="1"/>
  <c r="BA277" i="1"/>
  <c r="BA341" i="1"/>
  <c r="BA225" i="1"/>
  <c r="BA317" i="1"/>
  <c r="R531" i="3" s="1"/>
  <c r="BA100" i="1"/>
  <c r="BA430" i="1"/>
  <c r="BA113" i="1"/>
  <c r="BA154" i="1"/>
  <c r="BA357" i="1"/>
  <c r="R729" i="3" s="1"/>
  <c r="BA268" i="1"/>
  <c r="BA124" i="1"/>
  <c r="BA188" i="1"/>
  <c r="BA283" i="1"/>
  <c r="BA70" i="1"/>
  <c r="BA55" i="1"/>
  <c r="BA169" i="1"/>
  <c r="BA34" i="1"/>
  <c r="BA78" i="1"/>
  <c r="BA166" i="1"/>
  <c r="BA331" i="1"/>
  <c r="BA259" i="1"/>
  <c r="BA15" i="1"/>
  <c r="BA260" i="1"/>
  <c r="AR453" i="2"/>
  <c r="AR94" i="2"/>
  <c r="AR329" i="2"/>
  <c r="AR186" i="2"/>
  <c r="AR129" i="2"/>
  <c r="AR20" i="2"/>
  <c r="AR220" i="2"/>
  <c r="AR43" i="2"/>
  <c r="AR260" i="2"/>
  <c r="AR169" i="2"/>
  <c r="AR233" i="2"/>
  <c r="AR127" i="2"/>
  <c r="AR318" i="2"/>
  <c r="AR396" i="2"/>
  <c r="AR423" i="2"/>
  <c r="AR326" i="2"/>
  <c r="AR293" i="2"/>
  <c r="AR185" i="2"/>
  <c r="AR160" i="2"/>
  <c r="AR348" i="2"/>
  <c r="AR39" i="2"/>
  <c r="AR206" i="2"/>
  <c r="AR111" i="2"/>
  <c r="AR288" i="2"/>
  <c r="AR252" i="2"/>
  <c r="AR356" i="2"/>
  <c r="AR250" i="2"/>
  <c r="AR42" i="2"/>
  <c r="AR410" i="2"/>
  <c r="AR231" i="2"/>
  <c r="AR101" i="2"/>
  <c r="AR228" i="2"/>
  <c r="AR218" i="2"/>
  <c r="AR447" i="2"/>
  <c r="AR359" i="2"/>
  <c r="AR256" i="2"/>
  <c r="AR338" i="2"/>
  <c r="AR450" i="2"/>
  <c r="AR70" i="2"/>
  <c r="AR210" i="2"/>
  <c r="AR29" i="2"/>
  <c r="AR216" i="2"/>
  <c r="AR131" i="2"/>
  <c r="AR372" i="2"/>
  <c r="AR56" i="2"/>
  <c r="AR362" i="2"/>
  <c r="AR414" i="2"/>
  <c r="AR191" i="2"/>
  <c r="AR459" i="2"/>
  <c r="AR28" i="2"/>
  <c r="AR152" i="2"/>
  <c r="AR392" i="2"/>
  <c r="AR164" i="2"/>
  <c r="AR157" i="2"/>
  <c r="AR212" i="2"/>
  <c r="AR330" i="2"/>
  <c r="AR97" i="2"/>
  <c r="AR281" i="2"/>
  <c r="AR53" i="2"/>
  <c r="AR232" i="2"/>
  <c r="AR435" i="2"/>
  <c r="AR262" i="2"/>
  <c r="AR47" i="2"/>
  <c r="AR138" i="2"/>
  <c r="AR203" i="2"/>
  <c r="AR389" i="2"/>
  <c r="AR17" i="2"/>
  <c r="AR273" i="2"/>
  <c r="AR112" i="2"/>
  <c r="AR189" i="2"/>
  <c r="AR258" i="2"/>
  <c r="AR201" i="2"/>
  <c r="AR289" i="2"/>
  <c r="AR170" i="2"/>
  <c r="AR51" i="2"/>
  <c r="AR422" i="2"/>
  <c r="AR32" i="2"/>
  <c r="AR434" i="2"/>
  <c r="AR34" i="2"/>
  <c r="R62" i="3" s="1"/>
  <c r="AR175" i="2"/>
  <c r="AR144" i="2"/>
  <c r="AR46" i="2"/>
  <c r="R85" i="3" s="1"/>
  <c r="AR15" i="2"/>
  <c r="AR7" i="2"/>
  <c r="AR133" i="2"/>
  <c r="AR135" i="2"/>
  <c r="AR76" i="2"/>
  <c r="AR61" i="2"/>
  <c r="R112" i="3" s="1"/>
  <c r="AR195" i="2"/>
  <c r="AR149" i="2"/>
  <c r="AR48" i="2"/>
  <c r="AR150" i="2"/>
  <c r="AR270" i="2"/>
  <c r="AR72" i="2"/>
  <c r="AR271" i="2"/>
  <c r="AR234" i="2"/>
  <c r="AR219" i="2"/>
  <c r="AR162" i="2"/>
  <c r="AR215" i="2"/>
  <c r="AR49" i="2"/>
  <c r="AR90" i="2"/>
  <c r="AR439" i="2"/>
  <c r="AR382" i="2"/>
  <c r="AR156" i="2"/>
  <c r="AR22" i="2"/>
  <c r="AR194" i="2"/>
  <c r="AR387" i="2"/>
  <c r="AR363" i="2"/>
  <c r="AR153" i="2"/>
  <c r="AR9" i="2"/>
  <c r="AR292" i="2"/>
  <c r="AR14" i="2"/>
  <c r="AR196" i="2"/>
  <c r="AR315" i="2"/>
  <c r="AR166" i="2"/>
  <c r="BA408" i="1"/>
  <c r="BA350" i="1"/>
  <c r="BA126" i="1"/>
  <c r="BA183" i="1"/>
  <c r="BA312" i="1"/>
  <c r="BA45" i="1"/>
  <c r="BA136" i="1"/>
  <c r="BA232" i="1"/>
  <c r="BA282" i="1"/>
  <c r="BA200" i="1"/>
  <c r="R561" i="3" s="1"/>
  <c r="BA103" i="1"/>
  <c r="BA386" i="1"/>
  <c r="R858" i="3" s="1"/>
  <c r="BA322" i="1"/>
  <c r="BA140" i="1"/>
  <c r="BA301" i="1"/>
  <c r="BA303" i="1"/>
  <c r="BA9" i="1"/>
  <c r="BA234" i="1"/>
  <c r="BA153" i="1"/>
  <c r="BA16" i="1"/>
  <c r="BA157" i="1"/>
  <c r="BA326" i="1"/>
  <c r="BA181" i="1"/>
  <c r="BA361" i="1"/>
  <c r="BA185" i="1"/>
  <c r="BA26" i="1"/>
  <c r="BA347" i="1"/>
  <c r="BA255" i="1"/>
  <c r="BA337" i="1"/>
  <c r="BA195" i="1"/>
  <c r="BA171" i="1"/>
  <c r="R494" i="3" s="1"/>
  <c r="BA72" i="1"/>
  <c r="BA402" i="1"/>
  <c r="BA352" i="1"/>
  <c r="BA247" i="1"/>
  <c r="BA362" i="1"/>
  <c r="BA76" i="1"/>
  <c r="BA98" i="1"/>
  <c r="BA81" i="1"/>
  <c r="BA156" i="1"/>
  <c r="BA426" i="1"/>
  <c r="BA182" i="1"/>
  <c r="BA392" i="1"/>
  <c r="BA201" i="1"/>
  <c r="BA379" i="1"/>
  <c r="BA101" i="1"/>
  <c r="BA378" i="1"/>
  <c r="BA206" i="1"/>
  <c r="BA417" i="1"/>
  <c r="BA258" i="1"/>
  <c r="BA164" i="1"/>
  <c r="BA422" i="1"/>
  <c r="BA199" i="1"/>
  <c r="AD187" i="3"/>
  <c r="AD437" i="3"/>
  <c r="AD530" i="3"/>
  <c r="AD665" i="3"/>
  <c r="AD496" i="3"/>
  <c r="AD358" i="3"/>
  <c r="AD478" i="3"/>
  <c r="AD413" i="3"/>
  <c r="AD719" i="3"/>
  <c r="AD824" i="3"/>
  <c r="AD529" i="3"/>
  <c r="AD82" i="3"/>
  <c r="AD52" i="3"/>
  <c r="AD370" i="3"/>
  <c r="AD670" i="3"/>
  <c r="AD257" i="3"/>
  <c r="AD514" i="3"/>
  <c r="AD87" i="3"/>
  <c r="AD844" i="3"/>
  <c r="AD794" i="3"/>
  <c r="AD35" i="3"/>
  <c r="AD492" i="3"/>
  <c r="AD76" i="3"/>
  <c r="AD486" i="3"/>
  <c r="AD475" i="3"/>
  <c r="AD371" i="3"/>
  <c r="AD865" i="3"/>
  <c r="AD272" i="3"/>
  <c r="AD12" i="3"/>
  <c r="AD23" i="3"/>
  <c r="AD61" i="3"/>
  <c r="AD535" i="3"/>
  <c r="AD800" i="3"/>
  <c r="AD713" i="3"/>
  <c r="AD36" i="3"/>
  <c r="AD70" i="3"/>
  <c r="AD404" i="3"/>
  <c r="AD837" i="3"/>
  <c r="AD547" i="3"/>
  <c r="AD456" i="3"/>
  <c r="BA60" i="1"/>
  <c r="BA96" i="1"/>
  <c r="BA351" i="1"/>
  <c r="BA330" i="1"/>
  <c r="BA196" i="1"/>
  <c r="BA334" i="1"/>
  <c r="BA403" i="1"/>
  <c r="R610" i="3" s="1"/>
  <c r="BA99" i="1"/>
  <c r="BA108" i="1"/>
  <c r="R312" i="3" s="1"/>
  <c r="BA92" i="1"/>
  <c r="BA46" i="1"/>
  <c r="BA10" i="1"/>
  <c r="BA129" i="1"/>
  <c r="BA424" i="1"/>
  <c r="BA396" i="1"/>
  <c r="BA294" i="1"/>
  <c r="BA264" i="1"/>
  <c r="BA305" i="1"/>
  <c r="BA291" i="1"/>
  <c r="BA67" i="1"/>
  <c r="BA177" i="1"/>
  <c r="BA53" i="1"/>
  <c r="BA131" i="1"/>
  <c r="BA167" i="1"/>
  <c r="BA368" i="1"/>
  <c r="BA211" i="1"/>
  <c r="BA158" i="1"/>
  <c r="BA286" i="1"/>
  <c r="BA127" i="1"/>
  <c r="BA85" i="1"/>
  <c r="BA93" i="1"/>
  <c r="BA270" i="1"/>
  <c r="BA168" i="1"/>
  <c r="BA149" i="1"/>
  <c r="BA19" i="1"/>
  <c r="BA5" i="1"/>
  <c r="R9" i="3" s="1"/>
  <c r="BA405" i="1"/>
  <c r="BA413" i="1"/>
  <c r="R300" i="3" s="1"/>
  <c r="BA249" i="1"/>
  <c r="BA248" i="1"/>
  <c r="BA107" i="1"/>
  <c r="BA409" i="1"/>
  <c r="BA308" i="1"/>
  <c r="BA160" i="1"/>
  <c r="BA404" i="1"/>
  <c r="BA209" i="1"/>
  <c r="BA89" i="1"/>
  <c r="BA290" i="1"/>
  <c r="BA284" i="1"/>
  <c r="BA27" i="1"/>
  <c r="R53" i="3" s="1"/>
  <c r="BA30" i="1"/>
  <c r="BA17" i="1"/>
  <c r="BA41" i="1"/>
  <c r="BA116" i="1"/>
  <c r="BA295" i="1"/>
  <c r="BA276" i="1"/>
  <c r="BA289" i="1"/>
  <c r="BA162" i="1"/>
  <c r="BA142" i="1"/>
  <c r="BA250" i="1"/>
  <c r="BA281" i="1"/>
  <c r="BA340" i="1"/>
  <c r="BA123" i="1"/>
  <c r="BA68" i="1"/>
  <c r="BA321" i="1"/>
  <c r="BA130" i="1"/>
  <c r="BA161" i="1"/>
  <c r="BA36" i="1"/>
  <c r="BA8" i="1"/>
  <c r="BA197" i="1"/>
  <c r="BA192" i="1"/>
  <c r="BA345" i="1"/>
  <c r="BA90" i="1"/>
  <c r="BA150" i="1"/>
  <c r="BA239" i="1"/>
  <c r="BA332" i="1"/>
  <c r="BA141" i="1"/>
  <c r="R387" i="3" s="1"/>
  <c r="BA33" i="1"/>
  <c r="BA91" i="1"/>
  <c r="BA420" i="1"/>
  <c r="BA329" i="1"/>
  <c r="BA31" i="1"/>
  <c r="BA51" i="1"/>
  <c r="BA253" i="1"/>
  <c r="BA226" i="1"/>
  <c r="BA231" i="1"/>
  <c r="BA366" i="1"/>
  <c r="BA128" i="1"/>
  <c r="BA220" i="1"/>
  <c r="R618" i="3" s="1"/>
  <c r="BA299" i="1"/>
  <c r="BA342" i="1"/>
  <c r="BA143" i="1"/>
  <c r="BA172" i="1"/>
  <c r="BA133" i="1"/>
  <c r="BA191" i="1"/>
  <c r="BA189" i="1"/>
  <c r="BA49" i="1"/>
  <c r="BA432" i="1"/>
  <c r="BA233" i="1"/>
  <c r="BA245" i="1"/>
  <c r="BA423" i="1"/>
  <c r="BA20" i="1"/>
  <c r="BA64" i="1"/>
  <c r="BA105" i="1"/>
  <c r="BA370" i="1"/>
  <c r="BA237" i="1"/>
  <c r="BA215" i="1"/>
  <c r="BA296" i="1"/>
  <c r="BA279" i="1"/>
  <c r="BA208" i="1"/>
  <c r="BA198" i="1"/>
  <c r="BA210" i="1"/>
  <c r="BA382" i="1"/>
  <c r="BA223" i="1"/>
  <c r="BA48" i="1"/>
  <c r="BA159" i="1"/>
  <c r="BA363" i="1"/>
  <c r="BA336" i="1"/>
  <c r="BA353" i="1"/>
  <c r="BA52" i="1"/>
  <c r="BA275" i="1"/>
  <c r="BA407" i="1"/>
  <c r="BA373" i="1"/>
  <c r="BA306" i="1"/>
  <c r="BA202" i="1"/>
  <c r="BA176" i="1"/>
  <c r="BA236" i="1"/>
  <c r="BA44" i="1"/>
  <c r="BA11" i="1"/>
  <c r="BA241" i="1"/>
  <c r="BA139" i="1"/>
  <c r="BA230" i="1"/>
  <c r="BA102" i="1"/>
  <c r="BA356" i="1"/>
  <c r="BA218" i="1"/>
  <c r="BA272" i="1"/>
  <c r="BA365" i="1"/>
  <c r="BA315" i="1"/>
  <c r="BA120" i="1"/>
  <c r="BA257" i="1"/>
  <c r="BA224" i="1"/>
  <c r="BA73" i="1"/>
  <c r="R160" i="3" s="1"/>
  <c r="BA374" i="1"/>
  <c r="R798" i="3" s="1"/>
  <c r="BA61" i="1"/>
  <c r="BA384" i="1"/>
  <c r="BA359" i="1"/>
  <c r="BA274" i="1"/>
  <c r="BA7" i="1"/>
  <c r="BA298" i="1"/>
  <c r="BA32" i="1"/>
  <c r="BA349" i="1"/>
  <c r="R686" i="3" s="1"/>
  <c r="BA229" i="1"/>
  <c r="BA428" i="1"/>
  <c r="BA38" i="1"/>
  <c r="BA175" i="1"/>
  <c r="R474" i="3" s="1"/>
  <c r="BA415" i="1"/>
  <c r="BA380" i="1"/>
  <c r="BA88" i="1"/>
  <c r="BA106" i="1"/>
  <c r="BA28" i="1"/>
  <c r="BA344" i="1"/>
  <c r="BA388" i="1"/>
  <c r="BA23" i="1"/>
  <c r="R40" i="3" s="1"/>
  <c r="BA434" i="1"/>
  <c r="R879" i="3" s="1"/>
  <c r="BA148" i="1"/>
  <c r="BA203" i="1"/>
  <c r="BA145" i="1"/>
  <c r="BA311" i="1"/>
  <c r="BA29" i="1"/>
  <c r="BA285" i="1"/>
  <c r="BA399" i="1"/>
  <c r="BA354" i="1"/>
  <c r="BA14" i="1"/>
  <c r="BA94" i="1"/>
  <c r="R252" i="3" s="1"/>
  <c r="BA80" i="1"/>
  <c r="BA383" i="1"/>
  <c r="BA204" i="1"/>
  <c r="BA39" i="1"/>
  <c r="BA75" i="1"/>
  <c r="BA111" i="1"/>
  <c r="BA314" i="1"/>
  <c r="BA115" i="1"/>
  <c r="BA66" i="1"/>
  <c r="BA304" i="1"/>
  <c r="BA339" i="1"/>
  <c r="BA69" i="1"/>
  <c r="BA338" i="1"/>
  <c r="BA125" i="1"/>
  <c r="BA25" i="1"/>
  <c r="R22" i="3" s="1"/>
  <c r="BA265" i="1"/>
  <c r="BA318" i="1"/>
  <c r="BA401" i="1"/>
  <c r="R261" i="3" s="1"/>
  <c r="BA180" i="1"/>
  <c r="BA244" i="1"/>
  <c r="BA207" i="1"/>
  <c r="BA22" i="1"/>
  <c r="BA151" i="1"/>
  <c r="BA389" i="1"/>
  <c r="BA280" i="1"/>
  <c r="BA216" i="1"/>
  <c r="BA293" i="1"/>
  <c r="BA193" i="1"/>
  <c r="BA118" i="1"/>
  <c r="BA57" i="1"/>
  <c r="R508" i="3"/>
  <c r="BA173" i="1"/>
  <c r="BA186" i="1"/>
  <c r="BA137" i="1"/>
  <c r="BA63" i="1"/>
  <c r="BA348" i="1"/>
  <c r="BA333" i="1"/>
  <c r="BA50" i="1"/>
  <c r="BA377" i="1"/>
  <c r="BA310" i="1"/>
  <c r="BA43" i="1"/>
  <c r="BA37" i="1"/>
  <c r="R271" i="3"/>
  <c r="BA438" i="1"/>
  <c r="BA433" i="1"/>
  <c r="BA79" i="1"/>
  <c r="BA212" i="1"/>
  <c r="BA273" i="1"/>
  <c r="BA381" i="1"/>
  <c r="BA42" i="1"/>
  <c r="BA400" i="1"/>
  <c r="BA235" i="1"/>
  <c r="R742" i="3"/>
  <c r="BA65" i="1"/>
  <c r="BA135" i="1"/>
  <c r="BA398" i="1"/>
  <c r="BA300" i="1"/>
  <c r="BA163" i="1"/>
  <c r="BA84" i="1"/>
  <c r="BA421" i="1"/>
  <c r="BA119" i="1"/>
  <c r="BA59" i="1"/>
  <c r="BA214" i="1"/>
  <c r="BA246" i="1"/>
  <c r="R730" i="3" s="1"/>
  <c r="BA292" i="1"/>
  <c r="BA87" i="1"/>
  <c r="BA205" i="1"/>
  <c r="BA134" i="1"/>
  <c r="BA328" i="1"/>
  <c r="R159" i="3"/>
  <c r="BA406" i="1"/>
  <c r="BA121" i="1"/>
  <c r="BA269" i="1"/>
  <c r="BA62" i="1"/>
  <c r="BA13" i="1"/>
  <c r="BA132" i="1"/>
  <c r="BA221" i="1"/>
  <c r="BA429" i="1"/>
  <c r="BA174" i="1"/>
  <c r="R473" i="3" s="1"/>
  <c r="BA319" i="1"/>
  <c r="BA254" i="1"/>
  <c r="BA190" i="1"/>
  <c r="BA325" i="1"/>
  <c r="BA278" i="1"/>
  <c r="BA393" i="1"/>
  <c r="BA24" i="1"/>
  <c r="BA313" i="1"/>
  <c r="R297" i="3" s="1"/>
  <c r="BA297" i="1"/>
  <c r="BA387" i="1"/>
  <c r="BA309" i="1"/>
  <c r="BA54" i="1"/>
  <c r="BA74" i="1"/>
  <c r="R749" i="3"/>
  <c r="R791" i="3"/>
  <c r="BA435" i="1"/>
  <c r="R880" i="3" s="1"/>
  <c r="BA179" i="1"/>
  <c r="BA243" i="1"/>
  <c r="BA385" i="1"/>
  <c r="BA418" i="1"/>
  <c r="BA411" i="1"/>
  <c r="BA287" i="1"/>
  <c r="BA227" i="1"/>
  <c r="BA395" i="1"/>
  <c r="BA355" i="1"/>
  <c r="BA184" i="1"/>
  <c r="BA12" i="1"/>
  <c r="BA110" i="1"/>
  <c r="BA360" i="1"/>
  <c r="BA376" i="1"/>
  <c r="BA155" i="1"/>
  <c r="BA335" i="1"/>
  <c r="BA391" i="1"/>
  <c r="BA375" i="1"/>
  <c r="BA144" i="1"/>
  <c r="R471" i="3"/>
  <c r="BA47" i="1"/>
  <c r="R88" i="3" s="1"/>
  <c r="BA431" i="1"/>
  <c r="BA372" i="1"/>
  <c r="BA77" i="1"/>
  <c r="BA117" i="1"/>
  <c r="BA263" i="1"/>
  <c r="BA302" i="1"/>
  <c r="BA416" i="1"/>
  <c r="BA327" i="1"/>
  <c r="BA71" i="1"/>
  <c r="R158" i="3" s="1"/>
  <c r="BA412" i="1"/>
  <c r="BA419" i="1"/>
  <c r="BA242" i="1"/>
  <c r="BA262" i="1"/>
  <c r="BA390" i="1"/>
  <c r="BA323" i="1"/>
  <c r="R549" i="3" s="1"/>
  <c r="AD123" i="3"/>
  <c r="AD120" i="3"/>
  <c r="AD819" i="3"/>
  <c r="AD537" i="3"/>
  <c r="AD829" i="3"/>
  <c r="AD65" i="3"/>
  <c r="AD391" i="3"/>
  <c r="AD725" i="3"/>
  <c r="AD361" i="3"/>
  <c r="AD139" i="3"/>
  <c r="AD151" i="3"/>
  <c r="AD167" i="3"/>
  <c r="AD121" i="3"/>
  <c r="AD134" i="3"/>
  <c r="AD589" i="3"/>
  <c r="AD746" i="3"/>
  <c r="AD783" i="3"/>
  <c r="AD24" i="3"/>
  <c r="AD157" i="3"/>
  <c r="AD792" i="3"/>
  <c r="AD778" i="3"/>
  <c r="AD619" i="3"/>
  <c r="AD634" i="3"/>
  <c r="AD569" i="3"/>
  <c r="AD689" i="3"/>
  <c r="AD709" i="3"/>
  <c r="AD238" i="3"/>
  <c r="AD595" i="3"/>
  <c r="AD747" i="3"/>
  <c r="AD785" i="3"/>
  <c r="AD784" i="3"/>
  <c r="AD750" i="3"/>
  <c r="AD476" i="3"/>
  <c r="AD485" i="3"/>
  <c r="AD32" i="3"/>
  <c r="AD352" i="3"/>
  <c r="AD542" i="3"/>
  <c r="AD502" i="3"/>
  <c r="AD275" i="3"/>
  <c r="AD863" i="3"/>
  <c r="AD291" i="3"/>
  <c r="AD42" i="3"/>
  <c r="AD336" i="3"/>
  <c r="AD247" i="3"/>
  <c r="AD515" i="3"/>
  <c r="AD550" i="3"/>
  <c r="AD228" i="3"/>
  <c r="AD409" i="3"/>
  <c r="AD627" i="3"/>
  <c r="AD683" i="3"/>
  <c r="AD90" i="3"/>
  <c r="AD724" i="3"/>
  <c r="AD612" i="3"/>
  <c r="AD601" i="3"/>
  <c r="AD211" i="3"/>
  <c r="AD802" i="3"/>
  <c r="AD690" i="3"/>
  <c r="AD687" i="3"/>
  <c r="AD706" i="3"/>
  <c r="AD186" i="3"/>
  <c r="AD587" i="3"/>
  <c r="AD631" i="3"/>
  <c r="AD663" i="3"/>
  <c r="AD355" i="3"/>
  <c r="AD149" i="3"/>
  <c r="AD852" i="3"/>
  <c r="AD260" i="3"/>
  <c r="AD777" i="3"/>
  <c r="AD461" i="3"/>
  <c r="AD493" i="3"/>
  <c r="AD716" i="3"/>
  <c r="AD635" i="3"/>
  <c r="AD637" i="3"/>
  <c r="AD106" i="3"/>
  <c r="AD152" i="3"/>
  <c r="AD458" i="3"/>
  <c r="AD83" i="3"/>
  <c r="AD451" i="3"/>
  <c r="AD455" i="3"/>
  <c r="AD643" i="3"/>
  <c r="AD870" i="3"/>
  <c r="AD405" i="3"/>
  <c r="AD658" i="3"/>
  <c r="AD344" i="3"/>
  <c r="AD741" i="3"/>
  <c r="AD244" i="3"/>
  <c r="AD226" i="3"/>
  <c r="AD484" i="3"/>
  <c r="AD602" i="3"/>
  <c r="AD367" i="3"/>
  <c r="AD580" i="3"/>
  <c r="AD831" i="3"/>
  <c r="AD415" i="3"/>
  <c r="AD883" i="3"/>
  <c r="AD866" i="3"/>
  <c r="AD521" i="3"/>
  <c r="AD262" i="3"/>
  <c r="AD72" i="3"/>
  <c r="AD97" i="3"/>
  <c r="AD175" i="3"/>
  <c r="AD434" i="3"/>
  <c r="AD775" i="3"/>
  <c r="AD179" i="3"/>
  <c r="AD572" i="3"/>
  <c r="AD265" i="3"/>
  <c r="AD373" i="3"/>
  <c r="AD737" i="3"/>
  <c r="AD666" i="3"/>
  <c r="AD764" i="3"/>
  <c r="AD691" i="3"/>
  <c r="AD201" i="3"/>
  <c r="AD402" i="3"/>
  <c r="AD588" i="3"/>
  <c r="AD517" i="3"/>
  <c r="AD59" i="3"/>
  <c r="AD538" i="3"/>
  <c r="AD551" i="3"/>
  <c r="AD223" i="3"/>
  <c r="AD212" i="3"/>
  <c r="AD202" i="3"/>
  <c r="AD523" i="3"/>
  <c r="AD450" i="3"/>
  <c r="AD873" i="3"/>
  <c r="AD101" i="3"/>
  <c r="AD708" i="3"/>
  <c r="AD563" i="3"/>
  <c r="AD660" i="3"/>
  <c r="AD522" i="3"/>
  <c r="AD738" i="3"/>
  <c r="AD462" i="3"/>
  <c r="AD766" i="3"/>
  <c r="AD574" i="3"/>
  <c r="AD258" i="3"/>
  <c r="AD804" i="3"/>
  <c r="AD696" i="3"/>
  <c r="AD698" i="3"/>
  <c r="AD470" i="3"/>
  <c r="AD668" i="3"/>
  <c r="AD190" i="3"/>
  <c r="AD633" i="3"/>
  <c r="AD130" i="3"/>
  <c r="AD47" i="3"/>
  <c r="AD578" i="3"/>
  <c r="AD393" i="3"/>
  <c r="AD110" i="3"/>
  <c r="AD234" i="3"/>
  <c r="AD126" i="3"/>
  <c r="AD96" i="3"/>
  <c r="AD286" i="3"/>
  <c r="AD736" i="3"/>
  <c r="AD220" i="3"/>
  <c r="AD338" i="3"/>
  <c r="AD334" i="3"/>
  <c r="AD295" i="3"/>
  <c r="AD536" i="3"/>
  <c r="AD554" i="3"/>
  <c r="AD699" i="3"/>
  <c r="AD345" i="3"/>
  <c r="AD235" i="3"/>
  <c r="AD194" i="3"/>
  <c r="AD828" i="3"/>
  <c r="AD270" i="3"/>
  <c r="AD206" i="3"/>
  <c r="AD136" i="3"/>
  <c r="AD60" i="3"/>
  <c r="AD20" i="3"/>
  <c r="AD49" i="3"/>
  <c r="AD489" i="3"/>
  <c r="AD605" i="3"/>
  <c r="AD622" i="3"/>
  <c r="AD325" i="3"/>
  <c r="AD84" i="3"/>
  <c r="AD251" i="3"/>
  <c r="AD379" i="3"/>
  <c r="AD613" i="3"/>
  <c r="AD231" i="3"/>
  <c r="AD648" i="3"/>
  <c r="AD652" i="3"/>
  <c r="AD269" i="3"/>
  <c r="AD662" i="3"/>
  <c r="AD314" i="3"/>
  <c r="AD264" i="3"/>
  <c r="AD581" i="3"/>
  <c r="AD205" i="3"/>
  <c r="AD890" i="3"/>
  <c r="AD685" i="3"/>
  <c r="AD168" i="3"/>
  <c r="AD237" i="3"/>
  <c r="AD762" i="3"/>
  <c r="AD218" i="3"/>
  <c r="AD787" i="3"/>
  <c r="AD832" i="3"/>
  <c r="AD342" i="3"/>
  <c r="AD807" i="3"/>
  <c r="AD568" i="3"/>
  <c r="AD669" i="3"/>
  <c r="AD412" i="3"/>
  <c r="AD640" i="3"/>
  <c r="AD214" i="3"/>
  <c r="AD790" i="3"/>
  <c r="AD697" i="3"/>
  <c r="AD823" i="3"/>
  <c r="AD868" i="3"/>
  <c r="AD656" i="3"/>
  <c r="AD606" i="3"/>
  <c r="AD728" i="3"/>
  <c r="AD557" i="3"/>
  <c r="AD636" i="3"/>
  <c r="AD155" i="3"/>
  <c r="AD303" i="3"/>
  <c r="AD887" i="3"/>
  <c r="AD711" i="3"/>
  <c r="AD169" i="3"/>
  <c r="AD14" i="3"/>
  <c r="AD222" i="3"/>
  <c r="AD401" i="3"/>
  <c r="AD396" i="3"/>
  <c r="AD320" i="3"/>
  <c r="AD439" i="3"/>
  <c r="AD575" i="3"/>
  <c r="AD614" i="3"/>
  <c r="AD135" i="3"/>
  <c r="AD848" i="3"/>
  <c r="AD491" i="3"/>
  <c r="AD718" i="3"/>
  <c r="AD780" i="3"/>
  <c r="AD629" i="3"/>
  <c r="AD363" i="3"/>
  <c r="AD216" i="3"/>
  <c r="AD463" i="3"/>
  <c r="AD302" i="3"/>
  <c r="AD353" i="3"/>
  <c r="AD376" i="3"/>
  <c r="AD847" i="3"/>
  <c r="AD385" i="3"/>
  <c r="AD435" i="3"/>
  <c r="AD188" i="3"/>
  <c r="AD165" i="3"/>
  <c r="AD793" i="3"/>
  <c r="AD333" i="3"/>
  <c r="AD731" i="3"/>
  <c r="AD429" i="3"/>
  <c r="AD468" i="3"/>
  <c r="AD788" i="3"/>
  <c r="AD649" i="3"/>
  <c r="AD416" i="3"/>
  <c r="AD34" i="3"/>
  <c r="AD209" i="3"/>
  <c r="AD546" i="3"/>
  <c r="AD757" i="3"/>
  <c r="AD322" i="3"/>
  <c r="AD638" i="3"/>
  <c r="AD842" i="3"/>
  <c r="AD843" i="3"/>
  <c r="AD744" i="3"/>
  <c r="AD507" i="3"/>
  <c r="AD185" i="3"/>
  <c r="AD628" i="3"/>
  <c r="AD782" i="3"/>
  <c r="AD45" i="3"/>
  <c r="AD16" i="3"/>
  <c r="AD562" i="3"/>
  <c r="AD607" i="3"/>
  <c r="AD50" i="3"/>
  <c r="AD813" i="3"/>
  <c r="AD394" i="3"/>
  <c r="AD839" i="3"/>
  <c r="AD559" i="3"/>
  <c r="AD821" i="3"/>
  <c r="AD124" i="3"/>
  <c r="AD240" i="3"/>
  <c r="AD293" i="3"/>
  <c r="AD346" i="3"/>
  <c r="AD733" i="3"/>
  <c r="AD127" i="3"/>
  <c r="AD533" i="3"/>
  <c r="AD679" i="3"/>
  <c r="AD225" i="3"/>
  <c r="AD756" i="3"/>
  <c r="AD723" i="3"/>
  <c r="AD477" i="3"/>
  <c r="AD763" i="3"/>
  <c r="AD195" i="3"/>
  <c r="AD609" i="3"/>
  <c r="AD337" i="3"/>
  <c r="AD248" i="3"/>
  <c r="AD806" i="3"/>
  <c r="AD115" i="3"/>
  <c r="AD774" i="3"/>
  <c r="AD26" i="3"/>
  <c r="AD414" i="3"/>
  <c r="AD583" i="3"/>
  <c r="AD428" i="3"/>
  <c r="AD511" i="3"/>
  <c r="AD525" i="3"/>
  <c r="AD170" i="3"/>
  <c r="AD86" i="3"/>
  <c r="AD433" i="3"/>
  <c r="AD667" i="3"/>
  <c r="AD132" i="3"/>
  <c r="AD776" i="3"/>
  <c r="AD632" i="3"/>
  <c r="AD177" i="3"/>
  <c r="AD443" i="3"/>
  <c r="AD692" i="3"/>
  <c r="AD655" i="3"/>
  <c r="AD430" i="3"/>
  <c r="AD590" i="3"/>
  <c r="AD438" i="3"/>
  <c r="AD509" i="3"/>
  <c r="AD208" i="3"/>
  <c r="AD779" i="3"/>
  <c r="AD818" i="3"/>
  <c r="AD560" i="3"/>
  <c r="AD329" i="3"/>
  <c r="AD822" i="3"/>
  <c r="AD841" i="3"/>
  <c r="AD705" i="3"/>
  <c r="AD534" i="3"/>
  <c r="AD395" i="3"/>
  <c r="AD516" i="3"/>
  <c r="AD166" i="3"/>
  <c r="AD616" i="3"/>
  <c r="AD321" i="3"/>
  <c r="AD482" i="3"/>
  <c r="AD851" i="3"/>
  <c r="AD283" i="3"/>
  <c r="AD754" i="3"/>
  <c r="AD817" i="3"/>
  <c r="AD645" i="3"/>
  <c r="AD814" i="3"/>
  <c r="AD93" i="3"/>
  <c r="AD771" i="3"/>
  <c r="AD682" i="3"/>
  <c r="AD356" i="3"/>
  <c r="AD579" i="3"/>
  <c r="AD57" i="3"/>
  <c r="AD421" i="3"/>
  <c r="AD565" i="3"/>
  <c r="AD400" i="3"/>
  <c r="AD644" i="3"/>
  <c r="AD311" i="3"/>
  <c r="AD642" i="3"/>
  <c r="AD501" i="3"/>
  <c r="AD422" i="3"/>
  <c r="AD845" i="3"/>
  <c r="AD357" i="3"/>
  <c r="AD702" i="3"/>
  <c r="AD881" i="3"/>
  <c r="AD161" i="3"/>
  <c r="AD717" i="3"/>
  <c r="AD232" i="3"/>
  <c r="AD348" i="3"/>
  <c r="AD19" i="3"/>
  <c r="AD6" i="3"/>
  <c r="AD277" i="3"/>
  <c r="AD420" i="3"/>
  <c r="AD67" i="3"/>
  <c r="AD191" i="3"/>
  <c r="AD826" i="3"/>
  <c r="AD674" i="3"/>
  <c r="AD498" i="3"/>
  <c r="AD94" i="3"/>
  <c r="AD162" i="3"/>
  <c r="AD79" i="3"/>
  <c r="AD383" i="3"/>
  <c r="AD406" i="3"/>
  <c r="AD164" i="3"/>
  <c r="AD457" i="3"/>
  <c r="AD17" i="3"/>
  <c r="AD236" i="3"/>
  <c r="AD611" i="3"/>
  <c r="AD812" i="3"/>
  <c r="AD29" i="3"/>
  <c r="AD375" i="3"/>
  <c r="AD418" i="3"/>
  <c r="AD835" i="3"/>
  <c r="AD506" i="3"/>
  <c r="AD850" i="3"/>
  <c r="AD552" i="3"/>
  <c r="AD884" i="3"/>
  <c r="AD875" i="3"/>
  <c r="AD789" i="3"/>
  <c r="AD243" i="3"/>
  <c r="AD242" i="3"/>
  <c r="AD872" i="3"/>
  <c r="AD615" i="3"/>
  <c r="AD372" i="3"/>
  <c r="AD700" i="3"/>
  <c r="AD772" i="3"/>
  <c r="AD864" i="3"/>
  <c r="AD369" i="3"/>
  <c r="AD378" i="3"/>
  <c r="AD239" i="3"/>
  <c r="AD678" i="3"/>
  <c r="AD397" i="3"/>
  <c r="AD472" i="3"/>
  <c r="AD617" i="3"/>
  <c r="AD197" i="3"/>
  <c r="AD381" i="3"/>
  <c r="AD298" i="3"/>
  <c r="AD390" i="3"/>
  <c r="AD419" i="3"/>
  <c r="AD465" i="3"/>
  <c r="AD137" i="3"/>
  <c r="AD129" i="3"/>
  <c r="AD44" i="3"/>
  <c r="AD796" i="3"/>
  <c r="AD854" i="3"/>
  <c r="AD555" i="3"/>
  <c r="AD365" i="3"/>
  <c r="AD646" i="3"/>
  <c r="AD584" i="3"/>
  <c r="R5" i="8"/>
  <c r="W5" i="8" s="1"/>
  <c r="W16" i="8"/>
  <c r="W10" i="8"/>
  <c r="W6" i="8"/>
  <c r="W12" i="8"/>
  <c r="W15" i="8"/>
  <c r="W9" i="8"/>
  <c r="W19" i="8"/>
  <c r="W8" i="8"/>
  <c r="W11" i="8"/>
  <c r="W14" i="8"/>
  <c r="W7" i="8"/>
  <c r="W18" i="8"/>
  <c r="W17" i="8"/>
  <c r="W20" i="8"/>
  <c r="W13" i="8"/>
  <c r="R281" i="3" l="1"/>
  <c r="R13" i="3"/>
  <c r="R364" i="3"/>
  <c r="R676" i="3"/>
  <c r="R597" i="3"/>
  <c r="R30" i="3"/>
  <c r="R694" i="3"/>
  <c r="R882" i="3"/>
  <c r="R354" i="3"/>
  <c r="R707" i="3"/>
  <c r="R449" i="3"/>
  <c r="R503" i="3"/>
  <c r="R227" i="3"/>
  <c r="C8" i="10"/>
  <c r="R307" i="3"/>
  <c r="R500" i="3"/>
  <c r="R600" i="3"/>
  <c r="R306" i="3"/>
  <c r="R544" i="3"/>
  <c r="R328" i="3"/>
  <c r="R64" i="3"/>
  <c r="R424" i="3"/>
  <c r="R288" i="3"/>
  <c r="R566" i="3"/>
  <c r="R28" i="3"/>
  <c r="R661" i="3"/>
  <c r="R765" i="3"/>
  <c r="R410" i="3"/>
  <c r="R133" i="3"/>
  <c r="R181" i="3"/>
  <c r="R543" i="3"/>
  <c r="R444" i="3"/>
  <c r="R752" i="3"/>
  <c r="R586" i="3"/>
  <c r="R332" i="3"/>
  <c r="R427" i="3"/>
  <c r="R51" i="3"/>
  <c r="R350" i="3"/>
  <c r="R108" i="3"/>
  <c r="R122" i="3"/>
  <c r="R81" i="3"/>
  <c r="R310" i="3"/>
  <c r="R279" i="3"/>
  <c r="R423" i="3"/>
  <c r="R624" i="3"/>
  <c r="R384" i="3"/>
  <c r="R192" i="3"/>
  <c r="R487" i="3"/>
  <c r="R816" i="3"/>
  <c r="R573" i="3"/>
  <c r="R176" i="3"/>
  <c r="R287" i="3"/>
  <c r="R497" i="3"/>
  <c r="R768" i="3"/>
  <c r="R466" i="3"/>
  <c r="R308" i="3"/>
  <c r="R755" i="3"/>
  <c r="R362" i="3"/>
  <c r="R217" i="3"/>
  <c r="R596" i="3"/>
  <c r="R392" i="3"/>
  <c r="R495" i="3"/>
  <c r="R846" i="3"/>
  <c r="R441" i="3"/>
  <c r="R524" i="3"/>
  <c r="R95" i="3"/>
  <c r="R78" i="3"/>
  <c r="R519" i="3"/>
  <c r="R278" i="3"/>
  <c r="R301" i="3"/>
  <c r="R448" i="3"/>
  <c r="R131" i="3"/>
  <c r="R518" i="3"/>
  <c r="R274" i="3"/>
  <c r="R877" i="3"/>
  <c r="I13" i="11"/>
  <c r="R558" i="3"/>
  <c r="R233" i="3"/>
  <c r="R74" i="3"/>
  <c r="R46" i="3"/>
  <c r="I8" i="11"/>
  <c r="I11" i="11"/>
  <c r="I9" i="11"/>
  <c r="I10" i="11"/>
  <c r="I12" i="11"/>
  <c r="F13" i="10"/>
  <c r="F25" i="10"/>
  <c r="F12" i="10"/>
  <c r="C12" i="10"/>
  <c r="F6" i="10"/>
  <c r="F5" i="10"/>
  <c r="F11" i="10"/>
  <c r="F28" i="10"/>
  <c r="F14" i="10"/>
  <c r="F22" i="10"/>
  <c r="C15" i="10"/>
  <c r="D25" i="10"/>
  <c r="G25" i="10" s="1"/>
  <c r="C4" i="10"/>
  <c r="C16" i="10"/>
  <c r="C26" i="10"/>
  <c r="C28" i="10"/>
  <c r="C20" i="10"/>
  <c r="C13" i="10"/>
  <c r="C25" i="10"/>
  <c r="C9" i="10"/>
  <c r="D23" i="10"/>
  <c r="D11" i="10"/>
  <c r="G11" i="10" s="1"/>
  <c r="C27" i="10"/>
  <c r="C6" i="10"/>
  <c r="C5" i="10"/>
  <c r="C11" i="10"/>
  <c r="C19" i="10"/>
  <c r="C24" i="10"/>
  <c r="C21" i="10"/>
  <c r="C14" i="10"/>
  <c r="C10" i="10"/>
  <c r="C7" i="10"/>
  <c r="C23" i="10"/>
  <c r="C17" i="10"/>
  <c r="C3" i="10"/>
  <c r="C18" i="10"/>
  <c r="C22" i="10"/>
  <c r="R468" i="3"/>
  <c r="R719" i="3"/>
  <c r="R680" i="3"/>
  <c r="R501" i="3"/>
  <c r="R476" i="3"/>
  <c r="R602" i="3"/>
  <c r="R559" i="3"/>
  <c r="R799" i="3"/>
  <c r="R850" i="3"/>
  <c r="R737" i="3"/>
  <c r="R773" i="3"/>
  <c r="R590" i="3"/>
  <c r="R801" i="3"/>
  <c r="R178" i="3"/>
  <c r="R782" i="3"/>
  <c r="R612" i="3"/>
  <c r="R731" i="3"/>
  <c r="R717" i="3"/>
  <c r="R285" i="3"/>
  <c r="R592" i="3"/>
  <c r="R117" i="3"/>
  <c r="R498" i="3"/>
  <c r="R529" i="3"/>
  <c r="R395" i="3"/>
  <c r="R629" i="3"/>
  <c r="R704" i="3"/>
  <c r="R787" i="3"/>
  <c r="R691" i="3"/>
  <c r="R814" i="3"/>
  <c r="R746" i="3"/>
  <c r="R436" i="3"/>
  <c r="R347" i="3"/>
  <c r="R748" i="3"/>
  <c r="R605" i="3"/>
  <c r="R708" i="3"/>
  <c r="R678" i="3"/>
  <c r="R365" i="3"/>
  <c r="R75" i="3"/>
  <c r="R741" i="3"/>
  <c r="R16" i="3"/>
  <c r="R493" i="3"/>
  <c r="R371" i="3"/>
  <c r="R552" i="3"/>
  <c r="R123" i="3"/>
  <c r="R434" i="3"/>
  <c r="R420" i="3"/>
  <c r="R435" i="3"/>
  <c r="R263" i="3"/>
  <c r="R766" i="3"/>
  <c r="R373" i="3"/>
  <c r="R615" i="3"/>
  <c r="R777" i="3"/>
  <c r="R220" i="3"/>
  <c r="R696" i="3"/>
  <c r="R469" i="3"/>
  <c r="R450" i="3"/>
  <c r="R459" i="3"/>
  <c r="R414" i="3"/>
  <c r="R351" i="3"/>
  <c r="R550" i="3"/>
  <c r="R514" i="3"/>
  <c r="R582" i="3"/>
  <c r="R643" i="3"/>
  <c r="R599" i="3"/>
  <c r="R628" i="3"/>
  <c r="R587" i="3"/>
  <c r="R433" i="3"/>
  <c r="R33" i="3"/>
  <c r="R716" i="3"/>
  <c r="R381" i="3"/>
  <c r="R701" i="3"/>
  <c r="R170" i="3"/>
  <c r="R421" i="3"/>
  <c r="R854" i="3"/>
  <c r="R637" i="3"/>
  <c r="R311" i="3"/>
  <c r="R483" i="3"/>
  <c r="R15" i="3"/>
  <c r="R635" i="3"/>
  <c r="R568" i="3"/>
  <c r="R713" i="3"/>
  <c r="R699" i="3"/>
  <c r="R771" i="3"/>
  <c r="R379" i="3"/>
  <c r="R475" i="3"/>
  <c r="R115" i="3"/>
  <c r="R404" i="3"/>
  <c r="R515" i="3"/>
  <c r="R788" i="3"/>
  <c r="R714" i="3"/>
  <c r="R785" i="3"/>
  <c r="R603" i="3"/>
  <c r="R386" i="3"/>
  <c r="R484" i="3"/>
  <c r="R486" i="3"/>
  <c r="R479" i="3"/>
  <c r="R129" i="3"/>
  <c r="R726" i="3"/>
  <c r="R639" i="3"/>
  <c r="R652" i="3"/>
  <c r="R521" i="3"/>
  <c r="R645" i="3"/>
  <c r="R94" i="3"/>
  <c r="R856" i="3"/>
  <c r="R820" i="3"/>
  <c r="R842" i="3"/>
  <c r="R845" i="3"/>
  <c r="R614" i="3"/>
  <c r="R502" i="3"/>
  <c r="R248" i="3"/>
  <c r="R802" i="3"/>
  <c r="R180" i="3"/>
  <c r="R412" i="3"/>
  <c r="R343" i="3"/>
  <c r="R595" i="3"/>
  <c r="R797" i="3"/>
  <c r="R385" i="3"/>
  <c r="R640" i="3"/>
  <c r="R812" i="3"/>
  <c r="R333" i="3"/>
  <c r="R516" i="3"/>
  <c r="R76" i="3"/>
  <c r="R242" i="3"/>
  <c r="R823" i="3"/>
  <c r="R60" i="3"/>
  <c r="R575" i="3"/>
  <c r="R389" i="3"/>
  <c r="R613" i="3"/>
  <c r="R883" i="3"/>
  <c r="R762" i="3"/>
  <c r="R376" i="3"/>
  <c r="R780" i="3"/>
  <c r="R470" i="3"/>
  <c r="R836" i="3"/>
  <c r="R690" i="3"/>
  <c r="R634" i="3"/>
  <c r="R211" i="3"/>
  <c r="I7" i="11"/>
  <c r="R574" i="3"/>
  <c r="I5" i="11"/>
  <c r="I6" i="11"/>
  <c r="R554" i="3"/>
  <c r="R458" i="3"/>
  <c r="I4" i="11"/>
  <c r="R790" i="3"/>
  <c r="H6" i="11"/>
  <c r="R538" i="3"/>
  <c r="AR165" i="2"/>
  <c r="AR458" i="2"/>
  <c r="AR161" i="2"/>
  <c r="AR132" i="2"/>
  <c r="AR88" i="2"/>
  <c r="AR339" i="2"/>
  <c r="AR385" i="2"/>
  <c r="R724" i="3" s="1"/>
  <c r="AR328" i="2"/>
  <c r="R344" i="3" s="1"/>
  <c r="AR136" i="2"/>
  <c r="AR226" i="2"/>
  <c r="AR448" i="2"/>
  <c r="R875" i="3" s="1"/>
  <c r="AR445" i="2"/>
  <c r="AR57" i="2"/>
  <c r="AR457" i="2"/>
  <c r="AR313" i="2"/>
  <c r="R280" i="3" s="1"/>
  <c r="AR80" i="2"/>
  <c r="AR36" i="2"/>
  <c r="AR19" i="2"/>
  <c r="R8" i="3" s="1"/>
  <c r="AR214" i="2"/>
  <c r="AR420" i="2"/>
  <c r="BA21" i="1"/>
  <c r="BA414" i="1"/>
  <c r="R338" i="3" s="1"/>
  <c r="AR367" i="2"/>
  <c r="R853" i="3" s="1"/>
  <c r="AR102" i="2"/>
  <c r="R611" i="3" s="1"/>
  <c r="AR202" i="2"/>
  <c r="AR241" i="2"/>
  <c r="R732" i="3" s="1"/>
  <c r="AR26" i="2"/>
  <c r="AR78" i="2"/>
  <c r="R527" i="3" s="1"/>
  <c r="AR155" i="2"/>
  <c r="AR110" i="2"/>
  <c r="R324" i="3"/>
  <c r="AR345" i="2"/>
  <c r="R821" i="3" s="1"/>
  <c r="AR436" i="2"/>
  <c r="R593" i="3" s="1"/>
  <c r="AR83" i="2"/>
  <c r="AR376" i="2"/>
  <c r="R451" i="3" s="1"/>
  <c r="AR45" i="2"/>
  <c r="AR272" i="2"/>
  <c r="AR279" i="2"/>
  <c r="AR409" i="2"/>
  <c r="AR325" i="2"/>
  <c r="AR300" i="2"/>
  <c r="H12" i="11" s="1"/>
  <c r="AR284" i="2"/>
  <c r="AR310" i="2"/>
  <c r="R390" i="3" s="1"/>
  <c r="AR401" i="2"/>
  <c r="AR197" i="2"/>
  <c r="AR269" i="2"/>
  <c r="R175" i="3" s="1"/>
  <c r="AR371" i="2"/>
  <c r="AR23" i="2"/>
  <c r="AR238" i="2"/>
  <c r="AR77" i="2"/>
  <c r="AR62" i="2"/>
  <c r="AR341" i="2"/>
  <c r="AR388" i="2"/>
  <c r="AR193" i="2"/>
  <c r="AR16" i="2"/>
  <c r="AR178" i="2"/>
  <c r="AR433" i="2"/>
  <c r="AR417" i="2"/>
  <c r="AR24" i="2"/>
  <c r="AR331" i="2"/>
  <c r="AR229" i="2"/>
  <c r="R620" i="3" s="1"/>
  <c r="AR324" i="2"/>
  <c r="R45" i="3"/>
  <c r="AR454" i="2"/>
  <c r="AR113" i="2"/>
  <c r="R246" i="3" s="1"/>
  <c r="AR99" i="2"/>
  <c r="AR35" i="2"/>
  <c r="R656" i="3" s="1"/>
  <c r="AR227" i="2"/>
  <c r="R283" i="3" s="1"/>
  <c r="AR200" i="2"/>
  <c r="AR54" i="2"/>
  <c r="AR168" i="2"/>
  <c r="AR374" i="2"/>
  <c r="R712" i="3" s="1"/>
  <c r="AR137" i="2"/>
  <c r="AR274" i="2"/>
  <c r="AR244" i="2"/>
  <c r="R456" i="3" s="1"/>
  <c r="AR304" i="2"/>
  <c r="AR245" i="2"/>
  <c r="AR280" i="2"/>
  <c r="R806" i="3" s="1"/>
  <c r="AR224" i="2"/>
  <c r="AR21" i="2"/>
  <c r="R35" i="3" s="1"/>
  <c r="AR223" i="2"/>
  <c r="AR351" i="2"/>
  <c r="AR172" i="2"/>
  <c r="AR213" i="2"/>
  <c r="R625" i="3" s="1"/>
  <c r="AR125" i="2"/>
  <c r="R210" i="3" s="1"/>
  <c r="AR98" i="2"/>
  <c r="AR282" i="2"/>
  <c r="AR278" i="2"/>
  <c r="R269" i="3" s="1"/>
  <c r="AR375" i="2"/>
  <c r="AR95" i="2"/>
  <c r="AR268" i="2"/>
  <c r="R664" i="3" s="1"/>
  <c r="AR451" i="2"/>
  <c r="AR248" i="2"/>
  <c r="R275" i="3" s="1"/>
  <c r="AR230" i="2"/>
  <c r="AR143" i="2"/>
  <c r="AR75" i="2"/>
  <c r="AR275" i="2"/>
  <c r="R767" i="3" s="1"/>
  <c r="AR373" i="2"/>
  <c r="R530" i="3" s="1"/>
  <c r="AR30" i="2"/>
  <c r="AR425" i="2"/>
  <c r="AR108" i="2"/>
  <c r="R267" i="3" s="1"/>
  <c r="AR151" i="2"/>
  <c r="AR8" i="2"/>
  <c r="R10" i="3" s="1"/>
  <c r="AR253" i="2"/>
  <c r="R672" i="3" s="1"/>
  <c r="AR71" i="2"/>
  <c r="AR393" i="2"/>
  <c r="AR438" i="2"/>
  <c r="AR120" i="2"/>
  <c r="AR154" i="2"/>
  <c r="AR33" i="2"/>
  <c r="AR353" i="2"/>
  <c r="AR427" i="2"/>
  <c r="AR247" i="2"/>
  <c r="AR354" i="2"/>
  <c r="AR115" i="2"/>
  <c r="AR74" i="2"/>
  <c r="AR119" i="2"/>
  <c r="R667" i="3" s="1"/>
  <c r="AR5" i="2"/>
  <c r="AR123" i="2"/>
  <c r="R205" i="3" s="1"/>
  <c r="R251" i="3"/>
  <c r="AR405" i="2"/>
  <c r="R110" i="3" s="1"/>
  <c r="AR134" i="2"/>
  <c r="R429" i="3" s="1"/>
  <c r="AR370" i="2"/>
  <c r="R682" i="3" s="1"/>
  <c r="AR41" i="2"/>
  <c r="AR294" i="2"/>
  <c r="R874" i="3" s="1"/>
  <c r="AR364" i="2"/>
  <c r="AR10" i="2"/>
  <c r="AR182" i="2"/>
  <c r="AR221" i="2"/>
  <c r="AR86" i="2"/>
  <c r="AR44" i="2"/>
  <c r="AR265" i="2"/>
  <c r="AR91" i="2"/>
  <c r="R793" i="3" s="1"/>
  <c r="AR81" i="2"/>
  <c r="AR415" i="2"/>
  <c r="AR337" i="2"/>
  <c r="AR261" i="2"/>
  <c r="R804" i="3" s="1"/>
  <c r="AR11" i="2"/>
  <c r="AR141" i="2"/>
  <c r="AR440" i="2"/>
  <c r="R532" i="3" s="1"/>
  <c r="AR179" i="2"/>
  <c r="R66" i="3" s="1"/>
  <c r="AR236" i="2"/>
  <c r="AR27" i="2"/>
  <c r="AR66" i="2"/>
  <c r="R126" i="3" s="1"/>
  <c r="AR52" i="2"/>
  <c r="R98" i="3" s="1"/>
  <c r="AR118" i="2"/>
  <c r="AR106" i="2"/>
  <c r="AR139" i="2"/>
  <c r="AR240" i="2"/>
  <c r="AR301" i="2"/>
  <c r="AR421" i="2"/>
  <c r="R564" i="3" s="1"/>
  <c r="AR317" i="2"/>
  <c r="AR69" i="2"/>
  <c r="AR314" i="2"/>
  <c r="AR207" i="2"/>
  <c r="AR333" i="2"/>
  <c r="AR309" i="2"/>
  <c r="AR430" i="2"/>
  <c r="R693" i="3" s="1"/>
  <c r="AR263" i="2"/>
  <c r="R157" i="3"/>
  <c r="AR117" i="2"/>
  <c r="R193" i="3" s="1"/>
  <c r="AR171" i="2"/>
  <c r="R617" i="3" s="1"/>
  <c r="AR38" i="2"/>
  <c r="AR296" i="2"/>
  <c r="AR441" i="2"/>
  <c r="R173" i="3"/>
  <c r="R52" i="3"/>
  <c r="AR349" i="2"/>
  <c r="AR109" i="2"/>
  <c r="AR174" i="2"/>
  <c r="R264" i="3" s="1"/>
  <c r="AR37" i="2"/>
  <c r="R228" i="3" s="1"/>
  <c r="AR58" i="2"/>
  <c r="H4" i="11" s="1"/>
  <c r="AR398" i="2"/>
  <c r="R540" i="3" s="1"/>
  <c r="AR222" i="2"/>
  <c r="AR307" i="2"/>
  <c r="AR366" i="2"/>
  <c r="AR408" i="2"/>
  <c r="AR103" i="2"/>
  <c r="AR177" i="2"/>
  <c r="R397" i="3" s="1"/>
  <c r="AR225" i="2"/>
  <c r="R761" i="3" s="1"/>
  <c r="AR365" i="2"/>
  <c r="R710" i="3" s="1"/>
  <c r="AR148" i="2"/>
  <c r="AR208" i="2"/>
  <c r="AR431" i="2"/>
  <c r="AR360" i="2"/>
  <c r="R810" i="3" s="1"/>
  <c r="AR386" i="2"/>
  <c r="R266" i="3" s="1"/>
  <c r="AR384" i="2"/>
  <c r="AR60" i="2"/>
  <c r="AR347" i="2"/>
  <c r="AR12" i="2"/>
  <c r="AR85" i="2"/>
  <c r="R309" i="3" s="1"/>
  <c r="AR424" i="2"/>
  <c r="R867" i="3" s="1"/>
  <c r="AR276" i="2"/>
  <c r="AR18" i="2"/>
  <c r="AR306" i="2"/>
  <c r="R431" i="3" s="1"/>
  <c r="AR428" i="2"/>
  <c r="AR124" i="2"/>
  <c r="AR413" i="2"/>
  <c r="R778" i="3" s="1"/>
  <c r="AR167" i="2"/>
  <c r="AR412" i="2"/>
  <c r="AR322" i="2"/>
  <c r="AR199" i="2"/>
  <c r="AR84" i="2"/>
  <c r="AR432" i="2"/>
  <c r="AR299" i="2"/>
  <c r="R849" i="3" s="1"/>
  <c r="AR188" i="2"/>
  <c r="AR242" i="2"/>
  <c r="AR145" i="2"/>
  <c r="AR181" i="2"/>
  <c r="R837" i="3" s="1"/>
  <c r="AR126" i="2"/>
  <c r="AR92" i="2"/>
  <c r="AR400" i="2"/>
  <c r="AR243" i="2"/>
  <c r="R651" i="3" s="1"/>
  <c r="AR107" i="2"/>
  <c r="AR303" i="2"/>
  <c r="R116" i="3" s="1"/>
  <c r="AR336" i="2"/>
  <c r="AR444" i="2"/>
  <c r="R626" i="3" s="1"/>
  <c r="AR59" i="2"/>
  <c r="AR87" i="2"/>
  <c r="AR334" i="2"/>
  <c r="AR79" i="2"/>
  <c r="R452" i="3" s="1"/>
  <c r="AR397" i="2"/>
  <c r="AR31" i="2"/>
  <c r="AR190" i="2"/>
  <c r="AR122" i="2"/>
  <c r="AR391" i="2"/>
  <c r="R391" i="3" s="1"/>
  <c r="AR147" i="2"/>
  <c r="AR379" i="2"/>
  <c r="AR146" i="2"/>
  <c r="AR67" i="2"/>
  <c r="AR311" i="2"/>
  <c r="R394" i="3" s="1"/>
  <c r="AR340" i="2"/>
  <c r="R687" i="3" s="1"/>
  <c r="AR327" i="2"/>
  <c r="AR416" i="2"/>
  <c r="AR82" i="2"/>
  <c r="AR319" i="2"/>
  <c r="AR235" i="2"/>
  <c r="AR64" i="2"/>
  <c r="R124" i="3" s="1"/>
  <c r="AR312" i="2"/>
  <c r="AR344" i="2"/>
  <c r="AR257" i="2"/>
  <c r="AR335" i="2"/>
  <c r="R407" i="3" s="1"/>
  <c r="AR114" i="2"/>
  <c r="AR104" i="2"/>
  <c r="AR350" i="2"/>
  <c r="AR254" i="2"/>
  <c r="R665" i="3" s="1"/>
  <c r="AR402" i="2"/>
  <c r="AR183" i="2"/>
  <c r="R409" i="3" s="1"/>
  <c r="AR285" i="2"/>
  <c r="H10" i="11" s="1"/>
  <c r="AR394" i="2"/>
  <c r="AR192" i="2"/>
  <c r="R440" i="3" s="1"/>
  <c r="AR332" i="2"/>
  <c r="R657" i="3" s="1"/>
  <c r="AR180" i="2"/>
  <c r="AR209" i="2"/>
  <c r="AR13" i="2"/>
  <c r="AR369" i="2"/>
  <c r="AR239" i="2"/>
  <c r="AR308" i="2"/>
  <c r="AR93" i="2"/>
  <c r="R272" i="3" s="1"/>
  <c r="AR173" i="2"/>
  <c r="AR455" i="2"/>
  <c r="AR158" i="2"/>
  <c r="AR198" i="2"/>
  <c r="R305" i="3"/>
  <c r="AR378" i="2"/>
  <c r="AR377" i="2"/>
  <c r="AR342" i="2"/>
  <c r="AR426" i="2"/>
  <c r="R490" i="3" s="1"/>
  <c r="AR255" i="2"/>
  <c r="R567" i="3" s="1"/>
  <c r="AR140" i="2"/>
  <c r="AR346" i="2"/>
  <c r="R523" i="3" s="1"/>
  <c r="AR100" i="2"/>
  <c r="AR246" i="2"/>
  <c r="AR65" i="2"/>
  <c r="AR368" i="2"/>
  <c r="AR55" i="2"/>
  <c r="R11" i="3" s="1"/>
  <c r="AR237" i="2"/>
  <c r="R93" i="3" s="1"/>
  <c r="AR286" i="2"/>
  <c r="R623" i="3" s="1"/>
  <c r="AR25" i="2"/>
  <c r="AR163" i="2"/>
  <c r="AR343" i="2"/>
  <c r="AR211" i="2"/>
  <c r="R20" i="3" s="1"/>
  <c r="AR128" i="2"/>
  <c r="AR184" i="2"/>
  <c r="AR96" i="2"/>
  <c r="R443" i="3" s="1"/>
  <c r="AR442" i="2"/>
  <c r="R130" i="3" s="1"/>
  <c r="AR176" i="2"/>
  <c r="AR305" i="2"/>
  <c r="AR291" i="2"/>
  <c r="R829" i="3" s="1"/>
  <c r="AR204" i="2"/>
  <c r="AR381" i="2"/>
  <c r="R588" i="3" s="1"/>
  <c r="AR456" i="2"/>
  <c r="R102" i="3" s="1"/>
  <c r="AR40" i="2"/>
  <c r="R80" i="3" s="1"/>
  <c r="AR418" i="2"/>
  <c r="R334" i="3" s="1"/>
  <c r="AR264" i="2"/>
  <c r="AR251" i="2"/>
  <c r="AR321" i="2"/>
  <c r="R537" i="3" s="1"/>
  <c r="AR380" i="2"/>
  <c r="AR68" i="2"/>
  <c r="AR121" i="2"/>
  <c r="AR323" i="2"/>
  <c r="AR316" i="2"/>
  <c r="AR73" i="2"/>
  <c r="AR419" i="2"/>
  <c r="AR130" i="2"/>
  <c r="R224" i="3" s="1"/>
  <c r="AR357" i="2"/>
  <c r="AR449" i="2"/>
  <c r="R876" i="3" s="1"/>
  <c r="R396" i="3"/>
  <c r="AR266" i="2"/>
  <c r="R291" i="3"/>
  <c r="AR452" i="2"/>
  <c r="AR142" i="2"/>
  <c r="R805" i="3" s="1"/>
  <c r="AR6" i="2"/>
  <c r="AR159" i="2"/>
  <c r="R29" i="3" s="1"/>
  <c r="AR187" i="2"/>
  <c r="AR116" i="2"/>
  <c r="BA86" i="1"/>
  <c r="R182" i="3" s="1"/>
  <c r="AR404" i="2"/>
  <c r="R840" i="3" s="1"/>
  <c r="AR320" i="2"/>
  <c r="AR217" i="2"/>
  <c r="R417" i="3" s="1"/>
  <c r="AR437" i="2"/>
  <c r="R461" i="3" s="1"/>
  <c r="AR411" i="2"/>
  <c r="AR205" i="2"/>
  <c r="R489" i="3" s="1"/>
  <c r="AR390" i="2"/>
  <c r="AR50" i="2"/>
  <c r="R321" i="3" s="1"/>
  <c r="AR429" i="2"/>
  <c r="AR443" i="2"/>
  <c r="R832" i="3" s="1"/>
  <c r="D5" i="10"/>
  <c r="D13" i="10"/>
  <c r="D27" i="10"/>
  <c r="G27" i="10" s="1"/>
  <c r="D26" i="10"/>
  <c r="G26" i="10" s="1"/>
  <c r="D15" i="10"/>
  <c r="D22" i="10"/>
  <c r="G22" i="10" s="1"/>
  <c r="D10" i="10"/>
  <c r="D6" i="10"/>
  <c r="G6" i="10" s="1"/>
  <c r="D19" i="10"/>
  <c r="D17" i="10"/>
  <c r="D7" i="10"/>
  <c r="D28" i="10"/>
  <c r="D9" i="10"/>
  <c r="D21" i="10"/>
  <c r="D20" i="10"/>
  <c r="D16" i="10"/>
  <c r="D14" i="10"/>
  <c r="D24" i="10"/>
  <c r="D3" i="10"/>
  <c r="G3" i="10" s="1"/>
  <c r="D12" i="10"/>
  <c r="G12" i="10" s="1"/>
  <c r="D18" i="10"/>
  <c r="D4" i="10"/>
  <c r="D8" i="10"/>
  <c r="F19" i="10"/>
  <c r="F10" i="10"/>
  <c r="F24" i="10"/>
  <c r="F21" i="10"/>
  <c r="F20" i="10"/>
  <c r="F15" i="10"/>
  <c r="F7" i="10"/>
  <c r="F23" i="10"/>
  <c r="F16" i="10"/>
  <c r="F8" i="10"/>
  <c r="F18" i="10"/>
  <c r="F9" i="10"/>
  <c r="F4" i="10"/>
  <c r="F26" i="10"/>
  <c r="F17" i="10"/>
  <c r="B29" i="10"/>
  <c r="R265" i="3" l="1"/>
  <c r="R298" i="3"/>
  <c r="R38" i="3"/>
  <c r="R239" i="3"/>
  <c r="R764" i="3"/>
  <c r="R745" i="3"/>
  <c r="R207" i="3"/>
  <c r="R794" i="3"/>
  <c r="R140" i="3"/>
  <c r="R304" i="3"/>
  <c r="R859" i="3"/>
  <c r="R232" i="3"/>
  <c r="R838" i="3"/>
  <c r="R670" i="3"/>
  <c r="R37" i="3"/>
  <c r="R887" i="3"/>
  <c r="R439" i="3"/>
  <c r="R142" i="3"/>
  <c r="R488" i="3"/>
  <c r="R576" i="3"/>
  <c r="R817" i="3"/>
  <c r="R583" i="3"/>
  <c r="R257" i="3"/>
  <c r="R148" i="3"/>
  <c r="R706" i="3"/>
  <c r="R630" i="3"/>
  <c r="R689" i="3"/>
  <c r="R604" i="3"/>
  <c r="R784" i="3"/>
  <c r="R143" i="3"/>
  <c r="R422" i="3"/>
  <c r="R215" i="3"/>
  <c r="R437" i="3"/>
  <c r="R234" i="3"/>
  <c r="R243" i="3"/>
  <c r="R760" i="3"/>
  <c r="R744" i="3"/>
  <c r="R504" i="3"/>
  <c r="R795" i="3"/>
  <c r="R453" i="3"/>
  <c r="R72" i="3"/>
  <c r="R231" i="3"/>
  <c r="R31" i="3"/>
  <c r="R370" i="3"/>
  <c r="R369" i="3"/>
  <c r="R888" i="3"/>
  <c r="R681" i="3"/>
  <c r="R189" i="3"/>
  <c r="R627" i="3"/>
  <c r="R539" i="3"/>
  <c r="R844" i="3"/>
  <c r="R585" i="3"/>
  <c r="R481" i="3"/>
  <c r="R803" i="3"/>
  <c r="R647" i="3"/>
  <c r="R735" i="3"/>
  <c r="R425" i="3"/>
  <c r="R190" i="3"/>
  <c r="R191" i="3"/>
  <c r="R331" i="3"/>
  <c r="R591" i="3"/>
  <c r="R869" i="3"/>
  <c r="R727" i="3"/>
  <c r="R808" i="3"/>
  <c r="R374" i="3"/>
  <c r="R510" i="3"/>
  <c r="R294" i="3"/>
  <c r="R863" i="3"/>
  <c r="R316" i="3"/>
  <c r="R296" i="3"/>
  <c r="R326" i="3"/>
  <c r="R125" i="3"/>
  <c r="R103" i="3"/>
  <c r="R302" i="3"/>
  <c r="R150" i="3"/>
  <c r="R204" i="3"/>
  <c r="R322" i="3"/>
  <c r="R172" i="3"/>
  <c r="R378" i="3"/>
  <c r="J12" i="11"/>
  <c r="R14" i="3"/>
  <c r="R759" i="3"/>
  <c r="R709" i="3"/>
  <c r="R97" i="3"/>
  <c r="R260" i="3"/>
  <c r="R763" i="3"/>
  <c r="R534" i="3"/>
  <c r="R372" i="3"/>
  <c r="R225" i="3"/>
  <c r="R282" i="3"/>
  <c r="R770" i="3"/>
  <c r="R430" i="3"/>
  <c r="R96" i="3"/>
  <c r="R520" i="3"/>
  <c r="R688" i="3"/>
  <c r="R674" i="3"/>
  <c r="R136" i="3"/>
  <c r="R363" i="3"/>
  <c r="R747" i="3"/>
  <c r="R835" i="3"/>
  <c r="R168" i="3"/>
  <c r="R668" i="3"/>
  <c r="R685" i="3"/>
  <c r="R772" i="3"/>
  <c r="R580" i="3"/>
  <c r="R733" i="3"/>
  <c r="R235" i="3"/>
  <c r="R776" i="3"/>
  <c r="R551" i="3"/>
  <c r="R865" i="3"/>
  <c r="R870" i="3"/>
  <c r="R256" i="3"/>
  <c r="R293" i="3"/>
  <c r="R154" i="3"/>
  <c r="R467" i="3"/>
  <c r="R633" i="3"/>
  <c r="R91" i="3"/>
  <c r="R209" i="3"/>
  <c r="R579" i="3"/>
  <c r="R572" i="3"/>
  <c r="R320" i="3"/>
  <c r="R329" i="3"/>
  <c r="R147" i="3"/>
  <c r="R155" i="3"/>
  <c r="R71" i="3"/>
  <c r="R167" i="3"/>
  <c r="R340" i="3"/>
  <c r="R325" i="3"/>
  <c r="R560" i="3"/>
  <c r="R162" i="3"/>
  <c r="R23" i="3"/>
  <c r="R411" i="3"/>
  <c r="R871" i="3"/>
  <c r="R673" i="3"/>
  <c r="R738" i="3"/>
  <c r="R196" i="3"/>
  <c r="R367" i="3"/>
  <c r="R32" i="3"/>
  <c r="H13" i="11"/>
  <c r="J13" i="11" s="1"/>
  <c r="R63" i="3"/>
  <c r="R465" i="3"/>
  <c r="R165" i="3"/>
  <c r="R27" i="3"/>
  <c r="R169" i="3"/>
  <c r="R219" i="3"/>
  <c r="R562" i="3"/>
  <c r="R25" i="3"/>
  <c r="R188" i="3"/>
  <c r="R705" i="3"/>
  <c r="R6" i="3"/>
  <c r="R137" i="3"/>
  <c r="R557" i="3"/>
  <c r="R18" i="3"/>
  <c r="R839" i="3"/>
  <c r="R632" i="3"/>
  <c r="R241" i="3"/>
  <c r="R303" i="3"/>
  <c r="R677" i="3"/>
  <c r="R477" i="3"/>
  <c r="R7" i="3"/>
  <c r="R786" i="3"/>
  <c r="R346" i="3"/>
  <c r="R646" i="3"/>
  <c r="R114" i="3"/>
  <c r="R584" i="3"/>
  <c r="R198" i="3"/>
  <c r="R26" i="3"/>
  <c r="R769" i="3"/>
  <c r="R84" i="3"/>
  <c r="R236" i="3"/>
  <c r="R101" i="3"/>
  <c r="R885" i="3"/>
  <c r="R34" i="3"/>
  <c r="R528" i="3"/>
  <c r="R457" i="3"/>
  <c r="R259" i="3"/>
  <c r="R669" i="3"/>
  <c r="R139" i="3"/>
  <c r="R336" i="3"/>
  <c r="R299" i="3"/>
  <c r="R319" i="3"/>
  <c r="R270" i="3"/>
  <c r="R24" i="3"/>
  <c r="R848" i="3"/>
  <c r="R684" i="3"/>
  <c r="R315" i="3"/>
  <c r="R156" i="3"/>
  <c r="R185" i="3"/>
  <c r="R511" i="3"/>
  <c r="R660" i="3"/>
  <c r="R206" i="3"/>
  <c r="R250" i="3"/>
  <c r="R166" i="3"/>
  <c r="R134" i="3"/>
  <c r="R702" i="3"/>
  <c r="R548" i="3"/>
  <c r="R636" i="3"/>
  <c r="R186" i="3"/>
  <c r="R268" i="3"/>
  <c r="R750" i="3"/>
  <c r="R360" i="3"/>
  <c r="R631" i="3"/>
  <c r="R318" i="3"/>
  <c r="R149" i="3"/>
  <c r="R323" i="3"/>
  <c r="R482" i="3"/>
  <c r="R833" i="3"/>
  <c r="R82" i="3"/>
  <c r="R153" i="3"/>
  <c r="R17" i="3"/>
  <c r="R92" i="3"/>
  <c r="R789" i="3"/>
  <c r="R891" i="3"/>
  <c r="R138" i="3"/>
  <c r="R462" i="3"/>
  <c r="R774" i="3"/>
  <c r="R522" i="3"/>
  <c r="R43" i="3"/>
  <c r="R718" i="3"/>
  <c r="R249" i="3"/>
  <c r="R313" i="3"/>
  <c r="R507" i="3"/>
  <c r="R152" i="3"/>
  <c r="R679" i="3"/>
  <c r="R184" i="3"/>
  <c r="R127" i="3"/>
  <c r="R213" i="3"/>
  <c r="R739" i="3"/>
  <c r="R813" i="3"/>
  <c r="R145" i="3"/>
  <c r="R356" i="3"/>
  <c r="R659" i="3"/>
  <c r="R496" i="3"/>
  <c r="R751" i="3"/>
  <c r="R408" i="3"/>
  <c r="R388" i="3"/>
  <c r="R509" i="3"/>
  <c r="R48" i="3"/>
  <c r="R666" i="3"/>
  <c r="R151" i="3"/>
  <c r="R857" i="3"/>
  <c r="R295" i="3"/>
  <c r="R221" i="3"/>
  <c r="R889" i="3"/>
  <c r="R545" i="3"/>
  <c r="R42" i="3"/>
  <c r="R342" i="3"/>
  <c r="R711" i="3"/>
  <c r="R756" i="3"/>
  <c r="R61" i="3"/>
  <c r="R578" i="3"/>
  <c r="R258" i="3"/>
  <c r="R128" i="3"/>
  <c r="R728" i="3"/>
  <c r="R442" i="3"/>
  <c r="R622" i="3"/>
  <c r="R464" i="3"/>
  <c r="R244" i="3"/>
  <c r="R199" i="3"/>
  <c r="R535" i="3"/>
  <c r="R254" i="3"/>
  <c r="R327" i="3"/>
  <c r="R163" i="3"/>
  <c r="R492" i="3"/>
  <c r="R187" i="3"/>
  <c r="K12" i="11"/>
  <c r="L12" i="11" s="1"/>
  <c r="R247" i="3"/>
  <c r="H11" i="11"/>
  <c r="R50" i="3"/>
  <c r="H9" i="11"/>
  <c r="R106" i="3"/>
  <c r="H8" i="11"/>
  <c r="H7" i="11"/>
  <c r="J7" i="11" s="1"/>
  <c r="J10" i="11"/>
  <c r="K10" i="11"/>
  <c r="H5" i="11"/>
  <c r="J5" i="11" s="1"/>
  <c r="R121" i="3"/>
  <c r="R393" i="3"/>
  <c r="T399" i="3"/>
  <c r="T508" i="3"/>
  <c r="T807" i="3"/>
  <c r="T861" i="3"/>
  <c r="T448" i="3"/>
  <c r="T634" i="3"/>
  <c r="T880" i="3"/>
  <c r="W880" i="3" s="1"/>
  <c r="T429" i="3"/>
  <c r="T384" i="3"/>
  <c r="T556" i="3"/>
  <c r="T497" i="3"/>
  <c r="T787" i="3"/>
  <c r="T58" i="3"/>
  <c r="T309" i="3"/>
  <c r="T661" i="3"/>
  <c r="T757" i="3"/>
  <c r="T568" i="3"/>
  <c r="T171" i="3"/>
  <c r="T493" i="3"/>
  <c r="T836" i="3"/>
  <c r="T109" i="3"/>
  <c r="T220" i="3"/>
  <c r="T371" i="3"/>
  <c r="T410" i="3"/>
  <c r="T441" i="3"/>
  <c r="T306" i="3"/>
  <c r="T81" i="3"/>
  <c r="T390" i="3"/>
  <c r="T531" i="3"/>
  <c r="T596" i="3"/>
  <c r="T567" i="3"/>
  <c r="T640" i="3"/>
  <c r="T696" i="3"/>
  <c r="T433" i="3"/>
  <c r="T89" i="3"/>
  <c r="T619" i="3"/>
  <c r="T749" i="3"/>
  <c r="T517" i="3"/>
  <c r="T11" i="3"/>
  <c r="T618" i="3"/>
  <c r="T748" i="3"/>
  <c r="T697" i="3"/>
  <c r="T690" i="3"/>
  <c r="T475" i="3"/>
  <c r="T649" i="3"/>
  <c r="T549" i="3"/>
  <c r="T78" i="3"/>
  <c r="T628" i="3"/>
  <c r="T598" i="3"/>
  <c r="T385" i="3"/>
  <c r="T21" i="3"/>
  <c r="T597" i="3"/>
  <c r="T423" i="3"/>
  <c r="T364" i="3"/>
  <c r="T288" i="3"/>
  <c r="T54" i="3"/>
  <c r="T392" i="3"/>
  <c r="T503" i="3"/>
  <c r="T459" i="3"/>
  <c r="T610" i="3"/>
  <c r="T494" i="3"/>
  <c r="T858" i="3"/>
  <c r="T686" i="3"/>
  <c r="T181" i="3"/>
  <c r="T460" i="3"/>
  <c r="T130" i="3"/>
  <c r="T394" i="3"/>
  <c r="T501" i="3"/>
  <c r="T600" i="3"/>
  <c r="T785" i="3"/>
  <c r="T348" i="3"/>
  <c r="T882" i="3"/>
  <c r="W882" i="3" s="1"/>
  <c r="T474" i="3"/>
  <c r="T466" i="3"/>
  <c r="T424" i="3"/>
  <c r="T182" i="3"/>
  <c r="T574" i="3"/>
  <c r="T34" i="3"/>
  <c r="T543" i="3"/>
  <c r="T379" i="3"/>
  <c r="T131" i="3"/>
  <c r="T852" i="3"/>
  <c r="T252" i="3"/>
  <c r="T485" i="3"/>
  <c r="T624" i="3"/>
  <c r="T638" i="3"/>
  <c r="T133" i="3"/>
  <c r="T22" i="3"/>
  <c r="T645" i="3"/>
  <c r="T159" i="3"/>
  <c r="T365" i="3"/>
  <c r="T479" i="3"/>
  <c r="T608" i="3"/>
  <c r="T573" i="3"/>
  <c r="R852" i="3"/>
  <c r="R201" i="3"/>
  <c r="T110" i="3"/>
  <c r="R792" i="3"/>
  <c r="R202" i="3"/>
  <c r="T321" i="3"/>
  <c r="R698" i="3"/>
  <c r="T18" i="3"/>
  <c r="R59" i="3"/>
  <c r="T396" i="3"/>
  <c r="R119" i="3"/>
  <c r="R146" i="3"/>
  <c r="T859" i="3"/>
  <c r="T721" i="3"/>
  <c r="T715" i="3"/>
  <c r="R357" i="3"/>
  <c r="T832" i="3"/>
  <c r="R41" i="3"/>
  <c r="R57" i="3"/>
  <c r="T90" i="3"/>
  <c r="R104" i="3"/>
  <c r="R608" i="3"/>
  <c r="T314" i="3"/>
  <c r="R671" i="3"/>
  <c r="T443" i="3"/>
  <c r="R607" i="3"/>
  <c r="T238" i="3"/>
  <c r="R862" i="3"/>
  <c r="R722" i="3"/>
  <c r="R715" i="3"/>
  <c r="R109" i="3"/>
  <c r="R542" i="3"/>
  <c r="R406" i="3"/>
  <c r="R525" i="3"/>
  <c r="T319" i="3"/>
  <c r="T489" i="3"/>
  <c r="R884" i="3"/>
  <c r="T426" i="3"/>
  <c r="T731" i="3"/>
  <c r="T767" i="3"/>
  <c r="T790" i="3"/>
  <c r="T415" i="3"/>
  <c r="T780" i="3"/>
  <c r="T420" i="3"/>
  <c r="T772" i="3"/>
  <c r="T585" i="3"/>
  <c r="T33" i="3"/>
  <c r="T591" i="3"/>
  <c r="T629" i="3"/>
  <c r="T115" i="3"/>
  <c r="T129" i="3"/>
  <c r="T791" i="3"/>
  <c r="T762" i="3"/>
  <c r="T532" i="3"/>
  <c r="T876" i="3"/>
  <c r="T285" i="3"/>
  <c r="T343" i="3"/>
  <c r="T107" i="3"/>
  <c r="T863" i="3"/>
  <c r="T481" i="3"/>
  <c r="T626" i="3"/>
  <c r="T146" i="3"/>
  <c r="T558" i="3"/>
  <c r="T117" i="3"/>
  <c r="T164" i="3"/>
  <c r="T76" i="3"/>
  <c r="T224" i="3"/>
  <c r="T877" i="3"/>
  <c r="T869" i="3"/>
  <c r="T732" i="3"/>
  <c r="T840" i="3"/>
  <c r="T376" i="3"/>
  <c r="T83" i="3"/>
  <c r="T240" i="3"/>
  <c r="T819" i="3"/>
  <c r="T370" i="3"/>
  <c r="T125" i="3"/>
  <c r="T317" i="3"/>
  <c r="T400" i="3"/>
  <c r="T794" i="3"/>
  <c r="T651" i="3"/>
  <c r="T16" i="3"/>
  <c r="T359" i="3"/>
  <c r="T849" i="3"/>
  <c r="T332" i="3"/>
  <c r="T407" i="3"/>
  <c r="T120" i="3"/>
  <c r="T620" i="3"/>
  <c r="T560" i="3"/>
  <c r="R413" i="3"/>
  <c r="R455" i="3"/>
  <c r="T760" i="3"/>
  <c r="R757" i="3"/>
  <c r="R866" i="3"/>
  <c r="T23" i="3"/>
  <c r="R87" i="3"/>
  <c r="T875" i="3"/>
  <c r="R418" i="3"/>
  <c r="T488" i="3"/>
  <c r="R120" i="3"/>
  <c r="T221" i="3"/>
  <c r="T569" i="3"/>
  <c r="R480" i="3"/>
  <c r="T121" i="3"/>
  <c r="R506" i="3"/>
  <c r="T208" i="3"/>
  <c r="R828" i="3"/>
  <c r="T276" i="3"/>
  <c r="R419" i="3"/>
  <c r="R513" i="3"/>
  <c r="R594" i="3"/>
  <c r="R415" i="3"/>
  <c r="T104" i="3"/>
  <c r="T878" i="3"/>
  <c r="W878" i="3" s="1"/>
  <c r="R555" i="3"/>
  <c r="T161" i="3"/>
  <c r="R638" i="3"/>
  <c r="T665" i="3"/>
  <c r="R68" i="3"/>
  <c r="T292" i="3"/>
  <c r="T745" i="3"/>
  <c r="T454" i="3"/>
  <c r="T647" i="3"/>
  <c r="R56" i="3"/>
  <c r="T490" i="3"/>
  <c r="T744" i="3"/>
  <c r="R830" i="3"/>
  <c r="R445" i="3"/>
  <c r="R107" i="3"/>
  <c r="R650" i="3"/>
  <c r="R478" i="3"/>
  <c r="T237" i="3"/>
  <c r="R807" i="3"/>
  <c r="T747" i="3"/>
  <c r="R353" i="3"/>
  <c r="R164" i="3"/>
  <c r="T173" i="3"/>
  <c r="R662" i="3"/>
  <c r="T693" i="3"/>
  <c r="R721" i="3"/>
  <c r="R161" i="3"/>
  <c r="R825" i="3"/>
  <c r="T681" i="3"/>
  <c r="R570" i="3"/>
  <c r="T525" i="3"/>
  <c r="R402" i="3"/>
  <c r="T627" i="3"/>
  <c r="R815" i="3"/>
  <c r="R571" i="3"/>
  <c r="R237" i="3"/>
  <c r="T123" i="3"/>
  <c r="T456" i="3"/>
  <c r="R135" i="3"/>
  <c r="T335" i="3"/>
  <c r="R141" i="3"/>
  <c r="T535" i="3"/>
  <c r="R174" i="3"/>
  <c r="T168" i="3"/>
  <c r="R446" i="3"/>
  <c r="R273" i="3"/>
  <c r="R179" i="3"/>
  <c r="T56" i="3"/>
  <c r="R341" i="3"/>
  <c r="R218" i="3"/>
  <c r="R73" i="3"/>
  <c r="T428" i="3"/>
  <c r="R194" i="3"/>
  <c r="R642" i="3"/>
  <c r="T303" i="3"/>
  <c r="R775" i="3"/>
  <c r="T662" i="3"/>
  <c r="R758" i="3"/>
  <c r="R533" i="3"/>
  <c r="T174" i="3"/>
  <c r="R438" i="3"/>
  <c r="R426" i="3"/>
  <c r="T12" i="3"/>
  <c r="R339" i="3"/>
  <c r="R547" i="3"/>
  <c r="R831" i="3"/>
  <c r="T477" i="3"/>
  <c r="R697" i="3"/>
  <c r="T835" i="3"/>
  <c r="R277" i="3"/>
  <c r="T113" i="3"/>
  <c r="R723" i="3"/>
  <c r="T289" i="3"/>
  <c r="R44" i="3"/>
  <c r="R79" i="3"/>
  <c r="R47" i="3"/>
  <c r="T511" i="3"/>
  <c r="R754" i="3"/>
  <c r="T322" i="3"/>
  <c r="R89" i="3"/>
  <c r="R800" i="3"/>
  <c r="R230" i="3"/>
  <c r="R796" i="3"/>
  <c r="T496" i="3"/>
  <c r="R111" i="3"/>
  <c r="T838" i="3"/>
  <c r="R886" i="3"/>
  <c r="R83" i="3"/>
  <c r="R49" i="3"/>
  <c r="T349" i="3"/>
  <c r="R377" i="3"/>
  <c r="T175" i="3"/>
  <c r="R19" i="3"/>
  <c r="R569" i="3"/>
  <c r="R144" i="3"/>
  <c r="T642" i="3"/>
  <c r="R432" i="3"/>
  <c r="R855" i="3"/>
  <c r="T831" i="3"/>
  <c r="R171" i="3"/>
  <c r="R262" i="3"/>
  <c r="T334" i="3"/>
  <c r="R352" i="3"/>
  <c r="T848" i="3"/>
  <c r="R216" i="3"/>
  <c r="R454" i="3"/>
  <c r="R276" i="3"/>
  <c r="T887" i="3"/>
  <c r="W887" i="3" s="1"/>
  <c r="R818" i="3"/>
  <c r="R203" i="3"/>
  <c r="T195" i="3"/>
  <c r="R890" i="3"/>
  <c r="T323" i="3"/>
  <c r="R401" i="3"/>
  <c r="R783" i="3"/>
  <c r="T313" i="3"/>
  <c r="T361" i="3"/>
  <c r="R447" i="3"/>
  <c r="R606" i="3"/>
  <c r="T636" i="3"/>
  <c r="R695" i="3"/>
  <c r="T72" i="3"/>
  <c r="R214" i="3"/>
  <c r="R359" i="3"/>
  <c r="T231" i="3"/>
  <c r="R581" i="3"/>
  <c r="T141" i="3"/>
  <c r="R861" i="3"/>
  <c r="T873" i="3"/>
  <c r="T92" i="3"/>
  <c r="R368" i="3"/>
  <c r="R655" i="3"/>
  <c r="R317" i="3"/>
  <c r="R609" i="3"/>
  <c r="T219" i="3"/>
  <c r="R345" i="3"/>
  <c r="R375" i="3"/>
  <c r="R881" i="3"/>
  <c r="T256" i="3"/>
  <c r="R39" i="3"/>
  <c r="T478" i="3"/>
  <c r="T19" i="3"/>
  <c r="R872" i="3"/>
  <c r="R21" i="3"/>
  <c r="T632" i="3"/>
  <c r="R132" i="3"/>
  <c r="T375" i="3"/>
  <c r="T32" i="3"/>
  <c r="R67" i="3"/>
  <c r="R644" i="3"/>
  <c r="R5" i="3"/>
  <c r="T425" i="3"/>
  <c r="R54" i="3"/>
  <c r="R290" i="3"/>
  <c r="T14" i="3"/>
  <c r="R183" i="3"/>
  <c r="R472" i="3"/>
  <c r="R245" i="3"/>
  <c r="R873" i="3"/>
  <c r="T228" i="3"/>
  <c r="R212" i="3"/>
  <c r="T86" i="3"/>
  <c r="R69" i="3"/>
  <c r="R195" i="3"/>
  <c r="T570" i="3"/>
  <c r="R499" i="3"/>
  <c r="T648" i="3"/>
  <c r="T808" i="3"/>
  <c r="T358" i="3"/>
  <c r="T660" i="3"/>
  <c r="T165" i="3"/>
  <c r="R12" i="3"/>
  <c r="R824" i="3"/>
  <c r="R740" i="3"/>
  <c r="T621" i="3"/>
  <c r="T664" i="3"/>
  <c r="R834" i="3"/>
  <c r="R512" i="3"/>
  <c r="R556" i="3"/>
  <c r="R428" i="3"/>
  <c r="T114" i="3"/>
  <c r="R58" i="3"/>
  <c r="T666" i="3"/>
  <c r="T139" i="3"/>
  <c r="R77" i="3"/>
  <c r="T611" i="3"/>
  <c r="T327" i="3"/>
  <c r="R314" i="3"/>
  <c r="R781" i="3"/>
  <c r="T537" i="3"/>
  <c r="R491" i="3"/>
  <c r="R546" i="3"/>
  <c r="R505" i="3"/>
  <c r="R55" i="3"/>
  <c r="T68" i="3"/>
  <c r="R563" i="3"/>
  <c r="T851" i="3"/>
  <c r="R517" i="3"/>
  <c r="T738" i="3"/>
  <c r="R463" i="3"/>
  <c r="T750" i="3"/>
  <c r="R330" i="3"/>
  <c r="T203" i="3"/>
  <c r="R654" i="3"/>
  <c r="T20" i="3"/>
  <c r="T93" i="3"/>
  <c r="T523" i="3"/>
  <c r="R526" i="3"/>
  <c r="T272" i="3"/>
  <c r="R601" i="3"/>
  <c r="T860" i="3"/>
  <c r="R197" i="3"/>
  <c r="T658" i="3"/>
  <c r="R90" i="3"/>
  <c r="T727" i="3"/>
  <c r="R864" i="3"/>
  <c r="R403" i="3"/>
  <c r="R238" i="3"/>
  <c r="R361" i="3"/>
  <c r="T728" i="3"/>
  <c r="R177" i="3"/>
  <c r="T837" i="3"/>
  <c r="R349" i="3"/>
  <c r="T818" i="3"/>
  <c r="R485" i="3"/>
  <c r="T867" i="3"/>
  <c r="R222" i="3"/>
  <c r="R366" i="3"/>
  <c r="T264" i="3"/>
  <c r="T594" i="3"/>
  <c r="R100" i="3"/>
  <c r="R621" i="3"/>
  <c r="R589" i="3"/>
  <c r="R734" i="3"/>
  <c r="R809" i="3"/>
  <c r="T667" i="3"/>
  <c r="R700" i="3"/>
  <c r="T234" i="3"/>
  <c r="R208" i="3"/>
  <c r="T625" i="3"/>
  <c r="R36" i="3"/>
  <c r="T806" i="3"/>
  <c r="R405" i="3"/>
  <c r="R725" i="3"/>
  <c r="T246" i="3"/>
  <c r="R658" i="3"/>
  <c r="R692" i="3"/>
  <c r="T593" i="3"/>
  <c r="R860" i="3"/>
  <c r="T39" i="3"/>
  <c r="R105" i="3"/>
  <c r="R743" i="3"/>
  <c r="T70" i="3"/>
  <c r="T758" i="3"/>
  <c r="R868" i="3"/>
  <c r="R819" i="3"/>
  <c r="T330" i="3"/>
  <c r="T695" i="3"/>
  <c r="R536" i="3"/>
  <c r="T147" i="3"/>
  <c r="R851" i="3"/>
  <c r="R70" i="3"/>
  <c r="T770" i="3"/>
  <c r="R348" i="3"/>
  <c r="T763" i="3"/>
  <c r="T179" i="3"/>
  <c r="T687" i="3"/>
  <c r="T391" i="3"/>
  <c r="R229" i="3"/>
  <c r="R641" i="3"/>
  <c r="T150" i="3"/>
  <c r="T482" i="3"/>
  <c r="R284" i="3"/>
  <c r="R663" i="3"/>
  <c r="T824" i="3"/>
  <c r="R335" i="3"/>
  <c r="R253" i="3"/>
  <c r="R460" i="3"/>
  <c r="T266" i="3"/>
  <c r="T654" i="3"/>
  <c r="R577" i="3"/>
  <c r="T507" i="3"/>
  <c r="T403" i="3"/>
  <c r="R358" i="3"/>
  <c r="T286" i="3"/>
  <c r="R619" i="3"/>
  <c r="T352" i="3"/>
  <c r="R113" i="3"/>
  <c r="T581" i="3"/>
  <c r="R223" i="3"/>
  <c r="R553" i="3"/>
  <c r="R398" i="3"/>
  <c r="T809" i="3"/>
  <c r="R200" i="3"/>
  <c r="T786" i="3"/>
  <c r="T813" i="3"/>
  <c r="R822" i="3"/>
  <c r="T830" i="3"/>
  <c r="R416" i="3"/>
  <c r="T283" i="3"/>
  <c r="R878" i="3"/>
  <c r="R382" i="3"/>
  <c r="R703" i="3"/>
  <c r="T336" i="3"/>
  <c r="T536" i="3"/>
  <c r="R65" i="3"/>
  <c r="T340" i="3"/>
  <c r="T722" i="3"/>
  <c r="R86" i="3"/>
  <c r="R255" i="3"/>
  <c r="R653" i="3"/>
  <c r="R292" i="3"/>
  <c r="T841" i="3"/>
  <c r="R826" i="3"/>
  <c r="T77" i="3"/>
  <c r="R118" i="3"/>
  <c r="T398" i="3"/>
  <c r="R720" i="3"/>
  <c r="T305" i="3"/>
  <c r="T668" i="3"/>
  <c r="T50" i="3"/>
  <c r="R355" i="3"/>
  <c r="R675" i="3"/>
  <c r="R380" i="3"/>
  <c r="T817" i="3"/>
  <c r="T452" i="3"/>
  <c r="R286" i="3"/>
  <c r="T345" i="3"/>
  <c r="R541" i="3"/>
  <c r="T257" i="3"/>
  <c r="R841" i="3"/>
  <c r="R289" i="3"/>
  <c r="R648" i="3"/>
  <c r="R565" i="3"/>
  <c r="T810" i="3"/>
  <c r="R843" i="3"/>
  <c r="T152" i="3"/>
  <c r="T157" i="3"/>
  <c r="R598" i="3"/>
  <c r="R240" i="3"/>
  <c r="T82" i="3"/>
  <c r="R683" i="3"/>
  <c r="T843" i="3"/>
  <c r="R847" i="3"/>
  <c r="R99" i="3"/>
  <c r="T870" i="3"/>
  <c r="R383" i="3"/>
  <c r="T512" i="3"/>
  <c r="T267" i="3"/>
  <c r="R779" i="3"/>
  <c r="R226" i="3"/>
  <c r="T700" i="3"/>
  <c r="R649" i="3"/>
  <c r="T656" i="3"/>
  <c r="R827" i="3"/>
  <c r="T509" i="3"/>
  <c r="T91" i="3"/>
  <c r="R753" i="3"/>
  <c r="T872" i="3"/>
  <c r="R736" i="3"/>
  <c r="T527" i="3"/>
  <c r="T277" i="3"/>
  <c r="T724" i="3"/>
  <c r="R616" i="3"/>
  <c r="R337" i="3"/>
  <c r="R811" i="3"/>
  <c r="R400" i="3"/>
  <c r="K6" i="11"/>
  <c r="J6" i="11"/>
  <c r="K4" i="11"/>
  <c r="J4" i="11"/>
  <c r="E13" i="10"/>
  <c r="G10" i="10"/>
  <c r="G15" i="10"/>
  <c r="G20" i="10"/>
  <c r="G19" i="10"/>
  <c r="E28" i="10"/>
  <c r="G21" i="10"/>
  <c r="G7" i="10"/>
  <c r="G28" i="10"/>
  <c r="G18" i="10"/>
  <c r="G24" i="10"/>
  <c r="G8" i="10"/>
  <c r="E11" i="10"/>
  <c r="I11" i="10" s="1"/>
  <c r="E22" i="10"/>
  <c r="I22" i="10" s="1"/>
  <c r="E19" i="10"/>
  <c r="F29" i="10"/>
  <c r="G23" i="10"/>
  <c r="G9" i="10"/>
  <c r="E26" i="10"/>
  <c r="I26" i="10" s="1"/>
  <c r="E21" i="10"/>
  <c r="E9" i="10"/>
  <c r="E24" i="10"/>
  <c r="E5" i="10"/>
  <c r="E14" i="10"/>
  <c r="G5" i="10"/>
  <c r="G14" i="10"/>
  <c r="E12" i="10"/>
  <c r="I12" i="10" s="1"/>
  <c r="E20" i="10"/>
  <c r="E15" i="10"/>
  <c r="E23" i="10"/>
  <c r="E6" i="10"/>
  <c r="I6" i="10" s="1"/>
  <c r="E25" i="10"/>
  <c r="I25" i="10" s="1"/>
  <c r="E18" i="10"/>
  <c r="E16" i="10"/>
  <c r="E10" i="10"/>
  <c r="E7" i="10"/>
  <c r="G16" i="10"/>
  <c r="E17" i="10"/>
  <c r="E27" i="10"/>
  <c r="I27" i="10" s="1"/>
  <c r="E3" i="10"/>
  <c r="I3" i="10" s="1"/>
  <c r="D29" i="10"/>
  <c r="E4" i="10"/>
  <c r="G17" i="10"/>
  <c r="G4" i="10"/>
  <c r="G13" i="10"/>
  <c r="C29" i="10"/>
  <c r="E8" i="10"/>
  <c r="T328" i="3" l="1"/>
  <c r="T856" i="3"/>
  <c r="T271" i="3"/>
  <c r="T775" i="3"/>
  <c r="T866" i="3"/>
  <c r="T158" i="3"/>
  <c r="T854" i="3"/>
  <c r="T676" i="3"/>
  <c r="T530" i="3"/>
  <c r="T755" i="3"/>
  <c r="T45" i="3"/>
  <c r="T559" i="3"/>
  <c r="T778" i="3"/>
  <c r="T550" i="3"/>
  <c r="T242" i="3"/>
  <c r="T469" i="3"/>
  <c r="T584" i="3"/>
  <c r="T617" i="3"/>
  <c r="T291" i="3"/>
  <c r="T820" i="3"/>
  <c r="T217" i="3"/>
  <c r="T386" i="3"/>
  <c r="T310" i="3"/>
  <c r="T227" i="3"/>
  <c r="T752" i="3"/>
  <c r="T177" i="3"/>
  <c r="T408" i="3"/>
  <c r="T846" i="3"/>
  <c r="T95" i="3"/>
  <c r="T52" i="3"/>
  <c r="T822" i="3"/>
  <c r="T176" i="3"/>
  <c r="T88" i="3"/>
  <c r="T622" i="3"/>
  <c r="T571" i="3"/>
  <c r="T671" i="3"/>
  <c r="T300" i="3"/>
  <c r="T324" i="3"/>
  <c r="T395" i="3"/>
  <c r="T28" i="3"/>
  <c r="T108" i="3"/>
  <c r="T160" i="3"/>
  <c r="T734" i="3"/>
  <c r="T362" i="3"/>
  <c r="T393" i="3"/>
  <c r="T287" i="3"/>
  <c r="T524" i="3"/>
  <c r="T616" i="3"/>
  <c r="T487" i="3"/>
  <c r="T337" i="3"/>
  <c r="T653" i="3"/>
  <c r="T455" i="3"/>
  <c r="T561" i="3"/>
  <c r="T457" i="3"/>
  <c r="T816" i="3"/>
  <c r="T383" i="3"/>
  <c r="T586" i="3"/>
  <c r="T707" i="3"/>
  <c r="T170" i="3"/>
  <c r="T742" i="3"/>
  <c r="T519" i="3"/>
  <c r="T381" i="3"/>
  <c r="T544" i="3"/>
  <c r="T5" i="3"/>
  <c r="T111" i="3"/>
  <c r="T589" i="3"/>
  <c r="T275" i="3"/>
  <c r="T357" i="3"/>
  <c r="T57" i="3"/>
  <c r="T55" i="3"/>
  <c r="T473" i="3"/>
  <c r="T541" i="3"/>
  <c r="T717" i="3"/>
  <c r="T307" i="3"/>
  <c r="T40" i="3"/>
  <c r="T612" i="3"/>
  <c r="T297" i="3"/>
  <c r="T312" i="3"/>
  <c r="T566" i="3"/>
  <c r="T730" i="3"/>
  <c r="T180" i="3"/>
  <c r="T521" i="3"/>
  <c r="T736" i="3"/>
  <c r="K5" i="11"/>
  <c r="L5" i="11" s="1"/>
  <c r="T575" i="3"/>
  <c r="T377" i="3"/>
  <c r="T483" i="3"/>
  <c r="T793" i="3"/>
  <c r="T251" i="3"/>
  <c r="T826" i="3"/>
  <c r="T59" i="3"/>
  <c r="T801" i="3"/>
  <c r="T64" i="3"/>
  <c r="T563" i="3"/>
  <c r="T515" i="3"/>
  <c r="T119" i="3"/>
  <c r="T652" i="3"/>
  <c r="T883" i="3"/>
  <c r="W883" i="3" s="1"/>
  <c r="T635" i="3"/>
  <c r="T708" i="3"/>
  <c r="T245" i="3"/>
  <c r="T356" i="3"/>
  <c r="T255" i="3"/>
  <c r="T476" i="3"/>
  <c r="T599" i="3"/>
  <c r="T446" i="3"/>
  <c r="T855" i="3"/>
  <c r="T725" i="3"/>
  <c r="T590" i="3"/>
  <c r="T223" i="3"/>
  <c r="T637" i="3"/>
  <c r="T798" i="3"/>
  <c r="T468" i="3"/>
  <c r="T416" i="3"/>
  <c r="T719" i="3"/>
  <c r="T713" i="3"/>
  <c r="T773" i="3"/>
  <c r="T355" i="3"/>
  <c r="T402" i="3"/>
  <c r="T75" i="3"/>
  <c r="T746" i="3"/>
  <c r="T66" i="3"/>
  <c r="T116" i="3"/>
  <c r="T269" i="3"/>
  <c r="T678" i="3"/>
  <c r="T389" i="3"/>
  <c r="T333" i="3"/>
  <c r="T308" i="3"/>
  <c r="T499" i="3"/>
  <c r="T421" i="3"/>
  <c r="T881" i="3"/>
  <c r="W881" i="3" s="1"/>
  <c r="T609" i="3"/>
  <c r="T226" i="3"/>
  <c r="T779" i="3"/>
  <c r="T450" i="3"/>
  <c r="T814" i="3"/>
  <c r="K7" i="11"/>
  <c r="M7" i="11" s="1"/>
  <c r="K13" i="11"/>
  <c r="L13" i="11" s="1"/>
  <c r="T865" i="3"/>
  <c r="T282" i="3"/>
  <c r="T743" i="3"/>
  <c r="T97" i="3"/>
  <c r="T73" i="3"/>
  <c r="T244" i="3"/>
  <c r="T442" i="3"/>
  <c r="T346" i="3"/>
  <c r="T465" i="3"/>
  <c r="T260" i="3"/>
  <c r="T136" i="3"/>
  <c r="T828" i="3"/>
  <c r="T36" i="3"/>
  <c r="T155" i="3"/>
  <c r="T712" i="3"/>
  <c r="T405" i="3"/>
  <c r="T253" i="3"/>
  <c r="T98" i="3"/>
  <c r="T418" i="3"/>
  <c r="T754" i="3"/>
  <c r="T284" i="3"/>
  <c r="T222" i="3"/>
  <c r="T105" i="3"/>
  <c r="T211" i="3"/>
  <c r="T186" i="3"/>
  <c r="T216" i="3"/>
  <c r="T890" i="3"/>
  <c r="W890" i="3" s="1"/>
  <c r="T547" i="3"/>
  <c r="T674" i="3"/>
  <c r="T422" i="3"/>
  <c r="T311" i="3"/>
  <c r="T106" i="3"/>
  <c r="T679" i="3"/>
  <c r="T101" i="3"/>
  <c r="T230" i="3"/>
  <c r="T492" i="3"/>
  <c r="T409" i="3"/>
  <c r="T827" i="3"/>
  <c r="T706" i="3"/>
  <c r="T94" i="3"/>
  <c r="T215" i="3"/>
  <c r="T262" i="3"/>
  <c r="T197" i="3"/>
  <c r="T874" i="3"/>
  <c r="T500" i="3"/>
  <c r="T124" i="3"/>
  <c r="T659" i="3"/>
  <c r="T388" i="3"/>
  <c r="T142" i="3"/>
  <c r="T435" i="3"/>
  <c r="T103" i="3"/>
  <c r="T427" i="3"/>
  <c r="T145" i="3"/>
  <c r="T397" i="3"/>
  <c r="T401" i="3"/>
  <c r="T741" i="3"/>
  <c r="T201" i="3"/>
  <c r="T529" i="3"/>
  <c r="T281" i="3"/>
  <c r="T538" i="3"/>
  <c r="T766" i="3"/>
  <c r="T576" i="3"/>
  <c r="T338" i="3"/>
  <c r="T404" i="3"/>
  <c r="T844" i="3"/>
  <c r="T325" i="3"/>
  <c r="T821" i="3"/>
  <c r="T472" i="3"/>
  <c r="T565" i="3"/>
  <c r="T347" i="3"/>
  <c r="T885" i="3"/>
  <c r="W885" i="3" s="1"/>
  <c r="T218" i="3"/>
  <c r="T871" i="3"/>
  <c r="T149" i="3"/>
  <c r="T739" i="3"/>
  <c r="T258" i="3"/>
  <c r="T467" i="3"/>
  <c r="T839" i="3"/>
  <c r="T562" i="3"/>
  <c r="T825" i="3"/>
  <c r="T205" i="3"/>
  <c r="T378" i="3"/>
  <c r="T25" i="3"/>
  <c r="T702" i="3"/>
  <c r="T545" i="3"/>
  <c r="T162" i="3"/>
  <c r="T154" i="3"/>
  <c r="T341" i="3"/>
  <c r="T764" i="3"/>
  <c r="T657" i="3"/>
  <c r="T128" i="3"/>
  <c r="T673" i="3"/>
  <c r="T505" i="3"/>
  <c r="T540" i="3"/>
  <c r="T280" i="3"/>
  <c r="T153" i="3"/>
  <c r="T458" i="3"/>
  <c r="T802" i="3"/>
  <c r="T546" i="3"/>
  <c r="T268" i="3"/>
  <c r="T434" i="3"/>
  <c r="T254" i="3"/>
  <c r="T554" i="3"/>
  <c r="T463" i="3"/>
  <c r="T61" i="3"/>
  <c r="T102" i="3"/>
  <c r="T279" i="3"/>
  <c r="T498" i="3"/>
  <c r="T373" i="3"/>
  <c r="T518" i="3"/>
  <c r="T461" i="3"/>
  <c r="T784" i="3"/>
  <c r="T60" i="3"/>
  <c r="T74" i="3"/>
  <c r="T406" i="3"/>
  <c r="T41" i="3"/>
  <c r="T229" i="3"/>
  <c r="T278" i="3"/>
  <c r="T513" i="3"/>
  <c r="T273" i="3"/>
  <c r="T726" i="3"/>
  <c r="T192" i="3"/>
  <c r="T380" i="3"/>
  <c r="T344" i="3"/>
  <c r="T342" i="3"/>
  <c r="T263" i="3"/>
  <c r="T577" i="3"/>
  <c r="T684" i="3"/>
  <c r="T685" i="3"/>
  <c r="T774" i="3"/>
  <c r="T776" i="3"/>
  <c r="T583" i="3"/>
  <c r="T783" i="3"/>
  <c r="T588" i="3"/>
  <c r="T711" i="3"/>
  <c r="T185" i="3"/>
  <c r="T232" i="3"/>
  <c r="T247" i="3"/>
  <c r="T366" i="3"/>
  <c r="T339" i="3"/>
  <c r="T672" i="3"/>
  <c r="T187" i="3"/>
  <c r="T548" i="3"/>
  <c r="T112" i="3"/>
  <c r="T812" i="3"/>
  <c r="T716" i="3"/>
  <c r="T605" i="3"/>
  <c r="T214" i="3"/>
  <c r="T193" i="3"/>
  <c r="T118" i="3"/>
  <c r="T261" i="3"/>
  <c r="T210" i="3"/>
  <c r="T564" i="3"/>
  <c r="T351" i="3"/>
  <c r="T196" i="3"/>
  <c r="T691" i="3"/>
  <c r="T502" i="3"/>
  <c r="T655" i="3"/>
  <c r="T51" i="3"/>
  <c r="T15" i="3"/>
  <c r="T704" i="3"/>
  <c r="T13" i="3"/>
  <c r="T44" i="3"/>
  <c r="T368" i="3"/>
  <c r="T633" i="3"/>
  <c r="T169" i="3"/>
  <c r="T534" i="3"/>
  <c r="T63" i="3"/>
  <c r="T759" i="3"/>
  <c r="T891" i="3"/>
  <c r="W891" i="3" s="1"/>
  <c r="T140" i="3"/>
  <c r="T236" i="3"/>
  <c r="T804" i="3"/>
  <c r="T202" i="3"/>
  <c r="T522" i="3"/>
  <c r="T35" i="3"/>
  <c r="T688" i="3"/>
  <c r="T703" i="3"/>
  <c r="T447" i="3"/>
  <c r="T709" i="3"/>
  <c r="T259" i="3"/>
  <c r="T7" i="3"/>
  <c r="T506" i="3"/>
  <c r="T199" i="3"/>
  <c r="T80" i="3"/>
  <c r="T886" i="3"/>
  <c r="W886" i="3" s="1"/>
  <c r="T630" i="3"/>
  <c r="T823" i="3"/>
  <c r="T42" i="3"/>
  <c r="T587" i="3"/>
  <c r="T6" i="3"/>
  <c r="T350" i="3"/>
  <c r="T552" i="3"/>
  <c r="T847" i="3"/>
  <c r="T514" i="3"/>
  <c r="T189" i="3"/>
  <c r="T430" i="3"/>
  <c r="T304" i="3"/>
  <c r="T38" i="3"/>
  <c r="T451" i="3"/>
  <c r="T815" i="3"/>
  <c r="T412" i="3"/>
  <c r="T781" i="3"/>
  <c r="T729" i="3"/>
  <c r="T79" i="3"/>
  <c r="T799" i="3"/>
  <c r="T699" i="3"/>
  <c r="T850" i="3"/>
  <c r="T797" i="3"/>
  <c r="T592" i="3"/>
  <c r="T542" i="3"/>
  <c r="T701" i="3"/>
  <c r="T432" i="3"/>
  <c r="T705" i="3"/>
  <c r="T444" i="3"/>
  <c r="T148" i="3"/>
  <c r="T692" i="3"/>
  <c r="T293" i="3"/>
  <c r="T71" i="3"/>
  <c r="T829" i="3"/>
  <c r="T601" i="3"/>
  <c r="T884" i="3"/>
  <c r="W884" i="3" s="1"/>
  <c r="T580" i="3"/>
  <c r="T669" i="3"/>
  <c r="T579" i="3"/>
  <c r="T100" i="3"/>
  <c r="T372" i="3"/>
  <c r="T367" i="3"/>
  <c r="T864" i="3"/>
  <c r="T718" i="3"/>
  <c r="T29" i="3"/>
  <c r="T206" i="3"/>
  <c r="T753" i="3"/>
  <c r="T235" i="3"/>
  <c r="T183" i="3"/>
  <c r="T209" i="3"/>
  <c r="T438" i="3"/>
  <c r="T239" i="3"/>
  <c r="T298" i="3"/>
  <c r="T225" i="3"/>
  <c r="T670" i="3"/>
  <c r="T751" i="3"/>
  <c r="T614" i="3"/>
  <c r="T194" i="3"/>
  <c r="T613" i="3"/>
  <c r="T204" i="3"/>
  <c r="T53" i="3"/>
  <c r="T740" i="3"/>
  <c r="T248" i="3"/>
  <c r="T363" i="3"/>
  <c r="T437" i="3"/>
  <c r="T207" i="3"/>
  <c r="T602" i="3"/>
  <c r="T436" i="3"/>
  <c r="T326" i="3"/>
  <c r="T30" i="3"/>
  <c r="T714" i="3"/>
  <c r="T683" i="3"/>
  <c r="T122" i="3"/>
  <c r="T710" i="3"/>
  <c r="T132" i="3"/>
  <c r="T382" i="3"/>
  <c r="T453" i="3"/>
  <c r="T641" i="3"/>
  <c r="T10" i="3"/>
  <c r="T46" i="3"/>
  <c r="T504" i="3"/>
  <c r="T69" i="3"/>
  <c r="T274" i="3"/>
  <c r="T431" i="3"/>
  <c r="T243" i="3"/>
  <c r="T555" i="3"/>
  <c r="T8" i="3"/>
  <c r="T65" i="3"/>
  <c r="T316" i="3"/>
  <c r="T470" i="3"/>
  <c r="T834" i="3"/>
  <c r="T135" i="3"/>
  <c r="T96" i="3"/>
  <c r="T265" i="3"/>
  <c r="T295" i="3"/>
  <c r="T868" i="3"/>
  <c r="T99" i="3"/>
  <c r="T299" i="3"/>
  <c r="T87" i="3"/>
  <c r="T551" i="3"/>
  <c r="T315" i="3"/>
  <c r="T698" i="3"/>
  <c r="T572" i="3"/>
  <c r="T756" i="3"/>
  <c r="T533" i="3"/>
  <c r="T419" i="3"/>
  <c r="T143" i="3"/>
  <c r="T296" i="3"/>
  <c r="T800" i="3"/>
  <c r="T582" i="3"/>
  <c r="T857" i="3"/>
  <c r="T212" i="3"/>
  <c r="T47" i="3"/>
  <c r="T510" i="3"/>
  <c r="T644" i="3"/>
  <c r="T331" i="3"/>
  <c r="T188" i="3"/>
  <c r="T723" i="3"/>
  <c r="T771" i="3"/>
  <c r="T294" i="3"/>
  <c r="T879" i="3"/>
  <c r="W879" i="3" s="1"/>
  <c r="T528" i="3"/>
  <c r="T233" i="3"/>
  <c r="T369" i="3"/>
  <c r="T484" i="3"/>
  <c r="T449" i="3"/>
  <c r="T354" i="3"/>
  <c r="T595" i="3"/>
  <c r="T663" i="3"/>
  <c r="T735" i="3"/>
  <c r="T387" i="3"/>
  <c r="T889" i="3"/>
  <c r="W889" i="3" s="1"/>
  <c r="T411" i="3"/>
  <c r="T486" i="3"/>
  <c r="T604" i="3"/>
  <c r="T417" i="3"/>
  <c r="T184" i="3"/>
  <c r="T491" i="3"/>
  <c r="T200" i="3"/>
  <c r="T440" i="3"/>
  <c r="T9" i="3"/>
  <c r="T845" i="3"/>
  <c r="T134" i="3"/>
  <c r="T768" i="3"/>
  <c r="T789" i="3"/>
  <c r="T733" i="3"/>
  <c r="T520" i="3"/>
  <c r="T646" i="3"/>
  <c r="T811" i="3"/>
  <c r="T249" i="3"/>
  <c r="T151" i="3"/>
  <c r="T795" i="3"/>
  <c r="T24" i="3"/>
  <c r="T805" i="3"/>
  <c r="T439" i="3"/>
  <c r="T862" i="3"/>
  <c r="T127" i="3"/>
  <c r="T445" i="3"/>
  <c r="T623" i="3"/>
  <c r="T250" i="3"/>
  <c r="T677" i="3"/>
  <c r="T888" i="3"/>
  <c r="W888" i="3" s="1"/>
  <c r="T26" i="3"/>
  <c r="T413" i="3"/>
  <c r="T62" i="3"/>
  <c r="T737" i="3"/>
  <c r="T471" i="3"/>
  <c r="T694" i="3"/>
  <c r="T320" i="3"/>
  <c r="T615" i="3"/>
  <c r="T761" i="3"/>
  <c r="T270" i="3"/>
  <c r="T163" i="3"/>
  <c r="T606" i="3"/>
  <c r="T138" i="3"/>
  <c r="T178" i="3"/>
  <c r="T360" i="3"/>
  <c r="T777" i="3"/>
  <c r="T539" i="3"/>
  <c r="T48" i="3"/>
  <c r="T67" i="3"/>
  <c r="T853" i="3"/>
  <c r="T37" i="3"/>
  <c r="T788" i="3"/>
  <c r="T675" i="3"/>
  <c r="T31" i="3"/>
  <c r="T167" i="3"/>
  <c r="T329" i="3"/>
  <c r="T462" i="3"/>
  <c r="T190" i="3"/>
  <c r="T17" i="3"/>
  <c r="T650" i="3"/>
  <c r="T796" i="3"/>
  <c r="T792" i="3"/>
  <c r="T631" i="3"/>
  <c r="T526" i="3"/>
  <c r="T480" i="3"/>
  <c r="T682" i="3"/>
  <c r="T302" i="3"/>
  <c r="T290" i="3"/>
  <c r="T680" i="3"/>
  <c r="T43" i="3"/>
  <c r="T191" i="3"/>
  <c r="T689" i="3"/>
  <c r="T557" i="3"/>
  <c r="T144" i="3"/>
  <c r="T833" i="3"/>
  <c r="T241" i="3"/>
  <c r="T769" i="3"/>
  <c r="T374" i="3"/>
  <c r="T137" i="3"/>
  <c r="T803" i="3"/>
  <c r="T213" i="3"/>
  <c r="T464" i="3"/>
  <c r="T49" i="3"/>
  <c r="T842" i="3"/>
  <c r="T353" i="3"/>
  <c r="T720" i="3"/>
  <c r="T639" i="3"/>
  <c r="T156" i="3"/>
  <c r="T166" i="3"/>
  <c r="T765" i="3"/>
  <c r="T85" i="3"/>
  <c r="T578" i="3"/>
  <c r="T84" i="3"/>
  <c r="T27" i="3"/>
  <c r="T318" i="3"/>
  <c r="T198" i="3"/>
  <c r="T782" i="3"/>
  <c r="T553" i="3"/>
  <c r="T516" i="3"/>
  <c r="T603" i="3"/>
  <c r="T126" i="3"/>
  <c r="T643" i="3"/>
  <c r="T495" i="3"/>
  <c r="T301" i="3"/>
  <c r="T172" i="3"/>
  <c r="T607" i="3"/>
  <c r="T414" i="3"/>
  <c r="M12" i="11"/>
  <c r="N12" i="11" s="1"/>
  <c r="J11" i="11"/>
  <c r="K11" i="11"/>
  <c r="K8" i="11"/>
  <c r="J8" i="11"/>
  <c r="L10" i="11"/>
  <c r="M10" i="11"/>
  <c r="J9" i="11"/>
  <c r="K9" i="11"/>
  <c r="X15" i="3"/>
  <c r="X746" i="3"/>
  <c r="X616" i="3"/>
  <c r="X699" i="3"/>
  <c r="X826" i="3"/>
  <c r="X455" i="3"/>
  <c r="X42" i="3"/>
  <c r="X706" i="3"/>
  <c r="X720" i="3"/>
  <c r="X41" i="3"/>
  <c r="X57" i="3"/>
  <c r="X516" i="3"/>
  <c r="X498" i="3"/>
  <c r="X320" i="3"/>
  <c r="X6" i="3"/>
  <c r="X581" i="3"/>
  <c r="X283" i="3"/>
  <c r="X344" i="3"/>
  <c r="X719" i="3"/>
  <c r="X201" i="3"/>
  <c r="X47" i="3"/>
  <c r="X802" i="3"/>
  <c r="X333" i="3"/>
  <c r="X696" i="3"/>
  <c r="X574" i="3"/>
  <c r="X484" i="3"/>
  <c r="X458" i="3"/>
  <c r="X866" i="3"/>
  <c r="X59" i="3"/>
  <c r="X124" i="3"/>
  <c r="X842" i="3"/>
  <c r="X599" i="3"/>
  <c r="X691" i="3"/>
  <c r="X437" i="3"/>
  <c r="X714" i="3"/>
  <c r="X771" i="3"/>
  <c r="X469" i="3"/>
  <c r="X166" i="3"/>
  <c r="X430" i="3"/>
  <c r="X542" i="3"/>
  <c r="X270" i="3"/>
  <c r="X302" i="3"/>
  <c r="X713" i="3"/>
  <c r="X220" i="3"/>
  <c r="X777" i="3"/>
  <c r="X740" i="3"/>
  <c r="X829" i="3"/>
  <c r="X119" i="3"/>
  <c r="X325" i="3"/>
  <c r="X470" i="3"/>
  <c r="X363" i="3"/>
  <c r="X501" i="3"/>
  <c r="X212" i="3"/>
  <c r="X708" i="3"/>
  <c r="X784" i="3"/>
  <c r="X75" i="3"/>
  <c r="X716" i="3"/>
  <c r="X737" i="3"/>
  <c r="X450" i="3"/>
  <c r="AC450" i="3" s="1"/>
  <c r="X836" i="3"/>
  <c r="X491" i="3"/>
  <c r="X815" i="3"/>
  <c r="X460" i="3"/>
  <c r="X83" i="3"/>
  <c r="AC83" i="3" s="1"/>
  <c r="X521" i="3"/>
  <c r="X639" i="3"/>
  <c r="X603" i="3"/>
  <c r="X595" i="3"/>
  <c r="X602" i="3"/>
  <c r="X255" i="3"/>
  <c r="X382" i="3"/>
  <c r="X822" i="3"/>
  <c r="X553" i="3"/>
  <c r="X485" i="3"/>
  <c r="X177" i="3"/>
  <c r="X601" i="3"/>
  <c r="X463" i="3"/>
  <c r="X103" i="3"/>
  <c r="X590" i="3"/>
  <c r="X881" i="3"/>
  <c r="X641" i="3"/>
  <c r="X801" i="3"/>
  <c r="X578" i="3"/>
  <c r="X800" i="3"/>
  <c r="X852" i="3"/>
  <c r="X723" i="3"/>
  <c r="X60" i="3"/>
  <c r="AC60" i="3" s="1"/>
  <c r="X409" i="3"/>
  <c r="X102" i="3"/>
  <c r="X187" i="3"/>
  <c r="X486" i="3"/>
  <c r="X258" i="3"/>
  <c r="X178" i="3"/>
  <c r="X379" i="3"/>
  <c r="X414" i="3"/>
  <c r="X26" i="3"/>
  <c r="X84" i="3"/>
  <c r="X389" i="3"/>
  <c r="AC389" i="3" s="1"/>
  <c r="X381" i="3"/>
  <c r="X505" i="3"/>
  <c r="X649" i="3"/>
  <c r="X383" i="3"/>
  <c r="X598" i="3"/>
  <c r="X65" i="3"/>
  <c r="X200" i="3"/>
  <c r="X223" i="3"/>
  <c r="AC223" i="3" s="1"/>
  <c r="X577" i="3"/>
  <c r="X734" i="3"/>
  <c r="X781" i="3"/>
  <c r="X432" i="3"/>
  <c r="X736" i="3"/>
  <c r="AC736" i="3" s="1"/>
  <c r="X779" i="3"/>
  <c r="X847" i="3"/>
  <c r="X814" i="3"/>
  <c r="X293" i="3"/>
  <c r="X782" i="3"/>
  <c r="X89" i="3"/>
  <c r="X483" i="3"/>
  <c r="X615" i="3"/>
  <c r="X515" i="3"/>
  <c r="X726" i="3"/>
  <c r="X126" i="3"/>
  <c r="X787" i="3"/>
  <c r="X248" i="3"/>
  <c r="X421" i="3"/>
  <c r="X94" i="3"/>
  <c r="X552" i="3"/>
  <c r="X319" i="3"/>
  <c r="X748" i="3"/>
  <c r="X683" i="3"/>
  <c r="X565" i="3"/>
  <c r="X380" i="3"/>
  <c r="X118" i="3"/>
  <c r="X433" i="3"/>
  <c r="X514" i="3"/>
  <c r="X404" i="3"/>
  <c r="X761" i="3"/>
  <c r="X482" i="3"/>
  <c r="X587" i="3"/>
  <c r="X856" i="3"/>
  <c r="X690" i="3"/>
  <c r="X475" i="3"/>
  <c r="X614" i="3"/>
  <c r="X701" i="3"/>
  <c r="X459" i="3"/>
  <c r="X412" i="3"/>
  <c r="X395" i="3"/>
  <c r="AC395" i="3" s="1"/>
  <c r="X850" i="3"/>
  <c r="X472" i="3"/>
  <c r="X844" i="3"/>
  <c r="X582" i="3"/>
  <c r="X634" i="3"/>
  <c r="X854" i="3"/>
  <c r="X397" i="3"/>
  <c r="X773" i="3"/>
  <c r="X857" i="3"/>
  <c r="X652" i="3"/>
  <c r="AC652" i="3" s="1"/>
  <c r="X435" i="3"/>
  <c r="X568" i="3"/>
  <c r="X645" i="3"/>
  <c r="X401" i="3"/>
  <c r="X575" i="3"/>
  <c r="X188" i="3"/>
  <c r="X635" i="3"/>
  <c r="X845" i="3"/>
  <c r="X592" i="3"/>
  <c r="X788" i="3"/>
  <c r="X812" i="3"/>
  <c r="X820" i="3"/>
  <c r="X493" i="3"/>
  <c r="X479" i="3"/>
  <c r="X263" i="3"/>
  <c r="X468" i="3"/>
  <c r="AC468" i="3" s="1"/>
  <c r="X799" i="3"/>
  <c r="X629" i="3"/>
  <c r="X548" i="3"/>
  <c r="X416" i="3"/>
  <c r="X619" i="3"/>
  <c r="X663" i="3"/>
  <c r="X229" i="3"/>
  <c r="X725" i="3"/>
  <c r="X589" i="3"/>
  <c r="AC589" i="3" s="1"/>
  <c r="X605" i="3"/>
  <c r="X499" i="3"/>
  <c r="X671" i="3"/>
  <c r="X678" i="3"/>
  <c r="X339" i="3"/>
  <c r="X769" i="3"/>
  <c r="X451" i="3"/>
  <c r="X797" i="3"/>
  <c r="X434" i="3"/>
  <c r="X369" i="3"/>
  <c r="X762" i="3"/>
  <c r="X785" i="3"/>
  <c r="X529" i="3"/>
  <c r="X137" i="3"/>
  <c r="X461" i="3"/>
  <c r="X538" i="3"/>
  <c r="X541" i="3"/>
  <c r="X675" i="3"/>
  <c r="X692" i="3"/>
  <c r="X766" i="3"/>
  <c r="X353" i="3"/>
  <c r="X226" i="3"/>
  <c r="X366" i="3"/>
  <c r="X202" i="3"/>
  <c r="X446" i="3"/>
  <c r="X347" i="3"/>
  <c r="X612" i="3"/>
  <c r="X554" i="3"/>
  <c r="X243" i="3"/>
  <c r="X342" i="3"/>
  <c r="X717" i="3"/>
  <c r="AC717" i="3" s="1"/>
  <c r="X643" i="3"/>
  <c r="X436" i="3"/>
  <c r="X705" i="3"/>
  <c r="X823" i="3"/>
  <c r="X386" i="3"/>
  <c r="AC386" i="3" s="1"/>
  <c r="X134" i="3"/>
  <c r="X465" i="3"/>
  <c r="X280" i="3"/>
  <c r="X821" i="3"/>
  <c r="X180" i="3"/>
  <c r="X365" i="3"/>
  <c r="X351" i="3"/>
  <c r="X704" i="3"/>
  <c r="X194" i="3"/>
  <c r="X445" i="3"/>
  <c r="X638" i="3"/>
  <c r="X544" i="3"/>
  <c r="X181" i="3"/>
  <c r="AC181" i="3" s="1"/>
  <c r="X630" i="3"/>
  <c r="X362" i="3"/>
  <c r="X444" i="3"/>
  <c r="X859" i="3"/>
  <c r="X596" i="3"/>
  <c r="W596" i="3" s="1"/>
  <c r="X727" i="3"/>
  <c r="X431" i="3"/>
  <c r="X196" i="3"/>
  <c r="X246" i="3"/>
  <c r="X882" i="3"/>
  <c r="X176" i="3"/>
  <c r="X407" i="3"/>
  <c r="X80" i="3"/>
  <c r="X531" i="3"/>
  <c r="W531" i="3" s="1"/>
  <c r="X425" i="3"/>
  <c r="X313" i="3"/>
  <c r="X310" i="3"/>
  <c r="X495" i="3"/>
  <c r="X888" i="3"/>
  <c r="X323" i="3"/>
  <c r="X81" i="3"/>
  <c r="AC81" i="3" s="1"/>
  <c r="X647" i="3"/>
  <c r="X816" i="3"/>
  <c r="X681" i="3"/>
  <c r="X879" i="3"/>
  <c r="X593" i="3"/>
  <c r="X197" i="3"/>
  <c r="X67" i="3"/>
  <c r="X449" i="3"/>
  <c r="X122" i="3"/>
  <c r="X755" i="3"/>
  <c r="X561" i="3"/>
  <c r="X488" i="3"/>
  <c r="X28" i="3"/>
  <c r="X199" i="3"/>
  <c r="X573" i="3"/>
  <c r="W573" i="3" s="1"/>
  <c r="X210" i="3"/>
  <c r="X532" i="3"/>
  <c r="X193" i="3"/>
  <c r="X92" i="3"/>
  <c r="AC92" i="3" s="1"/>
  <c r="X271" i="3"/>
  <c r="X543" i="3"/>
  <c r="W543" i="3" s="1"/>
  <c r="X518" i="3"/>
  <c r="X440" i="3"/>
  <c r="X497" i="3"/>
  <c r="W497" i="3" s="1"/>
  <c r="X867" i="3"/>
  <c r="X48" i="3"/>
  <c r="X466" i="3"/>
  <c r="W466" i="3" s="1"/>
  <c r="X481" i="3"/>
  <c r="X510" i="3"/>
  <c r="X296" i="3"/>
  <c r="X626" i="3"/>
  <c r="X707" i="3"/>
  <c r="X424" i="3"/>
  <c r="W424" i="3" s="1"/>
  <c r="X504" i="3"/>
  <c r="X71" i="3"/>
  <c r="X555" i="3"/>
  <c r="X22" i="3"/>
  <c r="AC22" i="3" s="1"/>
  <c r="X267" i="3"/>
  <c r="X597" i="3"/>
  <c r="W597" i="3" s="1"/>
  <c r="X487" i="3"/>
  <c r="X301" i="3"/>
  <c r="X281" i="3"/>
  <c r="X618" i="3"/>
  <c r="W618" i="3" s="1"/>
  <c r="X549" i="3"/>
  <c r="W549" i="3" s="1"/>
  <c r="X213" i="3"/>
  <c r="X30" i="3"/>
  <c r="X7" i="3"/>
  <c r="X46" i="3"/>
  <c r="X503" i="3"/>
  <c r="W503" i="3" s="1"/>
  <c r="X374" i="3"/>
  <c r="X803" i="3"/>
  <c r="X274" i="3"/>
  <c r="X131" i="3"/>
  <c r="AC131" i="3" s="1"/>
  <c r="X172" i="3"/>
  <c r="X306" i="3"/>
  <c r="X853" i="3"/>
  <c r="X585" i="3"/>
  <c r="X278" i="3"/>
  <c r="X287" i="3"/>
  <c r="X651" i="3"/>
  <c r="X316" i="3"/>
  <c r="X624" i="3"/>
  <c r="W624" i="3" s="1"/>
  <c r="X78" i="3"/>
  <c r="AC78" i="3" s="1"/>
  <c r="X540" i="3"/>
  <c r="X655" i="3"/>
  <c r="X606" i="3"/>
  <c r="X855" i="3"/>
  <c r="AC855" i="3" s="1"/>
  <c r="X49" i="3"/>
  <c r="X79" i="3"/>
  <c r="X513" i="3"/>
  <c r="X406" i="3"/>
  <c r="X715" i="3"/>
  <c r="X608" i="3"/>
  <c r="X600" i="3"/>
  <c r="W600" i="3" s="1"/>
  <c r="X312" i="3"/>
  <c r="X508" i="3"/>
  <c r="W508" i="3" s="1"/>
  <c r="X735" i="3"/>
  <c r="X798" i="3"/>
  <c r="X38" i="3"/>
  <c r="X464" i="3"/>
  <c r="X519" i="3"/>
  <c r="X473" i="3"/>
  <c r="X767" i="3"/>
  <c r="X112" i="3"/>
  <c r="X427" i="3"/>
  <c r="X677" i="3"/>
  <c r="X732" i="3"/>
  <c r="X846" i="3"/>
  <c r="X410" i="3"/>
  <c r="W410" i="3" s="1"/>
  <c r="X760" i="3"/>
  <c r="X332" i="3"/>
  <c r="X730" i="3"/>
  <c r="X160" i="3"/>
  <c r="X791" i="3"/>
  <c r="X224" i="3"/>
  <c r="X252" i="3"/>
  <c r="X659" i="3"/>
  <c r="X241" i="3"/>
  <c r="X328" i="3"/>
  <c r="X64" i="3"/>
  <c r="X95" i="3"/>
  <c r="AC95" i="3" s="1"/>
  <c r="X833" i="3"/>
  <c r="X18" i="3"/>
  <c r="AC18" i="3" s="1"/>
  <c r="X741" i="3"/>
  <c r="X476" i="3"/>
  <c r="X373" i="3"/>
  <c r="X559" i="3"/>
  <c r="X371" i="3"/>
  <c r="X640" i="3"/>
  <c r="X262" i="3"/>
  <c r="X775" i="3"/>
  <c r="X297" i="3"/>
  <c r="X261" i="3"/>
  <c r="X471" i="3"/>
  <c r="X752" i="3"/>
  <c r="X474" i="3"/>
  <c r="W474" i="3" s="1"/>
  <c r="X874" i="3"/>
  <c r="X591" i="3"/>
  <c r="X676" i="3"/>
  <c r="X387" i="3"/>
  <c r="X133" i="3"/>
  <c r="AC133" i="3" s="1"/>
  <c r="X672" i="3"/>
  <c r="X128" i="3"/>
  <c r="X858" i="3"/>
  <c r="W858" i="3" s="1"/>
  <c r="X448" i="3"/>
  <c r="W448" i="3" s="1"/>
  <c r="X158" i="3"/>
  <c r="AC158" i="3" s="1"/>
  <c r="X145" i="3"/>
  <c r="X765" i="3"/>
  <c r="X53" i="3"/>
  <c r="X326" i="3"/>
  <c r="X204" i="3"/>
  <c r="X661" i="3"/>
  <c r="W661" i="3" s="1"/>
  <c r="X350" i="3"/>
  <c r="X318" i="3"/>
  <c r="X147" i="3"/>
  <c r="AC147" i="3" s="1"/>
  <c r="X159" i="3"/>
  <c r="AC159" i="3" s="1"/>
  <c r="X304" i="3"/>
  <c r="X98" i="3"/>
  <c r="X524" i="3"/>
  <c r="X880" i="3"/>
  <c r="X751" i="3"/>
  <c r="X10" i="3"/>
  <c r="X517" i="3"/>
  <c r="X125" i="3"/>
  <c r="AC125" i="3" s="1"/>
  <c r="X233" i="3"/>
  <c r="X354" i="3"/>
  <c r="X51" i="3"/>
  <c r="X876" i="3"/>
  <c r="X453" i="3"/>
  <c r="X417" i="3"/>
  <c r="X182" i="3"/>
  <c r="AC182" i="3" s="1"/>
  <c r="X9" i="3"/>
  <c r="X673" i="3"/>
  <c r="X279" i="3"/>
  <c r="X664" i="3"/>
  <c r="X411" i="3"/>
  <c r="X889" i="3"/>
  <c r="X686" i="3"/>
  <c r="W686" i="3" s="1"/>
  <c r="X838" i="3"/>
  <c r="X156" i="3"/>
  <c r="X198" i="3"/>
  <c r="X610" i="3"/>
  <c r="W610" i="3" s="1"/>
  <c r="X268" i="3"/>
  <c r="X745" i="3"/>
  <c r="X114" i="3"/>
  <c r="AC114" i="3" s="1"/>
  <c r="X294" i="3"/>
  <c r="X150" i="3"/>
  <c r="AC150" i="3" s="1"/>
  <c r="X163" i="3"/>
  <c r="X494" i="3"/>
  <c r="W494" i="3" s="1"/>
  <c r="X142" i="3"/>
  <c r="X219" i="3"/>
  <c r="X502" i="3"/>
  <c r="X637" i="3"/>
  <c r="X883" i="3"/>
  <c r="X550" i="3"/>
  <c r="X61" i="3"/>
  <c r="X338" i="3"/>
  <c r="X613" i="3"/>
  <c r="X273" i="3"/>
  <c r="X402" i="3"/>
  <c r="X877" i="3"/>
  <c r="X604" i="3"/>
  <c r="X528" i="3"/>
  <c r="X27" i="3"/>
  <c r="X13" i="3"/>
  <c r="X308" i="3"/>
  <c r="X558" i="3"/>
  <c r="X215" i="3"/>
  <c r="X749" i="3"/>
  <c r="W749" i="3" s="1"/>
  <c r="X808" i="3"/>
  <c r="X300" i="3"/>
  <c r="X62" i="3"/>
  <c r="X340" i="3"/>
  <c r="X694" i="3"/>
  <c r="X423" i="3"/>
  <c r="W423" i="3" s="1"/>
  <c r="X37" i="3"/>
  <c r="X189" i="3"/>
  <c r="X710" i="3"/>
  <c r="X227" i="3"/>
  <c r="X576" i="3"/>
  <c r="X885" i="3"/>
  <c r="X566" i="3"/>
  <c r="X364" i="3"/>
  <c r="W364" i="3" s="1"/>
  <c r="X388" i="3"/>
  <c r="X8" i="3"/>
  <c r="X539" i="3"/>
  <c r="X657" i="3"/>
  <c r="X31" i="3"/>
  <c r="X88" i="3"/>
  <c r="AC88" i="3" s="1"/>
  <c r="X288" i="3"/>
  <c r="X869" i="3"/>
  <c r="X108" i="3"/>
  <c r="X563" i="3"/>
  <c r="X546" i="3"/>
  <c r="X69" i="3"/>
  <c r="X644" i="3"/>
  <c r="X132" i="3"/>
  <c r="X609" i="3"/>
  <c r="X368" i="3"/>
  <c r="X214" i="3"/>
  <c r="X377" i="3"/>
  <c r="X886" i="3"/>
  <c r="X44" i="3"/>
  <c r="X506" i="3"/>
  <c r="X413" i="3"/>
  <c r="X607" i="3"/>
  <c r="X357" i="3"/>
  <c r="X768" i="3"/>
  <c r="X392" i="3"/>
  <c r="W392" i="3" s="1"/>
  <c r="X360" i="3"/>
  <c r="X148" i="3"/>
  <c r="X742" i="3"/>
  <c r="X623" i="3"/>
  <c r="X399" i="3"/>
  <c r="W399" i="3" s="1"/>
  <c r="X74" i="3"/>
  <c r="X729" i="3"/>
  <c r="X620" i="3"/>
  <c r="X254" i="3"/>
  <c r="X259" i="3"/>
  <c r="X85" i="3"/>
  <c r="X586" i="3"/>
  <c r="X849" i="3"/>
  <c r="X40" i="3"/>
  <c r="AC40" i="3" s="1"/>
  <c r="X153" i="3"/>
  <c r="X307" i="3"/>
  <c r="X192" i="3"/>
  <c r="X250" i="3"/>
  <c r="X184" i="3"/>
  <c r="X500" i="3"/>
  <c r="X564" i="3"/>
  <c r="X138" i="3"/>
  <c r="X384" i="3"/>
  <c r="W384" i="3" s="1"/>
  <c r="X331" i="3"/>
  <c r="X441" i="3"/>
  <c r="W441" i="3" s="1"/>
  <c r="X217" i="3"/>
  <c r="X207" i="3"/>
  <c r="X195" i="3"/>
  <c r="X375" i="3"/>
  <c r="X359" i="3"/>
  <c r="X111" i="3"/>
  <c r="X757" i="3"/>
  <c r="X662" i="3"/>
  <c r="X116" i="3"/>
  <c r="X780" i="3"/>
  <c r="X275" i="3"/>
  <c r="X256" i="3"/>
  <c r="X127" i="3"/>
  <c r="X264" i="3"/>
  <c r="X666" i="3"/>
  <c r="X522" i="3"/>
  <c r="X796" i="3"/>
  <c r="X711" i="3"/>
  <c r="X679" i="3"/>
  <c r="X756" i="3"/>
  <c r="X54" i="3"/>
  <c r="AC54" i="3" s="1"/>
  <c r="X17" i="3"/>
  <c r="X792" i="3"/>
  <c r="X525" i="3"/>
  <c r="X152" i="3"/>
  <c r="AC152" i="3" s="1"/>
  <c r="X32" i="3"/>
  <c r="AC32" i="3" s="1"/>
  <c r="X688" i="3"/>
  <c r="X269" i="3"/>
  <c r="X656" i="3"/>
  <c r="X642" i="3"/>
  <c r="X100" i="3"/>
  <c r="X58" i="3"/>
  <c r="AC58" i="3" s="1"/>
  <c r="X242" i="3"/>
  <c r="AC242" i="3" s="1"/>
  <c r="X370" i="3"/>
  <c r="X169" i="3"/>
  <c r="X186" i="3"/>
  <c r="X109" i="3"/>
  <c r="AC109" i="3" s="1"/>
  <c r="X120" i="3"/>
  <c r="AC120" i="3" s="1"/>
  <c r="X190" i="3"/>
  <c r="X185" i="3"/>
  <c r="X403" i="3"/>
  <c r="X447" i="3"/>
  <c r="X43" i="3"/>
  <c r="X547" i="3"/>
  <c r="X329" i="3"/>
  <c r="X221" i="3"/>
  <c r="X837" i="3"/>
  <c r="X327" i="3"/>
  <c r="X872" i="3"/>
  <c r="X839" i="3"/>
  <c r="X834" i="3"/>
  <c r="X284" i="3"/>
  <c r="X19" i="3"/>
  <c r="AC19" i="3" s="1"/>
  <c r="X348" i="3"/>
  <c r="X584" i="3"/>
  <c r="X143" i="3"/>
  <c r="X572" i="3"/>
  <c r="X211" i="3"/>
  <c r="X770" i="3"/>
  <c r="X21" i="3"/>
  <c r="AC21" i="3" s="1"/>
  <c r="X557" i="3"/>
  <c r="X361" i="3"/>
  <c r="X778" i="3"/>
  <c r="AC778" i="3" s="1"/>
  <c r="X669" i="3"/>
  <c r="X774" i="3"/>
  <c r="X317" i="3"/>
  <c r="X135" i="3"/>
  <c r="X146" i="3"/>
  <c r="AC146" i="3" s="1"/>
  <c r="X738" i="3"/>
  <c r="X70" i="3"/>
  <c r="AC70" i="3" s="1"/>
  <c r="X343" i="3"/>
  <c r="X560" i="3"/>
  <c r="X628" i="3"/>
  <c r="X698" i="3"/>
  <c r="X840" i="3"/>
  <c r="X828" i="3"/>
  <c r="X231" i="3"/>
  <c r="X272" i="3"/>
  <c r="X625" i="3"/>
  <c r="X209" i="3"/>
  <c r="X35" i="3"/>
  <c r="X24" i="3"/>
  <c r="X827" i="3"/>
  <c r="X99" i="3"/>
  <c r="X240" i="3"/>
  <c r="X843" i="3"/>
  <c r="X289" i="3"/>
  <c r="X286" i="3"/>
  <c r="X355" i="3"/>
  <c r="X292" i="3"/>
  <c r="X253" i="3"/>
  <c r="X536" i="3"/>
  <c r="X868" i="3"/>
  <c r="X36" i="3"/>
  <c r="X700" i="3"/>
  <c r="X864" i="3"/>
  <c r="X556" i="3"/>
  <c r="X824" i="3"/>
  <c r="X183" i="3"/>
  <c r="X216" i="3"/>
  <c r="X569" i="3"/>
  <c r="X230" i="3"/>
  <c r="X754" i="3"/>
  <c r="X480" i="3"/>
  <c r="X428" i="3"/>
  <c r="X728" i="3"/>
  <c r="X429" i="3"/>
  <c r="X5" i="3"/>
  <c r="X205" i="3"/>
  <c r="AC205" i="3" s="1"/>
  <c r="X588" i="3"/>
  <c r="X105" i="3"/>
  <c r="X419" i="3"/>
  <c r="X104" i="3"/>
  <c r="AC104" i="3" s="1"/>
  <c r="X744" i="3"/>
  <c r="X391" i="3"/>
  <c r="X763" i="3"/>
  <c r="X492" i="3"/>
  <c r="X23" i="3"/>
  <c r="AC23" i="3" s="1"/>
  <c r="X367" i="3"/>
  <c r="X34" i="3"/>
  <c r="AC34" i="3" s="1"/>
  <c r="X467" i="3"/>
  <c r="X191" i="3"/>
  <c r="X168" i="3"/>
  <c r="AC168" i="3" s="1"/>
  <c r="X33" i="3"/>
  <c r="AC33" i="3" s="1"/>
  <c r="X739" i="3"/>
  <c r="X285" i="3"/>
  <c r="X887" i="3"/>
  <c r="AC887" i="3" s="1"/>
  <c r="X562" i="3"/>
  <c r="X507" i="3"/>
  <c r="X155" i="3"/>
  <c r="X315" i="3"/>
  <c r="X76" i="3"/>
  <c r="AC76" i="3" s="1"/>
  <c r="X670" i="3"/>
  <c r="X724" i="3"/>
  <c r="X225" i="3"/>
  <c r="X298" i="3"/>
  <c r="X890" i="3"/>
  <c r="X813" i="3"/>
  <c r="X884" i="3"/>
  <c r="X167" i="3"/>
  <c r="X309" i="3"/>
  <c r="X636" i="3"/>
  <c r="X96" i="3"/>
  <c r="X680" i="3"/>
  <c r="X509" i="3"/>
  <c r="X875" i="3"/>
  <c r="X303" i="3"/>
  <c r="X206" i="3"/>
  <c r="X121" i="3"/>
  <c r="AC121" i="3" s="1"/>
  <c r="X439" i="3"/>
  <c r="X631" i="3"/>
  <c r="X702" i="3"/>
  <c r="X789" i="3"/>
  <c r="X16" i="3"/>
  <c r="AC16" i="3" s="1"/>
  <c r="X66" i="3"/>
  <c r="X356" i="3"/>
  <c r="X97" i="3"/>
  <c r="X496" i="3"/>
  <c r="X247" i="3"/>
  <c r="X123" i="3"/>
  <c r="AC123" i="3" s="1"/>
  <c r="X442" i="3"/>
  <c r="X750" i="3"/>
  <c r="X622" i="3"/>
  <c r="X72" i="3"/>
  <c r="AC72" i="3" s="1"/>
  <c r="X236" i="3"/>
  <c r="X786" i="3"/>
  <c r="X583" i="3"/>
  <c r="X314" i="3"/>
  <c r="X203" i="3"/>
  <c r="X753" i="3"/>
  <c r="X841" i="3"/>
  <c r="X878" i="3"/>
  <c r="AC878" i="3" s="1"/>
  <c r="X860" i="3"/>
  <c r="X208" i="3"/>
  <c r="X393" i="3"/>
  <c r="AC393" i="3" s="1"/>
  <c r="X228" i="3"/>
  <c r="X239" i="3"/>
  <c r="X372" i="3"/>
  <c r="X117" i="3"/>
  <c r="AC117" i="3" s="1"/>
  <c r="X633" i="3"/>
  <c r="X321" i="3"/>
  <c r="X175" i="3"/>
  <c r="AC175" i="3" s="1"/>
  <c r="X165" i="3"/>
  <c r="AC165" i="3" s="1"/>
  <c r="X580" i="3"/>
  <c r="X244" i="3"/>
  <c r="X891" i="3"/>
  <c r="X718" i="3"/>
  <c r="X101" i="3"/>
  <c r="X684" i="3"/>
  <c r="X794" i="3"/>
  <c r="X817" i="3"/>
  <c r="X665" i="3"/>
  <c r="X151" i="3"/>
  <c r="X25" i="3"/>
  <c r="X530" i="3"/>
  <c r="AC530" i="3" s="1"/>
  <c r="X396" i="3"/>
  <c r="X731" i="3"/>
  <c r="X862" i="3"/>
  <c r="X818" i="3"/>
  <c r="X627" i="3"/>
  <c r="X400" i="3"/>
  <c r="X277" i="3"/>
  <c r="X831" i="3"/>
  <c r="X426" i="3"/>
  <c r="X174" i="3"/>
  <c r="AC174" i="3" s="1"/>
  <c r="X141" i="3"/>
  <c r="AC141" i="3" s="1"/>
  <c r="X570" i="3"/>
  <c r="X807" i="3"/>
  <c r="X830" i="3"/>
  <c r="X456" i="3"/>
  <c r="X324" i="3"/>
  <c r="X422" i="3"/>
  <c r="X20" i="3"/>
  <c r="AC20" i="3" s="1"/>
  <c r="X170" i="3"/>
  <c r="X527" i="3"/>
  <c r="X617" i="3"/>
  <c r="X871" i="3"/>
  <c r="X276" i="3"/>
  <c r="X511" i="3"/>
  <c r="X337" i="3"/>
  <c r="AC337" i="3" s="1"/>
  <c r="X653" i="3"/>
  <c r="AC653" i="3" s="1"/>
  <c r="X86" i="3"/>
  <c r="AC86" i="3" s="1"/>
  <c r="X398" i="3"/>
  <c r="X851" i="3"/>
  <c r="X743" i="3"/>
  <c r="X658" i="3"/>
  <c r="X222" i="3"/>
  <c r="X349" i="3"/>
  <c r="X238" i="3"/>
  <c r="X90" i="3"/>
  <c r="X526" i="3"/>
  <c r="X77" i="3"/>
  <c r="AC77" i="3" s="1"/>
  <c r="X512" i="3"/>
  <c r="X12" i="3"/>
  <c r="AC12" i="3" s="1"/>
  <c r="X245" i="3"/>
  <c r="X290" i="3"/>
  <c r="X39" i="3"/>
  <c r="AC39" i="3" s="1"/>
  <c r="X345" i="3"/>
  <c r="X861" i="3"/>
  <c r="X695" i="3"/>
  <c r="X783" i="3"/>
  <c r="X454" i="3"/>
  <c r="X144" i="3"/>
  <c r="X415" i="3"/>
  <c r="X722" i="3"/>
  <c r="X682" i="3"/>
  <c r="X646" i="3"/>
  <c r="X712" i="3"/>
  <c r="X462" i="3"/>
  <c r="X873" i="3"/>
  <c r="X567" i="3"/>
  <c r="X721" i="3"/>
  <c r="X385" i="3"/>
  <c r="X91" i="3"/>
  <c r="AC91" i="3" s="1"/>
  <c r="X346" i="3"/>
  <c r="X660" i="3"/>
  <c r="X747" i="3"/>
  <c r="X835" i="3"/>
  <c r="X805" i="3"/>
  <c r="X260" i="3"/>
  <c r="X520" i="3"/>
  <c r="X63" i="3"/>
  <c r="X832" i="3"/>
  <c r="X790" i="3"/>
  <c r="X806" i="3"/>
  <c r="X457" i="3"/>
  <c r="X29" i="3"/>
  <c r="X130" i="3"/>
  <c r="AC130" i="3" s="1"/>
  <c r="X452" i="3"/>
  <c r="X863" i="3"/>
  <c r="X295" i="3"/>
  <c r="X299" i="3"/>
  <c r="X537" i="3"/>
  <c r="X322" i="3"/>
  <c r="X257" i="3"/>
  <c r="X390" i="3"/>
  <c r="X129" i="3"/>
  <c r="AC129" i="3" s="1"/>
  <c r="X115" i="3"/>
  <c r="AC115" i="3" s="1"/>
  <c r="X378" i="3"/>
  <c r="X107" i="3"/>
  <c r="AC107" i="3" s="1"/>
  <c r="X56" i="3"/>
  <c r="AC56" i="3" s="1"/>
  <c r="X811" i="3"/>
  <c r="X697" i="3"/>
  <c r="X438" i="3"/>
  <c r="X533" i="3"/>
  <c r="X218" i="3"/>
  <c r="X237" i="3"/>
  <c r="X161" i="3"/>
  <c r="AC161" i="3" s="1"/>
  <c r="X164" i="3"/>
  <c r="AC164" i="3" s="1"/>
  <c r="X478" i="3"/>
  <c r="X68" i="3"/>
  <c r="AC68" i="3" s="1"/>
  <c r="X87" i="3"/>
  <c r="X490" i="3"/>
  <c r="X733" i="3"/>
  <c r="X140" i="3"/>
  <c r="AC140" i="3" s="1"/>
  <c r="X477" i="3"/>
  <c r="X52" i="3"/>
  <c r="X674" i="3"/>
  <c r="X162" i="3"/>
  <c r="X795" i="3"/>
  <c r="X489" i="3"/>
  <c r="X311" i="3"/>
  <c r="X93" i="3"/>
  <c r="AC93" i="3" s="1"/>
  <c r="X249" i="3"/>
  <c r="X282" i="3"/>
  <c r="X45" i="3"/>
  <c r="X139" i="3"/>
  <c r="AC139" i="3" s="1"/>
  <c r="X110" i="3"/>
  <c r="AC110" i="3" s="1"/>
  <c r="X232" i="3"/>
  <c r="X11" i="3"/>
  <c r="AC11" i="3" s="1"/>
  <c r="X82" i="3"/>
  <c r="AC82" i="3" s="1"/>
  <c r="X154" i="3"/>
  <c r="X685" i="3"/>
  <c r="X687" i="3"/>
  <c r="X136" i="3"/>
  <c r="X251" i="3"/>
  <c r="X291" i="3"/>
  <c r="AC291" i="3" s="1"/>
  <c r="X234" i="3"/>
  <c r="X668" i="3"/>
  <c r="X667" i="3"/>
  <c r="X266" i="3"/>
  <c r="X352" i="3"/>
  <c r="X523" i="3"/>
  <c r="X648" i="3"/>
  <c r="X703" i="3"/>
  <c r="X113" i="3"/>
  <c r="AC113" i="3" s="1"/>
  <c r="X358" i="3"/>
  <c r="X405" i="3"/>
  <c r="X809" i="3"/>
  <c r="X621" i="3"/>
  <c r="X330" i="3"/>
  <c r="X55" i="3"/>
  <c r="X171" i="3"/>
  <c r="AC171" i="3" s="1"/>
  <c r="X534" i="3"/>
  <c r="X235" i="3"/>
  <c r="X335" i="3"/>
  <c r="X632" i="3"/>
  <c r="X819" i="3"/>
  <c r="X654" i="3"/>
  <c r="X149" i="3"/>
  <c r="X545" i="3"/>
  <c r="X594" i="3"/>
  <c r="X336" i="3"/>
  <c r="X14" i="3"/>
  <c r="AC14" i="3" s="1"/>
  <c r="X173" i="3"/>
  <c r="AC173" i="3" s="1"/>
  <c r="X551" i="3"/>
  <c r="X443" i="3"/>
  <c r="X394" i="3"/>
  <c r="X689" i="3"/>
  <c r="X693" i="3"/>
  <c r="X870" i="3"/>
  <c r="X804" i="3"/>
  <c r="X535" i="3"/>
  <c r="X759" i="3"/>
  <c r="X334" i="3"/>
  <c r="X848" i="3"/>
  <c r="X764" i="3"/>
  <c r="AC764" i="3" s="1"/>
  <c r="X305" i="3"/>
  <c r="X772" i="3"/>
  <c r="X865" i="3"/>
  <c r="X50" i="3"/>
  <c r="AC50" i="3" s="1"/>
  <c r="X376" i="3"/>
  <c r="X579" i="3"/>
  <c r="X793" i="3"/>
  <c r="X265" i="3"/>
  <c r="X709" i="3"/>
  <c r="X408" i="3"/>
  <c r="X420" i="3"/>
  <c r="X611" i="3"/>
  <c r="X106" i="3"/>
  <c r="X157" i="3"/>
  <c r="AC157" i="3" s="1"/>
  <c r="X776" i="3"/>
  <c r="X810" i="3"/>
  <c r="X758" i="3"/>
  <c r="X73" i="3"/>
  <c r="X341" i="3"/>
  <c r="X179" i="3"/>
  <c r="AC179" i="3" s="1"/>
  <c r="X571" i="3"/>
  <c r="X825" i="3"/>
  <c r="X650" i="3"/>
  <c r="X418" i="3"/>
  <c r="M4" i="11"/>
  <c r="L4" i="11"/>
  <c r="L6" i="11"/>
  <c r="M6" i="11"/>
  <c r="I13" i="10"/>
  <c r="I20" i="10"/>
  <c r="I10" i="10"/>
  <c r="I18" i="10"/>
  <c r="I23" i="10"/>
  <c r="I24" i="10"/>
  <c r="G29" i="10"/>
  <c r="I15" i="10"/>
  <c r="I19" i="10"/>
  <c r="I21" i="10"/>
  <c r="I14" i="10"/>
  <c r="I28" i="10"/>
  <c r="I4" i="10"/>
  <c r="I17" i="10"/>
  <c r="I16" i="10"/>
  <c r="I5" i="10"/>
  <c r="I7" i="10"/>
  <c r="I8" i="10"/>
  <c r="I9" i="10"/>
  <c r="E29" i="10"/>
  <c r="AD1" i="3"/>
  <c r="AD3" i="3"/>
  <c r="W842" i="3" l="1"/>
  <c r="W89" i="3"/>
  <c r="AC89" i="3" s="1"/>
  <c r="W90" i="3"/>
  <c r="AC90" i="3" s="1"/>
  <c r="AC848" i="3"/>
  <c r="W848" i="3"/>
  <c r="AC330" i="3"/>
  <c r="W330" i="3"/>
  <c r="AC257" i="3"/>
  <c r="W257" i="3"/>
  <c r="AC567" i="3"/>
  <c r="W567" i="3"/>
  <c r="AC376" i="3"/>
  <c r="W376" i="3"/>
  <c r="AC819" i="3"/>
  <c r="W819" i="3"/>
  <c r="AC621" i="3"/>
  <c r="W621" i="3"/>
  <c r="AC352" i="3"/>
  <c r="W352" i="3"/>
  <c r="AC687" i="3"/>
  <c r="W687" i="3"/>
  <c r="AC478" i="3"/>
  <c r="W478" i="3"/>
  <c r="W322" i="3"/>
  <c r="AC322" i="3" s="1"/>
  <c r="AC835" i="3"/>
  <c r="W835" i="3"/>
  <c r="AC873" i="3"/>
  <c r="W873" i="3"/>
  <c r="AC454" i="3"/>
  <c r="W454" i="3"/>
  <c r="AC658" i="3"/>
  <c r="W658" i="3"/>
  <c r="AC276" i="3"/>
  <c r="W276" i="3"/>
  <c r="AC456" i="3"/>
  <c r="W456" i="3"/>
  <c r="AC277" i="3"/>
  <c r="W277" i="3"/>
  <c r="AC750" i="3"/>
  <c r="W750" i="3"/>
  <c r="AC875" i="3"/>
  <c r="W875" i="3"/>
  <c r="AC813" i="3"/>
  <c r="W813" i="3"/>
  <c r="AC744" i="3"/>
  <c r="W744" i="3"/>
  <c r="AC728" i="3"/>
  <c r="W728" i="3"/>
  <c r="AC824" i="3"/>
  <c r="W824" i="3"/>
  <c r="AC292" i="3"/>
  <c r="W292" i="3"/>
  <c r="W317" i="3"/>
  <c r="AC317" i="3" s="1"/>
  <c r="AC370" i="3"/>
  <c r="W370" i="3"/>
  <c r="AC780" i="3"/>
  <c r="W780" i="3"/>
  <c r="AC252" i="3"/>
  <c r="W252" i="3"/>
  <c r="AC715" i="3"/>
  <c r="W715" i="3"/>
  <c r="AC836" i="3"/>
  <c r="W836" i="3"/>
  <c r="AC501" i="3"/>
  <c r="W501" i="3"/>
  <c r="AC220" i="3"/>
  <c r="W220" i="3"/>
  <c r="W301" i="3"/>
  <c r="AC301" i="3" s="1"/>
  <c r="W198" i="3"/>
  <c r="W803" i="3"/>
  <c r="W689" i="3"/>
  <c r="W526" i="3"/>
  <c r="W329" i="3"/>
  <c r="W270" i="3"/>
  <c r="W413" i="3"/>
  <c r="W862" i="3"/>
  <c r="AC415" i="3"/>
  <c r="W415" i="3"/>
  <c r="AC611" i="3"/>
  <c r="W611" i="3"/>
  <c r="AC535" i="3"/>
  <c r="W535" i="3"/>
  <c r="AC632" i="3"/>
  <c r="W632" i="3"/>
  <c r="AC809" i="3"/>
  <c r="W809" i="3"/>
  <c r="AC266" i="3"/>
  <c r="W266" i="3"/>
  <c r="AC537" i="3"/>
  <c r="W537" i="3"/>
  <c r="AC806" i="3"/>
  <c r="W806" i="3"/>
  <c r="AC747" i="3"/>
  <c r="W747" i="3"/>
  <c r="AC512" i="3"/>
  <c r="W512" i="3"/>
  <c r="AC830" i="3"/>
  <c r="W830" i="3"/>
  <c r="AC400" i="3"/>
  <c r="W400" i="3"/>
  <c r="AC203" i="3"/>
  <c r="W203" i="3"/>
  <c r="AC509" i="3"/>
  <c r="W509" i="3"/>
  <c r="AC507" i="3"/>
  <c r="W507" i="3"/>
  <c r="AC428" i="3"/>
  <c r="W428" i="3"/>
  <c r="AC556" i="3"/>
  <c r="W556" i="3"/>
  <c r="AC628" i="3"/>
  <c r="W628" i="3"/>
  <c r="AC872" i="3"/>
  <c r="W872" i="3"/>
  <c r="AC403" i="3"/>
  <c r="W403" i="3"/>
  <c r="AC838" i="3"/>
  <c r="W838" i="3"/>
  <c r="AC517" i="3"/>
  <c r="W517" i="3"/>
  <c r="AC224" i="3"/>
  <c r="W224" i="3"/>
  <c r="AC732" i="3"/>
  <c r="W732" i="3"/>
  <c r="AC306" i="3"/>
  <c r="W306" i="3"/>
  <c r="AC626" i="3"/>
  <c r="W626" i="3"/>
  <c r="AC323" i="3"/>
  <c r="W323" i="3"/>
  <c r="AC407" i="3"/>
  <c r="W407" i="3"/>
  <c r="AC859" i="3"/>
  <c r="W859" i="3"/>
  <c r="AC479" i="3"/>
  <c r="W479" i="3"/>
  <c r="AC787" i="3"/>
  <c r="W787" i="3"/>
  <c r="W495" i="3"/>
  <c r="W318" i="3"/>
  <c r="W639" i="3"/>
  <c r="W631" i="3"/>
  <c r="W539" i="3"/>
  <c r="AC394" i="3"/>
  <c r="W394" i="3"/>
  <c r="AC390" i="3"/>
  <c r="W390" i="3"/>
  <c r="AC349" i="3"/>
  <c r="W349" i="3"/>
  <c r="AC654" i="3"/>
  <c r="W654" i="3"/>
  <c r="AC697" i="3"/>
  <c r="W697" i="3"/>
  <c r="AC420" i="3"/>
  <c r="W420" i="3"/>
  <c r="AC335" i="3"/>
  <c r="W335" i="3"/>
  <c r="AC667" i="3"/>
  <c r="W667" i="3"/>
  <c r="W477" i="3"/>
  <c r="AC477" i="3" s="1"/>
  <c r="AC790" i="3"/>
  <c r="W790" i="3"/>
  <c r="AC660" i="3"/>
  <c r="W660" i="3"/>
  <c r="AC695" i="3"/>
  <c r="W695" i="3"/>
  <c r="AC851" i="3"/>
  <c r="W851" i="3"/>
  <c r="AC807" i="3"/>
  <c r="W807" i="3"/>
  <c r="AC627" i="3"/>
  <c r="W627" i="3"/>
  <c r="AC665" i="3"/>
  <c r="W665" i="3"/>
  <c r="AC228" i="3"/>
  <c r="W228" i="3"/>
  <c r="AC314" i="3"/>
  <c r="W314" i="3"/>
  <c r="AC286" i="3"/>
  <c r="W286" i="3"/>
  <c r="AC560" i="3"/>
  <c r="W560" i="3"/>
  <c r="AC327" i="3"/>
  <c r="W327" i="3"/>
  <c r="AC525" i="3"/>
  <c r="W525" i="3"/>
  <c r="AC662" i="3"/>
  <c r="W662" i="3"/>
  <c r="AC808" i="3"/>
  <c r="W808" i="3"/>
  <c r="AC591" i="3"/>
  <c r="W591" i="3"/>
  <c r="AC791" i="3"/>
  <c r="W791" i="3"/>
  <c r="AC267" i="3"/>
  <c r="W267" i="3"/>
  <c r="AC785" i="3"/>
  <c r="W785" i="3"/>
  <c r="AC619" i="3"/>
  <c r="W619" i="3"/>
  <c r="AC493" i="3"/>
  <c r="W493" i="3"/>
  <c r="AC482" i="3"/>
  <c r="W482" i="3"/>
  <c r="AC485" i="3"/>
  <c r="W485" i="3"/>
  <c r="W643" i="3"/>
  <c r="W720" i="3"/>
  <c r="W374" i="3"/>
  <c r="W792" i="3"/>
  <c r="W777" i="3"/>
  <c r="W615" i="3"/>
  <c r="W805" i="3"/>
  <c r="W733" i="3"/>
  <c r="W491" i="3"/>
  <c r="W735" i="3"/>
  <c r="W528" i="3"/>
  <c r="W510" i="3"/>
  <c r="W419" i="3"/>
  <c r="W299" i="3"/>
  <c r="AC721" i="3"/>
  <c r="W721" i="3"/>
  <c r="AC443" i="3"/>
  <c r="W443" i="3"/>
  <c r="AC772" i="3"/>
  <c r="W772" i="3"/>
  <c r="AC870" i="3"/>
  <c r="W870" i="3"/>
  <c r="AC336" i="3"/>
  <c r="W336" i="3"/>
  <c r="AC358" i="3"/>
  <c r="W358" i="3"/>
  <c r="AC668" i="3"/>
  <c r="W668" i="3"/>
  <c r="AC237" i="3"/>
  <c r="W237" i="3"/>
  <c r="AC832" i="3"/>
  <c r="W832" i="3"/>
  <c r="AC861" i="3"/>
  <c r="W861" i="3"/>
  <c r="AC398" i="3"/>
  <c r="W398" i="3"/>
  <c r="AC527" i="3"/>
  <c r="W527" i="3"/>
  <c r="AC570" i="3"/>
  <c r="W570" i="3"/>
  <c r="AC818" i="3"/>
  <c r="W818" i="3"/>
  <c r="AC817" i="3"/>
  <c r="W817" i="3"/>
  <c r="AC700" i="3"/>
  <c r="W700" i="3"/>
  <c r="AC289" i="3"/>
  <c r="W289" i="3"/>
  <c r="AC625" i="3"/>
  <c r="W625" i="3"/>
  <c r="AC343" i="3"/>
  <c r="W343" i="3"/>
  <c r="AC837" i="3"/>
  <c r="W837" i="3"/>
  <c r="AC666" i="3"/>
  <c r="W666" i="3"/>
  <c r="AC757" i="3"/>
  <c r="W757" i="3"/>
  <c r="AC620" i="3"/>
  <c r="W620" i="3"/>
  <c r="AC877" i="3"/>
  <c r="W877" i="3"/>
  <c r="AC640" i="3"/>
  <c r="W640" i="3"/>
  <c r="AC593" i="3"/>
  <c r="W593" i="3"/>
  <c r="AC762" i="3"/>
  <c r="W762" i="3"/>
  <c r="AC459" i="3"/>
  <c r="W459" i="3"/>
  <c r="AC748" i="3"/>
  <c r="W748" i="3"/>
  <c r="AC574" i="3"/>
  <c r="W574" i="3"/>
  <c r="AC283" i="3"/>
  <c r="W283" i="3"/>
  <c r="W353" i="3"/>
  <c r="W769" i="3"/>
  <c r="W680" i="3"/>
  <c r="W796" i="3"/>
  <c r="W675" i="3"/>
  <c r="W360" i="3"/>
  <c r="AC523" i="3"/>
  <c r="W523" i="3"/>
  <c r="AC758" i="3"/>
  <c r="W758" i="3"/>
  <c r="AC305" i="3"/>
  <c r="W305" i="3"/>
  <c r="AC693" i="3"/>
  <c r="W693" i="3"/>
  <c r="AC594" i="3"/>
  <c r="W594" i="3"/>
  <c r="AC234" i="3"/>
  <c r="W234" i="3"/>
  <c r="AC863" i="3"/>
  <c r="W863" i="3"/>
  <c r="AC345" i="3"/>
  <c r="W345" i="3"/>
  <c r="AC794" i="3"/>
  <c r="W794" i="3"/>
  <c r="AC208" i="3"/>
  <c r="W208" i="3"/>
  <c r="AC786" i="3"/>
  <c r="W786" i="3"/>
  <c r="AC496" i="3"/>
  <c r="W496" i="3"/>
  <c r="AC636" i="3"/>
  <c r="W636" i="3"/>
  <c r="AC724" i="3"/>
  <c r="W724" i="3"/>
  <c r="AC285" i="3"/>
  <c r="W285" i="3"/>
  <c r="AC843" i="3"/>
  <c r="W843" i="3"/>
  <c r="AC272" i="3"/>
  <c r="W272" i="3"/>
  <c r="AC361" i="3"/>
  <c r="W361" i="3"/>
  <c r="AC348" i="3"/>
  <c r="W348" i="3"/>
  <c r="AC221" i="3"/>
  <c r="W221" i="3"/>
  <c r="AC642" i="3"/>
  <c r="W642" i="3"/>
  <c r="AC264" i="3"/>
  <c r="W264" i="3"/>
  <c r="AC745" i="3"/>
  <c r="W745" i="3"/>
  <c r="AC876" i="3"/>
  <c r="W876" i="3"/>
  <c r="AC371" i="3"/>
  <c r="W371" i="3"/>
  <c r="AC651" i="3"/>
  <c r="W651" i="3"/>
  <c r="AC481" i="3"/>
  <c r="W481" i="3"/>
  <c r="AC488" i="3"/>
  <c r="W488" i="3"/>
  <c r="AC246" i="3"/>
  <c r="W246" i="3"/>
  <c r="AC365" i="3"/>
  <c r="W365" i="3"/>
  <c r="AC645" i="3"/>
  <c r="W645" i="3"/>
  <c r="AC634" i="3"/>
  <c r="W634" i="3"/>
  <c r="AC319" i="3"/>
  <c r="W319" i="3"/>
  <c r="AC696" i="3"/>
  <c r="W696" i="3"/>
  <c r="AC581" i="3"/>
  <c r="W581" i="3"/>
  <c r="W603" i="3"/>
  <c r="W578" i="3"/>
  <c r="W241" i="3"/>
  <c r="W290" i="3"/>
  <c r="W650" i="3"/>
  <c r="W788" i="3"/>
  <c r="W694" i="3"/>
  <c r="W250" i="3"/>
  <c r="W795" i="3"/>
  <c r="W768" i="3"/>
  <c r="W417" i="3"/>
  <c r="W595" i="3"/>
  <c r="W294" i="3"/>
  <c r="W212" i="3"/>
  <c r="W756" i="3"/>
  <c r="W868" i="3"/>
  <c r="W683" i="3"/>
  <c r="W363" i="3"/>
  <c r="W751" i="3"/>
  <c r="W235" i="3"/>
  <c r="W293" i="3"/>
  <c r="W592" i="3"/>
  <c r="W412" i="3"/>
  <c r="W847" i="3"/>
  <c r="AC648" i="3"/>
  <c r="W648" i="3"/>
  <c r="AC810" i="3"/>
  <c r="W810" i="3"/>
  <c r="AC489" i="3"/>
  <c r="W489" i="3"/>
  <c r="AC490" i="3"/>
  <c r="W490" i="3"/>
  <c r="AC452" i="3"/>
  <c r="W452" i="3"/>
  <c r="AC385" i="3"/>
  <c r="W385" i="3"/>
  <c r="AC722" i="3"/>
  <c r="W722" i="3"/>
  <c r="AC238" i="3"/>
  <c r="W238" i="3"/>
  <c r="AC731" i="3"/>
  <c r="W731" i="3"/>
  <c r="AC321" i="3"/>
  <c r="W321" i="3"/>
  <c r="AC860" i="3"/>
  <c r="W860" i="3"/>
  <c r="AC309" i="3"/>
  <c r="W309" i="3"/>
  <c r="AC569" i="3"/>
  <c r="W569" i="3"/>
  <c r="AC240" i="3"/>
  <c r="W240" i="3"/>
  <c r="W231" i="3"/>
  <c r="AC231" i="3" s="1"/>
  <c r="AC738" i="3"/>
  <c r="W738" i="3"/>
  <c r="AC656" i="3"/>
  <c r="W656" i="3"/>
  <c r="AC359" i="3"/>
  <c r="W359" i="3"/>
  <c r="AC869" i="3"/>
  <c r="W869" i="3"/>
  <c r="AC558" i="3"/>
  <c r="W558" i="3"/>
  <c r="W219" i="3"/>
  <c r="AC219" i="3" s="1"/>
  <c r="AC664" i="3"/>
  <c r="W664" i="3"/>
  <c r="AC332" i="3"/>
  <c r="W332" i="3"/>
  <c r="AC767" i="3"/>
  <c r="W767" i="3"/>
  <c r="AC681" i="3"/>
  <c r="W681" i="3"/>
  <c r="AC313" i="3"/>
  <c r="W313" i="3"/>
  <c r="AC629" i="3"/>
  <c r="W629" i="3"/>
  <c r="AC568" i="3"/>
  <c r="W568" i="3"/>
  <c r="AC598" i="3"/>
  <c r="W598" i="3"/>
  <c r="AC460" i="3"/>
  <c r="W460" i="3"/>
  <c r="W414" i="3"/>
  <c r="W516" i="3"/>
  <c r="W833" i="3"/>
  <c r="W302" i="3"/>
  <c r="W471" i="3"/>
  <c r="W623" i="3"/>
  <c r="AC426" i="3"/>
  <c r="W426" i="3"/>
  <c r="AC396" i="3"/>
  <c r="W396" i="3"/>
  <c r="AC763" i="3"/>
  <c r="W763" i="3"/>
  <c r="AC536" i="3"/>
  <c r="W536" i="3"/>
  <c r="AC256" i="3"/>
  <c r="W256" i="3"/>
  <c r="AC375" i="3"/>
  <c r="W375" i="3"/>
  <c r="AC849" i="3"/>
  <c r="W849" i="3"/>
  <c r="AC288" i="3"/>
  <c r="W288" i="3"/>
  <c r="AC760" i="3"/>
  <c r="W760" i="3"/>
  <c r="AC425" i="3"/>
  <c r="W425" i="3"/>
  <c r="AC475" i="3"/>
  <c r="W475" i="3"/>
  <c r="AC433" i="3"/>
  <c r="W433" i="3"/>
  <c r="AC379" i="3"/>
  <c r="W379" i="3"/>
  <c r="W607" i="3"/>
  <c r="W553" i="3"/>
  <c r="W765" i="3"/>
  <c r="W464" i="3"/>
  <c r="W682" i="3"/>
  <c r="W853" i="3"/>
  <c r="W606" i="3"/>
  <c r="W737" i="3"/>
  <c r="W445" i="3"/>
  <c r="AC334" i="3"/>
  <c r="W334" i="3"/>
  <c r="AC511" i="3"/>
  <c r="W511" i="3"/>
  <c r="AC831" i="3"/>
  <c r="W831" i="3"/>
  <c r="AC841" i="3"/>
  <c r="W841" i="3"/>
  <c r="AC303" i="3"/>
  <c r="W303" i="3"/>
  <c r="AC391" i="3"/>
  <c r="W391" i="3"/>
  <c r="AC429" i="3"/>
  <c r="W429" i="3"/>
  <c r="AC840" i="3"/>
  <c r="W840" i="3"/>
  <c r="AC770" i="3"/>
  <c r="W770" i="3"/>
  <c r="W195" i="3"/>
  <c r="AC195" i="3" s="1"/>
  <c r="W340" i="3"/>
  <c r="AC340" i="3" s="1"/>
  <c r="AC608" i="3"/>
  <c r="W608" i="3"/>
  <c r="AC585" i="3"/>
  <c r="W585" i="3"/>
  <c r="AC867" i="3"/>
  <c r="W867" i="3"/>
  <c r="AC532" i="3"/>
  <c r="W532" i="3"/>
  <c r="AC647" i="3"/>
  <c r="W647" i="3"/>
  <c r="AC727" i="3"/>
  <c r="W727" i="3"/>
  <c r="AC638" i="3"/>
  <c r="W638" i="3"/>
  <c r="AC690" i="3"/>
  <c r="W690" i="3"/>
  <c r="AC649" i="3"/>
  <c r="W649" i="3"/>
  <c r="AC852" i="3"/>
  <c r="W852" i="3"/>
  <c r="W782" i="3"/>
  <c r="W213" i="3"/>
  <c r="W557" i="3"/>
  <c r="W480" i="3"/>
  <c r="W462" i="3"/>
  <c r="W811" i="3"/>
  <c r="W411" i="3"/>
  <c r="W484" i="3"/>
  <c r="W800" i="3"/>
  <c r="W315" i="3"/>
  <c r="W243" i="3"/>
  <c r="W453" i="3"/>
  <c r="W326" i="3"/>
  <c r="W298" i="3"/>
  <c r="W580" i="3"/>
  <c r="W444" i="3"/>
  <c r="W699" i="3"/>
  <c r="W506" i="3"/>
  <c r="W522" i="3"/>
  <c r="W534" i="3"/>
  <c r="W261" i="3"/>
  <c r="W548" i="3"/>
  <c r="W711" i="3"/>
  <c r="W577" i="3"/>
  <c r="W513" i="3"/>
  <c r="W461" i="3"/>
  <c r="W554" i="3"/>
  <c r="W280" i="3"/>
  <c r="W562" i="3"/>
  <c r="W338" i="3"/>
  <c r="W401" i="3"/>
  <c r="W659" i="3"/>
  <c r="W706" i="3"/>
  <c r="W311" i="3"/>
  <c r="W712" i="3"/>
  <c r="W442" i="3"/>
  <c r="W499" i="3"/>
  <c r="W746" i="3"/>
  <c r="W468" i="3"/>
  <c r="W599" i="3"/>
  <c r="W652" i="3"/>
  <c r="W251" i="3"/>
  <c r="W717" i="3"/>
  <c r="W586" i="3"/>
  <c r="W487" i="3"/>
  <c r="W752" i="3"/>
  <c r="W584" i="3"/>
  <c r="W530" i="3"/>
  <c r="W328" i="3"/>
  <c r="W646" i="3"/>
  <c r="W440" i="3"/>
  <c r="W369" i="3"/>
  <c r="W331" i="3"/>
  <c r="W296" i="3"/>
  <c r="W551" i="3"/>
  <c r="W431" i="3"/>
  <c r="W382" i="3"/>
  <c r="W436" i="3"/>
  <c r="W204" i="3"/>
  <c r="W239" i="3"/>
  <c r="AC239" i="3" s="1"/>
  <c r="W718" i="3"/>
  <c r="W705" i="3"/>
  <c r="W799" i="3"/>
  <c r="W304" i="3"/>
  <c r="W587" i="3"/>
  <c r="W202" i="3"/>
  <c r="W655" i="3"/>
  <c r="W588" i="3"/>
  <c r="W263" i="3"/>
  <c r="W278" i="3"/>
  <c r="W518" i="3"/>
  <c r="W254" i="3"/>
  <c r="W540" i="3"/>
  <c r="W839" i="3"/>
  <c r="W347" i="3"/>
  <c r="W576" i="3"/>
  <c r="W397" i="3"/>
  <c r="W827" i="3"/>
  <c r="W422" i="3"/>
  <c r="W222" i="3"/>
  <c r="W244" i="3"/>
  <c r="W814" i="3"/>
  <c r="W308" i="3"/>
  <c r="W798" i="3"/>
  <c r="W476" i="3"/>
  <c r="W793" i="3"/>
  <c r="W730" i="3"/>
  <c r="W541" i="3"/>
  <c r="W383" i="3"/>
  <c r="W616" i="3"/>
  <c r="W227" i="3"/>
  <c r="W469" i="3"/>
  <c r="W676" i="3"/>
  <c r="W761" i="3"/>
  <c r="W439" i="3"/>
  <c r="W520" i="3"/>
  <c r="W200" i="3"/>
  <c r="W387" i="3"/>
  <c r="W233" i="3"/>
  <c r="W644" i="3"/>
  <c r="W834" i="3"/>
  <c r="W274" i="3"/>
  <c r="W602" i="3"/>
  <c r="W613" i="3"/>
  <c r="W438" i="3"/>
  <c r="W864" i="3"/>
  <c r="W601" i="3"/>
  <c r="W432" i="3"/>
  <c r="W430" i="3"/>
  <c r="W259" i="3"/>
  <c r="W804" i="3"/>
  <c r="W633" i="3"/>
  <c r="W502" i="3"/>
  <c r="W193" i="3"/>
  <c r="W672" i="3"/>
  <c r="W783" i="3"/>
  <c r="W342" i="3"/>
  <c r="W229" i="3"/>
  <c r="W373" i="3"/>
  <c r="W434" i="3"/>
  <c r="W505" i="3"/>
  <c r="W545" i="3"/>
  <c r="W467" i="3"/>
  <c r="W565" i="3"/>
  <c r="W766" i="3"/>
  <c r="W500" i="3"/>
  <c r="W409" i="3"/>
  <c r="W674" i="3"/>
  <c r="W284" i="3"/>
  <c r="W450" i="3"/>
  <c r="W333" i="3"/>
  <c r="W402" i="3"/>
  <c r="W637" i="3"/>
  <c r="W255" i="3"/>
  <c r="W515" i="3"/>
  <c r="W483" i="3"/>
  <c r="W566" i="3"/>
  <c r="W473" i="3"/>
  <c r="W544" i="3"/>
  <c r="W816" i="3"/>
  <c r="W524" i="3"/>
  <c r="W395" i="3"/>
  <c r="W822" i="3"/>
  <c r="W310" i="3"/>
  <c r="W242" i="3"/>
  <c r="W854" i="3"/>
  <c r="W470" i="3"/>
  <c r="W710" i="3"/>
  <c r="W207" i="3"/>
  <c r="W194" i="3"/>
  <c r="W209" i="3"/>
  <c r="AC209" i="3" s="1"/>
  <c r="W367" i="3"/>
  <c r="W829" i="3"/>
  <c r="W701" i="3"/>
  <c r="W729" i="3"/>
  <c r="W823" i="3"/>
  <c r="W709" i="3"/>
  <c r="W236" i="3"/>
  <c r="W368" i="3"/>
  <c r="W691" i="3"/>
  <c r="W214" i="3"/>
  <c r="W339" i="3"/>
  <c r="W583" i="3"/>
  <c r="W344" i="3"/>
  <c r="W498" i="3"/>
  <c r="W268" i="3"/>
  <c r="AC268" i="3" s="1"/>
  <c r="W673" i="3"/>
  <c r="W702" i="3"/>
  <c r="W258" i="3"/>
  <c r="W472" i="3"/>
  <c r="W538" i="3"/>
  <c r="W427" i="3"/>
  <c r="W874" i="3"/>
  <c r="W492" i="3"/>
  <c r="W547" i="3"/>
  <c r="W754" i="3"/>
  <c r="W828" i="3"/>
  <c r="W779" i="3"/>
  <c r="W389" i="3"/>
  <c r="W355" i="3"/>
  <c r="W223" i="3"/>
  <c r="W356" i="3"/>
  <c r="W563" i="3"/>
  <c r="W377" i="3"/>
  <c r="W312" i="3"/>
  <c r="W381" i="3"/>
  <c r="W457" i="3"/>
  <c r="W287" i="3"/>
  <c r="W324" i="3"/>
  <c r="W386" i="3"/>
  <c r="W550" i="3"/>
  <c r="W320" i="3"/>
  <c r="W677" i="3"/>
  <c r="W789" i="3"/>
  <c r="W663" i="3"/>
  <c r="W533" i="3"/>
  <c r="W316" i="3"/>
  <c r="W504" i="3"/>
  <c r="W437" i="3"/>
  <c r="W614" i="3"/>
  <c r="W372" i="3"/>
  <c r="W542" i="3"/>
  <c r="W781" i="3"/>
  <c r="W514" i="3"/>
  <c r="W630" i="3"/>
  <c r="W447" i="3"/>
  <c r="W196" i="3"/>
  <c r="AC196" i="3" s="1"/>
  <c r="W605" i="3"/>
  <c r="W366" i="3"/>
  <c r="W776" i="3"/>
  <c r="W380" i="3"/>
  <c r="W406" i="3"/>
  <c r="W279" i="3"/>
  <c r="W546" i="3"/>
  <c r="W739" i="3"/>
  <c r="W821" i="3"/>
  <c r="W281" i="3"/>
  <c r="W197" i="3"/>
  <c r="W230" i="3"/>
  <c r="W418" i="3"/>
  <c r="W743" i="3"/>
  <c r="W226" i="3"/>
  <c r="W678" i="3"/>
  <c r="W773" i="3"/>
  <c r="W590" i="3"/>
  <c r="W245" i="3"/>
  <c r="W575" i="3"/>
  <c r="W297" i="3"/>
  <c r="W519" i="3"/>
  <c r="W561" i="3"/>
  <c r="W393" i="3"/>
  <c r="W300" i="3"/>
  <c r="AC300" i="3" s="1"/>
  <c r="W217" i="3"/>
  <c r="W778" i="3"/>
  <c r="W866" i="3"/>
  <c r="W703" i="3"/>
  <c r="W351" i="3"/>
  <c r="W716" i="3"/>
  <c r="W247" i="3"/>
  <c r="W774" i="3"/>
  <c r="W192" i="3"/>
  <c r="W802" i="3"/>
  <c r="W657" i="3"/>
  <c r="W378" i="3"/>
  <c r="W325" i="3"/>
  <c r="W529" i="3"/>
  <c r="W435" i="3"/>
  <c r="W262" i="3"/>
  <c r="W216" i="3"/>
  <c r="W260" i="3"/>
  <c r="W282" i="3"/>
  <c r="W609" i="3"/>
  <c r="W269" i="3"/>
  <c r="W713" i="3"/>
  <c r="W725" i="3"/>
  <c r="W708" i="3"/>
  <c r="W801" i="3"/>
  <c r="W612" i="3"/>
  <c r="W357" i="3"/>
  <c r="W742" i="3"/>
  <c r="W455" i="3"/>
  <c r="W362" i="3"/>
  <c r="W671" i="3"/>
  <c r="W846" i="3"/>
  <c r="W820" i="3"/>
  <c r="W559" i="3"/>
  <c r="W775" i="3"/>
  <c r="W604" i="3"/>
  <c r="W354" i="3"/>
  <c r="W771" i="3"/>
  <c r="W857" i="3"/>
  <c r="W572" i="3"/>
  <c r="W295" i="3"/>
  <c r="W714" i="3"/>
  <c r="W248" i="3"/>
  <c r="W670" i="3"/>
  <c r="W753" i="3"/>
  <c r="W579" i="3"/>
  <c r="W692" i="3"/>
  <c r="W797" i="3"/>
  <c r="W815" i="3"/>
  <c r="W552" i="3"/>
  <c r="W688" i="3"/>
  <c r="W759" i="3"/>
  <c r="W704" i="3"/>
  <c r="W564" i="3"/>
  <c r="W812" i="3"/>
  <c r="W232" i="3"/>
  <c r="W685" i="3"/>
  <c r="W726" i="3"/>
  <c r="W458" i="3"/>
  <c r="W764" i="3"/>
  <c r="W205" i="3"/>
  <c r="W871" i="3"/>
  <c r="W844" i="3"/>
  <c r="W201" i="3"/>
  <c r="W215" i="3"/>
  <c r="W679" i="3"/>
  <c r="W253" i="3"/>
  <c r="W465" i="3"/>
  <c r="W865" i="3"/>
  <c r="W719" i="3"/>
  <c r="W855" i="3"/>
  <c r="W635" i="3"/>
  <c r="W736" i="3"/>
  <c r="W275" i="3"/>
  <c r="W653" i="3"/>
  <c r="W734" i="3"/>
  <c r="W571" i="3"/>
  <c r="W408" i="3"/>
  <c r="W291" i="3"/>
  <c r="W271" i="3"/>
  <c r="W249" i="3"/>
  <c r="W845" i="3"/>
  <c r="W486" i="3"/>
  <c r="W449" i="3"/>
  <c r="W723" i="3"/>
  <c r="W582" i="3"/>
  <c r="W698" i="3"/>
  <c r="W265" i="3"/>
  <c r="W555" i="3"/>
  <c r="W641" i="3"/>
  <c r="W740" i="3"/>
  <c r="W225" i="3"/>
  <c r="W206" i="3"/>
  <c r="W669" i="3"/>
  <c r="W850" i="3"/>
  <c r="W451" i="3"/>
  <c r="W350" i="3"/>
  <c r="W199" i="3"/>
  <c r="W210" i="3"/>
  <c r="W684" i="3"/>
  <c r="W273" i="3"/>
  <c r="W784" i="3"/>
  <c r="W463" i="3"/>
  <c r="W341" i="3"/>
  <c r="W825" i="3"/>
  <c r="W218" i="3"/>
  <c r="W404" i="3"/>
  <c r="W741" i="3"/>
  <c r="W388" i="3"/>
  <c r="W211" i="3"/>
  <c r="W405" i="3"/>
  <c r="W346" i="3"/>
  <c r="W421" i="3"/>
  <c r="W416" i="3"/>
  <c r="W446" i="3"/>
  <c r="W826" i="3"/>
  <c r="W521" i="3"/>
  <c r="W307" i="3"/>
  <c r="W589" i="3"/>
  <c r="W707" i="3"/>
  <c r="W337" i="3"/>
  <c r="W622" i="3"/>
  <c r="W617" i="3"/>
  <c r="W755" i="3"/>
  <c r="W856" i="3"/>
  <c r="L7" i="11"/>
  <c r="N7" i="11" s="1"/>
  <c r="AC251" i="3"/>
  <c r="AC571" i="3"/>
  <c r="AC45" i="3"/>
  <c r="AC442" i="3"/>
  <c r="AC328" i="3"/>
  <c r="AC856" i="3"/>
  <c r="AC177" i="3"/>
  <c r="AC25" i="3"/>
  <c r="AC372" i="3"/>
  <c r="AC447" i="3"/>
  <c r="AC297" i="3"/>
  <c r="AC226" i="3"/>
  <c r="AC380" i="3"/>
  <c r="AC866" i="3"/>
  <c r="AC217" i="3"/>
  <c r="AC773" i="3"/>
  <c r="AC57" i="3"/>
  <c r="AC575" i="3"/>
  <c r="AC64" i="3"/>
  <c r="AC418" i="3"/>
  <c r="AC590" i="3"/>
  <c r="AC245" i="3"/>
  <c r="AC775" i="3"/>
  <c r="AC462" i="3"/>
  <c r="AC734" i="3"/>
  <c r="AC408" i="3"/>
  <c r="AC170" i="3"/>
  <c r="AC271" i="3"/>
  <c r="AC275" i="3"/>
  <c r="M5" i="11"/>
  <c r="N5" i="11" s="1"/>
  <c r="AC362" i="3"/>
  <c r="AC671" i="3"/>
  <c r="AC820" i="3"/>
  <c r="AC357" i="3"/>
  <c r="AC559" i="3"/>
  <c r="AC455" i="3"/>
  <c r="AC743" i="3"/>
  <c r="AC789" i="3"/>
  <c r="AC890" i="3"/>
  <c r="AC796" i="3"/>
  <c r="AC44" i="3"/>
  <c r="AC406" i="3"/>
  <c r="AC663" i="3"/>
  <c r="AC546" i="3"/>
  <c r="AC197" i="3"/>
  <c r="AC678" i="3"/>
  <c r="AC230" i="3"/>
  <c r="AC630" i="3"/>
  <c r="AC739" i="3"/>
  <c r="AC614" i="3"/>
  <c r="AC776" i="3"/>
  <c r="AC279" i="3"/>
  <c r="AC281" i="3"/>
  <c r="AC821" i="3"/>
  <c r="AC103" i="3"/>
  <c r="AC533" i="3"/>
  <c r="AC128" i="3"/>
  <c r="AC71" i="3"/>
  <c r="AC605" i="3"/>
  <c r="AC514" i="3"/>
  <c r="AC136" i="3"/>
  <c r="AC183" i="3"/>
  <c r="AC366" i="3"/>
  <c r="AC612" i="3"/>
  <c r="AC52" i="3"/>
  <c r="AC355" i="3"/>
  <c r="AC617" i="3"/>
  <c r="AC307" i="3"/>
  <c r="AC160" i="3"/>
  <c r="AC854" i="3"/>
  <c r="AC521" i="3"/>
  <c r="AC310" i="3"/>
  <c r="AC825" i="3"/>
  <c r="AC622" i="3"/>
  <c r="AC66" i="3"/>
  <c r="AC421" i="3"/>
  <c r="AC826" i="3"/>
  <c r="AC550" i="3"/>
  <c r="AC381" i="3"/>
  <c r="AC457" i="3"/>
  <c r="AC73" i="3"/>
  <c r="AC377" i="3"/>
  <c r="AC563" i="3"/>
  <c r="AC637" i="3"/>
  <c r="AC709" i="3"/>
  <c r="AC214" i="3"/>
  <c r="AC402" i="3"/>
  <c r="AC701" i="3"/>
  <c r="AC515" i="3"/>
  <c r="AC779" i="3"/>
  <c r="AC822" i="3"/>
  <c r="AC733" i="3"/>
  <c r="AC312" i="3"/>
  <c r="AC287" i="3"/>
  <c r="AC333" i="3"/>
  <c r="AC55" i="3"/>
  <c r="AC356" i="3"/>
  <c r="AC483" i="3"/>
  <c r="AC255" i="3"/>
  <c r="AC324" i="3"/>
  <c r="AC227" i="3"/>
  <c r="AC616" i="3"/>
  <c r="AC254" i="3"/>
  <c r="AC296" i="3"/>
  <c r="AC518" i="3"/>
  <c r="AC176" i="3"/>
  <c r="AC397" i="3"/>
  <c r="AC814" i="3"/>
  <c r="AC187" i="3"/>
  <c r="AC28" i="3"/>
  <c r="AC75" i="3"/>
  <c r="AC119" i="3"/>
  <c r="AC541" i="3"/>
  <c r="AC793" i="3"/>
  <c r="AC5" i="3"/>
  <c r="AC308" i="3"/>
  <c r="AC383" i="3"/>
  <c r="AC476" i="3"/>
  <c r="AC469" i="3"/>
  <c r="AC38" i="3"/>
  <c r="AC67" i="3"/>
  <c r="AC243" i="3"/>
  <c r="AC188" i="3"/>
  <c r="AC577" i="3"/>
  <c r="AC746" i="3"/>
  <c r="AC584" i="3"/>
  <c r="AC111" i="3"/>
  <c r="AC108" i="3"/>
  <c r="AC499" i="3"/>
  <c r="AC599" i="3"/>
  <c r="AC180" i="3"/>
  <c r="AC871" i="3"/>
  <c r="AC116" i="3"/>
  <c r="AC719" i="3"/>
  <c r="AC186" i="3"/>
  <c r="AC142" i="3"/>
  <c r="AC844" i="3"/>
  <c r="AC579" i="3"/>
  <c r="AC253" i="3"/>
  <c r="AC688" i="3"/>
  <c r="AC679" i="3"/>
  <c r="AC623" i="3"/>
  <c r="AC59" i="3"/>
  <c r="AC61" i="3"/>
  <c r="AC465" i="3"/>
  <c r="AC635" i="3"/>
  <c r="AC201" i="3"/>
  <c r="AC865" i="3"/>
  <c r="AC631" i="3"/>
  <c r="AC79" i="3"/>
  <c r="AC761" i="3"/>
  <c r="AC726" i="3"/>
  <c r="AC200" i="3"/>
  <c r="AC215" i="3"/>
  <c r="AC881" i="3"/>
  <c r="AC74" i="3"/>
  <c r="AC341" i="3"/>
  <c r="AC405" i="3"/>
  <c r="AC265" i="3"/>
  <c r="AC684" i="3"/>
  <c r="AC273" i="3"/>
  <c r="AC446" i="3"/>
  <c r="AC206" i="3"/>
  <c r="AC106" i="3"/>
  <c r="AC698" i="3"/>
  <c r="AC211" i="3"/>
  <c r="AC741" i="3"/>
  <c r="AC464" i="3"/>
  <c r="AC853" i="3"/>
  <c r="AC210" i="3"/>
  <c r="AC445" i="3"/>
  <c r="AC850" i="3"/>
  <c r="M13" i="11"/>
  <c r="N13" i="11" s="1"/>
  <c r="AC35" i="3"/>
  <c r="AC148" i="3"/>
  <c r="AC249" i="3"/>
  <c r="AC669" i="3"/>
  <c r="AC185" i="3"/>
  <c r="AC883" i="3"/>
  <c r="AC350" i="3"/>
  <c r="AC416" i="3"/>
  <c r="AC346" i="3"/>
  <c r="AC225" i="3"/>
  <c r="AC190" i="3"/>
  <c r="AC218" i="3"/>
  <c r="AC63" i="3"/>
  <c r="AC153" i="3"/>
  <c r="AC388" i="3"/>
  <c r="AC112" i="3"/>
  <c r="AC650" i="3"/>
  <c r="AC149" i="3"/>
  <c r="AC795" i="3"/>
  <c r="AC260" i="3"/>
  <c r="AC290" i="3"/>
  <c r="AC101" i="3"/>
  <c r="AC216" i="3"/>
  <c r="AC269" i="3"/>
  <c r="AC756" i="3"/>
  <c r="AC609" i="3"/>
  <c r="AC98" i="3"/>
  <c r="AC241" i="3"/>
  <c r="AC592" i="3"/>
  <c r="AC435" i="3"/>
  <c r="AC708" i="3"/>
  <c r="AC802" i="3"/>
  <c r="AC725" i="3"/>
  <c r="AC282" i="3"/>
  <c r="AC774" i="3"/>
  <c r="AC657" i="3"/>
  <c r="AC529" i="3"/>
  <c r="AC713" i="3"/>
  <c r="AC192" i="3"/>
  <c r="AC886" i="3"/>
  <c r="AC294" i="3"/>
  <c r="AC417" i="3"/>
  <c r="AC262" i="3"/>
  <c r="AC412" i="3"/>
  <c r="AC683" i="3"/>
  <c r="AC801" i="3"/>
  <c r="AC378" i="3"/>
  <c r="AC247" i="3"/>
  <c r="AC325" i="3"/>
  <c r="AC316" i="3"/>
  <c r="AC99" i="3"/>
  <c r="AC504" i="3"/>
  <c r="AC122" i="3"/>
  <c r="AC781" i="3"/>
  <c r="AC47" i="3"/>
  <c r="AC235" i="3"/>
  <c r="AC100" i="3"/>
  <c r="AC751" i="3"/>
  <c r="AC351" i="3"/>
  <c r="AC847" i="3"/>
  <c r="AC102" i="3"/>
  <c r="AC716" i="3"/>
  <c r="AC65" i="3"/>
  <c r="AC703" i="3"/>
  <c r="AC868" i="3"/>
  <c r="AC788" i="3"/>
  <c r="AC13" i="3"/>
  <c r="AC178" i="3"/>
  <c r="AC212" i="3"/>
  <c r="AC46" i="3"/>
  <c r="AC595" i="3"/>
  <c r="AC891" i="3"/>
  <c r="AC250" i="3"/>
  <c r="AC293" i="3"/>
  <c r="AC363" i="3"/>
  <c r="AC353" i="3"/>
  <c r="AC295" i="3"/>
  <c r="AC812" i="3"/>
  <c r="AC232" i="3"/>
  <c r="AC670" i="3"/>
  <c r="AC138" i="3"/>
  <c r="AC564" i="3"/>
  <c r="AC797" i="3"/>
  <c r="AC685" i="3"/>
  <c r="AC151" i="3"/>
  <c r="AC572" i="3"/>
  <c r="AC134" i="3"/>
  <c r="AC714" i="3"/>
  <c r="AC458" i="3"/>
  <c r="AC299" i="3"/>
  <c r="AC702" i="3"/>
  <c r="AC419" i="3"/>
  <c r="AC344" i="3"/>
  <c r="AC41" i="3"/>
  <c r="AC583" i="3"/>
  <c r="AC367" i="3"/>
  <c r="AC754" i="3"/>
  <c r="AC792" i="3"/>
  <c r="AC189" i="3"/>
  <c r="AC874" i="3"/>
  <c r="AC735" i="3"/>
  <c r="AC510" i="3"/>
  <c r="AC823" i="3"/>
  <c r="AC691" i="3"/>
  <c r="AC236" i="3"/>
  <c r="AC97" i="3"/>
  <c r="AC492" i="3"/>
  <c r="AC368" i="3"/>
  <c r="AC828" i="3"/>
  <c r="AC547" i="3"/>
  <c r="AC538" i="3"/>
  <c r="AC673" i="3"/>
  <c r="AC472" i="3"/>
  <c r="AC498" i="3"/>
  <c r="AC207" i="3"/>
  <c r="AC258" i="3"/>
  <c r="AC69" i="3"/>
  <c r="AC528" i="3"/>
  <c r="AC194" i="3"/>
  <c r="AC339" i="3"/>
  <c r="AC829" i="3"/>
  <c r="AC244" i="3"/>
  <c r="AC7" i="3"/>
  <c r="AC440" i="3"/>
  <c r="AC587" i="3"/>
  <c r="AC783" i="3"/>
  <c r="AC467" i="3"/>
  <c r="AC259" i="3"/>
  <c r="AC145" i="3"/>
  <c r="AC565" i="3"/>
  <c r="AC578" i="3"/>
  <c r="AC603" i="3"/>
  <c r="AC804" i="3"/>
  <c r="AC864" i="3"/>
  <c r="AC766" i="3"/>
  <c r="AC36" i="3"/>
  <c r="AC502" i="3"/>
  <c r="AC409" i="3"/>
  <c r="AC545" i="3"/>
  <c r="AC434" i="3"/>
  <c r="AC633" i="3"/>
  <c r="AC284" i="3"/>
  <c r="AC672" i="3"/>
  <c r="AC373" i="3"/>
  <c r="AC193" i="3"/>
  <c r="AC438" i="3"/>
  <c r="AC674" i="3"/>
  <c r="AC342" i="3"/>
  <c r="AC229" i="3"/>
  <c r="AC505" i="3"/>
  <c r="AC680" i="3"/>
  <c r="AC360" i="3"/>
  <c r="AC604" i="3"/>
  <c r="AC10" i="3"/>
  <c r="AC833" i="3"/>
  <c r="AC677" i="3"/>
  <c r="AC704" i="3"/>
  <c r="AC437" i="3"/>
  <c r="AC8" i="3"/>
  <c r="AC692" i="3"/>
  <c r="AC439" i="3"/>
  <c r="AC17" i="3"/>
  <c r="AC37" i="3"/>
  <c r="AC49" i="3"/>
  <c r="AC274" i="3"/>
  <c r="AC879" i="3"/>
  <c r="AC675" i="3"/>
  <c r="AC26" i="3"/>
  <c r="AC542" i="3"/>
  <c r="AC552" i="3"/>
  <c r="AC815" i="3"/>
  <c r="AC320" i="3"/>
  <c r="AC759" i="3"/>
  <c r="AC753" i="3"/>
  <c r="AC24" i="3"/>
  <c r="AC184" i="3"/>
  <c r="AC85" i="3"/>
  <c r="AC80" i="3"/>
  <c r="AC769" i="3"/>
  <c r="AC857" i="3"/>
  <c r="AC248" i="3"/>
  <c r="AC771" i="3"/>
  <c r="AC143" i="3"/>
  <c r="AC710" i="3"/>
  <c r="AC888" i="3"/>
  <c r="AC470" i="3"/>
  <c r="AC520" i="3"/>
  <c r="AC615" i="3"/>
  <c r="AC430" i="3"/>
  <c r="AC42" i="3"/>
  <c r="AC87" i="3"/>
  <c r="AC613" i="3"/>
  <c r="AC374" i="3"/>
  <c r="AC643" i="3"/>
  <c r="AC432" i="3"/>
  <c r="AC805" i="3"/>
  <c r="AC834" i="3"/>
  <c r="AC43" i="3"/>
  <c r="AC132" i="3"/>
  <c r="AC233" i="3"/>
  <c r="AC602" i="3"/>
  <c r="AC491" i="3"/>
  <c r="AC777" i="3"/>
  <c r="AC191" i="3"/>
  <c r="AC644" i="3"/>
  <c r="AC31" i="3"/>
  <c r="AC27" i="3"/>
  <c r="AC137" i="3"/>
  <c r="AC601" i="3"/>
  <c r="AC646" i="3"/>
  <c r="AC526" i="3"/>
  <c r="AC331" i="3"/>
  <c r="AC889" i="3"/>
  <c r="AC270" i="3"/>
  <c r="AC862" i="3"/>
  <c r="AC588" i="3"/>
  <c r="AC705" i="3"/>
  <c r="AC347" i="3"/>
  <c r="AC369" i="3"/>
  <c r="AC689" i="3"/>
  <c r="AC329" i="3"/>
  <c r="AC204" i="3"/>
  <c r="AC436" i="3"/>
  <c r="AC382" i="3"/>
  <c r="AC422" i="3"/>
  <c r="AC278" i="3"/>
  <c r="AC48" i="3"/>
  <c r="AC431" i="3"/>
  <c r="AC202" i="3"/>
  <c r="AC799" i="3"/>
  <c r="AC124" i="3"/>
  <c r="AC222" i="3"/>
  <c r="AC718" i="3"/>
  <c r="AC884" i="3"/>
  <c r="AC827" i="3"/>
  <c r="AC135" i="3"/>
  <c r="AC169" i="3"/>
  <c r="AC413" i="3"/>
  <c r="AC198" i="3"/>
  <c r="AC304" i="3"/>
  <c r="AC655" i="3"/>
  <c r="AC118" i="3"/>
  <c r="AC162" i="3"/>
  <c r="AC551" i="3"/>
  <c r="AC155" i="3"/>
  <c r="AC839" i="3"/>
  <c r="AC576" i="3"/>
  <c r="AC156" i="3"/>
  <c r="AC540" i="3"/>
  <c r="AC263" i="3"/>
  <c r="AC126" i="3"/>
  <c r="AC84" i="3"/>
  <c r="AC539" i="3"/>
  <c r="AC318" i="3"/>
  <c r="AC639" i="3"/>
  <c r="AC682" i="3"/>
  <c r="AC803" i="3"/>
  <c r="AC167" i="3"/>
  <c r="AC607" i="3"/>
  <c r="AC144" i="3"/>
  <c r="AC302" i="3"/>
  <c r="AC154" i="3"/>
  <c r="AC712" i="3"/>
  <c r="AC580" i="3"/>
  <c r="AC298" i="3"/>
  <c r="AC562" i="3"/>
  <c r="AC480" i="3"/>
  <c r="AC522" i="3"/>
  <c r="AC513" i="3"/>
  <c r="AC172" i="3"/>
  <c r="AC554" i="3"/>
  <c r="AC96" i="3"/>
  <c r="AC105" i="3"/>
  <c r="AC453" i="3"/>
  <c r="AC213" i="3"/>
  <c r="AC401" i="3"/>
  <c r="AC534" i="3"/>
  <c r="AC311" i="3"/>
  <c r="AC411" i="3"/>
  <c r="AC548" i="3"/>
  <c r="AC557" i="3"/>
  <c r="AC127" i="3"/>
  <c r="AC51" i="3"/>
  <c r="AC414" i="3"/>
  <c r="AC842" i="3"/>
  <c r="AC326" i="3"/>
  <c r="AC29" i="3"/>
  <c r="AC315" i="3"/>
  <c r="AC885" i="3"/>
  <c r="AC338" i="3"/>
  <c r="AC53" i="3"/>
  <c r="AC261" i="3"/>
  <c r="AC659" i="3"/>
  <c r="AC280" i="3"/>
  <c r="AC461" i="3"/>
  <c r="AC811" i="3"/>
  <c r="AC711" i="3"/>
  <c r="AC506" i="3"/>
  <c r="AC62" i="3"/>
  <c r="AC163" i="3"/>
  <c r="AC9" i="3"/>
  <c r="AC486" i="3"/>
  <c r="AC30" i="3"/>
  <c r="AC199" i="3"/>
  <c r="AC737" i="3"/>
  <c r="AC641" i="3"/>
  <c r="AC553" i="3"/>
  <c r="AC15" i="3"/>
  <c r="AC555" i="3"/>
  <c r="AC404" i="3"/>
  <c r="AC582" i="3"/>
  <c r="AC784" i="3"/>
  <c r="AC606" i="3"/>
  <c r="AC94" i="3"/>
  <c r="AC723" i="3"/>
  <c r="AC740" i="3"/>
  <c r="AC451" i="3"/>
  <c r="AC845" i="3"/>
  <c r="AC463" i="3"/>
  <c r="AC720" i="3"/>
  <c r="AC516" i="3"/>
  <c r="AC484" i="3"/>
  <c r="AC706" i="3"/>
  <c r="AC6" i="3"/>
  <c r="AC166" i="3"/>
  <c r="AC782" i="3"/>
  <c r="AC800" i="3"/>
  <c r="AC699" i="3"/>
  <c r="L8" i="11"/>
  <c r="M8" i="11"/>
  <c r="N10" i="11"/>
  <c r="L11" i="11"/>
  <c r="M11" i="11"/>
  <c r="L9" i="11"/>
  <c r="M9" i="11"/>
  <c r="N4" i="11"/>
  <c r="N6" i="11"/>
  <c r="N8" i="11" l="1"/>
  <c r="N11" i="11"/>
  <c r="N9" i="11"/>
</calcChain>
</file>

<file path=xl/sharedStrings.xml><?xml version="1.0" encoding="utf-8"?>
<sst xmlns="http://schemas.openxmlformats.org/spreadsheetml/2006/main" count="23045" uniqueCount="1616">
  <si>
    <t>POS</t>
  </si>
  <si>
    <t>Name</t>
  </si>
  <si>
    <t>Age</t>
  </si>
  <si>
    <t>B</t>
  </si>
  <si>
    <t>T</t>
  </si>
  <si>
    <t>POT</t>
  </si>
  <si>
    <t>WE</t>
  </si>
  <si>
    <t>INT</t>
  </si>
  <si>
    <t>STU</t>
  </si>
  <si>
    <t>MOV</t>
  </si>
  <si>
    <t>CON</t>
  </si>
  <si>
    <t>STU P</t>
  </si>
  <si>
    <t>MOV P</t>
  </si>
  <si>
    <t>CON P</t>
  </si>
  <si>
    <t>FB</t>
  </si>
  <si>
    <t>FBP</t>
  </si>
  <si>
    <t>CH</t>
  </si>
  <si>
    <t>CHP</t>
  </si>
  <si>
    <t>CB</t>
  </si>
  <si>
    <t>CBP</t>
  </si>
  <si>
    <t>SL</t>
  </si>
  <si>
    <t>SLP</t>
  </si>
  <si>
    <t>SI</t>
  </si>
  <si>
    <t>SIP</t>
  </si>
  <si>
    <t>SP</t>
  </si>
  <si>
    <t>SPP</t>
  </si>
  <si>
    <t>CT</t>
  </si>
  <si>
    <t>CTP</t>
  </si>
  <si>
    <t>FO</t>
  </si>
  <si>
    <t>FOP</t>
  </si>
  <si>
    <t>CC</t>
  </si>
  <si>
    <t>CCP</t>
  </si>
  <si>
    <t>SC</t>
  </si>
  <si>
    <t>SCP</t>
  </si>
  <si>
    <t>KC</t>
  </si>
  <si>
    <t>KCP</t>
  </si>
  <si>
    <t>KN</t>
  </si>
  <si>
    <t>KNP</t>
  </si>
  <si>
    <t>VELO</t>
  </si>
  <si>
    <t>STM</t>
  </si>
  <si>
    <t>G/F</t>
  </si>
  <si>
    <t>DEM</t>
  </si>
  <si>
    <t>R</t>
  </si>
  <si>
    <t>Normal</t>
  </si>
  <si>
    <t>Low</t>
  </si>
  <si>
    <t>-</t>
  </si>
  <si>
    <t>97-99 Mph</t>
  </si>
  <si>
    <t>High</t>
  </si>
  <si>
    <t>95-97 Mph</t>
  </si>
  <si>
    <t>CL</t>
  </si>
  <si>
    <t>LF</t>
  </si>
  <si>
    <t>Very High</t>
  </si>
  <si>
    <t>82-84 Mph</t>
  </si>
  <si>
    <t>L</t>
  </si>
  <si>
    <t>94-96 Mph</t>
  </si>
  <si>
    <t>Very Low</t>
  </si>
  <si>
    <t>91-93 Mph</t>
  </si>
  <si>
    <t>90-92 Mph</t>
  </si>
  <si>
    <t>92-94 Mph</t>
  </si>
  <si>
    <t>98-100 Mph</t>
  </si>
  <si>
    <t>93-95 Mph</t>
  </si>
  <si>
    <t>96-98 Mph</t>
  </si>
  <si>
    <t>S</t>
  </si>
  <si>
    <t>99-101 Mph</t>
  </si>
  <si>
    <t>87-89 Mph</t>
  </si>
  <si>
    <t>85-87 Mph</t>
  </si>
  <si>
    <t>RF</t>
  </si>
  <si>
    <t>84-86 Mph</t>
  </si>
  <si>
    <t>86-88 Mph</t>
  </si>
  <si>
    <t>3B</t>
  </si>
  <si>
    <t>83-85 Mph</t>
  </si>
  <si>
    <t>2B</t>
  </si>
  <si>
    <t>SS</t>
  </si>
  <si>
    <t>80-83 Mph</t>
  </si>
  <si>
    <t>CF</t>
  </si>
  <si>
    <t>GAP</t>
  </si>
  <si>
    <t>POW</t>
  </si>
  <si>
    <t>EYE</t>
  </si>
  <si>
    <t>K's</t>
  </si>
  <si>
    <t>GAP P</t>
  </si>
  <si>
    <t>POW P</t>
  </si>
  <si>
    <t>EYE P</t>
  </si>
  <si>
    <t>K P</t>
  </si>
  <si>
    <t>IF ARM</t>
  </si>
  <si>
    <t>OF ARM</t>
  </si>
  <si>
    <t>C ARM</t>
  </si>
  <si>
    <t>C</t>
  </si>
  <si>
    <t>1B</t>
  </si>
  <si>
    <t>SPE</t>
  </si>
  <si>
    <t>STE</t>
  </si>
  <si>
    <t>RUN</t>
  </si>
  <si>
    <t>Rat</t>
  </si>
  <si>
    <t>Pitch</t>
  </si>
  <si>
    <t>Qpitch</t>
  </si>
  <si>
    <t>Velo</t>
  </si>
  <si>
    <t>Tot</t>
  </si>
  <si>
    <t>zScore</t>
  </si>
  <si>
    <t>Role</t>
  </si>
  <si>
    <t>Rnk</t>
  </si>
  <si>
    <t>List</t>
  </si>
  <si>
    <t>Sign</t>
  </si>
  <si>
    <t>ML</t>
  </si>
  <si>
    <t>Signed For</t>
  </si>
  <si>
    <t>Extremely Hard</t>
  </si>
  <si>
    <t>Very Easy</t>
  </si>
  <si>
    <t>Abbr</t>
  </si>
  <si>
    <t>VH</t>
  </si>
  <si>
    <t>H</t>
  </si>
  <si>
    <t>N</t>
  </si>
  <si>
    <t>VL</t>
  </si>
  <si>
    <t>Velocity</t>
  </si>
  <si>
    <t>Value</t>
  </si>
  <si>
    <t>&lt;75 Mph</t>
  </si>
  <si>
    <t>81-83 Mph</t>
  </si>
  <si>
    <t>101+ Mph</t>
  </si>
  <si>
    <t>Signability</t>
  </si>
  <si>
    <t>EH</t>
  </si>
  <si>
    <t>Hard</t>
  </si>
  <si>
    <t>Easy</t>
  </si>
  <si>
    <t>EZ</t>
  </si>
  <si>
    <t>VE</t>
  </si>
  <si>
    <t>Def</t>
  </si>
  <si>
    <t>Pos</t>
  </si>
  <si>
    <t>Luis</t>
  </si>
  <si>
    <t>Richard</t>
  </si>
  <si>
    <t>Dave</t>
  </si>
  <si>
    <t>Jorge</t>
  </si>
  <si>
    <t>Juan</t>
  </si>
  <si>
    <t>Michael</t>
  </si>
  <si>
    <t>Davis</t>
  </si>
  <si>
    <t>Mark</t>
  </si>
  <si>
    <t>Brown</t>
  </si>
  <si>
    <t>Ralph</t>
  </si>
  <si>
    <t>Matt</t>
  </si>
  <si>
    <t>Steve</t>
  </si>
  <si>
    <t>Johnson</t>
  </si>
  <si>
    <t>Jack</t>
  </si>
  <si>
    <t>Ron</t>
  </si>
  <si>
    <t>Tony</t>
  </si>
  <si>
    <t>Manuel</t>
  </si>
  <si>
    <t>Mike</t>
  </si>
  <si>
    <t>Clark</t>
  </si>
  <si>
    <t>Bill</t>
  </si>
  <si>
    <t>Tim</t>
  </si>
  <si>
    <t>Scott</t>
  </si>
  <si>
    <t>Thomas</t>
  </si>
  <si>
    <t>Carter</t>
  </si>
  <si>
    <t>Rafael</t>
  </si>
  <si>
    <t>Rob</t>
  </si>
  <si>
    <t>Wilson</t>
  </si>
  <si>
    <t>Aaron</t>
  </si>
  <si>
    <t>Greg</t>
  </si>
  <si>
    <t>Smith</t>
  </si>
  <si>
    <t>Miller</t>
  </si>
  <si>
    <t>Jimmy</t>
  </si>
  <si>
    <t>Javier</t>
  </si>
  <si>
    <t>Manny</t>
  </si>
  <si>
    <t>Williams</t>
  </si>
  <si>
    <t>David</t>
  </si>
  <si>
    <t>Joseph</t>
  </si>
  <si>
    <t>Ryan</t>
  </si>
  <si>
    <t>Bob</t>
  </si>
  <si>
    <t>Anthony</t>
  </si>
  <si>
    <t>Jason</t>
  </si>
  <si>
    <t>Morales</t>
  </si>
  <si>
    <t>Pat</t>
  </si>
  <si>
    <t>Paul</t>
  </si>
  <si>
    <t>Ricardo</t>
  </si>
  <si>
    <t>Dennis</t>
  </si>
  <si>
    <t>Pedro</t>
  </si>
  <si>
    <t>Ramos</t>
  </si>
  <si>
    <t>Joe</t>
  </si>
  <si>
    <t>James</t>
  </si>
  <si>
    <t>Dan</t>
  </si>
  <si>
    <t>Thompson</t>
  </si>
  <si>
    <t>Chris</t>
  </si>
  <si>
    <t>John</t>
  </si>
  <si>
    <t>Brian</t>
  </si>
  <si>
    <t>Lee</t>
  </si>
  <si>
    <t>Eric</t>
  </si>
  <si>
    <t>Carlos</t>
  </si>
  <si>
    <t>Martin</t>
  </si>
  <si>
    <t>Miguel</t>
  </si>
  <si>
    <t>William</t>
  </si>
  <si>
    <t>Anderson</t>
  </si>
  <si>
    <t>Lewis</t>
  </si>
  <si>
    <t>Jones</t>
  </si>
  <si>
    <t>Salvador</t>
  </si>
  <si>
    <t>Fernando</t>
  </si>
  <si>
    <t>Jerry</t>
  </si>
  <si>
    <t>Nick</t>
  </si>
  <si>
    <t>Flores</t>
  </si>
  <si>
    <t>Robinson</t>
  </si>
  <si>
    <t>Daniel</t>
  </si>
  <si>
    <t>Harris</t>
  </si>
  <si>
    <t>Larry</t>
  </si>
  <si>
    <t>Francisco</t>
  </si>
  <si>
    <t>Rivera</t>
  </si>
  <si>
    <t>Moore</t>
  </si>
  <si>
    <t>George</t>
  </si>
  <si>
    <t>Fred</t>
  </si>
  <si>
    <t>Jim</t>
  </si>
  <si>
    <t>Torres</t>
  </si>
  <si>
    <t>PID</t>
  </si>
  <si>
    <t>CompID</t>
  </si>
  <si>
    <t>Avg:</t>
  </si>
  <si>
    <t>Con</t>
  </si>
  <si>
    <t>Gap</t>
  </si>
  <si>
    <t>Pow</t>
  </si>
  <si>
    <t>Eye</t>
  </si>
  <si>
    <t>AvK</t>
  </si>
  <si>
    <t>Med:</t>
  </si>
  <si>
    <t>Type</t>
  </si>
  <si>
    <t>Stf</t>
  </si>
  <si>
    <t>Mov</t>
  </si>
  <si>
    <t>Sta</t>
  </si>
  <si>
    <t>Demand</t>
  </si>
  <si>
    <t>pRnk</t>
  </si>
  <si>
    <t>TmpList</t>
  </si>
  <si>
    <t>FinList</t>
  </si>
  <si>
    <t>Ovr</t>
  </si>
  <si>
    <t>Rnd</t>
  </si>
  <si>
    <t>Pick</t>
  </si>
  <si>
    <t>Team</t>
  </si>
  <si>
    <t>Draft Diff</t>
  </si>
  <si>
    <t>Slot?</t>
  </si>
  <si>
    <t>Listing Name</t>
  </si>
  <si>
    <t>Dup</t>
  </si>
  <si>
    <t>??</t>
  </si>
  <si>
    <t>Round 1</t>
  </si>
  <si>
    <t>Player</t>
  </si>
  <si>
    <t>Yuma Bulldozers</t>
  </si>
  <si>
    <t>Aurora Borealis</t>
  </si>
  <si>
    <t>Reno Zephyrs</t>
  </si>
  <si>
    <t>Canton Longshoremen</t>
  </si>
  <si>
    <t>Palm Springs Codgers</t>
  </si>
  <si>
    <t>Kalamazoo Badgers</t>
  </si>
  <si>
    <t>Florida Featherheads</t>
  </si>
  <si>
    <t>West Virginia Alleghenies</t>
  </si>
  <si>
    <t>Kentucky Thoroughbreds</t>
  </si>
  <si>
    <t>London Underground</t>
  </si>
  <si>
    <t>Arlington Bureaucrats</t>
  </si>
  <si>
    <t>Crystal Lake Sandgnats</t>
  </si>
  <si>
    <t>Duluth Warriors</t>
  </si>
  <si>
    <t>Bakersfield Bears</t>
  </si>
  <si>
    <t>Round 2</t>
  </si>
  <si>
    <t>New Orleans Trendsetters</t>
  </si>
  <si>
    <t>Fargo Dinosaurs</t>
  </si>
  <si>
    <t>Round 3</t>
  </si>
  <si>
    <t>Round 4</t>
  </si>
  <si>
    <t>Round 5</t>
  </si>
  <si>
    <t>San Antonio Calzones of Laredo</t>
  </si>
  <si>
    <t>Full Text</t>
  </si>
  <si>
    <t>Bonus</t>
  </si>
  <si>
    <t>MLB</t>
  </si>
  <si>
    <t>MLB Salary</t>
  </si>
  <si>
    <t>MLB Term</t>
  </si>
  <si>
    <t>ID</t>
  </si>
  <si>
    <t>Drafted Players</t>
  </si>
  <si>
    <t>Bonus Eligible</t>
  </si>
  <si>
    <t>Signed</t>
  </si>
  <si>
    <t>Unsigned</t>
  </si>
  <si>
    <t>Avg Bonus</t>
  </si>
  <si>
    <t>Tot Bonus</t>
  </si>
  <si>
    <t>Total</t>
  </si>
  <si>
    <t>Len</t>
  </si>
  <si>
    <t>Text</t>
  </si>
  <si>
    <t>1BSherwood Alldritt21</t>
  </si>
  <si>
    <t>SSStan Phillips22</t>
  </si>
  <si>
    <t>1BGeorge Thomas20</t>
  </si>
  <si>
    <t>LFPaul Hughes18</t>
  </si>
  <si>
    <t>SPBartolo Esquivel22</t>
  </si>
  <si>
    <t>SPThad Taylor22</t>
  </si>
  <si>
    <t>SPDan Boorman18</t>
  </si>
  <si>
    <t>SPChris Longworth21</t>
  </si>
  <si>
    <t>MRTed Sepkiechler18</t>
  </si>
  <si>
    <t>CLRick Saunders21</t>
  </si>
  <si>
    <t>MRÁlex Ramos18</t>
  </si>
  <si>
    <t>C-John Klinger21</t>
  </si>
  <si>
    <t>C-Jesús López22</t>
  </si>
  <si>
    <t>Roberto</t>
  </si>
  <si>
    <t>Bryan</t>
  </si>
  <si>
    <t>Robert</t>
  </si>
  <si>
    <t>Will</t>
  </si>
  <si>
    <t>Morgan</t>
  </si>
  <si>
    <t>Salazar</t>
  </si>
  <si>
    <t>zScoreBat</t>
  </si>
  <si>
    <t>All Should Remain as Batters Except:</t>
  </si>
  <si>
    <t>posRnk</t>
  </si>
  <si>
    <t>Min Ranked:</t>
  </si>
  <si>
    <t>PEBA Std:</t>
  </si>
  <si>
    <t>PEBA Avg:</t>
  </si>
  <si>
    <t>CFPablo Padilla21</t>
  </si>
  <si>
    <t>MRDaniel Quillen18</t>
  </si>
  <si>
    <t>Picks 1-47</t>
  </si>
  <si>
    <t>48-74</t>
  </si>
  <si>
    <t>75-105</t>
  </si>
  <si>
    <t>106-129</t>
  </si>
  <si>
    <t>130-153</t>
  </si>
  <si>
    <t>Pick in Round</t>
  </si>
  <si>
    <t>Team Name</t>
  </si>
  <si>
    <t>Team ID</t>
  </si>
  <si>
    <t>Player ID</t>
  </si>
  <si>
    <t>eol</t>
  </si>
  <si>
    <t>Bradley</t>
  </si>
  <si>
    <t>Gerald</t>
  </si>
  <si>
    <t>Johnston</t>
  </si>
  <si>
    <t>Danny</t>
  </si>
  <si>
    <t>Gary</t>
  </si>
  <si>
    <t>Allen</t>
  </si>
  <si>
    <t>Ray</t>
  </si>
  <si>
    <t>Orlando</t>
  </si>
  <si>
    <t>Delgado</t>
  </si>
  <si>
    <t>Josh</t>
  </si>
  <si>
    <t>Alan</t>
  </si>
  <si>
    <t>Taylor</t>
  </si>
  <si>
    <t>Bruce</t>
  </si>
  <si>
    <t>Kyle</t>
  </si>
  <si>
    <t>Sean</t>
  </si>
  <si>
    <t>Ben</t>
  </si>
  <si>
    <t>Ken</t>
  </si>
  <si>
    <t>Howard</t>
  </si>
  <si>
    <t>Armando</t>
  </si>
  <si>
    <t>Reed</t>
  </si>
  <si>
    <t>Oliver</t>
  </si>
  <si>
    <t>GB</t>
  </si>
  <si>
    <t>NEU</t>
  </si>
  <si>
    <t>EX GB</t>
  </si>
  <si>
    <t>88-90 Mph</t>
  </si>
  <si>
    <t>89-91 Mph</t>
  </si>
  <si>
    <t>EX FB</t>
  </si>
  <si>
    <t>Roger</t>
  </si>
  <si>
    <t>Jacob</t>
  </si>
  <si>
    <t>Tommy</t>
  </si>
  <si>
    <t>Derek</t>
  </si>
  <si>
    <t>bZscore</t>
  </si>
  <si>
    <t>pZscore</t>
  </si>
  <si>
    <t>cmbList</t>
  </si>
  <si>
    <t>zRnk</t>
  </si>
  <si>
    <t>Kato</t>
  </si>
  <si>
    <t>Kichida</t>
  </si>
  <si>
    <t>Justin</t>
  </si>
  <si>
    <t>Adams</t>
  </si>
  <si>
    <t>Doug</t>
  </si>
  <si>
    <t>Millard</t>
  </si>
  <si>
    <t>Tom</t>
  </si>
  <si>
    <t>Travis</t>
  </si>
  <si>
    <t>Curtis</t>
  </si>
  <si>
    <t>Todd</t>
  </si>
  <si>
    <t>Sato</t>
  </si>
  <si>
    <t>Luke</t>
  </si>
  <si>
    <t>Brad</t>
  </si>
  <si>
    <t>Charles</t>
  </si>
  <si>
    <t>Bernard</t>
  </si>
  <si>
    <t>Ed</t>
  </si>
  <si>
    <t>Abe</t>
  </si>
  <si>
    <t>Suzuki</t>
  </si>
  <si>
    <t>Foster</t>
  </si>
  <si>
    <t>Owen</t>
  </si>
  <si>
    <t>Takahashi</t>
  </si>
  <si>
    <t>Powell</t>
  </si>
  <si>
    <t>Arthur</t>
  </si>
  <si>
    <t>Terry</t>
  </si>
  <si>
    <t>Vicente</t>
  </si>
  <si>
    <t>Andrew</t>
  </si>
  <si>
    <t>Cook</t>
  </si>
  <si>
    <t>Tanaka</t>
  </si>
  <si>
    <t>Jeremy</t>
  </si>
  <si>
    <t>Christian</t>
  </si>
  <si>
    <t>Walt</t>
  </si>
  <si>
    <t>Carl</t>
  </si>
  <si>
    <t>Stanley</t>
  </si>
  <si>
    <t>Reid</t>
  </si>
  <si>
    <t>Peter</t>
  </si>
  <si>
    <t>First</t>
  </si>
  <si>
    <t>Last</t>
  </si>
  <si>
    <t>$2.8m</t>
  </si>
  <si>
    <t>$2.6m</t>
  </si>
  <si>
    <t>$2.4m</t>
  </si>
  <si>
    <t>$1.1m</t>
  </si>
  <si>
    <t>RP</t>
  </si>
  <si>
    <t>Dale</t>
  </si>
  <si>
    <t>Brandon</t>
  </si>
  <si>
    <t>$2.2m</t>
  </si>
  <si>
    <t>$1.4m</t>
  </si>
  <si>
    <t>Alexander</t>
  </si>
  <si>
    <t>Lawrence</t>
  </si>
  <si>
    <t>$2.0m</t>
  </si>
  <si>
    <t>Stewart</t>
  </si>
  <si>
    <t>Frank</t>
  </si>
  <si>
    <t>Albert</t>
  </si>
  <si>
    <t>Troy</t>
  </si>
  <si>
    <t>Johnny</t>
  </si>
  <si>
    <t>Adam</t>
  </si>
  <si>
    <t>Ferguson</t>
  </si>
  <si>
    <t>Galindo</t>
  </si>
  <si>
    <t>Ernest</t>
  </si>
  <si>
    <t>Pablo</t>
  </si>
  <si>
    <t>Nate</t>
  </si>
  <si>
    <t>Ronald</t>
  </si>
  <si>
    <t>Morris</t>
  </si>
  <si>
    <t>Pete</t>
  </si>
  <si>
    <t>Edgardo</t>
  </si>
  <si>
    <t>Steven</t>
  </si>
  <si>
    <t>Romero</t>
  </si>
  <si>
    <t>Joey</t>
  </si>
  <si>
    <t>Vargas</t>
  </si>
  <si>
    <t>Which</t>
  </si>
  <si>
    <t>P Action</t>
  </si>
  <si>
    <t>B Action</t>
  </si>
  <si>
    <t>Fin Action</t>
  </si>
  <si>
    <t>Diff</t>
  </si>
  <si>
    <t>San Juan Coqui</t>
  </si>
  <si>
    <t>Amsterdam Lions</t>
  </si>
  <si>
    <t>Scottish Claymores</t>
  </si>
  <si>
    <t>Toyama Wind Dancers</t>
  </si>
  <si>
    <t>Neo-Tokyo Akira</t>
  </si>
  <si>
    <t>Havana Leones</t>
  </si>
  <si>
    <t>Shin Seiki Evas</t>
  </si>
  <si>
    <t>Hartford Harpoon</t>
  </si>
  <si>
    <t>Okinawa Shisa</t>
  </si>
  <si>
    <t>Gray Out</t>
  </si>
  <si>
    <t>Amsterdam Lions: Signed Alberto Flores to a minor league contract with a signing bonus of $2,000,000.</t>
  </si>
  <si>
    <t>Amsterdam Lions: Signed Alonso González to a minor league contract with a signing bonus of $600,000.</t>
  </si>
  <si>
    <t>Amsterdam Lions: Signed Ashton Gilbert to a minor league contract with a signing bonus of $140,000.</t>
  </si>
  <si>
    <t>Amsterdam Lions: Signed Ewan Carne to a minor league contract with a signing bonus of $1,200,000.</t>
  </si>
  <si>
    <t>Amsterdam Lions: Signed Mark de Vries to a minor league contract with a signing bonus of $330,000.</t>
  </si>
  <si>
    <t>Arlington Bureaucrats: Signed Erskine Hill to a minor league contract with a signing bonus of $510,000.</t>
  </si>
  <si>
    <t>Arlington Bureaucrats: Signed Jerry Flores to a minor league contract with a signing bonus of $200,000.</t>
  </si>
  <si>
    <t>Arlington Bureaucrats: Signed Torcall Penrose to a minor league contract with a signing bonus of $1,370,000.</t>
  </si>
  <si>
    <t>Aurora Borealis: Signed Humberto Hernández to a minor league contract with a signing bonus of $240,000.</t>
  </si>
  <si>
    <t>Aurora Borealis: Signed James Ostrander to a minor league contract with a signing bonus of $400,000.</t>
  </si>
  <si>
    <t>Bakersfield Bears: Signed Haywood Riley to a minor league contract with a signing bonus of $350,000.</t>
  </si>
  <si>
    <t>Bakersfield Bears: Signed Lenny Horrocks to a minor league contract with a signing bonus of $250,000.</t>
  </si>
  <si>
    <t>Duluth Warriors: Signed Callum MacInnes to a minor league contract with a signing bonus of $140,000.</t>
  </si>
  <si>
    <t>Duluth Warriors: Signed Paquito de la Cruz to a minor league contract with a signing bonus of $180,000.</t>
  </si>
  <si>
    <t>Fargo Dinosaurs: Signed Alexander Ogilvy to a minor league contract with a signing bonus of $190,000.</t>
  </si>
  <si>
    <t>Fargo Dinosaurs: Signed Dave Dixon to a minor league contract with a signing bonus of $4,000,000.</t>
  </si>
  <si>
    <t>Fargo Dinosaurs: Signed Kevin Kirkpatrick to a minor league contract with a signing bonus of $460,000.</t>
  </si>
  <si>
    <t>Florida Featherheads: Signed Bas Lorentz to a minor league contract with a signing bonus of $180,000.</t>
  </si>
  <si>
    <t>Florida Featherheads: Signed Lou Drewery to a minor league contract with a signing bonus of $2,200,000.</t>
  </si>
  <si>
    <t>Florida Featherheads: Signed Mike Thompson to a minor league contract with a signing bonus of $850,000.</t>
  </si>
  <si>
    <t>Florida Featherheads: Signed Ryan Tate to a minor league contract with a signing bonus of $4,400,000.</t>
  </si>
  <si>
    <t>Hartford Harpoon: Signed Ed Black to a minor league contract with a signing bonus of $370,000.</t>
  </si>
  <si>
    <t>Havana Leones: Signed Sean Makepeace to a minor league contract with a signing bonus of $600,000.</t>
  </si>
  <si>
    <t>Kalamazoo Badgers: Signed Alex Payne to a minor league contract with a signing bonus of $220,000.</t>
  </si>
  <si>
    <t>Kalamazoo Badgers: Signed Ogai Ono to a minor league contract with a signing bonus of $2,000,000.</t>
  </si>
  <si>
    <t>Kentucky Thoroughbreds: Signed Ánibal Delgado to a minor league contract with a signing bonus of $500,000.</t>
  </si>
  <si>
    <t>Kentucky Thoroughbreds: Signed José Mora to a minor league contract with a signing bonus of $1,800,000.</t>
  </si>
  <si>
    <t>London Underground: Signed Duane Moss to a minor league contract with a signing bonus of $4,500,000.</t>
  </si>
  <si>
    <t>London Underground: Signed Roberto Alaniz to a minor league contract with a signing bonus of $220,000.</t>
  </si>
  <si>
    <t>Neo-Tokyo Akira: Signed António Bonilla to a minor league contract with a signing bonus of $140,000.</t>
  </si>
  <si>
    <t>Neo-Tokyo Akira: Signed Ben Wallace to a minor league contract with a signing bonus of $300,000.</t>
  </si>
  <si>
    <t>Neo-Tokyo Akira: Signed Ernesto Martínez to a minor league contract with a signing bonus of $1,520,000.</t>
  </si>
  <si>
    <t>Neo-Tokyo Akira: Signed Jake Conrad to a minor league contract with a signing bonus of $200,000.</t>
  </si>
  <si>
    <t>New Orleans Trendsetters: Signed Jason King to a minor league contract with a signing bonus of $500,000.</t>
  </si>
  <si>
    <t>New Orleans Trendsetters: Signed Júlio Nieves to a minor league contract with a signing bonus of $2,500,000.</t>
  </si>
  <si>
    <t>New Orleans Trendsetters: Signed Naizen Kato to a minor league contract with a signing bonus of $300,000.</t>
  </si>
  <si>
    <t>New Orleans Trendsetters: Signed Toby Woods to a minor league contract with a signing bonus of $350,000.</t>
  </si>
  <si>
    <t>Okinawa Shisa: Signed César López to a minor league contract with a signing bonus of $170,000.</t>
  </si>
  <si>
    <t>Okinawa Shisa: Signed Yoshiki Ikeda to a minor league contract with a signing bonus of $150,000.</t>
  </si>
  <si>
    <t>Reno Zephyrs: Signed Geert Neefs to a minor league contract with a signing bonus of $350,000.</t>
  </si>
  <si>
    <t>Reno Zephyrs: Signed Jorge Hart to a minor league contract with a signing bonus of $220,000.</t>
  </si>
  <si>
    <t>San Juan Coqui: Signed Simon Eykelbosch to a minor league contract with a signing bonus of $1,000,000.</t>
  </si>
  <si>
    <t>Scottish Claymores: Signed Corbin King to a minor league contract with a signing bonus of $140,000.</t>
  </si>
  <si>
    <t>Shin Seiki Evas: Signed Nolan McMahon to a minor league contract with a signing bonus of $250,000.</t>
  </si>
  <si>
    <t>Shin Seiki Evas: Signed Ronald Turner to a minor league contract with a signing bonus of $950,000.</t>
  </si>
  <si>
    <t>Toyama Wind Dancers: Signed Juan Encarnación to a minor league contract with a signing bonus of $320,000.</t>
  </si>
  <si>
    <t>Toyama Wind Dancers: Signed Neal Roach to a minor league contract with a signing bonus of $140,000.</t>
  </si>
  <si>
    <t>Toyama Wind Dancers: Signed Zenko Okada to a minor league contract with a signing bonus of $2,600,000.</t>
  </si>
  <si>
    <t>West Virginia Alleghenies: Signed David Lawson to a minor league contract with a signing bonus of $140,000.</t>
  </si>
  <si>
    <t>West Virginia Alleghenies: Signed Mason Gallagher to a minor league contract with a signing bonus of $440,000.</t>
  </si>
  <si>
    <t>Yuma Bulldozers: Signed Bryan Lee to a minor league contract with a signing bonus of $3,000,000.</t>
  </si>
  <si>
    <t>Yuma Bulldozers: Signed Gus Meikleham to a minor league contract with a signing bonus of $300,000.</t>
  </si>
  <si>
    <t>Yuma Bulldozers: Signed John Winters to a minor league contract with a signing bonus of $300,000.</t>
  </si>
  <si>
    <t>Yuma Bulldozers: Signed Ryan Coyfe to a minor league contract with a signing bonus of $500,000.</t>
  </si>
  <si>
    <t>$3.0m</t>
  </si>
  <si>
    <t>$3.2m</t>
  </si>
  <si>
    <t>Nakamura</t>
  </si>
  <si>
    <t>Kennedy</t>
  </si>
  <si>
    <t>Sam</t>
  </si>
  <si>
    <t>Artie</t>
  </si>
  <si>
    <t>Mal</t>
  </si>
  <si>
    <t>Max</t>
  </si>
  <si>
    <t>Crawford</t>
  </si>
  <si>
    <t>Guerrero</t>
  </si>
  <si>
    <t>Shaw</t>
  </si>
  <si>
    <t>STF P</t>
  </si>
  <si>
    <t>Charleston Statesmen</t>
  </si>
  <si>
    <t>Manchester Maulers</t>
  </si>
  <si>
    <t>$180k</t>
  </si>
  <si>
    <t>Alberto</t>
  </si>
  <si>
    <t>$250k</t>
  </si>
  <si>
    <t>$100k</t>
  </si>
  <si>
    <t>Yamaguchi</t>
  </si>
  <si>
    <t>$220k</t>
  </si>
  <si>
    <t>Melvin</t>
  </si>
  <si>
    <t>$200k</t>
  </si>
  <si>
    <t>$190k</t>
  </si>
  <si>
    <t>Claudio</t>
  </si>
  <si>
    <t>$90k</t>
  </si>
  <si>
    <t>Yamasaki</t>
  </si>
  <si>
    <t>$270k</t>
  </si>
  <si>
    <t>$750k</t>
  </si>
  <si>
    <t>$110k</t>
  </si>
  <si>
    <t>Nakano</t>
  </si>
  <si>
    <t>$1.3m</t>
  </si>
  <si>
    <t>Seki</t>
  </si>
  <si>
    <t>Ian</t>
  </si>
  <si>
    <t>Edward</t>
  </si>
  <si>
    <t>Paco</t>
  </si>
  <si>
    <t>$130k</t>
  </si>
  <si>
    <t>Stuart</t>
  </si>
  <si>
    <t>$120k</t>
  </si>
  <si>
    <t>$550k</t>
  </si>
  <si>
    <t>Nathan</t>
  </si>
  <si>
    <t>Nobukazu</t>
  </si>
  <si>
    <t>Jay</t>
  </si>
  <si>
    <t>Mori</t>
  </si>
  <si>
    <t>Liam</t>
  </si>
  <si>
    <t>Riley</t>
  </si>
  <si>
    <t>$280k</t>
  </si>
  <si>
    <t>Sosa</t>
  </si>
  <si>
    <t>Welch</t>
  </si>
  <si>
    <t>Yamane</t>
  </si>
  <si>
    <t>Soto</t>
  </si>
  <si>
    <t>$240k</t>
  </si>
  <si>
    <t>$320k</t>
  </si>
  <si>
    <t>$330k</t>
  </si>
  <si>
    <t>Garrett</t>
  </si>
  <si>
    <t>Okamoto</t>
  </si>
  <si>
    <t>$500k</t>
  </si>
  <si>
    <t>Goto</t>
  </si>
  <si>
    <t>Green</t>
  </si>
  <si>
    <t>Reece</t>
  </si>
  <si>
    <t>$290k</t>
  </si>
  <si>
    <t>Duane</t>
  </si>
  <si>
    <t>Lyons</t>
  </si>
  <si>
    <t>LEA</t>
  </si>
  <si>
    <t>By Rnd</t>
  </si>
  <si>
    <t>b/pRnk</t>
  </si>
  <si>
    <t>How</t>
  </si>
  <si>
    <t>Yuma Arroyos</t>
  </si>
  <si>
    <t>Niihama-shi Ghosts</t>
  </si>
  <si>
    <t>Madison Malts</t>
  </si>
  <si>
    <t>Tempe Knights</t>
  </si>
  <si>
    <t>Florida Farstriders</t>
  </si>
  <si>
    <t>C ABI</t>
  </si>
  <si>
    <t>3.0 Stars</t>
  </si>
  <si>
    <t>2.5 Stars</t>
  </si>
  <si>
    <t>2.0 Stars</t>
  </si>
  <si>
    <t>Nori</t>
  </si>
  <si>
    <t>1.5 Stars</t>
  </si>
  <si>
    <t>1.0 Stars</t>
  </si>
  <si>
    <t>Fuller</t>
  </si>
  <si>
    <t>César</t>
  </si>
  <si>
    <t>García</t>
  </si>
  <si>
    <t>$20k</t>
  </si>
  <si>
    <t>$65k</t>
  </si>
  <si>
    <t>Robby</t>
  </si>
  <si>
    <t>Stephen</t>
  </si>
  <si>
    <t>0.5 Stars</t>
  </si>
  <si>
    <t>Gonzáles</t>
  </si>
  <si>
    <t>$34k</t>
  </si>
  <si>
    <t>José</t>
  </si>
  <si>
    <t>Guzmán</t>
  </si>
  <si>
    <t>Hernández</t>
  </si>
  <si>
    <t>Kobayashi</t>
  </si>
  <si>
    <t>$75k</t>
  </si>
  <si>
    <t>Lorenzo</t>
  </si>
  <si>
    <t>$85k</t>
  </si>
  <si>
    <t>$95k</t>
  </si>
  <si>
    <t>$70k</t>
  </si>
  <si>
    <t>Pacheco</t>
  </si>
  <si>
    <t>Pérez</t>
  </si>
  <si>
    <t>Rodríguez</t>
  </si>
  <si>
    <t>$80k</t>
  </si>
  <si>
    <t>Kawanari</t>
  </si>
  <si>
    <t>Sasaki</t>
  </si>
  <si>
    <t>$850k</t>
  </si>
  <si>
    <t>$40k</t>
  </si>
  <si>
    <t>Yamamoto</t>
  </si>
  <si>
    <t>Michihiro</t>
  </si>
  <si>
    <t>$38k</t>
  </si>
  <si>
    <t>Atkins</t>
  </si>
  <si>
    <t>Bailey</t>
  </si>
  <si>
    <t>$370k</t>
  </si>
  <si>
    <t>Bell</t>
  </si>
  <si>
    <t>Raúl</t>
  </si>
  <si>
    <t>Ross</t>
  </si>
  <si>
    <t>Flynn</t>
  </si>
  <si>
    <t>Díaz</t>
  </si>
  <si>
    <t>$60k</t>
  </si>
  <si>
    <t>Ramón</t>
  </si>
  <si>
    <t>$400k</t>
  </si>
  <si>
    <t>Domingo</t>
  </si>
  <si>
    <t>Gato</t>
  </si>
  <si>
    <t>Gómez</t>
  </si>
  <si>
    <t>Graham</t>
  </si>
  <si>
    <t>António</t>
  </si>
  <si>
    <t>Hill</t>
  </si>
  <si>
    <t>Ine</t>
  </si>
  <si>
    <t>Kim</t>
  </si>
  <si>
    <t>Kojima</t>
  </si>
  <si>
    <t>López</t>
  </si>
  <si>
    <t>Márquez</t>
  </si>
  <si>
    <t>Jesús</t>
  </si>
  <si>
    <t>Martínez</t>
  </si>
  <si>
    <t>$140k</t>
  </si>
  <si>
    <t>Willie</t>
  </si>
  <si>
    <t>Miranda</t>
  </si>
  <si>
    <t>Naofumi</t>
  </si>
  <si>
    <t>Ortíz</t>
  </si>
  <si>
    <t>$36k</t>
  </si>
  <si>
    <t>Patton</t>
  </si>
  <si>
    <t>Iván</t>
  </si>
  <si>
    <t>Peña</t>
  </si>
  <si>
    <t>Arturo</t>
  </si>
  <si>
    <t>Enrique</t>
  </si>
  <si>
    <t>Ramírez</t>
  </si>
  <si>
    <t>Richardson</t>
  </si>
  <si>
    <t>Russell</t>
  </si>
  <si>
    <t>Sánchez</t>
  </si>
  <si>
    <t>Vázquez</t>
  </si>
  <si>
    <t>Daryl</t>
  </si>
  <si>
    <t>Valentín</t>
  </si>
  <si>
    <t>González</t>
  </si>
  <si>
    <t>Gutiérrez</t>
  </si>
  <si>
    <t>Cris</t>
  </si>
  <si>
    <t>Ito</t>
  </si>
  <si>
    <t>Ángel</t>
  </si>
  <si>
    <t>Jiménez</t>
  </si>
  <si>
    <t>Kimura</t>
  </si>
  <si>
    <t>Tomás</t>
  </si>
  <si>
    <t>Shimizu</t>
  </si>
  <si>
    <t>Trujillo</t>
  </si>
  <si>
    <t>3.5 Stars</t>
  </si>
  <si>
    <t>Campbell</t>
  </si>
  <si>
    <t>$3.8m</t>
  </si>
  <si>
    <t>Héctor</t>
  </si>
  <si>
    <t>Rich</t>
  </si>
  <si>
    <t>Yamada</t>
  </si>
  <si>
    <t>Árias</t>
  </si>
  <si>
    <t>Al</t>
  </si>
  <si>
    <t>Shawn</t>
  </si>
  <si>
    <t>Chikafuji</t>
  </si>
  <si>
    <t>Toshitsugu</t>
  </si>
  <si>
    <t>Santiago</t>
  </si>
  <si>
    <t>Bert</t>
  </si>
  <si>
    <t>Morán</t>
  </si>
  <si>
    <t>Yosuke</t>
  </si>
  <si>
    <t>Nobuatsu</t>
  </si>
  <si>
    <t>Schmidt</t>
  </si>
  <si>
    <t>Charlie</t>
  </si>
  <si>
    <t>Strong</t>
  </si>
  <si>
    <t>Takeuchi</t>
  </si>
  <si>
    <t>Christopher</t>
  </si>
  <si>
    <t>Watanabe</t>
  </si>
  <si>
    <t>Late</t>
  </si>
  <si>
    <t>Young</t>
  </si>
  <si>
    <t>Favor</t>
  </si>
  <si>
    <t>$650k</t>
  </si>
  <si>
    <t>León</t>
  </si>
  <si>
    <t>Barnes</t>
  </si>
  <si>
    <t>Carlton</t>
  </si>
  <si>
    <t>Alfredo</t>
  </si>
  <si>
    <t>Sergio</t>
  </si>
  <si>
    <t>Adrián</t>
  </si>
  <si>
    <t>Hayagawa</t>
  </si>
  <si>
    <t>Joshua</t>
  </si>
  <si>
    <t>Kenny</t>
  </si>
  <si>
    <t>Don</t>
  </si>
  <si>
    <t>Felipe</t>
  </si>
  <si>
    <t>Shigekazu</t>
  </si>
  <si>
    <t>Beasley</t>
  </si>
  <si>
    <t>Rhys</t>
  </si>
  <si>
    <t>Chávez</t>
  </si>
  <si>
    <t>River</t>
  </si>
  <si>
    <t>Edwards</t>
  </si>
  <si>
    <t>Cam</t>
  </si>
  <si>
    <t>Shingen</t>
  </si>
  <si>
    <t>Jonathan</t>
  </si>
  <si>
    <t>Li</t>
  </si>
  <si>
    <t>MacDonald</t>
  </si>
  <si>
    <t>Matthew</t>
  </si>
  <si>
    <t>Madison</t>
  </si>
  <si>
    <t>Marshall</t>
  </si>
  <si>
    <t>$170k</t>
  </si>
  <si>
    <t>Marte</t>
  </si>
  <si>
    <t>Eugene</t>
  </si>
  <si>
    <t>Masaharu</t>
  </si>
  <si>
    <t>Norris</t>
  </si>
  <si>
    <t>Sakamoto</t>
  </si>
  <si>
    <t>Robbie</t>
  </si>
  <si>
    <t>Taniguchi</t>
  </si>
  <si>
    <t>$350k</t>
  </si>
  <si>
    <t>Vera</t>
  </si>
  <si>
    <t>Fox</t>
  </si>
  <si>
    <t>Takamasa</t>
  </si>
  <si>
    <t>Molina</t>
  </si>
  <si>
    <t>Quinn</t>
  </si>
  <si>
    <t>Ojima</t>
  </si>
  <si>
    <t>Solís</t>
  </si>
  <si>
    <t>Warren</t>
  </si>
  <si>
    <t>Webb</t>
  </si>
  <si>
    <t>Wright</t>
  </si>
  <si>
    <t>Pot2</t>
  </si>
  <si>
    <t>Run3</t>
  </si>
  <si>
    <t>Pos4</t>
  </si>
  <si>
    <t>Velo3</t>
  </si>
  <si>
    <t>Austin</t>
  </si>
  <si>
    <t>Okabe</t>
  </si>
  <si>
    <t>Kirk</t>
  </si>
  <si>
    <t>Montaño</t>
  </si>
  <si>
    <t>Velásquez</t>
  </si>
  <si>
    <t>Jackson</t>
  </si>
  <si>
    <t>Curt</t>
  </si>
  <si>
    <t>Moreno</t>
  </si>
  <si>
    <t>Félix</t>
  </si>
  <si>
    <t>Aguilar</t>
  </si>
  <si>
    <t>Logan</t>
  </si>
  <si>
    <t>Petro</t>
  </si>
  <si>
    <t>Hall</t>
  </si>
  <si>
    <t>Donald</t>
  </si>
  <si>
    <t>Hamilton</t>
  </si>
  <si>
    <t>Shinsui</t>
  </si>
  <si>
    <t>Kitamura</t>
  </si>
  <si>
    <t>Kouki</t>
  </si>
  <si>
    <t>McIntosh</t>
  </si>
  <si>
    <t>Aidan</t>
  </si>
  <si>
    <t>Clarence</t>
  </si>
  <si>
    <t>Toshiki</t>
  </si>
  <si>
    <t>Motsuzuki</t>
  </si>
  <si>
    <t>Nakayama</t>
  </si>
  <si>
    <t>Wayne</t>
  </si>
  <si>
    <t>Junior</t>
  </si>
  <si>
    <t>Ryuichi</t>
  </si>
  <si>
    <t>Leonard</t>
  </si>
  <si>
    <t>Cox</t>
  </si>
  <si>
    <t>Clive</t>
  </si>
  <si>
    <t>Randy</t>
  </si>
  <si>
    <t>Zimmerman</t>
  </si>
  <si>
    <t>Liñares</t>
  </si>
  <si>
    <t>CON P2</t>
  </si>
  <si>
    <t>Round</t>
  </si>
  <si>
    <t>OVR</t>
  </si>
  <si>
    <t>Supplemental</t>
  </si>
  <si>
    <t>Kang</t>
  </si>
  <si>
    <t>$420k</t>
  </si>
  <si>
    <t>Rio</t>
  </si>
  <si>
    <t>Andre</t>
  </si>
  <si>
    <t>Cooper</t>
  </si>
  <si>
    <t>Jun</t>
  </si>
  <si>
    <t>Fields</t>
  </si>
  <si>
    <t>$440k</t>
  </si>
  <si>
    <t>Sen</t>
  </si>
  <si>
    <t>$55k</t>
  </si>
  <si>
    <t>$430k</t>
  </si>
  <si>
    <t>$800k</t>
  </si>
  <si>
    <t>Alfred</t>
  </si>
  <si>
    <t>Amador</t>
  </si>
  <si>
    <t>Ananas</t>
  </si>
  <si>
    <t>Ayala</t>
  </si>
  <si>
    <t>Dylan</t>
  </si>
  <si>
    <t>$27k</t>
  </si>
  <si>
    <t>Roy</t>
  </si>
  <si>
    <t>Cheung</t>
  </si>
  <si>
    <t>Cortés</t>
  </si>
  <si>
    <t>Jaime</t>
  </si>
  <si>
    <t>Graves</t>
  </si>
  <si>
    <t>Guevara</t>
  </si>
  <si>
    <t>Evan</t>
  </si>
  <si>
    <t>Fletcher</t>
  </si>
  <si>
    <t>Henderson</t>
  </si>
  <si>
    <t>$22k</t>
  </si>
  <si>
    <t>Hideki</t>
  </si>
  <si>
    <t>Oda</t>
  </si>
  <si>
    <t>Mitch</t>
  </si>
  <si>
    <t>Myers</t>
  </si>
  <si>
    <t>Narihari</t>
  </si>
  <si>
    <t>$380k</t>
  </si>
  <si>
    <t>Parkinson</t>
  </si>
  <si>
    <t>Wilber</t>
  </si>
  <si>
    <t>$700k</t>
  </si>
  <si>
    <t>Sandoval</t>
  </si>
  <si>
    <t>Snyder</t>
  </si>
  <si>
    <t>Bujana</t>
  </si>
  <si>
    <t>Sukarno</t>
  </si>
  <si>
    <t>Takejiro</t>
  </si>
  <si>
    <t>Andy</t>
  </si>
  <si>
    <t>Walker</t>
  </si>
  <si>
    <t>$29k</t>
  </si>
  <si>
    <t>Hwui-ning</t>
  </si>
  <si>
    <t>Yi</t>
  </si>
  <si>
    <t>Yu</t>
  </si>
  <si>
    <t>Zhang</t>
  </si>
  <si>
    <t>Zhu</t>
  </si>
  <si>
    <t>Beales</t>
  </si>
  <si>
    <t>Benítez</t>
  </si>
  <si>
    <t>Boggs</t>
  </si>
  <si>
    <t>Canseco</t>
  </si>
  <si>
    <t>Kaong</t>
  </si>
  <si>
    <t>Chaim</t>
  </si>
  <si>
    <t>Ju-yi</t>
  </si>
  <si>
    <t>Chen</t>
  </si>
  <si>
    <t>Rodney</t>
  </si>
  <si>
    <t>Octávio</t>
  </si>
  <si>
    <t>Kevin</t>
  </si>
  <si>
    <t>Ducklow</t>
  </si>
  <si>
    <t>Gabriel</t>
  </si>
  <si>
    <t>Fernández</t>
  </si>
  <si>
    <t>Ferrer</t>
  </si>
  <si>
    <t>Iestyn</t>
  </si>
  <si>
    <t>Firkins</t>
  </si>
  <si>
    <t>Fowler</t>
  </si>
  <si>
    <t>Gardner</t>
  </si>
  <si>
    <t>Juan Luis</t>
  </si>
  <si>
    <t>Francis</t>
  </si>
  <si>
    <t>Slot</t>
  </si>
  <si>
    <t>Guardado</t>
  </si>
  <si>
    <t>Derrek</t>
  </si>
  <si>
    <t>Hotham</t>
  </si>
  <si>
    <t>Yuki</t>
  </si>
  <si>
    <t>Ishikawa</t>
  </si>
  <si>
    <t>Jelbert</t>
  </si>
  <si>
    <t>Johnstone</t>
  </si>
  <si>
    <t>Katayama</t>
  </si>
  <si>
    <t>Lara</t>
  </si>
  <si>
    <t>Isaac</t>
  </si>
  <si>
    <t>Joaquín</t>
  </si>
  <si>
    <t>Lucero</t>
  </si>
  <si>
    <t>Maccley</t>
  </si>
  <si>
    <t>MacIndeor</t>
  </si>
  <si>
    <t>Matsuda</t>
  </si>
  <si>
    <t>Miles</t>
  </si>
  <si>
    <t>O'Slattery</t>
  </si>
  <si>
    <t>Hideyori</t>
  </si>
  <si>
    <t>Naonobu</t>
  </si>
  <si>
    <t>Ono</t>
  </si>
  <si>
    <t>Yunosuke</t>
  </si>
  <si>
    <t>Parke</t>
  </si>
  <si>
    <t>Perry</t>
  </si>
  <si>
    <t>Porter</t>
  </si>
  <si>
    <t>Price</t>
  </si>
  <si>
    <t>Ruíz</t>
  </si>
  <si>
    <t>Juichi</t>
  </si>
  <si>
    <t>Sakai</t>
  </si>
  <si>
    <t>Kantaro</t>
  </si>
  <si>
    <t>Yoshiyuki</t>
  </si>
  <si>
    <t>Serna</t>
  </si>
  <si>
    <t>Simmons</t>
  </si>
  <si>
    <t>Steele</t>
  </si>
  <si>
    <t>Norm</t>
  </si>
  <si>
    <t>Shinobu</t>
  </si>
  <si>
    <t>Tak</t>
  </si>
  <si>
    <t>Tufts</t>
  </si>
  <si>
    <t>Turner</t>
  </si>
  <si>
    <t>Jeroen</t>
  </si>
  <si>
    <t>van Heijbeeck</t>
  </si>
  <si>
    <t>Katsumi</t>
  </si>
  <si>
    <t>Wada</t>
  </si>
  <si>
    <t>Watson</t>
  </si>
  <si>
    <t>Wesley</t>
  </si>
  <si>
    <t>Wolfe</t>
  </si>
  <si>
    <t>Motonobu</t>
  </si>
  <si>
    <t>Craig</t>
  </si>
  <si>
    <t>Otis</t>
  </si>
  <si>
    <t>Norberto</t>
  </si>
  <si>
    <t>De Jesús</t>
  </si>
  <si>
    <t>De La Cruz</t>
  </si>
  <si>
    <t>Dani</t>
  </si>
  <si>
    <t>Hansen</t>
  </si>
  <si>
    <t>Lang</t>
  </si>
  <si>
    <t>Milsom</t>
  </si>
  <si>
    <t>Montáñez</t>
  </si>
  <si>
    <t>Nesbitt</t>
  </si>
  <si>
    <t>Rosas</t>
  </si>
  <si>
    <t>Shields</t>
  </si>
  <si>
    <t>St. John</t>
  </si>
  <si>
    <t>Subadio</t>
  </si>
  <si>
    <t>Wallace</t>
  </si>
  <si>
    <t>Neil</t>
  </si>
  <si>
    <t>Barajas</t>
  </si>
  <si>
    <t>Carlson</t>
  </si>
  <si>
    <t>Dashwood</t>
  </si>
  <si>
    <t>Lowe</t>
  </si>
  <si>
    <t>Nobuharu</t>
  </si>
  <si>
    <t>Mitchell</t>
  </si>
  <si>
    <t>Yoshi</t>
  </si>
  <si>
    <t>Mota</t>
  </si>
  <si>
    <t>Mathew</t>
  </si>
  <si>
    <t>Nelson</t>
  </si>
  <si>
    <t>Nomura</t>
  </si>
  <si>
    <t>Winston</t>
  </si>
  <si>
    <t>Takeru</t>
  </si>
  <si>
    <t>Shalom</t>
  </si>
  <si>
    <t>Wierenga</t>
  </si>
  <si>
    <t>Hong-yeol</t>
  </si>
  <si>
    <t>Decheng</t>
  </si>
  <si>
    <t>4.0 Stars</t>
  </si>
  <si>
    <t>Karel</t>
  </si>
  <si>
    <t>$3.4m</t>
  </si>
  <si>
    <t>Neelen</t>
  </si>
  <si>
    <t>Jake</t>
  </si>
  <si>
    <t>Fitzgerald</t>
  </si>
  <si>
    <t>Toshikuni</t>
  </si>
  <si>
    <t>Román</t>
  </si>
  <si>
    <t>Duncan</t>
  </si>
  <si>
    <t>Ichikawa</t>
  </si>
  <si>
    <t>Spencer</t>
  </si>
  <si>
    <t>Casillas</t>
  </si>
  <si>
    <t>Cowan</t>
  </si>
  <si>
    <t>Harada</t>
  </si>
  <si>
    <t>Kaneko</t>
  </si>
  <si>
    <t>Mitsuo</t>
  </si>
  <si>
    <t>Knight</t>
  </si>
  <si>
    <t>Kouno</t>
  </si>
  <si>
    <t>$26k</t>
  </si>
  <si>
    <t>Katsuyuki</t>
  </si>
  <si>
    <t>Tashima</t>
  </si>
  <si>
    <t>Kosami</t>
  </si>
  <si>
    <t>Auchnie</t>
  </si>
  <si>
    <t>Boyle</t>
  </si>
  <si>
    <t>Gerard</t>
  </si>
  <si>
    <t>Kurt</t>
  </si>
  <si>
    <t>Rory</t>
  </si>
  <si>
    <t>Yuan</t>
  </si>
  <si>
    <t>Chong</t>
  </si>
  <si>
    <t>Contreras</t>
  </si>
  <si>
    <t>Dye</t>
  </si>
  <si>
    <t>Farquhar</t>
  </si>
  <si>
    <t>Connor</t>
  </si>
  <si>
    <t>Bruno</t>
  </si>
  <si>
    <t>Woody</t>
  </si>
  <si>
    <t>Follett</t>
  </si>
  <si>
    <t>Germán</t>
  </si>
  <si>
    <t>Yoshiki</t>
  </si>
  <si>
    <t>Hanson</t>
  </si>
  <si>
    <t>Gareth</t>
  </si>
  <si>
    <t>Hoadley</t>
  </si>
  <si>
    <t>Ishida</t>
  </si>
  <si>
    <t>Jacobs</t>
  </si>
  <si>
    <t>Naoki</t>
  </si>
  <si>
    <t>Kartini</t>
  </si>
  <si>
    <t>Teruo</t>
  </si>
  <si>
    <t>Kazuyoshi</t>
  </si>
  <si>
    <t>Akihito</t>
  </si>
  <si>
    <t>Hisamitsu</t>
  </si>
  <si>
    <t>Lan</t>
  </si>
  <si>
    <t>Lenny</t>
  </si>
  <si>
    <t>Lynch</t>
  </si>
  <si>
    <t>MacCrum</t>
  </si>
  <si>
    <t>Malone</t>
  </si>
  <si>
    <t>Dwayne</t>
  </si>
  <si>
    <t>Ze-min</t>
  </si>
  <si>
    <t>Mei</t>
  </si>
  <si>
    <t>Hsuang-tsung</t>
  </si>
  <si>
    <t>Men</t>
  </si>
  <si>
    <t>Werner</t>
  </si>
  <si>
    <t>Moggs</t>
  </si>
  <si>
    <t>Étienne</t>
  </si>
  <si>
    <t>Monette</t>
  </si>
  <si>
    <t>Bennett</t>
  </si>
  <si>
    <t>Negrete</t>
  </si>
  <si>
    <t>Tadamasa</t>
  </si>
  <si>
    <t>Takeji</t>
  </si>
  <si>
    <t>Lian-wei</t>
  </si>
  <si>
    <t>Quan</t>
  </si>
  <si>
    <t>Juan Carlos</t>
  </si>
  <si>
    <t>Sexton</t>
  </si>
  <si>
    <t>Sebastian</t>
  </si>
  <si>
    <t>Masami</t>
  </si>
  <si>
    <t>Vazquer</t>
  </si>
  <si>
    <t>Veeck</t>
  </si>
  <si>
    <t>Aubrey</t>
  </si>
  <si>
    <t>Xú</t>
  </si>
  <si>
    <t>Shuji</t>
  </si>
  <si>
    <t>Yun</t>
  </si>
  <si>
    <t>Miyamoto</t>
  </si>
  <si>
    <t>Reeves</t>
  </si>
  <si>
    <t>$3.6m</t>
  </si>
  <si>
    <t>Yu-eh</t>
  </si>
  <si>
    <t>Bao</t>
  </si>
  <si>
    <t>Hung</t>
  </si>
  <si>
    <t>Cai</t>
  </si>
  <si>
    <t>Mesa</t>
  </si>
  <si>
    <t>Jeffery</t>
  </si>
  <si>
    <t>Young-pil</t>
  </si>
  <si>
    <t>$900k</t>
  </si>
  <si>
    <t>Maxime</t>
  </si>
  <si>
    <t>Astier</t>
  </si>
  <si>
    <t>$1.0m</t>
  </si>
  <si>
    <t>Basnett</t>
  </si>
  <si>
    <t>Bouchard</t>
  </si>
  <si>
    <t>Cartwright</t>
  </si>
  <si>
    <t>Dingle</t>
  </si>
  <si>
    <t>Docherty</t>
  </si>
  <si>
    <t>$260k</t>
  </si>
  <si>
    <t>Eubank</t>
  </si>
  <si>
    <t>Fellick</t>
  </si>
  <si>
    <t>Godefroy</t>
  </si>
  <si>
    <t>Corey</t>
  </si>
  <si>
    <t>Gorman</t>
  </si>
  <si>
    <t>Horne</t>
  </si>
  <si>
    <t>Young-kyoo</t>
  </si>
  <si>
    <t>Masaki</t>
  </si>
  <si>
    <t>Leseberg</t>
  </si>
  <si>
    <t>Toshiro</t>
  </si>
  <si>
    <t>Yoshikazu</t>
  </si>
  <si>
    <t>Paterno</t>
  </si>
  <si>
    <t>Olaires</t>
  </si>
  <si>
    <t>Sadakuno</t>
  </si>
  <si>
    <t>Sai</t>
  </si>
  <si>
    <t>Tadaaki</t>
  </si>
  <si>
    <t>Sheehan</t>
  </si>
  <si>
    <t>Shibata</t>
  </si>
  <si>
    <t>Pu-feng</t>
  </si>
  <si>
    <t>Shuo</t>
  </si>
  <si>
    <t>Toru</t>
  </si>
  <si>
    <t>Tsunesaburo</t>
  </si>
  <si>
    <t>Misao</t>
  </si>
  <si>
    <t>Whiskin</t>
  </si>
  <si>
    <t>Yoshimi</t>
  </si>
  <si>
    <t>Yano</t>
  </si>
  <si>
    <t>Min-han</t>
  </si>
  <si>
    <t>Impossible</t>
  </si>
  <si>
    <t>Netro</t>
  </si>
  <si>
    <t>Yoshitora</t>
  </si>
  <si>
    <t>Ando</t>
  </si>
  <si>
    <t>Gregor</t>
  </si>
  <si>
    <t>Angus</t>
  </si>
  <si>
    <t>Arroyo</t>
  </si>
  <si>
    <t>Asai</t>
  </si>
  <si>
    <t>Balderas</t>
  </si>
  <si>
    <t>Bayles</t>
  </si>
  <si>
    <t>Bowers</t>
  </si>
  <si>
    <t>Burkett</t>
  </si>
  <si>
    <t>Caminos</t>
  </si>
  <si>
    <t>Castillo</t>
  </si>
  <si>
    <t>Chacón</t>
  </si>
  <si>
    <t>Shan-bo</t>
  </si>
  <si>
    <t>Myung-bak</t>
  </si>
  <si>
    <t>Chup</t>
  </si>
  <si>
    <t>$300k</t>
  </si>
  <si>
    <t>Domínguez</t>
  </si>
  <si>
    <t>$230k</t>
  </si>
  <si>
    <t>Canice</t>
  </si>
  <si>
    <t>Empson</t>
  </si>
  <si>
    <t>Eteldrum</t>
  </si>
  <si>
    <t>Evers</t>
  </si>
  <si>
    <t>Galván</t>
  </si>
  <si>
    <t>Akinori</t>
  </si>
  <si>
    <t>Gilbuena</t>
  </si>
  <si>
    <t>Arvin</t>
  </si>
  <si>
    <t>Rheinhardt</t>
  </si>
  <si>
    <t>Heine</t>
  </si>
  <si>
    <t>Noel</t>
  </si>
  <si>
    <t>$160k</t>
  </si>
  <si>
    <t>Hirotada</t>
  </si>
  <si>
    <t>Hirano</t>
  </si>
  <si>
    <t>Gael</t>
  </si>
  <si>
    <t>Hollingsworth</t>
  </si>
  <si>
    <t>Yasuo</t>
  </si>
  <si>
    <t>Jans</t>
  </si>
  <si>
    <t>Ignacio</t>
  </si>
  <si>
    <t>Jaramillo</t>
  </si>
  <si>
    <t>Jory</t>
  </si>
  <si>
    <t>Lien-ying</t>
  </si>
  <si>
    <t>Won-sik</t>
  </si>
  <si>
    <t>Minoru</t>
  </si>
  <si>
    <t>Kogo</t>
  </si>
  <si>
    <t>Kohara</t>
  </si>
  <si>
    <t>An-shi</t>
  </si>
  <si>
    <t>Eka</t>
  </si>
  <si>
    <t>Layar</t>
  </si>
  <si>
    <t>Lea</t>
  </si>
  <si>
    <t>Leal</t>
  </si>
  <si>
    <t>Lemercier</t>
  </si>
  <si>
    <t>Little</t>
  </si>
  <si>
    <t>Livingston</t>
  </si>
  <si>
    <t>Chua chay</t>
  </si>
  <si>
    <t>Lo</t>
  </si>
  <si>
    <t>Loetzsch</t>
  </si>
  <si>
    <t>$31k</t>
  </si>
  <si>
    <t>Lowery</t>
  </si>
  <si>
    <t>Sinfronio</t>
  </si>
  <si>
    <t>Mar</t>
  </si>
  <si>
    <t>Markle</t>
  </si>
  <si>
    <t>Melton</t>
  </si>
  <si>
    <t>Mojica</t>
  </si>
  <si>
    <t>Charley</t>
  </si>
  <si>
    <t>Kazu</t>
  </si>
  <si>
    <t>Morimoto</t>
  </si>
  <si>
    <t>Morrall</t>
  </si>
  <si>
    <t>Nevárez</t>
  </si>
  <si>
    <t>Gorgonio</t>
  </si>
  <si>
    <t>Nolasco</t>
  </si>
  <si>
    <t>Keith</t>
  </si>
  <si>
    <t>O'Neal</t>
  </si>
  <si>
    <t>Kazunori</t>
  </si>
  <si>
    <t>Ai-de</t>
  </si>
  <si>
    <t>Ong</t>
  </si>
  <si>
    <t>Ortega</t>
  </si>
  <si>
    <t>Reese</t>
  </si>
  <si>
    <t>Paredes</t>
  </si>
  <si>
    <t>Phipps</t>
  </si>
  <si>
    <t>$480k</t>
  </si>
  <si>
    <t>Poskitt</t>
  </si>
  <si>
    <t>Marcos</t>
  </si>
  <si>
    <t>Rowland</t>
  </si>
  <si>
    <t>Masafumi</t>
  </si>
  <si>
    <t>Máximo</t>
  </si>
  <si>
    <t>Sandhoff</t>
  </si>
  <si>
    <t>Du</t>
  </si>
  <si>
    <t>Sharp</t>
  </si>
  <si>
    <t>Stevens</t>
  </si>
  <si>
    <t>Chin-yau</t>
  </si>
  <si>
    <t>Su</t>
  </si>
  <si>
    <t>Akio</t>
  </si>
  <si>
    <t>Trewhitt</t>
  </si>
  <si>
    <t>Whinnett</t>
  </si>
  <si>
    <t>Michel</t>
  </si>
  <si>
    <t>Winckelmann</t>
  </si>
  <si>
    <t>Natsume</t>
  </si>
  <si>
    <t>Yánez</t>
  </si>
  <si>
    <t>Chun-hua</t>
  </si>
  <si>
    <t>Cristián</t>
  </si>
  <si>
    <t>Acevedo</t>
  </si>
  <si>
    <t>Andrews</t>
  </si>
  <si>
    <t>Harrison</t>
  </si>
  <si>
    <t>Atteridge</t>
  </si>
  <si>
    <t>Becker</t>
  </si>
  <si>
    <t>Berrios</t>
  </si>
  <si>
    <t>Henry</t>
  </si>
  <si>
    <t>Bojórquez</t>
  </si>
  <si>
    <t>Bolen</t>
  </si>
  <si>
    <t>Bray</t>
  </si>
  <si>
    <t>Terrence</t>
  </si>
  <si>
    <t>Buurman</t>
  </si>
  <si>
    <t>Calvaro</t>
  </si>
  <si>
    <t>Campos</t>
  </si>
  <si>
    <t>Carpenter</t>
  </si>
  <si>
    <t>Jejomar</t>
  </si>
  <si>
    <t>Castillanes</t>
  </si>
  <si>
    <t>Catron</t>
  </si>
  <si>
    <t>Claude</t>
  </si>
  <si>
    <t>Charton</t>
  </si>
  <si>
    <t>Young-tae</t>
  </si>
  <si>
    <t>Córdova</t>
  </si>
  <si>
    <t>Chuck</t>
  </si>
  <si>
    <t>Correa</t>
  </si>
  <si>
    <t>Palmer</t>
  </si>
  <si>
    <t>Crosby</t>
  </si>
  <si>
    <t>Cuan</t>
  </si>
  <si>
    <t>Blair</t>
  </si>
  <si>
    <t>Vaughan</t>
  </si>
  <si>
    <t>Darcy</t>
  </si>
  <si>
    <t>Franky</t>
  </si>
  <si>
    <t>de Jonge</t>
  </si>
  <si>
    <t>Eaton</t>
  </si>
  <si>
    <t>Lionel</t>
  </si>
  <si>
    <t>Ferrari</t>
  </si>
  <si>
    <t>Fountain</t>
  </si>
  <si>
    <t>Jed</t>
  </si>
  <si>
    <t>Frawley</t>
  </si>
  <si>
    <t>Hogai</t>
  </si>
  <si>
    <t>Fukui</t>
  </si>
  <si>
    <t>Philip</t>
  </si>
  <si>
    <t>Garner</t>
  </si>
  <si>
    <t>Gaston</t>
  </si>
  <si>
    <t>Garry</t>
  </si>
  <si>
    <t>Griffin</t>
  </si>
  <si>
    <t>Hedgepeth</t>
  </si>
  <si>
    <t>Maik</t>
  </si>
  <si>
    <t>Herbst</t>
  </si>
  <si>
    <t>Clyde</t>
  </si>
  <si>
    <t>Hewer</t>
  </si>
  <si>
    <t>Juan Jose</t>
  </si>
  <si>
    <t>Hinojosa</t>
  </si>
  <si>
    <t>Hinton</t>
  </si>
  <si>
    <t>Hollett</t>
  </si>
  <si>
    <t>Hopkins</t>
  </si>
  <si>
    <t>Leo</t>
  </si>
  <si>
    <t>Howie</t>
  </si>
  <si>
    <t>Huxtable</t>
  </si>
  <si>
    <t>Iida</t>
  </si>
  <si>
    <t>Inagaki</t>
  </si>
  <si>
    <t>Isales</t>
  </si>
  <si>
    <t>Noritoshi</t>
  </si>
  <si>
    <t>Ishinomori</t>
  </si>
  <si>
    <t>Jacobson</t>
  </si>
  <si>
    <t>Jost</t>
  </si>
  <si>
    <t>Kenji</t>
  </si>
  <si>
    <t>Kinsler</t>
  </si>
  <si>
    <t>Sumiteru</t>
  </si>
  <si>
    <t>Mitsuzuka</t>
  </si>
  <si>
    <t>Koyama</t>
  </si>
  <si>
    <t>Laporte</t>
  </si>
  <si>
    <t>Leaver</t>
  </si>
  <si>
    <t>Leon</t>
  </si>
  <si>
    <t>MacAulay</t>
  </si>
  <si>
    <t>Jamie</t>
  </si>
  <si>
    <t>MacClacher</t>
  </si>
  <si>
    <t>MacIlroy</t>
  </si>
  <si>
    <t>Maddox</t>
  </si>
  <si>
    <t>Mahusay</t>
  </si>
  <si>
    <t>Brando</t>
  </si>
  <si>
    <t>Mangoni</t>
  </si>
  <si>
    <t>Marroquín</t>
  </si>
  <si>
    <t>Shinichi</t>
  </si>
  <si>
    <t>Matsumura</t>
  </si>
  <si>
    <t>Kiyoemon</t>
  </si>
  <si>
    <t>Matsushita</t>
  </si>
  <si>
    <t>McGahey</t>
  </si>
  <si>
    <t>McLaughlin</t>
  </si>
  <si>
    <t>Vincente</t>
  </si>
  <si>
    <t>Medellín</t>
  </si>
  <si>
    <t>Menéndez</t>
  </si>
  <si>
    <t>Chad</t>
  </si>
  <si>
    <t>Jamal</t>
  </si>
  <si>
    <t>Moores</t>
  </si>
  <si>
    <t>Mora</t>
  </si>
  <si>
    <t>Stéphane</t>
  </si>
  <si>
    <t>Moreau</t>
  </si>
  <si>
    <t>Katsumoto</t>
  </si>
  <si>
    <t>Jian-guo</t>
  </si>
  <si>
    <t>Niu</t>
  </si>
  <si>
    <t>Nuesink</t>
  </si>
  <si>
    <t>O'Bryan</t>
  </si>
  <si>
    <t>Onishi</t>
  </si>
  <si>
    <t>Orozco</t>
  </si>
  <si>
    <t>Ota</t>
  </si>
  <si>
    <t>Paek</t>
  </si>
  <si>
    <t>Heath</t>
  </si>
  <si>
    <t>Parks</t>
  </si>
  <si>
    <t>Bradford</t>
  </si>
  <si>
    <t>Parsons</t>
  </si>
  <si>
    <t>Augusto</t>
  </si>
  <si>
    <t>Peterson</t>
  </si>
  <si>
    <t>Pineda</t>
  </si>
  <si>
    <t>Rangel</t>
  </si>
  <si>
    <t>Reyes</t>
  </si>
  <si>
    <t>Rivas</t>
  </si>
  <si>
    <t>Mario</t>
  </si>
  <si>
    <t>Rolston</t>
  </si>
  <si>
    <t>$1.2m</t>
  </si>
  <si>
    <t>Sackett</t>
  </si>
  <si>
    <t>Schep</t>
  </si>
  <si>
    <t>Li-xue</t>
  </si>
  <si>
    <t>Shao</t>
  </si>
  <si>
    <t>Masayoshi</t>
  </si>
  <si>
    <t>Stephens</t>
  </si>
  <si>
    <t>Johnathan</t>
  </si>
  <si>
    <t>Eisuke</t>
  </si>
  <si>
    <t>Suda</t>
  </si>
  <si>
    <t>Naoya</t>
  </si>
  <si>
    <t>Toyoshige</t>
  </si>
  <si>
    <t>Tañón</t>
  </si>
  <si>
    <t>Tapia</t>
  </si>
  <si>
    <t>Thurman</t>
  </si>
  <si>
    <t>Donnie</t>
  </si>
  <si>
    <t>Tillman</t>
  </si>
  <si>
    <t>Dwaine</t>
  </si>
  <si>
    <t>Truslove</t>
  </si>
  <si>
    <t>$30k</t>
  </si>
  <si>
    <t>Bertil</t>
  </si>
  <si>
    <t>Verkade</t>
  </si>
  <si>
    <t>Verney</t>
  </si>
  <si>
    <t>Wladimir</t>
  </si>
  <si>
    <t>Veurink</t>
  </si>
  <si>
    <t>Wakeham</t>
  </si>
  <si>
    <t>Cordell</t>
  </si>
  <si>
    <t>Waters</t>
  </si>
  <si>
    <t>Heinrich</t>
  </si>
  <si>
    <t>Wesselingh</t>
  </si>
  <si>
    <t>Whitaker</t>
  </si>
  <si>
    <t>Mitsukuni</t>
  </si>
  <si>
    <t>Yasuda</t>
  </si>
  <si>
    <t>Blevins</t>
  </si>
  <si>
    <t>Cardona</t>
  </si>
  <si>
    <t>Flowers</t>
  </si>
  <si>
    <t>Pyeong-kyu</t>
  </si>
  <si>
    <t>Han</t>
  </si>
  <si>
    <t>Harley</t>
  </si>
  <si>
    <t>Hornby</t>
  </si>
  <si>
    <t>Yoshihito</t>
  </si>
  <si>
    <t>Kean</t>
  </si>
  <si>
    <t>Mutsuhito</t>
  </si>
  <si>
    <t>Koike</t>
  </si>
  <si>
    <t>Lindsey</t>
  </si>
  <si>
    <t>McGhee</t>
  </si>
  <si>
    <t>McNeill</t>
  </si>
  <si>
    <t>Cedric</t>
  </si>
  <si>
    <t>Paynter</t>
  </si>
  <si>
    <t>Rocha</t>
  </si>
  <si>
    <t>Rosado</t>
  </si>
  <si>
    <t>Cisco</t>
  </si>
  <si>
    <t>Serrano</t>
  </si>
  <si>
    <t>Stimpson</t>
  </si>
  <si>
    <t>Simon</t>
  </si>
  <si>
    <t>Ahernfeld</t>
  </si>
  <si>
    <t>Barrón</t>
  </si>
  <si>
    <t>Belcher</t>
  </si>
  <si>
    <t>Calogero</t>
  </si>
  <si>
    <t>Bettini</t>
  </si>
  <si>
    <t>Jean</t>
  </si>
  <si>
    <t>Camacho</t>
  </si>
  <si>
    <t>Guillermo</t>
  </si>
  <si>
    <t>Cantú</t>
  </si>
  <si>
    <t>Chilcott</t>
  </si>
  <si>
    <t>Caden</t>
  </si>
  <si>
    <t>Cochrane</t>
  </si>
  <si>
    <t>Dodman</t>
  </si>
  <si>
    <t>Dunne</t>
  </si>
  <si>
    <t>Gregory</t>
  </si>
  <si>
    <t>Katsunan</t>
  </si>
  <si>
    <t>Hayashi</t>
  </si>
  <si>
    <t>Kennelly</t>
  </si>
  <si>
    <t>Ikki</t>
  </si>
  <si>
    <t>Isamu</t>
  </si>
  <si>
    <t>Tan-ming</t>
  </si>
  <si>
    <t>Lung</t>
  </si>
  <si>
    <t>Brady</t>
  </si>
  <si>
    <t>Darby</t>
  </si>
  <si>
    <t>Mack</t>
  </si>
  <si>
    <t>Ronaldo</t>
  </si>
  <si>
    <t>Kojiro</t>
  </si>
  <si>
    <t>Ryall</t>
  </si>
  <si>
    <t>Niek</t>
  </si>
  <si>
    <t>Vlaminks</t>
  </si>
  <si>
    <t>Shirai</t>
  </si>
  <si>
    <t>4.5 Stars</t>
  </si>
  <si>
    <t>Ávila</t>
  </si>
  <si>
    <t>Sheppard</t>
  </si>
  <si>
    <t>Zi-jing</t>
  </si>
  <si>
    <t>Xian</t>
  </si>
  <si>
    <t>$4.0m</t>
  </si>
  <si>
    <t>Lúcio</t>
  </si>
  <si>
    <t>Amaya</t>
  </si>
  <si>
    <t>Togai</t>
  </si>
  <si>
    <t>Malcolm</t>
  </si>
  <si>
    <t>Attoehow</t>
  </si>
  <si>
    <t>Avilés</t>
  </si>
  <si>
    <t>Balmer</t>
  </si>
  <si>
    <t>Bane</t>
  </si>
  <si>
    <t>Banham</t>
  </si>
  <si>
    <t>Jarod</t>
  </si>
  <si>
    <t>Tyrone</t>
  </si>
  <si>
    <t>Barton</t>
  </si>
  <si>
    <t>Bates</t>
  </si>
  <si>
    <t>Benjamin</t>
  </si>
  <si>
    <t>Blanch</t>
  </si>
  <si>
    <t>Booth</t>
  </si>
  <si>
    <t>Brandt</t>
  </si>
  <si>
    <t>Boyd</t>
  </si>
  <si>
    <t>Braun</t>
  </si>
  <si>
    <t>Brewster</t>
  </si>
  <si>
    <t>Teddy</t>
  </si>
  <si>
    <t>Brice</t>
  </si>
  <si>
    <t>Brickey</t>
  </si>
  <si>
    <t>Bullard</t>
  </si>
  <si>
    <t>$490k</t>
  </si>
  <si>
    <t>Aurelio</t>
  </si>
  <si>
    <t>Card</t>
  </si>
  <si>
    <t>Carrillo</t>
  </si>
  <si>
    <t>Carver</t>
  </si>
  <si>
    <t>Carveth</t>
  </si>
  <si>
    <t>$47k</t>
  </si>
  <si>
    <t>Ch'oe</t>
  </si>
  <si>
    <t>Ricky</t>
  </si>
  <si>
    <t>Chavez</t>
  </si>
  <si>
    <t>Yifu</t>
  </si>
  <si>
    <t>Childress</t>
  </si>
  <si>
    <t>Wes</t>
  </si>
  <si>
    <t>Cline</t>
  </si>
  <si>
    <t>Collier</t>
  </si>
  <si>
    <t>Cooke</t>
  </si>
  <si>
    <t>Cordón</t>
  </si>
  <si>
    <t>Alistair</t>
  </si>
  <si>
    <t>Coulton</t>
  </si>
  <si>
    <t>Cranford</t>
  </si>
  <si>
    <t>Crowhurst</t>
  </si>
  <si>
    <t>Darragh</t>
  </si>
  <si>
    <t>De Los Santos</t>
  </si>
  <si>
    <t>de Smet</t>
  </si>
  <si>
    <t>Decker</t>
  </si>
  <si>
    <t>Donahue</t>
  </si>
  <si>
    <t>Donaldson</t>
  </si>
  <si>
    <t>Lanny</t>
  </si>
  <si>
    <t>Donovan</t>
  </si>
  <si>
    <t>Dotson</t>
  </si>
  <si>
    <t>Douglas</t>
  </si>
  <si>
    <t>Wilbert</t>
  </si>
  <si>
    <t>Dugles</t>
  </si>
  <si>
    <t>Dunford</t>
  </si>
  <si>
    <t>Dunnage</t>
  </si>
  <si>
    <t>Egued</t>
  </si>
  <si>
    <t>Elliott</t>
  </si>
  <si>
    <t>Erickson</t>
  </si>
  <si>
    <t>Espinosa</t>
  </si>
  <si>
    <t>Jude</t>
  </si>
  <si>
    <t>Everett</t>
  </si>
  <si>
    <t>Ewing</t>
  </si>
  <si>
    <t>Franklin</t>
  </si>
  <si>
    <t>Field</t>
  </si>
  <si>
    <t>Fitter</t>
  </si>
  <si>
    <t>Flannery</t>
  </si>
  <si>
    <t>Ford</t>
  </si>
  <si>
    <t>Foulkes</t>
  </si>
  <si>
    <t>Franco</t>
  </si>
  <si>
    <t>Kol-in-sen</t>
  </si>
  <si>
    <t>Fung</t>
  </si>
  <si>
    <t>Emílio</t>
  </si>
  <si>
    <t>Aki</t>
  </si>
  <si>
    <t>Julien</t>
  </si>
  <si>
    <t>Georges</t>
  </si>
  <si>
    <t>Toby</t>
  </si>
  <si>
    <t>Goacher</t>
  </si>
  <si>
    <t>Golby</t>
  </si>
  <si>
    <t>Yoshiteru</t>
  </si>
  <si>
    <t>Shou-feng</t>
  </si>
  <si>
    <t>Gou</t>
  </si>
  <si>
    <t>Grainger</t>
  </si>
  <si>
    <t>Grimes</t>
  </si>
  <si>
    <t>Zhi-huan</t>
  </si>
  <si>
    <t>Gui</t>
  </si>
  <si>
    <t>Gwilt</t>
  </si>
  <si>
    <t>Kanko</t>
  </si>
  <si>
    <t>Cullen</t>
  </si>
  <si>
    <t>Weston</t>
  </si>
  <si>
    <t>Hassane</t>
  </si>
  <si>
    <t>Hawkins</t>
  </si>
  <si>
    <t>$600k</t>
  </si>
  <si>
    <t>Takeo</t>
  </si>
  <si>
    <t>Govaart</t>
  </si>
  <si>
    <t>Heijmans</t>
  </si>
  <si>
    <t>Rubén</t>
  </si>
  <si>
    <t>Hollis</t>
  </si>
  <si>
    <t>Houck</t>
  </si>
  <si>
    <t>Housden</t>
  </si>
  <si>
    <t>Huffman</t>
  </si>
  <si>
    <t>Toki</t>
  </si>
  <si>
    <t>Imai</t>
  </si>
  <si>
    <t>Yukichi</t>
  </si>
  <si>
    <t>Isaacs</t>
  </si>
  <si>
    <t>Ishii</t>
  </si>
  <si>
    <t>Remon</t>
  </si>
  <si>
    <t>Jansen</t>
  </si>
  <si>
    <t>Oscar</t>
  </si>
  <si>
    <t>Jarrold</t>
  </si>
  <si>
    <t>Tamasaburo</t>
  </si>
  <si>
    <t>Jouda</t>
  </si>
  <si>
    <t>Yugoro</t>
  </si>
  <si>
    <t>Kamuta</t>
  </si>
  <si>
    <t>Toshikazu</t>
  </si>
  <si>
    <t>Kanai</t>
  </si>
  <si>
    <t>Tsuyoshi</t>
  </si>
  <si>
    <t>Bowo</t>
  </si>
  <si>
    <t>Hidekazu</t>
  </si>
  <si>
    <t>Taisuke</t>
  </si>
  <si>
    <t>Kawasaki</t>
  </si>
  <si>
    <t>Kemsley</t>
  </si>
  <si>
    <t>Young-chul</t>
  </si>
  <si>
    <t>Young-soo</t>
  </si>
  <si>
    <t>Mokichi</t>
  </si>
  <si>
    <t>Yoshimasa</t>
  </si>
  <si>
    <t>Tsuneari</t>
  </si>
  <si>
    <t>Kitoaji</t>
  </si>
  <si>
    <t>Ichizo</t>
  </si>
  <si>
    <t>Koruba</t>
  </si>
  <si>
    <t>Kuai</t>
  </si>
  <si>
    <t>Hwan-mo</t>
  </si>
  <si>
    <t>Kyong</t>
  </si>
  <si>
    <t>Lowie</t>
  </si>
  <si>
    <t>Leers</t>
  </si>
  <si>
    <t>Erwin</t>
  </si>
  <si>
    <t>Leurink</t>
  </si>
  <si>
    <t>MacDuffie</t>
  </si>
  <si>
    <t>MacFeat</t>
  </si>
  <si>
    <t>$39k</t>
  </si>
  <si>
    <t>MacKay</t>
  </si>
  <si>
    <t>MacLaine</t>
  </si>
  <si>
    <t>MacRory</t>
  </si>
  <si>
    <t>MacWilliams</t>
  </si>
  <si>
    <t>Manley</t>
  </si>
  <si>
    <t>Daan</t>
  </si>
  <si>
    <t>Mastenbroek</t>
  </si>
  <si>
    <t>Hirotaka</t>
  </si>
  <si>
    <t>Masuda</t>
  </si>
  <si>
    <t>Kuma</t>
  </si>
  <si>
    <t>Matsubara</t>
  </si>
  <si>
    <t>Sawao</t>
  </si>
  <si>
    <t>Kiyonaga</t>
  </si>
  <si>
    <t>Matsumoto</t>
  </si>
  <si>
    <t>McClure</t>
  </si>
  <si>
    <t>McDurkan</t>
  </si>
  <si>
    <t>McGilroy</t>
  </si>
  <si>
    <t>Mclatchie</t>
  </si>
  <si>
    <t>McParland</t>
  </si>
  <si>
    <t>McVitty</t>
  </si>
  <si>
    <t>Meade</t>
  </si>
  <si>
    <t>Meeks</t>
  </si>
  <si>
    <t>Mele</t>
  </si>
  <si>
    <t>Mendoza</t>
  </si>
  <si>
    <t>Meriken</t>
  </si>
  <si>
    <t>Mijnheer</t>
  </si>
  <si>
    <t>Makoto</t>
  </si>
  <si>
    <t>Miura</t>
  </si>
  <si>
    <t>Takanori</t>
  </si>
  <si>
    <t>Taro</t>
  </si>
  <si>
    <t>Miyata</t>
  </si>
  <si>
    <t>$4.2m</t>
  </si>
  <si>
    <t>Montoya</t>
  </si>
  <si>
    <t>Morita</t>
  </si>
  <si>
    <t>Yong-oon</t>
  </si>
  <si>
    <t>Na</t>
  </si>
  <si>
    <t>Junzo</t>
  </si>
  <si>
    <t>Yo</t>
  </si>
  <si>
    <t>Sugimoto</t>
  </si>
  <si>
    <t>Jemke</t>
  </si>
  <si>
    <t>Negus</t>
  </si>
  <si>
    <t>Koto</t>
  </si>
  <si>
    <t>Nishi</t>
  </si>
  <si>
    <t>Nix</t>
  </si>
  <si>
    <t>Edwin</t>
  </si>
  <si>
    <t>Nunn</t>
  </si>
  <si>
    <t>O'Brien</t>
  </si>
  <si>
    <t>Koos</t>
  </si>
  <si>
    <t>Olthuis</t>
  </si>
  <si>
    <t>Monte</t>
  </si>
  <si>
    <t>Amadeo</t>
  </si>
  <si>
    <t>Pedrazzini</t>
  </si>
  <si>
    <t>Ingo</t>
  </si>
  <si>
    <t>Pels</t>
  </si>
  <si>
    <t>Bernardo</t>
  </si>
  <si>
    <t>Pennington</t>
  </si>
  <si>
    <t>Peters</t>
  </si>
  <si>
    <t>Prince</t>
  </si>
  <si>
    <t>Puerta</t>
  </si>
  <si>
    <t>Zheng-ze</t>
  </si>
  <si>
    <t>Vince</t>
  </si>
  <si>
    <t>Rayner</t>
  </si>
  <si>
    <t>Erjan</t>
  </si>
  <si>
    <t>Roocke</t>
  </si>
  <si>
    <t>Rowe</t>
  </si>
  <si>
    <t>Sonny</t>
  </si>
  <si>
    <t>Masazumi</t>
  </si>
  <si>
    <t>Saikawa</t>
  </si>
  <si>
    <t>Sanders</t>
  </si>
  <si>
    <t>Wu-sheng</t>
  </si>
  <si>
    <t>Sang</t>
  </si>
  <si>
    <t>Horst</t>
  </si>
  <si>
    <t>Schoof</t>
  </si>
  <si>
    <t>Hsin-ta</t>
  </si>
  <si>
    <t>Shen</t>
  </si>
  <si>
    <t>Maresuke</t>
  </si>
  <si>
    <t>Shorland</t>
  </si>
  <si>
    <t>Feheen</t>
  </si>
  <si>
    <t>Silversides</t>
  </si>
  <si>
    <t>Souder</t>
  </si>
  <si>
    <t>Stanford</t>
  </si>
  <si>
    <t>Storer</t>
  </si>
  <si>
    <t>Zhu-lan</t>
  </si>
  <si>
    <t>Sanjaya</t>
  </si>
  <si>
    <t>Datu</t>
  </si>
  <si>
    <t>Sy ba</t>
  </si>
  <si>
    <t>Tableter</t>
  </si>
  <si>
    <t>Shigenobu</t>
  </si>
  <si>
    <t>Takuda</t>
  </si>
  <si>
    <t>Teika</t>
  </si>
  <si>
    <t>Targuín</t>
  </si>
  <si>
    <t>Stu</t>
  </si>
  <si>
    <t>Gerhard</t>
  </si>
  <si>
    <t>Tolzmann</t>
  </si>
  <si>
    <t>Cristóbal</t>
  </si>
  <si>
    <t>Uenohara</t>
  </si>
  <si>
    <t>Underwood</t>
  </si>
  <si>
    <t>Trevor</t>
  </si>
  <si>
    <t>van Egmond</t>
  </si>
  <si>
    <t>Chiel</t>
  </si>
  <si>
    <t>van Guilik</t>
  </si>
  <si>
    <t>Aarnoud</t>
  </si>
  <si>
    <t>van Sandvliet</t>
  </si>
  <si>
    <t>Vick</t>
  </si>
  <si>
    <t>Jérôme</t>
  </si>
  <si>
    <t>Vidal</t>
  </si>
  <si>
    <t>von Strantz</t>
  </si>
  <si>
    <t>Masaaki</t>
  </si>
  <si>
    <t>Watkins</t>
  </si>
  <si>
    <t>Webster</t>
  </si>
  <si>
    <t>Wilkinson</t>
  </si>
  <si>
    <t>Willis</t>
  </si>
  <si>
    <t>Wingate</t>
  </si>
  <si>
    <t>Woolridge</t>
  </si>
  <si>
    <t>Wooten</t>
  </si>
  <si>
    <t>Servaas</t>
  </si>
  <si>
    <t>Wulms</t>
  </si>
  <si>
    <t>Mi-yuan</t>
  </si>
  <si>
    <t>Mochihito</t>
  </si>
  <si>
    <t>Tsumemasa</t>
  </si>
  <si>
    <t>Takashi</t>
  </si>
  <si>
    <t>Naganori</t>
  </si>
  <si>
    <t>Qin-shu</t>
  </si>
  <si>
    <t>Yan</t>
  </si>
  <si>
    <t>Zhi-bin</t>
  </si>
  <si>
    <t>Seung-cheol</t>
  </si>
  <si>
    <t>Zarzuela</t>
  </si>
  <si>
    <t>Jing-quo</t>
  </si>
  <si>
    <t>Jian-zhang</t>
  </si>
  <si>
    <t>Zhào</t>
  </si>
  <si>
    <t>Xing-hua</t>
  </si>
  <si>
    <t>$1.6m</t>
  </si>
  <si>
    <t>$43k</t>
  </si>
  <si>
    <t>P</t>
  </si>
  <si>
    <t>Gloucester Fishermen</t>
  </si>
  <si>
    <t>New Jersey Hitmen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</si>
</sst>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44" formatCode="_(&quot;$&quot;* #,##0.00_);_(&quot;$&quot;* \(#,##0.00\);_(&quot;$&quot;* &quot;-&quot;??_);_(@_)"/>
    <numFmt numFmtId="164" formatCode="0.000"/>
    <numFmt numFmtId="165" formatCode="_(&quot;$&quot;* #,##0_);_(&quot;$&quot;* \(#,##0\);_(&quot;$&quot;* &quot;-&quot;??_);_(@_)"/>
    <numFmt numFmtId="166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ourier New"/>
      <family val="3"/>
    </font>
    <font>
      <sz val="11"/>
      <color theme="1"/>
      <name val="Courier New"/>
      <family val="3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6">
    <xf numFmtId="0" fontId="0" fillId="0" borderId="0" xfId="0"/>
    <xf numFmtId="0" fontId="2" fillId="0" borderId="0" xfId="0" applyFont="1"/>
    <xf numFmtId="1" fontId="0" fillId="0" borderId="0" xfId="0" applyNumberFormat="1"/>
    <xf numFmtId="0" fontId="0" fillId="0" borderId="1" xfId="0" applyBorder="1"/>
    <xf numFmtId="0" fontId="2" fillId="0" borderId="1" xfId="0" applyFont="1" applyBorder="1"/>
    <xf numFmtId="165" fontId="0" fillId="0" borderId="0" xfId="1" applyNumberFormat="1" applyFont="1"/>
    <xf numFmtId="0" fontId="0" fillId="0" borderId="4" xfId="0" applyBorder="1"/>
    <xf numFmtId="0" fontId="0" fillId="0" borderId="0" xfId="0" applyBorder="1"/>
    <xf numFmtId="0" fontId="2" fillId="0" borderId="4" xfId="0" applyFont="1" applyBorder="1"/>
    <xf numFmtId="0" fontId="2" fillId="0" borderId="0" xfId="0" applyFont="1" applyBorder="1"/>
    <xf numFmtId="0" fontId="0" fillId="2" borderId="2" xfId="0" applyFill="1" applyBorder="1"/>
    <xf numFmtId="0" fontId="0" fillId="2" borderId="5" xfId="0" applyFill="1" applyBorder="1"/>
    <xf numFmtId="164" fontId="0" fillId="2" borderId="2" xfId="0" applyNumberFormat="1" applyFill="1" applyBorder="1"/>
    <xf numFmtId="164" fontId="0" fillId="2" borderId="5" xfId="0" applyNumberFormat="1" applyFill="1" applyBorder="1"/>
    <xf numFmtId="165" fontId="0" fillId="2" borderId="2" xfId="1" applyNumberFormat="1" applyFont="1" applyFill="1" applyBorder="1"/>
    <xf numFmtId="0" fontId="0" fillId="2" borderId="3" xfId="0" applyFill="1" applyBorder="1"/>
    <xf numFmtId="0" fontId="0" fillId="2" borderId="6" xfId="0" applyFill="1" applyBorder="1"/>
    <xf numFmtId="0" fontId="0" fillId="0" borderId="7" xfId="0" applyBorder="1"/>
    <xf numFmtId="1" fontId="0" fillId="0" borderId="1" xfId="0" applyNumberFormat="1" applyBorder="1"/>
    <xf numFmtId="0" fontId="0" fillId="0" borderId="0" xfId="0" applyNumberFormat="1"/>
    <xf numFmtId="165" fontId="0" fillId="0" borderId="0" xfId="0" applyNumberFormat="1"/>
    <xf numFmtId="165" fontId="2" fillId="0" borderId="0" xfId="0" applyNumberFormat="1" applyFont="1"/>
    <xf numFmtId="0" fontId="3" fillId="0" borderId="0" xfId="0" applyFont="1"/>
    <xf numFmtId="0" fontId="4" fillId="0" borderId="0" xfId="0" applyNumberFormat="1" applyFont="1"/>
    <xf numFmtId="0" fontId="4" fillId="0" borderId="0" xfId="0" applyFont="1"/>
    <xf numFmtId="0" fontId="5" fillId="0" borderId="1" xfId="0" applyFont="1" applyBorder="1" applyAlignment="1">
      <alignment horizontal="right"/>
    </xf>
    <xf numFmtId="2" fontId="6" fillId="0" borderId="0" xfId="0" applyNumberFormat="1" applyFont="1"/>
    <xf numFmtId="2" fontId="6" fillId="0" borderId="1" xfId="0" applyNumberFormat="1" applyFont="1" applyBorder="1"/>
    <xf numFmtId="0" fontId="2" fillId="0" borderId="0" xfId="0" applyFont="1" applyAlignment="1">
      <alignment horizontal="right"/>
    </xf>
    <xf numFmtId="6" fontId="0" fillId="0" borderId="0" xfId="0" applyNumberFormat="1" applyFont="1"/>
    <xf numFmtId="0" fontId="0" fillId="0" borderId="0" xfId="0" quotePrefix="1"/>
    <xf numFmtId="0" fontId="0" fillId="0" borderId="0" xfId="0" applyFill="1" applyBorder="1"/>
    <xf numFmtId="0" fontId="2" fillId="3" borderId="0" xfId="0" applyFont="1" applyFill="1"/>
    <xf numFmtId="0" fontId="0" fillId="3" borderId="0" xfId="0" applyFill="1"/>
    <xf numFmtId="0" fontId="2" fillId="0" borderId="0" xfId="0" applyFont="1" applyFill="1"/>
    <xf numFmtId="0" fontId="2" fillId="0" borderId="0" xfId="0" applyFont="1" applyFill="1" applyAlignment="1">
      <alignment wrapText="1"/>
    </xf>
    <xf numFmtId="0" fontId="2" fillId="0" borderId="1" xfId="0" applyFont="1" applyFill="1" applyBorder="1" applyAlignment="1">
      <alignment wrapText="1"/>
    </xf>
    <xf numFmtId="0" fontId="2" fillId="0" borderId="0" xfId="0" applyFont="1" applyFill="1" applyBorder="1" applyAlignment="1">
      <alignment wrapText="1"/>
    </xf>
    <xf numFmtId="0" fontId="2" fillId="0" borderId="7" xfId="0" applyFont="1" applyFill="1" applyBorder="1" applyAlignment="1">
      <alignment wrapText="1"/>
    </xf>
    <xf numFmtId="0" fontId="2" fillId="0" borderId="1" xfId="0" applyFont="1" applyFill="1" applyBorder="1"/>
    <xf numFmtId="0" fontId="0" fillId="0" borderId="0" xfId="0" applyFill="1" applyAlignment="1">
      <alignment wrapText="1"/>
    </xf>
    <xf numFmtId="0" fontId="0" fillId="0" borderId="1" xfId="0" applyFill="1" applyBorder="1" applyAlignment="1">
      <alignment wrapText="1"/>
    </xf>
    <xf numFmtId="0" fontId="0" fillId="0" borderId="0" xfId="0" applyFill="1" applyBorder="1" applyAlignment="1">
      <alignment wrapText="1"/>
    </xf>
    <xf numFmtId="165" fontId="0" fillId="0" borderId="7" xfId="1" applyNumberFormat="1" applyFont="1" applyFill="1" applyBorder="1" applyAlignment="1">
      <alignment wrapText="1"/>
    </xf>
    <xf numFmtId="164" fontId="0" fillId="0" borderId="0" xfId="0" applyNumberFormat="1" applyFill="1"/>
    <xf numFmtId="0" fontId="0" fillId="0" borderId="0" xfId="0" applyFill="1"/>
    <xf numFmtId="0" fontId="0" fillId="0" borderId="1" xfId="0" applyFill="1" applyBorder="1"/>
    <xf numFmtId="164" fontId="0" fillId="0" borderId="1" xfId="0" applyNumberFormat="1" applyFill="1" applyBorder="1"/>
    <xf numFmtId="9" fontId="0" fillId="0" borderId="1" xfId="0" applyNumberFormat="1" applyFill="1" applyBorder="1" applyAlignment="1">
      <alignment wrapText="1"/>
    </xf>
    <xf numFmtId="0" fontId="0" fillId="0" borderId="0" xfId="0" applyFill="1" applyAlignment="1">
      <alignment horizontal="center"/>
    </xf>
    <xf numFmtId="0" fontId="0" fillId="2" borderId="0" xfId="0" applyFill="1" applyBorder="1"/>
    <xf numFmtId="0" fontId="0" fillId="2" borderId="1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 applyAlignment="1">
      <alignment horizontal="right"/>
    </xf>
    <xf numFmtId="165" fontId="0" fillId="2" borderId="0" xfId="1" applyNumberFormat="1" applyFont="1" applyFill="1" applyBorder="1"/>
    <xf numFmtId="0" fontId="0" fillId="2" borderId="0" xfId="0" applyNumberFormat="1" applyFill="1" applyBorder="1"/>
    <xf numFmtId="1" fontId="0" fillId="2" borderId="0" xfId="0" applyNumberFormat="1" applyFill="1" applyBorder="1"/>
    <xf numFmtId="165" fontId="0" fillId="0" borderId="4" xfId="1" applyNumberFormat="1" applyFont="1" applyBorder="1"/>
    <xf numFmtId="165" fontId="0" fillId="2" borderId="4" xfId="1" applyNumberFormat="1" applyFont="1" applyFill="1" applyBorder="1"/>
    <xf numFmtId="164" fontId="0" fillId="2" borderId="4" xfId="0" applyNumberFormat="1" applyFill="1" applyBorder="1"/>
    <xf numFmtId="1" fontId="0" fillId="2" borderId="4" xfId="0" applyNumberFormat="1" applyFill="1" applyBorder="1"/>
    <xf numFmtId="166" fontId="0" fillId="2" borderId="4" xfId="0" applyNumberFormat="1" applyFill="1" applyBorder="1"/>
    <xf numFmtId="0" fontId="0" fillId="2" borderId="4" xfId="0" applyFill="1" applyBorder="1"/>
    <xf numFmtId="0" fontId="0" fillId="0" borderId="0" xfId="0" applyNumberFormat="1" applyFill="1"/>
    <xf numFmtId="0" fontId="0" fillId="0" borderId="0" xfId="0" applyFill="1" applyBorder="1" applyAlignment="1"/>
    <xf numFmtId="0" fontId="0" fillId="0" borderId="0" xfId="0" applyFill="1" applyAlignment="1"/>
    <xf numFmtId="0" fontId="0" fillId="0" borderId="1" xfId="0" applyFill="1" applyBorder="1" applyAlignment="1"/>
    <xf numFmtId="0" fontId="0" fillId="2" borderId="0" xfId="0" applyFill="1"/>
    <xf numFmtId="0" fontId="0" fillId="2" borderId="0" xfId="0" applyNumberFormat="1" applyFill="1"/>
    <xf numFmtId="164" fontId="0" fillId="2" borderId="0" xfId="0" applyNumberFormat="1" applyFill="1"/>
    <xf numFmtId="1" fontId="0" fillId="2" borderId="0" xfId="0" applyNumberFormat="1" applyFill="1"/>
    <xf numFmtId="0" fontId="0" fillId="2" borderId="1" xfId="0" applyNumberFormat="1" applyFill="1" applyBorder="1"/>
    <xf numFmtId="0" fontId="0" fillId="2" borderId="4" xfId="0" applyNumberFormat="1" applyFill="1" applyBorder="1"/>
    <xf numFmtId="0" fontId="0" fillId="2" borderId="0" xfId="0" applyNumberFormat="1" applyFill="1" applyAlignment="1">
      <alignment horizontal="right"/>
    </xf>
    <xf numFmtId="165" fontId="0" fillId="2" borderId="0" xfId="1" applyNumberFormat="1" applyFont="1" applyFill="1"/>
    <xf numFmtId="164" fontId="0" fillId="2" borderId="4" xfId="1" applyNumberFormat="1" applyFont="1" applyFill="1" applyBorder="1"/>
  </cellXfs>
  <cellStyles count="2">
    <cellStyle name="Currency" xfId="1" builtinId="4"/>
    <cellStyle name="Normal" xfId="0" builtinId="0"/>
  </cellStyles>
  <dxfs count="207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1"/>
        <name val="Courier New"/>
        <scheme val="none"/>
      </font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_(&quot;$&quot;* #,##0_);_(&quot;$&quot;* \(#,##0\);_(&quot;$&quot;* &quot;-&quot;??_);_(@_)"/>
    </dxf>
    <dxf>
      <numFmt numFmtId="165" formatCode="_(&quot;$&quot;* #,##0_);_(&quot;$&quot;* \(#,##0\);_(&quot;$&quot;* &quot;-&quot;??_);_(@_)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_(&quot;$&quot;* #,##0_);_(&quot;$&quot;* \(#,##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_(&quot;$&quot;* #,##0_);_(&quot;$&quot;* \(#,##0\);_(&quot;$&quot;* &quot;-&quot;??_);_(@_)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ill>
        <patternFill>
          <bgColor theme="9" tint="0.79998168889431442"/>
        </patternFill>
      </fill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  <fill>
        <patternFill patternType="solid">
          <fgColor indexed="64"/>
          <bgColor theme="4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_(&quot;$&quot;* #,##0_);_(&quot;$&quot;* \(#,##0\);_(&quot;$&quot;* &quot;-&quot;??_);_(@_)"/>
      <fill>
        <patternFill patternType="solid">
          <fgColor indexed="64"/>
          <bgColor theme="4" tint="0.79998168889431442"/>
        </patternFill>
      </fill>
    </dxf>
    <dxf>
      <numFmt numFmtId="0" formatCode="General"/>
      <fill>
        <patternFill patternType="solid">
          <fgColor indexed="64"/>
          <bgColor theme="4" tint="0.79998168889431442"/>
        </patternFill>
      </fill>
    </dxf>
    <dxf>
      <numFmt numFmtId="0" formatCode="General"/>
      <fill>
        <patternFill patternType="solid">
          <fgColor indexed="64"/>
          <bgColor theme="4" tint="0.79998168889431442"/>
        </patternFill>
      </fill>
    </dxf>
    <dxf>
      <numFmt numFmtId="0" formatCode="General"/>
      <fill>
        <patternFill patternType="solid">
          <fgColor indexed="64"/>
          <bgColor theme="4" tint="0.79998168889431442"/>
        </patternFill>
      </fill>
    </dxf>
    <dxf>
      <numFmt numFmtId="0" formatCode="General"/>
      <fill>
        <patternFill patternType="solid">
          <fgColor indexed="64"/>
          <bgColor theme="4" tint="0.79998168889431442"/>
        </patternFill>
      </fill>
      <alignment horizontal="right" vertical="bottom" textRotation="0" wrapText="0" indent="0" justifyLastLine="0" shrinkToFit="0" readingOrder="0"/>
    </dxf>
    <dxf>
      <numFmt numFmtId="0" formatCode="General"/>
      <fill>
        <patternFill patternType="solid">
          <fgColor indexed="64"/>
          <bgColor theme="4" tint="0.79998168889431442"/>
        </patternFill>
      </fill>
    </dxf>
    <dxf>
      <numFmt numFmtId="0" formatCode="General"/>
      <fill>
        <patternFill patternType="solid">
          <fgColor indexed="64"/>
          <bgColor theme="4" tint="0.79998168889431442"/>
        </patternFill>
      </fill>
      <border diagonalUp="0" diagonalDown="0">
        <left/>
        <right style="thin">
          <color indexed="64"/>
        </right>
        <top/>
        <bottom/>
        <vertical/>
        <horizontal/>
      </border>
    </dxf>
    <dxf>
      <numFmt numFmtId="0" formatCode="General"/>
      <fill>
        <patternFill patternType="solid">
          <fgColor indexed="64"/>
          <bgColor theme="4" tint="0.79998168889431442"/>
        </patternFill>
      </fill>
    </dxf>
    <dxf>
      <numFmt numFmtId="0" formatCode="General"/>
      <fill>
        <patternFill patternType="solid">
          <fgColor indexed="64"/>
          <bgColor theme="4" tint="0.79998168889431442"/>
        </patternFill>
      </fill>
    </dxf>
    <dxf>
      <fill>
        <patternFill patternType="solid">
          <fgColor indexed="64"/>
          <bgColor theme="4" tint="0.79998168889431442"/>
        </patternFill>
      </fill>
    </dxf>
    <dxf>
      <numFmt numFmtId="0" formatCode="General"/>
      <fill>
        <patternFill patternType="solid">
          <fgColor indexed="64"/>
          <bgColor theme="4" tint="0.79998168889431442"/>
        </patternFill>
      </fill>
      <border diagonalUp="0" diagonalDown="0">
        <left style="thin">
          <color indexed="64"/>
        </lef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0.000"/>
      <fill>
        <patternFill patternType="solid">
          <fgColor indexed="64"/>
          <bgColor theme="4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numFmt numFmtId="164" formatCode="0.000"/>
      <fill>
        <patternFill patternType="solid">
          <fgColor indexed="64"/>
          <bgColor theme="4" tint="0.79998168889431442"/>
        </patternFill>
      </fill>
      <border diagonalUp="0" diagonalDown="0" outline="0">
        <left/>
        <right style="thin">
          <color indexed="64"/>
        </right>
        <top/>
        <bottom/>
      </border>
    </dxf>
    <dxf>
      <numFmt numFmtId="166" formatCode="0.0"/>
      <fill>
        <patternFill patternType="solid">
          <fgColor indexed="64"/>
          <bgColor theme="4" tint="0.79998168889431442"/>
        </patternFill>
      </fill>
      <border diagonalUp="0" diagonalDown="0" outline="0">
        <left style="thin">
          <color indexed="64"/>
        </left>
        <right/>
        <top/>
        <bottom/>
      </border>
    </dxf>
    <dxf>
      <numFmt numFmtId="1" formatCode="0"/>
      <fill>
        <patternFill patternType="solid">
          <fgColor indexed="64"/>
          <bgColor theme="4" tint="0.79998168889431442"/>
        </patternFill>
      </fill>
    </dxf>
    <dxf>
      <numFmt numFmtId="1" formatCode="0"/>
      <fill>
        <patternFill patternType="solid">
          <fgColor indexed="64"/>
          <bgColor theme="4" tint="0.79998168889431442"/>
        </patternFill>
      </fill>
    </dxf>
    <dxf>
      <numFmt numFmtId="1" formatCode="0"/>
      <fill>
        <patternFill patternType="solid">
          <fgColor indexed="64"/>
          <bgColor theme="4" tint="0.79998168889431442"/>
        </patternFill>
      </fill>
    </dxf>
    <dxf>
      <numFmt numFmtId="1" formatCode="0"/>
      <fill>
        <patternFill patternType="solid">
          <fgColor indexed="64"/>
          <bgColor theme="4" tint="0.79998168889431442"/>
        </patternFill>
      </fill>
    </dxf>
    <dxf>
      <numFmt numFmtId="1" formatCode="0"/>
      <fill>
        <patternFill patternType="solid">
          <fgColor indexed="64"/>
          <bgColor theme="4" tint="0.79998168889431442"/>
        </patternFill>
      </fill>
      <border diagonalUp="0" diagonalDown="0">
        <left style="thin">
          <color indexed="64"/>
        </left>
        <top/>
        <bottom/>
        <vertical/>
        <horizontal/>
      </border>
    </dxf>
    <dxf>
      <numFmt numFmtId="164" formatCode="0.000"/>
      <fill>
        <patternFill patternType="solid">
          <fgColor indexed="64"/>
          <bgColor theme="4" tint="0.79998168889431442"/>
        </patternFill>
      </fill>
    </dxf>
    <dxf>
      <numFmt numFmtId="164" formatCode="0.000"/>
      <fill>
        <patternFill patternType="solid">
          <fgColor indexed="64"/>
          <bgColor theme="4" tint="0.79998168889431442"/>
        </patternFill>
      </fill>
    </dxf>
    <dxf>
      <numFmt numFmtId="164" formatCode="0.000"/>
      <fill>
        <patternFill patternType="solid">
          <fgColor indexed="64"/>
          <bgColor theme="4" tint="0.79998168889431442"/>
        </patternFill>
      </fill>
    </dxf>
    <dxf>
      <numFmt numFmtId="164" formatCode="0.000"/>
      <fill>
        <patternFill patternType="solid">
          <fgColor indexed="64"/>
          <bgColor theme="4" tint="0.79998168889431442"/>
        </patternFill>
      </fill>
    </dxf>
    <dxf>
      <numFmt numFmtId="1" formatCode="0"/>
      <fill>
        <patternFill patternType="solid">
          <fgColor indexed="64"/>
          <bgColor theme="4" tint="0.79998168889431442"/>
        </patternFill>
      </fill>
    </dxf>
    <dxf>
      <numFmt numFmtId="0" formatCode="General"/>
      <fill>
        <patternFill patternType="solid">
          <fgColor indexed="64"/>
          <bgColor theme="4" tint="0.79998168889431442"/>
        </patternFill>
      </fill>
    </dxf>
    <dxf>
      <numFmt numFmtId="164" formatCode="0.000"/>
      <fill>
        <patternFill patternType="solid">
          <fgColor indexed="64"/>
          <bgColor theme="4" tint="0.79998168889431442"/>
        </patternFill>
      </fill>
    </dxf>
    <dxf>
      <numFmt numFmtId="164" formatCode="0.000"/>
      <fill>
        <patternFill patternType="solid">
          <fgColor indexed="64"/>
          <bgColor theme="4" tint="0.79998168889431442"/>
        </patternFill>
      </fill>
      <border diagonalUp="0" diagonalDown="0">
        <left style="thin">
          <color indexed="64"/>
        </left>
        <top/>
        <bottom/>
        <vertical/>
        <horizontal/>
      </border>
    </dxf>
    <dxf>
      <numFmt numFmtId="0" formatCode="General"/>
      <fill>
        <patternFill patternType="solid">
          <fgColor indexed="64"/>
          <bgColor theme="4" tint="0.79998168889431442"/>
        </patternFill>
      </fill>
    </dxf>
    <dxf>
      <numFmt numFmtId="0" formatCode="General"/>
      <fill>
        <patternFill patternType="solid">
          <fgColor indexed="64"/>
          <bgColor theme="4" tint="0.79998168889431442"/>
        </patternFill>
      </fill>
    </dxf>
    <dxf>
      <fill>
        <patternFill patternType="solid">
          <fgColor indexed="64"/>
          <bgColor theme="4" tint="0.79998168889431442"/>
        </patternFill>
      </fill>
    </dxf>
    <dxf>
      <border outline="0">
        <bottom style="thin">
          <color indexed="64"/>
        </bottom>
      </border>
    </dxf>
    <dxf>
      <fill>
        <patternFill patternType="solid">
          <fgColor indexed="64"/>
          <bgColor theme="4" tint="0.79998168889431442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strike/>
        <color theme="0" tint="-0.14996795556505021"/>
      </font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numFmt numFmtId="0" formatCode="General"/>
      <fill>
        <patternFill patternType="none">
          <fgColor indexed="64"/>
          <bgColor auto="1"/>
        </patternFill>
      </fill>
    </dxf>
    <dxf>
      <numFmt numFmtId="0" formatCode="General"/>
      <fill>
        <patternFill patternType="none">
          <fgColor indexed="64"/>
          <bgColor auto="1"/>
        </patternFill>
      </fill>
    </dxf>
    <dxf>
      <numFmt numFmtId="0" formatCode="General"/>
      <fill>
        <patternFill patternType="none">
          <fgColor indexed="64"/>
          <bgColor auto="1"/>
        </patternFill>
      </fill>
    </dxf>
    <dxf>
      <numFmt numFmtId="0" formatCode="General"/>
      <fill>
        <patternFill patternType="none">
          <fgColor indexed="64"/>
          <bgColor auto="1"/>
        </patternFill>
      </fill>
    </dxf>
    <dxf>
      <numFmt numFmtId="0" formatCode="General"/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numFmt numFmtId="0" formatCode="General"/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numFmt numFmtId="164" formatCode="0.000"/>
      <fill>
        <patternFill patternType="none">
          <fgColor indexed="64"/>
          <bgColor auto="1"/>
        </patternFill>
      </fill>
      <border diagonalUp="0" diagonalDown="0" outline="0">
        <left/>
        <right style="thin">
          <color indexed="64"/>
        </right>
        <top/>
        <bottom/>
      </border>
    </dxf>
    <dxf>
      <numFmt numFmtId="164" formatCode="0.000"/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  <border diagonalUp="0" diagonalDown="0" outline="0">
        <left/>
        <right style="thin">
          <color indexed="64"/>
        </right>
        <top/>
        <bottom/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numFmt numFmtId="164" formatCode="0.000"/>
      <fill>
        <patternFill patternType="none">
          <fgColor indexed="64"/>
          <bgColor auto="1"/>
        </patternFill>
      </fill>
    </dxf>
    <dxf>
      <numFmt numFmtId="164" formatCode="0.00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_(&quot;$&quot;* #,##0_);_(&quot;$&quot;* \(#,##0\);_(&quot;$&quot;* &quot;-&quot;??_);_(@_)"/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_(&quot;$&quot;* #,##0_);_(&quot;$&quot;* \(#,##0\);_(&quot;$&quot;* &quot;-&quot;??_);_(@_)"/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3" formatCode="0%"/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ill>
        <patternFill>
          <bgColor theme="8" tint="0.79998168889431442"/>
        </patternFill>
      </fill>
    </dxf>
    <dxf>
      <font>
        <strike/>
        <color theme="0" tint="-0.14996795556505021"/>
      </font>
    </dxf>
    <dxf>
      <numFmt numFmtId="0" formatCode="General"/>
      <fill>
        <patternFill patternType="none">
          <fgColor indexed="64"/>
          <bgColor auto="1"/>
        </patternFill>
      </fill>
    </dxf>
    <dxf>
      <numFmt numFmtId="0" formatCode="General"/>
      <fill>
        <patternFill patternType="none">
          <fgColor indexed="64"/>
          <bgColor auto="1"/>
        </patternFill>
      </fill>
    </dxf>
    <dxf>
      <numFmt numFmtId="0" formatCode="General"/>
      <fill>
        <patternFill patternType="none">
          <fgColor indexed="64"/>
          <bgColor auto="1"/>
        </patternFill>
      </fill>
    </dxf>
    <dxf>
      <numFmt numFmtId="0" formatCode="General"/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numFmt numFmtId="0" formatCode="General"/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numFmt numFmtId="164" formatCode="0.000"/>
      <fill>
        <patternFill patternType="none">
          <fgColor indexed="64"/>
          <bgColor auto="1"/>
        </patternFill>
      </fill>
      <border diagonalUp="0" diagonalDown="0" outline="0">
        <left/>
        <right style="thin">
          <color indexed="64"/>
        </right>
        <top/>
        <bottom/>
      </border>
    </dxf>
    <dxf>
      <numFmt numFmtId="164" formatCode="0.000"/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  <border diagonalUp="0" diagonalDown="0">
        <left/>
        <right style="thin">
          <color indexed="64"/>
        </right>
        <top/>
        <bottom/>
        <vertical/>
        <horizontal/>
      </border>
    </dxf>
    <dxf>
      <fill>
        <patternFill patternType="none">
          <fgColor indexed="64"/>
          <bgColor indexed="65"/>
        </patternFill>
      </fill>
    </dxf>
    <dxf>
      <numFmt numFmtId="164" formatCode="0.000"/>
      <fill>
        <patternFill patternType="none">
          <fgColor indexed="64"/>
          <bgColor indexed="65"/>
        </patternFill>
      </fill>
    </dxf>
    <dxf>
      <numFmt numFmtId="164" formatCode="0.0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_(&quot;$&quot;* #,##0_);_(&quot;$&quot;* \(#,##0\);_(&quot;$&quot;* &quot;-&quot;??_);_(@_)"/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_(&quot;$&quot;* #,##0_);_(&quot;$&quot;* \(#,##0\);_(&quot;$&quot;* &quot;-&quot;??_);_(@_)"/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strike/>
        <color theme="0" tint="-0.24994659260841701"/>
      </font>
    </dxf>
    <dxf>
      <numFmt numFmtId="0" formatCode="General"/>
      <fill>
        <patternFill patternType="none">
          <fgColor indexed="64"/>
          <bgColor auto="1"/>
        </patternFill>
      </fill>
    </dxf>
    <dxf>
      <numFmt numFmtId="0" formatCode="General"/>
      <fill>
        <patternFill patternType="none">
          <fgColor indexed="64"/>
          <bgColor auto="1"/>
        </patternFill>
      </fill>
    </dxf>
    <dxf>
      <numFmt numFmtId="0" formatCode="General"/>
      <fill>
        <patternFill patternType="none">
          <fgColor indexed="64"/>
          <bgColor auto="1"/>
        </patternFill>
      </fill>
    </dxf>
    <dxf>
      <numFmt numFmtId="0" formatCode="General"/>
      <fill>
        <patternFill patternType="none">
          <fgColor indexed="64"/>
          <bgColor auto="1"/>
        </patternFill>
      </fill>
    </dxf>
    <dxf>
      <numFmt numFmtId="0" formatCode="General"/>
      <fill>
        <patternFill patternType="none">
          <fgColor indexed="64"/>
          <bgColor auto="1"/>
        </patternFill>
      </fill>
    </dxf>
    <dxf>
      <numFmt numFmtId="0" formatCode="General"/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numFmt numFmtId="0" formatCode="General"/>
      <fill>
        <patternFill patternType="none">
          <fgColor indexed="64"/>
          <bgColor auto="1"/>
        </patternFill>
      </fill>
    </dxf>
    <dxf>
      <numFmt numFmtId="0" formatCode="General"/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numFmt numFmtId="164" formatCode="0.000"/>
      <fill>
        <patternFill patternType="none">
          <fgColor indexed="64"/>
          <bgColor auto="1"/>
        </patternFill>
      </fill>
    </dxf>
    <dxf>
      <numFmt numFmtId="164" formatCode="0.000"/>
      <fill>
        <patternFill patternType="none">
          <fgColor indexed="64"/>
          <bgColor auto="1"/>
        </patternFill>
      </fill>
    </dxf>
    <dxf>
      <numFmt numFmtId="164" formatCode="0.000"/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3EB66731-A114-49C0-A59F-48B0CEC3F0EB}" name="BvP" displayName="BvP" ref="A3:T13" totalsRowShown="0" headerRowDxfId="206" dataDxfId="205">
  <autoFilter ref="A3:T13" xr:uid="{4EA1C7C9-BA76-4D58-96CA-8890C11236E4}"/>
  <sortState xmlns:xlrd2="http://schemas.microsoft.com/office/spreadsheetml/2017/richdata2" ref="A4:T7">
    <sortCondition descending="1" ref="J4:J7"/>
  </sortState>
  <tableColumns count="20">
    <tableColumn id="1" xr3:uid="{12EB054C-84B3-4B5A-B116-B087AC26CF4C}" name="CompID" dataDxfId="204"/>
    <tableColumn id="2" xr3:uid="{9AEDCBF2-9D71-49F3-95AF-D498474FA0FD}" name="POS" dataDxfId="203">
      <calculatedColumnFormula>VLOOKUP($A4,Bat!$A$4:$BB$1028,B$1,FALSE)</calculatedColumnFormula>
    </tableColumn>
    <tableColumn id="3" xr3:uid="{6D582374-983C-4225-A1E6-09B66FB972C9}" name="First" dataDxfId="202">
      <calculatedColumnFormula>VLOOKUP($A4,Bat!$A$4:$BB$1028,C$1,FALSE)</calculatedColumnFormula>
    </tableColumn>
    <tableColumn id="4" xr3:uid="{0E084B9A-8629-4D95-B871-7A0BF837CC70}" name="Last" dataDxfId="201">
      <calculatedColumnFormula>VLOOKUP($A4,Bat!$A$4:$BB$1028,D$1,FALSE)</calculatedColumnFormula>
    </tableColumn>
    <tableColumn id="5" xr3:uid="{5BBE56A0-134F-4D68-B7F2-976A09EF09EE}" name="Age" dataDxfId="200">
      <calculatedColumnFormula>VLOOKUP($A4,Bat!$A$4:$BB$1028,E$1,FALSE)</calculatedColumnFormula>
    </tableColumn>
    <tableColumn id="6" xr3:uid="{6A712A72-304B-4436-896B-03F58ADCD2CC}" name="B" dataDxfId="199">
      <calculatedColumnFormula>VLOOKUP($A4,Bat!$A$4:$BB$1028,F$1,FALSE)</calculatedColumnFormula>
    </tableColumn>
    <tableColumn id="7" xr3:uid="{159F50A7-A4E7-43C6-AF82-1FA4FB882689}" name="T" dataDxfId="198">
      <calculatedColumnFormula>VLOOKUP($A4,Bat!$A$4:$BB$1028,G$1,FALSE)</calculatedColumnFormula>
    </tableColumn>
    <tableColumn id="8" xr3:uid="{7CD5AB06-A23D-4011-B33B-D11B7F2FD6DD}" name="bZscore" dataDxfId="197">
      <calculatedColumnFormula>VLOOKUP($A4,Bat!$A$4:$BB$1428,H$1,FALSE)</calculatedColumnFormula>
    </tableColumn>
    <tableColumn id="9" xr3:uid="{28D374C5-DF4D-4B17-988D-D4E5F8F1EA26}" name="pZscore" dataDxfId="196">
      <calculatedColumnFormula>VLOOKUP($A4,Pit!$A$4:$BL$1331,I$1,FALSE)</calculatedColumnFormula>
    </tableColumn>
    <tableColumn id="10" xr3:uid="{7D3C03AE-0532-4793-B452-8C176FD181E0}" name="Diff" dataDxfId="195">
      <calculatedColumnFormula>I4-H4</calculatedColumnFormula>
    </tableColumn>
    <tableColumn id="11" xr3:uid="{40841915-CF44-40F0-A051-E66FA74D94C3}" name="Which" dataDxfId="194">
      <calculatedColumnFormula>IF(H4&gt;I4,"B","P")</calculatedColumnFormula>
    </tableColumn>
    <tableColumn id="12" xr3:uid="{36B34C32-DB95-49DD-8A84-0E221F6FFAE9}" name="P Action" dataDxfId="193">
      <calculatedColumnFormula>IF(AND(OR(B4="SP",B4="RP",B4="CL"),K4="P"),"Keep","Delete")</calculatedColumnFormula>
    </tableColumn>
    <tableColumn id="13" xr3:uid="{D81ED318-94ED-4866-AD5B-1EB32A48DFE2}" name="B Action" dataDxfId="192">
      <calculatedColumnFormula>IF(AND(AND($B4&lt;&gt;"SP",$B4&lt;&gt;"RP",$B4&lt;&gt;"CL"),$K4="B"),"Keep","Delete")</calculatedColumnFormula>
    </tableColumn>
    <tableColumn id="14" xr3:uid="{196B24E1-CDF1-434C-AE77-9BCF17C82461}" name="Fin Action" dataDxfId="191">
      <calculatedColumnFormula>IF(OR(L4="Delete",M4="Delete"),"Delete","Keep")</calculatedColumnFormula>
    </tableColumn>
    <tableColumn id="15" xr3:uid="{D2593BE0-9CEC-4F6D-802B-F63DE4723DD5}" name="CON P" dataDxfId="190">
      <calculatedColumnFormula>VLOOKUP($A4,Bat!$A$4:$U$1431,O$2,FALSE)</calculatedColumnFormula>
    </tableColumn>
    <tableColumn id="16" xr3:uid="{457A72E6-7A32-4CFF-A5E3-7A51CCA2151E}" name="POW P" dataDxfId="189">
      <calculatedColumnFormula>VLOOKUP($A4,Bat!$A$4:$U$1431,P$2,FALSE)</calculatedColumnFormula>
    </tableColumn>
    <tableColumn id="17" xr3:uid="{2EEBF342-35A4-4919-8F3E-0BA27F679315}" name="EYE P" dataDxfId="188">
      <calculatedColumnFormula>VLOOKUP($A4,Bat!$A$4:$U$1431,Q$2,FALSE)</calculatedColumnFormula>
    </tableColumn>
    <tableColumn id="18" xr3:uid="{A44041B8-F00A-423C-A675-04ED1E3C91C4}" name="STF P" dataDxfId="187">
      <calculatedColumnFormula>VLOOKUP($A4,Pit!$A$4:$U$1331,R$2,FALSE)</calculatedColumnFormula>
    </tableColumn>
    <tableColumn id="19" xr3:uid="{86E96F23-99DF-4BD0-B071-E47BA4849461}" name="MOV P" dataDxfId="186">
      <calculatedColumnFormula>VLOOKUP($A4,Pit!$A$4:$U$1331,S$2,FALSE)</calculatedColumnFormula>
    </tableColumn>
    <tableColumn id="20" xr3:uid="{E262AE44-50D5-455B-B247-330C7A345577}" name="CON P2" dataDxfId="185">
      <calculatedColumnFormula>VLOOKUP($A4,Pit!$A$4:$U$1331,T$2,FALSE)</calculatedColumnFormula>
    </tableColumn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59B25565-77C8-4603-9A28-57700E9D0EE5}" name="Batters" displayName="Batters" ref="A4:BB459" totalsRowShown="0" headerRowDxfId="183" dataDxfId="182">
  <autoFilter ref="A4:BB459" xr:uid="{6E10E4D6-77B9-4C56-83F3-7AEF284E5BA9}"/>
  <sortState xmlns:xlrd2="http://schemas.microsoft.com/office/spreadsheetml/2017/richdata2" ref="A5:BB459">
    <sortCondition ref="AU5:AU459"/>
    <sortCondition ref="AT5:AT459"/>
    <sortCondition ref="AV5:AV459"/>
    <sortCondition descending="1" ref="AR5:AR459"/>
    <sortCondition ref="D5:D459"/>
    <sortCondition ref="C5:C459"/>
    <sortCondition ref="B5:B459"/>
  </sortState>
  <tableColumns count="54">
    <tableColumn id="1" xr3:uid="{34C1723A-FE63-4D0C-8F68-A6A04834500B}" name="PID" dataDxfId="181"/>
    <tableColumn id="2" xr3:uid="{01290886-73BE-4450-9D0E-C5F532E965A2}" name="POS" dataDxfId="180"/>
    <tableColumn id="3" xr3:uid="{6860296F-316F-40AE-8455-75B73FA05B93}" name="First" dataDxfId="179"/>
    <tableColumn id="4" xr3:uid="{E5A68DCB-6A30-447F-B3B6-B5954485E0B6}" name="Last" dataDxfId="178"/>
    <tableColumn id="5" xr3:uid="{8EA98B8E-B289-48DF-BC61-09740EF1A69F}" name="Age" dataDxfId="177"/>
    <tableColumn id="6" xr3:uid="{87C2346B-6F7F-4BFA-B601-680F6AE0B51E}" name="B" dataDxfId="176"/>
    <tableColumn id="7" xr3:uid="{44B37C89-D9D7-4D0D-BB1F-72DD6E1885DB}" name="T" dataDxfId="175"/>
    <tableColumn id="8" xr3:uid="{8702DDBC-F483-4BF2-96C4-687CB57F779D}" name="POT" dataDxfId="174"/>
    <tableColumn id="9" xr3:uid="{7FE18182-72A7-43D0-9C73-56DC1599E827}" name="LEA" dataDxfId="173"/>
    <tableColumn id="10" xr3:uid="{BC37AFC8-001D-4A47-8D5D-42E95FC7E425}" name="WE" dataDxfId="172"/>
    <tableColumn id="11" xr3:uid="{902EAD12-CCDA-449D-8F8D-B440D4204B2D}" name="INT" dataDxfId="171"/>
    <tableColumn id="12" xr3:uid="{28089B1D-DC4F-40B7-982C-6EEAFE413D67}" name="CON" dataDxfId="170"/>
    <tableColumn id="13" xr3:uid="{70968ED5-8E1D-4783-9F66-EE80665CEC4B}" name="GAP" dataDxfId="169"/>
    <tableColumn id="14" xr3:uid="{F4CF265A-CCD9-4019-8AC6-17ADEB83793C}" name="POW" dataDxfId="168"/>
    <tableColumn id="15" xr3:uid="{EE9A73B3-1899-4127-A0F0-771654D2A7EA}" name="EYE" dataDxfId="167"/>
    <tableColumn id="16" xr3:uid="{2E651957-39D9-4C6F-9763-2EDF4F150586}" name="K's" dataDxfId="166"/>
    <tableColumn id="17" xr3:uid="{EC5C941E-964B-4A2A-8B08-FF672385242E}" name="CON P" dataDxfId="165"/>
    <tableColumn id="18" xr3:uid="{73C81C26-DC43-4296-83C9-AAA367CE324A}" name="GAP P" dataDxfId="164"/>
    <tableColumn id="19" xr3:uid="{3AF65BA4-743A-47EB-B230-14670AE012E8}" name="POW P" dataDxfId="163"/>
    <tableColumn id="20" xr3:uid="{F7311ECE-92C4-4F9B-9FB4-01F01940A813}" name="EYE P" dataDxfId="162"/>
    <tableColumn id="21" xr3:uid="{5E1FC383-E39C-4D66-8F19-560D8710BD74}" name="K P" dataDxfId="161"/>
    <tableColumn id="22" xr3:uid="{3EEED542-37A2-4C9D-98A0-C10FDC948316}" name="IF ARM" dataDxfId="160"/>
    <tableColumn id="23" xr3:uid="{F13B4CDE-54AD-47C5-B7F5-17CDB736F5AA}" name="OF ARM" dataDxfId="159"/>
    <tableColumn id="24" xr3:uid="{20341A32-B712-4C1D-9F68-4BF794DC4BB5}" name="C ARM" dataDxfId="158"/>
    <tableColumn id="25" xr3:uid="{B028E06E-8690-4639-960E-AD8FC571BEB7}" name="C ABI" dataDxfId="157"/>
    <tableColumn id="26" xr3:uid="{B6938DE3-A509-46E7-A71B-74FD64EDEC48}" name="C" dataDxfId="156"/>
    <tableColumn id="27" xr3:uid="{2BD7BF3F-1167-4599-8FBD-C71379798A32}" name="1B" dataDxfId="155"/>
    <tableColumn id="28" xr3:uid="{02A7624B-74CC-4896-8A5A-2896D7FCE94B}" name="2B" dataDxfId="154"/>
    <tableColumn id="29" xr3:uid="{A477EF05-7E95-450A-AF65-A74D3C78F189}" name="3B" dataDxfId="153"/>
    <tableColumn id="30" xr3:uid="{567CBF49-5FC8-4D85-BFD9-905807082CEC}" name="SS" dataDxfId="152"/>
    <tableColumn id="31" xr3:uid="{2C4663E9-D00C-43B1-A5D8-18661C77C5E1}" name="LF" dataDxfId="151"/>
    <tableColumn id="32" xr3:uid="{C6A46F9E-B77D-4DE9-9D94-2218C1F55E37}" name="CF" dataDxfId="150"/>
    <tableColumn id="33" xr3:uid="{C270C277-9F62-480F-A885-A2145B61AA54}" name="RF" dataDxfId="149"/>
    <tableColumn id="34" xr3:uid="{96ADCE23-D702-4C47-A1A5-5F8988070BFF}" name="SPE" dataDxfId="148"/>
    <tableColumn id="35" xr3:uid="{CF38F94C-4F06-4665-9CF2-7D4128FE8F7A}" name="STE" dataDxfId="147"/>
    <tableColumn id="36" xr3:uid="{9A9EA428-CE7E-45BC-B8CC-E1ED857D80BF}" name="RUN" dataDxfId="146"/>
    <tableColumn id="37" xr3:uid="{0C9BD6A3-A1B7-456E-B747-8FD24380FD4F}" name="DEM" dataDxfId="145" dataCellStyle="Currency"/>
    <tableColumn id="38" xr3:uid="{D14485F7-3A0A-4FB5-9178-B11B242982CD}" name="Sign" dataDxfId="144" dataCellStyle="Currency"/>
    <tableColumn id="39" xr3:uid="{2A35436D-CC1A-4CC4-8386-63DE4413ED79}" name="Rat" dataDxfId="143">
      <calculatedColumnFormula>($L$3*(L5-$Q$1)/$Q$2+$M$3*(M5-$R$1)/$R$2+$N$3*(N5-$S$1)/$S$2+$O$3*(O5-$T$1)/$T$2+$P$3*(P5-$U$1)/$U$2)/(SUM($L$3:$P$3))</calculatedColumnFormula>
    </tableColumn>
    <tableColumn id="40" xr3:uid="{8A3ADBD0-889F-4F8C-B1FC-0191272BAFC7}" name="Pot2" dataDxfId="142">
      <calculatedColumnFormula>($L$3*(Q5-$Q$1)/$Q$2+$M$3*(R5-$R$1)/$R$2+$N$3*(S5-$S$1)/$S$2+$O$3*(T5-$T$1)/$T$2+$P$3*(U5-$U$1)/$U$2)/(SUM($L$3:$P$3))</calculatedColumnFormula>
    </tableColumn>
    <tableColumn id="41" xr3:uid="{2DD827F1-D2D5-46B5-8F05-25807EBFDB75}" name="Run3" dataDxfId="141">
      <calculatedColumnFormula>IF(AVERAGE(AH5:AI5)&gt;9,1,0)+IF(AVERAGE(AH5:AI5)&gt;7,1,0)+IF(AH5&gt;7,1,0)+IF(AI5&gt;7,1,0)+IF(AJ5&gt;8,1,0)+IF(AJ5&gt;6,1,0)</calculatedColumnFormula>
    </tableColumn>
    <tableColumn id="42" xr3:uid="{EC96C43C-76F2-458C-8258-6F2D7D9B2CDB}" name="Def" dataDxfId="140">
      <calculatedColumnFormula>MIN(2,IF(OR(Z5="-",X5&lt;5),0,1+IF(Y5&gt;7,0.35,IF(Y5&gt;5,0.1,0))+IF(Z5&gt;7,1+IF(X5&gt;7,0.25,0),IF(Z5&gt;4,0.5+IF(X5&gt;7,0.25,0),0+IF(X5&gt;7,0.25))))+IF(AA5="-",0,IF(AA5&gt;9,0.5,IF(AA5&gt;7,0.25,0)))+IF(AB5="-",0,IF(AB5&gt;7,1.1,IF(AB5&gt;4,0.6,0)))+IF(OR(AC5="-",V5&lt;5),0,IF(AC5&gt;7,1+IF(V5&gt;7,0.25,0),IF(AC5&gt;4,0.5+IF(V5&gt;7,0.25,0),0)))+IF(AD5="-",0,IF(AD5&gt;7,1.5,IF(AD5&gt;4,1,0)))+IF(AE5="-",0,IF(AE5&gt;9,0.5,IF(AE5&gt;7,0.25,0)))+IF(AF5="-",0,IF(AF5&gt;7,1.25,IF(AF5&gt;4,0.75,0)))+IF(OR(AG5="-",W5&lt;4),0,IF(AG5&gt;7,1+IF(W5&gt;7,0.15,0),IF(AG5&gt;4,0.5+IF(W5&gt;7,0.15,0),0))))</calculatedColumnFormula>
    </tableColumn>
    <tableColumn id="43" xr3:uid="{C9B3CAC4-8D68-4DD9-912C-F981BB5CBDD8}" name="Tot" dataDxfId="139">
      <calculatedColumnFormula>($AM$3*AM5+$AN$3*AN5+$AO$3*AO5+$AP$3*AP5)+$I$3*VLOOKUP(I5,COND!$A$2:$E$7,4,FALSE)+$J$3*VLOOKUP(J5,COND!$A$2:$C$7,2,FALSE)+$K$3*VLOOKUP(K5,COND!$A$2:$C$7,3,FALSE)+IF(AND($B$2&gt;0,$E5&lt;20),$B$2*25,0)</calculatedColumnFormula>
    </tableColumn>
    <tableColumn id="44" xr3:uid="{DB4288FF-3E40-4036-A475-69B64D0667F4}" name="zScore" dataDxfId="138">
      <calculatedColumnFormula>STANDARDIZE(AQ5,AVERAGE($AQ$5:$AQ$460),STDEVP($AQ$5:$AQ$460))</calculatedColumnFormula>
    </tableColumn>
    <tableColumn id="45" xr3:uid="{301CE5B4-A6B7-4C3B-98B4-33366F5C4CFE}" name="Pos4" dataDxfId="137">
      <calculatedColumnFormula>IF(AND(Z5&lt;&gt;"-",Y5&gt;1),"C",IF(AB5=MAX(AB5:AD5),"2B",IF(AD5=MAX(AB5:AD5),"SS",IF(OR(AC5=MAX(AA5:AD5),AND(AC5&lt;&gt;"-",AC5&gt;4,V5&gt;5)),"3B",IF(AF5=MAX(AE5:AG5),"CF",IF(AND(AG5=MAX(AE5,AG5),AND(W5&gt;5,AG5&lt;&gt;"-")),"RF",IF(AE5&lt;&gt;"-","LF",IF(AA5&lt;&gt;"-","1B","DH"))))))))</calculatedColumnFormula>
    </tableColumn>
    <tableColumn id="46" xr3:uid="{A2580E5A-074D-4F1C-ACE3-1301CD0C0EC4}" name="Rnk" dataDxfId="136"/>
    <tableColumn id="47" xr3:uid="{57D3111F-ABCF-4F92-AE32-1522DB6716EB}" name="List" dataDxfId="135"/>
    <tableColumn id="48" xr3:uid="{95B0E2A3-41F0-4B12-92BD-907EF5C9C019}" name="By Rnd" dataDxfId="134"/>
    <tableColumn id="49" xr3:uid="{9663741D-1AEF-4631-A168-A34FD2D4C107}" name="ML" dataDxfId="133">
      <calculatedColumnFormula>IF(AND($Q5&gt;=6,AVERAGE($S5:$T5)&gt;=6),"Likely",IF(OR($Q5&gt;6,AND($Q5=6,AVERAGE($S5:$T5)&gt;=3),AND($Q5&gt;=5,AVERAGE($S5:$T5)&gt;=5),AVERAGE($Q5,$S5:$T5)&gt;5),"Possible","Unlikely"))</calculatedColumnFormula>
    </tableColumn>
    <tableColumn id="50" xr3:uid="{17DB08B4-A0B3-4E68-972F-53CA8459521B}" name="Signed For" dataDxfId="132"/>
    <tableColumn id="51" xr3:uid="{8AD0E0CD-C527-484E-B630-ED8D7F4FB1AF}" name="Ovr" dataDxfId="131">
      <calculatedColumnFormula>INDEX(Table5[[#All],[Ovr]],MATCH(Batters[[#This Row],[PID]],Table5[[#All],[PID]],0))</calculatedColumnFormula>
    </tableColumn>
    <tableColumn id="52" xr3:uid="{1BCF3C4F-E0EA-430B-AC9B-02EA5766D66C}" name="Rnd" dataDxfId="130">
      <calculatedColumnFormula>INDEX(Table5[[#All],[Rnd]],MATCH(Batters[[#This Row],[PID]],Table5[[#All],[PID]],0))</calculatedColumnFormula>
    </tableColumn>
    <tableColumn id="53" xr3:uid="{9D381772-A330-433C-8C33-C119FBB07285}" name="Pick" dataDxfId="129">
      <calculatedColumnFormula>INDEX(Table5[[#All],[Pick]],MATCH(Batters[[#This Row],[PID]],Table5[[#All],[PID]],0))</calculatedColumnFormula>
    </tableColumn>
    <tableColumn id="54" xr3:uid="{AE496F72-E48F-40FE-9F80-1CCEDE271828}" name="Team" dataDxfId="128">
      <calculatedColumnFormula>INDEX(Table5[[#All],[Team]],MATCH(Batters[[#This Row],[PID]],Table5[[#All],[PID]],0))</calculatedColumnFormula>
    </tableColumn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94029D2D-77B6-4A26-BA3B-1BFCC534D0D1}" name="Table3" displayName="Table3" ref="A4:BL438" totalsRowShown="0" headerRowDxfId="125" dataDxfId="124">
  <autoFilter ref="A4:BL438" xr:uid="{00000000-0009-0000-0000-000002000000}"/>
  <sortState xmlns:xlrd2="http://schemas.microsoft.com/office/spreadsheetml/2017/richdata2" ref="A5:BL438">
    <sortCondition ref="BD5:BD438"/>
    <sortCondition ref="BC5:BC438"/>
    <sortCondition descending="1" ref="BA5:BA438"/>
    <sortCondition ref="D5:D438"/>
    <sortCondition ref="C5:C438"/>
    <sortCondition ref="B5:B438"/>
  </sortState>
  <tableColumns count="64">
    <tableColumn id="1" xr3:uid="{3EBAC93A-021A-4118-BDD0-7B39B1A96C78}" name="PID" dataDxfId="123"/>
    <tableColumn id="2" xr3:uid="{9E04062D-0C47-49FC-A62E-84F4CECFD332}" name="POS" dataDxfId="122"/>
    <tableColumn id="3" xr3:uid="{7FDB7B72-E058-47E3-BDFC-9CEBA10BBC8D}" name="First" dataDxfId="121"/>
    <tableColumn id="4" xr3:uid="{12BF96A3-AB34-4A32-BDC0-04BCE27D274A}" name="Last" dataDxfId="120"/>
    <tableColumn id="5" xr3:uid="{C41EFA43-9A5E-44BD-91AE-E0958D996D54}" name="Age" dataDxfId="119"/>
    <tableColumn id="6" xr3:uid="{445CD872-D1E5-4C63-946D-66C484388FA8}" name="B" dataDxfId="118"/>
    <tableColumn id="7" xr3:uid="{8733D8EF-20F6-4697-B590-4EC08019893E}" name="T" dataDxfId="117"/>
    <tableColumn id="8" xr3:uid="{7813C36E-2197-4646-A7C1-094860CD8CD1}" name="POT" dataDxfId="116"/>
    <tableColumn id="9" xr3:uid="{51D8A365-7C43-46D9-8B95-CB1EEBBC90E9}" name="LEA" dataDxfId="115"/>
    <tableColumn id="10" xr3:uid="{9257F9F7-DA10-40D2-BB86-C83E67458631}" name="WE" dataDxfId="114"/>
    <tableColumn id="11" xr3:uid="{F9E3703E-4164-49E2-89BB-DA266B8D570C}" name="INT" dataDxfId="113"/>
    <tableColumn id="12" xr3:uid="{E0858803-5729-48C9-8AF6-C573AA5000CB}" name="STU" dataDxfId="112"/>
    <tableColumn id="13" xr3:uid="{0A652B3D-F301-440D-9FA7-0C404B6C2AD6}" name="MOV" dataDxfId="111"/>
    <tableColumn id="14" xr3:uid="{30A6F40B-1052-4BB8-A3B0-E258F054ABDA}" name="CON" dataDxfId="110"/>
    <tableColumn id="15" xr3:uid="{987CC134-1FF1-441C-A3BF-74749373D5BE}" name="STU P" dataDxfId="109"/>
    <tableColumn id="16" xr3:uid="{D9452955-421A-42F8-8DFA-D71D5867D253}" name="MOV P" dataDxfId="108"/>
    <tableColumn id="17" xr3:uid="{6F4B86B9-8420-4585-999F-AA260B115CCD}" name="CON P" dataDxfId="107"/>
    <tableColumn id="18" xr3:uid="{CC105674-F42D-4D04-9E8A-F020C4F2DA7E}" name="FB" dataDxfId="106"/>
    <tableColumn id="19" xr3:uid="{508369D3-0D08-45DD-9E4C-FD28E12EFA79}" name="FBP" dataDxfId="105"/>
    <tableColumn id="20" xr3:uid="{EF813240-216E-4BC6-920A-8DCA0F42DCF1}" name="CH" dataDxfId="104"/>
    <tableColumn id="21" xr3:uid="{7D8DFBE5-4C56-4C4B-B645-A688513868AF}" name="CHP" dataDxfId="103"/>
    <tableColumn id="22" xr3:uid="{0E683A60-FBF0-42CE-B89B-C7D72EFA033D}" name="CB" dataDxfId="102"/>
    <tableColumn id="23" xr3:uid="{7100BC5B-9AA1-4541-B614-1B48CF971656}" name="CBP" dataDxfId="101"/>
    <tableColumn id="24" xr3:uid="{44093CF6-6FAB-4ED3-8429-DD0EA5CBC2D1}" name="SL" dataDxfId="100"/>
    <tableColumn id="25" xr3:uid="{73E1A25E-0A2F-4AE6-B59D-63735B75C6DC}" name="SLP" dataDxfId="99"/>
    <tableColumn id="26" xr3:uid="{2C8AC28A-B80D-47D1-841A-6AFF8D6BBE55}" name="SI" dataDxfId="98"/>
    <tableColumn id="27" xr3:uid="{92EA9609-1D37-4CB9-91C2-811E22756542}" name="SIP" dataDxfId="97"/>
    <tableColumn id="28" xr3:uid="{C0C480E3-2BC5-469F-866C-C74B060C54F1}" name="SP" dataDxfId="96"/>
    <tableColumn id="29" xr3:uid="{87903931-F9C8-4E89-BE28-A964BFA0C876}" name="SPP" dataDxfId="95"/>
    <tableColumn id="30" xr3:uid="{11DCF1F8-06D4-4C73-8B67-F0C4C1EA3C31}" name="CT" dataDxfId="94"/>
    <tableColumn id="31" xr3:uid="{42C19905-1E2C-4396-AEC1-886D6D8FEF57}" name="CTP" dataDxfId="93"/>
    <tableColumn id="32" xr3:uid="{03859838-D1B1-4A28-99DF-18BCA7829AE2}" name="FO" dataDxfId="92"/>
    <tableColumn id="33" xr3:uid="{4C98D9C5-2F5A-4B04-A92A-70A7F3179380}" name="FOP" dataDxfId="91"/>
    <tableColumn id="34" xr3:uid="{186A96A4-617C-4952-9582-FE867AB31DEF}" name="CC" dataDxfId="90"/>
    <tableColumn id="35" xr3:uid="{862346A1-9642-4CAA-A3A6-528B03FAA1AF}" name="CCP" dataDxfId="89"/>
    <tableColumn id="36" xr3:uid="{D8A8ED3C-9056-481D-8FB0-78A750B3DC9D}" name="SC" dataDxfId="88"/>
    <tableColumn id="37" xr3:uid="{5B16F8E1-1F66-4197-A0B8-6E38B237205F}" name="SCP" dataDxfId="87"/>
    <tableColumn id="38" xr3:uid="{8FC875F0-76A7-495E-AAFE-5009020EAACC}" name="KC" dataDxfId="86"/>
    <tableColumn id="39" xr3:uid="{B7DCED46-BFF1-41AA-8BF4-5788635BCA99}" name="KCP" dataDxfId="85"/>
    <tableColumn id="40" xr3:uid="{376BB9B1-0B92-46DF-AC3B-FD6E4D2CE24B}" name="KN" dataDxfId="84"/>
    <tableColumn id="41" xr3:uid="{0BB42594-DDA4-4154-A4C6-D4631AE0792E}" name="KNP" dataDxfId="83"/>
    <tableColumn id="42" xr3:uid="{66FCB19F-89FB-4E8A-B44C-57AE5F58B46E}" name="VELO" dataDxfId="82"/>
    <tableColumn id="43" xr3:uid="{DEC5906F-3D64-47DD-959F-4437F534338C}" name="STM" dataDxfId="81"/>
    <tableColumn id="44" xr3:uid="{A065E53F-D44C-40CF-AE27-D69DCF18E97C}" name="G/F" dataDxfId="80"/>
    <tableColumn id="45" xr3:uid="{BA9FD003-D429-4DCD-90C3-BAADDC7697F9}" name="DEM" dataDxfId="79" dataCellStyle="Currency"/>
    <tableColumn id="46" xr3:uid="{08C9A5E3-1496-449E-8615-8267713C0D7A}" name="Sign" dataDxfId="78" dataCellStyle="Currency"/>
    <tableColumn id="47" xr3:uid="{E78E046B-2659-4933-95E1-4760025D7F13}" name="Rat" dataDxfId="77">
      <calculatedColumnFormula>($O$3*(L5-$O$1)/$O$2+$P$3*(M5-$P$1)/$P$2+$Q$3*(N5-$P$1)/$Q$2)/SUM($O$3:$Q$3)</calculatedColumnFormula>
    </tableColumn>
    <tableColumn id="48" xr3:uid="{D7500921-C12B-449D-8D0D-70BF220CE712}" name="Pot2" dataDxfId="76">
      <calculatedColumnFormula>($O$3*(O5-$O$1)/$O$2+$P$3*(P5-$P$1)/$P$2+$Q$3*(Q5-$Q$1)/$Q$2)/SUM($O$3:$Q$3)</calculatedColumnFormula>
    </tableColumn>
    <tableColumn id="49" xr3:uid="{FA1A589E-0EF8-4C3C-A974-BA59A75553FF}" name="Pitch" dataDxfId="75">
      <calculatedColumnFormula>COUNT(R5:AO5)/2</calculatedColumnFormula>
    </tableColumn>
    <tableColumn id="50" xr3:uid="{7DFF69C5-D4E6-4C88-91A7-5135ECC43866}" name="Qpitch" dataDxfId="74">
      <calculatedColumnFormula>IF(AND(S5&lt;&gt;"-",S5&gt;5),1,0)+IF(AND(U5&lt;&gt;"-",U5&gt;5),1,0)+IF(AND(W5&lt;&gt;"-",W5&gt;5),1,0)+IF(AND(Y5&lt;&gt;"-",Y5&gt;5),1,0)+IF(AND(AA5&lt;&gt;"-",AA5&gt;5),1,0)+IF(AND(AC5&lt;&gt;"-",AC5&gt;5),1,0)+IF(AND(AE5&lt;&gt;"-",AE5&gt;5),1,0)+IF(AND(AG5&lt;&gt;"-",AG5&gt;5),1,0)+IF(AND(AI5&lt;&gt;"-",AI5&gt;5),1,0)+IF(AND(AK5&lt;&gt;"-",AK5&gt;5),1,0)+IF(AND(AM5&lt;&gt;"-",AM5&gt;5),1,0)+IF(AND(AO5&lt;&gt;"-",AO5&gt;5),1,0)</calculatedColumnFormula>
    </tableColumn>
    <tableColumn id="51" xr3:uid="{1ACD0C1C-960A-484E-9B76-E5E79CD997A0}" name="Velo3" dataDxfId="73">
      <calculatedColumnFormula>VLOOKUP(AP5,COND!$A$10:$B$32,2,FALSE)</calculatedColumnFormula>
    </tableColumn>
    <tableColumn id="52" xr3:uid="{58CF891F-DAD8-465D-B8A5-B142D01901BB}" name="Tot" dataDxfId="72">
      <calculatedColumnFormula>($AU$3*AU5+$AV$3*AV5+$AW$3*AW5+$AX$3*AX5)*AY5*IF(AQ5&lt;5,0.95,IF(AQ5&lt;7,0.975,1))+$I$3*VLOOKUP(I5,COND!$A$2:$E$7,4,FALSE)+$J$3*VLOOKUP(J5,COND!$A$2:$E$7,2,FALSE)+$K$3*VLOOKUP(K5,COND!$A$2:$E$7,3,FALSE)+IF(BB5="SP",$BB$3,0)+IF($AW5&lt;3,-5,0)+IF(AND($B$2&gt;0,$E5&lt;20),$B$2*25,0)</calculatedColumnFormula>
    </tableColumn>
    <tableColumn id="53" xr3:uid="{DDE419AE-C67C-4133-B684-7E076CA56670}" name="zScore" dataDxfId="71">
      <calculatedColumnFormula>STANDARDIZE(AZ5,AVERAGE($AZ$5:$AZ$464),STDEVP($AZ$5:$AZ$464))</calculatedColumnFormula>
    </tableColumn>
    <tableColumn id="54" xr3:uid="{6E3900D0-321A-4E4E-9BD5-E4B781910309}" name="Role" dataDxfId="70">
      <calculatedColumnFormula>IF(OR(AND(AQ5&gt;7,AX5&gt;1),AND(AQ5&gt;4,AW5&gt;2)),"SP","RP")</calculatedColumnFormula>
    </tableColumn>
    <tableColumn id="55" xr3:uid="{FB20ED2F-93A0-4311-8035-BD3124FC2B00}" name="Rnk" dataDxfId="69"/>
    <tableColumn id="56" xr3:uid="{147AFE1A-8141-4FA5-AFF8-04C3DEB02089}" name="List" dataDxfId="68"/>
    <tableColumn id="57" xr3:uid="{DCB910D5-1117-4A48-BAF1-FE75CA0A5FF3}" name="By Rnd" dataDxfId="67"/>
    <tableColumn id="58" xr3:uid="{78945249-770F-4AE0-8D63-68202BE21799}" name="ML" dataDxfId="66">
      <calculatedColumnFormula>IF(AVERAGE($O5:$Q5)&gt;=6,"Likely",IF(AVERAGE($O5:$Q5)&gt;=4,"Possible","Unlikely"))</calculatedColumnFormula>
    </tableColumn>
    <tableColumn id="59" xr3:uid="{3E81896E-000A-4DD9-BE96-57468433AAEF}" name="Signed For" dataDxfId="65"/>
    <tableColumn id="60" xr3:uid="{B801B4EB-93F2-45E3-A9A9-9E169AA59397}" name="Ovr" dataDxfId="64">
      <calculatedColumnFormula>INDEX(Table5[[#All],[Ovr]],MATCH(Table3[[#This Row],[PID]],Table5[[#All],[PID]],0))</calculatedColumnFormula>
    </tableColumn>
    <tableColumn id="61" xr3:uid="{BA075BA9-493B-4C71-8943-ED46BA37ECCC}" name="Rnd" dataDxfId="63">
      <calculatedColumnFormula>INDEX(Table5[[#All],[Rnd]],MATCH(Table3[[#This Row],[PID]],Table5[[#All],[PID]],0))</calculatedColumnFormula>
    </tableColumn>
    <tableColumn id="62" xr3:uid="{C88E9868-35A9-48D2-A9FA-DADC95DD3885}" name="Pick" dataDxfId="62">
      <calculatedColumnFormula>INDEX(Table5[[#All],[Pick]],MATCH(Table3[[#This Row],[PID]],Table5[[#All],[PID]],0))</calculatedColumnFormula>
    </tableColumn>
    <tableColumn id="63" xr3:uid="{7A13EBCD-3667-40F7-A9CE-F6FB95AAF4FF}" name="Team" dataDxfId="61">
      <calculatedColumnFormula>INDEX(Table5[[#All],[Team]],MATCH(Table3[[#This Row],[PID]],Table5[[#All],[PID]],0))</calculatedColumnFormula>
    </tableColumn>
    <tableColumn id="64" xr3:uid="{CB2A10C7-5C32-4142-B539-F60181F20142}" name="zScoreBat" dataDxfId="60">
      <calculatedColumnFormula>IF(OR(Table3[[#This Row],[POS]]="SP",Table3[[#This Row],[POS]]="RP",Table3[[#This Row],[POS]]="CL"),"P",INDEX(Batters[[#All],[zScore]],MATCH(Table3[[#This Row],[PID]],Batters[[#All],[PID]],0)))</calculatedColumnFormula>
    </tableColumn>
  </tableColumns>
  <tableStyleInfo name="TableStyleMedium9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47AC43B-812D-4A83-A261-40AFA7C0C373}" name="Table5" displayName="Table5" ref="A4:AE891" totalsRowShown="0" headerRowDxfId="54" dataDxfId="53" tableBorderDxfId="52">
  <autoFilter ref="A4:AE891" xr:uid="{F7350831-336B-4A9F-8EAA-531B63ACE1E3}"/>
  <sortState xmlns:xlrd2="http://schemas.microsoft.com/office/spreadsheetml/2017/richdata2" ref="A5:AE891">
    <sortCondition ref="Y5:Y891"/>
    <sortCondition ref="W5:W891"/>
    <sortCondition ref="U5:U891"/>
    <sortCondition ref="T5:T891"/>
    <sortCondition descending="1" ref="R5:R891"/>
  </sortState>
  <tableColumns count="31">
    <tableColumn id="1" xr3:uid="{3A66DF1C-C783-4981-B7B1-E0D4156D8F02}" name="PID" dataDxfId="51"/>
    <tableColumn id="2" xr3:uid="{E430EC05-F0CA-41F3-8FF4-7BE4F07D3105}" name="Dup" dataDxfId="50">
      <calculatedColumnFormula>COUNTIF(Table5[PID],A5)</calculatedColumnFormula>
    </tableColumn>
    <tableColumn id="3" xr3:uid="{87658EB9-C59F-4623-BA2C-69B99745E185}" name="Type" dataDxfId="49">
      <calculatedColumnFormula>IF(COUNTIF(Table3[[#All],[PID]],A5)&gt;0,"P","B")</calculatedColumnFormula>
    </tableColumn>
    <tableColumn id="5" xr3:uid="{607F5728-4C22-4275-ABB7-FF25B99FEFB1}" name="Pos" dataDxfId="48">
      <calculatedColumnFormula>IF($C5="B",INDEX(Batters[[#All],[POS]],MATCH(Table5[[#This Row],[PID]],Batters[[#All],[PID]],0)),INDEX(Table3[[#All],[POS]],MATCH(Table5[[#This Row],[PID]],Table3[[#All],[PID]],0)))</calculatedColumnFormula>
    </tableColumn>
    <tableColumn id="6" xr3:uid="{4C8B41F9-8FBA-4AAA-B787-430318EE6FED}" name="First" dataDxfId="47">
      <calculatedColumnFormula>IF($C5="B",INDEX(Batters[[#All],[First]],MATCH(Table5[[#This Row],[PID]],Batters[[#All],[PID]],0)),INDEX(Table3[[#All],[First]],MATCH(Table5[[#This Row],[PID]],Table3[[#All],[PID]],0)))</calculatedColumnFormula>
    </tableColumn>
    <tableColumn id="7" xr3:uid="{BD21AB38-61B5-4357-892E-62957EBB8975}" name="Last" dataDxfId="46">
      <calculatedColumnFormula>IF($C5="B",INDEX(Batters[[#All],[Last]],MATCH(A5,Batters[[#All],[PID]],0)),INDEX(Table3[[#All],[Last]],MATCH(A5,Table3[[#All],[PID]],0)))</calculatedColumnFormula>
    </tableColumn>
    <tableColumn id="8" xr3:uid="{CC75A194-8E72-4220-8234-D768E50FF91A}" name="Age" dataDxfId="45">
      <calculatedColumnFormula>IF($C5="B",INDEX(Batters[[#All],[Age]],MATCH(Table5[[#This Row],[PID]],Batters[[#All],[PID]],0)),INDEX(Table3[[#All],[Age]],MATCH(Table5[[#This Row],[PID]],Table3[[#All],[PID]],0)))</calculatedColumnFormula>
    </tableColumn>
    <tableColumn id="9" xr3:uid="{41D20499-35D6-4742-B0B6-8DDF98E34BD5}" name="B" dataDxfId="44">
      <calculatedColumnFormula>IF($C5="B",INDEX(Batters[[#All],[B]],MATCH(Table5[[#This Row],[PID]],Batters[[#All],[PID]],0)),INDEX(Table3[[#All],[B]],MATCH(Table5[[#This Row],[PID]],Table3[[#All],[PID]],0)))</calculatedColumnFormula>
    </tableColumn>
    <tableColumn id="10" xr3:uid="{326E3315-99B1-4F7B-A7E2-ACE31381EBF4}" name="T" dataDxfId="43">
      <calculatedColumnFormula>IF($C5="B",INDEX(Batters[[#All],[T]],MATCH(Table5[[#This Row],[PID]],Batters[[#All],[PID]],0)),INDEX(Table3[[#All],[T]],MATCH(Table5[[#This Row],[PID]],Table3[[#All],[PID]],0)))</calculatedColumnFormula>
    </tableColumn>
    <tableColumn id="11" xr3:uid="{EA58EFB1-9637-4BDE-B661-26174877E052}" name="WE" dataDxfId="42">
      <calculatedColumnFormula>IF($C5="B",INDEX(Batters[[#All],[WE]],MATCH(Table5[[#This Row],[PID]],Batters[[#All],[PID]],0)),INDEX(Table3[[#All],[WE]],MATCH(Table5[[#This Row],[PID]],Table3[[#All],[PID]],0)))</calculatedColumnFormula>
    </tableColumn>
    <tableColumn id="12" xr3:uid="{837BF742-1A06-4F04-ADAE-6114EC9EE9F5}" name="INT" dataDxfId="41">
      <calculatedColumnFormula>IF($C5="B",INDEX(Batters[[#All],[INT]],MATCH(Table5[[#This Row],[PID]],Batters[[#All],[PID]],0)),INDEX(Table3[[#All],[INT]],MATCH(Table5[[#This Row],[PID]],Table3[[#All],[PID]],0)))</calculatedColumnFormula>
    </tableColumn>
    <tableColumn id="13" xr3:uid="{57A20AEE-F10A-4570-913C-E1C62EFA4615}" name="Stf" dataDxfId="40">
      <calculatedColumnFormula>IF($C5="B",INDEX(Batters[[#All],[CON P]],MATCH(Table5[[#This Row],[PID]],Batters[[#All],[PID]],0)),INDEX(Table3[[#All],[STU P]],MATCH(Table5[[#This Row],[PID]],Table3[[#All],[PID]],0)))</calculatedColumnFormula>
    </tableColumn>
    <tableColumn id="14" xr3:uid="{C72D12AA-FDD2-4EDD-B077-E0B71CD7F230}" name="Mov" dataDxfId="39">
      <calculatedColumnFormula>IF($C5="B",INDEX(Batters[[#All],[GAP P]],MATCH(Table5[[#This Row],[PID]],Batters[[#All],[PID]],0)),INDEX(Table3[[#All],[MOV P]],MATCH(Table5[[#This Row],[PID]],Table3[[#All],[PID]],0)))</calculatedColumnFormula>
    </tableColumn>
    <tableColumn id="15" xr3:uid="{020F782F-69E5-4142-A433-292BE4BB2A9D}" name="Con" dataDxfId="38">
      <calculatedColumnFormula>IF($C5="B",INDEX(Batters[[#All],[POW P]],MATCH(Table5[[#This Row],[PID]],Batters[[#All],[PID]],0)),INDEX(Table3[[#All],[CON P]],MATCH(Table5[[#This Row],[PID]],Table3[[#All],[PID]],0)))</calculatedColumnFormula>
    </tableColumn>
    <tableColumn id="16" xr3:uid="{5BA5A35D-0E7F-4F38-A1EF-28CAA214FE0F}" name="Velo" dataDxfId="37">
      <calculatedColumnFormula>IF($C5="B",INDEX(Batters[[#All],[EYE P]],MATCH(Table5[[#This Row],[PID]],Batters[[#All],[PID]],0)),INDEX(Table3[[#All],[VELO]],MATCH(Table5[[#This Row],[PID]],Table3[[#All],[PID]],0)))</calculatedColumnFormula>
    </tableColumn>
    <tableColumn id="17" xr3:uid="{53205276-8DEA-47C0-9463-3A197770A2FD}" name="Sta" dataDxfId="36">
      <calculatedColumnFormula>IF($C5="B",INDEX(Batters[[#All],[K P]],MATCH(Table5[[#This Row],[PID]],Batters[[#All],[PID]],0)),INDEX(Table3[[#All],[STM]],MATCH(Table5[[#This Row],[PID]],Table3[[#All],[PID]],0)))</calculatedColumnFormula>
    </tableColumn>
    <tableColumn id="18" xr3:uid="{8CEE5B32-B5FD-428F-A0A2-8E128B8227F7}" name="Tot" dataDxfId="35">
      <calculatedColumnFormula>IF($C5="B",INDEX(Batters[[#All],[Tot]],MATCH(Table5[[#This Row],[PID]],Batters[[#All],[PID]],0)),INDEX(Table3[[#All],[Tot]],MATCH(Table5[[#This Row],[PID]],Table3[[#All],[PID]],0)))</calculatedColumnFormula>
    </tableColumn>
    <tableColumn id="19" xr3:uid="{5939CB3D-FB3C-40F3-AF86-570345DC0E44}" name="zScore" dataDxfId="34">
      <calculatedColumnFormula>IF($C5="B",INDEX(Batters[[#All],[zScore]],MATCH(Table5[[#This Row],[PID]],Batters[[#All],[PID]],0)),INDEX(Table3[[#All],[zScore]],MATCH(Table5[[#This Row],[PID]],Table3[[#All],[PID]],0)))</calculatedColumnFormula>
    </tableColumn>
    <tableColumn id="20" xr3:uid="{20D24F2A-F8D0-4F36-92CB-054F4518F836}" name="Demand" dataDxfId="33" dataCellStyle="Currency">
      <calculatedColumnFormula>IF($C5="B",INDEX(Batters[[#All],[DEM]],MATCH(Table5[[#This Row],[PID]],Batters[[#All],[PID]],0)),INDEX(Table3[[#All],[DEM]],MATCH(Table5[[#This Row],[PID]],Table3[[#All],[PID]],0)))</calculatedColumnFormula>
    </tableColumn>
    <tableColumn id="21" xr3:uid="{F538A570-2CE2-4212-BEE1-848ECF29C0AE}" name="posRnk" dataDxfId="32">
      <calculatedColumnFormula>IF($C5="B",INDEX(Batters[[#All],[Rnk]],MATCH(Table5[[#This Row],[PID]],Batters[[#All],[PID]],0)),INDEX(Table3[[#All],[Rnk]],MATCH(Table5[[#This Row],[PID]],Table3[[#All],[PID]],0)))</calculatedColumnFormula>
    </tableColumn>
    <tableColumn id="22" xr3:uid="{58C2110B-77F6-49E3-9D32-49DCE4675E8F}" name="b/pRnk" dataDxfId="31">
      <calculatedColumnFormula>IF($C5="B",VLOOKUP($A5,Bat!$A$4:$BA$1314,47,FALSE),VLOOKUP($A5,Pit!$A$4:$BF$438,56,FALSE))</calculatedColumnFormula>
    </tableColumn>
    <tableColumn id="23" xr3:uid="{13E5FBFB-B07A-4251-B175-665B5E5E9349}" name="By Rnd" dataDxfId="30">
      <calculatedColumnFormula>IF($C5="B",VLOOKUP($A5,Bat!$A$4:$BA$1314,48,FALSE),VLOOKUP($A5,Pit!$A$4:$BF$1214,57,FALSE))</calculatedColumnFormula>
    </tableColumn>
    <tableColumn id="24" xr3:uid="{DD82F422-4CE8-41A6-8712-233EDB5A227D}" name="cmbList" dataDxfId="29">
      <calculatedColumnFormula>Table5[[#This Row],[posRnk]]+Table5[[#This Row],[zRnk]]+IF($W$3&lt;&gt;Table5[[#This Row],[Type]],50,0)</calculatedColumnFormula>
    </tableColumn>
    <tableColumn id="25" xr3:uid="{2B1B0E47-F81D-47D4-90C3-5512BA102E94}" name="zRnk" dataDxfId="28">
      <calculatedColumnFormula>RANK(Table5[[#This Row],[zScore]],Table5[[#All],[zScore]])</calculatedColumnFormula>
    </tableColumn>
    <tableColumn id="26" xr3:uid="{4DADC21C-F0A9-488E-8F5F-2FAC103C1C91}" name="Ovr" dataDxfId="27">
      <calculatedColumnFormula>IFERROR(INDEX(DraftResults[[#All],[OVR]],MATCH(Table5[[#This Row],[PID]],DraftResults[[#All],[Player ID]],0)),"")</calculatedColumnFormula>
    </tableColumn>
    <tableColumn id="27" xr3:uid="{BD8A4CB0-82DF-4CD1-B00E-E43085D8B458}" name="Rnd" dataDxfId="26">
      <calculatedColumnFormula>IFERROR(IF((INDEX(DraftResults[[#All],[Supplemental]],MATCH(Table5[[#This Row],[PID]],DraftResults[[#All],[Player ID]],0)))=1,"S","")&amp;INDEX(DraftResults[[#All],[Round]],MATCH(Table5[[#This Row],[PID]],DraftResults[[#All],[Player ID]],0)),"")</calculatedColumnFormula>
    </tableColumn>
    <tableColumn id="28" xr3:uid="{AAB1395B-1E4F-4CC7-9DEA-B0F1A0786BF3}" name="Pick" dataDxfId="25">
      <calculatedColumnFormula>IFERROR(INDEX(DraftResults[[#All],[Pick in Round]],MATCH(Table5[[#This Row],[PID]],DraftResults[[#All],[Player ID]],0)),"")</calculatedColumnFormula>
    </tableColumn>
    <tableColumn id="29" xr3:uid="{78C914D4-5152-4158-ACC3-2D59762F91EB}" name="Team" dataDxfId="24">
      <calculatedColumnFormula>IFERROR(INDEX(DraftResults[[#All],[Team Name]],MATCH(Table5[[#This Row],[PID]],DraftResults[[#All],[Player ID]],0)),"")</calculatedColumnFormula>
    </tableColumn>
    <tableColumn id="30" xr3:uid="{31DF6215-5BE5-4C72-BAB7-33B5357E1E91}" name="Draft Diff" dataDxfId="23">
      <calculatedColumnFormula>IF(Table5[[#This Row],[Ovr]]="","",IF(Table5[[#This Row],[cmbList]]="","",Table5[[#This Row],[cmbList]]-Table5[[#This Row],[Ovr]]))</calculatedColumnFormula>
    </tableColumn>
    <tableColumn id="31" xr3:uid="{86D31730-54FA-4106-B8F8-23148C66D515}" name="Bonus" dataDxfId="22" dataCellStyle="Currency">
      <calculatedColumnFormula>IF(ISERROR(VLOOKUP($AB5&amp;"-"&amp;$E5&amp;" "&amp;F5,Bonuses!$B$1:$G$1006,4,FALSE)),"",INT(VLOOKUP($AB5&amp;"-"&amp;$E5&amp;" "&amp;$F5,Bonuses!$B$1:$G$1006,4,FALSE)))</calculatedColumnFormula>
    </tableColumn>
    <tableColumn id="32" xr3:uid="{D2E75D02-E3E9-4459-B9B8-DE94178CA6E7}" name="MLB" dataDxfId="21">
      <calculatedColumnFormula>IF(Table5[[#This Row],[Ovr]]&lt;&gt;"",Table5[[#This Row],[Rnd]]&amp;"."&amp;Table5[[#This Row],[Pick]]&amp;" ("&amp;Table5[[#This Row],[Ovr]]&amp;") - "&amp;Table5[[#This Row],[Pos]]&amp;" "&amp;Table5[[#This Row],[First]]&amp;" "&amp;Table5[[#This Row],[Last]],"")</calculatedColumnFormula>
    </tableColumn>
  </tableColumns>
  <tableStyleInfo name="TableStyleMedium9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BE78FB76-660B-4112-9509-B16FFBFD9B89}" name="DraftResults" displayName="DraftResults" ref="A3:K674" totalsRowShown="0">
  <autoFilter ref="A3:K674" xr:uid="{28BA0283-B2B4-42C8-B7EA-9BD5BE7FB5EA}"/>
  <tableColumns count="11">
    <tableColumn id="1" xr3:uid="{4C77C852-1044-43CE-B9B5-B42F116F1996}" name="Round"/>
    <tableColumn id="2" xr3:uid="{4415F905-536D-4487-92A4-745093C5D8CA}" name="Supplemental"/>
    <tableColumn id="3" xr3:uid="{34C2E00D-3B66-410A-AEC0-EEA63E77F97B}" name="Pick in Round"/>
    <tableColumn id="4" xr3:uid="{588D5787-E052-4549-9C2D-440DEE2CEAB6}" name="Team Name"/>
    <tableColumn id="5" xr3:uid="{D41512EE-B1C9-46C9-AF7C-BE111EDB1588}" name="Team ID"/>
    <tableColumn id="6" xr3:uid="{875E6277-6FD0-40E0-983E-075108B94FE7}" name="Player ID"/>
    <tableColumn id="7" xr3:uid="{8CB5C421-864C-48E5-8D42-AA97D7C64BB7}" name="eol"/>
    <tableColumn id="16" xr3:uid="{F246BA58-0F8F-4235-821C-F04D551CCE5E}" name="OVR" dataDxfId="20">
      <calculatedColumnFormula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calculatedColumnFormula>
    </tableColumn>
    <tableColumn id="13" xr3:uid="{00E707D7-6CAE-419E-846B-5535A760B02C}" name="Pos" dataDxfId="19">
      <calculatedColumnFormula>IF(DraftResults[[#This Row],[Player ID]]=0,"",INDEX(Table5[[#All],[Pos]],MATCH(DraftResults[[#This Row],[Player ID]],Table5[[#All],[PID]],0)))</calculatedColumnFormula>
    </tableColumn>
    <tableColumn id="14" xr3:uid="{4940ACD4-1A14-4FFE-8F39-63B6ABFDD96A}" name="First" dataDxfId="18">
      <calculatedColumnFormula>IF(DraftResults[[#This Row],[Player ID]]=0,"",INDEX(Table5[[#All],[First]],MATCH(DraftResults[[#This Row],[Player ID]],Table5[[#All],[PID]],0)))</calculatedColumnFormula>
    </tableColumn>
    <tableColumn id="15" xr3:uid="{A4DD8098-482D-49FA-8DC3-43E427F27093}" name="Last" dataDxfId="17">
      <calculatedColumnFormula>IF(DraftResults[[#This Row],[Player ID]]=0,"",INDEX(Table5[[#All],[Last]],MATCH(DraftResults[[#This Row],[Player ID]],Table5[[#All],[PID]],0)))</calculatedColumnFormula>
    </tableColumn>
  </tableColumns>
  <tableStyleInfo name="TableStyleMedium9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2:I29" totalsRowCount="1" headerRowDxfId="15" totalsRowDxfId="14">
  <autoFilter ref="A2:I28" xr:uid="{00000000-0009-0000-0100-000001000000}"/>
  <sortState xmlns:xlrd2="http://schemas.microsoft.com/office/spreadsheetml/2017/richdata2" ref="A3:I28">
    <sortCondition descending="1" ref="F3:F28"/>
    <sortCondition descending="1" ref="B3:B28"/>
    <sortCondition descending="1" ref="C3:C28"/>
    <sortCondition descending="1" ref="G3:G28"/>
  </sortState>
  <tableColumns count="9">
    <tableColumn id="1" xr3:uid="{00000000-0010-0000-0000-000001000000}" name="Team" totalsRowLabel="Total" totalsRowDxfId="13"/>
    <tableColumn id="2" xr3:uid="{00000000-0010-0000-0000-000002000000}" name="Drafted Players" totalsRowFunction="sum" totalsRowDxfId="12"/>
    <tableColumn id="3" xr3:uid="{00000000-0010-0000-0000-000003000000}" name="Bonus Eligible" totalsRowFunction="sum" dataDxfId="11" totalsRowDxfId="10">
      <calculatedColumnFormula>SUMPRODUCT(('Draft List'!$AB$5:$AB$891=$A3)*('Draft List'!$Z$5:$Z$891&lt;6))+SUMPRODUCT(('Draft List'!$AB$5:$AB$891=$A3)*('Draft List'!$Z$5:$Z$891="S1"))+SUMPRODUCT(('Draft List'!$AB$5:$AB$891=$A3)*('Draft List'!$Z$5:$Z$891&lt;&gt;"S1")*('Draft List'!$Z$5:$Z$891&gt;5)*('Draft List'!$AD$5:$AD$891&gt;0)*('Draft List'!$AD$5:$AD$891&lt;100000000))</calculatedColumnFormula>
    </tableColumn>
    <tableColumn id="4" xr3:uid="{00000000-0010-0000-0000-000004000000}" name="Signed" totalsRowFunction="sum" totalsRowDxfId="9">
      <calculatedColumnFormula>SUMPRODUCT(('Draft List'!$AB$5:$AB$891=$A3)*('Draft List'!$AD$5:$AD$891&gt;0)*('Draft List'!$AD$5:$AD$891&lt;1000000000))</calculatedColumnFormula>
    </tableColumn>
    <tableColumn id="5" xr3:uid="{00000000-0010-0000-0000-000005000000}" name="Unsigned" totalsRowFunction="sum" totalsRowDxfId="8"/>
    <tableColumn id="6" xr3:uid="{00000000-0010-0000-0000-000006000000}" name="Tot Bonus" totalsRowFunction="sum" dataDxfId="7" totalsRowDxfId="6" dataCellStyle="Currency"/>
    <tableColumn id="7" xr3:uid="{00000000-0010-0000-0000-000007000000}" name="Avg Bonus" totalsRowFunction="custom" dataDxfId="5" totalsRowDxfId="4">
      <calculatedColumnFormula>IF(D3&gt;0,F3/D3,0)</calculatedColumnFormula>
      <totalsRowFormula>Table1[[#Totals],[Tot Bonus]]/Table1[[#Totals],[Signed]]</totalsRowFormula>
    </tableColumn>
    <tableColumn id="8" xr3:uid="{00000000-0010-0000-0000-000008000000}" name="Len" totalsRowFunction="max" dataDxfId="3" totalsRowDxfId="2">
      <calculatedColumnFormula>LEN(Table1[[#This Row],[Team]])</calculatedColumnFormula>
    </tableColumn>
    <tableColumn id="9" xr3:uid="{00000000-0010-0000-0000-000009000000}" name="Text" dataDxfId="1" totalsRowDxfId="0">
      <calculatedColumnFormula>IF(RANK(Table1[[#This Row],[Tot Bonus]],Table1[Tot Bonus])&lt;10," ","")&amp;RANK(Table1[[#This Row],[Tot Bonus]],Table1[Tot Bonus])&amp;". "&amp;Table1[[#This Row],[Team]]&amp;REPT(" ",Table1[[#Totals],[Len]]-Table1[[#This Row],[Len]]+3)&amp;IF(Table1[[#This Row],[Drafted Players]]&lt;10," ","")&amp;Table1[[#This Row],[Drafted Players]]&amp;"   "&amp;IF(Table1[[#This Row],[Bonus Eligible]]&lt;10," ","")&amp;Table1[[#This Row],[Bonus Eligible]]&amp;"   "&amp;IF(Table1[[#This Row],[Signed]]&lt;10," ","")&amp;Table1[[#This Row],[Signed]]&amp;"   "&amp;IF(Table1[[#This Row],[Unsigned]]&lt;10," ","")&amp;Table1[[#This Row],[Unsigned]]&amp;"   "&amp;IF(Table1[[#This Row],[Tot Bonus]]&lt;10000000," ","")&amp;IF(Table1[[#This Row],[Tot Bonus]]&lt;1000000,"  ","")&amp;IF(Table1[[#This Row],[Tot Bonus]]&lt;1000,"  ","")&amp;TEXT(Table1[[#This Row],[Tot Bonus]],"$0,000")&amp;"   "&amp;IF(Table1[[#This Row],[Avg Bonus]]&lt;10000000," ","")&amp;IF(Table1[[#This Row],[Avg Bonus]]&lt;1000000,"  ","")&amp;IF(Table1[[#This Row],[Avg Bonus]]&lt;1000,"  ","")&amp;TEXT(Table1[[#This Row],[Avg Bonus]],"$0,000")</calculatedColumnFormula>
    </tableColumn>
  </tableColumns>
  <tableStyleInfo name="TableStyleMedium1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3"/>
  <sheetViews>
    <sheetView workbookViewId="0">
      <pane ySplit="3" topLeftCell="A4" activePane="bottomLeft" state="frozen"/>
      <selection pane="bottomLeft" activeCell="D6" sqref="D6"/>
    </sheetView>
  </sheetViews>
  <sheetFormatPr defaultRowHeight="14.4" x14ac:dyDescent="0.3"/>
  <cols>
    <col min="1" max="1" width="11.6640625" customWidth="1"/>
    <col min="2" max="2" width="6.6640625" customWidth="1"/>
    <col min="3" max="3" width="8.88671875" bestFit="1" customWidth="1"/>
    <col min="4" max="4" width="9.6640625" bestFit="1" customWidth="1"/>
    <col min="5" max="5" width="6.5546875" customWidth="1"/>
    <col min="6" max="7" width="5.5546875" bestFit="1" customWidth="1"/>
    <col min="8" max="8" width="12.6640625" bestFit="1" customWidth="1"/>
    <col min="9" max="9" width="10" customWidth="1"/>
    <col min="10" max="10" width="7.88671875" customWidth="1"/>
    <col min="12" max="13" width="10.44140625" customWidth="1"/>
    <col min="14" max="14" width="15" customWidth="1"/>
    <col min="16" max="16" width="9.33203125" customWidth="1"/>
    <col min="19" max="19" width="9.33203125" customWidth="1"/>
    <col min="20" max="20" width="9.6640625" customWidth="1"/>
  </cols>
  <sheetData>
    <row r="1" spans="1:20" x14ac:dyDescent="0.3">
      <c r="B1">
        <v>2</v>
      </c>
      <c r="C1">
        <v>3</v>
      </c>
      <c r="D1">
        <v>4</v>
      </c>
      <c r="E1">
        <v>5</v>
      </c>
      <c r="F1">
        <v>6</v>
      </c>
      <c r="G1">
        <v>7</v>
      </c>
      <c r="H1">
        <v>44</v>
      </c>
      <c r="I1">
        <v>53</v>
      </c>
    </row>
    <row r="2" spans="1:20" x14ac:dyDescent="0.3">
      <c r="A2" t="s">
        <v>287</v>
      </c>
      <c r="O2">
        <v>17</v>
      </c>
      <c r="P2">
        <v>19</v>
      </c>
      <c r="Q2">
        <v>20</v>
      </c>
      <c r="R2">
        <v>15</v>
      </c>
      <c r="S2">
        <v>16</v>
      </c>
      <c r="T2">
        <v>17</v>
      </c>
    </row>
    <row r="3" spans="1:20" x14ac:dyDescent="0.3">
      <c r="A3" s="34" t="s">
        <v>204</v>
      </c>
      <c r="B3" s="35" t="s">
        <v>0</v>
      </c>
      <c r="C3" s="35" t="s">
        <v>374</v>
      </c>
      <c r="D3" s="35" t="s">
        <v>375</v>
      </c>
      <c r="E3" s="35" t="s">
        <v>2</v>
      </c>
      <c r="F3" s="35" t="s">
        <v>3</v>
      </c>
      <c r="G3" s="35" t="s">
        <v>4</v>
      </c>
      <c r="H3" s="35" t="s">
        <v>335</v>
      </c>
      <c r="I3" s="35" t="s">
        <v>336</v>
      </c>
      <c r="J3" s="35" t="s">
        <v>411</v>
      </c>
      <c r="K3" s="35" t="s">
        <v>407</v>
      </c>
      <c r="L3" s="35" t="s">
        <v>408</v>
      </c>
      <c r="M3" s="35" t="s">
        <v>409</v>
      </c>
      <c r="N3" s="35" t="s">
        <v>410</v>
      </c>
      <c r="O3" s="35" t="s">
        <v>13</v>
      </c>
      <c r="P3" s="35" t="s">
        <v>80</v>
      </c>
      <c r="Q3" s="35" t="s">
        <v>81</v>
      </c>
      <c r="R3" s="35" t="s">
        <v>487</v>
      </c>
      <c r="S3" s="35" t="s">
        <v>12</v>
      </c>
      <c r="T3" s="35" t="s">
        <v>743</v>
      </c>
    </row>
    <row r="4" spans="1:20" x14ac:dyDescent="0.3">
      <c r="A4" s="45">
        <v>11861</v>
      </c>
      <c r="B4" s="45" t="str">
        <f>VLOOKUP($A4,Bat!$A$4:$BB$1028,B$1,FALSE)</f>
        <v>3B</v>
      </c>
      <c r="C4" s="45" t="str">
        <f>VLOOKUP($A4,Bat!$A$4:$BB$1028,C$1,FALSE)</f>
        <v>Manuel</v>
      </c>
      <c r="D4" s="45" t="str">
        <f>VLOOKUP($A4,Bat!$A$4:$BB$1028,D$1,FALSE)</f>
        <v>Márquez</v>
      </c>
      <c r="E4" s="45">
        <f>VLOOKUP($A4,Bat!$A$4:$BB$1028,E$1,FALSE)</f>
        <v>18</v>
      </c>
      <c r="F4" s="45" t="str">
        <f>VLOOKUP($A4,Bat!$A$4:$BB$1028,F$1,FALSE)</f>
        <v>R</v>
      </c>
      <c r="G4" s="45" t="str">
        <f>VLOOKUP($A4,Bat!$A$4:$BB$1028,G$1,FALSE)</f>
        <v>R</v>
      </c>
      <c r="H4" s="44">
        <f>VLOOKUP($A4,Bat!$A$4:$BB$1428,H$1,FALSE)</f>
        <v>1.7299510984278106</v>
      </c>
      <c r="I4" s="44" t="e">
        <f>VLOOKUP($A4,Pit!$A$4:$BL$1331,I$1,FALSE)</f>
        <v>#N/A</v>
      </c>
      <c r="J4" s="44" t="e">
        <f t="shared" ref="J4:J13" si="0">I4-H4</f>
        <v>#N/A</v>
      </c>
      <c r="K4" s="49" t="e">
        <f t="shared" ref="K4:K13" si="1">IF(H4&gt;I4,"B","P")</f>
        <v>#N/A</v>
      </c>
      <c r="L4" s="45" t="e">
        <f t="shared" ref="L4:L13" si="2">IF(AND(OR(B4="SP",B4="RP",B4="CL"),K4="P"),"Keep","Delete")</f>
        <v>#N/A</v>
      </c>
      <c r="M4" s="45" t="e">
        <f t="shared" ref="M4:M13" si="3">IF(AND(AND($B4&lt;&gt;"SP",$B4&lt;&gt;"RP",$B4&lt;&gt;"CL"),$K4="B"),"Keep","Delete")</f>
        <v>#N/A</v>
      </c>
      <c r="N4" s="45" t="e">
        <f t="shared" ref="N4:N13" si="4">IF(OR(L4="Delete",M4="Delete"),"Delete","Keep")</f>
        <v>#N/A</v>
      </c>
      <c r="O4" s="45">
        <f>VLOOKUP($A4,Bat!$A$4:$U$1431,O$2,FALSE)</f>
        <v>6</v>
      </c>
      <c r="P4" s="45">
        <f>VLOOKUP($A4,Bat!$A$4:$U$1431,P$2,FALSE)</f>
        <v>2</v>
      </c>
      <c r="Q4" s="45">
        <f>VLOOKUP($A4,Bat!$A$4:$U$1431,Q$2,FALSE)</f>
        <v>4</v>
      </c>
      <c r="R4" s="45" t="e">
        <f>VLOOKUP($A4,Pit!$A$4:$U$1331,R$2,FALSE)</f>
        <v>#N/A</v>
      </c>
      <c r="S4" s="45" t="e">
        <f>VLOOKUP($A4,Pit!$A$4:$U$1331,S$2,FALSE)</f>
        <v>#N/A</v>
      </c>
      <c r="T4" s="45" t="e">
        <f>VLOOKUP($A4,Pit!$A$4:$U$1331,T$2,FALSE)</f>
        <v>#N/A</v>
      </c>
    </row>
    <row r="5" spans="1:20" x14ac:dyDescent="0.3">
      <c r="A5" s="45">
        <v>8193</v>
      </c>
      <c r="B5" s="45" t="str">
        <f>VLOOKUP($A5,Bat!$A$4:$BB$1028,B$1,FALSE)</f>
        <v>1B</v>
      </c>
      <c r="C5" s="45" t="str">
        <f>VLOOKUP($A5,Bat!$A$4:$BB$1028,C$1,FALSE)</f>
        <v>Simon</v>
      </c>
      <c r="D5" s="45" t="str">
        <f>VLOOKUP($A5,Bat!$A$4:$BB$1028,D$1,FALSE)</f>
        <v>Ahernfeld</v>
      </c>
      <c r="E5" s="45">
        <f>VLOOKUP($A5,Bat!$A$4:$BB$1028,E$1,FALSE)</f>
        <v>21</v>
      </c>
      <c r="F5" s="45" t="str">
        <f>VLOOKUP($A5,Bat!$A$4:$BB$1028,F$1,FALSE)</f>
        <v>L</v>
      </c>
      <c r="G5" s="45" t="str">
        <f>VLOOKUP($A5,Bat!$A$4:$BB$1028,G$1,FALSE)</f>
        <v>L</v>
      </c>
      <c r="H5" s="44">
        <f>VLOOKUP($A5,Bat!$A$4:$BB$1428,H$1,FALSE)</f>
        <v>-1.1509643554441089</v>
      </c>
      <c r="I5" s="44" t="e">
        <f>VLOOKUP($A5,Pit!$A$4:$BL$1331,I$1,FALSE)</f>
        <v>#N/A</v>
      </c>
      <c r="J5" s="44" t="e">
        <f t="shared" si="0"/>
        <v>#N/A</v>
      </c>
      <c r="K5" s="49" t="e">
        <f t="shared" si="1"/>
        <v>#N/A</v>
      </c>
      <c r="L5" s="45" t="e">
        <f t="shared" si="2"/>
        <v>#N/A</v>
      </c>
      <c r="M5" s="45" t="e">
        <f t="shared" si="3"/>
        <v>#N/A</v>
      </c>
      <c r="N5" s="45" t="e">
        <f t="shared" si="4"/>
        <v>#N/A</v>
      </c>
      <c r="O5" s="45">
        <f>VLOOKUP($A5,Bat!$A$4:$U$1431,O$2,FALSE)</f>
        <v>4</v>
      </c>
      <c r="P5" s="45">
        <f>VLOOKUP($A5,Bat!$A$4:$U$1431,P$2,FALSE)</f>
        <v>2</v>
      </c>
      <c r="Q5" s="45">
        <f>VLOOKUP($A5,Bat!$A$4:$U$1431,Q$2,FALSE)</f>
        <v>1</v>
      </c>
      <c r="R5" s="45" t="e">
        <f>VLOOKUP($A5,Pit!$A$4:$U$1331,R$2,FALSE)</f>
        <v>#N/A</v>
      </c>
      <c r="S5" s="45" t="e">
        <f>VLOOKUP($A5,Pit!$A$4:$U$1331,S$2,FALSE)</f>
        <v>#N/A</v>
      </c>
      <c r="T5" s="45" t="e">
        <f>VLOOKUP($A5,Pit!$A$4:$U$1331,T$2,FALSE)</f>
        <v>#N/A</v>
      </c>
    </row>
    <row r="6" spans="1:20" x14ac:dyDescent="0.3">
      <c r="A6" s="45">
        <v>12087</v>
      </c>
      <c r="B6" s="45" t="str">
        <f>VLOOKUP($A6,Bat!$A$4:$BB$1028,B$1,FALSE)</f>
        <v>1B</v>
      </c>
      <c r="C6" s="45" t="str">
        <f>VLOOKUP($A6,Bat!$A$4:$BB$1028,C$1,FALSE)</f>
        <v>Jean</v>
      </c>
      <c r="D6" s="45" t="str">
        <f>VLOOKUP($A6,Bat!$A$4:$BB$1028,D$1,FALSE)</f>
        <v>Bouchard</v>
      </c>
      <c r="E6" s="45">
        <f>VLOOKUP($A6,Bat!$A$4:$BB$1028,E$1,FALSE)</f>
        <v>17</v>
      </c>
      <c r="F6" s="45" t="str">
        <f>VLOOKUP($A6,Bat!$A$4:$BB$1028,F$1,FALSE)</f>
        <v>R</v>
      </c>
      <c r="G6" s="45" t="str">
        <f>VLOOKUP($A6,Bat!$A$4:$BB$1028,G$1,FALSE)</f>
        <v>R</v>
      </c>
      <c r="H6" s="44">
        <f>VLOOKUP($A6,Bat!$A$4:$BB$1428,H$1,FALSE)</f>
        <v>-0.47868496098257884</v>
      </c>
      <c r="I6" s="44" t="e">
        <f>VLOOKUP($A6,Pit!$A$4:$BL$1331,I$1,FALSE)</f>
        <v>#N/A</v>
      </c>
      <c r="J6" s="44" t="e">
        <f t="shared" si="0"/>
        <v>#N/A</v>
      </c>
      <c r="K6" s="49" t="e">
        <f t="shared" si="1"/>
        <v>#N/A</v>
      </c>
      <c r="L6" s="45" t="e">
        <f t="shared" si="2"/>
        <v>#N/A</v>
      </c>
      <c r="M6" s="45" t="e">
        <f t="shared" si="3"/>
        <v>#N/A</v>
      </c>
      <c r="N6" s="45" t="e">
        <f t="shared" si="4"/>
        <v>#N/A</v>
      </c>
      <c r="O6" s="45">
        <f>VLOOKUP($A6,Bat!$A$4:$U$1431,O$2,FALSE)</f>
        <v>4</v>
      </c>
      <c r="P6" s="45">
        <f>VLOOKUP($A6,Bat!$A$4:$U$1431,P$2,FALSE)</f>
        <v>2</v>
      </c>
      <c r="Q6" s="45">
        <f>VLOOKUP($A6,Bat!$A$4:$U$1431,Q$2,FALSE)</f>
        <v>1</v>
      </c>
      <c r="R6" s="45" t="e">
        <f>VLOOKUP($A6,Pit!$A$4:$U$1331,R$2,FALSE)</f>
        <v>#N/A</v>
      </c>
      <c r="S6" s="45" t="e">
        <f>VLOOKUP($A6,Pit!$A$4:$U$1331,S$2,FALSE)</f>
        <v>#N/A</v>
      </c>
      <c r="T6" s="45" t="e">
        <f>VLOOKUP($A6,Pit!$A$4:$U$1331,T$2,FALSE)</f>
        <v>#N/A</v>
      </c>
    </row>
    <row r="7" spans="1:20" x14ac:dyDescent="0.3">
      <c r="A7" s="45">
        <v>20185</v>
      </c>
      <c r="B7" s="45" t="str">
        <f>VLOOKUP($A7,Bat!$A$4:$BB$1028,B$1,FALSE)</f>
        <v>1B</v>
      </c>
      <c r="C7" s="45" t="str">
        <f>VLOOKUP($A7,Bat!$A$4:$BB$1028,C$1,FALSE)</f>
        <v>Will</v>
      </c>
      <c r="D7" s="45" t="str">
        <f>VLOOKUP($A7,Bat!$A$4:$BB$1028,D$1,FALSE)</f>
        <v>Dunne</v>
      </c>
      <c r="E7" s="45">
        <f>VLOOKUP($A7,Bat!$A$4:$BB$1028,E$1,FALSE)</f>
        <v>21</v>
      </c>
      <c r="F7" s="45" t="str">
        <f>VLOOKUP($A7,Bat!$A$4:$BB$1028,F$1,FALSE)</f>
        <v>L</v>
      </c>
      <c r="G7" s="45" t="str">
        <f>VLOOKUP($A7,Bat!$A$4:$BB$1028,G$1,FALSE)</f>
        <v>L</v>
      </c>
      <c r="H7" s="44">
        <f>VLOOKUP($A7,Bat!$A$4:$BB$1428,H$1,FALSE)</f>
        <v>-0.84125778819043928</v>
      </c>
      <c r="I7" s="44" t="e">
        <f>VLOOKUP($A7,Pit!$A$4:$BL$1331,I$1,FALSE)</f>
        <v>#N/A</v>
      </c>
      <c r="J7" s="44" t="e">
        <f t="shared" si="0"/>
        <v>#N/A</v>
      </c>
      <c r="K7" s="49" t="e">
        <f t="shared" si="1"/>
        <v>#N/A</v>
      </c>
      <c r="L7" s="45" t="e">
        <f t="shared" si="2"/>
        <v>#N/A</v>
      </c>
      <c r="M7" s="45" t="e">
        <f t="shared" si="3"/>
        <v>#N/A</v>
      </c>
      <c r="N7" s="45" t="e">
        <f t="shared" si="4"/>
        <v>#N/A</v>
      </c>
      <c r="O7" s="63">
        <f>VLOOKUP($A7,Bat!$A$4:$U$1431,O$2,FALSE)</f>
        <v>4</v>
      </c>
      <c r="P7" s="63">
        <f>VLOOKUP($A7,Bat!$A$4:$U$1431,P$2,FALSE)</f>
        <v>2</v>
      </c>
      <c r="Q7" s="63">
        <f>VLOOKUP($A7,Bat!$A$4:$U$1431,Q$2,FALSE)</f>
        <v>3</v>
      </c>
      <c r="R7" s="63" t="e">
        <f>VLOOKUP($A7,Pit!$A$4:$U$1331,R$2,FALSE)</f>
        <v>#N/A</v>
      </c>
      <c r="S7" s="63" t="e">
        <f>VLOOKUP($A7,Pit!$A$4:$U$1331,S$2,FALSE)</f>
        <v>#N/A</v>
      </c>
      <c r="T7" s="63" t="e">
        <f>VLOOKUP($A7,Pit!$A$4:$U$1331,T$2,FALSE)</f>
        <v>#N/A</v>
      </c>
    </row>
    <row r="8" spans="1:20" x14ac:dyDescent="0.3">
      <c r="A8" s="45">
        <v>14761</v>
      </c>
      <c r="B8" s="45" t="str">
        <f>VLOOKUP($A8,Bat!$A$4:$BB$1028,B$1,FALSE)</f>
        <v>1B</v>
      </c>
      <c r="C8" s="45" t="str">
        <f>VLOOKUP($A8,Bat!$A$4:$BB$1028,C$1,FALSE)</f>
        <v>Doug</v>
      </c>
      <c r="D8" s="45" t="str">
        <f>VLOOKUP($A8,Bat!$A$4:$BB$1028,D$1,FALSE)</f>
        <v>Smith</v>
      </c>
      <c r="E8" s="45">
        <f>VLOOKUP($A8,Bat!$A$4:$BB$1028,E$1,FALSE)</f>
        <v>21</v>
      </c>
      <c r="F8" s="45" t="str">
        <f>VLOOKUP($A8,Bat!$A$4:$BB$1028,F$1,FALSE)</f>
        <v>R</v>
      </c>
      <c r="G8" s="45" t="str">
        <f>VLOOKUP($A8,Bat!$A$4:$BB$1028,G$1,FALSE)</f>
        <v>R</v>
      </c>
      <c r="H8" s="44">
        <f>VLOOKUP($A8,Bat!$A$4:$BB$1428,H$1,FALSE)</f>
        <v>-1.8642360348515759</v>
      </c>
      <c r="I8" s="44" t="e">
        <f>VLOOKUP($A8,Pit!$A$4:$BL$1331,I$1,FALSE)</f>
        <v>#N/A</v>
      </c>
      <c r="J8" s="44" t="e">
        <f t="shared" si="0"/>
        <v>#N/A</v>
      </c>
      <c r="K8" s="49" t="e">
        <f t="shared" si="1"/>
        <v>#N/A</v>
      </c>
      <c r="L8" s="63" t="e">
        <f t="shared" si="2"/>
        <v>#N/A</v>
      </c>
      <c r="M8" s="63" t="e">
        <f t="shared" si="3"/>
        <v>#N/A</v>
      </c>
      <c r="N8" s="45" t="e">
        <f t="shared" si="4"/>
        <v>#N/A</v>
      </c>
      <c r="O8" s="63">
        <f>VLOOKUP($A8,Bat!$A$4:$U$1431,O$2,FALSE)</f>
        <v>3</v>
      </c>
      <c r="P8" s="63">
        <f>VLOOKUP($A8,Bat!$A$4:$U$1431,P$2,FALSE)</f>
        <v>2</v>
      </c>
      <c r="Q8" s="63">
        <f>VLOOKUP($A8,Bat!$A$4:$U$1431,Q$2,FALSE)</f>
        <v>1</v>
      </c>
      <c r="R8" s="63" t="e">
        <f>VLOOKUP($A8,Pit!$A$4:$U$1331,R$2,FALSE)</f>
        <v>#N/A</v>
      </c>
      <c r="S8" s="63" t="e">
        <f>VLOOKUP($A8,Pit!$A$4:$U$1331,S$2,FALSE)</f>
        <v>#N/A</v>
      </c>
      <c r="T8" s="63" t="e">
        <f>VLOOKUP($A8,Pit!$A$4:$U$1331,T$2,FALSE)</f>
        <v>#N/A</v>
      </c>
    </row>
    <row r="9" spans="1:20" x14ac:dyDescent="0.3">
      <c r="A9" s="45">
        <v>5364</v>
      </c>
      <c r="B9" s="45" t="str">
        <f>VLOOKUP($A9,Bat!$A$4:$BB$1028,B$1,FALSE)</f>
        <v>1B</v>
      </c>
      <c r="C9" s="45" t="str">
        <f>VLOOKUP($A9,Bat!$A$4:$BB$1028,C$1,FALSE)</f>
        <v>River</v>
      </c>
      <c r="D9" s="45" t="str">
        <f>VLOOKUP($A9,Bat!$A$4:$BB$1028,D$1,FALSE)</f>
        <v>Powell</v>
      </c>
      <c r="E9" s="45">
        <f>VLOOKUP($A9,Bat!$A$4:$BB$1028,E$1,FALSE)</f>
        <v>21</v>
      </c>
      <c r="F9" s="45" t="str">
        <f>VLOOKUP($A9,Bat!$A$4:$BB$1028,F$1,FALSE)</f>
        <v>L</v>
      </c>
      <c r="G9" s="45" t="str">
        <f>VLOOKUP($A9,Bat!$A$4:$BB$1028,G$1,FALSE)</f>
        <v>L</v>
      </c>
      <c r="H9" s="44">
        <f>VLOOKUP($A9,Bat!$A$4:$BB$1428,H$1,FALSE)</f>
        <v>-1.6379776903023375</v>
      </c>
      <c r="I9" s="44" t="e">
        <f>VLOOKUP($A9,Pit!$A$4:$BL$1331,I$1,FALSE)</f>
        <v>#N/A</v>
      </c>
      <c r="J9" s="44" t="e">
        <f t="shared" si="0"/>
        <v>#N/A</v>
      </c>
      <c r="K9" s="49" t="e">
        <f t="shared" si="1"/>
        <v>#N/A</v>
      </c>
      <c r="L9" s="63" t="e">
        <f t="shared" si="2"/>
        <v>#N/A</v>
      </c>
      <c r="M9" s="63" t="e">
        <f t="shared" si="3"/>
        <v>#N/A</v>
      </c>
      <c r="N9" s="45" t="e">
        <f t="shared" si="4"/>
        <v>#N/A</v>
      </c>
      <c r="O9" s="63">
        <f>VLOOKUP($A9,Bat!$A$4:$U$1431,O$2,FALSE)</f>
        <v>3</v>
      </c>
      <c r="P9" s="63">
        <f>VLOOKUP($A9,Bat!$A$4:$U$1431,P$2,FALSE)</f>
        <v>2</v>
      </c>
      <c r="Q9" s="63">
        <f>VLOOKUP($A9,Bat!$A$4:$U$1431,Q$2,FALSE)</f>
        <v>2</v>
      </c>
      <c r="R9" s="63" t="e">
        <f>VLOOKUP($A9,Pit!$A$4:$U$1331,R$2,FALSE)</f>
        <v>#N/A</v>
      </c>
      <c r="S9" s="63" t="e">
        <f>VLOOKUP($A9,Pit!$A$4:$U$1331,S$2,FALSE)</f>
        <v>#N/A</v>
      </c>
      <c r="T9" s="63" t="e">
        <f>VLOOKUP($A9,Pit!$A$4:$U$1331,T$2,FALSE)</f>
        <v>#N/A</v>
      </c>
    </row>
    <row r="10" spans="1:20" x14ac:dyDescent="0.3">
      <c r="A10" s="45">
        <v>5137</v>
      </c>
      <c r="B10" s="45" t="e">
        <f>VLOOKUP($A10,Bat!$A$4:$BB$1028,B$1,FALSE)</f>
        <v>#N/A</v>
      </c>
      <c r="C10" s="45" t="e">
        <f>VLOOKUP($A10,Bat!$A$4:$BB$1028,C$1,FALSE)</f>
        <v>#N/A</v>
      </c>
      <c r="D10" s="45" t="e">
        <f>VLOOKUP($A10,Bat!$A$4:$BB$1028,D$1,FALSE)</f>
        <v>#N/A</v>
      </c>
      <c r="E10" s="45" t="e">
        <f>VLOOKUP($A10,Bat!$A$4:$BB$1028,E$1,FALSE)</f>
        <v>#N/A</v>
      </c>
      <c r="F10" s="45" t="e">
        <f>VLOOKUP($A10,Bat!$A$4:$BB$1028,F$1,FALSE)</f>
        <v>#N/A</v>
      </c>
      <c r="G10" s="45" t="e">
        <f>VLOOKUP($A10,Bat!$A$4:$BB$1028,G$1,FALSE)</f>
        <v>#N/A</v>
      </c>
      <c r="H10" s="44" t="e">
        <f>VLOOKUP($A10,Bat!$A$4:$BB$1428,H$1,FALSE)</f>
        <v>#N/A</v>
      </c>
      <c r="I10" s="44">
        <f>VLOOKUP($A10,Pit!$A$4:$BL$1331,I$1,FALSE)</f>
        <v>-0.22770223001757545</v>
      </c>
      <c r="J10" s="44" t="e">
        <f t="shared" si="0"/>
        <v>#N/A</v>
      </c>
      <c r="K10" s="49" t="e">
        <f t="shared" si="1"/>
        <v>#N/A</v>
      </c>
      <c r="L10" s="63" t="e">
        <f t="shared" si="2"/>
        <v>#N/A</v>
      </c>
      <c r="M10" s="63" t="e">
        <f t="shared" si="3"/>
        <v>#N/A</v>
      </c>
      <c r="N10" s="45" t="e">
        <f t="shared" si="4"/>
        <v>#N/A</v>
      </c>
      <c r="O10" s="63" t="e">
        <f>VLOOKUP($A10,Bat!$A$4:$U$1431,O$2,FALSE)</f>
        <v>#N/A</v>
      </c>
      <c r="P10" s="63" t="e">
        <f>VLOOKUP($A10,Bat!$A$4:$U$1431,P$2,FALSE)</f>
        <v>#N/A</v>
      </c>
      <c r="Q10" s="63" t="e">
        <f>VLOOKUP($A10,Bat!$A$4:$U$1431,Q$2,FALSE)</f>
        <v>#N/A</v>
      </c>
      <c r="R10" s="63">
        <f>VLOOKUP($A10,Pit!$A$4:$U$1331,R$2,FALSE)</f>
        <v>5</v>
      </c>
      <c r="S10" s="63">
        <f>VLOOKUP($A10,Pit!$A$4:$U$1331,S$2,FALSE)</f>
        <v>2</v>
      </c>
      <c r="T10" s="63">
        <f>VLOOKUP($A10,Pit!$A$4:$U$1331,T$2,FALSE)</f>
        <v>3</v>
      </c>
    </row>
    <row r="11" spans="1:20" x14ac:dyDescent="0.3">
      <c r="A11" s="45">
        <v>20263</v>
      </c>
      <c r="B11" s="45" t="str">
        <f>VLOOKUP($A11,Bat!$A$4:$BB$1028,B$1,FALSE)</f>
        <v>1B</v>
      </c>
      <c r="C11" s="45" t="str">
        <f>VLOOKUP($A11,Bat!$A$4:$BB$1028,C$1,FALSE)</f>
        <v>Chris</v>
      </c>
      <c r="D11" s="45" t="str">
        <f>VLOOKUP($A11,Bat!$A$4:$BB$1028,D$1,FALSE)</f>
        <v>Kean</v>
      </c>
      <c r="E11" s="45">
        <f>VLOOKUP($A11,Bat!$A$4:$BB$1028,E$1,FALSE)</f>
        <v>21</v>
      </c>
      <c r="F11" s="45" t="str">
        <f>VLOOKUP($A11,Bat!$A$4:$BB$1028,F$1,FALSE)</f>
        <v>R</v>
      </c>
      <c r="G11" s="45" t="str">
        <f>VLOOKUP($A11,Bat!$A$4:$BB$1028,G$1,FALSE)</f>
        <v>R</v>
      </c>
      <c r="H11" s="44">
        <f>VLOOKUP($A11,Bat!$A$4:$BB$1428,H$1,FALSE)</f>
        <v>-1.1757620089652658</v>
      </c>
      <c r="I11" s="44" t="e">
        <f>VLOOKUP($A11,Pit!$A$4:$BL$1331,I$1,FALSE)</f>
        <v>#N/A</v>
      </c>
      <c r="J11" s="44" t="e">
        <f t="shared" si="0"/>
        <v>#N/A</v>
      </c>
      <c r="K11" s="49" t="e">
        <f t="shared" si="1"/>
        <v>#N/A</v>
      </c>
      <c r="L11" s="63" t="e">
        <f t="shared" si="2"/>
        <v>#N/A</v>
      </c>
      <c r="M11" s="63" t="e">
        <f t="shared" si="3"/>
        <v>#N/A</v>
      </c>
      <c r="N11" s="45" t="e">
        <f t="shared" si="4"/>
        <v>#N/A</v>
      </c>
      <c r="O11" s="63">
        <f>VLOOKUP($A11,Bat!$A$4:$U$1431,O$2,FALSE)</f>
        <v>4</v>
      </c>
      <c r="P11" s="63">
        <f>VLOOKUP($A11,Bat!$A$4:$U$1431,P$2,FALSE)</f>
        <v>2</v>
      </c>
      <c r="Q11" s="63">
        <f>VLOOKUP($A11,Bat!$A$4:$U$1431,Q$2,FALSE)</f>
        <v>1</v>
      </c>
      <c r="R11" s="63" t="e">
        <f>VLOOKUP($A11,Pit!$A$4:$U$1331,R$2,FALSE)</f>
        <v>#N/A</v>
      </c>
      <c r="S11" s="63" t="e">
        <f>VLOOKUP($A11,Pit!$A$4:$U$1331,S$2,FALSE)</f>
        <v>#N/A</v>
      </c>
      <c r="T11" s="63" t="e">
        <f>VLOOKUP($A11,Pit!$A$4:$U$1331,T$2,FALSE)</f>
        <v>#N/A</v>
      </c>
    </row>
    <row r="12" spans="1:20" x14ac:dyDescent="0.3">
      <c r="A12" s="45">
        <v>11923</v>
      </c>
      <c r="B12" s="45" t="str">
        <f>VLOOKUP($A12,Bat!$A$4:$BB$1028,B$1,FALSE)</f>
        <v>1B</v>
      </c>
      <c r="C12" s="45" t="str">
        <f>VLOOKUP($A12,Bat!$A$4:$BB$1028,C$1,FALSE)</f>
        <v>Arturo</v>
      </c>
      <c r="D12" s="45" t="str">
        <f>VLOOKUP($A12,Bat!$A$4:$BB$1028,D$1,FALSE)</f>
        <v>Barajas</v>
      </c>
      <c r="E12" s="45">
        <f>VLOOKUP($A12,Bat!$A$4:$BB$1028,E$1,FALSE)</f>
        <v>22</v>
      </c>
      <c r="F12" s="45" t="str">
        <f>VLOOKUP($A12,Bat!$A$4:$BB$1028,F$1,FALSE)</f>
        <v>R</v>
      </c>
      <c r="G12" s="45" t="str">
        <f>VLOOKUP($A12,Bat!$A$4:$BB$1028,G$1,FALSE)</f>
        <v>L</v>
      </c>
      <c r="H12" s="44">
        <f>VLOOKUP($A12,Bat!$A$4:$BB$1428,H$1,FALSE)</f>
        <v>-1.6878058321215845</v>
      </c>
      <c r="I12" s="44" t="e">
        <f>VLOOKUP($A12,Pit!$A$4:$BL$1331,I$1,FALSE)</f>
        <v>#N/A</v>
      </c>
      <c r="J12" s="44" t="e">
        <f t="shared" si="0"/>
        <v>#N/A</v>
      </c>
      <c r="K12" s="49" t="e">
        <f t="shared" si="1"/>
        <v>#N/A</v>
      </c>
      <c r="L12" s="63" t="e">
        <f t="shared" si="2"/>
        <v>#N/A</v>
      </c>
      <c r="M12" s="63" t="e">
        <f t="shared" si="3"/>
        <v>#N/A</v>
      </c>
      <c r="N12" s="45" t="e">
        <f t="shared" si="4"/>
        <v>#N/A</v>
      </c>
      <c r="O12" s="63">
        <f>VLOOKUP($A12,Bat!$A$4:$U$1431,O$2,FALSE)</f>
        <v>3</v>
      </c>
      <c r="P12" s="63">
        <f>VLOOKUP($A12,Bat!$A$4:$U$1431,P$2,FALSE)</f>
        <v>2</v>
      </c>
      <c r="Q12" s="63">
        <f>VLOOKUP($A12,Bat!$A$4:$U$1431,Q$2,FALSE)</f>
        <v>2</v>
      </c>
      <c r="R12" s="63" t="e">
        <f>VLOOKUP($A12,Pit!$A$4:$U$1331,R$2,FALSE)</f>
        <v>#N/A</v>
      </c>
      <c r="S12" s="63" t="e">
        <f>VLOOKUP($A12,Pit!$A$4:$U$1331,S$2,FALSE)</f>
        <v>#N/A</v>
      </c>
      <c r="T12" s="63" t="e">
        <f>VLOOKUP($A12,Pit!$A$4:$U$1331,T$2,FALSE)</f>
        <v>#N/A</v>
      </c>
    </row>
    <row r="13" spans="1:20" x14ac:dyDescent="0.3">
      <c r="A13" s="45">
        <v>5847</v>
      </c>
      <c r="B13" s="45" t="str">
        <f>VLOOKUP($A13,Bat!$A$4:$BB$1028,B$1,FALSE)</f>
        <v>1B</v>
      </c>
      <c r="C13" s="45" t="str">
        <f>VLOOKUP($A13,Bat!$A$4:$BB$1028,C$1,FALSE)</f>
        <v>Dave</v>
      </c>
      <c r="D13" s="45" t="str">
        <f>VLOOKUP($A13,Bat!$A$4:$BB$1028,D$1,FALSE)</f>
        <v>Wallace</v>
      </c>
      <c r="E13" s="45">
        <f>VLOOKUP($A13,Bat!$A$4:$BB$1028,E$1,FALSE)</f>
        <v>21</v>
      </c>
      <c r="F13" s="45" t="str">
        <f>VLOOKUP($A13,Bat!$A$4:$BB$1028,F$1,FALSE)</f>
        <v>L</v>
      </c>
      <c r="G13" s="45" t="str">
        <f>VLOOKUP($A13,Bat!$A$4:$BB$1028,G$1,FALSE)</f>
        <v>L</v>
      </c>
      <c r="H13" s="44">
        <f>VLOOKUP($A13,Bat!$A$4:$BB$1428,H$1,FALSE)</f>
        <v>-1.9533727819619537</v>
      </c>
      <c r="I13" s="44" t="e">
        <f>VLOOKUP($A13,Pit!$A$4:$BL$1331,I$1,FALSE)</f>
        <v>#N/A</v>
      </c>
      <c r="J13" s="44" t="e">
        <f t="shared" si="0"/>
        <v>#N/A</v>
      </c>
      <c r="K13" s="49" t="e">
        <f t="shared" si="1"/>
        <v>#N/A</v>
      </c>
      <c r="L13" s="63" t="e">
        <f t="shared" si="2"/>
        <v>#N/A</v>
      </c>
      <c r="M13" s="63" t="e">
        <f t="shared" si="3"/>
        <v>#N/A</v>
      </c>
      <c r="N13" s="45" t="e">
        <f t="shared" si="4"/>
        <v>#N/A</v>
      </c>
      <c r="O13" s="63">
        <f>VLOOKUP($A13,Bat!$A$4:$U$1431,O$2,FALSE)</f>
        <v>3</v>
      </c>
      <c r="P13" s="63">
        <f>VLOOKUP($A13,Bat!$A$4:$U$1431,P$2,FALSE)</f>
        <v>2</v>
      </c>
      <c r="Q13" s="63">
        <f>VLOOKUP($A13,Bat!$A$4:$U$1431,Q$2,FALSE)</f>
        <v>1</v>
      </c>
      <c r="R13" s="63" t="e">
        <f>VLOOKUP($A13,Pit!$A$4:$U$1331,R$2,FALSE)</f>
        <v>#N/A</v>
      </c>
      <c r="S13" s="63" t="e">
        <f>VLOOKUP($A13,Pit!$A$4:$U$1331,S$2,FALSE)</f>
        <v>#N/A</v>
      </c>
      <c r="T13" s="63" t="e">
        <f>VLOOKUP($A13,Pit!$A$4:$U$1331,T$2,FALSE)</f>
        <v>#N/A</v>
      </c>
    </row>
  </sheetData>
  <conditionalFormatting sqref="J4:J13">
    <cfRule type="colorScale" priority="216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orientation="portrait" horizontalDpi="4294967293" verticalDpi="0" r:id="rId1"/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B2"/>
  <sheetViews>
    <sheetView workbookViewId="0">
      <selection activeCell="A3" sqref="A3"/>
    </sheetView>
  </sheetViews>
  <sheetFormatPr defaultRowHeight="14.4" x14ac:dyDescent="0.3"/>
  <sheetData>
    <row r="2" spans="1:2" x14ac:dyDescent="0.3">
      <c r="A2">
        <v>2019</v>
      </c>
      <c r="B2">
        <v>2018</v>
      </c>
    </row>
  </sheetData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B459"/>
  <sheetViews>
    <sheetView zoomScaleNormal="100" workbookViewId="0">
      <pane xSplit="7" ySplit="4" topLeftCell="AC5" activePane="bottomRight" state="frozenSplit"/>
      <selection pane="topRight" activeCell="H1" sqref="H1"/>
      <selection pane="bottomLeft" activeCell="A3" sqref="A3"/>
      <selection pane="bottomRight" activeCell="AV5" sqref="AV5:AV109"/>
    </sheetView>
  </sheetViews>
  <sheetFormatPr defaultRowHeight="14.4" x14ac:dyDescent="0.3"/>
  <cols>
    <col min="1" max="1" width="6.33203125" bestFit="1" customWidth="1"/>
    <col min="2" max="2" width="6.6640625" customWidth="1"/>
    <col min="3" max="3" width="12.44140625" bestFit="1" customWidth="1"/>
    <col min="4" max="4" width="14.44140625" bestFit="1" customWidth="1"/>
    <col min="5" max="5" width="6.5546875" customWidth="1"/>
    <col min="6" max="7" width="5.44140625" customWidth="1"/>
    <col min="8" max="8" width="8" style="3" bestFit="1" customWidth="1"/>
    <col min="9" max="9" width="7.109375" style="7" bestFit="1" customWidth="1"/>
    <col min="10" max="10" width="7.109375" bestFit="1" customWidth="1"/>
    <col min="11" max="11" width="7.109375" style="3" bestFit="1" customWidth="1"/>
    <col min="12" max="14" width="5.44140625" hidden="1" customWidth="1"/>
    <col min="15" max="15" width="4.109375" hidden="1" customWidth="1"/>
    <col min="16" max="16" width="3.5546875" style="3" hidden="1" customWidth="1"/>
    <col min="17" max="17" width="8.6640625" customWidth="1"/>
    <col min="18" max="18" width="8.5546875" customWidth="1"/>
    <col min="19" max="19" width="9.33203125" customWidth="1"/>
    <col min="20" max="20" width="7.88671875" customWidth="1"/>
    <col min="21" max="21" width="5.88671875" style="3" customWidth="1"/>
    <col min="22" max="22" width="9.44140625" customWidth="1"/>
    <col min="23" max="23" width="10.33203125" customWidth="1"/>
    <col min="24" max="24" width="9" customWidth="1"/>
    <col min="25" max="25" width="7.6640625" style="3" customWidth="1"/>
    <col min="26" max="26" width="4.44140625" bestFit="1" customWidth="1"/>
    <col min="27" max="29" width="5.44140625" bestFit="1" customWidth="1"/>
    <col min="30" max="30" width="5.33203125" bestFit="1" customWidth="1"/>
    <col min="31" max="31" width="5.109375" bestFit="1" customWidth="1"/>
    <col min="32" max="32" width="5.44140625" bestFit="1" customWidth="1"/>
    <col min="33" max="33" width="5.44140625" style="3" bestFit="1" customWidth="1"/>
    <col min="34" max="34" width="6.33203125" customWidth="1"/>
    <col min="35" max="35" width="6.109375" customWidth="1"/>
    <col min="36" max="36" width="7.109375" style="3" customWidth="1"/>
    <col min="37" max="37" width="7.44140625" style="17" bestFit="1" customWidth="1"/>
    <col min="38" max="38" width="8.88671875" style="17" hidden="1" customWidth="1"/>
    <col min="39" max="41" width="9.109375" hidden="1" customWidth="1"/>
    <col min="42" max="42" width="9.109375" style="3" hidden="1" customWidth="1"/>
    <col min="44" max="44" width="9.109375" style="3"/>
    <col min="45" max="45" width="7.33203125" customWidth="1"/>
    <col min="46" max="46" width="8" bestFit="1" customWidth="1"/>
    <col min="47" max="47" width="6.33203125" bestFit="1" customWidth="1"/>
    <col min="48" max="48" width="9.33203125" bestFit="1" customWidth="1"/>
    <col min="50" max="50" width="12.44140625" customWidth="1"/>
    <col min="52" max="52" width="6.6640625" bestFit="1" customWidth="1"/>
    <col min="53" max="53" width="6.88671875" bestFit="1" customWidth="1"/>
  </cols>
  <sheetData>
    <row r="1" spans="1:54" x14ac:dyDescent="0.3">
      <c r="A1" s="32" t="s">
        <v>658</v>
      </c>
      <c r="B1" s="33">
        <f>'Draft List'!$B$2</f>
        <v>0</v>
      </c>
      <c r="P1" s="25" t="s">
        <v>291</v>
      </c>
      <c r="Q1" s="26">
        <v>4.728698379508625</v>
      </c>
      <c r="R1" s="26">
        <v>5.8180867746994247</v>
      </c>
      <c r="S1" s="26">
        <v>3.6194458964976475</v>
      </c>
      <c r="T1" s="26">
        <v>4.2420282279142709</v>
      </c>
      <c r="U1" s="27">
        <v>4.1787767903815993</v>
      </c>
      <c r="AV1">
        <f t="shared" ref="AV1" si="0">IF(AT1=9999,9999,MAX(30,(2-MIN(1.75,AP1))*(IF(I1="Low",10,IF(I1="Normal",3,0))+IF(J1="Low",15,IF(J1="Normal",5,0))+IF(K1="Low",15,IF(K1="Normal",5,0))+IF(E1&gt;19,50,0)+IF(AO1=0,20,IF(AO1&lt;3,10,IF(AO1&lt;5,5,0))))))</f>
        <v>30</v>
      </c>
    </row>
    <row r="2" spans="1:54" x14ac:dyDescent="0.3">
      <c r="A2" s="32" t="s">
        <v>659</v>
      </c>
      <c r="B2" s="33">
        <f>'Draft List'!$B$3</f>
        <v>0.2</v>
      </c>
      <c r="P2" s="25" t="s">
        <v>290</v>
      </c>
      <c r="Q2" s="26">
        <v>1.5197247217792171</v>
      </c>
      <c r="R2" s="26">
        <v>1.9200831732936996</v>
      </c>
      <c r="S2" s="26">
        <v>2.1245775832603435</v>
      </c>
      <c r="T2" s="26">
        <v>1.748562389191409</v>
      </c>
      <c r="U2" s="27">
        <v>1.9599836693593933</v>
      </c>
    </row>
    <row r="3" spans="1:54" x14ac:dyDescent="0.3">
      <c r="I3" s="7">
        <v>15</v>
      </c>
      <c r="J3">
        <f>IF('Draft List'!$B$2=1,50,15)</f>
        <v>15</v>
      </c>
      <c r="K3" s="3">
        <f>IF('Draft List'!$B$2=1,50,15)</f>
        <v>15</v>
      </c>
      <c r="L3" s="2">
        <f>Q3</f>
        <v>25</v>
      </c>
      <c r="M3" s="2">
        <f>R3</f>
        <v>5</v>
      </c>
      <c r="N3" s="2">
        <f>S3</f>
        <v>9</v>
      </c>
      <c r="O3" s="2">
        <f>T3</f>
        <v>8</v>
      </c>
      <c r="P3" s="18">
        <f>U3</f>
        <v>4</v>
      </c>
      <c r="Q3">
        <v>25</v>
      </c>
      <c r="R3">
        <v>5</v>
      </c>
      <c r="S3">
        <v>9</v>
      </c>
      <c r="T3">
        <v>8</v>
      </c>
      <c r="U3" s="3">
        <v>4</v>
      </c>
      <c r="AM3">
        <v>0.1</v>
      </c>
      <c r="AN3">
        <v>12</v>
      </c>
      <c r="AO3">
        <f>1/6</f>
        <v>0.16666666666666666</v>
      </c>
      <c r="AP3" s="3">
        <v>1</v>
      </c>
      <c r="AU3">
        <f>MAX(AU5:AU272)+1</f>
        <v>269</v>
      </c>
      <c r="AY3">
        <v>23</v>
      </c>
      <c r="AZ3">
        <v>24</v>
      </c>
      <c r="BA3">
        <v>25</v>
      </c>
      <c r="BB3">
        <v>26</v>
      </c>
    </row>
    <row r="4" spans="1:54" s="1" customFormat="1" x14ac:dyDescent="0.3">
      <c r="A4" s="34" t="s">
        <v>203</v>
      </c>
      <c r="B4" s="35" t="s">
        <v>0</v>
      </c>
      <c r="C4" s="35" t="s">
        <v>374</v>
      </c>
      <c r="D4" s="35" t="s">
        <v>375</v>
      </c>
      <c r="E4" s="35" t="s">
        <v>2</v>
      </c>
      <c r="F4" s="35" t="s">
        <v>3</v>
      </c>
      <c r="G4" s="35" t="s">
        <v>4</v>
      </c>
      <c r="H4" s="36" t="s">
        <v>5</v>
      </c>
      <c r="I4" s="37" t="s">
        <v>538</v>
      </c>
      <c r="J4" s="35" t="s">
        <v>6</v>
      </c>
      <c r="K4" s="36" t="s">
        <v>7</v>
      </c>
      <c r="L4" s="35" t="s">
        <v>10</v>
      </c>
      <c r="M4" s="35" t="s">
        <v>75</v>
      </c>
      <c r="N4" s="35" t="s">
        <v>76</v>
      </c>
      <c r="O4" s="35" t="s">
        <v>77</v>
      </c>
      <c r="P4" s="36" t="s">
        <v>78</v>
      </c>
      <c r="Q4" s="35" t="s">
        <v>13</v>
      </c>
      <c r="R4" s="35" t="s">
        <v>79</v>
      </c>
      <c r="S4" s="35" t="s">
        <v>80</v>
      </c>
      <c r="T4" s="35" t="s">
        <v>81</v>
      </c>
      <c r="U4" s="36" t="s">
        <v>82</v>
      </c>
      <c r="V4" s="35" t="s">
        <v>83</v>
      </c>
      <c r="W4" s="35" t="s">
        <v>84</v>
      </c>
      <c r="X4" s="36" t="s">
        <v>85</v>
      </c>
      <c r="Y4" s="36" t="s">
        <v>547</v>
      </c>
      <c r="Z4" s="35" t="s">
        <v>86</v>
      </c>
      <c r="AA4" s="35" t="s">
        <v>87</v>
      </c>
      <c r="AB4" s="35" t="s">
        <v>71</v>
      </c>
      <c r="AC4" s="35" t="s">
        <v>69</v>
      </c>
      <c r="AD4" s="35" t="s">
        <v>72</v>
      </c>
      <c r="AE4" s="35" t="s">
        <v>50</v>
      </c>
      <c r="AF4" s="35" t="s">
        <v>74</v>
      </c>
      <c r="AG4" s="36" t="s">
        <v>66</v>
      </c>
      <c r="AH4" s="35" t="s">
        <v>88</v>
      </c>
      <c r="AI4" s="35" t="s">
        <v>89</v>
      </c>
      <c r="AJ4" s="36" t="s">
        <v>90</v>
      </c>
      <c r="AK4" s="38" t="s">
        <v>41</v>
      </c>
      <c r="AL4" s="38" t="s">
        <v>100</v>
      </c>
      <c r="AM4" s="34" t="s">
        <v>91</v>
      </c>
      <c r="AN4" s="34" t="s">
        <v>706</v>
      </c>
      <c r="AO4" s="34" t="s">
        <v>707</v>
      </c>
      <c r="AP4" s="39" t="s">
        <v>121</v>
      </c>
      <c r="AQ4" s="34" t="s">
        <v>95</v>
      </c>
      <c r="AR4" s="39" t="s">
        <v>96</v>
      </c>
      <c r="AS4" s="34" t="s">
        <v>708</v>
      </c>
      <c r="AT4" s="34" t="s">
        <v>98</v>
      </c>
      <c r="AU4" s="34" t="s">
        <v>99</v>
      </c>
      <c r="AV4" s="34" t="s">
        <v>539</v>
      </c>
      <c r="AW4" s="34" t="s">
        <v>101</v>
      </c>
      <c r="AX4" s="34" t="s">
        <v>102</v>
      </c>
      <c r="AY4" s="34" t="s">
        <v>220</v>
      </c>
      <c r="AZ4" s="34" t="s">
        <v>221</v>
      </c>
      <c r="BA4" s="34" t="s">
        <v>222</v>
      </c>
      <c r="BB4" s="34" t="s">
        <v>223</v>
      </c>
    </row>
    <row r="5" spans="1:54" ht="15" customHeight="1" x14ac:dyDescent="0.3">
      <c r="A5" s="40">
        <v>8967</v>
      </c>
      <c r="B5" s="40" t="s">
        <v>50</v>
      </c>
      <c r="C5" s="40" t="s">
        <v>176</v>
      </c>
      <c r="D5" s="40" t="s">
        <v>979</v>
      </c>
      <c r="E5" s="40">
        <v>17</v>
      </c>
      <c r="F5" s="40" t="s">
        <v>53</v>
      </c>
      <c r="G5" s="40" t="s">
        <v>53</v>
      </c>
      <c r="H5" s="41" t="s">
        <v>636</v>
      </c>
      <c r="I5" s="64" t="s">
        <v>47</v>
      </c>
      <c r="J5" s="65" t="s">
        <v>43</v>
      </c>
      <c r="K5" s="66" t="s">
        <v>43</v>
      </c>
      <c r="L5" s="40">
        <v>2</v>
      </c>
      <c r="M5" s="40">
        <v>4</v>
      </c>
      <c r="N5" s="40">
        <v>4</v>
      </c>
      <c r="O5" s="40">
        <v>3</v>
      </c>
      <c r="P5" s="41">
        <v>1</v>
      </c>
      <c r="Q5" s="40">
        <v>7</v>
      </c>
      <c r="R5" s="40">
        <v>8</v>
      </c>
      <c r="S5" s="40">
        <v>9</v>
      </c>
      <c r="T5" s="40">
        <v>5</v>
      </c>
      <c r="U5" s="41">
        <v>5</v>
      </c>
      <c r="V5" s="40">
        <v>4</v>
      </c>
      <c r="W5" s="40">
        <v>6</v>
      </c>
      <c r="X5" s="40">
        <v>1</v>
      </c>
      <c r="Y5" s="41">
        <v>1</v>
      </c>
      <c r="Z5" s="40" t="s">
        <v>45</v>
      </c>
      <c r="AA5" s="40" t="s">
        <v>45</v>
      </c>
      <c r="AB5" s="40" t="s">
        <v>45</v>
      </c>
      <c r="AC5" s="40" t="s">
        <v>45</v>
      </c>
      <c r="AD5" s="40" t="s">
        <v>45</v>
      </c>
      <c r="AE5" s="40">
        <v>4</v>
      </c>
      <c r="AF5" s="40" t="s">
        <v>45</v>
      </c>
      <c r="AG5" s="41">
        <v>2</v>
      </c>
      <c r="AH5" s="40">
        <v>8</v>
      </c>
      <c r="AI5" s="40">
        <v>7</v>
      </c>
      <c r="AJ5" s="41">
        <v>7</v>
      </c>
      <c r="AK5" s="43" t="s">
        <v>476</v>
      </c>
      <c r="AL5" s="43" t="s">
        <v>103</v>
      </c>
      <c r="AM5" s="44">
        <f t="shared" ref="AM5:AM68" si="1">($L$3*(L5-$Q$1)/$Q$2+$M$3*(M5-$R$1)/$R$2+$N$3*(N5-$S$1)/$S$2+$O$3*(O5-$T$1)/$T$2+$P$3*(P5-$U$1)/$U$2)/(SUM($L$3:$P$3))</f>
        <v>-1.1800042926779204</v>
      </c>
      <c r="AN5" s="44">
        <f t="shared" ref="AN5:AN68" si="2">($L$3*(Q5-$Q$1)/$Q$2+$M$3*(R5-$R$1)/$R$2+$N$3*(S5-$S$1)/$S$2+$O$3*(T5-$T$1)/$T$2+$P$3*(U5-$U$1)/$U$2)/(SUM($L$3:$P$3))</f>
        <v>1.3918063362172706</v>
      </c>
      <c r="AO5" s="45">
        <f t="shared" ref="AO5:AO68" si="3">IF(AVERAGE(AH5:AI5)&gt;9,1,0)+IF(AVERAGE(AH5:AI5)&gt;7,1,0)+IF(AH5&gt;7,1,0)+IF(AI5&gt;7,1,0)+IF(AJ5&gt;8,1,0)+IF(AJ5&gt;6,1,0)</f>
        <v>3</v>
      </c>
      <c r="AP5" s="46">
        <f t="shared" ref="AP5:AP68" si="4">MIN(2,IF(OR(Z5="-",X5&lt;5),0,1+IF(Y5&gt;7,0.35,IF(Y5&gt;5,0.1,0))+IF(Z5&gt;7,1+IF(X5&gt;7,0.25,0),IF(Z5&gt;4,0.5+IF(X5&gt;7,0.25,0),0+IF(X5&gt;7,0.25))))+IF(AA5="-",0,IF(AA5&gt;9,0.5,IF(AA5&gt;7,0.25,0)))+IF(AB5="-",0,IF(AB5&gt;7,1.1,IF(AB5&gt;4,0.6,0)))+IF(OR(AC5="-",V5&lt;5),0,IF(AC5&gt;7,1+IF(V5&gt;7,0.25,0),IF(AC5&gt;4,0.5+IF(V5&gt;7,0.25,0),0)))+IF(AD5="-",0,IF(AD5&gt;7,1.5,IF(AD5&gt;4,1,0)))+IF(AE5="-",0,IF(AE5&gt;9,0.5,IF(AE5&gt;7,0.25,0)))+IF(AF5="-",0,IF(AF5&gt;7,1.25,IF(AF5&gt;4,0.75,0)))+IF(OR(AG5="-",W5&lt;4),0,IF(AG5&gt;7,1+IF(W5&gt;7,0.15,0),IF(AG5&gt;4,0.5+IF(W5&gt;7,0.15,0),0))))</f>
        <v>0</v>
      </c>
      <c r="AQ5" s="44">
        <f>($AM$3*AM5+$AN$3*AN5+$AO$3*AO5+$AP$3*AP5)+$I$3*VLOOKUP(I5,COND!$A$2:$E$7,4,FALSE)+$J$3*VLOOKUP(J5,COND!$A$2:$C$7,2,FALSE)+$K$3*VLOOKUP(K5,COND!$A$2:$C$7,3,FALSE)+IF(AND($B$2&gt;0,$E5&lt;20),$B$2*25,0)</f>
        <v>67.308675605339459</v>
      </c>
      <c r="AR5" s="47">
        <f t="shared" ref="AR5:AR36" si="5">STANDARDIZE(AQ5,AVERAGE($AQ$5:$AQ$442),STDEVP($AQ$5:$AQ$442))</f>
        <v>3.5163987723445422</v>
      </c>
      <c r="AS5" s="45" t="str">
        <f t="shared" ref="AS5:AS68" si="6">IF(AND(Z5&lt;&gt;"-",Y5&gt;1),"C",IF(AB5=MAX(AB5:AD5),"2B",IF(AD5=MAX(AB5:AD5),"SS",IF(OR(AC5=MAX(AA5:AD5),AND(AC5&lt;&gt;"-",AC5&gt;4,V5&gt;5)),"3B",IF(AF5=MAX(AE5:AG5),"CF",IF(AND(AG5=MAX(AE5,AG5),AND(W5&gt;5,AG5&lt;&gt;"-")),"RF",IF(AE5&lt;&gt;"-","LF",IF(AA5&lt;&gt;"-","1B","DH"))))))))</f>
        <v>LF</v>
      </c>
      <c r="AT5" s="45">
        <v>1</v>
      </c>
      <c r="AU5" s="45">
        <v>1</v>
      </c>
      <c r="AV5" s="45">
        <v>1</v>
      </c>
      <c r="AW5" s="45" t="str">
        <f t="shared" ref="AW5:AW68" si="7">IF(AND($Q5&gt;=6,AVERAGE($S5:$T5)&gt;=6),"Likely",IF(OR($Q5&gt;6,AND($Q5=6,AVERAGE($S5:$T5)&gt;=3),AND($Q5&gt;=5,AVERAGE($S5:$T5)&gt;=5),AVERAGE($Q5,$S5:$T5)&gt;5),"Possible","Unlikely"))</f>
        <v>Likely</v>
      </c>
      <c r="AX5" s="45"/>
      <c r="AY5" s="45">
        <f>INDEX(Table5[[#All],[Ovr]],MATCH(Batters[[#This Row],[PID]],Table5[[#All],[PID]],0))</f>
        <v>5</v>
      </c>
      <c r="AZ5" s="45" t="str">
        <f>INDEX(Table5[[#All],[Rnd]],MATCH(Batters[[#This Row],[PID]],Table5[[#All],[PID]],0))</f>
        <v>1</v>
      </c>
      <c r="BA5" s="45">
        <f>INDEX(Table5[[#All],[Pick]],MATCH(Batters[[#This Row],[PID]],Table5[[#All],[PID]],0))</f>
        <v>5</v>
      </c>
      <c r="BB5" s="45" t="str">
        <f>INDEX(Table5[[#All],[Team]],MATCH(Batters[[#This Row],[PID]],Table5[[#All],[PID]],0))</f>
        <v>Tempe Knights</v>
      </c>
    </row>
    <row r="6" spans="1:54" ht="15" customHeight="1" x14ac:dyDescent="0.3">
      <c r="A6" s="40">
        <v>11539</v>
      </c>
      <c r="B6" s="40" t="s">
        <v>72</v>
      </c>
      <c r="C6" s="40" t="s">
        <v>173</v>
      </c>
      <c r="D6" s="40" t="s">
        <v>1014</v>
      </c>
      <c r="E6" s="40">
        <v>17</v>
      </c>
      <c r="F6" s="40" t="s">
        <v>42</v>
      </c>
      <c r="G6" s="40" t="s">
        <v>42</v>
      </c>
      <c r="H6" s="41" t="s">
        <v>549</v>
      </c>
      <c r="I6" s="64" t="s">
        <v>43</v>
      </c>
      <c r="J6" s="65" t="s">
        <v>47</v>
      </c>
      <c r="K6" s="66" t="s">
        <v>43</v>
      </c>
      <c r="L6" s="40">
        <v>2</v>
      </c>
      <c r="M6" s="40">
        <v>5</v>
      </c>
      <c r="N6" s="40">
        <v>2</v>
      </c>
      <c r="O6" s="40">
        <v>2</v>
      </c>
      <c r="P6" s="41">
        <v>5</v>
      </c>
      <c r="Q6" s="40">
        <v>7</v>
      </c>
      <c r="R6" s="40">
        <v>7</v>
      </c>
      <c r="S6" s="40">
        <v>2</v>
      </c>
      <c r="T6" s="40">
        <v>5</v>
      </c>
      <c r="U6" s="41">
        <v>8</v>
      </c>
      <c r="V6" s="40">
        <v>8</v>
      </c>
      <c r="W6" s="40">
        <v>7</v>
      </c>
      <c r="X6" s="40">
        <v>1</v>
      </c>
      <c r="Y6" s="41">
        <v>1</v>
      </c>
      <c r="Z6" s="40" t="s">
        <v>45</v>
      </c>
      <c r="AA6" s="40" t="s">
        <v>45</v>
      </c>
      <c r="AB6" s="40" t="s">
        <v>45</v>
      </c>
      <c r="AC6" s="40" t="s">
        <v>45</v>
      </c>
      <c r="AD6" s="40">
        <v>6</v>
      </c>
      <c r="AE6" s="40" t="s">
        <v>45</v>
      </c>
      <c r="AF6" s="40" t="s">
        <v>45</v>
      </c>
      <c r="AG6" s="41" t="s">
        <v>45</v>
      </c>
      <c r="AH6" s="40">
        <v>9</v>
      </c>
      <c r="AI6" s="40">
        <v>10</v>
      </c>
      <c r="AJ6" s="41">
        <v>7</v>
      </c>
      <c r="AK6" s="43" t="s">
        <v>991</v>
      </c>
      <c r="AL6" s="43" t="s">
        <v>103</v>
      </c>
      <c r="AM6" s="44">
        <f t="shared" si="1"/>
        <v>-1.2247115918482669</v>
      </c>
      <c r="AN6" s="44">
        <f t="shared" si="2"/>
        <v>0.87936501788250709</v>
      </c>
      <c r="AO6" s="45">
        <f t="shared" si="3"/>
        <v>5</v>
      </c>
      <c r="AP6" s="46">
        <f t="shared" si="4"/>
        <v>1</v>
      </c>
      <c r="AQ6" s="44">
        <f>($AM$3*AM6+$AN$3*AN6+$AO$3*AO6+$AP$3*AP6)+$I$3*VLOOKUP(I6,COND!$A$2:$E$7,4,FALSE)+$J$3*VLOOKUP(J6,COND!$A$2:$C$7,2,FALSE)+$K$3*VLOOKUP(K6,COND!$A$2:$C$7,3,FALSE)+IF(AND($B$2&gt;0,$E6&lt;20),$B$2*25,0)</f>
        <v>62.563242388738594</v>
      </c>
      <c r="AR6" s="47">
        <f t="shared" si="5"/>
        <v>2.8237168562605102</v>
      </c>
      <c r="AS6" s="45" t="str">
        <f t="shared" si="6"/>
        <v>SS</v>
      </c>
      <c r="AT6" s="45">
        <v>1</v>
      </c>
      <c r="AU6" s="45">
        <v>2</v>
      </c>
      <c r="AV6" s="45">
        <v>2</v>
      </c>
      <c r="AW6" s="45" t="str">
        <f t="shared" si="7"/>
        <v>Possible</v>
      </c>
      <c r="AX6" s="45"/>
      <c r="AY6" s="45">
        <f>INDEX(Table5[[#All],[Ovr]],MATCH(Batters[[#This Row],[PID]],Table5[[#All],[PID]],0))</f>
        <v>30</v>
      </c>
      <c r="AZ6" s="45" t="str">
        <f>INDEX(Table5[[#All],[Rnd]],MATCH(Batters[[#This Row],[PID]],Table5[[#All],[PID]],0))</f>
        <v>1</v>
      </c>
      <c r="BA6" s="45">
        <f>INDEX(Table5[[#All],[Pick]],MATCH(Batters[[#This Row],[PID]],Table5[[#All],[PID]],0))</f>
        <v>30</v>
      </c>
      <c r="BB6" s="45" t="str">
        <f>INDEX(Table5[[#All],[Team]],MATCH(Batters[[#This Row],[PID]],Table5[[#All],[PID]],0))</f>
        <v>Charleston Statesmen</v>
      </c>
    </row>
    <row r="7" spans="1:54" ht="15" customHeight="1" x14ac:dyDescent="0.3">
      <c r="A7" s="40">
        <v>10538</v>
      </c>
      <c r="B7" s="40" t="s">
        <v>74</v>
      </c>
      <c r="C7" s="40" t="s">
        <v>305</v>
      </c>
      <c r="D7" s="40" t="s">
        <v>863</v>
      </c>
      <c r="E7" s="40">
        <v>18</v>
      </c>
      <c r="F7" s="40" t="s">
        <v>42</v>
      </c>
      <c r="G7" s="40" t="s">
        <v>42</v>
      </c>
      <c r="H7" s="41" t="s">
        <v>548</v>
      </c>
      <c r="I7" s="64" t="s">
        <v>43</v>
      </c>
      <c r="J7" s="65" t="s">
        <v>43</v>
      </c>
      <c r="K7" s="66" t="s">
        <v>43</v>
      </c>
      <c r="L7" s="40">
        <v>1</v>
      </c>
      <c r="M7" s="40">
        <v>5</v>
      </c>
      <c r="N7" s="40">
        <v>4</v>
      </c>
      <c r="O7" s="40">
        <v>2</v>
      </c>
      <c r="P7" s="41">
        <v>1</v>
      </c>
      <c r="Q7" s="40">
        <v>6</v>
      </c>
      <c r="R7" s="40">
        <v>7</v>
      </c>
      <c r="S7" s="40">
        <v>8</v>
      </c>
      <c r="T7" s="40">
        <v>6</v>
      </c>
      <c r="U7" s="41">
        <v>4</v>
      </c>
      <c r="V7" s="40">
        <v>6</v>
      </c>
      <c r="W7" s="40">
        <v>8</v>
      </c>
      <c r="X7" s="40">
        <v>1</v>
      </c>
      <c r="Y7" s="41">
        <v>1</v>
      </c>
      <c r="Z7" s="40" t="s">
        <v>45</v>
      </c>
      <c r="AA7" s="40" t="s">
        <v>45</v>
      </c>
      <c r="AB7" s="40" t="s">
        <v>45</v>
      </c>
      <c r="AC7" s="40" t="s">
        <v>45</v>
      </c>
      <c r="AD7" s="40" t="s">
        <v>45</v>
      </c>
      <c r="AE7" s="40" t="s">
        <v>45</v>
      </c>
      <c r="AF7" s="40">
        <v>3</v>
      </c>
      <c r="AG7" s="41" t="s">
        <v>45</v>
      </c>
      <c r="AH7" s="40">
        <v>7</v>
      </c>
      <c r="AI7" s="40">
        <v>4</v>
      </c>
      <c r="AJ7" s="41">
        <v>4</v>
      </c>
      <c r="AK7" s="43" t="s">
        <v>377</v>
      </c>
      <c r="AL7" s="43" t="s">
        <v>103</v>
      </c>
      <c r="AM7" s="44">
        <f t="shared" si="1"/>
        <v>-1.5412097992714724</v>
      </c>
      <c r="AN7" s="44">
        <f t="shared" si="2"/>
        <v>0.9848223365644887</v>
      </c>
      <c r="AO7" s="45">
        <f t="shared" si="3"/>
        <v>0</v>
      </c>
      <c r="AP7" s="46">
        <f t="shared" si="4"/>
        <v>0</v>
      </c>
      <c r="AQ7" s="44">
        <f>($AM$3*AM7+$AN$3*AN7+$AO$3*AO7+$AP$3*AP7)+$I$3*VLOOKUP(I7,COND!$A$2:$E$7,4,FALSE)+$J$3*VLOOKUP(J7,COND!$A$2:$C$7,2,FALSE)+$K$3*VLOOKUP(K7,COND!$A$2:$C$7,3,FALSE)+IF(AND($B$2&gt;0,$E7&lt;20),$B$2*25,0)</f>
        <v>61.663747058846717</v>
      </c>
      <c r="AR7" s="47">
        <f t="shared" si="5"/>
        <v>2.6924192233197513</v>
      </c>
      <c r="AS7" s="45" t="str">
        <f t="shared" si="6"/>
        <v>CF</v>
      </c>
      <c r="AT7" s="45">
        <v>1</v>
      </c>
      <c r="AU7" s="45">
        <v>3</v>
      </c>
      <c r="AV7" s="45">
        <v>3</v>
      </c>
      <c r="AW7" s="45" t="str">
        <f t="shared" si="7"/>
        <v>Likely</v>
      </c>
      <c r="AX7" s="45"/>
      <c r="AY7" s="45">
        <f>INDEX(Table5[[#All],[Ovr]],MATCH(Batters[[#This Row],[PID]],Table5[[#All],[PID]],0))</f>
        <v>10</v>
      </c>
      <c r="AZ7" s="45" t="str">
        <f>INDEX(Table5[[#All],[Rnd]],MATCH(Batters[[#This Row],[PID]],Table5[[#All],[PID]],0))</f>
        <v>1</v>
      </c>
      <c r="BA7" s="45">
        <f>INDEX(Table5[[#All],[Pick]],MATCH(Batters[[#This Row],[PID]],Table5[[#All],[PID]],0))</f>
        <v>10</v>
      </c>
      <c r="BB7" s="45" t="str">
        <f>INDEX(Table5[[#All],[Team]],MATCH(Batters[[#This Row],[PID]],Table5[[#All],[PID]],0))</f>
        <v>Gloucester Fishermen</v>
      </c>
    </row>
    <row r="8" spans="1:54" ht="15" customHeight="1" x14ac:dyDescent="0.3">
      <c r="A8" s="40">
        <v>20967</v>
      </c>
      <c r="B8" s="40" t="s">
        <v>69</v>
      </c>
      <c r="C8" s="40" t="s">
        <v>283</v>
      </c>
      <c r="D8" s="40" t="s">
        <v>995</v>
      </c>
      <c r="E8" s="40">
        <v>17</v>
      </c>
      <c r="F8" s="40" t="s">
        <v>42</v>
      </c>
      <c r="G8" s="40" t="s">
        <v>42</v>
      </c>
      <c r="H8" s="41" t="s">
        <v>549</v>
      </c>
      <c r="I8" s="64" t="s">
        <v>43</v>
      </c>
      <c r="J8" s="65" t="s">
        <v>43</v>
      </c>
      <c r="K8" s="66" t="s">
        <v>47</v>
      </c>
      <c r="L8" s="40">
        <v>2</v>
      </c>
      <c r="M8" s="40">
        <v>4</v>
      </c>
      <c r="N8" s="40">
        <v>4</v>
      </c>
      <c r="O8" s="40">
        <v>2</v>
      </c>
      <c r="P8" s="41">
        <v>2</v>
      </c>
      <c r="Q8" s="40">
        <v>6</v>
      </c>
      <c r="R8" s="40">
        <v>8</v>
      </c>
      <c r="S8" s="40">
        <v>7</v>
      </c>
      <c r="T8" s="40">
        <v>4</v>
      </c>
      <c r="U8" s="41">
        <v>5</v>
      </c>
      <c r="V8" s="40">
        <v>7</v>
      </c>
      <c r="W8" s="40">
        <v>6</v>
      </c>
      <c r="X8" s="40">
        <v>1</v>
      </c>
      <c r="Y8" s="41">
        <v>1</v>
      </c>
      <c r="Z8" s="40" t="s">
        <v>45</v>
      </c>
      <c r="AA8" s="40" t="s">
        <v>45</v>
      </c>
      <c r="AB8" s="40" t="s">
        <v>45</v>
      </c>
      <c r="AC8" s="40">
        <v>2</v>
      </c>
      <c r="AD8" s="40" t="s">
        <v>45</v>
      </c>
      <c r="AE8" s="40" t="s">
        <v>45</v>
      </c>
      <c r="AF8" s="40" t="s">
        <v>45</v>
      </c>
      <c r="AG8" s="41" t="s">
        <v>45</v>
      </c>
      <c r="AH8" s="40">
        <v>8</v>
      </c>
      <c r="AI8" s="40">
        <v>7</v>
      </c>
      <c r="AJ8" s="41">
        <v>5</v>
      </c>
      <c r="AK8" s="43" t="s">
        <v>988</v>
      </c>
      <c r="AL8" s="43" t="s">
        <v>103</v>
      </c>
      <c r="AM8" s="44">
        <f t="shared" si="1"/>
        <v>-1.2296975028704178</v>
      </c>
      <c r="AN8" s="44">
        <f t="shared" si="2"/>
        <v>0.81341796195721205</v>
      </c>
      <c r="AO8" s="45">
        <f t="shared" si="3"/>
        <v>2</v>
      </c>
      <c r="AP8" s="46">
        <f t="shared" si="4"/>
        <v>0</v>
      </c>
      <c r="AQ8" s="44">
        <f>($AM$3*AM8+$AN$3*AN8+$AO$3*AO8+$AP$3*AP8)+$I$3*VLOOKUP(I8,COND!$A$2:$E$7,4,FALSE)+$J$3*VLOOKUP(J8,COND!$A$2:$C$7,2,FALSE)+$K$3*VLOOKUP(K8,COND!$A$2:$C$7,3,FALSE)+IF(AND($B$2&gt;0,$E8&lt;20),$B$2*25,0)</f>
        <v>60.271379126532835</v>
      </c>
      <c r="AR8" s="47">
        <f t="shared" si="5"/>
        <v>2.4891779083065804</v>
      </c>
      <c r="AS8" s="45" t="str">
        <f t="shared" si="6"/>
        <v>3B</v>
      </c>
      <c r="AT8" s="45">
        <v>1</v>
      </c>
      <c r="AU8" s="45">
        <v>4</v>
      </c>
      <c r="AV8" s="45">
        <v>4</v>
      </c>
      <c r="AW8" s="45" t="str">
        <f t="shared" si="7"/>
        <v>Possible</v>
      </c>
      <c r="AX8" s="45"/>
      <c r="AY8" s="45">
        <f>INDEX(Table5[[#All],[Ovr]],MATCH(Batters[[#This Row],[PID]],Table5[[#All],[PID]],0))</f>
        <v>18</v>
      </c>
      <c r="AZ8" s="45" t="str">
        <f>INDEX(Table5[[#All],[Rnd]],MATCH(Batters[[#This Row],[PID]],Table5[[#All],[PID]],0))</f>
        <v>1</v>
      </c>
      <c r="BA8" s="45">
        <f>INDEX(Table5[[#All],[Pick]],MATCH(Batters[[#This Row],[PID]],Table5[[#All],[PID]],0))</f>
        <v>18</v>
      </c>
      <c r="BB8" s="45" t="str">
        <f>INDEX(Table5[[#All],[Team]],MATCH(Batters[[#This Row],[PID]],Table5[[#All],[PID]],0))</f>
        <v>Duluth Warriors</v>
      </c>
    </row>
    <row r="9" spans="1:54" ht="15" customHeight="1" x14ac:dyDescent="0.3">
      <c r="A9" s="40">
        <v>10479</v>
      </c>
      <c r="B9" s="40" t="s">
        <v>71</v>
      </c>
      <c r="C9" s="40" t="s">
        <v>1064</v>
      </c>
      <c r="D9" s="40" t="s">
        <v>1065</v>
      </c>
      <c r="E9" s="40">
        <v>17</v>
      </c>
      <c r="F9" s="40" t="s">
        <v>53</v>
      </c>
      <c r="G9" s="40" t="s">
        <v>42</v>
      </c>
      <c r="H9" s="41" t="s">
        <v>550</v>
      </c>
      <c r="I9" s="64" t="s">
        <v>43</v>
      </c>
      <c r="J9" s="65" t="s">
        <v>43</v>
      </c>
      <c r="K9" s="66" t="s">
        <v>43</v>
      </c>
      <c r="L9" s="40">
        <v>2</v>
      </c>
      <c r="M9" s="40">
        <v>5</v>
      </c>
      <c r="N9" s="40">
        <v>2</v>
      </c>
      <c r="O9" s="40">
        <v>3</v>
      </c>
      <c r="P9" s="41">
        <v>5</v>
      </c>
      <c r="Q9" s="40">
        <v>6</v>
      </c>
      <c r="R9" s="40">
        <v>7</v>
      </c>
      <c r="S9" s="40">
        <v>4</v>
      </c>
      <c r="T9" s="40">
        <v>6</v>
      </c>
      <c r="U9" s="41">
        <v>8</v>
      </c>
      <c r="V9" s="40">
        <v>4</v>
      </c>
      <c r="W9" s="40">
        <v>3</v>
      </c>
      <c r="X9" s="40">
        <v>1</v>
      </c>
      <c r="Y9" s="41">
        <v>1</v>
      </c>
      <c r="Z9" s="40" t="s">
        <v>45</v>
      </c>
      <c r="AA9" s="40" t="s">
        <v>45</v>
      </c>
      <c r="AB9" s="40">
        <v>1</v>
      </c>
      <c r="AC9" s="40" t="s">
        <v>45</v>
      </c>
      <c r="AD9" s="40" t="s">
        <v>45</v>
      </c>
      <c r="AE9" s="40" t="s">
        <v>45</v>
      </c>
      <c r="AF9" s="40" t="s">
        <v>45</v>
      </c>
      <c r="AG9" s="41" t="s">
        <v>45</v>
      </c>
      <c r="AH9" s="40">
        <v>8</v>
      </c>
      <c r="AI9" s="40">
        <v>5</v>
      </c>
      <c r="AJ9" s="41">
        <v>3</v>
      </c>
      <c r="AK9" s="43" t="s">
        <v>528</v>
      </c>
      <c r="AL9" s="43" t="s">
        <v>103</v>
      </c>
      <c r="AM9" s="44">
        <f t="shared" si="1"/>
        <v>-1.1350020418386859</v>
      </c>
      <c r="AN9" s="44">
        <f t="shared" si="2"/>
        <v>0.81264171973721644</v>
      </c>
      <c r="AO9" s="45">
        <f t="shared" si="3"/>
        <v>1</v>
      </c>
      <c r="AP9" s="46">
        <f t="shared" si="4"/>
        <v>0</v>
      </c>
      <c r="AQ9" s="44">
        <f>($AM$3*AM9+$AN$3*AN9+$AO$3*AO9+$AP$3*AP9)+$I$3*VLOOKUP(I9,COND!$A$2:$E$7,4,FALSE)+$J$3*VLOOKUP(J9,COND!$A$2:$C$7,2,FALSE)+$K$3*VLOOKUP(K9,COND!$A$2:$C$7,3,FALSE)+IF(AND($B$2&gt;0,$E9&lt;20),$B$2*25,0)</f>
        <v>59.804867099329392</v>
      </c>
      <c r="AR9" s="47">
        <f t="shared" si="5"/>
        <v>2.4210820295680331</v>
      </c>
      <c r="AS9" s="45" t="str">
        <f t="shared" si="6"/>
        <v>2B</v>
      </c>
      <c r="AT9" s="45">
        <v>1</v>
      </c>
      <c r="AU9" s="45">
        <v>5</v>
      </c>
      <c r="AV9" s="45">
        <v>5</v>
      </c>
      <c r="AW9" s="45" t="str">
        <f t="shared" si="7"/>
        <v>Possible</v>
      </c>
      <c r="AX9" s="45"/>
      <c r="AY9" s="45">
        <f>INDEX(Table5[[#All],[Ovr]],MATCH(Batters[[#This Row],[PID]],Table5[[#All],[PID]],0))</f>
        <v>34</v>
      </c>
      <c r="AZ9" s="45" t="str">
        <f>INDEX(Table5[[#All],[Rnd]],MATCH(Batters[[#This Row],[PID]],Table5[[#All],[PID]],0))</f>
        <v>S1</v>
      </c>
      <c r="BA9" s="45">
        <f>INDEX(Table5[[#All],[Pick]],MATCH(Batters[[#This Row],[PID]],Table5[[#All],[PID]],0))</f>
        <v>1</v>
      </c>
      <c r="BB9" s="45" t="str">
        <f>INDEX(Table5[[#All],[Team]],MATCH(Batters[[#This Row],[PID]],Table5[[#All],[PID]],0))</f>
        <v>Amsterdam Lions</v>
      </c>
    </row>
    <row r="10" spans="1:54" ht="15" customHeight="1" x14ac:dyDescent="0.3">
      <c r="A10" s="40">
        <v>13255</v>
      </c>
      <c r="B10" s="40" t="s">
        <v>86</v>
      </c>
      <c r="C10" s="40" t="s">
        <v>1005</v>
      </c>
      <c r="D10" s="40" t="s">
        <v>727</v>
      </c>
      <c r="E10" s="40">
        <v>17</v>
      </c>
      <c r="F10" s="40" t="s">
        <v>42</v>
      </c>
      <c r="G10" s="40" t="s">
        <v>42</v>
      </c>
      <c r="H10" s="41" t="s">
        <v>549</v>
      </c>
      <c r="I10" s="64" t="s">
        <v>47</v>
      </c>
      <c r="J10" s="65" t="s">
        <v>47</v>
      </c>
      <c r="K10" s="66" t="s">
        <v>47</v>
      </c>
      <c r="L10" s="40">
        <v>2</v>
      </c>
      <c r="M10" s="40">
        <v>4</v>
      </c>
      <c r="N10" s="40">
        <v>4</v>
      </c>
      <c r="O10" s="40">
        <v>4</v>
      </c>
      <c r="P10" s="41">
        <v>1</v>
      </c>
      <c r="Q10" s="40">
        <v>4</v>
      </c>
      <c r="R10" s="40">
        <v>5</v>
      </c>
      <c r="S10" s="40">
        <v>7</v>
      </c>
      <c r="T10" s="40">
        <v>6</v>
      </c>
      <c r="U10" s="41">
        <v>4</v>
      </c>
      <c r="V10" s="40">
        <v>3</v>
      </c>
      <c r="W10" s="40">
        <v>3</v>
      </c>
      <c r="X10" s="40">
        <v>6</v>
      </c>
      <c r="Y10" s="41">
        <v>6</v>
      </c>
      <c r="Z10" s="40">
        <v>2</v>
      </c>
      <c r="AA10" s="40" t="s">
        <v>45</v>
      </c>
      <c r="AB10" s="40" t="s">
        <v>45</v>
      </c>
      <c r="AC10" s="40" t="s">
        <v>45</v>
      </c>
      <c r="AD10" s="40" t="s">
        <v>45</v>
      </c>
      <c r="AE10" s="40" t="s">
        <v>45</v>
      </c>
      <c r="AF10" s="40" t="s">
        <v>45</v>
      </c>
      <c r="AG10" s="41" t="s">
        <v>45</v>
      </c>
      <c r="AH10" s="40">
        <v>2</v>
      </c>
      <c r="AI10" s="40">
        <v>2</v>
      </c>
      <c r="AJ10" s="41">
        <v>3</v>
      </c>
      <c r="AK10" s="43" t="s">
        <v>758</v>
      </c>
      <c r="AL10" s="43" t="s">
        <v>103</v>
      </c>
      <c r="AM10" s="44">
        <f t="shared" si="1"/>
        <v>-1.0902947426683391</v>
      </c>
      <c r="AN10" s="44">
        <f t="shared" si="2"/>
        <v>0.15452941089783068</v>
      </c>
      <c r="AO10" s="45">
        <f t="shared" si="3"/>
        <v>0</v>
      </c>
      <c r="AP10" s="46">
        <f t="shared" si="4"/>
        <v>1.1000000000000001</v>
      </c>
      <c r="AQ10" s="44">
        <f>($AM$3*AM10+$AN$3*AN10+$AO$3*AO10+$AP$3*AP10)+$I$3*VLOOKUP(I10,COND!$A$2:$E$7,4,FALSE)+$J$3*VLOOKUP(J10,COND!$A$2:$C$7,2,FALSE)+$K$3*VLOOKUP(K10,COND!$A$2:$C$7,3,FALSE)+IF(AND($B$2&gt;0,$E10&lt;20),$B$2*25,0)</f>
        <v>53.670323456507134</v>
      </c>
      <c r="AR10" s="47">
        <f t="shared" si="5"/>
        <v>1.5256342904773148</v>
      </c>
      <c r="AS10" s="45" t="str">
        <f t="shared" si="6"/>
        <v>C</v>
      </c>
      <c r="AT10" s="45">
        <v>1</v>
      </c>
      <c r="AU10" s="45">
        <v>6</v>
      </c>
      <c r="AV10" s="45">
        <v>6</v>
      </c>
      <c r="AW10" s="45" t="str">
        <f t="shared" si="7"/>
        <v>Possible</v>
      </c>
      <c r="AX10" s="45"/>
      <c r="AY10" s="45">
        <f>INDEX(Table5[[#All],[Ovr]],MATCH(Batters[[#This Row],[PID]],Table5[[#All],[PID]],0))</f>
        <v>36</v>
      </c>
      <c r="AZ10" s="45" t="str">
        <f>INDEX(Table5[[#All],[Rnd]],MATCH(Batters[[#This Row],[PID]],Table5[[#All],[PID]],0))</f>
        <v>S1</v>
      </c>
      <c r="BA10" s="45">
        <f>INDEX(Table5[[#All],[Pick]],MATCH(Batters[[#This Row],[PID]],Table5[[#All],[PID]],0))</f>
        <v>3</v>
      </c>
      <c r="BB10" s="45" t="str">
        <f>INDEX(Table5[[#All],[Team]],MATCH(Batters[[#This Row],[PID]],Table5[[#All],[PID]],0))</f>
        <v>Amsterdam Lions</v>
      </c>
    </row>
    <row r="11" spans="1:54" ht="15" customHeight="1" x14ac:dyDescent="0.3">
      <c r="A11" s="40">
        <v>10522</v>
      </c>
      <c r="B11" s="40" t="s">
        <v>87</v>
      </c>
      <c r="C11" s="40" t="s">
        <v>968</v>
      </c>
      <c r="D11" s="40" t="s">
        <v>622</v>
      </c>
      <c r="E11" s="40">
        <v>17</v>
      </c>
      <c r="F11" s="40" t="s">
        <v>53</v>
      </c>
      <c r="G11" s="40" t="s">
        <v>42</v>
      </c>
      <c r="H11" s="41" t="s">
        <v>549</v>
      </c>
      <c r="I11" s="64" t="s">
        <v>43</v>
      </c>
      <c r="J11" s="65" t="s">
        <v>47</v>
      </c>
      <c r="K11" s="66" t="s">
        <v>43</v>
      </c>
      <c r="L11" s="40">
        <v>2</v>
      </c>
      <c r="M11" s="40">
        <v>4</v>
      </c>
      <c r="N11" s="40">
        <v>3</v>
      </c>
      <c r="O11" s="40">
        <v>3</v>
      </c>
      <c r="P11" s="41">
        <v>4</v>
      </c>
      <c r="Q11" s="40">
        <v>6</v>
      </c>
      <c r="R11" s="40">
        <v>7</v>
      </c>
      <c r="S11" s="40">
        <v>6</v>
      </c>
      <c r="T11" s="40">
        <v>5</v>
      </c>
      <c r="U11" s="41">
        <v>7</v>
      </c>
      <c r="V11" s="40">
        <v>7</v>
      </c>
      <c r="W11" s="40">
        <v>6</v>
      </c>
      <c r="X11" s="40">
        <v>1</v>
      </c>
      <c r="Y11" s="41">
        <v>1</v>
      </c>
      <c r="Z11" s="40" t="s">
        <v>45</v>
      </c>
      <c r="AA11" s="40">
        <v>5</v>
      </c>
      <c r="AB11" s="40" t="s">
        <v>45</v>
      </c>
      <c r="AC11" s="40">
        <v>1</v>
      </c>
      <c r="AD11" s="40" t="s">
        <v>45</v>
      </c>
      <c r="AE11" s="40" t="s">
        <v>45</v>
      </c>
      <c r="AF11" s="40" t="s">
        <v>45</v>
      </c>
      <c r="AG11" s="41" t="s">
        <v>45</v>
      </c>
      <c r="AH11" s="40">
        <v>9</v>
      </c>
      <c r="AI11" s="40">
        <v>7</v>
      </c>
      <c r="AJ11" s="41">
        <v>6</v>
      </c>
      <c r="AK11" s="43" t="s">
        <v>991</v>
      </c>
      <c r="AL11" s="43" t="s">
        <v>103</v>
      </c>
      <c r="AM11" s="44">
        <f t="shared" si="1"/>
        <v>-1.1430167672505713</v>
      </c>
      <c r="AN11" s="44">
        <f t="shared" si="2"/>
        <v>0.84903881795835479</v>
      </c>
      <c r="AO11" s="45">
        <f t="shared" si="3"/>
        <v>2</v>
      </c>
      <c r="AP11" s="46">
        <f t="shared" si="4"/>
        <v>0</v>
      </c>
      <c r="AQ11" s="44">
        <f>($AM$3*AM11+$AN$3*AN11+$AO$3*AO11+$AP$3*AP11)+$I$3*VLOOKUP(I11,COND!$A$2:$E$7,4,FALSE)+$J$3*VLOOKUP(J11,COND!$A$2:$C$7,2,FALSE)+$K$3*VLOOKUP(K11,COND!$A$2:$C$7,3,FALSE)+IF(AND($B$2&gt;0,$E11&lt;20),$B$2*25,0)</f>
        <v>60.707497472108535</v>
      </c>
      <c r="AR11" s="47">
        <f t="shared" si="5"/>
        <v>2.5528372787927087</v>
      </c>
      <c r="AS11" s="45" t="str">
        <f t="shared" si="6"/>
        <v>1B</v>
      </c>
      <c r="AT11" s="45">
        <v>1</v>
      </c>
      <c r="AU11" s="45">
        <v>7</v>
      </c>
      <c r="AV11" s="45">
        <v>7</v>
      </c>
      <c r="AW11" s="45" t="str">
        <f t="shared" si="7"/>
        <v>Possible</v>
      </c>
      <c r="AX11" s="45"/>
      <c r="AY11" s="45">
        <f>INDEX(Table5[[#All],[Ovr]],MATCH(Batters[[#This Row],[PID]],Table5[[#All],[PID]],0))</f>
        <v>39</v>
      </c>
      <c r="AZ11" s="45" t="str">
        <f>INDEX(Table5[[#All],[Rnd]],MATCH(Batters[[#This Row],[PID]],Table5[[#All],[PID]],0))</f>
        <v>2</v>
      </c>
      <c r="BA11" s="45">
        <f>INDEX(Table5[[#All],[Pick]],MATCH(Batters[[#This Row],[PID]],Table5[[#All],[PID]],0))</f>
        <v>3</v>
      </c>
      <c r="BB11" s="45" t="str">
        <f>INDEX(Table5[[#All],[Team]],MATCH(Batters[[#This Row],[PID]],Table5[[#All],[PID]],0))</f>
        <v>Okinawa Shisa</v>
      </c>
    </row>
    <row r="12" spans="1:54" ht="15" customHeight="1" x14ac:dyDescent="0.3">
      <c r="A12" s="40">
        <v>13434</v>
      </c>
      <c r="B12" s="40" t="s">
        <v>66</v>
      </c>
      <c r="C12" s="40" t="s">
        <v>698</v>
      </c>
      <c r="D12" s="40" t="s">
        <v>1071</v>
      </c>
      <c r="E12" s="40">
        <v>18</v>
      </c>
      <c r="F12" s="40" t="s">
        <v>42</v>
      </c>
      <c r="G12" s="40" t="s">
        <v>42</v>
      </c>
      <c r="H12" s="41" t="s">
        <v>550</v>
      </c>
      <c r="I12" s="64" t="s">
        <v>44</v>
      </c>
      <c r="J12" s="65" t="s">
        <v>43</v>
      </c>
      <c r="K12" s="66" t="s">
        <v>43</v>
      </c>
      <c r="L12" s="40">
        <v>2</v>
      </c>
      <c r="M12" s="40">
        <v>3</v>
      </c>
      <c r="N12" s="40">
        <v>4</v>
      </c>
      <c r="O12" s="40">
        <v>4</v>
      </c>
      <c r="P12" s="41">
        <v>2</v>
      </c>
      <c r="Q12" s="40">
        <v>5</v>
      </c>
      <c r="R12" s="40">
        <v>4</v>
      </c>
      <c r="S12" s="40">
        <v>6</v>
      </c>
      <c r="T12" s="40">
        <v>6</v>
      </c>
      <c r="U12" s="41">
        <v>5</v>
      </c>
      <c r="V12" s="40">
        <v>2</v>
      </c>
      <c r="W12" s="40">
        <v>6</v>
      </c>
      <c r="X12" s="40">
        <v>1</v>
      </c>
      <c r="Y12" s="41">
        <v>1</v>
      </c>
      <c r="Z12" s="40" t="s">
        <v>45</v>
      </c>
      <c r="AA12" s="40" t="s">
        <v>45</v>
      </c>
      <c r="AB12" s="40" t="s">
        <v>45</v>
      </c>
      <c r="AC12" s="40" t="s">
        <v>45</v>
      </c>
      <c r="AD12" s="40" t="s">
        <v>45</v>
      </c>
      <c r="AE12" s="40" t="s">
        <v>45</v>
      </c>
      <c r="AF12" s="40" t="s">
        <v>45</v>
      </c>
      <c r="AG12" s="41">
        <v>3</v>
      </c>
      <c r="AH12" s="40">
        <v>3</v>
      </c>
      <c r="AI12" s="40">
        <v>4</v>
      </c>
      <c r="AJ12" s="41">
        <v>2</v>
      </c>
      <c r="AK12" s="43" t="s">
        <v>497</v>
      </c>
      <c r="AL12" s="43" t="s">
        <v>103</v>
      </c>
      <c r="AM12" s="44">
        <f t="shared" si="1"/>
        <v>-1.1013382824699594</v>
      </c>
      <c r="AN12" s="44">
        <f t="shared" si="2"/>
        <v>0.38298021327498383</v>
      </c>
      <c r="AO12" s="45">
        <f t="shared" si="3"/>
        <v>0</v>
      </c>
      <c r="AP12" s="46">
        <f t="shared" si="4"/>
        <v>0</v>
      </c>
      <c r="AQ12" s="44">
        <f>($AM$3*AM12+$AN$3*AN12+$AO$3*AO12+$AP$3*AP12)+$I$3*VLOOKUP(I12,COND!$A$2:$E$7,4,FALSE)+$J$3*VLOOKUP(J12,COND!$A$2:$C$7,2,FALSE)+$K$3*VLOOKUP(K12,COND!$A$2:$C$7,3,FALSE)+IF(AND($B$2&gt;0,$E12&lt;20),$B$2*25,0)</f>
        <v>54.335628731052807</v>
      </c>
      <c r="AR12" s="47">
        <f t="shared" si="5"/>
        <v>1.6227476437410262</v>
      </c>
      <c r="AS12" s="45" t="str">
        <f t="shared" si="6"/>
        <v>RF</v>
      </c>
      <c r="AT12" s="45">
        <v>1</v>
      </c>
      <c r="AU12" s="45">
        <v>8</v>
      </c>
      <c r="AV12" s="45">
        <v>8</v>
      </c>
      <c r="AW12" s="45" t="str">
        <f t="shared" si="7"/>
        <v>Possible</v>
      </c>
      <c r="AX12" s="45"/>
      <c r="AY12" s="45">
        <f>INDEX(Table5[[#All],[Ovr]],MATCH(Batters[[#This Row],[PID]],Table5[[#All],[PID]],0))</f>
        <v>101</v>
      </c>
      <c r="AZ12" s="45" t="str">
        <f>INDEX(Table5[[#All],[Rnd]],MATCH(Batters[[#This Row],[PID]],Table5[[#All],[PID]],0))</f>
        <v>3</v>
      </c>
      <c r="BA12" s="45">
        <f>INDEX(Table5[[#All],[Pick]],MATCH(Batters[[#This Row],[PID]],Table5[[#All],[PID]],0))</f>
        <v>29</v>
      </c>
      <c r="BB12" s="45" t="str">
        <f>INDEX(Table5[[#All],[Team]],MATCH(Batters[[#This Row],[PID]],Table5[[#All],[PID]],0))</f>
        <v>Amsterdam Lions</v>
      </c>
    </row>
    <row r="13" spans="1:54" ht="15" customHeight="1" x14ac:dyDescent="0.3">
      <c r="A13" s="40">
        <v>12132</v>
      </c>
      <c r="B13" s="40" t="s">
        <v>66</v>
      </c>
      <c r="C13" s="40" t="s">
        <v>1060</v>
      </c>
      <c r="D13" s="40" t="s">
        <v>1061</v>
      </c>
      <c r="E13" s="40">
        <v>17</v>
      </c>
      <c r="F13" s="40" t="s">
        <v>53</v>
      </c>
      <c r="G13" s="40" t="s">
        <v>53</v>
      </c>
      <c r="H13" s="41" t="s">
        <v>550</v>
      </c>
      <c r="I13" s="64" t="s">
        <v>44</v>
      </c>
      <c r="J13" s="65" t="s">
        <v>43</v>
      </c>
      <c r="K13" s="66" t="s">
        <v>43</v>
      </c>
      <c r="L13" s="40">
        <v>2</v>
      </c>
      <c r="M13" s="40">
        <v>6</v>
      </c>
      <c r="N13" s="40">
        <v>5</v>
      </c>
      <c r="O13" s="40">
        <v>4</v>
      </c>
      <c r="P13" s="41">
        <v>2</v>
      </c>
      <c r="Q13" s="40">
        <v>5</v>
      </c>
      <c r="R13" s="40">
        <v>8</v>
      </c>
      <c r="S13" s="40">
        <v>7</v>
      </c>
      <c r="T13" s="40">
        <v>5</v>
      </c>
      <c r="U13" s="41">
        <v>4</v>
      </c>
      <c r="V13" s="40">
        <v>4</v>
      </c>
      <c r="W13" s="40">
        <v>7</v>
      </c>
      <c r="X13" s="40">
        <v>1</v>
      </c>
      <c r="Y13" s="41">
        <v>1</v>
      </c>
      <c r="Z13" s="40" t="s">
        <v>45</v>
      </c>
      <c r="AA13" s="40" t="s">
        <v>45</v>
      </c>
      <c r="AB13" s="40" t="s">
        <v>45</v>
      </c>
      <c r="AC13" s="40" t="s">
        <v>45</v>
      </c>
      <c r="AD13" s="40" t="s">
        <v>45</v>
      </c>
      <c r="AE13" s="40" t="s">
        <v>45</v>
      </c>
      <c r="AF13" s="40" t="s">
        <v>45</v>
      </c>
      <c r="AG13" s="41" t="s">
        <v>45</v>
      </c>
      <c r="AH13" s="40">
        <v>1</v>
      </c>
      <c r="AI13" s="40">
        <v>5</v>
      </c>
      <c r="AJ13" s="41">
        <v>4</v>
      </c>
      <c r="AK13" s="43" t="s">
        <v>586</v>
      </c>
      <c r="AL13" s="43" t="s">
        <v>103</v>
      </c>
      <c r="AM13" s="44">
        <f t="shared" si="1"/>
        <v>-0.86509714958994743</v>
      </c>
      <c r="AN13" s="44">
        <f t="shared" si="2"/>
        <v>0.54055533594703487</v>
      </c>
      <c r="AO13" s="45">
        <f t="shared" si="3"/>
        <v>0</v>
      </c>
      <c r="AP13" s="46">
        <f t="shared" si="4"/>
        <v>0</v>
      </c>
      <c r="AQ13" s="44">
        <f>($AM$3*AM13+$AN$3*AN13+$AO$3*AO13+$AP$3*AP13)+$I$3*VLOOKUP(I13,COND!$A$2:$E$7,4,FALSE)+$J$3*VLOOKUP(J13,COND!$A$2:$C$7,2,FALSE)+$K$3*VLOOKUP(K13,COND!$A$2:$C$7,3,FALSE)+IF(AND($B$2&gt;0,$E13&lt;20),$B$2*25,0)</f>
        <v>56.250154316405421</v>
      </c>
      <c r="AR13" s="47">
        <f t="shared" si="5"/>
        <v>1.9022073243060542</v>
      </c>
      <c r="AS13" s="45" t="str">
        <f t="shared" si="6"/>
        <v>DH</v>
      </c>
      <c r="AT13" s="45">
        <v>1</v>
      </c>
      <c r="AU13" s="45">
        <v>9</v>
      </c>
      <c r="AV13" s="45">
        <v>9</v>
      </c>
      <c r="AW13" s="45" t="str">
        <f t="shared" si="7"/>
        <v>Possible</v>
      </c>
      <c r="AX13" s="45"/>
      <c r="AY13" s="45">
        <f>INDEX(Table5[[#All],[Ovr]],MATCH(Batters[[#This Row],[PID]],Table5[[#All],[PID]],0))</f>
        <v>41</v>
      </c>
      <c r="AZ13" s="45" t="str">
        <f>INDEX(Table5[[#All],[Rnd]],MATCH(Batters[[#This Row],[PID]],Table5[[#All],[PID]],0))</f>
        <v>2</v>
      </c>
      <c r="BA13" s="45">
        <f>INDEX(Table5[[#All],[Pick]],MATCH(Batters[[#This Row],[PID]],Table5[[#All],[PID]],0))</f>
        <v>5</v>
      </c>
      <c r="BB13" s="45" t="str">
        <f>INDEX(Table5[[#All],[Team]],MATCH(Batters[[#This Row],[PID]],Table5[[#All],[PID]],0))</f>
        <v>Tempe Knights</v>
      </c>
    </row>
    <row r="14" spans="1:54" ht="15" customHeight="1" x14ac:dyDescent="0.3">
      <c r="A14" s="40">
        <v>12038</v>
      </c>
      <c r="B14" s="40" t="s">
        <v>72</v>
      </c>
      <c r="C14" s="40" t="s">
        <v>611</v>
      </c>
      <c r="D14" s="40" t="s">
        <v>978</v>
      </c>
      <c r="E14" s="40">
        <v>17</v>
      </c>
      <c r="F14" s="40" t="s">
        <v>62</v>
      </c>
      <c r="G14" s="40" t="s">
        <v>42</v>
      </c>
      <c r="H14" s="41" t="s">
        <v>636</v>
      </c>
      <c r="I14" s="64" t="s">
        <v>43</v>
      </c>
      <c r="J14" s="65" t="s">
        <v>47</v>
      </c>
      <c r="K14" s="66" t="s">
        <v>43</v>
      </c>
      <c r="L14" s="40">
        <v>2</v>
      </c>
      <c r="M14" s="40">
        <v>5</v>
      </c>
      <c r="N14" s="40">
        <v>5</v>
      </c>
      <c r="O14" s="40">
        <v>3</v>
      </c>
      <c r="P14" s="41">
        <v>4</v>
      </c>
      <c r="Q14" s="40">
        <v>5</v>
      </c>
      <c r="R14" s="40">
        <v>7</v>
      </c>
      <c r="S14" s="40">
        <v>8</v>
      </c>
      <c r="T14" s="40">
        <v>4</v>
      </c>
      <c r="U14" s="41">
        <v>6</v>
      </c>
      <c r="V14" s="40">
        <v>4</v>
      </c>
      <c r="W14" s="40">
        <v>6</v>
      </c>
      <c r="X14" s="40">
        <v>1</v>
      </c>
      <c r="Y14" s="41">
        <v>1</v>
      </c>
      <c r="Z14" s="40" t="s">
        <v>45</v>
      </c>
      <c r="AA14" s="40" t="s">
        <v>45</v>
      </c>
      <c r="AB14" s="40" t="s">
        <v>45</v>
      </c>
      <c r="AC14" s="40" t="s">
        <v>45</v>
      </c>
      <c r="AD14" s="40">
        <v>5</v>
      </c>
      <c r="AE14" s="40" t="s">
        <v>45</v>
      </c>
      <c r="AF14" s="40">
        <v>2</v>
      </c>
      <c r="AG14" s="41" t="s">
        <v>45</v>
      </c>
      <c r="AH14" s="40">
        <v>7</v>
      </c>
      <c r="AI14" s="40">
        <v>8</v>
      </c>
      <c r="AJ14" s="41">
        <v>6</v>
      </c>
      <c r="AK14" s="43" t="s">
        <v>477</v>
      </c>
      <c r="AL14" s="43" t="s">
        <v>103</v>
      </c>
      <c r="AM14" s="44">
        <f t="shared" si="1"/>
        <v>-0.92583389958406492</v>
      </c>
      <c r="AN14" s="44">
        <f t="shared" si="2"/>
        <v>0.56288007997681877</v>
      </c>
      <c r="AO14" s="45">
        <f t="shared" si="3"/>
        <v>2</v>
      </c>
      <c r="AP14" s="46">
        <f t="shared" si="4"/>
        <v>1</v>
      </c>
      <c r="AQ14" s="44">
        <f>($AM$3*AM14+$AN$3*AN14+$AO$3*AO14+$AP$3*AP14)+$I$3*VLOOKUP(I14,COND!$A$2:$E$7,4,FALSE)+$J$3*VLOOKUP(J14,COND!$A$2:$C$7,2,FALSE)+$K$3*VLOOKUP(K14,COND!$A$2:$C$7,3,FALSE)+IF(AND($B$2&gt;0,$E14&lt;20),$B$2*25,0)</f>
        <v>58.295310903096748</v>
      </c>
      <c r="AR14" s="47">
        <f t="shared" si="5"/>
        <v>2.200734965197809</v>
      </c>
      <c r="AS14" s="45" t="str">
        <f t="shared" si="6"/>
        <v>SS</v>
      </c>
      <c r="AT14" s="45">
        <v>2</v>
      </c>
      <c r="AU14" s="45">
        <v>10</v>
      </c>
      <c r="AV14" s="45">
        <v>10</v>
      </c>
      <c r="AW14" s="45" t="str">
        <f t="shared" si="7"/>
        <v>Possible</v>
      </c>
      <c r="AX14" s="45"/>
      <c r="AY14" s="45">
        <f>INDEX(Table5[[#All],[Ovr]],MATCH(Batters[[#This Row],[PID]],Table5[[#All],[PID]],0))</f>
        <v>2</v>
      </c>
      <c r="AZ14" s="45" t="str">
        <f>INDEX(Table5[[#All],[Rnd]],MATCH(Batters[[#This Row],[PID]],Table5[[#All],[PID]],0))</f>
        <v>1</v>
      </c>
      <c r="BA14" s="45">
        <f>INDEX(Table5[[#All],[Pick]],MATCH(Batters[[#This Row],[PID]],Table5[[#All],[PID]],0))</f>
        <v>2</v>
      </c>
      <c r="BB14" s="45" t="str">
        <f>INDEX(Table5[[#All],[Team]],MATCH(Batters[[#This Row],[PID]],Table5[[#All],[PID]],0))</f>
        <v>Charleston Statesmen</v>
      </c>
    </row>
    <row r="15" spans="1:54" ht="15" customHeight="1" x14ac:dyDescent="0.3">
      <c r="A15" s="40">
        <v>12905</v>
      </c>
      <c r="B15" s="40" t="s">
        <v>74</v>
      </c>
      <c r="C15" s="40" t="s">
        <v>989</v>
      </c>
      <c r="D15" s="40" t="s">
        <v>990</v>
      </c>
      <c r="E15" s="40">
        <v>17</v>
      </c>
      <c r="F15" s="40" t="s">
        <v>53</v>
      </c>
      <c r="G15" s="40" t="s">
        <v>53</v>
      </c>
      <c r="H15" s="41" t="s">
        <v>549</v>
      </c>
      <c r="I15" s="64" t="s">
        <v>43</v>
      </c>
      <c r="J15" s="65" t="s">
        <v>43</v>
      </c>
      <c r="K15" s="66" t="s">
        <v>44</v>
      </c>
      <c r="L15" s="40">
        <v>2</v>
      </c>
      <c r="M15" s="40">
        <v>5</v>
      </c>
      <c r="N15" s="40">
        <v>4</v>
      </c>
      <c r="O15" s="40">
        <v>4</v>
      </c>
      <c r="P15" s="41">
        <v>1</v>
      </c>
      <c r="Q15" s="40">
        <v>5</v>
      </c>
      <c r="R15" s="40">
        <v>7</v>
      </c>
      <c r="S15" s="40">
        <v>7</v>
      </c>
      <c r="T15" s="40">
        <v>6</v>
      </c>
      <c r="U15" s="41">
        <v>4</v>
      </c>
      <c r="V15" s="40">
        <v>7</v>
      </c>
      <c r="W15" s="40">
        <v>8</v>
      </c>
      <c r="X15" s="40">
        <v>1</v>
      </c>
      <c r="Y15" s="41">
        <v>1</v>
      </c>
      <c r="Z15" s="40" t="s">
        <v>45</v>
      </c>
      <c r="AA15" s="40" t="s">
        <v>45</v>
      </c>
      <c r="AB15" s="40" t="s">
        <v>45</v>
      </c>
      <c r="AC15" s="40" t="s">
        <v>45</v>
      </c>
      <c r="AD15" s="40" t="s">
        <v>45</v>
      </c>
      <c r="AE15" s="40" t="s">
        <v>45</v>
      </c>
      <c r="AF15" s="40">
        <v>3</v>
      </c>
      <c r="AG15" s="41" t="s">
        <v>45</v>
      </c>
      <c r="AH15" s="40">
        <v>8</v>
      </c>
      <c r="AI15" s="40">
        <v>5</v>
      </c>
      <c r="AJ15" s="41">
        <v>3</v>
      </c>
      <c r="AK15" s="43" t="s">
        <v>503</v>
      </c>
      <c r="AL15" s="43" t="s">
        <v>103</v>
      </c>
      <c r="AM15" s="44">
        <f t="shared" si="1"/>
        <v>-1.0392348630496357</v>
      </c>
      <c r="AN15" s="44">
        <f t="shared" si="2"/>
        <v>0.57920500633791239</v>
      </c>
      <c r="AO15" s="45">
        <f t="shared" si="3"/>
        <v>1</v>
      </c>
      <c r="AP15" s="46">
        <f t="shared" si="4"/>
        <v>0</v>
      </c>
      <c r="AQ15" s="44">
        <f>($AM$3*AM15+$AN$3*AN15+$AO$3*AO15+$AP$3*AP15)+$I$3*VLOOKUP(I15,COND!$A$2:$E$7,4,FALSE)+$J$3*VLOOKUP(J15,COND!$A$2:$C$7,2,FALSE)+$K$3*VLOOKUP(K15,COND!$A$2:$C$7,3,FALSE)+IF(AND($B$2&gt;0,$E15&lt;20),$B$2*25,0)</f>
        <v>56.713203256416648</v>
      </c>
      <c r="AR15" s="47">
        <f t="shared" si="5"/>
        <v>1.9697977027536104</v>
      </c>
      <c r="AS15" s="45" t="str">
        <f t="shared" si="6"/>
        <v>CF</v>
      </c>
      <c r="AT15" s="45">
        <v>2</v>
      </c>
      <c r="AU15" s="45">
        <v>11</v>
      </c>
      <c r="AV15" s="45">
        <v>11</v>
      </c>
      <c r="AW15" s="45" t="str">
        <f t="shared" si="7"/>
        <v>Possible</v>
      </c>
      <c r="AX15" s="45"/>
      <c r="AY15" s="45">
        <f>INDEX(Table5[[#All],[Ovr]],MATCH(Batters[[#This Row],[PID]],Table5[[#All],[PID]],0))</f>
        <v>32</v>
      </c>
      <c r="AZ15" s="45" t="str">
        <f>INDEX(Table5[[#All],[Rnd]],MATCH(Batters[[#This Row],[PID]],Table5[[#All],[PID]],0))</f>
        <v>1</v>
      </c>
      <c r="BA15" s="45">
        <f>INDEX(Table5[[#All],[Pick]],MATCH(Batters[[#This Row],[PID]],Table5[[#All],[PID]],0))</f>
        <v>32</v>
      </c>
      <c r="BB15" s="45" t="str">
        <f>INDEX(Table5[[#All],[Team]],MATCH(Batters[[#This Row],[PID]],Table5[[#All],[PID]],0))</f>
        <v>West Virginia Alleghenies</v>
      </c>
    </row>
    <row r="16" spans="1:54" ht="15" customHeight="1" x14ac:dyDescent="0.3">
      <c r="A16" s="40">
        <v>9306</v>
      </c>
      <c r="B16" s="40" t="s">
        <v>50</v>
      </c>
      <c r="C16" s="40" t="s">
        <v>138</v>
      </c>
      <c r="D16" s="40" t="s">
        <v>985</v>
      </c>
      <c r="E16" s="40">
        <v>18</v>
      </c>
      <c r="F16" s="40" t="s">
        <v>42</v>
      </c>
      <c r="G16" s="40" t="s">
        <v>53</v>
      </c>
      <c r="H16" s="41" t="s">
        <v>548</v>
      </c>
      <c r="I16" s="64" t="s">
        <v>43</v>
      </c>
      <c r="J16" s="65" t="s">
        <v>43</v>
      </c>
      <c r="K16" s="66" t="s">
        <v>43</v>
      </c>
      <c r="L16" s="40">
        <v>2</v>
      </c>
      <c r="M16" s="40">
        <v>4</v>
      </c>
      <c r="N16" s="40">
        <v>3</v>
      </c>
      <c r="O16" s="40">
        <v>2</v>
      </c>
      <c r="P16" s="41">
        <v>3</v>
      </c>
      <c r="Q16" s="40">
        <v>6</v>
      </c>
      <c r="R16" s="40">
        <v>7</v>
      </c>
      <c r="S16" s="40">
        <v>8</v>
      </c>
      <c r="T16" s="40">
        <v>5</v>
      </c>
      <c r="U16" s="41">
        <v>6</v>
      </c>
      <c r="V16" s="40">
        <v>6</v>
      </c>
      <c r="W16" s="40">
        <v>8</v>
      </c>
      <c r="X16" s="40">
        <v>1</v>
      </c>
      <c r="Y16" s="41">
        <v>1</v>
      </c>
      <c r="Z16" s="40" t="s">
        <v>45</v>
      </c>
      <c r="AA16" s="40">
        <v>1</v>
      </c>
      <c r="AB16" s="40" t="s">
        <v>45</v>
      </c>
      <c r="AC16" s="40" t="s">
        <v>45</v>
      </c>
      <c r="AD16" s="40" t="s">
        <v>45</v>
      </c>
      <c r="AE16" s="40">
        <v>1</v>
      </c>
      <c r="AF16" s="40" t="s">
        <v>45</v>
      </c>
      <c r="AG16" s="41" t="s">
        <v>45</v>
      </c>
      <c r="AH16" s="40">
        <v>2</v>
      </c>
      <c r="AI16" s="40">
        <v>6</v>
      </c>
      <c r="AJ16" s="41">
        <v>5</v>
      </c>
      <c r="AK16" s="43" t="s">
        <v>376</v>
      </c>
      <c r="AL16" s="43" t="s">
        <v>103</v>
      </c>
      <c r="AM16" s="44">
        <f t="shared" si="1"/>
        <v>-1.272742657077236</v>
      </c>
      <c r="AN16" s="44">
        <f t="shared" si="2"/>
        <v>0.97514546618907449</v>
      </c>
      <c r="AO16" s="45">
        <f t="shared" si="3"/>
        <v>0</v>
      </c>
      <c r="AP16" s="46">
        <f t="shared" si="4"/>
        <v>0</v>
      </c>
      <c r="AQ16" s="44">
        <f>($AM$3*AM16+$AN$3*AN16+$AO$3*AO16+$AP$3*AP16)+$I$3*VLOOKUP(I16,COND!$A$2:$E$7,4,FALSE)+$J$3*VLOOKUP(J16,COND!$A$2:$C$7,2,FALSE)+$K$3*VLOOKUP(K16,COND!$A$2:$C$7,3,FALSE)+IF(AND($B$2&gt;0,$E16&lt;20),$B$2*25,0)</f>
        <v>61.574471328561174</v>
      </c>
      <c r="AR16" s="47">
        <f t="shared" si="5"/>
        <v>2.6793878137326015</v>
      </c>
      <c r="AS16" s="45" t="str">
        <f t="shared" si="6"/>
        <v>LF</v>
      </c>
      <c r="AT16" s="45">
        <v>2</v>
      </c>
      <c r="AU16" s="45">
        <v>12</v>
      </c>
      <c r="AV16" s="45">
        <v>12</v>
      </c>
      <c r="AW16" s="45" t="str">
        <f t="shared" si="7"/>
        <v>Likely</v>
      </c>
      <c r="AX16" s="45"/>
      <c r="AY16" s="45">
        <f>INDEX(Table5[[#All],[Ovr]],MATCH(Batters[[#This Row],[PID]],Table5[[#All],[PID]],0))</f>
        <v>13</v>
      </c>
      <c r="AZ16" s="45" t="str">
        <f>INDEX(Table5[[#All],[Rnd]],MATCH(Batters[[#This Row],[PID]],Table5[[#All],[PID]],0))</f>
        <v>1</v>
      </c>
      <c r="BA16" s="45">
        <f>INDEX(Table5[[#All],[Pick]],MATCH(Batters[[#This Row],[PID]],Table5[[#All],[PID]],0))</f>
        <v>13</v>
      </c>
      <c r="BB16" s="45" t="str">
        <f>INDEX(Table5[[#All],[Team]],MATCH(Batters[[#This Row],[PID]],Table5[[#All],[PID]],0))</f>
        <v>Manchester Maulers</v>
      </c>
    </row>
    <row r="17" spans="1:54" ht="15" customHeight="1" x14ac:dyDescent="0.3">
      <c r="A17" s="40">
        <v>13181</v>
      </c>
      <c r="B17" s="40" t="s">
        <v>71</v>
      </c>
      <c r="C17" s="40" t="s">
        <v>1007</v>
      </c>
      <c r="D17" s="40" t="s">
        <v>732</v>
      </c>
      <c r="E17" s="40">
        <v>17</v>
      </c>
      <c r="F17" s="40" t="s">
        <v>42</v>
      </c>
      <c r="G17" s="40" t="s">
        <v>42</v>
      </c>
      <c r="H17" s="41" t="s">
        <v>549</v>
      </c>
      <c r="I17" s="64" t="s">
        <v>43</v>
      </c>
      <c r="J17" s="65" t="s">
        <v>43</v>
      </c>
      <c r="K17" s="66" t="s">
        <v>43</v>
      </c>
      <c r="L17" s="40">
        <v>1</v>
      </c>
      <c r="M17" s="40">
        <v>6</v>
      </c>
      <c r="N17" s="40">
        <v>4</v>
      </c>
      <c r="O17" s="40">
        <v>3</v>
      </c>
      <c r="P17" s="41">
        <v>2</v>
      </c>
      <c r="Q17" s="40">
        <v>5</v>
      </c>
      <c r="R17" s="40">
        <v>7</v>
      </c>
      <c r="S17" s="40">
        <v>7</v>
      </c>
      <c r="T17" s="40">
        <v>5</v>
      </c>
      <c r="U17" s="41">
        <v>5</v>
      </c>
      <c r="V17" s="40">
        <v>4</v>
      </c>
      <c r="W17" s="40">
        <v>3</v>
      </c>
      <c r="X17" s="40">
        <v>1</v>
      </c>
      <c r="Y17" s="41">
        <v>1</v>
      </c>
      <c r="Z17" s="40" t="s">
        <v>45</v>
      </c>
      <c r="AA17" s="40" t="s">
        <v>45</v>
      </c>
      <c r="AB17" s="40">
        <v>2</v>
      </c>
      <c r="AC17" s="40" t="s">
        <v>45</v>
      </c>
      <c r="AD17" s="40" t="s">
        <v>45</v>
      </c>
      <c r="AE17" s="40" t="s">
        <v>45</v>
      </c>
      <c r="AF17" s="40" t="s">
        <v>45</v>
      </c>
      <c r="AG17" s="41" t="s">
        <v>45</v>
      </c>
      <c r="AH17" s="40">
        <v>7</v>
      </c>
      <c r="AI17" s="40">
        <v>5</v>
      </c>
      <c r="AJ17" s="41">
        <v>3</v>
      </c>
      <c r="AK17" s="43" t="s">
        <v>594</v>
      </c>
      <c r="AL17" s="43" t="s">
        <v>103</v>
      </c>
      <c r="AM17" s="44">
        <f t="shared" si="1"/>
        <v>-1.3604240298261043</v>
      </c>
      <c r="AN17" s="44">
        <f t="shared" si="2"/>
        <v>0.52951179614541477</v>
      </c>
      <c r="AO17" s="45">
        <f t="shared" si="3"/>
        <v>0</v>
      </c>
      <c r="AP17" s="46">
        <f t="shared" si="4"/>
        <v>0</v>
      </c>
      <c r="AQ17" s="44">
        <f>($AM$3*AM17+$AN$3*AN17+$AO$3*AO17+$AP$3*AP17)+$I$3*VLOOKUP(I17,COND!$A$2:$E$7,4,FALSE)+$J$3*VLOOKUP(J17,COND!$A$2:$C$7,2,FALSE)+$K$3*VLOOKUP(K17,COND!$A$2:$C$7,3,FALSE)+IF(AND($B$2&gt;0,$E17&lt;20),$B$2*25,0)</f>
        <v>56.21809915076237</v>
      </c>
      <c r="AR17" s="47">
        <f t="shared" si="5"/>
        <v>1.8975282923727117</v>
      </c>
      <c r="AS17" s="45" t="str">
        <f t="shared" si="6"/>
        <v>2B</v>
      </c>
      <c r="AT17" s="45">
        <v>2</v>
      </c>
      <c r="AU17" s="45">
        <v>13</v>
      </c>
      <c r="AV17" s="45">
        <v>13</v>
      </c>
      <c r="AW17" s="45" t="str">
        <f t="shared" si="7"/>
        <v>Possible</v>
      </c>
      <c r="AX17" s="45"/>
      <c r="AY17" s="45">
        <f>INDEX(Table5[[#All],[Ovr]],MATCH(Batters[[#This Row],[PID]],Table5[[#All],[PID]],0))</f>
        <v>45</v>
      </c>
      <c r="AZ17" s="45" t="str">
        <f>INDEX(Table5[[#All],[Rnd]],MATCH(Batters[[#This Row],[PID]],Table5[[#All],[PID]],0))</f>
        <v>2</v>
      </c>
      <c r="BA17" s="45">
        <f>INDEX(Table5[[#All],[Pick]],MATCH(Batters[[#This Row],[PID]],Table5[[#All],[PID]],0))</f>
        <v>9</v>
      </c>
      <c r="BB17" s="45" t="str">
        <f>INDEX(Table5[[#All],[Team]],MATCH(Batters[[#This Row],[PID]],Table5[[#All],[PID]],0))</f>
        <v>Gloucester Fishermen</v>
      </c>
    </row>
    <row r="18" spans="1:54" ht="15" customHeight="1" x14ac:dyDescent="0.3">
      <c r="A18" s="40">
        <v>11707</v>
      </c>
      <c r="B18" s="40" t="s">
        <v>71</v>
      </c>
      <c r="C18" s="40" t="s">
        <v>1001</v>
      </c>
      <c r="D18" s="40" t="s">
        <v>1002</v>
      </c>
      <c r="E18" s="40">
        <v>17</v>
      </c>
      <c r="F18" s="40" t="s">
        <v>42</v>
      </c>
      <c r="G18" s="40" t="s">
        <v>42</v>
      </c>
      <c r="H18" s="41" t="s">
        <v>549</v>
      </c>
      <c r="I18" s="64" t="s">
        <v>44</v>
      </c>
      <c r="J18" s="65" t="s">
        <v>44</v>
      </c>
      <c r="K18" s="66" t="s">
        <v>43</v>
      </c>
      <c r="L18" s="40">
        <v>2</v>
      </c>
      <c r="M18" s="40">
        <v>3</v>
      </c>
      <c r="N18" s="40">
        <v>3</v>
      </c>
      <c r="O18" s="40">
        <v>1</v>
      </c>
      <c r="P18" s="41">
        <v>4</v>
      </c>
      <c r="Q18" s="40">
        <v>7</v>
      </c>
      <c r="R18" s="40">
        <v>7</v>
      </c>
      <c r="S18" s="40">
        <v>5</v>
      </c>
      <c r="T18" s="40">
        <v>2</v>
      </c>
      <c r="U18" s="41">
        <v>8</v>
      </c>
      <c r="V18" s="40">
        <v>7</v>
      </c>
      <c r="W18" s="40">
        <v>8</v>
      </c>
      <c r="X18" s="40">
        <v>1</v>
      </c>
      <c r="Y18" s="41">
        <v>1</v>
      </c>
      <c r="Z18" s="40" t="s">
        <v>45</v>
      </c>
      <c r="AA18" s="40" t="s">
        <v>45</v>
      </c>
      <c r="AB18" s="40">
        <v>2</v>
      </c>
      <c r="AC18" s="40">
        <v>2</v>
      </c>
      <c r="AD18" s="40" t="s">
        <v>45</v>
      </c>
      <c r="AE18" s="40" t="s">
        <v>45</v>
      </c>
      <c r="AF18" s="40" t="s">
        <v>45</v>
      </c>
      <c r="AG18" s="41" t="s">
        <v>45</v>
      </c>
      <c r="AH18" s="40">
        <v>3</v>
      </c>
      <c r="AI18" s="40">
        <v>7</v>
      </c>
      <c r="AJ18" s="41">
        <v>7</v>
      </c>
      <c r="AK18" s="43" t="s">
        <v>758</v>
      </c>
      <c r="AL18" s="43" t="s">
        <v>103</v>
      </c>
      <c r="AM18" s="44">
        <f t="shared" si="1"/>
        <v>-1.3734957468884368</v>
      </c>
      <c r="AN18" s="44">
        <f t="shared" si="2"/>
        <v>0.85942084992546841</v>
      </c>
      <c r="AO18" s="45">
        <f t="shared" si="3"/>
        <v>1</v>
      </c>
      <c r="AP18" s="46">
        <f t="shared" si="4"/>
        <v>0</v>
      </c>
      <c r="AQ18" s="44">
        <f>($AM$3*AM18+$AN$3*AN18+$AO$3*AO18+$AP$3*AP18)+$I$3*VLOOKUP(I18,COND!$A$2:$E$7,4,FALSE)+$J$3*VLOOKUP(J18,COND!$A$2:$C$7,2,FALSE)+$K$3*VLOOKUP(K18,COND!$A$2:$C$7,3,FALSE)+IF(AND($B$2&gt;0,$E18&lt;20),$B$2*25,0)</f>
        <v>59.892367291083445</v>
      </c>
      <c r="AR18" s="47">
        <f t="shared" si="5"/>
        <v>2.4338542671521357</v>
      </c>
      <c r="AS18" s="45" t="str">
        <f t="shared" si="6"/>
        <v>2B</v>
      </c>
      <c r="AT18" s="45">
        <v>3</v>
      </c>
      <c r="AU18" s="45">
        <v>14</v>
      </c>
      <c r="AV18" s="45">
        <v>14</v>
      </c>
      <c r="AW18" s="45" t="str">
        <f t="shared" si="7"/>
        <v>Possible</v>
      </c>
      <c r="AX18" s="45"/>
      <c r="AY18" s="45">
        <f>INDEX(Table5[[#All],[Ovr]],MATCH(Batters[[#This Row],[PID]],Table5[[#All],[PID]],0))</f>
        <v>37</v>
      </c>
      <c r="AZ18" s="45" t="str">
        <f>INDEX(Table5[[#All],[Rnd]],MATCH(Batters[[#This Row],[PID]],Table5[[#All],[PID]],0))</f>
        <v>2</v>
      </c>
      <c r="BA18" s="45">
        <f>INDEX(Table5[[#All],[Pick]],MATCH(Batters[[#This Row],[PID]],Table5[[#All],[PID]],0))</f>
        <v>1</v>
      </c>
      <c r="BB18" s="45" t="str">
        <f>INDEX(Table5[[#All],[Team]],MATCH(Batters[[#This Row],[PID]],Table5[[#All],[PID]],0))</f>
        <v>West Virginia Alleghenies</v>
      </c>
    </row>
    <row r="19" spans="1:54" ht="15" customHeight="1" x14ac:dyDescent="0.3">
      <c r="A19" s="40">
        <v>20285</v>
      </c>
      <c r="B19" s="40" t="s">
        <v>50</v>
      </c>
      <c r="C19" s="40" t="s">
        <v>1080</v>
      </c>
      <c r="D19" s="40" t="s">
        <v>1081</v>
      </c>
      <c r="E19" s="40">
        <v>21</v>
      </c>
      <c r="F19" s="40" t="s">
        <v>53</v>
      </c>
      <c r="G19" s="40" t="s">
        <v>53</v>
      </c>
      <c r="H19" s="41" t="s">
        <v>550</v>
      </c>
      <c r="I19" s="64" t="s">
        <v>43</v>
      </c>
      <c r="J19" s="65" t="s">
        <v>43</v>
      </c>
      <c r="K19" s="66" t="s">
        <v>47</v>
      </c>
      <c r="L19" s="40">
        <v>5</v>
      </c>
      <c r="M19" s="40">
        <v>6</v>
      </c>
      <c r="N19" s="40">
        <v>3</v>
      </c>
      <c r="O19" s="40">
        <v>3</v>
      </c>
      <c r="P19" s="41">
        <v>9</v>
      </c>
      <c r="Q19" s="40">
        <v>7</v>
      </c>
      <c r="R19" s="40">
        <v>6</v>
      </c>
      <c r="S19" s="40">
        <v>3</v>
      </c>
      <c r="T19" s="40">
        <v>4</v>
      </c>
      <c r="U19" s="41">
        <v>9</v>
      </c>
      <c r="V19" s="40">
        <v>6</v>
      </c>
      <c r="W19" s="40">
        <v>7</v>
      </c>
      <c r="X19" s="40">
        <v>1</v>
      </c>
      <c r="Y19" s="41">
        <v>1</v>
      </c>
      <c r="Z19" s="40" t="s">
        <v>45</v>
      </c>
      <c r="AA19" s="40">
        <v>1</v>
      </c>
      <c r="AB19" s="40" t="s">
        <v>45</v>
      </c>
      <c r="AC19" s="40" t="s">
        <v>45</v>
      </c>
      <c r="AD19" s="40" t="s">
        <v>45</v>
      </c>
      <c r="AE19" s="40">
        <v>2</v>
      </c>
      <c r="AF19" s="40" t="s">
        <v>45</v>
      </c>
      <c r="AG19" s="41">
        <v>1</v>
      </c>
      <c r="AH19" s="40">
        <v>3</v>
      </c>
      <c r="AI19" s="40">
        <v>3</v>
      </c>
      <c r="AJ19" s="41">
        <v>5</v>
      </c>
      <c r="AK19" s="43" t="s">
        <v>493</v>
      </c>
      <c r="AL19" s="43" t="s">
        <v>103</v>
      </c>
      <c r="AM19" s="44">
        <f t="shared" si="1"/>
        <v>0.12685219968027703</v>
      </c>
      <c r="AN19" s="44">
        <f t="shared" si="2"/>
        <v>0.86167342209520736</v>
      </c>
      <c r="AO19" s="45">
        <f t="shared" si="3"/>
        <v>0</v>
      </c>
      <c r="AP19" s="46">
        <f t="shared" si="4"/>
        <v>0</v>
      </c>
      <c r="AQ19" s="44">
        <f>($AM$3*AM19+$AN$3*AN19+$AO$3*AO19+$AP$3*AP19)+$I$3*VLOOKUP(I19,COND!$A$2:$E$7,4,FALSE)+$J$3*VLOOKUP(J19,COND!$A$2:$C$7,2,FALSE)+$K$3*VLOOKUP(K19,COND!$A$2:$C$7,3,FALSE)+IF(AND($B$2&gt;0,$E19&lt;20),$B$2*25,0)</f>
        <v>55.652766285110516</v>
      </c>
      <c r="AR19" s="47">
        <f t="shared" si="5"/>
        <v>1.8150077226521033</v>
      </c>
      <c r="AS19" s="45" t="str">
        <f t="shared" si="6"/>
        <v>LF</v>
      </c>
      <c r="AT19" s="45">
        <v>3</v>
      </c>
      <c r="AU19" s="45">
        <v>15</v>
      </c>
      <c r="AV19" s="45">
        <v>15</v>
      </c>
      <c r="AW19" s="45" t="str">
        <f t="shared" si="7"/>
        <v>Possible</v>
      </c>
      <c r="AX19" s="45"/>
      <c r="AY19" s="45">
        <f>INDEX(Table5[[#All],[Ovr]],MATCH(Batters[[#This Row],[PID]],Table5[[#All],[PID]],0))</f>
        <v>70</v>
      </c>
      <c r="AZ19" s="45" t="str">
        <f>INDEX(Table5[[#All],[Rnd]],MATCH(Batters[[#This Row],[PID]],Table5[[#All],[PID]],0))</f>
        <v>2</v>
      </c>
      <c r="BA19" s="45">
        <f>INDEX(Table5[[#All],[Pick]],MATCH(Batters[[#This Row],[PID]],Table5[[#All],[PID]],0))</f>
        <v>34</v>
      </c>
      <c r="BB19" s="45" t="str">
        <f>INDEX(Table5[[#All],[Team]],MATCH(Batters[[#This Row],[PID]],Table5[[#All],[PID]],0))</f>
        <v>Toyama Wind Dancers</v>
      </c>
    </row>
    <row r="20" spans="1:54" ht="15" customHeight="1" x14ac:dyDescent="0.3">
      <c r="A20" s="40">
        <v>13315</v>
      </c>
      <c r="B20" s="40" t="s">
        <v>69</v>
      </c>
      <c r="C20" s="40" t="s">
        <v>1008</v>
      </c>
      <c r="D20" s="40" t="s">
        <v>733</v>
      </c>
      <c r="E20" s="40">
        <v>17</v>
      </c>
      <c r="F20" s="40" t="s">
        <v>42</v>
      </c>
      <c r="G20" s="40" t="s">
        <v>42</v>
      </c>
      <c r="H20" s="41" t="s">
        <v>549</v>
      </c>
      <c r="I20" s="64" t="s">
        <v>43</v>
      </c>
      <c r="J20" s="65" t="s">
        <v>43</v>
      </c>
      <c r="K20" s="66" t="s">
        <v>47</v>
      </c>
      <c r="L20" s="40">
        <v>1</v>
      </c>
      <c r="M20" s="40">
        <v>4</v>
      </c>
      <c r="N20" s="40">
        <v>6</v>
      </c>
      <c r="O20" s="40">
        <v>4</v>
      </c>
      <c r="P20" s="41">
        <v>1</v>
      </c>
      <c r="Q20" s="40">
        <v>4</v>
      </c>
      <c r="R20" s="40">
        <v>6</v>
      </c>
      <c r="S20" s="40">
        <v>8</v>
      </c>
      <c r="T20" s="40">
        <v>7</v>
      </c>
      <c r="U20" s="41">
        <v>3</v>
      </c>
      <c r="V20" s="40">
        <v>8</v>
      </c>
      <c r="W20" s="40">
        <v>6</v>
      </c>
      <c r="X20" s="40">
        <v>1</v>
      </c>
      <c r="Y20" s="41">
        <v>1</v>
      </c>
      <c r="Z20" s="40" t="s">
        <v>45</v>
      </c>
      <c r="AA20" s="40" t="s">
        <v>45</v>
      </c>
      <c r="AB20" s="40" t="s">
        <v>45</v>
      </c>
      <c r="AC20" s="40">
        <v>3</v>
      </c>
      <c r="AD20" s="40" t="s">
        <v>45</v>
      </c>
      <c r="AE20" s="40" t="s">
        <v>45</v>
      </c>
      <c r="AF20" s="40" t="s">
        <v>45</v>
      </c>
      <c r="AG20" s="41" t="s">
        <v>45</v>
      </c>
      <c r="AH20" s="40">
        <v>3</v>
      </c>
      <c r="AI20" s="40">
        <v>6</v>
      </c>
      <c r="AJ20" s="41">
        <v>2</v>
      </c>
      <c r="AK20" s="43" t="s">
        <v>535</v>
      </c>
      <c r="AL20" s="43" t="s">
        <v>103</v>
      </c>
      <c r="AM20" s="44">
        <f t="shared" si="1"/>
        <v>-1.2467275908232107</v>
      </c>
      <c r="AN20" s="44">
        <f t="shared" si="2"/>
        <v>0.33834399473293331</v>
      </c>
      <c r="AO20" s="45">
        <f t="shared" si="3"/>
        <v>0</v>
      </c>
      <c r="AP20" s="46">
        <f t="shared" si="4"/>
        <v>0</v>
      </c>
      <c r="AQ20" s="44">
        <f>($AM$3*AM20+$AN$3*AN20+$AO$3*AO20+$AP$3*AP20)+$I$3*VLOOKUP(I20,COND!$A$2:$E$7,4,FALSE)+$J$3*VLOOKUP(J20,COND!$A$2:$C$7,2,FALSE)+$K$3*VLOOKUP(K20,COND!$A$2:$C$7,3,FALSE)+IF(AND($B$2&gt;0,$E20&lt;20),$B$2*25,0)</f>
        <v>54.235455177712879</v>
      </c>
      <c r="AR20" s="47">
        <f t="shared" si="5"/>
        <v>1.6081254995233587</v>
      </c>
      <c r="AS20" s="45" t="str">
        <f t="shared" si="6"/>
        <v>3B</v>
      </c>
      <c r="AT20" s="45">
        <v>2</v>
      </c>
      <c r="AU20" s="45">
        <v>16</v>
      </c>
      <c r="AV20" s="45">
        <v>16</v>
      </c>
      <c r="AW20" s="45" t="str">
        <f t="shared" si="7"/>
        <v>Possible</v>
      </c>
      <c r="AX20" s="45"/>
      <c r="AY20" s="63">
        <f>INDEX(Table5[[#All],[Ovr]],MATCH(Batters[[#This Row],[PID]],Table5[[#All],[PID]],0))</f>
        <v>12</v>
      </c>
      <c r="AZ20" s="63" t="str">
        <f>INDEX(Table5[[#All],[Rnd]],MATCH(Batters[[#This Row],[PID]],Table5[[#All],[PID]],0))</f>
        <v>1</v>
      </c>
      <c r="BA20" s="63">
        <f>INDEX(Table5[[#All],[Pick]],MATCH(Batters[[#This Row],[PID]],Table5[[#All],[PID]],0))</f>
        <v>12</v>
      </c>
      <c r="BB20" s="63" t="str">
        <f>INDEX(Table5[[#All],[Team]],MATCH(Batters[[#This Row],[PID]],Table5[[#All],[PID]],0))</f>
        <v>Niihama-shi Ghosts</v>
      </c>
    </row>
    <row r="21" spans="1:54" ht="15" customHeight="1" x14ac:dyDescent="0.3">
      <c r="A21" s="40">
        <v>10897</v>
      </c>
      <c r="B21" s="40" t="s">
        <v>87</v>
      </c>
      <c r="C21" s="40" t="s">
        <v>716</v>
      </c>
      <c r="D21" s="40" t="s">
        <v>1114</v>
      </c>
      <c r="E21" s="40">
        <v>17</v>
      </c>
      <c r="F21" s="40" t="s">
        <v>42</v>
      </c>
      <c r="G21" s="40" t="s">
        <v>42</v>
      </c>
      <c r="H21" s="41" t="s">
        <v>550</v>
      </c>
      <c r="I21" s="64" t="s">
        <v>43</v>
      </c>
      <c r="J21" s="65" t="s">
        <v>43</v>
      </c>
      <c r="K21" s="66" t="s">
        <v>43</v>
      </c>
      <c r="L21" s="40">
        <v>2</v>
      </c>
      <c r="M21" s="40">
        <v>4</v>
      </c>
      <c r="N21" s="40">
        <v>2</v>
      </c>
      <c r="O21" s="40">
        <v>2</v>
      </c>
      <c r="P21" s="41">
        <v>2</v>
      </c>
      <c r="Q21" s="40">
        <v>6</v>
      </c>
      <c r="R21" s="40">
        <v>6</v>
      </c>
      <c r="S21" s="40">
        <v>4</v>
      </c>
      <c r="T21" s="40">
        <v>4</v>
      </c>
      <c r="U21" s="41">
        <v>6</v>
      </c>
      <c r="V21" s="40">
        <v>4</v>
      </c>
      <c r="W21" s="40">
        <v>5</v>
      </c>
      <c r="X21" s="40">
        <v>1</v>
      </c>
      <c r="Y21" s="41">
        <v>1</v>
      </c>
      <c r="Z21" s="40" t="s">
        <v>45</v>
      </c>
      <c r="AA21" s="40">
        <v>1</v>
      </c>
      <c r="AB21" s="40" t="s">
        <v>45</v>
      </c>
      <c r="AC21" s="40" t="s">
        <v>45</v>
      </c>
      <c r="AD21" s="40" t="s">
        <v>45</v>
      </c>
      <c r="AE21" s="40" t="s">
        <v>45</v>
      </c>
      <c r="AF21" s="40" t="s">
        <v>45</v>
      </c>
      <c r="AG21" s="41" t="s">
        <v>45</v>
      </c>
      <c r="AH21" s="40">
        <v>2</v>
      </c>
      <c r="AI21" s="40">
        <v>1</v>
      </c>
      <c r="AJ21" s="41">
        <v>3</v>
      </c>
      <c r="AK21" s="43" t="s">
        <v>498</v>
      </c>
      <c r="AL21" s="43" t="s">
        <v>103</v>
      </c>
      <c r="AM21" s="44">
        <f t="shared" si="1"/>
        <v>-1.3958204909182206</v>
      </c>
      <c r="AN21" s="44">
        <f t="shared" si="2"/>
        <v>0.50213006046518405</v>
      </c>
      <c r="AO21" s="45">
        <f t="shared" si="3"/>
        <v>0</v>
      </c>
      <c r="AP21" s="46">
        <f t="shared" si="4"/>
        <v>0</v>
      </c>
      <c r="AQ21" s="44">
        <f>($AM$3*AM21+$AN$3*AN21+$AO$3*AO21+$AP$3*AP21)+$I$3*VLOOKUP(I21,COND!$A$2:$E$7,4,FALSE)+$J$3*VLOOKUP(J21,COND!$A$2:$C$7,2,FALSE)+$K$3*VLOOKUP(K21,COND!$A$2:$C$7,3,FALSE)+IF(AND($B$2&gt;0,$E21&lt;20),$B$2*25,0)</f>
        <v>55.885978676490382</v>
      </c>
      <c r="AR21" s="47">
        <f t="shared" si="5"/>
        <v>1.8490492945681141</v>
      </c>
      <c r="AS21" s="45" t="str">
        <f t="shared" si="6"/>
        <v>1B</v>
      </c>
      <c r="AT21" s="45">
        <v>2</v>
      </c>
      <c r="AU21" s="45">
        <v>17</v>
      </c>
      <c r="AV21" s="45">
        <v>17</v>
      </c>
      <c r="AW21" s="45" t="str">
        <f t="shared" si="7"/>
        <v>Possible</v>
      </c>
      <c r="AX21" s="45"/>
      <c r="AY21" s="45">
        <f>INDEX(Table5[[#All],[Ovr]],MATCH(Batters[[#This Row],[PID]],Table5[[#All],[PID]],0))</f>
        <v>128</v>
      </c>
      <c r="AZ21" s="45" t="str">
        <f>INDEX(Table5[[#All],[Rnd]],MATCH(Batters[[#This Row],[PID]],Table5[[#All],[PID]],0))</f>
        <v>4</v>
      </c>
      <c r="BA21" s="45">
        <f>INDEX(Table5[[#All],[Pick]],MATCH(Batters[[#This Row],[PID]],Table5[[#All],[PID]],0))</f>
        <v>23</v>
      </c>
      <c r="BB21" s="45" t="str">
        <f>INDEX(Table5[[#All],[Team]],MATCH(Batters[[#This Row],[PID]],Table5[[#All],[PID]],0))</f>
        <v>Kentucky Thoroughbreds</v>
      </c>
    </row>
    <row r="22" spans="1:54" ht="15" customHeight="1" x14ac:dyDescent="0.3">
      <c r="A22" s="40">
        <v>11826</v>
      </c>
      <c r="B22" s="40" t="s">
        <v>86</v>
      </c>
      <c r="C22" s="40" t="s">
        <v>125</v>
      </c>
      <c r="D22" s="40" t="s">
        <v>842</v>
      </c>
      <c r="E22" s="40">
        <v>17</v>
      </c>
      <c r="F22" s="40" t="s">
        <v>42</v>
      </c>
      <c r="G22" s="40" t="s">
        <v>42</v>
      </c>
      <c r="H22" s="41" t="s">
        <v>550</v>
      </c>
      <c r="I22" s="64" t="s">
        <v>43</v>
      </c>
      <c r="J22" s="65" t="s">
        <v>43</v>
      </c>
      <c r="K22" s="66" t="s">
        <v>43</v>
      </c>
      <c r="L22" s="40">
        <v>1</v>
      </c>
      <c r="M22" s="40">
        <v>2</v>
      </c>
      <c r="N22" s="40">
        <v>2</v>
      </c>
      <c r="O22" s="40">
        <v>2</v>
      </c>
      <c r="P22" s="41">
        <v>1</v>
      </c>
      <c r="Q22" s="40">
        <v>5</v>
      </c>
      <c r="R22" s="40">
        <v>5</v>
      </c>
      <c r="S22" s="40">
        <v>3</v>
      </c>
      <c r="T22" s="40">
        <v>5</v>
      </c>
      <c r="U22" s="41">
        <v>5</v>
      </c>
      <c r="V22" s="40">
        <v>2</v>
      </c>
      <c r="W22" s="40">
        <v>3</v>
      </c>
      <c r="X22" s="40">
        <v>5</v>
      </c>
      <c r="Y22" s="41">
        <v>5</v>
      </c>
      <c r="Z22" s="40">
        <v>1</v>
      </c>
      <c r="AA22" s="40" t="s">
        <v>45</v>
      </c>
      <c r="AB22" s="40" t="s">
        <v>45</v>
      </c>
      <c r="AC22" s="40" t="s">
        <v>45</v>
      </c>
      <c r="AD22" s="40" t="s">
        <v>45</v>
      </c>
      <c r="AE22" s="40" t="s">
        <v>45</v>
      </c>
      <c r="AF22" s="40" t="s">
        <v>45</v>
      </c>
      <c r="AG22" s="41" t="s">
        <v>45</v>
      </c>
      <c r="AH22" s="40">
        <v>2</v>
      </c>
      <c r="AI22" s="40">
        <v>2</v>
      </c>
      <c r="AJ22" s="41">
        <v>2</v>
      </c>
      <c r="AK22" s="43" t="s">
        <v>535</v>
      </c>
      <c r="AL22" s="43" t="s">
        <v>103</v>
      </c>
      <c r="AM22" s="44">
        <f t="shared" si="1"/>
        <v>-1.8605124261753858</v>
      </c>
      <c r="AN22" s="44">
        <f t="shared" si="2"/>
        <v>9.5146060812401817E-2</v>
      </c>
      <c r="AO22" s="45">
        <f t="shared" si="3"/>
        <v>0</v>
      </c>
      <c r="AP22" s="46">
        <f t="shared" si="4"/>
        <v>1</v>
      </c>
      <c r="AQ22" s="44">
        <f>($AM$3*AM22+$AN$3*AN22+$AO$3*AO22+$AP$3*AP22)+$I$3*VLOOKUP(I22,COND!$A$2:$E$7,4,FALSE)+$J$3*VLOOKUP(J22,COND!$A$2:$C$7,2,FALSE)+$K$3*VLOOKUP(K22,COND!$A$2:$C$7,3,FALSE)+IF(AND($B$2&gt;0,$E22&lt;20),$B$2*25,0)</f>
        <v>51.955701487131279</v>
      </c>
      <c r="AR22" s="47">
        <f t="shared" si="5"/>
        <v>1.2753541628480443</v>
      </c>
      <c r="AS22" s="45" t="str">
        <f t="shared" si="6"/>
        <v>C</v>
      </c>
      <c r="AT22" s="45">
        <v>2</v>
      </c>
      <c r="AU22" s="45">
        <v>18</v>
      </c>
      <c r="AV22" s="45">
        <v>18</v>
      </c>
      <c r="AW22" s="45" t="str">
        <f t="shared" si="7"/>
        <v>Unlikely</v>
      </c>
      <c r="AX22" s="45"/>
      <c r="AY22" s="45">
        <f>INDEX(Table5[[#All],[Ovr]],MATCH(Batters[[#This Row],[PID]],Table5[[#All],[PID]],0))</f>
        <v>133</v>
      </c>
      <c r="AZ22" s="45" t="str">
        <f>INDEX(Table5[[#All],[Rnd]],MATCH(Batters[[#This Row],[PID]],Table5[[#All],[PID]],0))</f>
        <v>4</v>
      </c>
      <c r="BA22" s="45">
        <f>INDEX(Table5[[#All],[Pick]],MATCH(Batters[[#This Row],[PID]],Table5[[#All],[PID]],0))</f>
        <v>28</v>
      </c>
      <c r="BB22" s="45" t="str">
        <f>INDEX(Table5[[#All],[Team]],MATCH(Batters[[#This Row],[PID]],Table5[[#All],[PID]],0))</f>
        <v>Amsterdam Lions</v>
      </c>
    </row>
    <row r="23" spans="1:54" ht="15" customHeight="1" x14ac:dyDescent="0.3">
      <c r="A23" s="40">
        <v>11418</v>
      </c>
      <c r="B23" s="40" t="s">
        <v>86</v>
      </c>
      <c r="C23" s="40" t="s">
        <v>890</v>
      </c>
      <c r="D23" s="40" t="s">
        <v>1036</v>
      </c>
      <c r="E23" s="40">
        <v>17</v>
      </c>
      <c r="F23" s="40" t="s">
        <v>42</v>
      </c>
      <c r="G23" s="40" t="s">
        <v>42</v>
      </c>
      <c r="H23" s="41" t="s">
        <v>550</v>
      </c>
      <c r="I23" s="64" t="s">
        <v>43</v>
      </c>
      <c r="J23" s="65" t="s">
        <v>47</v>
      </c>
      <c r="K23" s="66" t="s">
        <v>43</v>
      </c>
      <c r="L23" s="40">
        <v>2</v>
      </c>
      <c r="M23" s="40">
        <v>5</v>
      </c>
      <c r="N23" s="40">
        <v>2</v>
      </c>
      <c r="O23" s="40">
        <v>3</v>
      </c>
      <c r="P23" s="41">
        <v>1</v>
      </c>
      <c r="Q23" s="40">
        <v>4</v>
      </c>
      <c r="R23" s="40">
        <v>6</v>
      </c>
      <c r="S23" s="40">
        <v>4</v>
      </c>
      <c r="T23" s="40">
        <v>6</v>
      </c>
      <c r="U23" s="41">
        <v>4</v>
      </c>
      <c r="V23" s="40">
        <v>2</v>
      </c>
      <c r="W23" s="40">
        <v>2</v>
      </c>
      <c r="X23" s="40">
        <v>4</v>
      </c>
      <c r="Y23" s="41">
        <v>9</v>
      </c>
      <c r="Z23" s="40">
        <v>3</v>
      </c>
      <c r="AA23" s="40" t="s">
        <v>45</v>
      </c>
      <c r="AB23" s="40" t="s">
        <v>45</v>
      </c>
      <c r="AC23" s="40" t="s">
        <v>45</v>
      </c>
      <c r="AD23" s="40" t="s">
        <v>45</v>
      </c>
      <c r="AE23" s="40" t="s">
        <v>45</v>
      </c>
      <c r="AF23" s="40" t="s">
        <v>45</v>
      </c>
      <c r="AG23" s="41" t="s">
        <v>45</v>
      </c>
      <c r="AH23" s="40">
        <v>4</v>
      </c>
      <c r="AI23" s="40">
        <v>6</v>
      </c>
      <c r="AJ23" s="41">
        <v>9</v>
      </c>
      <c r="AK23" s="43" t="s">
        <v>498</v>
      </c>
      <c r="AL23" s="43" t="s">
        <v>103</v>
      </c>
      <c r="AM23" s="44">
        <f t="shared" si="1"/>
        <v>-1.2950674011070198</v>
      </c>
      <c r="AN23" s="44">
        <f t="shared" si="2"/>
        <v>-4.3595191555170297E-2</v>
      </c>
      <c r="AO23" s="45">
        <f t="shared" si="3"/>
        <v>2</v>
      </c>
      <c r="AP23" s="46">
        <f t="shared" si="4"/>
        <v>0</v>
      </c>
      <c r="AQ23" s="44">
        <f>($AM$3*AM23+$AN$3*AN23+$AO$3*AO23+$AP$3*AP23)+$I$3*VLOOKUP(I23,COND!$A$2:$E$7,4,FALSE)+$J$3*VLOOKUP(J23,COND!$A$2:$C$7,2,FALSE)+$K$3*VLOOKUP(K23,COND!$A$2:$C$7,3,FALSE)+IF(AND($B$2&gt;0,$E23&lt;20),$B$2*25,0)</f>
        <v>49.980684294560589</v>
      </c>
      <c r="AR23" s="47">
        <f t="shared" si="5"/>
        <v>0.9870646367278757</v>
      </c>
      <c r="AS23" s="45" t="str">
        <f t="shared" si="6"/>
        <v>C</v>
      </c>
      <c r="AT23" s="45">
        <v>3</v>
      </c>
      <c r="AU23" s="45">
        <v>19</v>
      </c>
      <c r="AV23" s="45">
        <v>19</v>
      </c>
      <c r="AW23" s="45" t="str">
        <f t="shared" si="7"/>
        <v>Unlikely</v>
      </c>
      <c r="AX23" s="45"/>
      <c r="AY23" s="45">
        <f>INDEX(Table5[[#All],[Ovr]],MATCH(Batters[[#This Row],[PID]],Table5[[#All],[PID]],0))</f>
        <v>97</v>
      </c>
      <c r="AZ23" s="45" t="str">
        <f>INDEX(Table5[[#All],[Rnd]],MATCH(Batters[[#This Row],[PID]],Table5[[#All],[PID]],0))</f>
        <v>3</v>
      </c>
      <c r="BA23" s="45">
        <f>INDEX(Table5[[#All],[Pick]],MATCH(Batters[[#This Row],[PID]],Table5[[#All],[PID]],0))</f>
        <v>25</v>
      </c>
      <c r="BB23" s="45" t="str">
        <f>INDEX(Table5[[#All],[Team]],MATCH(Batters[[#This Row],[PID]],Table5[[#All],[PID]],0))</f>
        <v>Reno Zephyrs</v>
      </c>
    </row>
    <row r="24" spans="1:54" ht="15" customHeight="1" x14ac:dyDescent="0.3">
      <c r="A24" s="40">
        <v>11270</v>
      </c>
      <c r="B24" s="40" t="s">
        <v>50</v>
      </c>
      <c r="C24" s="40" t="s">
        <v>125</v>
      </c>
      <c r="D24" s="40" t="s">
        <v>722</v>
      </c>
      <c r="E24" s="40">
        <v>17</v>
      </c>
      <c r="F24" s="40" t="s">
        <v>53</v>
      </c>
      <c r="G24" s="40" t="s">
        <v>53</v>
      </c>
      <c r="H24" s="41" t="s">
        <v>550</v>
      </c>
      <c r="I24" s="64" t="s">
        <v>43</v>
      </c>
      <c r="J24" s="65" t="s">
        <v>43</v>
      </c>
      <c r="K24" s="66" t="s">
        <v>43</v>
      </c>
      <c r="L24" s="40">
        <v>2</v>
      </c>
      <c r="M24" s="40">
        <v>3</v>
      </c>
      <c r="N24" s="40">
        <v>2</v>
      </c>
      <c r="O24" s="40">
        <v>2</v>
      </c>
      <c r="P24" s="41">
        <v>4</v>
      </c>
      <c r="Q24" s="40">
        <v>5</v>
      </c>
      <c r="R24" s="40">
        <v>6</v>
      </c>
      <c r="S24" s="40">
        <v>4</v>
      </c>
      <c r="T24" s="40">
        <v>4</v>
      </c>
      <c r="U24" s="41">
        <v>7</v>
      </c>
      <c r="V24" s="40">
        <v>2</v>
      </c>
      <c r="W24" s="40">
        <v>4</v>
      </c>
      <c r="X24" s="40">
        <v>1</v>
      </c>
      <c r="Y24" s="41">
        <v>1</v>
      </c>
      <c r="Z24" s="40" t="s">
        <v>45</v>
      </c>
      <c r="AA24" s="40" t="s">
        <v>45</v>
      </c>
      <c r="AB24" s="40" t="s">
        <v>45</v>
      </c>
      <c r="AC24" s="40" t="s">
        <v>45</v>
      </c>
      <c r="AD24" s="40" t="s">
        <v>45</v>
      </c>
      <c r="AE24" s="40" t="s">
        <v>45</v>
      </c>
      <c r="AF24" s="40" t="s">
        <v>45</v>
      </c>
      <c r="AG24" s="41" t="s">
        <v>45</v>
      </c>
      <c r="AH24" s="40">
        <v>1</v>
      </c>
      <c r="AI24" s="40">
        <v>4</v>
      </c>
      <c r="AJ24" s="41">
        <v>5</v>
      </c>
      <c r="AK24" s="43" t="s">
        <v>497</v>
      </c>
      <c r="AL24" s="43" t="s">
        <v>103</v>
      </c>
      <c r="AM24" s="44">
        <f t="shared" si="1"/>
        <v>-1.3668476909027576</v>
      </c>
      <c r="AN24" s="44">
        <f t="shared" si="2"/>
        <v>0.21959056407959265</v>
      </c>
      <c r="AO24" s="45">
        <f t="shared" si="3"/>
        <v>0</v>
      </c>
      <c r="AP24" s="46">
        <f t="shared" si="4"/>
        <v>0</v>
      </c>
      <c r="AQ24" s="44">
        <f>($AM$3*AM24+$AN$3*AN24+$AO$3*AO24+$AP$3*AP24)+$I$3*VLOOKUP(I24,COND!$A$2:$E$7,4,FALSE)+$J$3*VLOOKUP(J24,COND!$A$2:$C$7,2,FALSE)+$K$3*VLOOKUP(K24,COND!$A$2:$C$7,3,FALSE)+IF(AND($B$2&gt;0,$E24&lt;20),$B$2*25,0)</f>
        <v>52.498401999864839</v>
      </c>
      <c r="AR24" s="47">
        <f t="shared" si="5"/>
        <v>1.3545711307963022</v>
      </c>
      <c r="AS24" s="45" t="str">
        <f t="shared" si="6"/>
        <v>DH</v>
      </c>
      <c r="AT24" s="45">
        <v>2</v>
      </c>
      <c r="AU24" s="45">
        <v>20</v>
      </c>
      <c r="AV24" s="45">
        <v>20</v>
      </c>
      <c r="AW24" s="45" t="str">
        <f t="shared" si="7"/>
        <v>Unlikely</v>
      </c>
      <c r="AX24" s="45"/>
      <c r="AY24" s="45">
        <f>INDEX(Table5[[#All],[Ovr]],MATCH(Batters[[#This Row],[PID]],Table5[[#All],[PID]],0))</f>
        <v>190</v>
      </c>
      <c r="AZ24" s="45" t="str">
        <f>INDEX(Table5[[#All],[Rnd]],MATCH(Batters[[#This Row],[PID]],Table5[[#All],[PID]],0))</f>
        <v>6</v>
      </c>
      <c r="BA24" s="45">
        <f>INDEX(Table5[[#All],[Pick]],MATCH(Batters[[#This Row],[PID]],Table5[[#All],[PID]],0))</f>
        <v>21</v>
      </c>
      <c r="BB24" s="45" t="str">
        <f>INDEX(Table5[[#All],[Team]],MATCH(Batters[[#This Row],[PID]],Table5[[#All],[PID]],0))</f>
        <v>Neo-Tokyo Akira</v>
      </c>
    </row>
    <row r="25" spans="1:54" ht="15" customHeight="1" x14ac:dyDescent="0.3">
      <c r="A25" s="40">
        <v>13239</v>
      </c>
      <c r="B25" s="40" t="s">
        <v>66</v>
      </c>
      <c r="C25" s="40" t="s">
        <v>1091</v>
      </c>
      <c r="D25" s="40" t="s">
        <v>1092</v>
      </c>
      <c r="E25" s="40">
        <v>17</v>
      </c>
      <c r="F25" s="40" t="s">
        <v>42</v>
      </c>
      <c r="G25" s="40" t="s">
        <v>53</v>
      </c>
      <c r="H25" s="41" t="s">
        <v>550</v>
      </c>
      <c r="I25" s="64" t="s">
        <v>43</v>
      </c>
      <c r="J25" s="65" t="s">
        <v>47</v>
      </c>
      <c r="K25" s="66" t="s">
        <v>43</v>
      </c>
      <c r="L25" s="40">
        <v>1</v>
      </c>
      <c r="M25" s="40">
        <v>4</v>
      </c>
      <c r="N25" s="40">
        <v>4</v>
      </c>
      <c r="O25" s="40">
        <v>4</v>
      </c>
      <c r="P25" s="41">
        <v>2</v>
      </c>
      <c r="Q25" s="40">
        <v>4</v>
      </c>
      <c r="R25" s="40">
        <v>6</v>
      </c>
      <c r="S25" s="40">
        <v>7</v>
      </c>
      <c r="T25" s="40">
        <v>6</v>
      </c>
      <c r="U25" s="41">
        <v>4</v>
      </c>
      <c r="V25" s="40">
        <v>5</v>
      </c>
      <c r="W25" s="40">
        <v>7</v>
      </c>
      <c r="X25" s="40">
        <v>1</v>
      </c>
      <c r="Y25" s="41">
        <v>1</v>
      </c>
      <c r="Z25" s="40" t="s">
        <v>45</v>
      </c>
      <c r="AA25" s="40" t="s">
        <v>45</v>
      </c>
      <c r="AB25" s="40" t="s">
        <v>45</v>
      </c>
      <c r="AC25" s="40" t="s">
        <v>45</v>
      </c>
      <c r="AD25" s="40" t="s">
        <v>45</v>
      </c>
      <c r="AE25" s="40" t="s">
        <v>45</v>
      </c>
      <c r="AF25" s="40" t="s">
        <v>45</v>
      </c>
      <c r="AG25" s="41">
        <v>2</v>
      </c>
      <c r="AH25" s="40">
        <v>1</v>
      </c>
      <c r="AI25" s="40">
        <v>1</v>
      </c>
      <c r="AJ25" s="41">
        <v>1</v>
      </c>
      <c r="AK25" s="43" t="s">
        <v>1045</v>
      </c>
      <c r="AL25" s="43" t="s">
        <v>103</v>
      </c>
      <c r="AM25" s="44">
        <f t="shared" si="1"/>
        <v>-1.3728342390539303</v>
      </c>
      <c r="AN25" s="44">
        <f t="shared" si="2"/>
        <v>0.20558929051653421</v>
      </c>
      <c r="AO25" s="45">
        <f t="shared" si="3"/>
        <v>0</v>
      </c>
      <c r="AP25" s="46">
        <f t="shared" si="4"/>
        <v>0</v>
      </c>
      <c r="AQ25" s="44">
        <f>($AM$3*AM25+$AN$3*AN25+$AO$3*AO25+$AP$3*AP25)+$I$3*VLOOKUP(I25,COND!$A$2:$E$7,4,FALSE)+$J$3*VLOOKUP(J25,COND!$A$2:$C$7,2,FALSE)+$K$3*VLOOKUP(K25,COND!$A$2:$C$7,3,FALSE)+IF(AND($B$2&gt;0,$E25&lt;20),$B$2*25,0)</f>
        <v>52.629788062293017</v>
      </c>
      <c r="AR25" s="47">
        <f t="shared" si="5"/>
        <v>1.373749305962926</v>
      </c>
      <c r="AS25" s="45" t="str">
        <f t="shared" si="6"/>
        <v>RF</v>
      </c>
      <c r="AT25" s="45">
        <v>2</v>
      </c>
      <c r="AU25" s="45">
        <v>21</v>
      </c>
      <c r="AV25" s="45">
        <v>21</v>
      </c>
      <c r="AW25" s="45" t="str">
        <f t="shared" si="7"/>
        <v>Possible</v>
      </c>
      <c r="AX25" s="45"/>
      <c r="AY25" s="45">
        <f>INDEX(Table5[[#All],[Ovr]],MATCH(Batters[[#This Row],[PID]],Table5[[#All],[PID]],0))</f>
        <v>146</v>
      </c>
      <c r="AZ25" s="45" t="str">
        <f>INDEX(Table5[[#All],[Rnd]],MATCH(Batters[[#This Row],[PID]],Table5[[#All],[PID]],0))</f>
        <v>5</v>
      </c>
      <c r="BA25" s="45">
        <f>INDEX(Table5[[#All],[Pick]],MATCH(Batters[[#This Row],[PID]],Table5[[#All],[PID]],0))</f>
        <v>9</v>
      </c>
      <c r="BB25" s="45" t="str">
        <f>INDEX(Table5[[#All],[Team]],MATCH(Batters[[#This Row],[PID]],Table5[[#All],[PID]],0))</f>
        <v>Fargo Dinosaurs</v>
      </c>
    </row>
    <row r="26" spans="1:54" ht="15" customHeight="1" x14ac:dyDescent="0.3">
      <c r="A26" s="40">
        <v>13271</v>
      </c>
      <c r="B26" s="40" t="s">
        <v>69</v>
      </c>
      <c r="C26" s="40" t="s">
        <v>1022</v>
      </c>
      <c r="D26" s="40" t="s">
        <v>1023</v>
      </c>
      <c r="E26" s="40">
        <v>17</v>
      </c>
      <c r="F26" s="40" t="s">
        <v>42</v>
      </c>
      <c r="G26" s="40" t="s">
        <v>42</v>
      </c>
      <c r="H26" s="41" t="s">
        <v>549</v>
      </c>
      <c r="I26" s="64" t="s">
        <v>43</v>
      </c>
      <c r="J26" s="65" t="s">
        <v>47</v>
      </c>
      <c r="K26" s="66" t="s">
        <v>43</v>
      </c>
      <c r="L26" s="40">
        <v>1</v>
      </c>
      <c r="M26" s="40">
        <v>4</v>
      </c>
      <c r="N26" s="40">
        <v>4</v>
      </c>
      <c r="O26" s="40">
        <v>4</v>
      </c>
      <c r="P26" s="41">
        <v>1</v>
      </c>
      <c r="Q26" s="40">
        <v>4</v>
      </c>
      <c r="R26" s="40">
        <v>6</v>
      </c>
      <c r="S26" s="40">
        <v>7</v>
      </c>
      <c r="T26" s="40">
        <v>6</v>
      </c>
      <c r="U26" s="41">
        <v>3</v>
      </c>
      <c r="V26" s="40">
        <v>8</v>
      </c>
      <c r="W26" s="40">
        <v>8</v>
      </c>
      <c r="X26" s="40">
        <v>1</v>
      </c>
      <c r="Y26" s="41">
        <v>1</v>
      </c>
      <c r="Z26" s="40" t="s">
        <v>45</v>
      </c>
      <c r="AA26" s="40">
        <v>7</v>
      </c>
      <c r="AB26" s="40" t="s">
        <v>45</v>
      </c>
      <c r="AC26" s="40">
        <v>2</v>
      </c>
      <c r="AD26" s="40" t="s">
        <v>45</v>
      </c>
      <c r="AE26" s="40" t="s">
        <v>45</v>
      </c>
      <c r="AF26" s="40" t="s">
        <v>45</v>
      </c>
      <c r="AG26" s="41">
        <v>2</v>
      </c>
      <c r="AH26" s="40">
        <v>3</v>
      </c>
      <c r="AI26" s="40">
        <v>2</v>
      </c>
      <c r="AJ26" s="41">
        <v>1</v>
      </c>
      <c r="AK26" s="43" t="s">
        <v>594</v>
      </c>
      <c r="AL26" s="43" t="s">
        <v>103</v>
      </c>
      <c r="AM26" s="44">
        <f t="shared" si="1"/>
        <v>-1.4128505788710137</v>
      </c>
      <c r="AN26" s="44">
        <f t="shared" si="2"/>
        <v>0.16557295069945074</v>
      </c>
      <c r="AO26" s="45">
        <f t="shared" si="3"/>
        <v>0</v>
      </c>
      <c r="AP26" s="46">
        <f t="shared" si="4"/>
        <v>0</v>
      </c>
      <c r="AQ26" s="44">
        <f>($AM$3*AM26+$AN$3*AN26+$AO$3*AO26+$AP$3*AP26)+$I$3*VLOOKUP(I26,COND!$A$2:$E$7,4,FALSE)+$J$3*VLOOKUP(J26,COND!$A$2:$C$7,2,FALSE)+$K$3*VLOOKUP(K26,COND!$A$2:$C$7,3,FALSE)+IF(AND($B$2&gt;0,$E26&lt;20),$B$2*25,0)</f>
        <v>52.145590350506311</v>
      </c>
      <c r="AR26" s="47">
        <f t="shared" si="5"/>
        <v>1.303071881277944</v>
      </c>
      <c r="AS26" s="45" t="str">
        <f t="shared" si="6"/>
        <v>RF</v>
      </c>
      <c r="AT26" s="45">
        <v>3</v>
      </c>
      <c r="AU26" s="45">
        <v>22</v>
      </c>
      <c r="AV26" s="45">
        <v>22</v>
      </c>
      <c r="AW26" s="45" t="str">
        <f t="shared" si="7"/>
        <v>Possible</v>
      </c>
      <c r="AX26" s="45"/>
      <c r="AY26" s="45">
        <f>INDEX(Table5[[#All],[Ovr]],MATCH(Batters[[#This Row],[PID]],Table5[[#All],[PID]],0))</f>
        <v>71</v>
      </c>
      <c r="AZ26" s="45" t="str">
        <f>INDEX(Table5[[#All],[Rnd]],MATCH(Batters[[#This Row],[PID]],Table5[[#All],[PID]],0))</f>
        <v>2</v>
      </c>
      <c r="BA26" s="45">
        <f>INDEX(Table5[[#All],[Pick]],MATCH(Batters[[#This Row],[PID]],Table5[[#All],[PID]],0))</f>
        <v>35</v>
      </c>
      <c r="BB26" s="45" t="str">
        <f>INDEX(Table5[[#All],[Team]],MATCH(Batters[[#This Row],[PID]],Table5[[#All],[PID]],0))</f>
        <v>West Virginia Alleghenies</v>
      </c>
    </row>
    <row r="27" spans="1:54" ht="15" customHeight="1" x14ac:dyDescent="0.3">
      <c r="A27" s="40">
        <v>20621</v>
      </c>
      <c r="B27" s="40" t="s">
        <v>50</v>
      </c>
      <c r="C27" s="40" t="s">
        <v>983</v>
      </c>
      <c r="D27" s="40" t="s">
        <v>984</v>
      </c>
      <c r="E27" s="40">
        <v>16</v>
      </c>
      <c r="F27" s="40" t="s">
        <v>53</v>
      </c>
      <c r="G27" s="40" t="s">
        <v>53</v>
      </c>
      <c r="H27" s="41" t="s">
        <v>548</v>
      </c>
      <c r="I27" s="64" t="s">
        <v>44</v>
      </c>
      <c r="J27" s="65" t="s">
        <v>43</v>
      </c>
      <c r="K27" s="66" t="s">
        <v>43</v>
      </c>
      <c r="L27" s="40">
        <v>1</v>
      </c>
      <c r="M27" s="40">
        <v>2</v>
      </c>
      <c r="N27" s="40">
        <v>7</v>
      </c>
      <c r="O27" s="40">
        <v>5</v>
      </c>
      <c r="P27" s="41">
        <v>1</v>
      </c>
      <c r="Q27" s="40">
        <v>4</v>
      </c>
      <c r="R27" s="40">
        <v>3</v>
      </c>
      <c r="S27" s="40">
        <v>10</v>
      </c>
      <c r="T27" s="40">
        <v>7</v>
      </c>
      <c r="U27" s="41">
        <v>2</v>
      </c>
      <c r="V27" s="40">
        <v>1</v>
      </c>
      <c r="W27" s="40">
        <v>4</v>
      </c>
      <c r="X27" s="40">
        <v>1</v>
      </c>
      <c r="Y27" s="41">
        <v>1</v>
      </c>
      <c r="Z27" s="40" t="s">
        <v>45</v>
      </c>
      <c r="AA27" s="40" t="s">
        <v>45</v>
      </c>
      <c r="AB27" s="40" t="s">
        <v>45</v>
      </c>
      <c r="AC27" s="40" t="s">
        <v>45</v>
      </c>
      <c r="AD27" s="40" t="s">
        <v>45</v>
      </c>
      <c r="AE27" s="40">
        <v>1</v>
      </c>
      <c r="AF27" s="40" t="s">
        <v>45</v>
      </c>
      <c r="AG27" s="41" t="s">
        <v>45</v>
      </c>
      <c r="AH27" s="40">
        <v>1</v>
      </c>
      <c r="AI27" s="40">
        <v>5</v>
      </c>
      <c r="AJ27" s="41">
        <v>5</v>
      </c>
      <c r="AK27" s="43" t="s">
        <v>1361</v>
      </c>
      <c r="AL27" s="43" t="s">
        <v>103</v>
      </c>
      <c r="AM27" s="44">
        <f t="shared" si="1"/>
        <v>-1.1760763060271351</v>
      </c>
      <c r="AN27" s="44">
        <f t="shared" si="2"/>
        <v>0.31127100410754249</v>
      </c>
      <c r="AO27" s="45">
        <f t="shared" si="3"/>
        <v>0</v>
      </c>
      <c r="AP27" s="46">
        <f t="shared" si="4"/>
        <v>0</v>
      </c>
      <c r="AQ27" s="44">
        <f>($AM$3*AM27+$AN$3*AN27+$AO$3*AO27+$AP$3*AP27)+$I$3*VLOOKUP(I27,COND!$A$2:$E$7,4,FALSE)+$J$3*VLOOKUP(J27,COND!$A$2:$C$7,2,FALSE)+$K$3*VLOOKUP(K27,COND!$A$2:$C$7,3,FALSE)+IF(AND($B$2&gt;0,$E27&lt;20),$B$2*25,0)</f>
        <v>53.467644418687797</v>
      </c>
      <c r="AR27" s="47">
        <f t="shared" si="5"/>
        <v>1.4960496144617226</v>
      </c>
      <c r="AS27" s="45" t="str">
        <f t="shared" si="6"/>
        <v>LF</v>
      </c>
      <c r="AT27" s="45">
        <v>4</v>
      </c>
      <c r="AU27" s="45">
        <v>23</v>
      </c>
      <c r="AV27" s="45">
        <v>23</v>
      </c>
      <c r="AW27" s="45" t="str">
        <f t="shared" si="7"/>
        <v>Possible</v>
      </c>
      <c r="AX27" s="45"/>
      <c r="AY27" s="45">
        <f>INDEX(Table5[[#All],[Ovr]],MATCH(Batters[[#This Row],[PID]],Table5[[#All],[PID]],0))</f>
        <v>1</v>
      </c>
      <c r="AZ27" s="45" t="str">
        <f>INDEX(Table5[[#All],[Rnd]],MATCH(Batters[[#This Row],[PID]],Table5[[#All],[PID]],0))</f>
        <v>1</v>
      </c>
      <c r="BA27" s="45">
        <f>INDEX(Table5[[#All],[Pick]],MATCH(Batters[[#This Row],[PID]],Table5[[#All],[PID]],0))</f>
        <v>1</v>
      </c>
      <c r="BB27" s="45" t="str">
        <f>INDEX(Table5[[#All],[Team]],MATCH(Batters[[#This Row],[PID]],Table5[[#All],[PID]],0))</f>
        <v>Yuma Arroyos</v>
      </c>
    </row>
    <row r="28" spans="1:54" ht="15" customHeight="1" x14ac:dyDescent="0.3">
      <c r="A28" s="40">
        <v>8989</v>
      </c>
      <c r="B28" s="40" t="s">
        <v>74</v>
      </c>
      <c r="C28" s="40" t="s">
        <v>403</v>
      </c>
      <c r="D28" s="40" t="s">
        <v>992</v>
      </c>
      <c r="E28" s="40">
        <v>18</v>
      </c>
      <c r="F28" s="40" t="s">
        <v>53</v>
      </c>
      <c r="G28" s="40" t="s">
        <v>53</v>
      </c>
      <c r="H28" s="41" t="s">
        <v>549</v>
      </c>
      <c r="I28" s="64" t="s">
        <v>43</v>
      </c>
      <c r="J28" s="65" t="s">
        <v>43</v>
      </c>
      <c r="K28" s="66" t="s">
        <v>43</v>
      </c>
      <c r="L28" s="40">
        <v>2</v>
      </c>
      <c r="M28" s="40">
        <v>5</v>
      </c>
      <c r="N28" s="40">
        <v>3</v>
      </c>
      <c r="O28" s="40">
        <v>2</v>
      </c>
      <c r="P28" s="41">
        <v>2</v>
      </c>
      <c r="Q28" s="40">
        <v>5</v>
      </c>
      <c r="R28" s="40">
        <v>7</v>
      </c>
      <c r="S28" s="40">
        <v>6</v>
      </c>
      <c r="T28" s="40">
        <v>4</v>
      </c>
      <c r="U28" s="41">
        <v>6</v>
      </c>
      <c r="V28" s="40">
        <v>5</v>
      </c>
      <c r="W28" s="40">
        <v>6</v>
      </c>
      <c r="X28" s="40">
        <v>1</v>
      </c>
      <c r="Y28" s="41">
        <v>1</v>
      </c>
      <c r="Z28" s="40" t="s">
        <v>45</v>
      </c>
      <c r="AA28" s="40" t="s">
        <v>45</v>
      </c>
      <c r="AB28" s="40" t="s">
        <v>45</v>
      </c>
      <c r="AC28" s="40" t="s">
        <v>45</v>
      </c>
      <c r="AD28" s="40" t="s">
        <v>45</v>
      </c>
      <c r="AE28" s="40" t="s">
        <v>45</v>
      </c>
      <c r="AF28" s="40">
        <v>6</v>
      </c>
      <c r="AG28" s="41" t="s">
        <v>45</v>
      </c>
      <c r="AH28" s="40">
        <v>9</v>
      </c>
      <c r="AI28" s="40">
        <v>4</v>
      </c>
      <c r="AJ28" s="41">
        <v>2</v>
      </c>
      <c r="AK28" s="43" t="s">
        <v>383</v>
      </c>
      <c r="AL28" s="43" t="s">
        <v>103</v>
      </c>
      <c r="AM28" s="44">
        <f t="shared" si="1"/>
        <v>-1.2616991172756158</v>
      </c>
      <c r="AN28" s="44">
        <f t="shared" si="2"/>
        <v>0.3967570919290157</v>
      </c>
      <c r="AO28" s="45">
        <f t="shared" si="3"/>
        <v>1</v>
      </c>
      <c r="AP28" s="46">
        <f t="shared" si="4"/>
        <v>0.75</v>
      </c>
      <c r="AQ28" s="44">
        <f>($AM$3*AM28+$AN$3*AN28+$AO$3*AO28+$AP$3*AP28)+$I$3*VLOOKUP(I28,COND!$A$2:$E$7,4,FALSE)+$J$3*VLOOKUP(J28,COND!$A$2:$C$7,2,FALSE)+$K$3*VLOOKUP(K28,COND!$A$2:$C$7,3,FALSE)+IF(AND($B$2&gt;0,$E28&lt;20),$B$2*25,0)</f>
        <v>55.551581858087289</v>
      </c>
      <c r="AR28" s="47">
        <f t="shared" si="5"/>
        <v>1.8002380231137927</v>
      </c>
      <c r="AS28" s="45" t="str">
        <f t="shared" si="6"/>
        <v>CF</v>
      </c>
      <c r="AT28" s="45">
        <v>3</v>
      </c>
      <c r="AU28" s="45">
        <v>24</v>
      </c>
      <c r="AV28" s="45">
        <v>24</v>
      </c>
      <c r="AW28" s="45" t="str">
        <f t="shared" si="7"/>
        <v>Possible</v>
      </c>
      <c r="AX28" s="45"/>
      <c r="AY28" s="63">
        <f>INDEX(Table5[[#All],[Ovr]],MATCH(Batters[[#This Row],[PID]],Table5[[#All],[PID]],0))</f>
        <v>28</v>
      </c>
      <c r="AZ28" s="63" t="str">
        <f>INDEX(Table5[[#All],[Rnd]],MATCH(Batters[[#This Row],[PID]],Table5[[#All],[PID]],0))</f>
        <v>1</v>
      </c>
      <c r="BA28" s="63">
        <f>INDEX(Table5[[#All],[Pick]],MATCH(Batters[[#This Row],[PID]],Table5[[#All],[PID]],0))</f>
        <v>28</v>
      </c>
      <c r="BB28" s="63" t="str">
        <f>INDEX(Table5[[#All],[Team]],MATCH(Batters[[#This Row],[PID]],Table5[[#All],[PID]],0))</f>
        <v>Havana Leones</v>
      </c>
    </row>
    <row r="29" spans="1:54" ht="15" customHeight="1" x14ac:dyDescent="0.3">
      <c r="A29" s="40">
        <v>20665</v>
      </c>
      <c r="B29" s="40" t="s">
        <v>87</v>
      </c>
      <c r="C29" s="40" t="s">
        <v>1004</v>
      </c>
      <c r="D29" s="40" t="s">
        <v>747</v>
      </c>
      <c r="E29" s="40">
        <v>17</v>
      </c>
      <c r="F29" s="40" t="s">
        <v>42</v>
      </c>
      <c r="G29" s="40" t="s">
        <v>42</v>
      </c>
      <c r="H29" s="41" t="s">
        <v>549</v>
      </c>
      <c r="I29" s="64" t="s">
        <v>43</v>
      </c>
      <c r="J29" s="65" t="s">
        <v>47</v>
      </c>
      <c r="K29" s="66" t="s">
        <v>43</v>
      </c>
      <c r="L29" s="40">
        <v>1</v>
      </c>
      <c r="M29" s="40">
        <v>4</v>
      </c>
      <c r="N29" s="40">
        <v>4</v>
      </c>
      <c r="O29" s="40">
        <v>3</v>
      </c>
      <c r="P29" s="41">
        <v>1</v>
      </c>
      <c r="Q29" s="40">
        <v>4</v>
      </c>
      <c r="R29" s="40">
        <v>6</v>
      </c>
      <c r="S29" s="40">
        <v>7</v>
      </c>
      <c r="T29" s="40">
        <v>6</v>
      </c>
      <c r="U29" s="41">
        <v>3</v>
      </c>
      <c r="V29" s="40">
        <v>1</v>
      </c>
      <c r="W29" s="40">
        <v>2</v>
      </c>
      <c r="X29" s="40">
        <v>1</v>
      </c>
      <c r="Y29" s="41">
        <v>1</v>
      </c>
      <c r="Z29" s="40" t="s">
        <v>45</v>
      </c>
      <c r="AA29" s="40">
        <v>3</v>
      </c>
      <c r="AB29" s="40" t="s">
        <v>45</v>
      </c>
      <c r="AC29" s="40" t="s">
        <v>45</v>
      </c>
      <c r="AD29" s="40" t="s">
        <v>45</v>
      </c>
      <c r="AE29" s="40" t="s">
        <v>45</v>
      </c>
      <c r="AF29" s="40" t="s">
        <v>45</v>
      </c>
      <c r="AG29" s="41" t="s">
        <v>45</v>
      </c>
      <c r="AH29" s="40">
        <v>1</v>
      </c>
      <c r="AI29" s="40">
        <v>1</v>
      </c>
      <c r="AJ29" s="41">
        <v>1</v>
      </c>
      <c r="AK29" s="43" t="s">
        <v>497</v>
      </c>
      <c r="AL29" s="43" t="s">
        <v>103</v>
      </c>
      <c r="AM29" s="44">
        <f t="shared" si="1"/>
        <v>-1.5025601288805945</v>
      </c>
      <c r="AN29" s="44">
        <f t="shared" si="2"/>
        <v>0.16557295069945074</v>
      </c>
      <c r="AO29" s="45">
        <f t="shared" si="3"/>
        <v>0</v>
      </c>
      <c r="AP29" s="46">
        <f t="shared" si="4"/>
        <v>0</v>
      </c>
      <c r="AQ29" s="44">
        <f>($AM$3*AM29+$AN$3*AN29+$AO$3*AO29+$AP$3*AP29)+$I$3*VLOOKUP(I29,COND!$A$2:$E$7,4,FALSE)+$J$3*VLOOKUP(J29,COND!$A$2:$C$7,2,FALSE)+$K$3*VLOOKUP(K29,COND!$A$2:$C$7,3,FALSE)+IF(AND($B$2&gt;0,$E29&lt;20),$B$2*25,0)</f>
        <v>52.136619395505349</v>
      </c>
      <c r="AR29" s="47">
        <f t="shared" si="5"/>
        <v>1.3017624079347239</v>
      </c>
      <c r="AS29" s="45" t="str">
        <f t="shared" si="6"/>
        <v>1B</v>
      </c>
      <c r="AT29" s="45">
        <v>3</v>
      </c>
      <c r="AU29" s="45">
        <v>25</v>
      </c>
      <c r="AV29" s="45">
        <v>25</v>
      </c>
      <c r="AW29" s="45" t="str">
        <f t="shared" si="7"/>
        <v>Possible</v>
      </c>
      <c r="AX29" s="45"/>
      <c r="AY29" s="63">
        <f>INDEX(Table5[[#All],[Ovr]],MATCH(Batters[[#This Row],[PID]],Table5[[#All],[PID]],0))</f>
        <v>63</v>
      </c>
      <c r="AZ29" s="63" t="str">
        <f>INDEX(Table5[[#All],[Rnd]],MATCH(Batters[[#This Row],[PID]],Table5[[#All],[PID]],0))</f>
        <v>2</v>
      </c>
      <c r="BA29" s="63">
        <f>INDEX(Table5[[#All],[Pick]],MATCH(Batters[[#This Row],[PID]],Table5[[#All],[PID]],0))</f>
        <v>27</v>
      </c>
      <c r="BB29" s="63" t="str">
        <f>INDEX(Table5[[#All],[Team]],MATCH(Batters[[#This Row],[PID]],Table5[[#All],[PID]],0))</f>
        <v>Kalamazoo Badgers</v>
      </c>
    </row>
    <row r="30" spans="1:54" ht="15" customHeight="1" x14ac:dyDescent="0.3">
      <c r="A30" s="40">
        <v>11196</v>
      </c>
      <c r="B30" s="40" t="s">
        <v>72</v>
      </c>
      <c r="C30" s="40" t="s">
        <v>137</v>
      </c>
      <c r="D30" s="40" t="s">
        <v>1084</v>
      </c>
      <c r="E30" s="40">
        <v>17</v>
      </c>
      <c r="F30" s="40" t="s">
        <v>42</v>
      </c>
      <c r="G30" s="40" t="s">
        <v>42</v>
      </c>
      <c r="H30" s="41" t="s">
        <v>550</v>
      </c>
      <c r="I30" s="64" t="s">
        <v>43</v>
      </c>
      <c r="J30" s="65" t="s">
        <v>43</v>
      </c>
      <c r="K30" s="66" t="s">
        <v>43</v>
      </c>
      <c r="L30" s="40">
        <v>1</v>
      </c>
      <c r="M30" s="40">
        <v>4</v>
      </c>
      <c r="N30" s="40">
        <v>2</v>
      </c>
      <c r="O30" s="40">
        <v>2</v>
      </c>
      <c r="P30" s="41">
        <v>4</v>
      </c>
      <c r="Q30" s="40">
        <v>5</v>
      </c>
      <c r="R30" s="40">
        <v>7</v>
      </c>
      <c r="S30" s="40">
        <v>3</v>
      </c>
      <c r="T30" s="40">
        <v>5</v>
      </c>
      <c r="U30" s="41">
        <v>8</v>
      </c>
      <c r="V30" s="40">
        <v>4</v>
      </c>
      <c r="W30" s="40">
        <v>6</v>
      </c>
      <c r="X30" s="40">
        <v>1</v>
      </c>
      <c r="Y30" s="41">
        <v>1</v>
      </c>
      <c r="Z30" s="40" t="s">
        <v>45</v>
      </c>
      <c r="AA30" s="40" t="s">
        <v>45</v>
      </c>
      <c r="AB30" s="40" t="s">
        <v>45</v>
      </c>
      <c r="AC30" s="40" t="s">
        <v>45</v>
      </c>
      <c r="AD30" s="40">
        <v>2</v>
      </c>
      <c r="AE30" s="40" t="s">
        <v>45</v>
      </c>
      <c r="AF30" s="40">
        <v>3</v>
      </c>
      <c r="AG30" s="41" t="s">
        <v>45</v>
      </c>
      <c r="AH30" s="40">
        <v>9</v>
      </c>
      <c r="AI30" s="40">
        <v>5</v>
      </c>
      <c r="AJ30" s="41">
        <v>7</v>
      </c>
      <c r="AK30" s="43" t="s">
        <v>531</v>
      </c>
      <c r="AL30" s="43" t="s">
        <v>103</v>
      </c>
      <c r="AM30" s="44">
        <f t="shared" si="1"/>
        <v>-1.6383436474867286</v>
      </c>
      <c r="AN30" s="44">
        <f t="shared" si="2"/>
        <v>0.3173148395010591</v>
      </c>
      <c r="AO30" s="45">
        <f t="shared" si="3"/>
        <v>2</v>
      </c>
      <c r="AP30" s="46">
        <f t="shared" si="4"/>
        <v>0</v>
      </c>
      <c r="AQ30" s="44">
        <f>($AM$3*AM30+$AN$3*AN30+$AO$3*AO30+$AP$3*AP30)+$I$3*VLOOKUP(I30,COND!$A$2:$E$7,4,FALSE)+$J$3*VLOOKUP(J30,COND!$A$2:$C$7,2,FALSE)+$K$3*VLOOKUP(K30,COND!$A$2:$C$7,3,FALSE)+IF(AND($B$2&gt;0,$E30&lt;20),$B$2*25,0)</f>
        <v>53.977277042597365</v>
      </c>
      <c r="AR30" s="47">
        <f t="shared" si="5"/>
        <v>1.57043972518832</v>
      </c>
      <c r="AS30" s="45" t="str">
        <f t="shared" si="6"/>
        <v>SS</v>
      </c>
      <c r="AT30" s="45">
        <v>3</v>
      </c>
      <c r="AU30" s="45">
        <v>26</v>
      </c>
      <c r="AV30" s="45">
        <v>26</v>
      </c>
      <c r="AW30" s="45" t="str">
        <f t="shared" si="7"/>
        <v>Unlikely</v>
      </c>
      <c r="AX30" s="45"/>
      <c r="AY30" s="45">
        <f>INDEX(Table5[[#All],[Ovr]],MATCH(Batters[[#This Row],[PID]],Table5[[#All],[PID]],0))</f>
        <v>89</v>
      </c>
      <c r="AZ30" s="45" t="str">
        <f>INDEX(Table5[[#All],[Rnd]],MATCH(Batters[[#This Row],[PID]],Table5[[#All],[PID]],0))</f>
        <v>3</v>
      </c>
      <c r="BA30" s="45">
        <f>INDEX(Table5[[#All],[Pick]],MATCH(Batters[[#This Row],[PID]],Table5[[#All],[PID]],0))</f>
        <v>17</v>
      </c>
      <c r="BB30" s="45" t="str">
        <f>INDEX(Table5[[#All],[Team]],MATCH(Batters[[#This Row],[PID]],Table5[[#All],[PID]],0))</f>
        <v>Madison Malts</v>
      </c>
    </row>
    <row r="31" spans="1:54" ht="15" customHeight="1" x14ac:dyDescent="0.3">
      <c r="A31" s="40">
        <v>9385</v>
      </c>
      <c r="B31" s="40" t="s">
        <v>72</v>
      </c>
      <c r="C31" s="40" t="s">
        <v>331</v>
      </c>
      <c r="D31" s="40" t="s">
        <v>153</v>
      </c>
      <c r="E31" s="40">
        <v>17</v>
      </c>
      <c r="F31" s="40" t="s">
        <v>42</v>
      </c>
      <c r="G31" s="40" t="s">
        <v>42</v>
      </c>
      <c r="H31" s="41" t="s">
        <v>550</v>
      </c>
      <c r="I31" s="64" t="s">
        <v>47</v>
      </c>
      <c r="J31" s="65" t="s">
        <v>47</v>
      </c>
      <c r="K31" s="66" t="s">
        <v>43</v>
      </c>
      <c r="L31" s="40">
        <v>2</v>
      </c>
      <c r="M31" s="40">
        <v>4</v>
      </c>
      <c r="N31" s="40">
        <v>2</v>
      </c>
      <c r="O31" s="40">
        <v>1</v>
      </c>
      <c r="P31" s="41">
        <v>5</v>
      </c>
      <c r="Q31" s="40">
        <v>6</v>
      </c>
      <c r="R31" s="40">
        <v>6</v>
      </c>
      <c r="S31" s="40">
        <v>4</v>
      </c>
      <c r="T31" s="40">
        <v>3</v>
      </c>
      <c r="U31" s="41">
        <v>8</v>
      </c>
      <c r="V31" s="40">
        <v>9</v>
      </c>
      <c r="W31" s="40">
        <v>9</v>
      </c>
      <c r="X31" s="40">
        <v>1</v>
      </c>
      <c r="Y31" s="41">
        <v>1</v>
      </c>
      <c r="Z31" s="40" t="s">
        <v>45</v>
      </c>
      <c r="AA31" s="40" t="s">
        <v>45</v>
      </c>
      <c r="AB31" s="40" t="s">
        <v>45</v>
      </c>
      <c r="AC31" s="40" t="s">
        <v>45</v>
      </c>
      <c r="AD31" s="40">
        <v>2</v>
      </c>
      <c r="AE31" s="40" t="s">
        <v>45</v>
      </c>
      <c r="AF31" s="40" t="s">
        <v>45</v>
      </c>
      <c r="AG31" s="41" t="s">
        <v>45</v>
      </c>
      <c r="AH31" s="40">
        <v>3</v>
      </c>
      <c r="AI31" s="40">
        <v>2</v>
      </c>
      <c r="AJ31" s="41">
        <v>1</v>
      </c>
      <c r="AK31" s="43" t="s">
        <v>497</v>
      </c>
      <c r="AL31" s="43" t="s">
        <v>103</v>
      </c>
      <c r="AM31" s="44">
        <f t="shared" si="1"/>
        <v>-1.3654810214765516</v>
      </c>
      <c r="AN31" s="44">
        <f t="shared" si="2"/>
        <v>0.49245319008976984</v>
      </c>
      <c r="AO31" s="45">
        <f t="shared" si="3"/>
        <v>0</v>
      </c>
      <c r="AP31" s="46">
        <f t="shared" si="4"/>
        <v>0</v>
      </c>
      <c r="AQ31" s="44">
        <f>($AM$3*AM31+$AN$3*AN31+$AO$3*AO31+$AP$3*AP31)+$I$3*VLOOKUP(I31,COND!$A$2:$E$7,4,FALSE)+$J$3*VLOOKUP(J31,COND!$A$2:$C$7,2,FALSE)+$K$3*VLOOKUP(K31,COND!$A$2:$C$7,3,FALSE)+IF(AND($B$2&gt;0,$E31&lt;20),$B$2*25,0)</f>
        <v>56.297890178929578</v>
      </c>
      <c r="AR31" s="47">
        <f t="shared" si="5"/>
        <v>1.9091752379210818</v>
      </c>
      <c r="AS31" s="45" t="str">
        <f t="shared" si="6"/>
        <v>SS</v>
      </c>
      <c r="AT31" s="45">
        <v>4</v>
      </c>
      <c r="AU31" s="45">
        <v>27</v>
      </c>
      <c r="AV31" s="45">
        <v>27</v>
      </c>
      <c r="AW31" s="45" t="str">
        <f t="shared" si="7"/>
        <v>Possible</v>
      </c>
      <c r="AX31" s="45"/>
      <c r="AY31" s="45">
        <f>INDEX(Table5[[#All],[Ovr]],MATCH(Batters[[#This Row],[PID]],Table5[[#All],[PID]],0))</f>
        <v>106</v>
      </c>
      <c r="AZ31" s="45" t="str">
        <f>INDEX(Table5[[#All],[Rnd]],MATCH(Batters[[#This Row],[PID]],Table5[[#All],[PID]],0))</f>
        <v>4</v>
      </c>
      <c r="BA31" s="45">
        <f>INDEX(Table5[[#All],[Pick]],MATCH(Batters[[#This Row],[PID]],Table5[[#All],[PID]],0))</f>
        <v>1</v>
      </c>
      <c r="BB31" s="45" t="str">
        <f>INDEX(Table5[[#All],[Team]],MATCH(Batters[[#This Row],[PID]],Table5[[#All],[PID]],0))</f>
        <v>Aurora Borealis</v>
      </c>
    </row>
    <row r="32" spans="1:54" ht="15" customHeight="1" x14ac:dyDescent="0.3">
      <c r="A32" s="40">
        <v>11619</v>
      </c>
      <c r="B32" s="40" t="s">
        <v>87</v>
      </c>
      <c r="C32" s="40" t="s">
        <v>127</v>
      </c>
      <c r="D32" s="40" t="s">
        <v>605</v>
      </c>
      <c r="E32" s="40">
        <v>17</v>
      </c>
      <c r="F32" s="40" t="s">
        <v>42</v>
      </c>
      <c r="G32" s="40" t="s">
        <v>42</v>
      </c>
      <c r="H32" s="41" t="s">
        <v>549</v>
      </c>
      <c r="I32" s="64" t="s">
        <v>43</v>
      </c>
      <c r="J32" s="65" t="s">
        <v>43</v>
      </c>
      <c r="K32" s="66" t="s">
        <v>44</v>
      </c>
      <c r="L32" s="40">
        <v>1</v>
      </c>
      <c r="M32" s="40">
        <v>2</v>
      </c>
      <c r="N32" s="40">
        <v>3</v>
      </c>
      <c r="O32" s="40">
        <v>3</v>
      </c>
      <c r="P32" s="41">
        <v>1</v>
      </c>
      <c r="Q32" s="40">
        <v>4</v>
      </c>
      <c r="R32" s="40">
        <v>6</v>
      </c>
      <c r="S32" s="40">
        <v>8</v>
      </c>
      <c r="T32" s="40">
        <v>7</v>
      </c>
      <c r="U32" s="41">
        <v>3</v>
      </c>
      <c r="V32" s="40">
        <v>3</v>
      </c>
      <c r="W32" s="40">
        <v>6</v>
      </c>
      <c r="X32" s="40">
        <v>1</v>
      </c>
      <c r="Y32" s="41">
        <v>1</v>
      </c>
      <c r="Z32" s="40" t="s">
        <v>45</v>
      </c>
      <c r="AA32" s="40">
        <v>3</v>
      </c>
      <c r="AB32" s="40">
        <v>1</v>
      </c>
      <c r="AC32" s="40" t="s">
        <v>45</v>
      </c>
      <c r="AD32" s="40" t="s">
        <v>45</v>
      </c>
      <c r="AE32" s="40">
        <v>1</v>
      </c>
      <c r="AF32" s="40" t="s">
        <v>45</v>
      </c>
      <c r="AG32" s="41">
        <v>1</v>
      </c>
      <c r="AH32" s="40">
        <v>1</v>
      </c>
      <c r="AI32" s="40">
        <v>4</v>
      </c>
      <c r="AJ32" s="41">
        <v>2</v>
      </c>
      <c r="AK32" s="43" t="s">
        <v>579</v>
      </c>
      <c r="AL32" s="43" t="s">
        <v>103</v>
      </c>
      <c r="AM32" s="44">
        <f t="shared" si="1"/>
        <v>-1.6877413821419032</v>
      </c>
      <c r="AN32" s="44">
        <f t="shared" si="2"/>
        <v>0.33834399473293331</v>
      </c>
      <c r="AO32" s="45">
        <f t="shared" si="3"/>
        <v>0</v>
      </c>
      <c r="AP32" s="46">
        <f t="shared" si="4"/>
        <v>0</v>
      </c>
      <c r="AQ32" s="44">
        <f>($AM$3*AM32+$AN$3*AN32+$AO$3*AO32+$AP$3*AP32)+$I$3*VLOOKUP(I32,COND!$A$2:$E$7,4,FALSE)+$J$3*VLOOKUP(J32,COND!$A$2:$C$7,2,FALSE)+$K$3*VLOOKUP(K32,COND!$A$2:$C$7,3,FALSE)+IF(AND($B$2&gt;0,$E32&lt;20),$B$2*25,0)</f>
        <v>53.591353798581011</v>
      </c>
      <c r="AR32" s="47">
        <f t="shared" si="5"/>
        <v>1.5141072387903562</v>
      </c>
      <c r="AS32" s="45" t="str">
        <f t="shared" si="6"/>
        <v>2B</v>
      </c>
      <c r="AT32" s="45">
        <v>4</v>
      </c>
      <c r="AU32" s="45">
        <v>28</v>
      </c>
      <c r="AV32" s="45">
        <v>28</v>
      </c>
      <c r="AW32" s="45" t="str">
        <f t="shared" si="7"/>
        <v>Possible</v>
      </c>
      <c r="AX32" s="45"/>
      <c r="AY32" s="45">
        <f>INDEX(Table5[[#All],[Ovr]],MATCH(Batters[[#This Row],[PID]],Table5[[#All],[PID]],0))</f>
        <v>115</v>
      </c>
      <c r="AZ32" s="45" t="str">
        <f>INDEX(Table5[[#All],[Rnd]],MATCH(Batters[[#This Row],[PID]],Table5[[#All],[PID]],0))</f>
        <v>4</v>
      </c>
      <c r="BA32" s="45">
        <f>INDEX(Table5[[#All],[Pick]],MATCH(Batters[[#This Row],[PID]],Table5[[#All],[PID]],0))</f>
        <v>10</v>
      </c>
      <c r="BB32" s="45" t="str">
        <f>INDEX(Table5[[#All],[Team]],MATCH(Batters[[#This Row],[PID]],Table5[[#All],[PID]],0))</f>
        <v>London Underground</v>
      </c>
    </row>
    <row r="33" spans="1:54" ht="15" customHeight="1" x14ac:dyDescent="0.3">
      <c r="A33" s="40">
        <v>20817</v>
      </c>
      <c r="B33" s="40" t="s">
        <v>69</v>
      </c>
      <c r="C33" s="40" t="s">
        <v>560</v>
      </c>
      <c r="D33" s="40" t="s">
        <v>129</v>
      </c>
      <c r="E33" s="40">
        <v>17</v>
      </c>
      <c r="F33" s="40" t="s">
        <v>53</v>
      </c>
      <c r="G33" s="40" t="s">
        <v>42</v>
      </c>
      <c r="H33" s="41" t="s">
        <v>550</v>
      </c>
      <c r="I33" s="64" t="s">
        <v>43</v>
      </c>
      <c r="J33" s="65" t="s">
        <v>47</v>
      </c>
      <c r="K33" s="66" t="s">
        <v>47</v>
      </c>
      <c r="L33" s="40">
        <v>2</v>
      </c>
      <c r="M33" s="40">
        <v>5</v>
      </c>
      <c r="N33" s="40">
        <v>2</v>
      </c>
      <c r="O33" s="40">
        <v>2</v>
      </c>
      <c r="P33" s="41">
        <v>2</v>
      </c>
      <c r="Q33" s="40">
        <v>5</v>
      </c>
      <c r="R33" s="40">
        <v>6</v>
      </c>
      <c r="S33" s="40">
        <v>3</v>
      </c>
      <c r="T33" s="40">
        <v>4</v>
      </c>
      <c r="U33" s="41">
        <v>6</v>
      </c>
      <c r="V33" s="40">
        <v>7</v>
      </c>
      <c r="W33" s="40">
        <v>7</v>
      </c>
      <c r="X33" s="40">
        <v>1</v>
      </c>
      <c r="Y33" s="41">
        <v>1</v>
      </c>
      <c r="Z33" s="40" t="s">
        <v>45</v>
      </c>
      <c r="AA33" s="40" t="s">
        <v>45</v>
      </c>
      <c r="AB33" s="40" t="s">
        <v>45</v>
      </c>
      <c r="AC33" s="40">
        <v>4</v>
      </c>
      <c r="AD33" s="40" t="s">
        <v>45</v>
      </c>
      <c r="AE33" s="40" t="s">
        <v>45</v>
      </c>
      <c r="AF33" s="40" t="s">
        <v>45</v>
      </c>
      <c r="AG33" s="41" t="s">
        <v>45</v>
      </c>
      <c r="AH33" s="40">
        <v>4</v>
      </c>
      <c r="AI33" s="40">
        <v>1</v>
      </c>
      <c r="AJ33" s="41">
        <v>1</v>
      </c>
      <c r="AK33" s="43" t="s">
        <v>528</v>
      </c>
      <c r="AL33" s="43" t="s">
        <v>103</v>
      </c>
      <c r="AM33" s="44">
        <f t="shared" si="1"/>
        <v>-1.3447606112995172</v>
      </c>
      <c r="AN33" s="44">
        <f t="shared" si="2"/>
        <v>9.6512730238607708E-2</v>
      </c>
      <c r="AO33" s="45">
        <f t="shared" si="3"/>
        <v>0</v>
      </c>
      <c r="AP33" s="46">
        <f t="shared" si="4"/>
        <v>0</v>
      </c>
      <c r="AQ33" s="44">
        <f>($AM$3*AM33+$AN$3*AN33+$AO$3*AO33+$AP$3*AP33)+$I$3*VLOOKUP(I33,COND!$A$2:$E$7,4,FALSE)+$J$3*VLOOKUP(J33,COND!$A$2:$C$7,2,FALSE)+$K$3*VLOOKUP(K33,COND!$A$2:$C$7,3,FALSE)+IF(AND($B$2&gt;0,$E33&lt;20),$B$2*25,0)</f>
        <v>51.623676701733345</v>
      </c>
      <c r="AR33" s="47">
        <f t="shared" si="5"/>
        <v>1.2268891325675066</v>
      </c>
      <c r="AS33" s="45" t="str">
        <f t="shared" si="6"/>
        <v>3B</v>
      </c>
      <c r="AT33" s="45">
        <v>3</v>
      </c>
      <c r="AU33" s="45">
        <v>29</v>
      </c>
      <c r="AV33" s="45">
        <v>29</v>
      </c>
      <c r="AW33" s="45" t="str">
        <f t="shared" si="7"/>
        <v>Unlikely</v>
      </c>
      <c r="AX33" s="45"/>
      <c r="AY33" s="45">
        <f>INDEX(Table5[[#All],[Ovr]],MATCH(Batters[[#This Row],[PID]],Table5[[#All],[PID]],0))</f>
        <v>113</v>
      </c>
      <c r="AZ33" s="45" t="str">
        <f>INDEX(Table5[[#All],[Rnd]],MATCH(Batters[[#This Row],[PID]],Table5[[#All],[PID]],0))</f>
        <v>4</v>
      </c>
      <c r="BA33" s="45">
        <f>INDEX(Table5[[#All],[Pick]],MATCH(Batters[[#This Row],[PID]],Table5[[#All],[PID]],0))</f>
        <v>8</v>
      </c>
      <c r="BB33" s="45" t="str">
        <f>INDEX(Table5[[#All],[Team]],MATCH(Batters[[#This Row],[PID]],Table5[[#All],[PID]],0))</f>
        <v>Gloucester Fishermen</v>
      </c>
    </row>
    <row r="34" spans="1:54" ht="15" customHeight="1" x14ac:dyDescent="0.3">
      <c r="A34" s="40">
        <v>13436</v>
      </c>
      <c r="B34" s="40" t="s">
        <v>69</v>
      </c>
      <c r="C34" s="40" t="s">
        <v>1019</v>
      </c>
      <c r="D34" s="40" t="s">
        <v>356</v>
      </c>
      <c r="E34" s="40">
        <v>18</v>
      </c>
      <c r="F34" s="40" t="s">
        <v>42</v>
      </c>
      <c r="G34" s="40" t="s">
        <v>42</v>
      </c>
      <c r="H34" s="41" t="s">
        <v>549</v>
      </c>
      <c r="I34" s="64" t="s">
        <v>43</v>
      </c>
      <c r="J34" s="65" t="s">
        <v>43</v>
      </c>
      <c r="K34" s="66" t="s">
        <v>44</v>
      </c>
      <c r="L34" s="40">
        <v>1</v>
      </c>
      <c r="M34" s="40">
        <v>3</v>
      </c>
      <c r="N34" s="40">
        <v>4</v>
      </c>
      <c r="O34" s="40">
        <v>3</v>
      </c>
      <c r="P34" s="41">
        <v>3</v>
      </c>
      <c r="Q34" s="40">
        <v>4</v>
      </c>
      <c r="R34" s="40">
        <v>5</v>
      </c>
      <c r="S34" s="40">
        <v>7</v>
      </c>
      <c r="T34" s="40">
        <v>6</v>
      </c>
      <c r="U34" s="41">
        <v>4</v>
      </c>
      <c r="V34" s="40">
        <v>10</v>
      </c>
      <c r="W34" s="40">
        <v>9</v>
      </c>
      <c r="X34" s="40">
        <v>1</v>
      </c>
      <c r="Y34" s="41">
        <v>1</v>
      </c>
      <c r="Z34" s="40" t="s">
        <v>45</v>
      </c>
      <c r="AA34" s="40" t="s">
        <v>45</v>
      </c>
      <c r="AB34" s="40" t="s">
        <v>45</v>
      </c>
      <c r="AC34" s="40">
        <v>3</v>
      </c>
      <c r="AD34" s="40" t="s">
        <v>45</v>
      </c>
      <c r="AE34" s="40" t="s">
        <v>45</v>
      </c>
      <c r="AF34" s="40" t="s">
        <v>45</v>
      </c>
      <c r="AG34" s="41" t="s">
        <v>45</v>
      </c>
      <c r="AH34" s="40">
        <v>4</v>
      </c>
      <c r="AI34" s="40">
        <v>2</v>
      </c>
      <c r="AJ34" s="41">
        <v>3</v>
      </c>
      <c r="AK34" s="43" t="s">
        <v>748</v>
      </c>
      <c r="AL34" s="43" t="s">
        <v>103</v>
      </c>
      <c r="AM34" s="44">
        <f t="shared" si="1"/>
        <v>-1.4735873288651311</v>
      </c>
      <c r="AN34" s="44">
        <f t="shared" si="2"/>
        <v>0.15452941089783068</v>
      </c>
      <c r="AO34" s="45">
        <f t="shared" si="3"/>
        <v>0</v>
      </c>
      <c r="AP34" s="46">
        <f t="shared" si="4"/>
        <v>0</v>
      </c>
      <c r="AQ34" s="44">
        <f>($AM$3*AM34+$AN$3*AN34+$AO$3*AO34+$AP$3*AP34)+$I$3*VLOOKUP(I34,COND!$A$2:$E$7,4,FALSE)+$J$3*VLOOKUP(J34,COND!$A$2:$C$7,2,FALSE)+$K$3*VLOOKUP(K34,COND!$A$2:$C$7,3,FALSE)+IF(AND($B$2&gt;0,$E34&lt;20),$B$2*25,0)</f>
        <v>51.406994197887457</v>
      </c>
      <c r="AR34" s="47">
        <f t="shared" si="5"/>
        <v>1.1952603970875106</v>
      </c>
      <c r="AS34" s="45" t="str">
        <f t="shared" si="6"/>
        <v>3B</v>
      </c>
      <c r="AT34" s="45">
        <v>4</v>
      </c>
      <c r="AU34" s="45">
        <v>30</v>
      </c>
      <c r="AV34" s="45">
        <v>30</v>
      </c>
      <c r="AW34" s="45" t="str">
        <f t="shared" si="7"/>
        <v>Possible</v>
      </c>
      <c r="AX34" s="45"/>
      <c r="AY34" s="45">
        <f>INDEX(Table5[[#All],[Ovr]],MATCH(Batters[[#This Row],[PID]],Table5[[#All],[PID]],0))</f>
        <v>96</v>
      </c>
      <c r="AZ34" s="45" t="str">
        <f>INDEX(Table5[[#All],[Rnd]],MATCH(Batters[[#This Row],[PID]],Table5[[#All],[PID]],0))</f>
        <v>3</v>
      </c>
      <c r="BA34" s="45">
        <f>INDEX(Table5[[#All],[Pick]],MATCH(Batters[[#This Row],[PID]],Table5[[#All],[PID]],0))</f>
        <v>24</v>
      </c>
      <c r="BB34" s="45" t="str">
        <f>INDEX(Table5[[#All],[Team]],MATCH(Batters[[#This Row],[PID]],Table5[[#All],[PID]],0))</f>
        <v>Kentucky Thoroughbreds</v>
      </c>
    </row>
    <row r="35" spans="1:54" ht="15" customHeight="1" x14ac:dyDescent="0.3">
      <c r="A35" s="40">
        <v>20230</v>
      </c>
      <c r="B35" s="40" t="s">
        <v>50</v>
      </c>
      <c r="C35" s="40" t="s">
        <v>125</v>
      </c>
      <c r="D35" s="40" t="s">
        <v>996</v>
      </c>
      <c r="E35" s="40">
        <v>21</v>
      </c>
      <c r="F35" s="40" t="s">
        <v>53</v>
      </c>
      <c r="G35" s="40" t="s">
        <v>53</v>
      </c>
      <c r="H35" s="41" t="s">
        <v>549</v>
      </c>
      <c r="I35" s="64" t="s">
        <v>44</v>
      </c>
      <c r="J35" s="65" t="s">
        <v>43</v>
      </c>
      <c r="K35" s="66" t="s">
        <v>43</v>
      </c>
      <c r="L35" s="40">
        <v>3</v>
      </c>
      <c r="M35" s="40">
        <v>6</v>
      </c>
      <c r="N35" s="40">
        <v>6</v>
      </c>
      <c r="O35" s="40">
        <v>5</v>
      </c>
      <c r="P35" s="41">
        <v>2</v>
      </c>
      <c r="Q35" s="40">
        <v>4</v>
      </c>
      <c r="R35" s="40">
        <v>7</v>
      </c>
      <c r="S35" s="40">
        <v>7</v>
      </c>
      <c r="T35" s="40">
        <v>6</v>
      </c>
      <c r="U35" s="41">
        <v>4</v>
      </c>
      <c r="V35" s="40">
        <v>3</v>
      </c>
      <c r="W35" s="40">
        <v>6</v>
      </c>
      <c r="X35" s="40">
        <v>1</v>
      </c>
      <c r="Y35" s="41">
        <v>1</v>
      </c>
      <c r="Z35" s="40" t="s">
        <v>45</v>
      </c>
      <c r="AA35" s="40" t="s">
        <v>45</v>
      </c>
      <c r="AB35" s="40" t="s">
        <v>45</v>
      </c>
      <c r="AC35" s="40" t="s">
        <v>45</v>
      </c>
      <c r="AD35" s="40" t="s">
        <v>45</v>
      </c>
      <c r="AE35" s="40">
        <v>3</v>
      </c>
      <c r="AF35" s="40">
        <v>3</v>
      </c>
      <c r="AG35" s="41">
        <v>1</v>
      </c>
      <c r="AH35" s="40">
        <v>8</v>
      </c>
      <c r="AI35" s="40">
        <v>3</v>
      </c>
      <c r="AJ35" s="41">
        <v>3</v>
      </c>
      <c r="AK35" s="43" t="s">
        <v>997</v>
      </c>
      <c r="AL35" s="43" t="s">
        <v>103</v>
      </c>
      <c r="AM35" s="44">
        <f t="shared" si="1"/>
        <v>-0.36977026935379004</v>
      </c>
      <c r="AN35" s="44">
        <f t="shared" si="2"/>
        <v>0.25664917013523769</v>
      </c>
      <c r="AO35" s="45">
        <f t="shared" si="3"/>
        <v>1</v>
      </c>
      <c r="AP35" s="46">
        <f t="shared" si="4"/>
        <v>0</v>
      </c>
      <c r="AQ35" s="44">
        <f>($AM$3*AM35+$AN$3*AN35+$AO$3*AO35+$AP$3*AP35)+$I$3*VLOOKUP(I35,COND!$A$2:$E$7,4,FALSE)+$J$3*VLOOKUP(J35,COND!$A$2:$C$7,2,FALSE)+$K$3*VLOOKUP(K35,COND!$A$2:$C$7,3,FALSE)+IF(AND($B$2&gt;0,$E35&lt;20),$B$2*25,0)</f>
        <v>48.059479681354141</v>
      </c>
      <c r="AR35" s="47">
        <f t="shared" si="5"/>
        <v>0.70663003109274258</v>
      </c>
      <c r="AS35" s="45" t="str">
        <f t="shared" si="6"/>
        <v>CF</v>
      </c>
      <c r="AT35" s="45">
        <v>4</v>
      </c>
      <c r="AU35" s="45">
        <v>31</v>
      </c>
      <c r="AV35" s="45">
        <v>31</v>
      </c>
      <c r="AW35" s="45" t="str">
        <f t="shared" si="7"/>
        <v>Possible</v>
      </c>
      <c r="AX35" s="45"/>
      <c r="AY35" s="45">
        <f>INDEX(Table5[[#All],[Ovr]],MATCH(Batters[[#This Row],[PID]],Table5[[#All],[PID]],0))</f>
        <v>56</v>
      </c>
      <c r="AZ35" s="45" t="str">
        <f>INDEX(Table5[[#All],[Rnd]],MATCH(Batters[[#This Row],[PID]],Table5[[#All],[PID]],0))</f>
        <v>2</v>
      </c>
      <c r="BA35" s="45">
        <f>INDEX(Table5[[#All],[Pick]],MATCH(Batters[[#This Row],[PID]],Table5[[#All],[PID]],0))</f>
        <v>20</v>
      </c>
      <c r="BB35" s="45" t="str">
        <f>INDEX(Table5[[#All],[Team]],MATCH(Batters[[#This Row],[PID]],Table5[[#All],[PID]],0))</f>
        <v>Duluth Warriors</v>
      </c>
    </row>
    <row r="36" spans="1:54" ht="15" customHeight="1" x14ac:dyDescent="0.3">
      <c r="A36" s="40">
        <v>20596</v>
      </c>
      <c r="B36" s="40" t="s">
        <v>66</v>
      </c>
      <c r="C36" s="40" t="s">
        <v>1116</v>
      </c>
      <c r="D36" s="40" t="s">
        <v>1117</v>
      </c>
      <c r="E36" s="40">
        <v>17</v>
      </c>
      <c r="F36" s="40" t="s">
        <v>53</v>
      </c>
      <c r="G36" s="40" t="s">
        <v>53</v>
      </c>
      <c r="H36" s="41" t="s">
        <v>550</v>
      </c>
      <c r="I36" s="64" t="s">
        <v>43</v>
      </c>
      <c r="J36" s="65" t="s">
        <v>43</v>
      </c>
      <c r="K36" s="66" t="s">
        <v>44</v>
      </c>
      <c r="L36" s="40">
        <v>2</v>
      </c>
      <c r="M36" s="40">
        <v>3</v>
      </c>
      <c r="N36" s="40">
        <v>2</v>
      </c>
      <c r="O36" s="40">
        <v>2</v>
      </c>
      <c r="P36" s="41">
        <v>8</v>
      </c>
      <c r="Q36" s="40">
        <v>6</v>
      </c>
      <c r="R36" s="40">
        <v>5</v>
      </c>
      <c r="S36" s="40">
        <v>3</v>
      </c>
      <c r="T36" s="40">
        <v>2</v>
      </c>
      <c r="U36" s="41">
        <v>9</v>
      </c>
      <c r="V36" s="40">
        <v>5</v>
      </c>
      <c r="W36" s="40">
        <v>6</v>
      </c>
      <c r="X36" s="40">
        <v>1</v>
      </c>
      <c r="Y36" s="41">
        <v>1</v>
      </c>
      <c r="Z36" s="40" t="s">
        <v>45</v>
      </c>
      <c r="AA36" s="40" t="s">
        <v>45</v>
      </c>
      <c r="AB36" s="40" t="s">
        <v>45</v>
      </c>
      <c r="AC36" s="40" t="s">
        <v>45</v>
      </c>
      <c r="AD36" s="40" t="s">
        <v>45</v>
      </c>
      <c r="AE36" s="40">
        <v>1</v>
      </c>
      <c r="AF36" s="40" t="s">
        <v>45</v>
      </c>
      <c r="AG36" s="41">
        <v>1</v>
      </c>
      <c r="AH36" s="40">
        <v>4</v>
      </c>
      <c r="AI36" s="40">
        <v>7</v>
      </c>
      <c r="AJ36" s="41">
        <v>6</v>
      </c>
      <c r="AK36" s="43" t="s">
        <v>498</v>
      </c>
      <c r="AL36" s="43" t="s">
        <v>103</v>
      </c>
      <c r="AM36" s="44">
        <f t="shared" si="1"/>
        <v>-1.2067823316344237</v>
      </c>
      <c r="AN36" s="44">
        <f t="shared" si="2"/>
        <v>0.30863860625466727</v>
      </c>
      <c r="AO36" s="45">
        <f t="shared" si="3"/>
        <v>0</v>
      </c>
      <c r="AP36" s="46">
        <f t="shared" si="4"/>
        <v>0</v>
      </c>
      <c r="AQ36" s="44">
        <f>($AM$3*AM36+$AN$3*AN36+$AO$3*AO36+$AP$3*AP36)+$I$3*VLOOKUP(I36,COND!$A$2:$E$7,4,FALSE)+$J$3*VLOOKUP(J36,COND!$A$2:$C$7,2,FALSE)+$K$3*VLOOKUP(K36,COND!$A$2:$C$7,3,FALSE)+IF(AND($B$2&gt;0,$E36&lt;20),$B$2*25,0)</f>
        <v>53.282985041892559</v>
      </c>
      <c r="AR36" s="47">
        <f t="shared" si="5"/>
        <v>1.4690952343023005</v>
      </c>
      <c r="AS36" s="45" t="str">
        <f t="shared" si="6"/>
        <v>RF</v>
      </c>
      <c r="AT36" s="45">
        <v>4</v>
      </c>
      <c r="AU36" s="45">
        <v>32</v>
      </c>
      <c r="AV36" s="45">
        <v>32</v>
      </c>
      <c r="AW36" s="45" t="str">
        <f t="shared" si="7"/>
        <v>Unlikely</v>
      </c>
      <c r="AX36" s="45"/>
      <c r="AY36" s="45">
        <f>INDEX(Table5[[#All],[Ovr]],MATCH(Batters[[#This Row],[PID]],Table5[[#All],[PID]],0))</f>
        <v>135</v>
      </c>
      <c r="AZ36" s="45" t="str">
        <f>INDEX(Table5[[#All],[Rnd]],MATCH(Batters[[#This Row],[PID]],Table5[[#All],[PID]],0))</f>
        <v>4</v>
      </c>
      <c r="BA36" s="45">
        <f>INDEX(Table5[[#All],[Pick]],MATCH(Batters[[#This Row],[PID]],Table5[[#All],[PID]],0))</f>
        <v>30</v>
      </c>
      <c r="BB36" s="45" t="str">
        <f>INDEX(Table5[[#All],[Team]],MATCH(Batters[[#This Row],[PID]],Table5[[#All],[PID]],0))</f>
        <v>Toyama Wind Dancers</v>
      </c>
    </row>
    <row r="37" spans="1:54" ht="15" customHeight="1" x14ac:dyDescent="0.3">
      <c r="A37" s="40">
        <v>11580</v>
      </c>
      <c r="B37" s="40" t="s">
        <v>87</v>
      </c>
      <c r="C37" s="40" t="s">
        <v>282</v>
      </c>
      <c r="D37" s="40" t="s">
        <v>704</v>
      </c>
      <c r="E37" s="40">
        <v>17</v>
      </c>
      <c r="F37" s="40" t="s">
        <v>42</v>
      </c>
      <c r="G37" s="40" t="s">
        <v>42</v>
      </c>
      <c r="H37" s="41" t="s">
        <v>550</v>
      </c>
      <c r="I37" s="64" t="s">
        <v>43</v>
      </c>
      <c r="J37" s="65" t="s">
        <v>43</v>
      </c>
      <c r="K37" s="66" t="s">
        <v>43</v>
      </c>
      <c r="L37" s="40">
        <v>1</v>
      </c>
      <c r="M37" s="40">
        <v>3</v>
      </c>
      <c r="N37" s="40">
        <v>3</v>
      </c>
      <c r="O37" s="40">
        <v>3</v>
      </c>
      <c r="P37" s="41">
        <v>1</v>
      </c>
      <c r="Q37" s="40">
        <v>4</v>
      </c>
      <c r="R37" s="40">
        <v>6</v>
      </c>
      <c r="S37" s="40">
        <v>7</v>
      </c>
      <c r="T37" s="40">
        <v>6</v>
      </c>
      <c r="U37" s="41">
        <v>3</v>
      </c>
      <c r="V37" s="40">
        <v>4</v>
      </c>
      <c r="W37" s="40">
        <v>4</v>
      </c>
      <c r="X37" s="40">
        <v>4</v>
      </c>
      <c r="Y37" s="41">
        <v>3</v>
      </c>
      <c r="Z37" s="40" t="s">
        <v>45</v>
      </c>
      <c r="AA37" s="40">
        <v>1</v>
      </c>
      <c r="AB37" s="40" t="s">
        <v>45</v>
      </c>
      <c r="AC37" s="40" t="s">
        <v>45</v>
      </c>
      <c r="AD37" s="40" t="s">
        <v>45</v>
      </c>
      <c r="AE37" s="40" t="s">
        <v>45</v>
      </c>
      <c r="AF37" s="40" t="s">
        <v>45</v>
      </c>
      <c r="AG37" s="41" t="s">
        <v>45</v>
      </c>
      <c r="AH37" s="40">
        <v>1</v>
      </c>
      <c r="AI37" s="40">
        <v>1</v>
      </c>
      <c r="AJ37" s="41">
        <v>1</v>
      </c>
      <c r="AK37" s="43" t="s">
        <v>497</v>
      </c>
      <c r="AL37" s="43" t="s">
        <v>103</v>
      </c>
      <c r="AM37" s="44">
        <f t="shared" si="1"/>
        <v>-1.6366815025231998</v>
      </c>
      <c r="AN37" s="44">
        <f t="shared" si="2"/>
        <v>0.16557295069945074</v>
      </c>
      <c r="AO37" s="45">
        <f t="shared" si="3"/>
        <v>0</v>
      </c>
      <c r="AP37" s="46">
        <f t="shared" si="4"/>
        <v>0</v>
      </c>
      <c r="AQ37" s="44">
        <f>($AM$3*AM37+$AN$3*AN37+$AO$3*AO37+$AP$3*AP37)+$I$3*VLOOKUP(I37,COND!$A$2:$E$7,4,FALSE)+$J$3*VLOOKUP(J37,COND!$A$2:$C$7,2,FALSE)+$K$3*VLOOKUP(K37,COND!$A$2:$C$7,3,FALSE)+IF(AND($B$2&gt;0,$E37&lt;20),$B$2*25,0)</f>
        <v>51.823207258141089</v>
      </c>
      <c r="AR37" s="47">
        <f t="shared" ref="AR37:AR68" si="8">STANDARDIZE(AQ37,AVERAGE($AQ$5:$AQ$442),STDEVP($AQ$5:$AQ$442))</f>
        <v>1.2560142307031894</v>
      </c>
      <c r="AS37" s="45" t="str">
        <f t="shared" si="6"/>
        <v>1B</v>
      </c>
      <c r="AT37" s="45">
        <v>4</v>
      </c>
      <c r="AU37" s="45">
        <v>33</v>
      </c>
      <c r="AV37" s="45">
        <v>33</v>
      </c>
      <c r="AW37" s="45" t="str">
        <f t="shared" si="7"/>
        <v>Possible</v>
      </c>
      <c r="AX37" s="45"/>
      <c r="AY37" s="45">
        <f>INDEX(Table5[[#All],[Ovr]],MATCH(Batters[[#This Row],[PID]],Table5[[#All],[PID]],0))</f>
        <v>130</v>
      </c>
      <c r="AZ37" s="45" t="str">
        <f>INDEX(Table5[[#All],[Rnd]],MATCH(Batters[[#This Row],[PID]],Table5[[#All],[PID]],0))</f>
        <v>4</v>
      </c>
      <c r="BA37" s="45">
        <f>INDEX(Table5[[#All],[Pick]],MATCH(Batters[[#This Row],[PID]],Table5[[#All],[PID]],0))</f>
        <v>25</v>
      </c>
      <c r="BB37" s="45" t="str">
        <f>INDEX(Table5[[#All],[Team]],MATCH(Batters[[#This Row],[PID]],Table5[[#All],[PID]],0))</f>
        <v>West Virginia Alleghenies</v>
      </c>
    </row>
    <row r="38" spans="1:54" ht="15" customHeight="1" x14ac:dyDescent="0.3">
      <c r="A38" s="40">
        <v>12866</v>
      </c>
      <c r="B38" s="40" t="s">
        <v>86</v>
      </c>
      <c r="C38" s="40" t="s">
        <v>1054</v>
      </c>
      <c r="D38" s="40" t="s">
        <v>1055</v>
      </c>
      <c r="E38" s="40">
        <v>17</v>
      </c>
      <c r="F38" s="40" t="s">
        <v>53</v>
      </c>
      <c r="G38" s="40" t="s">
        <v>42</v>
      </c>
      <c r="H38" s="41" t="s">
        <v>550</v>
      </c>
      <c r="I38" s="64" t="s">
        <v>44</v>
      </c>
      <c r="J38" s="65" t="s">
        <v>43</v>
      </c>
      <c r="K38" s="66" t="s">
        <v>43</v>
      </c>
      <c r="L38" s="40">
        <v>1</v>
      </c>
      <c r="M38" s="40">
        <v>4</v>
      </c>
      <c r="N38" s="40">
        <v>5</v>
      </c>
      <c r="O38" s="40">
        <v>5</v>
      </c>
      <c r="P38" s="41">
        <v>1</v>
      </c>
      <c r="Q38" s="40">
        <v>3</v>
      </c>
      <c r="R38" s="40">
        <v>7</v>
      </c>
      <c r="S38" s="40">
        <v>7</v>
      </c>
      <c r="T38" s="40">
        <v>7</v>
      </c>
      <c r="U38" s="41">
        <v>1</v>
      </c>
      <c r="V38" s="40">
        <v>1</v>
      </c>
      <c r="W38" s="40">
        <v>1</v>
      </c>
      <c r="X38" s="40">
        <v>3</v>
      </c>
      <c r="Y38" s="41">
        <v>4</v>
      </c>
      <c r="Z38" s="40" t="s">
        <v>45</v>
      </c>
      <c r="AA38" s="40" t="s">
        <v>45</v>
      </c>
      <c r="AB38" s="40" t="s">
        <v>45</v>
      </c>
      <c r="AC38" s="40" t="s">
        <v>45</v>
      </c>
      <c r="AD38" s="40" t="s">
        <v>45</v>
      </c>
      <c r="AE38" s="40" t="s">
        <v>45</v>
      </c>
      <c r="AF38" s="40" t="s">
        <v>45</v>
      </c>
      <c r="AG38" s="41" t="s">
        <v>45</v>
      </c>
      <c r="AH38" s="40">
        <v>1</v>
      </c>
      <c r="AI38" s="40">
        <v>2</v>
      </c>
      <c r="AJ38" s="41">
        <v>4</v>
      </c>
      <c r="AK38" s="43" t="s">
        <v>497</v>
      </c>
      <c r="AL38" s="43" t="s">
        <v>103</v>
      </c>
      <c r="AM38" s="44">
        <f t="shared" si="1"/>
        <v>-1.2400795348375313</v>
      </c>
      <c r="AN38" s="44">
        <f t="shared" si="2"/>
        <v>-9.6246135509106379E-2</v>
      </c>
      <c r="AO38" s="45">
        <f t="shared" si="3"/>
        <v>0</v>
      </c>
      <c r="AP38" s="46">
        <f t="shared" si="4"/>
        <v>0</v>
      </c>
      <c r="AQ38" s="44">
        <f>($AM$3*AM38+$AN$3*AN38+$AO$3*AO38+$AP$3*AP38)+$I$3*VLOOKUP(I38,COND!$A$2:$E$7,4,FALSE)+$J$3*VLOOKUP(J38,COND!$A$2:$C$7,2,FALSE)+$K$3*VLOOKUP(K38,COND!$A$2:$C$7,3,FALSE)+IF(AND($B$2&gt;0,$E38&lt;20),$B$2*25,0)</f>
        <v>48.571038420406971</v>
      </c>
      <c r="AR38" s="47">
        <f t="shared" si="8"/>
        <v>0.78130129320576502</v>
      </c>
      <c r="AS38" s="45" t="str">
        <f t="shared" si="6"/>
        <v>DH</v>
      </c>
      <c r="AT38" s="45">
        <v>3</v>
      </c>
      <c r="AU38" s="45">
        <v>34</v>
      </c>
      <c r="AV38" s="45">
        <v>34</v>
      </c>
      <c r="AW38" s="45" t="str">
        <f t="shared" si="7"/>
        <v>Possible</v>
      </c>
      <c r="AX38" s="45"/>
      <c r="AY38" s="45">
        <f>INDEX(Table5[[#All],[Ovr]],MATCH(Batters[[#This Row],[PID]],Table5[[#All],[PID]],0))</f>
        <v>21</v>
      </c>
      <c r="AZ38" s="45" t="str">
        <f>INDEX(Table5[[#All],[Rnd]],MATCH(Batters[[#This Row],[PID]],Table5[[#All],[PID]],0))</f>
        <v>1</v>
      </c>
      <c r="BA38" s="45">
        <f>INDEX(Table5[[#All],[Pick]],MATCH(Batters[[#This Row],[PID]],Table5[[#All],[PID]],0))</f>
        <v>21</v>
      </c>
      <c r="BB38" s="45" t="str">
        <f>INDEX(Table5[[#All],[Team]],MATCH(Batters[[#This Row],[PID]],Table5[[#All],[PID]],0))</f>
        <v>Hartford Harpoon</v>
      </c>
    </row>
    <row r="39" spans="1:54" ht="15" customHeight="1" x14ac:dyDescent="0.3">
      <c r="A39" s="40">
        <v>20916</v>
      </c>
      <c r="B39" s="40" t="s">
        <v>71</v>
      </c>
      <c r="C39" s="40" t="s">
        <v>1111</v>
      </c>
      <c r="D39" s="40" t="s">
        <v>622</v>
      </c>
      <c r="E39" s="40">
        <v>17</v>
      </c>
      <c r="F39" s="40" t="s">
        <v>42</v>
      </c>
      <c r="G39" s="40" t="s">
        <v>42</v>
      </c>
      <c r="H39" s="41" t="s">
        <v>550</v>
      </c>
      <c r="I39" s="64" t="s">
        <v>43</v>
      </c>
      <c r="J39" s="65" t="s">
        <v>47</v>
      </c>
      <c r="K39" s="66" t="s">
        <v>43</v>
      </c>
      <c r="L39" s="40">
        <v>2</v>
      </c>
      <c r="M39" s="40">
        <v>3</v>
      </c>
      <c r="N39" s="40">
        <v>2</v>
      </c>
      <c r="O39" s="40">
        <v>1</v>
      </c>
      <c r="P39" s="41">
        <v>5</v>
      </c>
      <c r="Q39" s="40">
        <v>6</v>
      </c>
      <c r="R39" s="40">
        <v>6</v>
      </c>
      <c r="S39" s="40">
        <v>3</v>
      </c>
      <c r="T39" s="40">
        <v>4</v>
      </c>
      <c r="U39" s="41">
        <v>7</v>
      </c>
      <c r="V39" s="40">
        <v>4</v>
      </c>
      <c r="W39" s="40">
        <v>2</v>
      </c>
      <c r="X39" s="40">
        <v>1</v>
      </c>
      <c r="Y39" s="41">
        <v>1</v>
      </c>
      <c r="Z39" s="40" t="s">
        <v>45</v>
      </c>
      <c r="AA39" s="40" t="s">
        <v>45</v>
      </c>
      <c r="AB39" s="40">
        <v>3</v>
      </c>
      <c r="AC39" s="40" t="s">
        <v>45</v>
      </c>
      <c r="AD39" s="40">
        <v>1</v>
      </c>
      <c r="AE39" s="40" t="s">
        <v>45</v>
      </c>
      <c r="AF39" s="40" t="s">
        <v>45</v>
      </c>
      <c r="AG39" s="41" t="s">
        <v>45</v>
      </c>
      <c r="AH39" s="40">
        <v>9</v>
      </c>
      <c r="AI39" s="40">
        <v>5</v>
      </c>
      <c r="AJ39" s="41">
        <v>6</v>
      </c>
      <c r="AK39" s="43" t="s">
        <v>526</v>
      </c>
      <c r="AL39" s="43" t="s">
        <v>103</v>
      </c>
      <c r="AM39" s="44">
        <f t="shared" si="1"/>
        <v>-1.416540901095255</v>
      </c>
      <c r="AN39" s="44">
        <f t="shared" si="2"/>
        <v>0.45908490625836595</v>
      </c>
      <c r="AO39" s="45">
        <f t="shared" si="3"/>
        <v>1</v>
      </c>
      <c r="AP39" s="46">
        <f t="shared" si="4"/>
        <v>0</v>
      </c>
      <c r="AQ39" s="44">
        <f>($AM$3*AM39+$AN$3*AN39+$AO$3*AO39+$AP$3*AP39)+$I$3*VLOOKUP(I39,COND!$A$2:$E$7,4,FALSE)+$J$3*VLOOKUP(J39,COND!$A$2:$C$7,2,FALSE)+$K$3*VLOOKUP(K39,COND!$A$2:$C$7,3,FALSE)+IF(AND($B$2&gt;0,$E39&lt;20),$B$2*25,0)</f>
        <v>55.834031451657538</v>
      </c>
      <c r="AR39" s="47">
        <f t="shared" si="8"/>
        <v>1.8414666563578481</v>
      </c>
      <c r="AS39" s="45" t="str">
        <f t="shared" si="6"/>
        <v>2B</v>
      </c>
      <c r="AT39" s="45">
        <v>5</v>
      </c>
      <c r="AU39" s="45">
        <v>35</v>
      </c>
      <c r="AV39" s="45">
        <v>35</v>
      </c>
      <c r="AW39" s="45" t="str">
        <f t="shared" si="7"/>
        <v>Possible</v>
      </c>
      <c r="AX39" s="45"/>
      <c r="AY39" s="63">
        <f>INDEX(Table5[[#All],[Ovr]],MATCH(Batters[[#This Row],[PID]],Table5[[#All],[PID]],0))</f>
        <v>75</v>
      </c>
      <c r="AZ39" s="63" t="str">
        <f>INDEX(Table5[[#All],[Rnd]],MATCH(Batters[[#This Row],[PID]],Table5[[#All],[PID]],0))</f>
        <v>3</v>
      </c>
      <c r="BA39" s="63">
        <f>INDEX(Table5[[#All],[Pick]],MATCH(Batters[[#This Row],[PID]],Table5[[#All],[PID]],0))</f>
        <v>3</v>
      </c>
      <c r="BB39" s="63" t="str">
        <f>INDEX(Table5[[#All],[Team]],MATCH(Batters[[#This Row],[PID]],Table5[[#All],[PID]],0))</f>
        <v>Okinawa Shisa</v>
      </c>
    </row>
    <row r="40" spans="1:54" ht="15" customHeight="1" x14ac:dyDescent="0.3">
      <c r="A40" s="40">
        <v>13433</v>
      </c>
      <c r="B40" s="40" t="s">
        <v>50</v>
      </c>
      <c r="C40" s="40" t="s">
        <v>1118</v>
      </c>
      <c r="D40" s="40" t="s">
        <v>359</v>
      </c>
      <c r="E40" s="40">
        <v>18</v>
      </c>
      <c r="F40" s="40" t="s">
        <v>42</v>
      </c>
      <c r="G40" s="40" t="s">
        <v>42</v>
      </c>
      <c r="H40" s="41" t="s">
        <v>550</v>
      </c>
      <c r="I40" s="64" t="s">
        <v>43</v>
      </c>
      <c r="J40" s="65" t="s">
        <v>47</v>
      </c>
      <c r="K40" s="66" t="s">
        <v>43</v>
      </c>
      <c r="L40" s="40">
        <v>1</v>
      </c>
      <c r="M40" s="40">
        <v>4</v>
      </c>
      <c r="N40" s="40">
        <v>3</v>
      </c>
      <c r="O40" s="40">
        <v>3</v>
      </c>
      <c r="P40" s="41">
        <v>2</v>
      </c>
      <c r="Q40" s="40">
        <v>5</v>
      </c>
      <c r="R40" s="40">
        <v>6</v>
      </c>
      <c r="S40" s="40">
        <v>5</v>
      </c>
      <c r="T40" s="40">
        <v>6</v>
      </c>
      <c r="U40" s="41">
        <v>4</v>
      </c>
      <c r="V40" s="40">
        <v>3</v>
      </c>
      <c r="W40" s="40">
        <v>3</v>
      </c>
      <c r="X40" s="40">
        <v>1</v>
      </c>
      <c r="Y40" s="41">
        <v>1</v>
      </c>
      <c r="Z40" s="40" t="s">
        <v>45</v>
      </c>
      <c r="AA40" s="40" t="s">
        <v>45</v>
      </c>
      <c r="AB40" s="40" t="s">
        <v>45</v>
      </c>
      <c r="AC40" s="40" t="s">
        <v>45</v>
      </c>
      <c r="AD40" s="40" t="s">
        <v>45</v>
      </c>
      <c r="AE40" s="40">
        <v>1</v>
      </c>
      <c r="AF40" s="40" t="s">
        <v>45</v>
      </c>
      <c r="AG40" s="41" t="s">
        <v>45</v>
      </c>
      <c r="AH40" s="40">
        <v>2</v>
      </c>
      <c r="AI40" s="40">
        <v>1</v>
      </c>
      <c r="AJ40" s="41">
        <v>1</v>
      </c>
      <c r="AK40" s="43" t="s">
        <v>506</v>
      </c>
      <c r="AL40" s="43" t="s">
        <v>103</v>
      </c>
      <c r="AM40" s="44">
        <f t="shared" si="1"/>
        <v>-1.5456052830874127</v>
      </c>
      <c r="AN40" s="44">
        <f t="shared" si="2"/>
        <v>0.36202213867140592</v>
      </c>
      <c r="AO40" s="45">
        <f t="shared" si="3"/>
        <v>0</v>
      </c>
      <c r="AP40" s="46">
        <f t="shared" si="4"/>
        <v>0</v>
      </c>
      <c r="AQ40" s="44">
        <f>($AM$3*AM40+$AN$3*AN40+$AO$3*AO40+$AP$3*AP40)+$I$3*VLOOKUP(I40,COND!$A$2:$E$7,4,FALSE)+$J$3*VLOOKUP(J40,COND!$A$2:$C$7,2,FALSE)+$K$3*VLOOKUP(K40,COND!$A$2:$C$7,3,FALSE)+IF(AND($B$2&gt;0,$E40&lt;20),$B$2*25,0)</f>
        <v>54.489705135748125</v>
      </c>
      <c r="AR40" s="47">
        <f t="shared" si="8"/>
        <v>1.6452378852756311</v>
      </c>
      <c r="AS40" s="45" t="str">
        <f t="shared" si="6"/>
        <v>LF</v>
      </c>
      <c r="AT40" s="45">
        <v>5</v>
      </c>
      <c r="AU40" s="45">
        <v>36</v>
      </c>
      <c r="AV40" s="45">
        <v>36</v>
      </c>
      <c r="AW40" s="45" t="str">
        <f t="shared" si="7"/>
        <v>Possible</v>
      </c>
      <c r="AX40" s="45"/>
      <c r="AY40" s="45">
        <f>INDEX(Table5[[#All],[Ovr]],MATCH(Batters[[#This Row],[PID]],Table5[[#All],[PID]],0))</f>
        <v>223</v>
      </c>
      <c r="AZ40" s="45" t="str">
        <f>INDEX(Table5[[#All],[Rnd]],MATCH(Batters[[#This Row],[PID]],Table5[[#All],[PID]],0))</f>
        <v>7</v>
      </c>
      <c r="BA40" s="45">
        <f>INDEX(Table5[[#All],[Pick]],MATCH(Batters[[#This Row],[PID]],Table5[[#All],[PID]],0))</f>
        <v>22</v>
      </c>
      <c r="BB40" s="45" t="str">
        <f>INDEX(Table5[[#All],[Team]],MATCH(Batters[[#This Row],[PID]],Table5[[#All],[PID]],0))</f>
        <v>Bakersfield Bears</v>
      </c>
    </row>
    <row r="41" spans="1:54" ht="15" customHeight="1" x14ac:dyDescent="0.3">
      <c r="A41" s="40">
        <v>20690</v>
      </c>
      <c r="B41" s="40" t="s">
        <v>87</v>
      </c>
      <c r="C41" s="40" t="s">
        <v>1100</v>
      </c>
      <c r="D41" s="40" t="s">
        <v>1101</v>
      </c>
      <c r="E41" s="40">
        <v>17</v>
      </c>
      <c r="F41" s="40" t="s">
        <v>42</v>
      </c>
      <c r="G41" s="40" t="s">
        <v>42</v>
      </c>
      <c r="H41" s="41" t="s">
        <v>550</v>
      </c>
      <c r="I41" s="64" t="s">
        <v>43</v>
      </c>
      <c r="J41" s="65" t="s">
        <v>43</v>
      </c>
      <c r="K41" s="66" t="s">
        <v>43</v>
      </c>
      <c r="L41" s="40">
        <v>1</v>
      </c>
      <c r="M41" s="40">
        <v>3</v>
      </c>
      <c r="N41" s="40">
        <v>4</v>
      </c>
      <c r="O41" s="40">
        <v>4</v>
      </c>
      <c r="P41" s="41">
        <v>1</v>
      </c>
      <c r="Q41" s="40">
        <v>4</v>
      </c>
      <c r="R41" s="40">
        <v>5</v>
      </c>
      <c r="S41" s="40">
        <v>7</v>
      </c>
      <c r="T41" s="40">
        <v>6</v>
      </c>
      <c r="U41" s="41">
        <v>3</v>
      </c>
      <c r="V41" s="40">
        <v>2</v>
      </c>
      <c r="W41" s="40">
        <v>3</v>
      </c>
      <c r="X41" s="40">
        <v>1</v>
      </c>
      <c r="Y41" s="41">
        <v>1</v>
      </c>
      <c r="Z41" s="40" t="s">
        <v>45</v>
      </c>
      <c r="AA41" s="40">
        <v>2</v>
      </c>
      <c r="AB41" s="40" t="s">
        <v>45</v>
      </c>
      <c r="AC41" s="40" t="s">
        <v>45</v>
      </c>
      <c r="AD41" s="40" t="s">
        <v>45</v>
      </c>
      <c r="AE41" s="40" t="s">
        <v>45</v>
      </c>
      <c r="AF41" s="40" t="s">
        <v>45</v>
      </c>
      <c r="AG41" s="41" t="s">
        <v>45</v>
      </c>
      <c r="AH41" s="40">
        <v>1</v>
      </c>
      <c r="AI41" s="40">
        <v>1</v>
      </c>
      <c r="AJ41" s="41">
        <v>1</v>
      </c>
      <c r="AK41" s="43" t="s">
        <v>558</v>
      </c>
      <c r="AL41" s="43" t="s">
        <v>103</v>
      </c>
      <c r="AM41" s="44">
        <f t="shared" si="1"/>
        <v>-1.4639104584897171</v>
      </c>
      <c r="AN41" s="44">
        <f t="shared" si="2"/>
        <v>0.11451307108074724</v>
      </c>
      <c r="AO41" s="45">
        <f t="shared" si="3"/>
        <v>0</v>
      </c>
      <c r="AP41" s="46">
        <f t="shared" si="4"/>
        <v>0</v>
      </c>
      <c r="AQ41" s="44">
        <f>($AM$3*AM41+$AN$3*AN41+$AO$3*AO41+$AP$3*AP41)+$I$3*VLOOKUP(I41,COND!$A$2:$E$7,4,FALSE)+$J$3*VLOOKUP(J41,COND!$A$2:$C$7,2,FALSE)+$K$3*VLOOKUP(K41,COND!$A$2:$C$7,3,FALSE)+IF(AND($B$2&gt;0,$E41&lt;20),$B$2*25,0)</f>
        <v>51.227765807119994</v>
      </c>
      <c r="AR41" s="47">
        <f t="shared" si="8"/>
        <v>1.169098767692083</v>
      </c>
      <c r="AS41" s="45" t="str">
        <f t="shared" si="6"/>
        <v>1B</v>
      </c>
      <c r="AT41" s="45">
        <v>5</v>
      </c>
      <c r="AU41" s="45">
        <v>37</v>
      </c>
      <c r="AV41" s="45">
        <v>37</v>
      </c>
      <c r="AW41" s="45" t="str">
        <f t="shared" si="7"/>
        <v>Possible</v>
      </c>
      <c r="AX41" s="45"/>
      <c r="AY41" s="45">
        <f>INDEX(Table5[[#All],[Ovr]],MATCH(Batters[[#This Row],[PID]],Table5[[#All],[PID]],0))</f>
        <v>137</v>
      </c>
      <c r="AZ41" s="45" t="str">
        <f>INDEX(Table5[[#All],[Rnd]],MATCH(Batters[[#This Row],[PID]],Table5[[#All],[PID]],0))</f>
        <v>4</v>
      </c>
      <c r="BA41" s="45">
        <f>INDEX(Table5[[#All],[Pick]],MATCH(Batters[[#This Row],[PID]],Table5[[#All],[PID]],0))</f>
        <v>32</v>
      </c>
      <c r="BB41" s="45" t="str">
        <f>INDEX(Table5[[#All],[Team]],MATCH(Batters[[#This Row],[PID]],Table5[[#All],[PID]],0))</f>
        <v>Manchester Maulers</v>
      </c>
    </row>
    <row r="42" spans="1:54" ht="15" customHeight="1" x14ac:dyDescent="0.3">
      <c r="A42" s="40">
        <v>20369</v>
      </c>
      <c r="B42" s="40" t="s">
        <v>66</v>
      </c>
      <c r="C42" s="40" t="s">
        <v>1097</v>
      </c>
      <c r="D42" s="40" t="s">
        <v>1098</v>
      </c>
      <c r="E42" s="40">
        <v>17</v>
      </c>
      <c r="F42" s="40" t="s">
        <v>42</v>
      </c>
      <c r="G42" s="40" t="s">
        <v>42</v>
      </c>
      <c r="H42" s="41" t="s">
        <v>550</v>
      </c>
      <c r="I42" s="64" t="s">
        <v>43</v>
      </c>
      <c r="J42" s="65" t="s">
        <v>43</v>
      </c>
      <c r="K42" s="66" t="s">
        <v>43</v>
      </c>
      <c r="L42" s="40">
        <v>2</v>
      </c>
      <c r="M42" s="40">
        <v>4</v>
      </c>
      <c r="N42" s="40">
        <v>2</v>
      </c>
      <c r="O42" s="40">
        <v>3</v>
      </c>
      <c r="P42" s="41">
        <v>4</v>
      </c>
      <c r="Q42" s="40">
        <v>5</v>
      </c>
      <c r="R42" s="40">
        <v>7</v>
      </c>
      <c r="S42" s="40">
        <v>3</v>
      </c>
      <c r="T42" s="40">
        <v>5</v>
      </c>
      <c r="U42" s="41">
        <v>6</v>
      </c>
      <c r="V42" s="40">
        <v>8</v>
      </c>
      <c r="W42" s="40">
        <v>9</v>
      </c>
      <c r="X42" s="40">
        <v>1</v>
      </c>
      <c r="Y42" s="41">
        <v>1</v>
      </c>
      <c r="Z42" s="40" t="s">
        <v>45</v>
      </c>
      <c r="AA42" s="40" t="s">
        <v>45</v>
      </c>
      <c r="AB42" s="40" t="s">
        <v>45</v>
      </c>
      <c r="AC42" s="40" t="s">
        <v>45</v>
      </c>
      <c r="AD42" s="40" t="s">
        <v>45</v>
      </c>
      <c r="AE42" s="40" t="s">
        <v>45</v>
      </c>
      <c r="AF42" s="40" t="s">
        <v>45</v>
      </c>
      <c r="AG42" s="41">
        <v>2</v>
      </c>
      <c r="AH42" s="40">
        <v>2</v>
      </c>
      <c r="AI42" s="40">
        <v>4</v>
      </c>
      <c r="AJ42" s="41">
        <v>2</v>
      </c>
      <c r="AK42" s="43" t="s">
        <v>498</v>
      </c>
      <c r="AL42" s="43" t="s">
        <v>103</v>
      </c>
      <c r="AM42" s="44">
        <f t="shared" si="1"/>
        <v>-1.2260782612744727</v>
      </c>
      <c r="AN42" s="44">
        <f t="shared" si="2"/>
        <v>0.23728215986689224</v>
      </c>
      <c r="AO42" s="45">
        <f t="shared" si="3"/>
        <v>0</v>
      </c>
      <c r="AP42" s="46">
        <f t="shared" si="4"/>
        <v>0</v>
      </c>
      <c r="AQ42" s="44">
        <f>($AM$3*AM42+$AN$3*AN42+$AO$3*AO42+$AP$3*AP42)+$I$3*VLOOKUP(I42,COND!$A$2:$E$7,4,FALSE)+$J$3*VLOOKUP(J42,COND!$A$2:$C$7,2,FALSE)+$K$3*VLOOKUP(K42,COND!$A$2:$C$7,3,FALSE)+IF(AND($B$2&gt;0,$E42&lt;20),$B$2*25,0)</f>
        <v>52.724778092275258</v>
      </c>
      <c r="AR42" s="47">
        <f t="shared" si="8"/>
        <v>1.3876148210747601</v>
      </c>
      <c r="AS42" s="45" t="str">
        <f t="shared" si="6"/>
        <v>RF</v>
      </c>
      <c r="AT42" s="45">
        <v>5</v>
      </c>
      <c r="AU42" s="45">
        <v>38</v>
      </c>
      <c r="AV42" s="45">
        <v>38</v>
      </c>
      <c r="AW42" s="45" t="str">
        <f t="shared" si="7"/>
        <v>Unlikely</v>
      </c>
      <c r="AX42" s="45"/>
      <c r="AY42" s="63">
        <f>INDEX(Table5[[#All],[Ovr]],MATCH(Batters[[#This Row],[PID]],Table5[[#All],[PID]],0))</f>
        <v>160</v>
      </c>
      <c r="AZ42" s="63" t="str">
        <f>INDEX(Table5[[#All],[Rnd]],MATCH(Batters[[#This Row],[PID]],Table5[[#All],[PID]],0))</f>
        <v>5</v>
      </c>
      <c r="BA42" s="63">
        <f>INDEX(Table5[[#All],[Pick]],MATCH(Batters[[#This Row],[PID]],Table5[[#All],[PID]],0))</f>
        <v>23</v>
      </c>
      <c r="BB42" s="63" t="str">
        <f>INDEX(Table5[[#All],[Team]],MATCH(Batters[[#This Row],[PID]],Table5[[#All],[PID]],0))</f>
        <v>Kentucky Thoroughbreds</v>
      </c>
    </row>
    <row r="43" spans="1:54" ht="15" customHeight="1" x14ac:dyDescent="0.3">
      <c r="A43" s="40">
        <v>12616</v>
      </c>
      <c r="B43" s="40" t="s">
        <v>86</v>
      </c>
      <c r="C43" s="40" t="s">
        <v>133</v>
      </c>
      <c r="D43" s="40" t="s">
        <v>1087</v>
      </c>
      <c r="E43" s="40">
        <v>17</v>
      </c>
      <c r="F43" s="40" t="s">
        <v>62</v>
      </c>
      <c r="G43" s="40" t="s">
        <v>42</v>
      </c>
      <c r="H43" s="41" t="s">
        <v>550</v>
      </c>
      <c r="I43" s="64" t="s">
        <v>43</v>
      </c>
      <c r="J43" s="65" t="s">
        <v>43</v>
      </c>
      <c r="K43" s="66" t="s">
        <v>43</v>
      </c>
      <c r="L43" s="40">
        <v>2</v>
      </c>
      <c r="M43" s="40">
        <v>4</v>
      </c>
      <c r="N43" s="40">
        <v>2</v>
      </c>
      <c r="O43" s="40">
        <v>2</v>
      </c>
      <c r="P43" s="41">
        <v>7</v>
      </c>
      <c r="Q43" s="40">
        <v>5</v>
      </c>
      <c r="R43" s="40">
        <v>6</v>
      </c>
      <c r="S43" s="40">
        <v>3</v>
      </c>
      <c r="T43" s="40">
        <v>4</v>
      </c>
      <c r="U43" s="41">
        <v>8</v>
      </c>
      <c r="V43" s="40">
        <v>2</v>
      </c>
      <c r="W43" s="40">
        <v>1</v>
      </c>
      <c r="X43" s="40">
        <v>3</v>
      </c>
      <c r="Y43" s="41">
        <v>6</v>
      </c>
      <c r="Z43" s="40" t="s">
        <v>45</v>
      </c>
      <c r="AA43" s="40" t="s">
        <v>45</v>
      </c>
      <c r="AB43" s="40" t="s">
        <v>45</v>
      </c>
      <c r="AC43" s="40" t="s">
        <v>45</v>
      </c>
      <c r="AD43" s="40" t="s">
        <v>45</v>
      </c>
      <c r="AE43" s="40" t="s">
        <v>45</v>
      </c>
      <c r="AF43" s="40" t="s">
        <v>45</v>
      </c>
      <c r="AG43" s="41" t="s">
        <v>45</v>
      </c>
      <c r="AH43" s="40">
        <v>1</v>
      </c>
      <c r="AI43" s="40">
        <v>5</v>
      </c>
      <c r="AJ43" s="41">
        <v>6</v>
      </c>
      <c r="AK43" s="43" t="s">
        <v>497</v>
      </c>
      <c r="AL43" s="43" t="s">
        <v>103</v>
      </c>
      <c r="AM43" s="44">
        <f t="shared" si="1"/>
        <v>-1.1957387918328035</v>
      </c>
      <c r="AN43" s="44">
        <f t="shared" si="2"/>
        <v>0.17654540987277462</v>
      </c>
      <c r="AO43" s="45">
        <f t="shared" si="3"/>
        <v>0</v>
      </c>
      <c r="AP43" s="46">
        <f t="shared" si="4"/>
        <v>0</v>
      </c>
      <c r="AQ43" s="44">
        <f>($AM$3*AM43+$AN$3*AN43+$AO$3*AO43+$AP$3*AP43)+$I$3*VLOOKUP(I43,COND!$A$2:$E$7,4,FALSE)+$J$3*VLOOKUP(J43,COND!$A$2:$C$7,2,FALSE)+$K$3*VLOOKUP(K43,COND!$A$2:$C$7,3,FALSE)+IF(AND($B$2&gt;0,$E43&lt;20),$B$2*25,0)</f>
        <v>51.998971039290012</v>
      </c>
      <c r="AR43" s="47">
        <f t="shared" si="8"/>
        <v>1.2816701375819335</v>
      </c>
      <c r="AS43" s="45" t="str">
        <f t="shared" si="6"/>
        <v>DH</v>
      </c>
      <c r="AT43" s="45">
        <v>4</v>
      </c>
      <c r="AU43" s="45">
        <v>39</v>
      </c>
      <c r="AV43" s="45">
        <v>39</v>
      </c>
      <c r="AW43" s="45" t="str">
        <f t="shared" si="7"/>
        <v>Unlikely</v>
      </c>
      <c r="AX43" s="45"/>
      <c r="AY43" s="63">
        <f>INDEX(Table5[[#All],[Ovr]],MATCH(Batters[[#This Row],[PID]],Table5[[#All],[PID]],0))</f>
        <v>176</v>
      </c>
      <c r="AZ43" s="63" t="str">
        <f>INDEX(Table5[[#All],[Rnd]],MATCH(Batters[[#This Row],[PID]],Table5[[#All],[PID]],0))</f>
        <v>6</v>
      </c>
      <c r="BA43" s="63">
        <f>INDEX(Table5[[#All],[Pick]],MATCH(Batters[[#This Row],[PID]],Table5[[#All],[PID]],0))</f>
        <v>7</v>
      </c>
      <c r="BB43" s="63" t="str">
        <f>INDEX(Table5[[#All],[Team]],MATCH(Batters[[#This Row],[PID]],Table5[[#All],[PID]],0))</f>
        <v>Florida Farstriders</v>
      </c>
    </row>
    <row r="44" spans="1:54" ht="15" customHeight="1" x14ac:dyDescent="0.3">
      <c r="A44" s="40">
        <v>11752</v>
      </c>
      <c r="B44" s="40" t="s">
        <v>86</v>
      </c>
      <c r="C44" s="40" t="s">
        <v>389</v>
      </c>
      <c r="D44" s="40" t="s">
        <v>790</v>
      </c>
      <c r="E44" s="40">
        <v>17</v>
      </c>
      <c r="F44" s="40" t="s">
        <v>42</v>
      </c>
      <c r="G44" s="40" t="s">
        <v>42</v>
      </c>
      <c r="H44" s="41" t="s">
        <v>549</v>
      </c>
      <c r="I44" s="64" t="s">
        <v>44</v>
      </c>
      <c r="J44" s="65" t="s">
        <v>43</v>
      </c>
      <c r="K44" s="66" t="s">
        <v>43</v>
      </c>
      <c r="L44" s="40">
        <v>1</v>
      </c>
      <c r="M44" s="40">
        <v>4</v>
      </c>
      <c r="N44" s="40">
        <v>3</v>
      </c>
      <c r="O44" s="40">
        <v>2</v>
      </c>
      <c r="P44" s="41">
        <v>2</v>
      </c>
      <c r="Q44" s="40">
        <v>4</v>
      </c>
      <c r="R44" s="40">
        <v>6</v>
      </c>
      <c r="S44" s="40">
        <v>5</v>
      </c>
      <c r="T44" s="40">
        <v>5</v>
      </c>
      <c r="U44" s="41">
        <v>5</v>
      </c>
      <c r="V44" s="40">
        <v>3</v>
      </c>
      <c r="W44" s="40">
        <v>3</v>
      </c>
      <c r="X44" s="40">
        <v>4</v>
      </c>
      <c r="Y44" s="41">
        <v>10</v>
      </c>
      <c r="Z44" s="40">
        <v>2</v>
      </c>
      <c r="AA44" s="40" t="s">
        <v>45</v>
      </c>
      <c r="AB44" s="40" t="s">
        <v>45</v>
      </c>
      <c r="AC44" s="40" t="s">
        <v>45</v>
      </c>
      <c r="AD44" s="40" t="s">
        <v>45</v>
      </c>
      <c r="AE44" s="40" t="s">
        <v>45</v>
      </c>
      <c r="AF44" s="40" t="s">
        <v>45</v>
      </c>
      <c r="AG44" s="41" t="s">
        <v>45</v>
      </c>
      <c r="AH44" s="40">
        <v>1</v>
      </c>
      <c r="AI44" s="40">
        <v>3</v>
      </c>
      <c r="AJ44" s="41">
        <v>3</v>
      </c>
      <c r="AK44" s="43" t="s">
        <v>579</v>
      </c>
      <c r="AL44" s="43" t="s">
        <v>103</v>
      </c>
      <c r="AM44" s="44">
        <f t="shared" si="1"/>
        <v>-1.635314833096994</v>
      </c>
      <c r="AN44" s="44">
        <f t="shared" si="2"/>
        <v>-1.0226907723766391E-2</v>
      </c>
      <c r="AO44" s="45">
        <f t="shared" si="3"/>
        <v>0</v>
      </c>
      <c r="AP44" s="46">
        <f t="shared" si="4"/>
        <v>0</v>
      </c>
      <c r="AQ44" s="44">
        <f>($AM$3*AM44+$AN$3*AN44+$AO$3*AO44+$AP$3*AP44)+$I$3*VLOOKUP(I44,COND!$A$2:$E$7,4,FALSE)+$J$3*VLOOKUP(J44,COND!$A$2:$C$7,2,FALSE)+$K$3*VLOOKUP(K44,COND!$A$2:$C$7,3,FALSE)+IF(AND($B$2&gt;0,$E44&lt;20),$B$2*25,0)</f>
        <v>49.563745624005108</v>
      </c>
      <c r="AR44" s="47">
        <f t="shared" si="8"/>
        <v>0.92620488714809546</v>
      </c>
      <c r="AS44" s="45" t="str">
        <f t="shared" si="6"/>
        <v>C</v>
      </c>
      <c r="AT44" s="45">
        <v>4</v>
      </c>
      <c r="AU44" s="45">
        <v>40</v>
      </c>
      <c r="AV44" s="45">
        <v>40</v>
      </c>
      <c r="AW44" s="45" t="str">
        <f t="shared" si="7"/>
        <v>Unlikely</v>
      </c>
      <c r="AX44" s="45"/>
      <c r="AY44" s="45">
        <f>INDEX(Table5[[#All],[Ovr]],MATCH(Batters[[#This Row],[PID]],Table5[[#All],[PID]],0))</f>
        <v>74</v>
      </c>
      <c r="AZ44" s="45" t="str">
        <f>INDEX(Table5[[#All],[Rnd]],MATCH(Batters[[#This Row],[PID]],Table5[[#All],[PID]],0))</f>
        <v>3</v>
      </c>
      <c r="BA44" s="45">
        <f>INDEX(Table5[[#All],[Pick]],MATCH(Batters[[#This Row],[PID]],Table5[[#All],[PID]],0))</f>
        <v>2</v>
      </c>
      <c r="BB44" s="45" t="str">
        <f>INDEX(Table5[[#All],[Team]],MATCH(Batters[[#This Row],[PID]],Table5[[#All],[PID]],0))</f>
        <v>Charleston Statesmen</v>
      </c>
    </row>
    <row r="45" spans="1:54" ht="15" customHeight="1" x14ac:dyDescent="0.3">
      <c r="A45" s="40">
        <v>10557</v>
      </c>
      <c r="B45" s="40" t="s">
        <v>86</v>
      </c>
      <c r="C45" s="40" t="s">
        <v>177</v>
      </c>
      <c r="D45" s="40" t="s">
        <v>1105</v>
      </c>
      <c r="E45" s="40">
        <v>17</v>
      </c>
      <c r="F45" s="40" t="s">
        <v>62</v>
      </c>
      <c r="G45" s="40" t="s">
        <v>42</v>
      </c>
      <c r="H45" s="41" t="s">
        <v>550</v>
      </c>
      <c r="I45" s="64" t="s">
        <v>43</v>
      </c>
      <c r="J45" s="65" t="s">
        <v>43</v>
      </c>
      <c r="K45" s="66" t="s">
        <v>43</v>
      </c>
      <c r="L45" s="40">
        <v>2</v>
      </c>
      <c r="M45" s="40">
        <v>3</v>
      </c>
      <c r="N45" s="40">
        <v>2</v>
      </c>
      <c r="O45" s="40">
        <v>1</v>
      </c>
      <c r="P45" s="41">
        <v>6</v>
      </c>
      <c r="Q45" s="40">
        <v>5</v>
      </c>
      <c r="R45" s="40">
        <v>6</v>
      </c>
      <c r="S45" s="40">
        <v>3</v>
      </c>
      <c r="T45" s="40">
        <v>1</v>
      </c>
      <c r="U45" s="41">
        <v>9</v>
      </c>
      <c r="V45" s="40">
        <v>4</v>
      </c>
      <c r="W45" s="40">
        <v>5</v>
      </c>
      <c r="X45" s="40">
        <v>5</v>
      </c>
      <c r="Y45" s="41">
        <v>6</v>
      </c>
      <c r="Z45" s="40">
        <v>2</v>
      </c>
      <c r="AA45" s="40" t="s">
        <v>45</v>
      </c>
      <c r="AB45" s="40" t="s">
        <v>45</v>
      </c>
      <c r="AC45" s="40" t="s">
        <v>45</v>
      </c>
      <c r="AD45" s="40" t="s">
        <v>45</v>
      </c>
      <c r="AE45" s="40" t="s">
        <v>45</v>
      </c>
      <c r="AF45" s="40" t="s">
        <v>45</v>
      </c>
      <c r="AG45" s="41" t="s">
        <v>45</v>
      </c>
      <c r="AH45" s="40">
        <v>2</v>
      </c>
      <c r="AI45" s="40">
        <v>3</v>
      </c>
      <c r="AJ45" s="41">
        <v>3</v>
      </c>
      <c r="AK45" s="43" t="s">
        <v>1106</v>
      </c>
      <c r="AL45" s="43" t="s">
        <v>103</v>
      </c>
      <c r="AM45" s="44">
        <f t="shared" si="1"/>
        <v>-1.3765245612781716</v>
      </c>
      <c r="AN45" s="44">
        <f t="shared" si="2"/>
        <v>-5.2566900338885066E-2</v>
      </c>
      <c r="AO45" s="45">
        <f t="shared" si="3"/>
        <v>0</v>
      </c>
      <c r="AP45" s="46">
        <f t="shared" si="4"/>
        <v>1.1000000000000001</v>
      </c>
      <c r="AQ45" s="44">
        <f>($AM$3*AM45+$AN$3*AN45+$AO$3*AO45+$AP$3*AP45)+$I$3*VLOOKUP(I45,COND!$A$2:$E$7,4,FALSE)+$J$3*VLOOKUP(J45,COND!$A$2:$C$7,2,FALSE)+$K$3*VLOOKUP(K45,COND!$A$2:$C$7,3,FALSE)+IF(AND($B$2&gt;0,$E45&lt;20),$B$2*25,0)</f>
        <v>50.331544739805565</v>
      </c>
      <c r="AR45" s="47">
        <f t="shared" si="8"/>
        <v>1.0382790726702429</v>
      </c>
      <c r="AS45" s="45" t="str">
        <f t="shared" si="6"/>
        <v>C</v>
      </c>
      <c r="AT45" s="45">
        <v>5</v>
      </c>
      <c r="AU45" s="45">
        <v>41</v>
      </c>
      <c r="AV45" s="45">
        <v>41</v>
      </c>
      <c r="AW45" s="45" t="str">
        <f t="shared" si="7"/>
        <v>Unlikely</v>
      </c>
      <c r="AX45" s="45"/>
      <c r="AY45" s="45">
        <f>INDEX(Table5[[#All],[Ovr]],MATCH(Batters[[#This Row],[PID]],Table5[[#All],[PID]],0))</f>
        <v>88</v>
      </c>
      <c r="AZ45" s="45" t="str">
        <f>INDEX(Table5[[#All],[Rnd]],MATCH(Batters[[#This Row],[PID]],Table5[[#All],[PID]],0))</f>
        <v>3</v>
      </c>
      <c r="BA45" s="45">
        <f>INDEX(Table5[[#All],[Pick]],MATCH(Batters[[#This Row],[PID]],Table5[[#All],[PID]],0))</f>
        <v>16</v>
      </c>
      <c r="BB45" s="45" t="str">
        <f>INDEX(Table5[[#All],[Team]],MATCH(Batters[[#This Row],[PID]],Table5[[#All],[PID]],0))</f>
        <v>Niihama-shi Ghosts</v>
      </c>
    </row>
    <row r="46" spans="1:54" ht="15" customHeight="1" x14ac:dyDescent="0.3">
      <c r="A46" s="40">
        <v>20517</v>
      </c>
      <c r="B46" s="40" t="s">
        <v>69</v>
      </c>
      <c r="C46" s="40" t="s">
        <v>760</v>
      </c>
      <c r="D46" s="40" t="s">
        <v>1205</v>
      </c>
      <c r="E46" s="40">
        <v>16</v>
      </c>
      <c r="F46" s="40" t="s">
        <v>42</v>
      </c>
      <c r="G46" s="40" t="s">
        <v>42</v>
      </c>
      <c r="H46" s="41" t="s">
        <v>552</v>
      </c>
      <c r="I46" s="64" t="s">
        <v>47</v>
      </c>
      <c r="J46" s="65" t="s">
        <v>47</v>
      </c>
      <c r="K46" s="66" t="s">
        <v>47</v>
      </c>
      <c r="L46" s="40">
        <v>1</v>
      </c>
      <c r="M46" s="40">
        <v>3</v>
      </c>
      <c r="N46" s="40">
        <v>3</v>
      </c>
      <c r="O46" s="40">
        <v>3</v>
      </c>
      <c r="P46" s="41">
        <v>1</v>
      </c>
      <c r="Q46" s="40">
        <v>4</v>
      </c>
      <c r="R46" s="40">
        <v>5</v>
      </c>
      <c r="S46" s="40">
        <v>5</v>
      </c>
      <c r="T46" s="40">
        <v>5</v>
      </c>
      <c r="U46" s="41">
        <v>4</v>
      </c>
      <c r="V46" s="40">
        <v>7</v>
      </c>
      <c r="W46" s="40">
        <v>5</v>
      </c>
      <c r="X46" s="40">
        <v>1</v>
      </c>
      <c r="Y46" s="41">
        <v>1</v>
      </c>
      <c r="Z46" s="40" t="s">
        <v>45</v>
      </c>
      <c r="AA46" s="40" t="s">
        <v>45</v>
      </c>
      <c r="AB46" s="40" t="s">
        <v>45</v>
      </c>
      <c r="AC46" s="40">
        <v>1</v>
      </c>
      <c r="AD46" s="40" t="s">
        <v>45</v>
      </c>
      <c r="AE46" s="40" t="s">
        <v>45</v>
      </c>
      <c r="AF46" s="40" t="s">
        <v>45</v>
      </c>
      <c r="AG46" s="41" t="s">
        <v>45</v>
      </c>
      <c r="AH46" s="40">
        <v>2</v>
      </c>
      <c r="AI46" s="40">
        <v>3</v>
      </c>
      <c r="AJ46" s="41">
        <v>3</v>
      </c>
      <c r="AK46" s="43" t="s">
        <v>572</v>
      </c>
      <c r="AL46" s="43" t="s">
        <v>103</v>
      </c>
      <c r="AM46" s="44">
        <f t="shared" si="1"/>
        <v>-1.6366815025231998</v>
      </c>
      <c r="AN46" s="44">
        <f t="shared" si="2"/>
        <v>-0.10130312715955338</v>
      </c>
      <c r="AO46" s="45">
        <f t="shared" si="3"/>
        <v>0</v>
      </c>
      <c r="AP46" s="46">
        <f t="shared" si="4"/>
        <v>0</v>
      </c>
      <c r="AQ46" s="44">
        <f>($AM$3*AM46+$AN$3*AN46+$AO$3*AO46+$AP$3*AP46)+$I$3*VLOOKUP(I46,COND!$A$2:$E$7,4,FALSE)+$J$3*VLOOKUP(J46,COND!$A$2:$C$7,2,FALSE)+$K$3*VLOOKUP(K46,COND!$A$2:$C$7,3,FALSE)+IF(AND($B$2&gt;0,$E46&lt;20),$B$2*25,0)</f>
        <v>49.445694323833038</v>
      </c>
      <c r="AR46" s="47">
        <f t="shared" si="8"/>
        <v>0.90897316202058986</v>
      </c>
      <c r="AS46" s="45" t="str">
        <f t="shared" si="6"/>
        <v>3B</v>
      </c>
      <c r="AT46" s="45">
        <v>5</v>
      </c>
      <c r="AU46" s="45">
        <v>42</v>
      </c>
      <c r="AV46" s="45">
        <v>42</v>
      </c>
      <c r="AW46" s="45" t="str">
        <f t="shared" si="7"/>
        <v>Unlikely</v>
      </c>
      <c r="AX46" s="45"/>
      <c r="AY46" s="45">
        <f>INDEX(Table5[[#All],[Ovr]],MATCH(Batters[[#This Row],[PID]],Table5[[#All],[PID]],0))</f>
        <v>229</v>
      </c>
      <c r="AZ46" s="45" t="str">
        <f>INDEX(Table5[[#All],[Rnd]],MATCH(Batters[[#This Row],[PID]],Table5[[#All],[PID]],0))</f>
        <v>7</v>
      </c>
      <c r="BA46" s="45">
        <f>INDEX(Table5[[#All],[Pick]],MATCH(Batters[[#This Row],[PID]],Table5[[#All],[PID]],0))</f>
        <v>28</v>
      </c>
      <c r="BB46" s="45" t="str">
        <f>INDEX(Table5[[#All],[Team]],MATCH(Batters[[#This Row],[PID]],Table5[[#All],[PID]],0))</f>
        <v>Amsterdam Lions</v>
      </c>
    </row>
    <row r="47" spans="1:54" ht="15" customHeight="1" x14ac:dyDescent="0.3">
      <c r="A47" s="40">
        <v>13312</v>
      </c>
      <c r="B47" s="40" t="s">
        <v>66</v>
      </c>
      <c r="C47" s="40" t="s">
        <v>859</v>
      </c>
      <c r="D47" s="40" t="s">
        <v>567</v>
      </c>
      <c r="E47" s="40">
        <v>18</v>
      </c>
      <c r="F47" s="40" t="s">
        <v>62</v>
      </c>
      <c r="G47" s="40" t="s">
        <v>42</v>
      </c>
      <c r="H47" s="41" t="s">
        <v>552</v>
      </c>
      <c r="I47" s="64" t="s">
        <v>43</v>
      </c>
      <c r="J47" s="65" t="s">
        <v>47</v>
      </c>
      <c r="K47" s="66" t="s">
        <v>43</v>
      </c>
      <c r="L47" s="40">
        <v>1</v>
      </c>
      <c r="M47" s="40">
        <v>3</v>
      </c>
      <c r="N47" s="40">
        <v>3</v>
      </c>
      <c r="O47" s="40">
        <v>3</v>
      </c>
      <c r="P47" s="41">
        <v>3</v>
      </c>
      <c r="Q47" s="40">
        <v>4</v>
      </c>
      <c r="R47" s="40">
        <v>4</v>
      </c>
      <c r="S47" s="40">
        <v>4</v>
      </c>
      <c r="T47" s="40">
        <v>6</v>
      </c>
      <c r="U47" s="41">
        <v>5</v>
      </c>
      <c r="V47" s="40">
        <v>2</v>
      </c>
      <c r="W47" s="40">
        <v>5</v>
      </c>
      <c r="X47" s="40">
        <v>1</v>
      </c>
      <c r="Y47" s="41">
        <v>1</v>
      </c>
      <c r="Z47" s="40" t="s">
        <v>45</v>
      </c>
      <c r="AA47" s="40" t="s">
        <v>45</v>
      </c>
      <c r="AB47" s="40" t="s">
        <v>45</v>
      </c>
      <c r="AC47" s="40" t="s">
        <v>45</v>
      </c>
      <c r="AD47" s="40" t="s">
        <v>45</v>
      </c>
      <c r="AE47" s="40" t="s">
        <v>45</v>
      </c>
      <c r="AF47" s="40" t="s">
        <v>45</v>
      </c>
      <c r="AG47" s="41" t="s">
        <v>45</v>
      </c>
      <c r="AH47" s="40">
        <v>2</v>
      </c>
      <c r="AI47" s="40">
        <v>2</v>
      </c>
      <c r="AJ47" s="41">
        <v>1</v>
      </c>
      <c r="AK47" s="43" t="s">
        <v>558</v>
      </c>
      <c r="AL47" s="43" t="s">
        <v>103</v>
      </c>
      <c r="AM47" s="44">
        <f t="shared" si="1"/>
        <v>-1.5566488228890329</v>
      </c>
      <c r="AN47" s="44">
        <f t="shared" si="2"/>
        <v>-0.10569861097549388</v>
      </c>
      <c r="AO47" s="45">
        <f t="shared" si="3"/>
        <v>0</v>
      </c>
      <c r="AP47" s="46">
        <f t="shared" si="4"/>
        <v>0</v>
      </c>
      <c r="AQ47" s="44">
        <f>($AM$3*AM47+$AN$3*AN47+$AO$3*AO47+$AP$3*AP47)+$I$3*VLOOKUP(I47,COND!$A$2:$E$7,4,FALSE)+$J$3*VLOOKUP(J47,COND!$A$2:$C$7,2,FALSE)+$K$3*VLOOKUP(K47,COND!$A$2:$C$7,3,FALSE)+IF(AND($B$2&gt;0,$E47&lt;20),$B$2*25,0)</f>
        <v>48.875951786005174</v>
      </c>
      <c r="AR47" s="47">
        <f t="shared" si="8"/>
        <v>0.82580892078828561</v>
      </c>
      <c r="AS47" s="45" t="str">
        <f t="shared" si="6"/>
        <v>DH</v>
      </c>
      <c r="AT47" s="45">
        <v>5</v>
      </c>
      <c r="AU47" s="45">
        <v>43</v>
      </c>
      <c r="AV47" s="45">
        <v>43</v>
      </c>
      <c r="AW47" s="45" t="str">
        <f t="shared" si="7"/>
        <v>Unlikely</v>
      </c>
      <c r="AX47" s="45"/>
      <c r="AY47" s="45">
        <f>INDEX(Table5[[#All],[Ovr]],MATCH(Batters[[#This Row],[PID]],Table5[[#All],[PID]],0))</f>
        <v>261</v>
      </c>
      <c r="AZ47" s="45" t="str">
        <f>INDEX(Table5[[#All],[Rnd]],MATCH(Batters[[#This Row],[PID]],Table5[[#All],[PID]],0))</f>
        <v>8</v>
      </c>
      <c r="BA47" s="45">
        <f>INDEX(Table5[[#All],[Pick]],MATCH(Batters[[#This Row],[PID]],Table5[[#All],[PID]],0))</f>
        <v>28</v>
      </c>
      <c r="BB47" s="45" t="str">
        <f>INDEX(Table5[[#All],[Team]],MATCH(Batters[[#This Row],[PID]],Table5[[#All],[PID]],0))</f>
        <v>Amsterdam Lions</v>
      </c>
    </row>
    <row r="48" spans="1:54" ht="15" customHeight="1" x14ac:dyDescent="0.3">
      <c r="A48" s="40">
        <v>12919</v>
      </c>
      <c r="B48" s="40" t="s">
        <v>72</v>
      </c>
      <c r="C48" s="40" t="s">
        <v>282</v>
      </c>
      <c r="D48" s="40" t="s">
        <v>1000</v>
      </c>
      <c r="E48" s="40">
        <v>18</v>
      </c>
      <c r="F48" s="40" t="s">
        <v>42</v>
      </c>
      <c r="G48" s="40" t="s">
        <v>42</v>
      </c>
      <c r="H48" s="41" t="s">
        <v>549</v>
      </c>
      <c r="I48" s="64" t="s">
        <v>43</v>
      </c>
      <c r="J48" s="65" t="s">
        <v>43</v>
      </c>
      <c r="K48" s="66" t="s">
        <v>43</v>
      </c>
      <c r="L48" s="40">
        <v>2</v>
      </c>
      <c r="M48" s="40">
        <v>3</v>
      </c>
      <c r="N48" s="40">
        <v>2</v>
      </c>
      <c r="O48" s="40">
        <v>2</v>
      </c>
      <c r="P48" s="41">
        <v>7</v>
      </c>
      <c r="Q48" s="40">
        <v>5</v>
      </c>
      <c r="R48" s="40">
        <v>4</v>
      </c>
      <c r="S48" s="40">
        <v>2</v>
      </c>
      <c r="T48" s="40">
        <v>3</v>
      </c>
      <c r="U48" s="41">
        <v>9</v>
      </c>
      <c r="V48" s="40">
        <v>8</v>
      </c>
      <c r="W48" s="40">
        <v>7</v>
      </c>
      <c r="X48" s="40">
        <v>1</v>
      </c>
      <c r="Y48" s="41">
        <v>1</v>
      </c>
      <c r="Z48" s="40" t="s">
        <v>45</v>
      </c>
      <c r="AA48" s="40" t="s">
        <v>45</v>
      </c>
      <c r="AB48" s="40">
        <v>1</v>
      </c>
      <c r="AC48" s="40" t="s">
        <v>45</v>
      </c>
      <c r="AD48" s="40">
        <v>7</v>
      </c>
      <c r="AE48" s="40" t="s">
        <v>45</v>
      </c>
      <c r="AF48" s="40" t="s">
        <v>45</v>
      </c>
      <c r="AG48" s="41" t="s">
        <v>45</v>
      </c>
      <c r="AH48" s="40">
        <v>6</v>
      </c>
      <c r="AI48" s="40">
        <v>2</v>
      </c>
      <c r="AJ48" s="41">
        <v>1</v>
      </c>
      <c r="AK48" s="43" t="s">
        <v>1361</v>
      </c>
      <c r="AL48" s="43" t="s">
        <v>103</v>
      </c>
      <c r="AM48" s="44">
        <f t="shared" si="1"/>
        <v>-1.2467986714515071</v>
      </c>
      <c r="AN48" s="44">
        <f t="shared" si="2"/>
        <v>-5.8329053581031479E-2</v>
      </c>
      <c r="AO48" s="45">
        <f t="shared" si="3"/>
        <v>0</v>
      </c>
      <c r="AP48" s="46">
        <f t="shared" si="4"/>
        <v>1</v>
      </c>
      <c r="AQ48" s="44">
        <f>($AM$3*AM48+$AN$3*AN48+$AO$3*AO48+$AP$3*AP48)+$I$3*VLOOKUP(I48,COND!$A$2:$E$7,4,FALSE)+$J$3*VLOOKUP(J48,COND!$A$2:$C$7,2,FALSE)+$K$3*VLOOKUP(K48,COND!$A$2:$C$7,3,FALSE)+IF(AND($B$2&gt;0,$E48&lt;20),$B$2*25,0)</f>
        <v>50.175371489882473</v>
      </c>
      <c r="AR48" s="47">
        <f t="shared" si="8"/>
        <v>1.0154827586015167</v>
      </c>
      <c r="AS48" s="45" t="str">
        <f t="shared" si="6"/>
        <v>SS</v>
      </c>
      <c r="AT48" s="45">
        <v>5</v>
      </c>
      <c r="AU48" s="45">
        <v>44</v>
      </c>
      <c r="AV48" s="45">
        <v>44</v>
      </c>
      <c r="AW48" s="45" t="str">
        <f t="shared" si="7"/>
        <v>Unlikely</v>
      </c>
      <c r="AX48" s="45"/>
      <c r="AY48" s="45">
        <f>INDEX(Table5[[#All],[Ovr]],MATCH(Batters[[#This Row],[PID]],Table5[[#All],[PID]],0))</f>
        <v>73</v>
      </c>
      <c r="AZ48" s="45" t="str">
        <f>INDEX(Table5[[#All],[Rnd]],MATCH(Batters[[#This Row],[PID]],Table5[[#All],[PID]],0))</f>
        <v>3</v>
      </c>
      <c r="BA48" s="45">
        <f>INDEX(Table5[[#All],[Pick]],MATCH(Batters[[#This Row],[PID]],Table5[[#All],[PID]],0))</f>
        <v>1</v>
      </c>
      <c r="BB48" s="45" t="str">
        <f>INDEX(Table5[[#All],[Team]],MATCH(Batters[[#This Row],[PID]],Table5[[#All],[PID]],0))</f>
        <v>Aurora Borealis</v>
      </c>
    </row>
    <row r="49" spans="1:54" ht="15" customHeight="1" x14ac:dyDescent="0.3">
      <c r="A49" s="40">
        <v>12116</v>
      </c>
      <c r="B49" s="40" t="s">
        <v>72</v>
      </c>
      <c r="C49" s="40" t="s">
        <v>749</v>
      </c>
      <c r="D49" s="40" t="s">
        <v>999</v>
      </c>
      <c r="E49" s="40">
        <v>17</v>
      </c>
      <c r="F49" s="40" t="s">
        <v>42</v>
      </c>
      <c r="G49" s="40" t="s">
        <v>42</v>
      </c>
      <c r="H49" s="41" t="s">
        <v>549</v>
      </c>
      <c r="I49" s="64" t="s">
        <v>43</v>
      </c>
      <c r="J49" s="65" t="s">
        <v>43</v>
      </c>
      <c r="K49" s="66" t="s">
        <v>43</v>
      </c>
      <c r="L49" s="40">
        <v>1</v>
      </c>
      <c r="M49" s="40">
        <v>4</v>
      </c>
      <c r="N49" s="40">
        <v>2</v>
      </c>
      <c r="O49" s="40">
        <v>3</v>
      </c>
      <c r="P49" s="41">
        <v>4</v>
      </c>
      <c r="Q49" s="40">
        <v>5</v>
      </c>
      <c r="R49" s="40">
        <v>5</v>
      </c>
      <c r="S49" s="40">
        <v>2</v>
      </c>
      <c r="T49" s="40">
        <v>6</v>
      </c>
      <c r="U49" s="41">
        <v>7</v>
      </c>
      <c r="V49" s="40">
        <v>8</v>
      </c>
      <c r="W49" s="40">
        <v>7</v>
      </c>
      <c r="X49" s="40">
        <v>1</v>
      </c>
      <c r="Y49" s="41">
        <v>1</v>
      </c>
      <c r="Z49" s="40" t="s">
        <v>45</v>
      </c>
      <c r="AA49" s="40" t="s">
        <v>45</v>
      </c>
      <c r="AB49" s="40" t="s">
        <v>45</v>
      </c>
      <c r="AC49" s="40" t="s">
        <v>45</v>
      </c>
      <c r="AD49" s="40">
        <v>4</v>
      </c>
      <c r="AE49" s="40" t="s">
        <v>45</v>
      </c>
      <c r="AF49" s="40" t="s">
        <v>45</v>
      </c>
      <c r="AG49" s="41" t="s">
        <v>45</v>
      </c>
      <c r="AH49" s="40">
        <v>2</v>
      </c>
      <c r="AI49" s="40">
        <v>6</v>
      </c>
      <c r="AJ49" s="41">
        <v>4</v>
      </c>
      <c r="AK49" s="43" t="s">
        <v>1432</v>
      </c>
      <c r="AL49" s="43" t="s">
        <v>103</v>
      </c>
      <c r="AM49" s="44">
        <f t="shared" si="1"/>
        <v>-1.5486340974771473</v>
      </c>
      <c r="AN49" s="44">
        <f t="shared" si="2"/>
        <v>0.18182679643224822</v>
      </c>
      <c r="AO49" s="45">
        <f t="shared" si="3"/>
        <v>0</v>
      </c>
      <c r="AP49" s="46">
        <f t="shared" si="4"/>
        <v>0</v>
      </c>
      <c r="AQ49" s="44">
        <f>($AM$3*AM49+$AN$3*AN49+$AO$3*AO49+$AP$3*AP49)+$I$3*VLOOKUP(I49,COND!$A$2:$E$7,4,FALSE)+$J$3*VLOOKUP(J49,COND!$A$2:$C$7,2,FALSE)+$K$3*VLOOKUP(K49,COND!$A$2:$C$7,3,FALSE)+IF(AND($B$2&gt;0,$E49&lt;20),$B$2*25,0)</f>
        <v>52.027058147439263</v>
      </c>
      <c r="AR49" s="47">
        <f t="shared" si="8"/>
        <v>1.2857699596639347</v>
      </c>
      <c r="AS49" s="45" t="str">
        <f t="shared" si="6"/>
        <v>SS</v>
      </c>
      <c r="AT49" s="45">
        <v>6</v>
      </c>
      <c r="AU49" s="45">
        <v>45</v>
      </c>
      <c r="AV49" s="45">
        <v>45</v>
      </c>
      <c r="AW49" s="45" t="str">
        <f t="shared" si="7"/>
        <v>Unlikely</v>
      </c>
      <c r="AX49" s="45"/>
      <c r="AY49" s="45">
        <f>INDEX(Table5[[#All],[Ovr]],MATCH(Batters[[#This Row],[PID]],Table5[[#All],[PID]],0))</f>
        <v>82</v>
      </c>
      <c r="AZ49" s="45" t="str">
        <f>INDEX(Table5[[#All],[Rnd]],MATCH(Batters[[#This Row],[PID]],Table5[[#All],[PID]],0))</f>
        <v>3</v>
      </c>
      <c r="BA49" s="45">
        <f>INDEX(Table5[[#All],[Pick]],MATCH(Batters[[#This Row],[PID]],Table5[[#All],[PID]],0))</f>
        <v>10</v>
      </c>
      <c r="BB49" s="45" t="str">
        <f>INDEX(Table5[[#All],[Team]],MATCH(Batters[[#This Row],[PID]],Table5[[#All],[PID]],0))</f>
        <v>London Underground</v>
      </c>
    </row>
    <row r="50" spans="1:54" ht="15" customHeight="1" x14ac:dyDescent="0.3">
      <c r="A50" s="40">
        <v>13245</v>
      </c>
      <c r="B50" s="40" t="s">
        <v>71</v>
      </c>
      <c r="C50" s="40" t="s">
        <v>752</v>
      </c>
      <c r="D50" s="40" t="s">
        <v>1015</v>
      </c>
      <c r="E50" s="40">
        <v>18</v>
      </c>
      <c r="F50" s="40" t="s">
        <v>53</v>
      </c>
      <c r="G50" s="40" t="s">
        <v>42</v>
      </c>
      <c r="H50" s="41" t="s">
        <v>549</v>
      </c>
      <c r="I50" s="64" t="s">
        <v>43</v>
      </c>
      <c r="J50" s="65" t="s">
        <v>47</v>
      </c>
      <c r="K50" s="66" t="s">
        <v>43</v>
      </c>
      <c r="L50" s="40">
        <v>2</v>
      </c>
      <c r="M50" s="40">
        <v>9</v>
      </c>
      <c r="N50" s="40">
        <v>4</v>
      </c>
      <c r="O50" s="40">
        <v>4</v>
      </c>
      <c r="P50" s="41">
        <v>4</v>
      </c>
      <c r="Q50" s="40">
        <v>4</v>
      </c>
      <c r="R50" s="40">
        <v>10</v>
      </c>
      <c r="S50" s="40">
        <v>5</v>
      </c>
      <c r="T50" s="40">
        <v>6</v>
      </c>
      <c r="U50" s="41">
        <v>5</v>
      </c>
      <c r="V50" s="40">
        <v>7</v>
      </c>
      <c r="W50" s="40">
        <v>6</v>
      </c>
      <c r="X50" s="40">
        <v>1</v>
      </c>
      <c r="Y50" s="41">
        <v>1</v>
      </c>
      <c r="Z50" s="40" t="s">
        <v>45</v>
      </c>
      <c r="AA50" s="40" t="s">
        <v>45</v>
      </c>
      <c r="AB50" s="40">
        <v>5</v>
      </c>
      <c r="AC50" s="40" t="s">
        <v>45</v>
      </c>
      <c r="AD50" s="40">
        <v>2</v>
      </c>
      <c r="AE50" s="40" t="s">
        <v>45</v>
      </c>
      <c r="AF50" s="40" t="s">
        <v>45</v>
      </c>
      <c r="AG50" s="41">
        <v>1</v>
      </c>
      <c r="AH50" s="40">
        <v>9</v>
      </c>
      <c r="AI50" s="40">
        <v>4</v>
      </c>
      <c r="AJ50" s="41">
        <v>2</v>
      </c>
      <c r="AK50" s="43" t="s">
        <v>754</v>
      </c>
      <c r="AL50" s="43" t="s">
        <v>103</v>
      </c>
      <c r="AM50" s="44">
        <f t="shared" si="1"/>
        <v>-0.71494632512357137</v>
      </c>
      <c r="AN50" s="44">
        <f t="shared" si="2"/>
        <v>0.28372216076062867</v>
      </c>
      <c r="AO50" s="45">
        <f t="shared" si="3"/>
        <v>1</v>
      </c>
      <c r="AP50" s="46">
        <f t="shared" si="4"/>
        <v>0.6</v>
      </c>
      <c r="AQ50" s="44">
        <f>($AM$3*AM50+$AN$3*AN50+$AO$3*AO50+$AP$3*AP50)+$I$3*VLOOKUP(I50,COND!$A$2:$E$7,4,FALSE)+$J$3*VLOOKUP(J50,COND!$A$2:$C$7,2,FALSE)+$K$3*VLOOKUP(K50,COND!$A$2:$C$7,3,FALSE)+IF(AND($B$2&gt;0,$E50&lt;20),$B$2*25,0)</f>
        <v>54.399837963281854</v>
      </c>
      <c r="AR50" s="47">
        <f t="shared" si="8"/>
        <v>1.632120143991395</v>
      </c>
      <c r="AS50" s="45" t="str">
        <f t="shared" si="6"/>
        <v>2B</v>
      </c>
      <c r="AT50" s="45">
        <v>6</v>
      </c>
      <c r="AU50" s="45">
        <v>46</v>
      </c>
      <c r="AV50" s="45">
        <v>46</v>
      </c>
      <c r="AW50" s="45" t="str">
        <f t="shared" si="7"/>
        <v>Unlikely</v>
      </c>
      <c r="AX50" s="45"/>
      <c r="AY50" s="45">
        <f>INDEX(Table5[[#All],[Ovr]],MATCH(Batters[[#This Row],[PID]],Table5[[#All],[PID]],0))</f>
        <v>68</v>
      </c>
      <c r="AZ50" s="45" t="str">
        <f>INDEX(Table5[[#All],[Rnd]],MATCH(Batters[[#This Row],[PID]],Table5[[#All],[PID]],0))</f>
        <v>2</v>
      </c>
      <c r="BA50" s="45">
        <f>INDEX(Table5[[#All],[Pick]],MATCH(Batters[[#This Row],[PID]],Table5[[#All],[PID]],0))</f>
        <v>32</v>
      </c>
      <c r="BB50" s="45" t="str">
        <f>INDEX(Table5[[#All],[Team]],MATCH(Batters[[#This Row],[PID]],Table5[[#All],[PID]],0))</f>
        <v>Gloucester Fishermen</v>
      </c>
    </row>
    <row r="51" spans="1:54" ht="15" customHeight="1" x14ac:dyDescent="0.3">
      <c r="A51" s="40">
        <v>11914</v>
      </c>
      <c r="B51" s="40" t="s">
        <v>50</v>
      </c>
      <c r="C51" s="40" t="s">
        <v>182</v>
      </c>
      <c r="D51" s="40" t="s">
        <v>1102</v>
      </c>
      <c r="E51" s="40">
        <v>18</v>
      </c>
      <c r="F51" s="40" t="s">
        <v>53</v>
      </c>
      <c r="G51" s="40" t="s">
        <v>53</v>
      </c>
      <c r="H51" s="41" t="s">
        <v>550</v>
      </c>
      <c r="I51" s="64" t="s">
        <v>43</v>
      </c>
      <c r="J51" s="65" t="s">
        <v>47</v>
      </c>
      <c r="K51" s="66" t="s">
        <v>43</v>
      </c>
      <c r="L51" s="40">
        <v>2</v>
      </c>
      <c r="M51" s="40">
        <v>5</v>
      </c>
      <c r="N51" s="40">
        <v>3</v>
      </c>
      <c r="O51" s="40">
        <v>2</v>
      </c>
      <c r="P51" s="41">
        <v>5</v>
      </c>
      <c r="Q51" s="40">
        <v>6</v>
      </c>
      <c r="R51" s="40">
        <v>6</v>
      </c>
      <c r="S51" s="40">
        <v>4</v>
      </c>
      <c r="T51" s="40">
        <v>4</v>
      </c>
      <c r="U51" s="41">
        <v>7</v>
      </c>
      <c r="V51" s="40">
        <v>2</v>
      </c>
      <c r="W51" s="40">
        <v>4</v>
      </c>
      <c r="X51" s="40">
        <v>1</v>
      </c>
      <c r="Y51" s="41">
        <v>1</v>
      </c>
      <c r="Z51" s="40" t="s">
        <v>45</v>
      </c>
      <c r="AA51" s="40" t="s">
        <v>45</v>
      </c>
      <c r="AB51" s="40" t="s">
        <v>45</v>
      </c>
      <c r="AC51" s="40" t="s">
        <v>45</v>
      </c>
      <c r="AD51" s="40" t="s">
        <v>45</v>
      </c>
      <c r="AE51" s="40">
        <v>1</v>
      </c>
      <c r="AF51" s="40" t="s">
        <v>45</v>
      </c>
      <c r="AG51" s="41" t="s">
        <v>45</v>
      </c>
      <c r="AH51" s="40">
        <v>1</v>
      </c>
      <c r="AI51" s="40">
        <v>1</v>
      </c>
      <c r="AJ51" s="41">
        <v>1</v>
      </c>
      <c r="AK51" s="43" t="s">
        <v>498</v>
      </c>
      <c r="AL51" s="43" t="s">
        <v>103</v>
      </c>
      <c r="AM51" s="44">
        <f t="shared" si="1"/>
        <v>-1.1416500978243656</v>
      </c>
      <c r="AN51" s="44">
        <f t="shared" si="2"/>
        <v>0.54214640028226746</v>
      </c>
      <c r="AO51" s="45">
        <f t="shared" si="3"/>
        <v>0</v>
      </c>
      <c r="AP51" s="46">
        <f t="shared" si="4"/>
        <v>0</v>
      </c>
      <c r="AQ51" s="44">
        <f>($AM$3*AM51+$AN$3*AN51+$AO$3*AO51+$AP$3*AP51)+$I$3*VLOOKUP(I51,COND!$A$2:$E$7,4,FALSE)+$J$3*VLOOKUP(J51,COND!$A$2:$C$7,2,FALSE)+$K$3*VLOOKUP(K51,COND!$A$2:$C$7,3,FALSE)+IF(AND($B$2&gt;0,$E51&lt;20),$B$2*25,0)</f>
        <v>56.691591793604772</v>
      </c>
      <c r="AR51" s="47">
        <f t="shared" si="8"/>
        <v>1.9666431183802513</v>
      </c>
      <c r="AS51" s="45" t="str">
        <f t="shared" si="6"/>
        <v>LF</v>
      </c>
      <c r="AT51" s="45">
        <v>6</v>
      </c>
      <c r="AU51" s="45">
        <v>47</v>
      </c>
      <c r="AV51" s="45">
        <v>47</v>
      </c>
      <c r="AW51" s="45" t="str">
        <f t="shared" si="7"/>
        <v>Possible</v>
      </c>
      <c r="AX51" s="45"/>
      <c r="AY51" s="45">
        <f>INDEX(Table5[[#All],[Ovr]],MATCH(Batters[[#This Row],[PID]],Table5[[#All],[PID]],0))</f>
        <v>76</v>
      </c>
      <c r="AZ51" s="45" t="str">
        <f>INDEX(Table5[[#All],[Rnd]],MATCH(Batters[[#This Row],[PID]],Table5[[#All],[PID]],0))</f>
        <v>3</v>
      </c>
      <c r="BA51" s="45">
        <f>INDEX(Table5[[#All],[Pick]],MATCH(Batters[[#This Row],[PID]],Table5[[#All],[PID]],0))</f>
        <v>4</v>
      </c>
      <c r="BB51" s="45" t="str">
        <f>INDEX(Table5[[#All],[Team]],MATCH(Batters[[#This Row],[PID]],Table5[[#All],[PID]],0))</f>
        <v>Palm Springs Codgers</v>
      </c>
    </row>
    <row r="52" spans="1:54" ht="15" customHeight="1" x14ac:dyDescent="0.3">
      <c r="A52" s="40">
        <v>8961</v>
      </c>
      <c r="B52" s="40" t="s">
        <v>50</v>
      </c>
      <c r="C52" s="40" t="s">
        <v>167</v>
      </c>
      <c r="D52" s="40" t="s">
        <v>1109</v>
      </c>
      <c r="E52" s="40">
        <v>18</v>
      </c>
      <c r="F52" s="40" t="s">
        <v>42</v>
      </c>
      <c r="G52" s="40" t="s">
        <v>42</v>
      </c>
      <c r="H52" s="41" t="s">
        <v>550</v>
      </c>
      <c r="I52" s="64" t="s">
        <v>43</v>
      </c>
      <c r="J52" s="65" t="s">
        <v>43</v>
      </c>
      <c r="K52" s="66" t="s">
        <v>43</v>
      </c>
      <c r="L52" s="40">
        <v>1</v>
      </c>
      <c r="M52" s="40">
        <v>2</v>
      </c>
      <c r="N52" s="40">
        <v>3</v>
      </c>
      <c r="O52" s="40">
        <v>1</v>
      </c>
      <c r="P52" s="41">
        <v>1</v>
      </c>
      <c r="Q52" s="40">
        <v>5</v>
      </c>
      <c r="R52" s="40">
        <v>4</v>
      </c>
      <c r="S52" s="40">
        <v>6</v>
      </c>
      <c r="T52" s="40">
        <v>4</v>
      </c>
      <c r="U52" s="41">
        <v>5</v>
      </c>
      <c r="V52" s="40">
        <v>4</v>
      </c>
      <c r="W52" s="40">
        <v>7</v>
      </c>
      <c r="X52" s="40">
        <v>1</v>
      </c>
      <c r="Y52" s="41">
        <v>1</v>
      </c>
      <c r="Z52" s="40" t="s">
        <v>45</v>
      </c>
      <c r="AA52" s="40" t="s">
        <v>45</v>
      </c>
      <c r="AB52" s="40" t="s">
        <v>45</v>
      </c>
      <c r="AC52" s="40" t="s">
        <v>45</v>
      </c>
      <c r="AD52" s="40" t="s">
        <v>45</v>
      </c>
      <c r="AE52" s="40">
        <v>1</v>
      </c>
      <c r="AF52" s="40" t="s">
        <v>45</v>
      </c>
      <c r="AG52" s="41">
        <v>1</v>
      </c>
      <c r="AH52" s="40">
        <v>2</v>
      </c>
      <c r="AI52" s="40">
        <v>4</v>
      </c>
      <c r="AJ52" s="41">
        <v>7</v>
      </c>
      <c r="AK52" s="43" t="s">
        <v>498</v>
      </c>
      <c r="AL52" s="43" t="s">
        <v>103</v>
      </c>
      <c r="AM52" s="44">
        <f t="shared" si="1"/>
        <v>-1.8671604821610654</v>
      </c>
      <c r="AN52" s="44">
        <f t="shared" si="2"/>
        <v>0.20356111325582177</v>
      </c>
      <c r="AO52" s="45">
        <f t="shared" si="3"/>
        <v>1</v>
      </c>
      <c r="AP52" s="46">
        <f t="shared" si="4"/>
        <v>0</v>
      </c>
      <c r="AQ52" s="44">
        <f>($AM$3*AM52+$AN$3*AN52+$AO$3*AO52+$AP$3*AP52)+$I$3*VLOOKUP(I52,COND!$A$2:$E$7,4,FALSE)+$J$3*VLOOKUP(J52,COND!$A$2:$C$7,2,FALSE)+$K$3*VLOOKUP(K52,COND!$A$2:$C$7,3,FALSE)+IF(AND($B$2&gt;0,$E52&lt;20),$B$2*25,0)</f>
        <v>52.422683977520421</v>
      </c>
      <c r="AR52" s="47">
        <f t="shared" si="8"/>
        <v>1.3435187142084668</v>
      </c>
      <c r="AS52" s="45" t="str">
        <f t="shared" si="6"/>
        <v>RF</v>
      </c>
      <c r="AT52" s="45">
        <v>6</v>
      </c>
      <c r="AU52" s="45">
        <v>48</v>
      </c>
      <c r="AV52" s="45">
        <v>48</v>
      </c>
      <c r="AW52" s="45" t="str">
        <f t="shared" si="7"/>
        <v>Possible</v>
      </c>
      <c r="AX52" s="45"/>
      <c r="AY52" s="45">
        <f>INDEX(Table5[[#All],[Ovr]],MATCH(Batters[[#This Row],[PID]],Table5[[#All],[PID]],0))</f>
        <v>122</v>
      </c>
      <c r="AZ52" s="45" t="str">
        <f>INDEX(Table5[[#All],[Rnd]],MATCH(Batters[[#This Row],[PID]],Table5[[#All],[PID]],0))</f>
        <v>4</v>
      </c>
      <c r="BA52" s="45">
        <f>INDEX(Table5[[#All],[Pick]],MATCH(Batters[[#This Row],[PID]],Table5[[#All],[PID]],0))</f>
        <v>17</v>
      </c>
      <c r="BB52" s="45" t="str">
        <f>INDEX(Table5[[#All],[Team]],MATCH(Batters[[#This Row],[PID]],Table5[[#All],[PID]],0))</f>
        <v>Duluth Warriors</v>
      </c>
    </row>
    <row r="53" spans="1:54" ht="15" customHeight="1" x14ac:dyDescent="0.3">
      <c r="A53" s="40">
        <v>11068</v>
      </c>
      <c r="B53" s="40" t="s">
        <v>87</v>
      </c>
      <c r="C53" s="40" t="s">
        <v>179</v>
      </c>
      <c r="D53" s="40" t="s">
        <v>880</v>
      </c>
      <c r="E53" s="40">
        <v>17</v>
      </c>
      <c r="F53" s="40" t="s">
        <v>42</v>
      </c>
      <c r="G53" s="40" t="s">
        <v>42</v>
      </c>
      <c r="H53" s="41" t="s">
        <v>550</v>
      </c>
      <c r="I53" s="64" t="s">
        <v>43</v>
      </c>
      <c r="J53" s="65" t="s">
        <v>43</v>
      </c>
      <c r="K53" s="66" t="s">
        <v>47</v>
      </c>
      <c r="L53" s="40">
        <v>1</v>
      </c>
      <c r="M53" s="40">
        <v>5</v>
      </c>
      <c r="N53" s="40">
        <v>2</v>
      </c>
      <c r="O53" s="40">
        <v>2</v>
      </c>
      <c r="P53" s="41">
        <v>3</v>
      </c>
      <c r="Q53" s="40">
        <v>5</v>
      </c>
      <c r="R53" s="40">
        <v>7</v>
      </c>
      <c r="S53" s="40">
        <v>3</v>
      </c>
      <c r="T53" s="40">
        <v>4</v>
      </c>
      <c r="U53" s="41">
        <v>6</v>
      </c>
      <c r="V53" s="40">
        <v>8</v>
      </c>
      <c r="W53" s="40">
        <v>6</v>
      </c>
      <c r="X53" s="40">
        <v>1</v>
      </c>
      <c r="Y53" s="41">
        <v>1</v>
      </c>
      <c r="Z53" s="40" t="s">
        <v>45</v>
      </c>
      <c r="AA53" s="40">
        <v>4</v>
      </c>
      <c r="AB53" s="40" t="s">
        <v>45</v>
      </c>
      <c r="AC53" s="40" t="s">
        <v>45</v>
      </c>
      <c r="AD53" s="40" t="s">
        <v>45</v>
      </c>
      <c r="AE53" s="40" t="s">
        <v>45</v>
      </c>
      <c r="AF53" s="40" t="s">
        <v>45</v>
      </c>
      <c r="AG53" s="41" t="s">
        <v>45</v>
      </c>
      <c r="AH53" s="40">
        <v>2</v>
      </c>
      <c r="AI53" s="40">
        <v>6</v>
      </c>
      <c r="AJ53" s="41">
        <v>4</v>
      </c>
      <c r="AK53" s="43" t="s">
        <v>1432</v>
      </c>
      <c r="AL53" s="43" t="s">
        <v>103</v>
      </c>
      <c r="AM53" s="44">
        <f t="shared" si="1"/>
        <v>-1.6273001076851086</v>
      </c>
      <c r="AN53" s="44">
        <f t="shared" si="2"/>
        <v>0.14757260985731122</v>
      </c>
      <c r="AO53" s="45">
        <f t="shared" si="3"/>
        <v>0</v>
      </c>
      <c r="AP53" s="46">
        <f t="shared" si="4"/>
        <v>0</v>
      </c>
      <c r="AQ53" s="44">
        <f>($AM$3*AM53+$AN$3*AN53+$AO$3*AO53+$AP$3*AP53)+$I$3*VLOOKUP(I53,COND!$A$2:$E$7,4,FALSE)+$J$3*VLOOKUP(J53,COND!$A$2:$C$7,2,FALSE)+$K$3*VLOOKUP(K53,COND!$A$2:$C$7,3,FALSE)+IF(AND($B$2&gt;0,$E53&lt;20),$B$2*25,0)</f>
        <v>51.908141307519223</v>
      </c>
      <c r="AR53" s="47">
        <f t="shared" si="8"/>
        <v>1.2684118933355935</v>
      </c>
      <c r="AS53" s="45" t="str">
        <f t="shared" si="6"/>
        <v>1B</v>
      </c>
      <c r="AT53" s="45">
        <v>6</v>
      </c>
      <c r="AU53" s="45">
        <v>49</v>
      </c>
      <c r="AV53" s="45">
        <v>49</v>
      </c>
      <c r="AW53" s="45" t="str">
        <f t="shared" si="7"/>
        <v>Unlikely</v>
      </c>
      <c r="AX53" s="45"/>
      <c r="AY53" s="45">
        <f>INDEX(Table5[[#All],[Ovr]],MATCH(Batters[[#This Row],[PID]],Table5[[#All],[PID]],0))</f>
        <v>173</v>
      </c>
      <c r="AZ53" s="45" t="str">
        <f>INDEX(Table5[[#All],[Rnd]],MATCH(Batters[[#This Row],[PID]],Table5[[#All],[PID]],0))</f>
        <v>6</v>
      </c>
      <c r="BA53" s="45">
        <f>INDEX(Table5[[#All],[Pick]],MATCH(Batters[[#This Row],[PID]],Table5[[#All],[PID]],0))</f>
        <v>4</v>
      </c>
      <c r="BB53" s="45" t="str">
        <f>INDEX(Table5[[#All],[Team]],MATCH(Batters[[#This Row],[PID]],Table5[[#All],[PID]],0))</f>
        <v>Palm Springs Codgers</v>
      </c>
    </row>
    <row r="54" spans="1:54" ht="15" customHeight="1" x14ac:dyDescent="0.3">
      <c r="A54" s="40">
        <v>10368</v>
      </c>
      <c r="B54" s="40" t="s">
        <v>86</v>
      </c>
      <c r="C54" s="40" t="s">
        <v>125</v>
      </c>
      <c r="D54" s="40" t="s">
        <v>149</v>
      </c>
      <c r="E54" s="40">
        <v>17</v>
      </c>
      <c r="F54" s="40" t="s">
        <v>42</v>
      </c>
      <c r="G54" s="40" t="s">
        <v>42</v>
      </c>
      <c r="H54" s="41" t="s">
        <v>550</v>
      </c>
      <c r="I54" s="64" t="s">
        <v>44</v>
      </c>
      <c r="J54" s="65" t="s">
        <v>43</v>
      </c>
      <c r="K54" s="66" t="s">
        <v>43</v>
      </c>
      <c r="L54" s="40">
        <v>1</v>
      </c>
      <c r="M54" s="40">
        <v>4</v>
      </c>
      <c r="N54" s="40">
        <v>2</v>
      </c>
      <c r="O54" s="40">
        <v>3</v>
      </c>
      <c r="P54" s="41">
        <v>2</v>
      </c>
      <c r="Q54" s="40">
        <v>4</v>
      </c>
      <c r="R54" s="40">
        <v>8</v>
      </c>
      <c r="S54" s="40">
        <v>4</v>
      </c>
      <c r="T54" s="40">
        <v>6</v>
      </c>
      <c r="U54" s="41">
        <v>5</v>
      </c>
      <c r="V54" s="40">
        <v>2</v>
      </c>
      <c r="W54" s="40">
        <v>3</v>
      </c>
      <c r="X54" s="40">
        <v>5</v>
      </c>
      <c r="Y54" s="41">
        <v>7</v>
      </c>
      <c r="Z54" s="40" t="s">
        <v>45</v>
      </c>
      <c r="AA54" s="40" t="s">
        <v>45</v>
      </c>
      <c r="AB54" s="40" t="s">
        <v>45</v>
      </c>
      <c r="AC54" s="40" t="s">
        <v>45</v>
      </c>
      <c r="AD54" s="40" t="s">
        <v>45</v>
      </c>
      <c r="AE54" s="40" t="s">
        <v>45</v>
      </c>
      <c r="AF54" s="40" t="s">
        <v>45</v>
      </c>
      <c r="AG54" s="41" t="s">
        <v>45</v>
      </c>
      <c r="AH54" s="40">
        <v>1</v>
      </c>
      <c r="AI54" s="40">
        <v>2</v>
      </c>
      <c r="AJ54" s="41">
        <v>3</v>
      </c>
      <c r="AK54" s="43" t="s">
        <v>528</v>
      </c>
      <c r="AL54" s="43" t="s">
        <v>103</v>
      </c>
      <c r="AM54" s="44">
        <f t="shared" si="1"/>
        <v>-1.6286667771113144</v>
      </c>
      <c r="AN54" s="44">
        <f t="shared" si="2"/>
        <v>9.8540907499320138E-2</v>
      </c>
      <c r="AO54" s="45">
        <f t="shared" si="3"/>
        <v>0</v>
      </c>
      <c r="AP54" s="46">
        <f t="shared" si="4"/>
        <v>0</v>
      </c>
      <c r="AQ54" s="44">
        <f>($AM$3*AM54+$AN$3*AN54+$AO$3*AO54+$AP$3*AP54)+$I$3*VLOOKUP(I54,COND!$A$2:$E$7,4,FALSE)+$J$3*VLOOKUP(J54,COND!$A$2:$C$7,2,FALSE)+$K$3*VLOOKUP(K54,COND!$A$2:$C$7,3,FALSE)+IF(AND($B$2&gt;0,$E54&lt;20),$B$2*25,0)</f>
        <v>50.869624212280712</v>
      </c>
      <c r="AR54" s="47">
        <f t="shared" si="8"/>
        <v>1.1168215161073769</v>
      </c>
      <c r="AS54" s="45" t="str">
        <f t="shared" si="6"/>
        <v>DH</v>
      </c>
      <c r="AT54" s="45">
        <v>6</v>
      </c>
      <c r="AU54" s="45">
        <v>50</v>
      </c>
      <c r="AV54" s="45">
        <v>50</v>
      </c>
      <c r="AW54" s="45" t="str">
        <f t="shared" si="7"/>
        <v>Unlikely</v>
      </c>
      <c r="AX54" s="45"/>
      <c r="AY54" s="45">
        <f>INDEX(Table5[[#All],[Ovr]],MATCH(Batters[[#This Row],[PID]],Table5[[#All],[PID]],0))</f>
        <v>256</v>
      </c>
      <c r="AZ54" s="45" t="str">
        <f>INDEX(Table5[[#All],[Rnd]],MATCH(Batters[[#This Row],[PID]],Table5[[#All],[PID]],0))</f>
        <v>8</v>
      </c>
      <c r="BA54" s="45">
        <f>INDEX(Table5[[#All],[Pick]],MATCH(Batters[[#This Row],[PID]],Table5[[#All],[PID]],0))</f>
        <v>23</v>
      </c>
      <c r="BB54" s="45" t="str">
        <f>INDEX(Table5[[#All],[Team]],MATCH(Batters[[#This Row],[PID]],Table5[[#All],[PID]],0))</f>
        <v>Kentucky Thoroughbreds</v>
      </c>
    </row>
    <row r="55" spans="1:54" ht="15" customHeight="1" x14ac:dyDescent="0.3">
      <c r="A55" s="40">
        <v>20467</v>
      </c>
      <c r="B55" s="40" t="s">
        <v>69</v>
      </c>
      <c r="C55" s="40" t="s">
        <v>1073</v>
      </c>
      <c r="D55" s="40" t="s">
        <v>1074</v>
      </c>
      <c r="E55" s="40">
        <v>17</v>
      </c>
      <c r="F55" s="40" t="s">
        <v>42</v>
      </c>
      <c r="G55" s="40" t="s">
        <v>42</v>
      </c>
      <c r="H55" s="41" t="s">
        <v>550</v>
      </c>
      <c r="I55" s="64" t="s">
        <v>43</v>
      </c>
      <c r="J55" s="65" t="s">
        <v>43</v>
      </c>
      <c r="K55" s="66" t="s">
        <v>43</v>
      </c>
      <c r="L55" s="40">
        <v>2</v>
      </c>
      <c r="M55" s="40">
        <v>2</v>
      </c>
      <c r="N55" s="40">
        <v>4</v>
      </c>
      <c r="O55" s="40">
        <v>3</v>
      </c>
      <c r="P55" s="41">
        <v>1</v>
      </c>
      <c r="Q55" s="40">
        <v>4</v>
      </c>
      <c r="R55" s="40">
        <v>3</v>
      </c>
      <c r="S55" s="40">
        <v>6</v>
      </c>
      <c r="T55" s="40">
        <v>6</v>
      </c>
      <c r="U55" s="41">
        <v>4</v>
      </c>
      <c r="V55" s="40">
        <v>9</v>
      </c>
      <c r="W55" s="40">
        <v>8</v>
      </c>
      <c r="X55" s="40">
        <v>1</v>
      </c>
      <c r="Y55" s="41">
        <v>1</v>
      </c>
      <c r="Z55" s="40" t="s">
        <v>45</v>
      </c>
      <c r="AA55" s="40" t="s">
        <v>45</v>
      </c>
      <c r="AB55" s="40" t="s">
        <v>45</v>
      </c>
      <c r="AC55" s="40">
        <v>2</v>
      </c>
      <c r="AD55" s="40" t="s">
        <v>45</v>
      </c>
      <c r="AE55" s="40" t="s">
        <v>45</v>
      </c>
      <c r="AF55" s="40" t="s">
        <v>45</v>
      </c>
      <c r="AG55" s="41" t="s">
        <v>45</v>
      </c>
      <c r="AH55" s="40">
        <v>4</v>
      </c>
      <c r="AI55" s="40">
        <v>4</v>
      </c>
      <c r="AJ55" s="41">
        <v>4</v>
      </c>
      <c r="AK55" s="43" t="s">
        <v>572</v>
      </c>
      <c r="AL55" s="43" t="s">
        <v>103</v>
      </c>
      <c r="AM55" s="44">
        <f t="shared" si="1"/>
        <v>-1.2821240519153274</v>
      </c>
      <c r="AN55" s="44">
        <f t="shared" si="2"/>
        <v>-3.0651842363477781E-2</v>
      </c>
      <c r="AO55" s="45">
        <f t="shared" si="3"/>
        <v>0</v>
      </c>
      <c r="AP55" s="46">
        <f t="shared" si="4"/>
        <v>0</v>
      </c>
      <c r="AQ55" s="44">
        <f>($AM$3*AM55+$AN$3*AN55+$AO$3*AO55+$AP$3*AP55)+$I$3*VLOOKUP(I55,COND!$A$2:$E$7,4,FALSE)+$J$3*VLOOKUP(J55,COND!$A$2:$C$7,2,FALSE)+$K$3*VLOOKUP(K55,COND!$A$2:$C$7,3,FALSE)+IF(AND($B$2&gt;0,$E55&lt;20),$B$2*25,0)</f>
        <v>49.503965486446731</v>
      </c>
      <c r="AR55" s="47">
        <f t="shared" si="8"/>
        <v>0.91747889347425238</v>
      </c>
      <c r="AS55" s="45" t="str">
        <f t="shared" si="6"/>
        <v>3B</v>
      </c>
      <c r="AT55" s="45">
        <v>6</v>
      </c>
      <c r="AU55" s="45">
        <v>51</v>
      </c>
      <c r="AV55" s="45">
        <v>51</v>
      </c>
      <c r="AW55" s="45" t="str">
        <f t="shared" si="7"/>
        <v>Possible</v>
      </c>
      <c r="AX55" s="45"/>
      <c r="AY55" s="45">
        <f>INDEX(Table5[[#All],[Ovr]],MATCH(Batters[[#This Row],[PID]],Table5[[#All],[PID]],0))</f>
        <v>293</v>
      </c>
      <c r="AZ55" s="45" t="str">
        <f>INDEX(Table5[[#All],[Rnd]],MATCH(Batters[[#This Row],[PID]],Table5[[#All],[PID]],0))</f>
        <v>9</v>
      </c>
      <c r="BA55" s="45">
        <f>INDEX(Table5[[#All],[Pick]],MATCH(Batters[[#This Row],[PID]],Table5[[#All],[PID]],0))</f>
        <v>28</v>
      </c>
      <c r="BB55" s="45" t="str">
        <f>INDEX(Table5[[#All],[Team]],MATCH(Batters[[#This Row],[PID]],Table5[[#All],[PID]],0))</f>
        <v>Amsterdam Lions</v>
      </c>
    </row>
    <row r="56" spans="1:54" ht="15" customHeight="1" x14ac:dyDescent="0.3">
      <c r="A56" s="40">
        <v>20420</v>
      </c>
      <c r="B56" s="40" t="s">
        <v>74</v>
      </c>
      <c r="C56" s="40" t="s">
        <v>509</v>
      </c>
      <c r="D56" s="40" t="s">
        <v>1164</v>
      </c>
      <c r="E56" s="40">
        <v>17</v>
      </c>
      <c r="F56" s="40" t="s">
        <v>53</v>
      </c>
      <c r="G56" s="40" t="s">
        <v>53</v>
      </c>
      <c r="H56" s="41" t="s">
        <v>552</v>
      </c>
      <c r="I56" s="64" t="s">
        <v>43</v>
      </c>
      <c r="J56" s="65" t="s">
        <v>43</v>
      </c>
      <c r="K56" s="66" t="s">
        <v>43</v>
      </c>
      <c r="L56" s="40">
        <v>1</v>
      </c>
      <c r="M56" s="40">
        <v>4</v>
      </c>
      <c r="N56" s="40">
        <v>3</v>
      </c>
      <c r="O56" s="40">
        <v>3</v>
      </c>
      <c r="P56" s="41">
        <v>1</v>
      </c>
      <c r="Q56" s="40">
        <v>4</v>
      </c>
      <c r="R56" s="40">
        <v>5</v>
      </c>
      <c r="S56" s="40">
        <v>4</v>
      </c>
      <c r="T56" s="40">
        <v>5</v>
      </c>
      <c r="U56" s="41">
        <v>5</v>
      </c>
      <c r="V56" s="40">
        <v>5</v>
      </c>
      <c r="W56" s="40">
        <v>6</v>
      </c>
      <c r="X56" s="40">
        <v>1</v>
      </c>
      <c r="Y56" s="41">
        <v>1</v>
      </c>
      <c r="Z56" s="40" t="s">
        <v>45</v>
      </c>
      <c r="AA56" s="40" t="s">
        <v>45</v>
      </c>
      <c r="AB56" s="40" t="s">
        <v>45</v>
      </c>
      <c r="AC56" s="40" t="s">
        <v>45</v>
      </c>
      <c r="AD56" s="40" t="s">
        <v>45</v>
      </c>
      <c r="AE56" s="40" t="s">
        <v>45</v>
      </c>
      <c r="AF56" s="40">
        <v>1</v>
      </c>
      <c r="AG56" s="41" t="s">
        <v>45</v>
      </c>
      <c r="AH56" s="40">
        <v>3</v>
      </c>
      <c r="AI56" s="40">
        <v>9</v>
      </c>
      <c r="AJ56" s="41">
        <v>7</v>
      </c>
      <c r="AK56" s="43" t="s">
        <v>497</v>
      </c>
      <c r="AL56" s="43" t="s">
        <v>103</v>
      </c>
      <c r="AM56" s="44">
        <f t="shared" si="1"/>
        <v>-1.5856216229044964</v>
      </c>
      <c r="AN56" s="44">
        <f t="shared" si="2"/>
        <v>-0.1443482813663714</v>
      </c>
      <c r="AO56" s="45">
        <f t="shared" si="3"/>
        <v>2</v>
      </c>
      <c r="AP56" s="46">
        <f t="shared" si="4"/>
        <v>0</v>
      </c>
      <c r="AQ56" s="44">
        <f>($AM$3*AM56+$AN$3*AN56+$AO$3*AO56+$AP$3*AP56)+$I$3*VLOOKUP(I56,COND!$A$2:$E$7,4,FALSE)+$J$3*VLOOKUP(J56,COND!$A$2:$C$7,2,FALSE)+$K$3*VLOOKUP(K56,COND!$A$2:$C$7,3,FALSE)+IF(AND($B$2&gt;0,$E56&lt;20),$B$2*25,0)</f>
        <v>48.442591794646425</v>
      </c>
      <c r="AR56" s="47">
        <f t="shared" si="8"/>
        <v>0.76255218205294295</v>
      </c>
      <c r="AS56" s="45" t="str">
        <f t="shared" si="6"/>
        <v>CF</v>
      </c>
      <c r="AT56" s="45">
        <v>5</v>
      </c>
      <c r="AU56" s="45">
        <v>52</v>
      </c>
      <c r="AV56" s="45">
        <v>52</v>
      </c>
      <c r="AW56" s="45" t="str">
        <f t="shared" si="7"/>
        <v>Unlikely</v>
      </c>
      <c r="AX56" s="45"/>
      <c r="AY56" s="63">
        <f>INDEX(Table5[[#All],[Ovr]],MATCH(Batters[[#This Row],[PID]],Table5[[#All],[PID]],0))</f>
        <v>264</v>
      </c>
      <c r="AZ56" s="63" t="str">
        <f>INDEX(Table5[[#All],[Rnd]],MATCH(Batters[[#This Row],[PID]],Table5[[#All],[PID]],0))</f>
        <v>8</v>
      </c>
      <c r="BA56" s="63">
        <f>INDEX(Table5[[#All],[Pick]],MATCH(Batters[[#This Row],[PID]],Table5[[#All],[PID]],0))</f>
        <v>31</v>
      </c>
      <c r="BB56" s="63" t="str">
        <f>INDEX(Table5[[#All],[Team]],MATCH(Batters[[#This Row],[PID]],Table5[[#All],[PID]],0))</f>
        <v>West Virginia Alleghenies</v>
      </c>
    </row>
    <row r="57" spans="1:54" ht="15" customHeight="1" x14ac:dyDescent="0.3">
      <c r="A57" s="40">
        <v>20319</v>
      </c>
      <c r="B57" s="40" t="s">
        <v>50</v>
      </c>
      <c r="C57" s="40" t="s">
        <v>987</v>
      </c>
      <c r="D57" s="40" t="s">
        <v>793</v>
      </c>
      <c r="E57" s="40">
        <v>16</v>
      </c>
      <c r="F57" s="40" t="s">
        <v>53</v>
      </c>
      <c r="G57" s="40" t="s">
        <v>53</v>
      </c>
      <c r="H57" s="41" t="s">
        <v>548</v>
      </c>
      <c r="I57" s="64" t="s">
        <v>44</v>
      </c>
      <c r="J57" s="65" t="s">
        <v>44</v>
      </c>
      <c r="K57" s="66" t="s">
        <v>43</v>
      </c>
      <c r="L57" s="40">
        <v>1</v>
      </c>
      <c r="M57" s="40">
        <v>7</v>
      </c>
      <c r="N57" s="40">
        <v>5</v>
      </c>
      <c r="O57" s="40">
        <v>4</v>
      </c>
      <c r="P57" s="41">
        <v>1</v>
      </c>
      <c r="Q57" s="40">
        <v>4</v>
      </c>
      <c r="R57" s="40">
        <v>9</v>
      </c>
      <c r="S57" s="40">
        <v>8</v>
      </c>
      <c r="T57" s="40">
        <v>6</v>
      </c>
      <c r="U57" s="41">
        <v>3</v>
      </c>
      <c r="V57" s="40">
        <v>5</v>
      </c>
      <c r="W57" s="40">
        <v>7</v>
      </c>
      <c r="X57" s="40">
        <v>1</v>
      </c>
      <c r="Y57" s="41">
        <v>1</v>
      </c>
      <c r="Z57" s="40" t="s">
        <v>45</v>
      </c>
      <c r="AA57" s="40" t="s">
        <v>45</v>
      </c>
      <c r="AB57" s="40" t="s">
        <v>45</v>
      </c>
      <c r="AC57" s="40" t="s">
        <v>45</v>
      </c>
      <c r="AD57" s="40" t="s">
        <v>45</v>
      </c>
      <c r="AE57" s="40">
        <v>2</v>
      </c>
      <c r="AF57" s="40">
        <v>1</v>
      </c>
      <c r="AG57" s="41" t="s">
        <v>45</v>
      </c>
      <c r="AH57" s="40">
        <v>7</v>
      </c>
      <c r="AI57" s="40">
        <v>8</v>
      </c>
      <c r="AJ57" s="41">
        <v>7</v>
      </c>
      <c r="AK57" s="43" t="s">
        <v>579</v>
      </c>
      <c r="AL57" s="43" t="s">
        <v>103</v>
      </c>
      <c r="AM57" s="44">
        <f t="shared" si="1"/>
        <v>-1.1766094459910019</v>
      </c>
      <c r="AN57" s="44">
        <f t="shared" si="2"/>
        <v>0.4018140835794628</v>
      </c>
      <c r="AO57" s="45">
        <f t="shared" si="3"/>
        <v>3</v>
      </c>
      <c r="AP57" s="46">
        <f t="shared" si="4"/>
        <v>0</v>
      </c>
      <c r="AQ57" s="44">
        <f>($AM$3*AM57+$AN$3*AN57+$AO$3*AO57+$AP$3*AP57)+$I$3*VLOOKUP(I57,COND!$A$2:$E$7,4,FALSE)+$J$3*VLOOKUP(J57,COND!$A$2:$C$7,2,FALSE)+$K$3*VLOOKUP(K57,COND!$A$2:$C$7,3,FALSE)+IF(AND($B$2&gt;0,$E57&lt;20),$B$2*25,0)</f>
        <v>54.754108058354447</v>
      </c>
      <c r="AR57" s="47">
        <f t="shared" si="8"/>
        <v>1.6838322800736583</v>
      </c>
      <c r="AS57" s="45" t="str">
        <f t="shared" si="6"/>
        <v>LF</v>
      </c>
      <c r="AT57" s="45">
        <v>7</v>
      </c>
      <c r="AU57" s="45">
        <v>53</v>
      </c>
      <c r="AV57" s="45">
        <v>53</v>
      </c>
      <c r="AW57" s="45" t="str">
        <f t="shared" si="7"/>
        <v>Possible</v>
      </c>
      <c r="AX57" s="45"/>
      <c r="AY57" s="45">
        <f>INDEX(Table5[[#All],[Ovr]],MATCH(Batters[[#This Row],[PID]],Table5[[#All],[PID]],0))</f>
        <v>7</v>
      </c>
      <c r="AZ57" s="45" t="str">
        <f>INDEX(Table5[[#All],[Rnd]],MATCH(Batters[[#This Row],[PID]],Table5[[#All],[PID]],0))</f>
        <v>1</v>
      </c>
      <c r="BA57" s="45">
        <f>INDEX(Table5[[#All],[Pick]],MATCH(Batters[[#This Row],[PID]],Table5[[#All],[PID]],0))</f>
        <v>7</v>
      </c>
      <c r="BB57" s="45" t="str">
        <f>INDEX(Table5[[#All],[Team]],MATCH(Batters[[#This Row],[PID]],Table5[[#All],[PID]],0))</f>
        <v>Hartford Harpoon</v>
      </c>
    </row>
    <row r="58" spans="1:54" ht="15" customHeight="1" x14ac:dyDescent="0.3">
      <c r="A58" s="40">
        <v>11861</v>
      </c>
      <c r="B58" s="40" t="s">
        <v>69</v>
      </c>
      <c r="C58" s="40" t="s">
        <v>139</v>
      </c>
      <c r="D58" s="40" t="s">
        <v>605</v>
      </c>
      <c r="E58" s="40">
        <v>18</v>
      </c>
      <c r="F58" s="40" t="s">
        <v>42</v>
      </c>
      <c r="G58" s="40" t="s">
        <v>42</v>
      </c>
      <c r="H58" s="41" t="s">
        <v>550</v>
      </c>
      <c r="I58" s="64" t="s">
        <v>44</v>
      </c>
      <c r="J58" s="65" t="s">
        <v>44</v>
      </c>
      <c r="K58" s="66" t="s">
        <v>44</v>
      </c>
      <c r="L58" s="40">
        <v>2</v>
      </c>
      <c r="M58" s="40">
        <v>5</v>
      </c>
      <c r="N58" s="40">
        <v>2</v>
      </c>
      <c r="O58" s="40">
        <v>2</v>
      </c>
      <c r="P58" s="41">
        <v>6</v>
      </c>
      <c r="Q58" s="40">
        <v>6</v>
      </c>
      <c r="R58" s="40">
        <v>7</v>
      </c>
      <c r="S58" s="40">
        <v>2</v>
      </c>
      <c r="T58" s="40">
        <v>4</v>
      </c>
      <c r="U58" s="41">
        <v>8</v>
      </c>
      <c r="V58" s="40">
        <v>9</v>
      </c>
      <c r="W58" s="40">
        <v>9</v>
      </c>
      <c r="X58" s="40">
        <v>1</v>
      </c>
      <c r="Y58" s="41">
        <v>1</v>
      </c>
      <c r="Z58" s="40" t="s">
        <v>45</v>
      </c>
      <c r="AA58" s="40" t="s">
        <v>45</v>
      </c>
      <c r="AB58" s="40" t="s">
        <v>45</v>
      </c>
      <c r="AC58" s="40">
        <v>3</v>
      </c>
      <c r="AD58" s="40" t="s">
        <v>45</v>
      </c>
      <c r="AE58" s="40" t="s">
        <v>45</v>
      </c>
      <c r="AF58" s="40" t="s">
        <v>45</v>
      </c>
      <c r="AG58" s="41" t="s">
        <v>45</v>
      </c>
      <c r="AH58" s="40">
        <v>8</v>
      </c>
      <c r="AI58" s="40">
        <v>7</v>
      </c>
      <c r="AJ58" s="41">
        <v>6</v>
      </c>
      <c r="AK58" s="43" t="s">
        <v>531</v>
      </c>
      <c r="AL58" s="43" t="s">
        <v>103</v>
      </c>
      <c r="AM58" s="44">
        <f t="shared" si="1"/>
        <v>-1.1846952520311835</v>
      </c>
      <c r="AN58" s="44">
        <f t="shared" si="2"/>
        <v>0.46709963167025131</v>
      </c>
      <c r="AO58" s="45">
        <f t="shared" si="3"/>
        <v>2</v>
      </c>
      <c r="AP58" s="46">
        <f t="shared" si="4"/>
        <v>0</v>
      </c>
      <c r="AQ58" s="44">
        <f>($AM$3*AM58+$AN$3*AN58+$AO$3*AO58+$AP$3*AP58)+$I$3*VLOOKUP(I58,COND!$A$2:$E$7,4,FALSE)+$J$3*VLOOKUP(J58,COND!$A$2:$C$7,2,FALSE)+$K$3*VLOOKUP(K58,COND!$A$2:$C$7,3,FALSE)+IF(AND($B$2&gt;0,$E58&lt;20),$B$2*25,0)</f>
        <v>55.070059388173235</v>
      </c>
      <c r="AR58" s="47">
        <f t="shared" si="8"/>
        <v>1.7299510984278106</v>
      </c>
      <c r="AS58" s="45" t="str">
        <f t="shared" si="6"/>
        <v>3B</v>
      </c>
      <c r="AT58" s="45">
        <v>7</v>
      </c>
      <c r="AU58" s="45">
        <v>54</v>
      </c>
      <c r="AV58" s="45">
        <v>54</v>
      </c>
      <c r="AW58" s="45" t="str">
        <f t="shared" si="7"/>
        <v>Possible</v>
      </c>
      <c r="AX58" s="45"/>
      <c r="AY58" s="45">
        <f>INDEX(Table5[[#All],[Ovr]],MATCH(Batters[[#This Row],[PID]],Table5[[#All],[PID]],0))</f>
        <v>55</v>
      </c>
      <c r="AZ58" s="45" t="str">
        <f>INDEX(Table5[[#All],[Rnd]],MATCH(Batters[[#This Row],[PID]],Table5[[#All],[PID]],0))</f>
        <v>2</v>
      </c>
      <c r="BA58" s="45">
        <f>INDEX(Table5[[#All],[Pick]],MATCH(Batters[[#This Row],[PID]],Table5[[#All],[PID]],0))</f>
        <v>19</v>
      </c>
      <c r="BB58" s="45" t="str">
        <f>INDEX(Table5[[#All],[Team]],MATCH(Batters[[#This Row],[PID]],Table5[[#All],[PID]],0))</f>
        <v>Madison Malts</v>
      </c>
    </row>
    <row r="59" spans="1:54" ht="15" customHeight="1" x14ac:dyDescent="0.3">
      <c r="A59" s="40">
        <v>20521</v>
      </c>
      <c r="B59" s="40" t="s">
        <v>66</v>
      </c>
      <c r="C59" s="40" t="s">
        <v>1009</v>
      </c>
      <c r="D59" s="40" t="s">
        <v>1010</v>
      </c>
      <c r="E59" s="40">
        <v>17</v>
      </c>
      <c r="F59" s="40" t="s">
        <v>53</v>
      </c>
      <c r="G59" s="40" t="s">
        <v>53</v>
      </c>
      <c r="H59" s="41" t="s">
        <v>549</v>
      </c>
      <c r="I59" s="64" t="s">
        <v>44</v>
      </c>
      <c r="J59" s="65" t="s">
        <v>43</v>
      </c>
      <c r="K59" s="66" t="s">
        <v>43</v>
      </c>
      <c r="L59" s="40">
        <v>1</v>
      </c>
      <c r="M59" s="40">
        <v>3</v>
      </c>
      <c r="N59" s="40">
        <v>5</v>
      </c>
      <c r="O59" s="40">
        <v>3</v>
      </c>
      <c r="P59" s="41">
        <v>1</v>
      </c>
      <c r="Q59" s="40">
        <v>4</v>
      </c>
      <c r="R59" s="40">
        <v>5</v>
      </c>
      <c r="S59" s="40">
        <v>8</v>
      </c>
      <c r="T59" s="40">
        <v>6</v>
      </c>
      <c r="U59" s="41">
        <v>2</v>
      </c>
      <c r="V59" s="40">
        <v>4</v>
      </c>
      <c r="W59" s="40">
        <v>7</v>
      </c>
      <c r="X59" s="40">
        <v>1</v>
      </c>
      <c r="Y59" s="41">
        <v>1</v>
      </c>
      <c r="Z59" s="40" t="s">
        <v>45</v>
      </c>
      <c r="AA59" s="40" t="s">
        <v>45</v>
      </c>
      <c r="AB59" s="40" t="s">
        <v>45</v>
      </c>
      <c r="AC59" s="40" t="s">
        <v>45</v>
      </c>
      <c r="AD59" s="40" t="s">
        <v>45</v>
      </c>
      <c r="AE59" s="40" t="s">
        <v>45</v>
      </c>
      <c r="AF59" s="40" t="s">
        <v>45</v>
      </c>
      <c r="AG59" s="41">
        <v>2</v>
      </c>
      <c r="AH59" s="40">
        <v>3</v>
      </c>
      <c r="AI59" s="40">
        <v>6</v>
      </c>
      <c r="AJ59" s="41">
        <v>4</v>
      </c>
      <c r="AK59" s="43" t="s">
        <v>497</v>
      </c>
      <c r="AL59" s="43" t="s">
        <v>103</v>
      </c>
      <c r="AM59" s="44">
        <f t="shared" si="1"/>
        <v>-1.4705585144753968</v>
      </c>
      <c r="AN59" s="44">
        <f t="shared" si="2"/>
        <v>0.15755822528756533</v>
      </c>
      <c r="AO59" s="45">
        <f t="shared" si="3"/>
        <v>0</v>
      </c>
      <c r="AP59" s="46">
        <f t="shared" si="4"/>
        <v>0</v>
      </c>
      <c r="AQ59" s="44">
        <f>($AM$3*AM59+$AN$3*AN59+$AO$3*AO59+$AP$3*AP59)+$I$3*VLOOKUP(I59,COND!$A$2:$E$7,4,FALSE)+$J$3*VLOOKUP(J59,COND!$A$2:$C$7,2,FALSE)+$K$3*VLOOKUP(K59,COND!$A$2:$C$7,3,FALSE)+IF(AND($B$2&gt;0,$E59&lt;20),$B$2*25,0)</f>
        <v>51.593642852003242</v>
      </c>
      <c r="AR59" s="47">
        <f t="shared" si="8"/>
        <v>1.2225051482969769</v>
      </c>
      <c r="AS59" s="45" t="str">
        <f t="shared" si="6"/>
        <v>RF</v>
      </c>
      <c r="AT59" s="45">
        <v>7</v>
      </c>
      <c r="AU59" s="45">
        <v>55</v>
      </c>
      <c r="AV59" s="45">
        <v>55</v>
      </c>
      <c r="AW59" s="45" t="str">
        <f t="shared" si="7"/>
        <v>Possible</v>
      </c>
      <c r="AX59" s="45"/>
      <c r="AY59" s="45">
        <f>INDEX(Table5[[#All],[Ovr]],MATCH(Batters[[#This Row],[PID]],Table5[[#All],[PID]],0))</f>
        <v>25</v>
      </c>
      <c r="AZ59" s="45" t="str">
        <f>INDEX(Table5[[#All],[Rnd]],MATCH(Batters[[#This Row],[PID]],Table5[[#All],[PID]],0))</f>
        <v>1</v>
      </c>
      <c r="BA59" s="45">
        <f>INDEX(Table5[[#All],[Pick]],MATCH(Batters[[#This Row],[PID]],Table5[[#All],[PID]],0))</f>
        <v>25</v>
      </c>
      <c r="BB59" s="45" t="str">
        <f>INDEX(Table5[[#All],[Team]],MATCH(Batters[[#This Row],[PID]],Table5[[#All],[PID]],0))</f>
        <v>Yuma Arroyos</v>
      </c>
    </row>
    <row r="60" spans="1:54" ht="15" customHeight="1" x14ac:dyDescent="0.3">
      <c r="A60" s="40">
        <v>12128</v>
      </c>
      <c r="B60" s="40" t="s">
        <v>87</v>
      </c>
      <c r="C60" s="40" t="s">
        <v>681</v>
      </c>
      <c r="D60" s="40" t="s">
        <v>1107</v>
      </c>
      <c r="E60" s="40">
        <v>17</v>
      </c>
      <c r="F60" s="40" t="s">
        <v>53</v>
      </c>
      <c r="G60" s="40" t="s">
        <v>53</v>
      </c>
      <c r="H60" s="41" t="s">
        <v>550</v>
      </c>
      <c r="I60" s="64" t="s">
        <v>43</v>
      </c>
      <c r="J60" s="65" t="s">
        <v>43</v>
      </c>
      <c r="K60" s="66" t="s">
        <v>43</v>
      </c>
      <c r="L60" s="40">
        <v>1</v>
      </c>
      <c r="M60" s="40">
        <v>4</v>
      </c>
      <c r="N60" s="40">
        <v>5</v>
      </c>
      <c r="O60" s="40">
        <v>4</v>
      </c>
      <c r="P60" s="41">
        <v>1</v>
      </c>
      <c r="Q60" s="40">
        <v>3</v>
      </c>
      <c r="R60" s="40">
        <v>8</v>
      </c>
      <c r="S60" s="40">
        <v>8</v>
      </c>
      <c r="T60" s="40">
        <v>6</v>
      </c>
      <c r="U60" s="41">
        <v>2</v>
      </c>
      <c r="V60" s="40">
        <v>6</v>
      </c>
      <c r="W60" s="40">
        <v>7</v>
      </c>
      <c r="X60" s="40">
        <v>1</v>
      </c>
      <c r="Y60" s="41">
        <v>1</v>
      </c>
      <c r="Z60" s="40" t="s">
        <v>45</v>
      </c>
      <c r="AA60" s="40">
        <v>2</v>
      </c>
      <c r="AB60" s="40" t="s">
        <v>45</v>
      </c>
      <c r="AC60" s="40" t="s">
        <v>45</v>
      </c>
      <c r="AD60" s="40" t="s">
        <v>45</v>
      </c>
      <c r="AE60" s="40" t="s">
        <v>45</v>
      </c>
      <c r="AF60" s="40" t="s">
        <v>45</v>
      </c>
      <c r="AG60" s="41" t="s">
        <v>45</v>
      </c>
      <c r="AH60" s="40">
        <v>1</v>
      </c>
      <c r="AI60" s="40">
        <v>1</v>
      </c>
      <c r="AJ60" s="41">
        <v>1</v>
      </c>
      <c r="AK60" s="43" t="s">
        <v>498</v>
      </c>
      <c r="AL60" s="43" t="s">
        <v>103</v>
      </c>
      <c r="AM60" s="44">
        <f t="shared" si="1"/>
        <v>-1.3297890848471123</v>
      </c>
      <c r="AN60" s="44">
        <f t="shared" si="2"/>
        <v>-1.1817972058998842E-2</v>
      </c>
      <c r="AO60" s="45">
        <f t="shared" si="3"/>
        <v>0</v>
      </c>
      <c r="AP60" s="46">
        <f t="shared" si="4"/>
        <v>0</v>
      </c>
      <c r="AQ60" s="44">
        <f>($AM$3*AM60+$AN$3*AN60+$AO$3*AO60+$AP$3*AP60)+$I$3*VLOOKUP(I60,COND!$A$2:$E$7,4,FALSE)+$J$3*VLOOKUP(J60,COND!$A$2:$C$7,2,FALSE)+$K$3*VLOOKUP(K60,COND!$A$2:$C$7,3,FALSE)+IF(AND($B$2&gt;0,$E60&lt;20),$B$2*25,0)</f>
        <v>49.725205426807307</v>
      </c>
      <c r="AR60" s="47">
        <f t="shared" si="8"/>
        <v>0.94977286934713423</v>
      </c>
      <c r="AS60" s="45" t="str">
        <f t="shared" si="6"/>
        <v>1B</v>
      </c>
      <c r="AT60" s="45">
        <v>7</v>
      </c>
      <c r="AU60" s="45">
        <v>56</v>
      </c>
      <c r="AV60" s="45">
        <v>56</v>
      </c>
      <c r="AW60" s="45" t="str">
        <f t="shared" si="7"/>
        <v>Possible</v>
      </c>
      <c r="AX60" s="45"/>
      <c r="AY60" s="45">
        <f>INDEX(Table5[[#All],[Ovr]],MATCH(Batters[[#This Row],[PID]],Table5[[#All],[PID]],0))</f>
        <v>170</v>
      </c>
      <c r="AZ60" s="45" t="str">
        <f>INDEX(Table5[[#All],[Rnd]],MATCH(Batters[[#This Row],[PID]],Table5[[#All],[PID]],0))</f>
        <v>6</v>
      </c>
      <c r="BA60" s="45">
        <f>INDEX(Table5[[#All],[Pick]],MATCH(Batters[[#This Row],[PID]],Table5[[#All],[PID]],0))</f>
        <v>1</v>
      </c>
      <c r="BB60" s="45" t="str">
        <f>INDEX(Table5[[#All],[Team]],MATCH(Batters[[#This Row],[PID]],Table5[[#All],[PID]],0))</f>
        <v>Niihama-shi Ghosts</v>
      </c>
    </row>
    <row r="61" spans="1:54" ht="15" customHeight="1" x14ac:dyDescent="0.3">
      <c r="A61" s="40">
        <v>20988</v>
      </c>
      <c r="B61" s="40" t="s">
        <v>86</v>
      </c>
      <c r="C61" s="40" t="s">
        <v>127</v>
      </c>
      <c r="D61" s="40" t="s">
        <v>1089</v>
      </c>
      <c r="E61" s="40">
        <v>17</v>
      </c>
      <c r="F61" s="40" t="s">
        <v>42</v>
      </c>
      <c r="G61" s="40" t="s">
        <v>42</v>
      </c>
      <c r="H61" s="41" t="s">
        <v>550</v>
      </c>
      <c r="I61" s="64" t="s">
        <v>43</v>
      </c>
      <c r="J61" s="65" t="s">
        <v>44</v>
      </c>
      <c r="K61" s="66" t="s">
        <v>43</v>
      </c>
      <c r="L61" s="40">
        <v>1</v>
      </c>
      <c r="M61" s="40">
        <v>3</v>
      </c>
      <c r="N61" s="40">
        <v>2</v>
      </c>
      <c r="O61" s="40">
        <v>2</v>
      </c>
      <c r="P61" s="41">
        <v>2</v>
      </c>
      <c r="Q61" s="40">
        <v>5</v>
      </c>
      <c r="R61" s="40">
        <v>6</v>
      </c>
      <c r="S61" s="40">
        <v>3</v>
      </c>
      <c r="T61" s="40">
        <v>6</v>
      </c>
      <c r="U61" s="41">
        <v>5</v>
      </c>
      <c r="V61" s="40">
        <v>3</v>
      </c>
      <c r="W61" s="40">
        <v>3</v>
      </c>
      <c r="X61" s="40">
        <v>4</v>
      </c>
      <c r="Y61" s="41">
        <v>6</v>
      </c>
      <c r="Z61" s="40" t="s">
        <v>45</v>
      </c>
      <c r="AA61" s="40" t="s">
        <v>45</v>
      </c>
      <c r="AB61" s="40" t="s">
        <v>45</v>
      </c>
      <c r="AC61" s="40" t="s">
        <v>45</v>
      </c>
      <c r="AD61" s="40" t="s">
        <v>45</v>
      </c>
      <c r="AE61" s="40" t="s">
        <v>45</v>
      </c>
      <c r="AF61" s="40" t="s">
        <v>45</v>
      </c>
      <c r="AG61" s="41" t="s">
        <v>45</v>
      </c>
      <c r="AH61" s="40">
        <v>1</v>
      </c>
      <c r="AI61" s="40">
        <v>5</v>
      </c>
      <c r="AJ61" s="41">
        <v>5</v>
      </c>
      <c r="AK61" s="43" t="s">
        <v>1043</v>
      </c>
      <c r="AL61" s="43" t="s">
        <v>103</v>
      </c>
      <c r="AM61" s="44">
        <f t="shared" si="1"/>
        <v>-1.7694362067395988</v>
      </c>
      <c r="AN61" s="44">
        <f t="shared" si="2"/>
        <v>0.23591549044068638</v>
      </c>
      <c r="AO61" s="45">
        <f t="shared" si="3"/>
        <v>0</v>
      </c>
      <c r="AP61" s="46">
        <f t="shared" si="4"/>
        <v>0</v>
      </c>
      <c r="AQ61" s="44">
        <f>($AM$3*AM61+$AN$3*AN61+$AO$3*AO61+$AP$3*AP61)+$I$3*VLOOKUP(I61,COND!$A$2:$E$7,4,FALSE)+$J$3*VLOOKUP(J61,COND!$A$2:$C$7,2,FALSE)+$K$3*VLOOKUP(K61,COND!$A$2:$C$7,3,FALSE)+IF(AND($B$2&gt;0,$E61&lt;20),$B$2*25,0)</f>
        <v>52.354042264614279</v>
      </c>
      <c r="AR61" s="47">
        <f t="shared" si="8"/>
        <v>1.3334992131326147</v>
      </c>
      <c r="AS61" s="45" t="str">
        <f t="shared" si="6"/>
        <v>DH</v>
      </c>
      <c r="AT61" s="45">
        <v>7</v>
      </c>
      <c r="AU61" s="45">
        <v>57</v>
      </c>
      <c r="AV61" s="45">
        <v>57</v>
      </c>
      <c r="AW61" s="45" t="str">
        <f t="shared" si="7"/>
        <v>Unlikely</v>
      </c>
      <c r="AX61" s="45"/>
      <c r="AY61" s="45">
        <f>INDEX(Table5[[#All],[Ovr]],MATCH(Batters[[#This Row],[PID]],Table5[[#All],[PID]],0))</f>
        <v>123</v>
      </c>
      <c r="AZ61" s="45" t="str">
        <f>INDEX(Table5[[#All],[Rnd]],MATCH(Batters[[#This Row],[PID]],Table5[[#All],[PID]],0))</f>
        <v>4</v>
      </c>
      <c r="BA61" s="45">
        <f>INDEX(Table5[[#All],[Pick]],MATCH(Batters[[#This Row],[PID]],Table5[[#All],[PID]],0))</f>
        <v>18</v>
      </c>
      <c r="BB61" s="45" t="str">
        <f>INDEX(Table5[[#All],[Team]],MATCH(Batters[[#This Row],[PID]],Table5[[#All],[PID]],0))</f>
        <v>San Juan Coqui</v>
      </c>
    </row>
    <row r="62" spans="1:54" ht="15" customHeight="1" x14ac:dyDescent="0.3">
      <c r="A62" s="40">
        <v>12985</v>
      </c>
      <c r="B62" s="40" t="s">
        <v>72</v>
      </c>
      <c r="C62" s="40" t="s">
        <v>606</v>
      </c>
      <c r="D62" s="40" t="s">
        <v>164</v>
      </c>
      <c r="E62" s="40">
        <v>18</v>
      </c>
      <c r="F62" s="40" t="s">
        <v>42</v>
      </c>
      <c r="G62" s="40" t="s">
        <v>42</v>
      </c>
      <c r="H62" s="41" t="s">
        <v>550</v>
      </c>
      <c r="I62" s="64" t="s">
        <v>47</v>
      </c>
      <c r="J62" s="65" t="s">
        <v>43</v>
      </c>
      <c r="K62" s="66" t="s">
        <v>43</v>
      </c>
      <c r="L62" s="40">
        <v>1</v>
      </c>
      <c r="M62" s="40">
        <v>3</v>
      </c>
      <c r="N62" s="40">
        <v>4</v>
      </c>
      <c r="O62" s="40">
        <v>3</v>
      </c>
      <c r="P62" s="41">
        <v>1</v>
      </c>
      <c r="Q62" s="40">
        <v>4</v>
      </c>
      <c r="R62" s="40">
        <v>5</v>
      </c>
      <c r="S62" s="40">
        <v>6</v>
      </c>
      <c r="T62" s="40">
        <v>6</v>
      </c>
      <c r="U62" s="41">
        <v>5</v>
      </c>
      <c r="V62" s="40">
        <v>8</v>
      </c>
      <c r="W62" s="40">
        <v>7</v>
      </c>
      <c r="X62" s="40">
        <v>1</v>
      </c>
      <c r="Y62" s="41">
        <v>1</v>
      </c>
      <c r="Z62" s="40" t="s">
        <v>45</v>
      </c>
      <c r="AA62" s="40" t="s">
        <v>45</v>
      </c>
      <c r="AB62" s="40" t="s">
        <v>45</v>
      </c>
      <c r="AC62" s="40" t="s">
        <v>45</v>
      </c>
      <c r="AD62" s="40">
        <v>4</v>
      </c>
      <c r="AE62" s="40" t="s">
        <v>45</v>
      </c>
      <c r="AF62" s="40" t="s">
        <v>45</v>
      </c>
      <c r="AG62" s="41" t="s">
        <v>45</v>
      </c>
      <c r="AH62" s="40">
        <v>9</v>
      </c>
      <c r="AI62" s="40">
        <v>7</v>
      </c>
      <c r="AJ62" s="41">
        <v>6</v>
      </c>
      <c r="AK62" s="43" t="s">
        <v>758</v>
      </c>
      <c r="AL62" s="43" t="s">
        <v>103</v>
      </c>
      <c r="AM62" s="44">
        <f t="shared" si="1"/>
        <v>-1.5536200084992982</v>
      </c>
      <c r="AN62" s="44">
        <f t="shared" si="2"/>
        <v>0.11148425669101263</v>
      </c>
      <c r="AO62" s="45">
        <f t="shared" si="3"/>
        <v>2</v>
      </c>
      <c r="AP62" s="46">
        <f t="shared" si="4"/>
        <v>0</v>
      </c>
      <c r="AQ62" s="44">
        <f>($AM$3*AM62+$AN$3*AN62+$AO$3*AO62+$AP$3*AP62)+$I$3*VLOOKUP(I62,COND!$A$2:$E$7,4,FALSE)+$J$3*VLOOKUP(J62,COND!$A$2:$C$7,2,FALSE)+$K$3*VLOOKUP(K62,COND!$A$2:$C$7,3,FALSE)+IF(AND($B$2&gt;0,$E62&lt;20),$B$2*25,0)</f>
        <v>51.740782412775552</v>
      </c>
      <c r="AR62" s="47">
        <f t="shared" si="8"/>
        <v>1.2439828318372232</v>
      </c>
      <c r="AS62" s="45" t="str">
        <f t="shared" si="6"/>
        <v>SS</v>
      </c>
      <c r="AT62" s="45">
        <v>7</v>
      </c>
      <c r="AU62" s="45">
        <v>58</v>
      </c>
      <c r="AV62" s="45">
        <v>58</v>
      </c>
      <c r="AW62" s="45" t="str">
        <f t="shared" si="7"/>
        <v>Possible</v>
      </c>
      <c r="AX62" s="45"/>
      <c r="AY62" s="45">
        <f>INDEX(Table5[[#All],[Ovr]],MATCH(Batters[[#This Row],[PID]],Table5[[#All],[PID]],0))</f>
        <v>142</v>
      </c>
      <c r="AZ62" s="45" t="str">
        <f>INDEX(Table5[[#All],[Rnd]],MATCH(Batters[[#This Row],[PID]],Table5[[#All],[PID]],0))</f>
        <v>5</v>
      </c>
      <c r="BA62" s="45">
        <f>INDEX(Table5[[#All],[Pick]],MATCH(Batters[[#This Row],[PID]],Table5[[#All],[PID]],0))</f>
        <v>5</v>
      </c>
      <c r="BB62" s="45" t="str">
        <f>INDEX(Table5[[#All],[Team]],MATCH(Batters[[#This Row],[PID]],Table5[[#All],[PID]],0))</f>
        <v>Tempe Knights</v>
      </c>
    </row>
    <row r="63" spans="1:54" ht="15" customHeight="1" x14ac:dyDescent="0.3">
      <c r="A63" s="40">
        <v>13282</v>
      </c>
      <c r="B63" s="40" t="s">
        <v>86</v>
      </c>
      <c r="C63" s="40" t="s">
        <v>1013</v>
      </c>
      <c r="D63" s="40" t="s">
        <v>692</v>
      </c>
      <c r="E63" s="40">
        <v>18</v>
      </c>
      <c r="F63" s="40" t="s">
        <v>42</v>
      </c>
      <c r="G63" s="40" t="s">
        <v>42</v>
      </c>
      <c r="H63" s="41" t="s">
        <v>549</v>
      </c>
      <c r="I63" s="64" t="s">
        <v>43</v>
      </c>
      <c r="J63" s="65" t="s">
        <v>43</v>
      </c>
      <c r="K63" s="66" t="s">
        <v>43</v>
      </c>
      <c r="L63" s="40">
        <v>1</v>
      </c>
      <c r="M63" s="40">
        <v>3</v>
      </c>
      <c r="N63" s="40">
        <v>4</v>
      </c>
      <c r="O63" s="40">
        <v>4</v>
      </c>
      <c r="P63" s="41">
        <v>1</v>
      </c>
      <c r="Q63" s="40">
        <v>3</v>
      </c>
      <c r="R63" s="40">
        <v>6</v>
      </c>
      <c r="S63" s="40">
        <v>7</v>
      </c>
      <c r="T63" s="40">
        <v>6</v>
      </c>
      <c r="U63" s="41">
        <v>3</v>
      </c>
      <c r="V63" s="40">
        <v>3</v>
      </c>
      <c r="W63" s="40">
        <v>4</v>
      </c>
      <c r="X63" s="40">
        <v>5</v>
      </c>
      <c r="Y63" s="41">
        <v>7</v>
      </c>
      <c r="Z63" s="40">
        <v>2</v>
      </c>
      <c r="AA63" s="40" t="s">
        <v>45</v>
      </c>
      <c r="AB63" s="40" t="s">
        <v>45</v>
      </c>
      <c r="AC63" s="40" t="s">
        <v>45</v>
      </c>
      <c r="AD63" s="40" t="s">
        <v>45</v>
      </c>
      <c r="AE63" s="40" t="s">
        <v>45</v>
      </c>
      <c r="AF63" s="40" t="s">
        <v>45</v>
      </c>
      <c r="AG63" s="41" t="s">
        <v>45</v>
      </c>
      <c r="AH63" s="40">
        <v>1</v>
      </c>
      <c r="AI63" s="40">
        <v>1</v>
      </c>
      <c r="AJ63" s="41">
        <v>1</v>
      </c>
      <c r="AK63" s="43" t="s">
        <v>503</v>
      </c>
      <c r="AL63" s="43" t="s">
        <v>103</v>
      </c>
      <c r="AM63" s="44">
        <f t="shared" si="1"/>
        <v>-1.4639104584897171</v>
      </c>
      <c r="AN63" s="44">
        <f t="shared" si="2"/>
        <v>-0.15698288550322398</v>
      </c>
      <c r="AO63" s="45">
        <f t="shared" si="3"/>
        <v>0</v>
      </c>
      <c r="AP63" s="46">
        <f t="shared" si="4"/>
        <v>1.1000000000000001</v>
      </c>
      <c r="AQ63" s="44">
        <f>($AM$3*AM63+$AN$3*AN63+$AO$3*AO63+$AP$3*AP63)+$I$3*VLOOKUP(I63,COND!$A$2:$E$7,4,FALSE)+$J$3*VLOOKUP(J63,COND!$A$2:$C$7,2,FALSE)+$K$3*VLOOKUP(K63,COND!$A$2:$C$7,3,FALSE)+IF(AND($B$2&gt;0,$E63&lt;20),$B$2*25,0)</f>
        <v>49.069814328112344</v>
      </c>
      <c r="AR63" s="47">
        <f>STANDARDIZE(AQ63,AVERAGE($AQ$5:$AQ$459),STDEVP($AQ$5:$AQ$459))</f>
        <v>0.85925358279982944</v>
      </c>
      <c r="AS63" s="45" t="str">
        <f t="shared" si="6"/>
        <v>C</v>
      </c>
      <c r="AT63" s="45">
        <v>6</v>
      </c>
      <c r="AU63" s="45">
        <v>59</v>
      </c>
      <c r="AV63" s="45">
        <v>59</v>
      </c>
      <c r="AW63" s="45" t="str">
        <f t="shared" si="7"/>
        <v>Possible</v>
      </c>
      <c r="AX63" s="45"/>
      <c r="AY63" s="63">
        <f>INDEX(Table5[[#All],[Ovr]],MATCH(Batters[[#This Row],[PID]],Table5[[#All],[PID]],0))</f>
        <v>81</v>
      </c>
      <c r="AZ63" s="63" t="str">
        <f>INDEX(Table5[[#All],[Rnd]],MATCH(Batters[[#This Row],[PID]],Table5[[#All],[PID]],0))</f>
        <v>3</v>
      </c>
      <c r="BA63" s="63">
        <f>INDEX(Table5[[#All],[Pick]],MATCH(Batters[[#This Row],[PID]],Table5[[#All],[PID]],0))</f>
        <v>9</v>
      </c>
      <c r="BB63" s="63" t="str">
        <f>INDEX(Table5[[#All],[Team]],MATCH(Batters[[#This Row],[PID]],Table5[[#All],[PID]],0))</f>
        <v>Gloucester Fishermen</v>
      </c>
    </row>
    <row r="64" spans="1:54" ht="15" customHeight="1" x14ac:dyDescent="0.3">
      <c r="A64" s="40">
        <v>13441</v>
      </c>
      <c r="B64" s="40" t="s">
        <v>87</v>
      </c>
      <c r="C64" s="40" t="s">
        <v>1110</v>
      </c>
      <c r="D64" s="40" t="s">
        <v>846</v>
      </c>
      <c r="E64" s="40">
        <v>18</v>
      </c>
      <c r="F64" s="40" t="s">
        <v>42</v>
      </c>
      <c r="G64" s="40" t="s">
        <v>42</v>
      </c>
      <c r="H64" s="41" t="s">
        <v>550</v>
      </c>
      <c r="I64" s="64" t="s">
        <v>43</v>
      </c>
      <c r="J64" s="65" t="s">
        <v>47</v>
      </c>
      <c r="K64" s="66" t="s">
        <v>47</v>
      </c>
      <c r="L64" s="40">
        <v>2</v>
      </c>
      <c r="M64" s="40">
        <v>7</v>
      </c>
      <c r="N64" s="40">
        <v>3</v>
      </c>
      <c r="O64" s="40">
        <v>2</v>
      </c>
      <c r="P64" s="41">
        <v>5</v>
      </c>
      <c r="Q64" s="40">
        <v>4</v>
      </c>
      <c r="R64" s="40">
        <v>7</v>
      </c>
      <c r="S64" s="40">
        <v>6</v>
      </c>
      <c r="T64" s="40">
        <v>4</v>
      </c>
      <c r="U64" s="41">
        <v>6</v>
      </c>
      <c r="V64" s="40">
        <v>5</v>
      </c>
      <c r="W64" s="40">
        <v>4</v>
      </c>
      <c r="X64" s="40">
        <v>1</v>
      </c>
      <c r="Y64" s="41">
        <v>1</v>
      </c>
      <c r="Z64" s="40" t="s">
        <v>45</v>
      </c>
      <c r="AA64" s="40">
        <v>5</v>
      </c>
      <c r="AB64" s="40">
        <v>1</v>
      </c>
      <c r="AC64" s="40">
        <v>1</v>
      </c>
      <c r="AD64" s="40" t="s">
        <v>45</v>
      </c>
      <c r="AE64" s="40" t="s">
        <v>45</v>
      </c>
      <c r="AF64" s="40" t="s">
        <v>45</v>
      </c>
      <c r="AG64" s="41" t="s">
        <v>45</v>
      </c>
      <c r="AH64" s="40">
        <v>9</v>
      </c>
      <c r="AI64" s="40">
        <v>10</v>
      </c>
      <c r="AJ64" s="41">
        <v>7</v>
      </c>
      <c r="AK64" s="43" t="s">
        <v>498</v>
      </c>
      <c r="AL64" s="43" t="s">
        <v>103</v>
      </c>
      <c r="AM64" s="44">
        <f t="shared" si="1"/>
        <v>-1.0395303385869585</v>
      </c>
      <c r="AN64" s="44">
        <f t="shared" si="2"/>
        <v>7.4201255726340995E-2</v>
      </c>
      <c r="AO64" s="45">
        <f t="shared" si="3"/>
        <v>5</v>
      </c>
      <c r="AP64" s="46">
        <f t="shared" si="4"/>
        <v>0</v>
      </c>
      <c r="AQ64" s="44">
        <f>($AM$3*AM64+$AN$3*AN64+$AO$3*AO64+$AP$3*AP64)+$I$3*VLOOKUP(I64,COND!$A$2:$E$7,4,FALSE)+$J$3*VLOOKUP(J64,COND!$A$2:$C$7,2,FALSE)+$K$3*VLOOKUP(K64,COND!$A$2:$C$7,3,FALSE)+IF(AND($B$2&gt;0,$E64&lt;20),$B$2*25,0)</f>
        <v>52.219795368190731</v>
      </c>
      <c r="AR64" s="47">
        <f t="shared" ref="AR64:AR88" si="9">STANDARDIZE(AQ64,AVERAGE($AQ$5:$AQ$442),STDEVP($AQ$5:$AQ$442))</f>
        <v>1.3139034474356723</v>
      </c>
      <c r="AS64" s="45" t="str">
        <f t="shared" si="6"/>
        <v>2B</v>
      </c>
      <c r="AT64" s="45">
        <v>7</v>
      </c>
      <c r="AU64" s="45">
        <v>60</v>
      </c>
      <c r="AV64" s="45">
        <v>60</v>
      </c>
      <c r="AW64" s="45" t="str">
        <f t="shared" si="7"/>
        <v>Unlikely</v>
      </c>
      <c r="AX64" s="45"/>
      <c r="AY64" s="45">
        <f>INDEX(Table5[[#All],[Ovr]],MATCH(Batters[[#This Row],[PID]],Table5[[#All],[PID]],0))</f>
        <v>67</v>
      </c>
      <c r="AZ64" s="45" t="str">
        <f>INDEX(Table5[[#All],[Rnd]],MATCH(Batters[[#This Row],[PID]],Table5[[#All],[PID]],0))</f>
        <v>2</v>
      </c>
      <c r="BA64" s="45">
        <f>INDEX(Table5[[#All],[Pick]],MATCH(Batters[[#This Row],[PID]],Table5[[#All],[PID]],0))</f>
        <v>31</v>
      </c>
      <c r="BB64" s="45" t="str">
        <f>INDEX(Table5[[#All],[Team]],MATCH(Batters[[#This Row],[PID]],Table5[[#All],[PID]],0))</f>
        <v>Havana Leones</v>
      </c>
    </row>
    <row r="65" spans="1:54" ht="15" customHeight="1" x14ac:dyDescent="0.3">
      <c r="A65" s="40">
        <v>12982</v>
      </c>
      <c r="B65" s="40" t="s">
        <v>74</v>
      </c>
      <c r="C65" s="40" t="s">
        <v>363</v>
      </c>
      <c r="D65" s="40" t="s">
        <v>767</v>
      </c>
      <c r="E65" s="40">
        <v>17</v>
      </c>
      <c r="F65" s="40" t="s">
        <v>42</v>
      </c>
      <c r="G65" s="40" t="s">
        <v>42</v>
      </c>
      <c r="H65" s="41" t="s">
        <v>550</v>
      </c>
      <c r="I65" s="64" t="s">
        <v>44</v>
      </c>
      <c r="J65" s="65" t="s">
        <v>44</v>
      </c>
      <c r="K65" s="66" t="s">
        <v>43</v>
      </c>
      <c r="L65" s="40">
        <v>2</v>
      </c>
      <c r="M65" s="40">
        <v>4</v>
      </c>
      <c r="N65" s="40">
        <v>2</v>
      </c>
      <c r="O65" s="40">
        <v>3</v>
      </c>
      <c r="P65" s="41">
        <v>1</v>
      </c>
      <c r="Q65" s="40">
        <v>4</v>
      </c>
      <c r="R65" s="40">
        <v>6</v>
      </c>
      <c r="S65" s="40">
        <v>3</v>
      </c>
      <c r="T65" s="40">
        <v>6</v>
      </c>
      <c r="U65" s="41">
        <v>5</v>
      </c>
      <c r="V65" s="40">
        <v>3</v>
      </c>
      <c r="W65" s="40">
        <v>4</v>
      </c>
      <c r="X65" s="40">
        <v>1</v>
      </c>
      <c r="Y65" s="41">
        <v>1</v>
      </c>
      <c r="Z65" s="40" t="s">
        <v>45</v>
      </c>
      <c r="AA65" s="40" t="s">
        <v>45</v>
      </c>
      <c r="AB65" s="40" t="s">
        <v>45</v>
      </c>
      <c r="AC65" s="40" t="s">
        <v>45</v>
      </c>
      <c r="AD65" s="40" t="s">
        <v>45</v>
      </c>
      <c r="AE65" s="40" t="s">
        <v>45</v>
      </c>
      <c r="AF65" s="40">
        <v>3</v>
      </c>
      <c r="AG65" s="41" t="s">
        <v>45</v>
      </c>
      <c r="AH65" s="40">
        <v>7</v>
      </c>
      <c r="AI65" s="40">
        <v>5</v>
      </c>
      <c r="AJ65" s="41">
        <v>8</v>
      </c>
      <c r="AK65" s="43" t="s">
        <v>526</v>
      </c>
      <c r="AL65" s="43" t="s">
        <v>103</v>
      </c>
      <c r="AM65" s="44">
        <f t="shared" si="1"/>
        <v>-1.3461272807257232</v>
      </c>
      <c r="AN65" s="44">
        <f t="shared" si="2"/>
        <v>-8.6640345761988327E-2</v>
      </c>
      <c r="AO65" s="45">
        <f t="shared" si="3"/>
        <v>1</v>
      </c>
      <c r="AP65" s="46">
        <f t="shared" si="4"/>
        <v>0</v>
      </c>
      <c r="AQ65" s="44">
        <f>($AM$3*AM65+$AN$3*AN65+$AO$3*AO65+$AP$3*AP65)+$I$3*VLOOKUP(I65,COND!$A$2:$E$7,4,FALSE)+$J$3*VLOOKUP(J65,COND!$A$2:$C$7,2,FALSE)+$K$3*VLOOKUP(K65,COND!$A$2:$C$7,3,FALSE)+IF(AND($B$2&gt;0,$E65&lt;20),$B$2*25,0)</f>
        <v>48.542369789450234</v>
      </c>
      <c r="AR65" s="47">
        <f t="shared" si="9"/>
        <v>0.77711658733883826</v>
      </c>
      <c r="AS65" s="45" t="str">
        <f t="shared" si="6"/>
        <v>CF</v>
      </c>
      <c r="AT65" s="45">
        <v>6</v>
      </c>
      <c r="AU65" s="45">
        <v>61</v>
      </c>
      <c r="AV65" s="45">
        <v>61</v>
      </c>
      <c r="AW65" s="45" t="str">
        <f t="shared" si="7"/>
        <v>Unlikely</v>
      </c>
      <c r="AX65" s="45"/>
      <c r="AY65" s="45">
        <f>INDEX(Table5[[#All],[Ovr]],MATCH(Batters[[#This Row],[PID]],Table5[[#All],[PID]],0))</f>
        <v>211</v>
      </c>
      <c r="AZ65" s="45" t="str">
        <f>INDEX(Table5[[#All],[Rnd]],MATCH(Batters[[#This Row],[PID]],Table5[[#All],[PID]],0))</f>
        <v>7</v>
      </c>
      <c r="BA65" s="45">
        <f>INDEX(Table5[[#All],[Pick]],MATCH(Batters[[#This Row],[PID]],Table5[[#All],[PID]],0))</f>
        <v>10</v>
      </c>
      <c r="BB65" s="45" t="str">
        <f>INDEX(Table5[[#All],[Team]],MATCH(Batters[[#This Row],[PID]],Table5[[#All],[PID]],0))</f>
        <v>London Underground</v>
      </c>
    </row>
    <row r="66" spans="1:54" ht="15" customHeight="1" x14ac:dyDescent="0.3">
      <c r="A66" s="40">
        <v>9776</v>
      </c>
      <c r="B66" s="40" t="s">
        <v>50</v>
      </c>
      <c r="C66" s="40" t="s">
        <v>128</v>
      </c>
      <c r="D66" s="40" t="s">
        <v>998</v>
      </c>
      <c r="E66" s="40">
        <v>17</v>
      </c>
      <c r="F66" s="40" t="s">
        <v>42</v>
      </c>
      <c r="G66" s="40" t="s">
        <v>42</v>
      </c>
      <c r="H66" s="41" t="s">
        <v>549</v>
      </c>
      <c r="I66" s="64" t="s">
        <v>43</v>
      </c>
      <c r="J66" s="65" t="s">
        <v>43</v>
      </c>
      <c r="K66" s="66" t="s">
        <v>44</v>
      </c>
      <c r="L66" s="40">
        <v>2</v>
      </c>
      <c r="M66" s="40">
        <v>4</v>
      </c>
      <c r="N66" s="40">
        <v>4</v>
      </c>
      <c r="O66" s="40">
        <v>3</v>
      </c>
      <c r="P66" s="41">
        <v>1</v>
      </c>
      <c r="Q66" s="40">
        <v>4</v>
      </c>
      <c r="R66" s="40">
        <v>8</v>
      </c>
      <c r="S66" s="40">
        <v>9</v>
      </c>
      <c r="T66" s="40">
        <v>6</v>
      </c>
      <c r="U66" s="41">
        <v>3</v>
      </c>
      <c r="V66" s="40">
        <v>3</v>
      </c>
      <c r="W66" s="40">
        <v>7</v>
      </c>
      <c r="X66" s="40">
        <v>1</v>
      </c>
      <c r="Y66" s="41">
        <v>1</v>
      </c>
      <c r="Z66" s="40" t="s">
        <v>45</v>
      </c>
      <c r="AA66" s="40" t="s">
        <v>45</v>
      </c>
      <c r="AB66" s="40" t="s">
        <v>45</v>
      </c>
      <c r="AC66" s="40" t="s">
        <v>45</v>
      </c>
      <c r="AD66" s="40" t="s">
        <v>45</v>
      </c>
      <c r="AE66" s="40">
        <v>1</v>
      </c>
      <c r="AF66" s="40" t="s">
        <v>45</v>
      </c>
      <c r="AG66" s="41" t="s">
        <v>45</v>
      </c>
      <c r="AH66" s="40">
        <v>4</v>
      </c>
      <c r="AI66" s="40">
        <v>3</v>
      </c>
      <c r="AJ66" s="41">
        <v>1</v>
      </c>
      <c r="AK66" s="43" t="s">
        <v>1432</v>
      </c>
      <c r="AL66" s="43" t="s">
        <v>103</v>
      </c>
      <c r="AM66" s="44">
        <f t="shared" si="1"/>
        <v>-1.1800042926779204</v>
      </c>
      <c r="AN66" s="44">
        <f t="shared" si="2"/>
        <v>0.43381569798466085</v>
      </c>
      <c r="AO66" s="45">
        <f t="shared" si="3"/>
        <v>0</v>
      </c>
      <c r="AP66" s="46">
        <f t="shared" si="4"/>
        <v>0</v>
      </c>
      <c r="AQ66" s="44">
        <f>($AM$3*AM66+$AN$3*AN66+$AO$3*AO66+$AP$3*AP66)+$I$3*VLOOKUP(I66,COND!$A$2:$E$7,4,FALSE)+$J$3*VLOOKUP(J66,COND!$A$2:$C$7,2,FALSE)+$K$3*VLOOKUP(K66,COND!$A$2:$C$7,3,FALSE)+IF(AND($B$2&gt;0,$E66&lt;20),$B$2*25,0)</f>
        <v>54.787787946548136</v>
      </c>
      <c r="AR66" s="47">
        <f t="shared" si="9"/>
        <v>1.6887484696864183</v>
      </c>
      <c r="AS66" s="45" t="str">
        <f t="shared" si="6"/>
        <v>LF</v>
      </c>
      <c r="AT66" s="45">
        <v>8</v>
      </c>
      <c r="AU66" s="45">
        <v>62</v>
      </c>
      <c r="AV66" s="45">
        <v>62</v>
      </c>
      <c r="AW66" s="45" t="str">
        <f t="shared" si="7"/>
        <v>Possible</v>
      </c>
      <c r="AX66" s="45"/>
      <c r="AY66" s="45">
        <f>INDEX(Table5[[#All],[Ovr]],MATCH(Batters[[#This Row],[PID]],Table5[[#All],[PID]],0))</f>
        <v>103</v>
      </c>
      <c r="AZ66" s="45" t="str">
        <f>INDEX(Table5[[#All],[Rnd]],MATCH(Batters[[#This Row],[PID]],Table5[[#All],[PID]],0))</f>
        <v>3</v>
      </c>
      <c r="BA66" s="45">
        <f>INDEX(Table5[[#All],[Pick]],MATCH(Batters[[#This Row],[PID]],Table5[[#All],[PID]],0))</f>
        <v>31</v>
      </c>
      <c r="BB66" s="45" t="str">
        <f>INDEX(Table5[[#All],[Team]],MATCH(Batters[[#This Row],[PID]],Table5[[#All],[PID]],0))</f>
        <v>Toyama Wind Dancers</v>
      </c>
    </row>
    <row r="67" spans="1:54" ht="15" customHeight="1" x14ac:dyDescent="0.3">
      <c r="A67" s="40">
        <v>10222</v>
      </c>
      <c r="B67" s="40" t="s">
        <v>66</v>
      </c>
      <c r="C67" s="40" t="s">
        <v>644</v>
      </c>
      <c r="D67" s="40" t="s">
        <v>585</v>
      </c>
      <c r="E67" s="40">
        <v>17</v>
      </c>
      <c r="F67" s="40" t="s">
        <v>42</v>
      </c>
      <c r="G67" s="40" t="s">
        <v>42</v>
      </c>
      <c r="H67" s="41" t="s">
        <v>550</v>
      </c>
      <c r="I67" s="64" t="s">
        <v>47</v>
      </c>
      <c r="J67" s="65" t="s">
        <v>43</v>
      </c>
      <c r="K67" s="66" t="s">
        <v>43</v>
      </c>
      <c r="L67" s="40">
        <v>1</v>
      </c>
      <c r="M67" s="40">
        <v>3</v>
      </c>
      <c r="N67" s="40">
        <v>3</v>
      </c>
      <c r="O67" s="40">
        <v>3</v>
      </c>
      <c r="P67" s="41">
        <v>1</v>
      </c>
      <c r="Q67" s="40">
        <v>4</v>
      </c>
      <c r="R67" s="40">
        <v>6</v>
      </c>
      <c r="S67" s="40">
        <v>6</v>
      </c>
      <c r="T67" s="40">
        <v>6</v>
      </c>
      <c r="U67" s="41">
        <v>4</v>
      </c>
      <c r="V67" s="40">
        <v>3</v>
      </c>
      <c r="W67" s="40">
        <v>6</v>
      </c>
      <c r="X67" s="40">
        <v>1</v>
      </c>
      <c r="Y67" s="41">
        <v>1</v>
      </c>
      <c r="Z67" s="40" t="s">
        <v>45</v>
      </c>
      <c r="AA67" s="40" t="s">
        <v>45</v>
      </c>
      <c r="AB67" s="40" t="s">
        <v>45</v>
      </c>
      <c r="AC67" s="40" t="s">
        <v>45</v>
      </c>
      <c r="AD67" s="40" t="s">
        <v>45</v>
      </c>
      <c r="AE67" s="40" t="s">
        <v>45</v>
      </c>
      <c r="AF67" s="40" t="s">
        <v>45</v>
      </c>
      <c r="AG67" s="41">
        <v>2</v>
      </c>
      <c r="AH67" s="40">
        <v>1</v>
      </c>
      <c r="AI67" s="40">
        <v>9</v>
      </c>
      <c r="AJ67" s="41">
        <v>6</v>
      </c>
      <c r="AK67" s="43" t="s">
        <v>497</v>
      </c>
      <c r="AL67" s="43" t="s">
        <v>103</v>
      </c>
      <c r="AM67" s="44">
        <f t="shared" si="1"/>
        <v>-1.6366815025231998</v>
      </c>
      <c r="AN67" s="44">
        <f t="shared" si="2"/>
        <v>0.12252779649263269</v>
      </c>
      <c r="AO67" s="45">
        <f t="shared" si="3"/>
        <v>1</v>
      </c>
      <c r="AP67" s="46">
        <f t="shared" si="4"/>
        <v>0</v>
      </c>
      <c r="AQ67" s="44">
        <f>($AM$3*AM67+$AN$3*AN67+$AO$3*AO67+$AP$3*AP67)+$I$3*VLOOKUP(I67,COND!$A$2:$E$7,4,FALSE)+$J$3*VLOOKUP(J67,COND!$A$2:$C$7,2,FALSE)+$K$3*VLOOKUP(K67,COND!$A$2:$C$7,3,FALSE)+IF(AND($B$2&gt;0,$E67&lt;20),$B$2*25,0)</f>
        <v>51.698332074325933</v>
      </c>
      <c r="AR67" s="47">
        <f t="shared" si="9"/>
        <v>1.2377864361798505</v>
      </c>
      <c r="AS67" s="45" t="str">
        <f t="shared" si="6"/>
        <v>RF</v>
      </c>
      <c r="AT67" s="45">
        <v>8</v>
      </c>
      <c r="AU67" s="45">
        <v>63</v>
      </c>
      <c r="AV67" s="45">
        <v>63</v>
      </c>
      <c r="AW67" s="45" t="str">
        <f t="shared" si="7"/>
        <v>Possible</v>
      </c>
      <c r="AX67" s="45"/>
      <c r="AY67" s="45">
        <f>INDEX(Table5[[#All],[Ovr]],MATCH(Batters[[#This Row],[PID]],Table5[[#All],[PID]],0))</f>
        <v>118</v>
      </c>
      <c r="AZ67" s="45" t="str">
        <f>INDEX(Table5[[#All],[Rnd]],MATCH(Batters[[#This Row],[PID]],Table5[[#All],[PID]],0))</f>
        <v>4</v>
      </c>
      <c r="BA67" s="45">
        <f>INDEX(Table5[[#All],[Pick]],MATCH(Batters[[#This Row],[PID]],Table5[[#All],[PID]],0))</f>
        <v>13</v>
      </c>
      <c r="BB67" s="45" t="str">
        <f>INDEX(Table5[[#All],[Team]],MATCH(Batters[[#This Row],[PID]],Table5[[#All],[PID]],0))</f>
        <v>Scottish Claymores</v>
      </c>
    </row>
    <row r="68" spans="1:54" ht="15" customHeight="1" x14ac:dyDescent="0.3">
      <c r="A68" s="40">
        <v>20394</v>
      </c>
      <c r="B68" s="40" t="s">
        <v>87</v>
      </c>
      <c r="C68" s="40" t="s">
        <v>1046</v>
      </c>
      <c r="D68" s="40" t="s">
        <v>1047</v>
      </c>
      <c r="E68" s="40">
        <v>16</v>
      </c>
      <c r="F68" s="40" t="s">
        <v>62</v>
      </c>
      <c r="G68" s="40" t="s">
        <v>42</v>
      </c>
      <c r="H68" s="41" t="s">
        <v>550</v>
      </c>
      <c r="I68" s="64" t="s">
        <v>43</v>
      </c>
      <c r="J68" s="65" t="s">
        <v>43</v>
      </c>
      <c r="K68" s="66" t="s">
        <v>43</v>
      </c>
      <c r="L68" s="40">
        <v>1</v>
      </c>
      <c r="M68" s="40">
        <v>8</v>
      </c>
      <c r="N68" s="40">
        <v>4</v>
      </c>
      <c r="O68" s="40">
        <v>3</v>
      </c>
      <c r="P68" s="41">
        <v>1</v>
      </c>
      <c r="Q68" s="40">
        <v>3</v>
      </c>
      <c r="R68" s="40">
        <v>8</v>
      </c>
      <c r="S68" s="40">
        <v>7</v>
      </c>
      <c r="T68" s="40">
        <v>6</v>
      </c>
      <c r="U68" s="41">
        <v>3</v>
      </c>
      <c r="V68" s="40">
        <v>8</v>
      </c>
      <c r="W68" s="40">
        <v>10</v>
      </c>
      <c r="X68" s="40">
        <v>1</v>
      </c>
      <c r="Y68" s="41">
        <v>1</v>
      </c>
      <c r="Z68" s="40" t="s">
        <v>45</v>
      </c>
      <c r="AA68" s="40">
        <v>1</v>
      </c>
      <c r="AB68" s="40" t="s">
        <v>45</v>
      </c>
      <c r="AC68" s="40" t="s">
        <v>45</v>
      </c>
      <c r="AD68" s="40" t="s">
        <v>45</v>
      </c>
      <c r="AE68" s="40" t="s">
        <v>45</v>
      </c>
      <c r="AF68" s="40" t="s">
        <v>45</v>
      </c>
      <c r="AG68" s="41" t="s">
        <v>45</v>
      </c>
      <c r="AH68" s="40">
        <v>1</v>
      </c>
      <c r="AI68" s="40">
        <v>2</v>
      </c>
      <c r="AJ68" s="41">
        <v>3</v>
      </c>
      <c r="AK68" s="43" t="s">
        <v>497</v>
      </c>
      <c r="AL68" s="43" t="s">
        <v>103</v>
      </c>
      <c r="AM68" s="44">
        <f t="shared" si="1"/>
        <v>-1.2983206104057807</v>
      </c>
      <c r="AN68" s="44">
        <f t="shared" si="2"/>
        <v>-5.4863126265816943E-2</v>
      </c>
      <c r="AO68" s="45">
        <f t="shared" si="3"/>
        <v>0</v>
      </c>
      <c r="AP68" s="46">
        <f t="shared" si="4"/>
        <v>0</v>
      </c>
      <c r="AQ68" s="44">
        <f>($AM$3*AM68+$AN$3*AN68+$AO$3*AO68+$AP$3*AP68)+$I$3*VLOOKUP(I68,COND!$A$2:$E$7,4,FALSE)+$J$3*VLOOKUP(J68,COND!$A$2:$C$7,2,FALSE)+$K$3*VLOOKUP(K68,COND!$A$2:$C$7,3,FALSE)+IF(AND($B$2&gt;0,$E68&lt;20),$B$2*25,0)</f>
        <v>49.21181042376962</v>
      </c>
      <c r="AR68" s="47">
        <f t="shared" si="9"/>
        <v>0.87483357125142935</v>
      </c>
      <c r="AS68" s="45" t="str">
        <f t="shared" si="6"/>
        <v>1B</v>
      </c>
      <c r="AT68" s="45">
        <v>8</v>
      </c>
      <c r="AU68" s="45">
        <v>64</v>
      </c>
      <c r="AV68" s="45">
        <v>64</v>
      </c>
      <c r="AW68" s="45" t="str">
        <f t="shared" si="7"/>
        <v>Possible</v>
      </c>
      <c r="AX68" s="45"/>
      <c r="AY68" s="45">
        <f>INDEX(Table5[[#All],[Ovr]],MATCH(Batters[[#This Row],[PID]],Table5[[#All],[PID]],0))</f>
        <v>201</v>
      </c>
      <c r="AZ68" s="45" t="str">
        <f>INDEX(Table5[[#All],[Rnd]],MATCH(Batters[[#This Row],[PID]],Table5[[#All],[PID]],0))</f>
        <v>6</v>
      </c>
      <c r="BA68" s="45">
        <f>INDEX(Table5[[#All],[Pick]],MATCH(Batters[[#This Row],[PID]],Table5[[#All],[PID]],0))</f>
        <v>32</v>
      </c>
      <c r="BB68" s="45" t="str">
        <f>INDEX(Table5[[#All],[Team]],MATCH(Batters[[#This Row],[PID]],Table5[[#All],[PID]],0))</f>
        <v>Fargo Dinosaurs</v>
      </c>
    </row>
    <row r="69" spans="1:54" ht="15" customHeight="1" x14ac:dyDescent="0.3">
      <c r="A69" s="40">
        <v>11895</v>
      </c>
      <c r="B69" s="40" t="s">
        <v>74</v>
      </c>
      <c r="C69" s="40" t="s">
        <v>180</v>
      </c>
      <c r="D69" s="40" t="s">
        <v>607</v>
      </c>
      <c r="E69" s="40">
        <v>18</v>
      </c>
      <c r="F69" s="40" t="s">
        <v>42</v>
      </c>
      <c r="G69" s="40" t="s">
        <v>42</v>
      </c>
      <c r="H69" s="41" t="s">
        <v>550</v>
      </c>
      <c r="I69" s="64" t="s">
        <v>43</v>
      </c>
      <c r="J69" s="65" t="s">
        <v>44</v>
      </c>
      <c r="K69" s="66" t="s">
        <v>44</v>
      </c>
      <c r="L69" s="40">
        <v>2</v>
      </c>
      <c r="M69" s="40">
        <v>5</v>
      </c>
      <c r="N69" s="40">
        <v>3</v>
      </c>
      <c r="O69" s="40">
        <v>2</v>
      </c>
      <c r="P69" s="41">
        <v>7</v>
      </c>
      <c r="Q69" s="40">
        <v>5</v>
      </c>
      <c r="R69" s="40">
        <v>7</v>
      </c>
      <c r="S69" s="40">
        <v>5</v>
      </c>
      <c r="T69" s="40">
        <v>2</v>
      </c>
      <c r="U69" s="41">
        <v>8</v>
      </c>
      <c r="V69" s="40">
        <v>5</v>
      </c>
      <c r="W69" s="40">
        <v>7</v>
      </c>
      <c r="X69" s="40">
        <v>1</v>
      </c>
      <c r="Y69" s="41">
        <v>1</v>
      </c>
      <c r="Z69" s="40" t="s">
        <v>45</v>
      </c>
      <c r="AA69" s="40" t="s">
        <v>45</v>
      </c>
      <c r="AB69" s="40" t="s">
        <v>45</v>
      </c>
      <c r="AC69" s="40" t="s">
        <v>45</v>
      </c>
      <c r="AD69" s="40" t="s">
        <v>45</v>
      </c>
      <c r="AE69" s="40" t="s">
        <v>45</v>
      </c>
      <c r="AF69" s="40">
        <v>2</v>
      </c>
      <c r="AG69" s="41" t="s">
        <v>45</v>
      </c>
      <c r="AH69" s="40">
        <v>5</v>
      </c>
      <c r="AI69" s="40">
        <v>6</v>
      </c>
      <c r="AJ69" s="41">
        <v>4</v>
      </c>
      <c r="AK69" s="43" t="s">
        <v>526</v>
      </c>
      <c r="AL69" s="43" t="s">
        <v>103</v>
      </c>
      <c r="AM69" s="44">
        <f t="shared" ref="AM69:AM132" si="10">($L$3*(L69-$Q$1)/$Q$2+$M$3*(M69-$R$1)/$R$2+$N$3*(N69-$S$1)/$S$2+$O$3*(O69-$T$1)/$T$2+$P$3*(P69-$U$1)/$U$2)/(SUM($L$3:$P$3))</f>
        <v>-1.0616174181901985</v>
      </c>
      <c r="AN69" s="44">
        <f t="shared" ref="AN69:AN132" si="11">($L$3*(Q69-$Q$1)/$Q$2+$M$3*(R69-$R$1)/$R$2+$N$3*(S69-$S$1)/$S$2+$O$3*(T69-$T$1)/$T$2+$P$3*(U69-$U$1)/$U$2)/(SUM($L$3:$P$3))</f>
        <v>0.21430917752011902</v>
      </c>
      <c r="AO69" s="45">
        <f t="shared" ref="AO69:AO132" si="12">IF(AVERAGE(AH69:AI69)&gt;9,1,0)+IF(AVERAGE(AH69:AI69)&gt;7,1,0)+IF(AH69&gt;7,1,0)+IF(AI69&gt;7,1,0)+IF(AJ69&gt;8,1,0)+IF(AJ69&gt;6,1,0)</f>
        <v>0</v>
      </c>
      <c r="AP69" s="46">
        <f t="shared" ref="AP69:AP132" si="13">MIN(2,IF(OR(Z69="-",X69&lt;5),0,1+IF(Y69&gt;7,0.35,IF(Y69&gt;5,0.1,0))+IF(Z69&gt;7,1+IF(X69&gt;7,0.25,0),IF(Z69&gt;4,0.5+IF(X69&gt;7,0.25,0),0+IF(X69&gt;7,0.25))))+IF(AA69="-",0,IF(AA69&gt;9,0.5,IF(AA69&gt;7,0.25,0)))+IF(AB69="-",0,IF(AB69&gt;7,1.1,IF(AB69&gt;4,0.6,0)))+IF(OR(AC69="-",V69&lt;5),0,IF(AC69&gt;7,1+IF(V69&gt;7,0.25,0),IF(AC69&gt;4,0.5+IF(V69&gt;7,0.25,0),0)))+IF(AD69="-",0,IF(AD69&gt;7,1.5,IF(AD69&gt;4,1,0)))+IF(AE69="-",0,IF(AE69&gt;9,0.5,IF(AE69&gt;7,0.25,0)))+IF(AF69="-",0,IF(AF69&gt;7,1.25,IF(AF69&gt;4,0.75,0)))+IF(OR(AG69="-",W69&lt;4),0,IF(AG69&gt;7,1+IF(W69&gt;7,0.15,0),IF(AG69&gt;4,0.5+IF(W69&gt;7,0.15,0),0))))</f>
        <v>0</v>
      </c>
      <c r="AQ69" s="44">
        <f>($AM$3*AM69+$AN$3*AN69+$AO$3*AO69+$AP$3*AP69)+$I$3*VLOOKUP(I69,COND!$A$2:$E$7,4,FALSE)+$J$3*VLOOKUP(J69,COND!$A$2:$C$7,2,FALSE)+$K$3*VLOOKUP(K69,COND!$A$2:$C$7,3,FALSE)+IF(AND($B$2&gt;0,$E69&lt;20),$B$2*25,0)</f>
        <v>51.865548388422411</v>
      </c>
      <c r="AR69" s="47">
        <f t="shared" si="9"/>
        <v>1.2621946854506778</v>
      </c>
      <c r="AS69" s="45" t="str">
        <f t="shared" ref="AS69:AS132" si="14">IF(AND(Z69&lt;&gt;"-",Y69&gt;1),"C",IF(AB69=MAX(AB69:AD69),"2B",IF(AD69=MAX(AB69:AD69),"SS",IF(OR(AC69=MAX(AA69:AD69),AND(AC69&lt;&gt;"-",AC69&gt;4,V69&gt;5)),"3B",IF(AF69=MAX(AE69:AG69),"CF",IF(AND(AG69=MAX(AE69,AG69),AND(W69&gt;5,AG69&lt;&gt;"-")),"RF",IF(AE69&lt;&gt;"-","LF",IF(AA69&lt;&gt;"-","1B","DH"))))))))</f>
        <v>CF</v>
      </c>
      <c r="AT69" s="45">
        <v>7</v>
      </c>
      <c r="AU69" s="45">
        <v>65</v>
      </c>
      <c r="AV69" s="45">
        <v>65</v>
      </c>
      <c r="AW69" s="45" t="str">
        <f t="shared" ref="AW69:AW132" si="15">IF(AND($Q69&gt;=6,AVERAGE($S69:$T69)&gt;=6),"Likely",IF(OR($Q69&gt;6,AND($Q69=6,AVERAGE($S69:$T69)&gt;=3),AND($Q69&gt;=5,AVERAGE($S69:$T69)&gt;=5),AVERAGE($Q69,$S69:$T69)&gt;5),"Possible","Unlikely"))</f>
        <v>Unlikely</v>
      </c>
      <c r="AX69" s="45"/>
      <c r="AY69" s="45">
        <f>INDEX(Table5[[#All],[Ovr]],MATCH(Batters[[#This Row],[PID]],Table5[[#All],[PID]],0))</f>
        <v>120</v>
      </c>
      <c r="AZ69" s="45" t="str">
        <f>INDEX(Table5[[#All],[Rnd]],MATCH(Batters[[#This Row],[PID]],Table5[[#All],[PID]],0))</f>
        <v>4</v>
      </c>
      <c r="BA69" s="45">
        <f>INDEX(Table5[[#All],[Pick]],MATCH(Batters[[#This Row],[PID]],Table5[[#All],[PID]],0))</f>
        <v>15</v>
      </c>
      <c r="BB69" s="45" t="str">
        <f>INDEX(Table5[[#All],[Team]],MATCH(Batters[[#This Row],[PID]],Table5[[#All],[PID]],0))</f>
        <v>Aurora Borealis</v>
      </c>
    </row>
    <row r="70" spans="1:54" ht="15" customHeight="1" x14ac:dyDescent="0.3">
      <c r="A70" s="40">
        <v>11980</v>
      </c>
      <c r="B70" s="40" t="s">
        <v>74</v>
      </c>
      <c r="C70" s="40" t="s">
        <v>665</v>
      </c>
      <c r="D70" s="40" t="s">
        <v>1044</v>
      </c>
      <c r="E70" s="40">
        <v>17</v>
      </c>
      <c r="F70" s="40" t="s">
        <v>42</v>
      </c>
      <c r="G70" s="40" t="s">
        <v>42</v>
      </c>
      <c r="H70" s="41" t="s">
        <v>550</v>
      </c>
      <c r="I70" s="64" t="s">
        <v>44</v>
      </c>
      <c r="J70" s="65" t="s">
        <v>47</v>
      </c>
      <c r="K70" s="66" t="s">
        <v>43</v>
      </c>
      <c r="L70" s="40">
        <v>1</v>
      </c>
      <c r="M70" s="40">
        <v>3</v>
      </c>
      <c r="N70" s="40">
        <v>4</v>
      </c>
      <c r="O70" s="40">
        <v>4</v>
      </c>
      <c r="P70" s="41">
        <v>1</v>
      </c>
      <c r="Q70" s="40">
        <v>3</v>
      </c>
      <c r="R70" s="40">
        <v>5</v>
      </c>
      <c r="S70" s="40">
        <v>7</v>
      </c>
      <c r="T70" s="40">
        <v>6</v>
      </c>
      <c r="U70" s="41">
        <v>2</v>
      </c>
      <c r="V70" s="40">
        <v>2</v>
      </c>
      <c r="W70" s="40">
        <v>5</v>
      </c>
      <c r="X70" s="40">
        <v>1</v>
      </c>
      <c r="Y70" s="41">
        <v>1</v>
      </c>
      <c r="Z70" s="40" t="s">
        <v>45</v>
      </c>
      <c r="AA70" s="40" t="s">
        <v>45</v>
      </c>
      <c r="AB70" s="40">
        <v>1</v>
      </c>
      <c r="AC70" s="40" t="s">
        <v>45</v>
      </c>
      <c r="AD70" s="40" t="s">
        <v>45</v>
      </c>
      <c r="AE70" s="40">
        <v>2</v>
      </c>
      <c r="AF70" s="40">
        <v>3</v>
      </c>
      <c r="AG70" s="41" t="s">
        <v>45</v>
      </c>
      <c r="AH70" s="40">
        <v>9</v>
      </c>
      <c r="AI70" s="40">
        <v>6</v>
      </c>
      <c r="AJ70" s="41">
        <v>4</v>
      </c>
      <c r="AK70" s="43" t="s">
        <v>535</v>
      </c>
      <c r="AL70" s="43" t="s">
        <v>103</v>
      </c>
      <c r="AM70" s="44">
        <f t="shared" si="10"/>
        <v>-1.4639104584897171</v>
      </c>
      <c r="AN70" s="44">
        <f t="shared" si="11"/>
        <v>-0.24805910493901093</v>
      </c>
      <c r="AO70" s="45">
        <f t="shared" si="12"/>
        <v>2</v>
      </c>
      <c r="AP70" s="46">
        <f t="shared" si="13"/>
        <v>0</v>
      </c>
      <c r="AQ70" s="44">
        <f>($AM$3*AM70+$AN$3*AN70+$AO$3*AO70+$AP$3*AP70)+$I$3*VLOOKUP(I70,COND!$A$2:$E$7,4,FALSE)+$J$3*VLOOKUP(J70,COND!$A$2:$C$7,2,FALSE)+$K$3*VLOOKUP(K70,COND!$A$2:$C$7,3,FALSE)+IF(AND($B$2&gt;0,$E70&lt;20),$B$2*25,0)</f>
        <v>47.360233028216228</v>
      </c>
      <c r="AR70" s="47">
        <f t="shared" si="9"/>
        <v>0.60456231895710377</v>
      </c>
      <c r="AS70" s="45" t="str">
        <f t="shared" si="14"/>
        <v>2B</v>
      </c>
      <c r="AT70" s="45">
        <v>8</v>
      </c>
      <c r="AU70" s="45">
        <v>66</v>
      </c>
      <c r="AV70" s="45">
        <v>66</v>
      </c>
      <c r="AW70" s="45" t="str">
        <f t="shared" si="15"/>
        <v>Possible</v>
      </c>
      <c r="AX70" s="45"/>
      <c r="AY70" s="63">
        <f>INDEX(Table5[[#All],[Ovr]],MATCH(Batters[[#This Row],[PID]],Table5[[#All],[PID]],0))</f>
        <v>145</v>
      </c>
      <c r="AZ70" s="63" t="str">
        <f>INDEX(Table5[[#All],[Rnd]],MATCH(Batters[[#This Row],[PID]],Table5[[#All],[PID]],0))</f>
        <v>5</v>
      </c>
      <c r="BA70" s="63">
        <f>INDEX(Table5[[#All],[Pick]],MATCH(Batters[[#This Row],[PID]],Table5[[#All],[PID]],0))</f>
        <v>8</v>
      </c>
      <c r="BB70" s="63" t="str">
        <f>INDEX(Table5[[#All],[Team]],MATCH(Batters[[#This Row],[PID]],Table5[[#All],[PID]],0))</f>
        <v>Gloucester Fishermen</v>
      </c>
    </row>
    <row r="71" spans="1:54" ht="15" customHeight="1" x14ac:dyDescent="0.3">
      <c r="A71" s="40">
        <v>21045</v>
      </c>
      <c r="B71" s="40" t="s">
        <v>74</v>
      </c>
      <c r="C71" s="40" t="s">
        <v>373</v>
      </c>
      <c r="D71" s="40" t="s">
        <v>663</v>
      </c>
      <c r="E71" s="40">
        <v>17</v>
      </c>
      <c r="F71" s="40" t="s">
        <v>42</v>
      </c>
      <c r="G71" s="40" t="s">
        <v>42</v>
      </c>
      <c r="H71" s="41" t="s">
        <v>552</v>
      </c>
      <c r="I71" s="64" t="s">
        <v>43</v>
      </c>
      <c r="J71" s="65" t="s">
        <v>47</v>
      </c>
      <c r="K71" s="66" t="s">
        <v>43</v>
      </c>
      <c r="L71" s="40">
        <v>1</v>
      </c>
      <c r="M71" s="40">
        <v>2</v>
      </c>
      <c r="N71" s="40">
        <v>2</v>
      </c>
      <c r="O71" s="40">
        <v>2</v>
      </c>
      <c r="P71" s="41">
        <v>1</v>
      </c>
      <c r="Q71" s="40">
        <v>3</v>
      </c>
      <c r="R71" s="40">
        <v>5</v>
      </c>
      <c r="S71" s="40">
        <v>5</v>
      </c>
      <c r="T71" s="40">
        <v>5</v>
      </c>
      <c r="U71" s="41">
        <v>3</v>
      </c>
      <c r="V71" s="40">
        <v>4</v>
      </c>
      <c r="W71" s="40">
        <v>6</v>
      </c>
      <c r="X71" s="40">
        <v>1</v>
      </c>
      <c r="Y71" s="41">
        <v>1</v>
      </c>
      <c r="Z71" s="40" t="s">
        <v>45</v>
      </c>
      <c r="AA71" s="40" t="s">
        <v>45</v>
      </c>
      <c r="AB71" s="40" t="s">
        <v>45</v>
      </c>
      <c r="AC71" s="40" t="s">
        <v>45</v>
      </c>
      <c r="AD71" s="40" t="s">
        <v>45</v>
      </c>
      <c r="AE71" s="40" t="s">
        <v>45</v>
      </c>
      <c r="AF71" s="40">
        <v>4</v>
      </c>
      <c r="AG71" s="41">
        <v>2</v>
      </c>
      <c r="AH71" s="40">
        <v>9</v>
      </c>
      <c r="AI71" s="40">
        <v>7</v>
      </c>
      <c r="AJ71" s="41">
        <v>3</v>
      </c>
      <c r="AK71" s="43" t="s">
        <v>497</v>
      </c>
      <c r="AL71" s="43" t="s">
        <v>103</v>
      </c>
      <c r="AM71" s="44">
        <f t="shared" si="10"/>
        <v>-1.8605124261753858</v>
      </c>
      <c r="AN71" s="44">
        <f t="shared" si="11"/>
        <v>-0.46387530317931153</v>
      </c>
      <c r="AO71" s="45">
        <f t="shared" si="12"/>
        <v>2</v>
      </c>
      <c r="AP71" s="46">
        <f t="shared" si="13"/>
        <v>0</v>
      </c>
      <c r="AQ71" s="44">
        <f>($AM$3*AM71+$AN$3*AN71+$AO$3*AO71+$AP$3*AP71)+$I$3*VLOOKUP(I71,COND!$A$2:$E$7,4,FALSE)+$J$3*VLOOKUP(J71,COND!$A$2:$C$7,2,FALSE)+$K$3*VLOOKUP(K71,COND!$A$2:$C$7,3,FALSE)+IF(AND($B$2&gt;0,$E71&lt;20),$B$2*25,0)</f>
        <v>44.880778452564059</v>
      </c>
      <c r="AR71" s="47">
        <f t="shared" si="9"/>
        <v>0.24264102159317524</v>
      </c>
      <c r="AS71" s="45" t="str">
        <f t="shared" si="14"/>
        <v>CF</v>
      </c>
      <c r="AT71" s="45">
        <v>8</v>
      </c>
      <c r="AU71" s="45">
        <v>67</v>
      </c>
      <c r="AV71" s="45">
        <v>67</v>
      </c>
      <c r="AW71" s="45" t="str">
        <f t="shared" si="15"/>
        <v>Unlikely</v>
      </c>
      <c r="AX71" s="45"/>
      <c r="AY71" s="45">
        <f>INDEX(Table5[[#All],[Ovr]],MATCH(Batters[[#This Row],[PID]],Table5[[#All],[PID]],0))</f>
        <v>359</v>
      </c>
      <c r="AZ71" s="45" t="str">
        <f>INDEX(Table5[[#All],[Rnd]],MATCH(Batters[[#This Row],[PID]],Table5[[#All],[PID]],0))</f>
        <v>11</v>
      </c>
      <c r="BA71" s="45">
        <f>INDEX(Table5[[#All],[Pick]],MATCH(Batters[[#This Row],[PID]],Table5[[#All],[PID]],0))</f>
        <v>28</v>
      </c>
      <c r="BB71" s="45" t="str">
        <f>INDEX(Table5[[#All],[Team]],MATCH(Batters[[#This Row],[PID]],Table5[[#All],[PID]],0))</f>
        <v>Amsterdam Lions</v>
      </c>
    </row>
    <row r="72" spans="1:54" ht="15" customHeight="1" x14ac:dyDescent="0.3">
      <c r="A72" s="40">
        <v>20774</v>
      </c>
      <c r="B72" s="40" t="s">
        <v>50</v>
      </c>
      <c r="C72" s="40" t="s">
        <v>509</v>
      </c>
      <c r="D72" s="40" t="s">
        <v>309</v>
      </c>
      <c r="E72" s="40">
        <v>17</v>
      </c>
      <c r="F72" s="40" t="s">
        <v>53</v>
      </c>
      <c r="G72" s="40" t="s">
        <v>42</v>
      </c>
      <c r="H72" s="41" t="s">
        <v>550</v>
      </c>
      <c r="I72" s="64" t="s">
        <v>44</v>
      </c>
      <c r="J72" s="65" t="s">
        <v>43</v>
      </c>
      <c r="K72" s="66" t="s">
        <v>43</v>
      </c>
      <c r="L72" s="40">
        <v>1</v>
      </c>
      <c r="M72" s="40">
        <v>2</v>
      </c>
      <c r="N72" s="40">
        <v>3</v>
      </c>
      <c r="O72" s="40">
        <v>2</v>
      </c>
      <c r="P72" s="41">
        <v>2</v>
      </c>
      <c r="Q72" s="40">
        <v>5</v>
      </c>
      <c r="R72" s="40">
        <v>5</v>
      </c>
      <c r="S72" s="40">
        <v>7</v>
      </c>
      <c r="T72" s="40">
        <v>5</v>
      </c>
      <c r="U72" s="41">
        <v>4</v>
      </c>
      <c r="V72" s="40">
        <v>3</v>
      </c>
      <c r="W72" s="40">
        <v>6</v>
      </c>
      <c r="X72" s="40">
        <v>1</v>
      </c>
      <c r="Y72" s="41">
        <v>1</v>
      </c>
      <c r="Z72" s="40" t="s">
        <v>45</v>
      </c>
      <c r="AA72" s="40" t="s">
        <v>45</v>
      </c>
      <c r="AB72" s="40" t="s">
        <v>45</v>
      </c>
      <c r="AC72" s="40" t="s">
        <v>45</v>
      </c>
      <c r="AD72" s="40" t="s">
        <v>45</v>
      </c>
      <c r="AE72" s="40">
        <v>1</v>
      </c>
      <c r="AF72" s="40" t="s">
        <v>45</v>
      </c>
      <c r="AG72" s="41" t="s">
        <v>45</v>
      </c>
      <c r="AH72" s="40">
        <v>1</v>
      </c>
      <c r="AI72" s="40">
        <v>4</v>
      </c>
      <c r="AJ72" s="41">
        <v>5</v>
      </c>
      <c r="AK72" s="43" t="s">
        <v>748</v>
      </c>
      <c r="AL72" s="43" t="s">
        <v>103</v>
      </c>
      <c r="AM72" s="44">
        <f t="shared" si="10"/>
        <v>-1.7374345923344008</v>
      </c>
      <c r="AN72" s="44">
        <f t="shared" si="11"/>
        <v>0.3873756970909244</v>
      </c>
      <c r="AO72" s="45">
        <f t="shared" si="12"/>
        <v>0</v>
      </c>
      <c r="AP72" s="46">
        <f t="shared" si="13"/>
        <v>0</v>
      </c>
      <c r="AQ72" s="44">
        <f>($AM$3*AM72+$AN$3*AN72+$AO$3*AO72+$AP$3*AP72)+$I$3*VLOOKUP(I72,COND!$A$2:$E$7,4,FALSE)+$J$3*VLOOKUP(J72,COND!$A$2:$C$7,2,FALSE)+$K$3*VLOOKUP(K72,COND!$A$2:$C$7,3,FALSE)+IF(AND($B$2&gt;0,$E72&lt;20),$B$2*25,0)</f>
        <v>54.324764905857649</v>
      </c>
      <c r="AR72" s="47">
        <f t="shared" si="9"/>
        <v>1.6211618717137517</v>
      </c>
      <c r="AS72" s="45" t="str">
        <f t="shared" si="14"/>
        <v>LF</v>
      </c>
      <c r="AT72" s="45">
        <v>9</v>
      </c>
      <c r="AU72" s="45">
        <v>68</v>
      </c>
      <c r="AV72" s="45">
        <v>68</v>
      </c>
      <c r="AW72" s="45" t="str">
        <f t="shared" si="15"/>
        <v>Possible</v>
      </c>
      <c r="AX72" s="45"/>
      <c r="AY72" s="45">
        <f>INDEX(Table5[[#All],[Ovr]],MATCH(Batters[[#This Row],[PID]],Table5[[#All],[PID]],0))</f>
        <v>84</v>
      </c>
      <c r="AZ72" s="45" t="str">
        <f>INDEX(Table5[[#All],[Rnd]],MATCH(Batters[[#This Row],[PID]],Table5[[#All],[PID]],0))</f>
        <v>3</v>
      </c>
      <c r="BA72" s="45">
        <f>INDEX(Table5[[#All],[Pick]],MATCH(Batters[[#This Row],[PID]],Table5[[#All],[PID]],0))</f>
        <v>12</v>
      </c>
      <c r="BB72" s="45" t="str">
        <f>INDEX(Table5[[#All],[Team]],MATCH(Batters[[#This Row],[PID]],Table5[[#All],[PID]],0))</f>
        <v>Manchester Maulers</v>
      </c>
    </row>
    <row r="73" spans="1:54" ht="15" customHeight="1" x14ac:dyDescent="0.3">
      <c r="A73" s="40">
        <v>12423</v>
      </c>
      <c r="B73" s="40" t="s">
        <v>66</v>
      </c>
      <c r="C73" s="40" t="s">
        <v>564</v>
      </c>
      <c r="D73" s="40" t="s">
        <v>170</v>
      </c>
      <c r="E73" s="40">
        <v>17</v>
      </c>
      <c r="F73" s="40" t="s">
        <v>53</v>
      </c>
      <c r="G73" s="40" t="s">
        <v>53</v>
      </c>
      <c r="H73" s="41" t="s">
        <v>549</v>
      </c>
      <c r="I73" s="64" t="s">
        <v>44</v>
      </c>
      <c r="J73" s="65" t="s">
        <v>43</v>
      </c>
      <c r="K73" s="66" t="s">
        <v>43</v>
      </c>
      <c r="L73" s="40">
        <v>2</v>
      </c>
      <c r="M73" s="40">
        <v>5</v>
      </c>
      <c r="N73" s="40">
        <v>5</v>
      </c>
      <c r="O73" s="40">
        <v>3</v>
      </c>
      <c r="P73" s="41">
        <v>1</v>
      </c>
      <c r="Q73" s="40">
        <v>4</v>
      </c>
      <c r="R73" s="40">
        <v>6</v>
      </c>
      <c r="S73" s="40">
        <v>7</v>
      </c>
      <c r="T73" s="40">
        <v>6</v>
      </c>
      <c r="U73" s="41">
        <v>3</v>
      </c>
      <c r="V73" s="40">
        <v>4</v>
      </c>
      <c r="W73" s="40">
        <v>6</v>
      </c>
      <c r="X73" s="40">
        <v>1</v>
      </c>
      <c r="Y73" s="41">
        <v>1</v>
      </c>
      <c r="Z73" s="40" t="s">
        <v>45</v>
      </c>
      <c r="AA73" s="40" t="s">
        <v>45</v>
      </c>
      <c r="AB73" s="40" t="s">
        <v>45</v>
      </c>
      <c r="AC73" s="40" t="s">
        <v>45</v>
      </c>
      <c r="AD73" s="40" t="s">
        <v>45</v>
      </c>
      <c r="AE73" s="40" t="s">
        <v>45</v>
      </c>
      <c r="AF73" s="40" t="s">
        <v>45</v>
      </c>
      <c r="AG73" s="41">
        <v>3</v>
      </c>
      <c r="AH73" s="40">
        <v>4</v>
      </c>
      <c r="AI73" s="40">
        <v>5</v>
      </c>
      <c r="AJ73" s="41">
        <v>7</v>
      </c>
      <c r="AK73" s="43" t="s">
        <v>748</v>
      </c>
      <c r="AL73" s="43" t="s">
        <v>103</v>
      </c>
      <c r="AM73" s="44">
        <f t="shared" si="10"/>
        <v>-1.0458829190353154</v>
      </c>
      <c r="AN73" s="44">
        <f t="shared" si="11"/>
        <v>0.16557295069945074</v>
      </c>
      <c r="AO73" s="45">
        <f t="shared" si="12"/>
        <v>1</v>
      </c>
      <c r="AP73" s="46">
        <f t="shared" si="13"/>
        <v>0</v>
      </c>
      <c r="AQ73" s="44">
        <f>($AM$3*AM73+$AN$3*AN73+$AO$3*AO73+$AP$3*AP73)+$I$3*VLOOKUP(I73,COND!$A$2:$E$7,4,FALSE)+$J$3*VLOOKUP(J73,COND!$A$2:$C$7,2,FALSE)+$K$3*VLOOKUP(K73,COND!$A$2:$C$7,3,FALSE)+IF(AND($B$2&gt;0,$E73&lt;20),$B$2*25,0)</f>
        <v>51.898953783156543</v>
      </c>
      <c r="AR73" s="47">
        <f t="shared" si="9"/>
        <v>1.2670708077720358</v>
      </c>
      <c r="AS73" s="45" t="str">
        <f t="shared" si="14"/>
        <v>RF</v>
      </c>
      <c r="AT73" s="45">
        <v>9</v>
      </c>
      <c r="AU73" s="45">
        <v>69</v>
      </c>
      <c r="AV73" s="45">
        <v>69</v>
      </c>
      <c r="AW73" s="45" t="str">
        <f t="shared" si="15"/>
        <v>Possible</v>
      </c>
      <c r="AX73" s="45"/>
      <c r="AY73" s="45">
        <f>INDEX(Table5[[#All],[Ovr]],MATCH(Batters[[#This Row],[PID]],Table5[[#All],[PID]],0))</f>
        <v>24</v>
      </c>
      <c r="AZ73" s="45" t="str">
        <f>INDEX(Table5[[#All],[Rnd]],MATCH(Batters[[#This Row],[PID]],Table5[[#All],[PID]],0))</f>
        <v>1</v>
      </c>
      <c r="BA73" s="45">
        <f>INDEX(Table5[[#All],[Pick]],MATCH(Batters[[#This Row],[PID]],Table5[[#All],[PID]],0))</f>
        <v>24</v>
      </c>
      <c r="BB73" s="45" t="str">
        <f>INDEX(Table5[[#All],[Team]],MATCH(Batters[[#This Row],[PID]],Table5[[#All],[PID]],0))</f>
        <v>West Virginia Alleghenies</v>
      </c>
    </row>
    <row r="74" spans="1:54" ht="15" customHeight="1" x14ac:dyDescent="0.3">
      <c r="A74" s="40">
        <v>12973</v>
      </c>
      <c r="B74" s="40" t="s">
        <v>87</v>
      </c>
      <c r="C74" s="40" t="s">
        <v>126</v>
      </c>
      <c r="D74" s="40" t="s">
        <v>312</v>
      </c>
      <c r="E74" s="40">
        <v>18</v>
      </c>
      <c r="F74" s="40" t="s">
        <v>42</v>
      </c>
      <c r="G74" s="40" t="s">
        <v>42</v>
      </c>
      <c r="H74" s="41" t="s">
        <v>552</v>
      </c>
      <c r="I74" s="64" t="s">
        <v>43</v>
      </c>
      <c r="J74" s="65" t="s">
        <v>43</v>
      </c>
      <c r="K74" s="66" t="s">
        <v>43</v>
      </c>
      <c r="L74" s="40">
        <v>1</v>
      </c>
      <c r="M74" s="40">
        <v>3</v>
      </c>
      <c r="N74" s="40">
        <v>2</v>
      </c>
      <c r="O74" s="40">
        <v>4</v>
      </c>
      <c r="P74" s="41">
        <v>2</v>
      </c>
      <c r="Q74" s="40">
        <v>5</v>
      </c>
      <c r="R74" s="40">
        <v>5</v>
      </c>
      <c r="S74" s="40">
        <v>2</v>
      </c>
      <c r="T74" s="40">
        <v>6</v>
      </c>
      <c r="U74" s="41">
        <v>5</v>
      </c>
      <c r="V74" s="40">
        <v>6</v>
      </c>
      <c r="W74" s="40">
        <v>6</v>
      </c>
      <c r="X74" s="40">
        <v>1</v>
      </c>
      <c r="Y74" s="41">
        <v>1</v>
      </c>
      <c r="Z74" s="40" t="s">
        <v>45</v>
      </c>
      <c r="AA74" s="40">
        <v>2</v>
      </c>
      <c r="AB74" s="40" t="s">
        <v>45</v>
      </c>
      <c r="AC74" s="40" t="s">
        <v>45</v>
      </c>
      <c r="AD74" s="40" t="s">
        <v>45</v>
      </c>
      <c r="AE74" s="40" t="s">
        <v>45</v>
      </c>
      <c r="AF74" s="40" t="s">
        <v>45</v>
      </c>
      <c r="AG74" s="41" t="s">
        <v>45</v>
      </c>
      <c r="AH74" s="40">
        <v>1</v>
      </c>
      <c r="AI74" s="40">
        <v>1</v>
      </c>
      <c r="AJ74" s="41">
        <v>1</v>
      </c>
      <c r="AK74" s="43" t="s">
        <v>572</v>
      </c>
      <c r="AL74" s="43" t="s">
        <v>103</v>
      </c>
      <c r="AM74" s="44">
        <f t="shared" si="10"/>
        <v>-1.5900171067204369</v>
      </c>
      <c r="AN74" s="44">
        <f t="shared" si="11"/>
        <v>0.10179411679808133</v>
      </c>
      <c r="AO74" s="45">
        <f t="shared" si="12"/>
        <v>0</v>
      </c>
      <c r="AP74" s="46">
        <f t="shared" si="13"/>
        <v>0</v>
      </c>
      <c r="AQ74" s="44">
        <f>($AM$3*AM74+$AN$3*AN74+$AO$3*AO74+$AP$3*AP74)+$I$3*VLOOKUP(I74,COND!$A$2:$E$7,4,FALSE)+$J$3*VLOOKUP(J74,COND!$A$2:$C$7,2,FALSE)+$K$3*VLOOKUP(K74,COND!$A$2:$C$7,3,FALSE)+IF(AND($B$2&gt;0,$E74&lt;20),$B$2*25,0)</f>
        <v>51.062527690904929</v>
      </c>
      <c r="AR74" s="47">
        <f t="shared" si="9"/>
        <v>1.1449792722265135</v>
      </c>
      <c r="AS74" s="45" t="str">
        <f t="shared" si="14"/>
        <v>1B</v>
      </c>
      <c r="AT74" s="45">
        <v>9</v>
      </c>
      <c r="AU74" s="45">
        <v>70</v>
      </c>
      <c r="AV74" s="45">
        <v>70</v>
      </c>
      <c r="AW74" s="45" t="str">
        <f t="shared" si="15"/>
        <v>Unlikely</v>
      </c>
      <c r="AX74" s="45"/>
      <c r="AY74" s="45">
        <f>INDEX(Table5[[#All],[Ovr]],MATCH(Batters[[#This Row],[PID]],Table5[[#All],[PID]],0))</f>
        <v>376</v>
      </c>
      <c r="AZ74" s="45" t="str">
        <f>INDEX(Table5[[#All],[Rnd]],MATCH(Batters[[#This Row],[PID]],Table5[[#All],[PID]],0))</f>
        <v>12</v>
      </c>
      <c r="BA74" s="45">
        <f>INDEX(Table5[[#All],[Pick]],MATCH(Batters[[#This Row],[PID]],Table5[[#All],[PID]],0))</f>
        <v>11</v>
      </c>
      <c r="BB74" s="45" t="str">
        <f>INDEX(Table5[[#All],[Team]],MATCH(Batters[[#This Row],[PID]],Table5[[#All],[PID]],0))</f>
        <v>Arlington Bureaucrats</v>
      </c>
    </row>
    <row r="75" spans="1:54" ht="15" customHeight="1" x14ac:dyDescent="0.3">
      <c r="A75" s="40">
        <v>13474</v>
      </c>
      <c r="B75" s="40" t="s">
        <v>86</v>
      </c>
      <c r="C75" s="40" t="s">
        <v>1058</v>
      </c>
      <c r="D75" s="40" t="s">
        <v>1059</v>
      </c>
      <c r="E75" s="40">
        <v>18</v>
      </c>
      <c r="F75" s="40" t="s">
        <v>42</v>
      </c>
      <c r="G75" s="40" t="s">
        <v>42</v>
      </c>
      <c r="H75" s="41" t="s">
        <v>550</v>
      </c>
      <c r="I75" s="64" t="s">
        <v>47</v>
      </c>
      <c r="J75" s="65" t="s">
        <v>43</v>
      </c>
      <c r="K75" s="66" t="s">
        <v>43</v>
      </c>
      <c r="L75" s="40">
        <v>1</v>
      </c>
      <c r="M75" s="40">
        <v>4</v>
      </c>
      <c r="N75" s="40">
        <v>5</v>
      </c>
      <c r="O75" s="40">
        <v>3</v>
      </c>
      <c r="P75" s="41">
        <v>1</v>
      </c>
      <c r="Q75" s="40">
        <v>3</v>
      </c>
      <c r="R75" s="40">
        <v>7</v>
      </c>
      <c r="S75" s="40">
        <v>7</v>
      </c>
      <c r="T75" s="40">
        <v>5</v>
      </c>
      <c r="U75" s="41">
        <v>2</v>
      </c>
      <c r="V75" s="40">
        <v>2</v>
      </c>
      <c r="W75" s="40">
        <v>2</v>
      </c>
      <c r="X75" s="40">
        <v>4</v>
      </c>
      <c r="Y75" s="41">
        <v>5</v>
      </c>
      <c r="Z75" s="40">
        <v>1</v>
      </c>
      <c r="AA75" s="40" t="s">
        <v>45</v>
      </c>
      <c r="AB75" s="40" t="s">
        <v>45</v>
      </c>
      <c r="AC75" s="40" t="s">
        <v>45</v>
      </c>
      <c r="AD75" s="40" t="s">
        <v>45</v>
      </c>
      <c r="AE75" s="40" t="s">
        <v>45</v>
      </c>
      <c r="AF75" s="40" t="s">
        <v>45</v>
      </c>
      <c r="AG75" s="41" t="s">
        <v>45</v>
      </c>
      <c r="AH75" s="40">
        <v>1</v>
      </c>
      <c r="AI75" s="40">
        <v>1</v>
      </c>
      <c r="AJ75" s="41">
        <v>1</v>
      </c>
      <c r="AK75" s="43" t="s">
        <v>528</v>
      </c>
      <c r="AL75" s="43" t="s">
        <v>103</v>
      </c>
      <c r="AM75" s="44">
        <f t="shared" si="10"/>
        <v>-1.4194986348566934</v>
      </c>
      <c r="AN75" s="44">
        <f t="shared" si="11"/>
        <v>-0.23564889571118502</v>
      </c>
      <c r="AO75" s="45">
        <f t="shared" si="12"/>
        <v>0</v>
      </c>
      <c r="AP75" s="46">
        <f t="shared" si="13"/>
        <v>0</v>
      </c>
      <c r="AQ75" s="44">
        <f>($AM$3*AM75+$AN$3*AN75+$AO$3*AO75+$AP$3*AP75)+$I$3*VLOOKUP(I75,COND!$A$2:$E$7,4,FALSE)+$J$3*VLOOKUP(J75,COND!$A$2:$C$7,2,FALSE)+$K$3*VLOOKUP(K75,COND!$A$2:$C$7,3,FALSE)+IF(AND($B$2&gt;0,$E75&lt;20),$B$2*25,0)</f>
        <v>47.255263387980108</v>
      </c>
      <c r="AR75" s="47">
        <f t="shared" si="9"/>
        <v>0.58924009900149565</v>
      </c>
      <c r="AS75" s="45" t="str">
        <f t="shared" si="14"/>
        <v>C</v>
      </c>
      <c r="AT75" s="45">
        <v>7</v>
      </c>
      <c r="AU75" s="45">
        <v>71</v>
      </c>
      <c r="AV75" s="45">
        <v>71</v>
      </c>
      <c r="AW75" s="45" t="str">
        <f t="shared" si="15"/>
        <v>Unlikely</v>
      </c>
      <c r="AX75" s="45"/>
      <c r="AY75" s="45">
        <f>INDEX(Table5[[#All],[Ovr]],MATCH(Batters[[#This Row],[PID]],Table5[[#All],[PID]],0))</f>
        <v>112</v>
      </c>
      <c r="AZ75" s="45" t="str">
        <f>INDEX(Table5[[#All],[Rnd]],MATCH(Batters[[#This Row],[PID]],Table5[[#All],[PID]],0))</f>
        <v>4</v>
      </c>
      <c r="BA75" s="45">
        <f>INDEX(Table5[[#All],[Pick]],MATCH(Batters[[#This Row],[PID]],Table5[[#All],[PID]],0))</f>
        <v>7</v>
      </c>
      <c r="BB75" s="45" t="str">
        <f>INDEX(Table5[[#All],[Team]],MATCH(Batters[[#This Row],[PID]],Table5[[#All],[PID]],0))</f>
        <v>Hartford Harpoon</v>
      </c>
    </row>
    <row r="76" spans="1:54" ht="15" customHeight="1" x14ac:dyDescent="0.3">
      <c r="A76" s="40">
        <v>11398</v>
      </c>
      <c r="B76" s="40" t="s">
        <v>86</v>
      </c>
      <c r="C76" s="40" t="s">
        <v>172</v>
      </c>
      <c r="D76" s="40" t="s">
        <v>1267</v>
      </c>
      <c r="E76" s="40">
        <v>18</v>
      </c>
      <c r="F76" s="40" t="s">
        <v>53</v>
      </c>
      <c r="G76" s="40" t="s">
        <v>42</v>
      </c>
      <c r="H76" s="41" t="s">
        <v>552</v>
      </c>
      <c r="I76" s="64" t="s">
        <v>47</v>
      </c>
      <c r="J76" s="65" t="s">
        <v>43</v>
      </c>
      <c r="K76" s="66" t="s">
        <v>43</v>
      </c>
      <c r="L76" s="40">
        <v>2</v>
      </c>
      <c r="M76" s="40">
        <v>4</v>
      </c>
      <c r="N76" s="40">
        <v>2</v>
      </c>
      <c r="O76" s="40">
        <v>2</v>
      </c>
      <c r="P76" s="41">
        <v>1</v>
      </c>
      <c r="Q76" s="40">
        <v>4</v>
      </c>
      <c r="R76" s="40">
        <v>5</v>
      </c>
      <c r="S76" s="40">
        <v>4</v>
      </c>
      <c r="T76" s="40">
        <v>5</v>
      </c>
      <c r="U76" s="41">
        <v>4</v>
      </c>
      <c r="V76" s="40">
        <v>3</v>
      </c>
      <c r="W76" s="40">
        <v>3</v>
      </c>
      <c r="X76" s="40">
        <v>4</v>
      </c>
      <c r="Y76" s="41">
        <v>6</v>
      </c>
      <c r="Z76" s="40" t="s">
        <v>45</v>
      </c>
      <c r="AA76" s="40" t="s">
        <v>45</v>
      </c>
      <c r="AB76" s="40" t="s">
        <v>45</v>
      </c>
      <c r="AC76" s="40" t="s">
        <v>45</v>
      </c>
      <c r="AD76" s="40" t="s">
        <v>45</v>
      </c>
      <c r="AE76" s="40" t="s">
        <v>45</v>
      </c>
      <c r="AF76" s="40" t="s">
        <v>45</v>
      </c>
      <c r="AG76" s="41" t="s">
        <v>45</v>
      </c>
      <c r="AH76" s="40">
        <v>1</v>
      </c>
      <c r="AI76" s="40">
        <v>1</v>
      </c>
      <c r="AJ76" s="41">
        <v>1</v>
      </c>
      <c r="AK76" s="43" t="s">
        <v>497</v>
      </c>
      <c r="AL76" s="43" t="s">
        <v>103</v>
      </c>
      <c r="AM76" s="44">
        <f t="shared" si="10"/>
        <v>-1.4358368307353042</v>
      </c>
      <c r="AN76" s="44">
        <f t="shared" si="11"/>
        <v>-0.18436462118345487</v>
      </c>
      <c r="AO76" s="45">
        <f t="shared" si="12"/>
        <v>0</v>
      </c>
      <c r="AP76" s="46">
        <f t="shared" si="13"/>
        <v>0</v>
      </c>
      <c r="AQ76" s="44">
        <f>($AM$3*AM76+$AN$3*AN76+$AO$3*AO76+$AP$3*AP76)+$I$3*VLOOKUP(I76,COND!$A$2:$E$7,4,FALSE)+$J$3*VLOOKUP(J76,COND!$A$2:$C$7,2,FALSE)+$K$3*VLOOKUP(K76,COND!$A$2:$C$7,3,FALSE)+IF(AND($B$2&gt;0,$E76&lt;20),$B$2*25,0)</f>
        <v>47.869040862725008</v>
      </c>
      <c r="AR76" s="47">
        <f t="shared" si="9"/>
        <v>0.67883203673401127</v>
      </c>
      <c r="AS76" s="45" t="str">
        <f t="shared" si="14"/>
        <v>DH</v>
      </c>
      <c r="AT76" s="45">
        <v>8</v>
      </c>
      <c r="AU76" s="45">
        <v>72</v>
      </c>
      <c r="AV76" s="45">
        <v>72</v>
      </c>
      <c r="AW76" s="45" t="str">
        <f t="shared" si="15"/>
        <v>Unlikely</v>
      </c>
      <c r="AX76" s="45"/>
      <c r="AY76" s="45">
        <f>INDEX(Table5[[#All],[Ovr]],MATCH(Batters[[#This Row],[PID]],Table5[[#All],[PID]],0))</f>
        <v>621</v>
      </c>
      <c r="AZ76" s="45" t="str">
        <f>INDEX(Table5[[#All],[Rnd]],MATCH(Batters[[#This Row],[PID]],Table5[[#All],[PID]],0))</f>
        <v>19</v>
      </c>
      <c r="BA76" s="45">
        <f>INDEX(Table5[[#All],[Pick]],MATCH(Batters[[#This Row],[PID]],Table5[[#All],[PID]],0))</f>
        <v>18</v>
      </c>
      <c r="BB76" s="45" t="str">
        <f>INDEX(Table5[[#All],[Team]],MATCH(Batters[[#This Row],[PID]],Table5[[#All],[PID]],0))</f>
        <v>San Juan Coqui</v>
      </c>
    </row>
    <row r="77" spans="1:54" ht="15" customHeight="1" x14ac:dyDescent="0.3">
      <c r="A77" s="40">
        <v>20917</v>
      </c>
      <c r="B77" s="40" t="s">
        <v>69</v>
      </c>
      <c r="C77" s="40" t="s">
        <v>175</v>
      </c>
      <c r="D77" s="40" t="s">
        <v>705</v>
      </c>
      <c r="E77" s="40">
        <v>17</v>
      </c>
      <c r="F77" s="40" t="s">
        <v>53</v>
      </c>
      <c r="G77" s="40" t="s">
        <v>42</v>
      </c>
      <c r="H77" s="41" t="s">
        <v>550</v>
      </c>
      <c r="I77" s="64" t="s">
        <v>43</v>
      </c>
      <c r="J77" s="65" t="s">
        <v>44</v>
      </c>
      <c r="K77" s="66" t="s">
        <v>43</v>
      </c>
      <c r="L77" s="40">
        <v>1</v>
      </c>
      <c r="M77" s="40">
        <v>3</v>
      </c>
      <c r="N77" s="40">
        <v>3</v>
      </c>
      <c r="O77" s="40">
        <v>2</v>
      </c>
      <c r="P77" s="41">
        <v>1</v>
      </c>
      <c r="Q77" s="40">
        <v>3</v>
      </c>
      <c r="R77" s="40">
        <v>6</v>
      </c>
      <c r="S77" s="40">
        <v>7</v>
      </c>
      <c r="T77" s="40">
        <v>6</v>
      </c>
      <c r="U77" s="41">
        <v>3</v>
      </c>
      <c r="V77" s="40">
        <v>8</v>
      </c>
      <c r="W77" s="40">
        <v>9</v>
      </c>
      <c r="X77" s="40">
        <v>1</v>
      </c>
      <c r="Y77" s="41">
        <v>1</v>
      </c>
      <c r="Z77" s="40" t="s">
        <v>45</v>
      </c>
      <c r="AA77" s="40" t="s">
        <v>45</v>
      </c>
      <c r="AB77" s="40" t="s">
        <v>45</v>
      </c>
      <c r="AC77" s="40">
        <v>2</v>
      </c>
      <c r="AD77" s="40" t="s">
        <v>45</v>
      </c>
      <c r="AE77" s="40" t="s">
        <v>45</v>
      </c>
      <c r="AF77" s="40" t="s">
        <v>45</v>
      </c>
      <c r="AG77" s="41" t="s">
        <v>45</v>
      </c>
      <c r="AH77" s="40">
        <v>1</v>
      </c>
      <c r="AI77" s="40">
        <v>2</v>
      </c>
      <c r="AJ77" s="41">
        <v>5</v>
      </c>
      <c r="AK77" s="43" t="s">
        <v>521</v>
      </c>
      <c r="AL77" s="43" t="s">
        <v>103</v>
      </c>
      <c r="AM77" s="44">
        <f t="shared" si="10"/>
        <v>-1.726391052532781</v>
      </c>
      <c r="AN77" s="44">
        <f t="shared" si="11"/>
        <v>-0.15698288550322398</v>
      </c>
      <c r="AO77" s="45">
        <f t="shared" si="12"/>
        <v>0</v>
      </c>
      <c r="AP77" s="46">
        <f t="shared" si="13"/>
        <v>0</v>
      </c>
      <c r="AQ77" s="44">
        <f>($AM$3*AM77+$AN$3*AN77+$AO$3*AO77+$AP$3*AP77)+$I$3*VLOOKUP(I77,COND!$A$2:$E$7,4,FALSE)+$J$3*VLOOKUP(J77,COND!$A$2:$C$7,2,FALSE)+$K$3*VLOOKUP(K77,COND!$A$2:$C$7,3,FALSE)+IF(AND($B$2&gt;0,$E77&lt;20),$B$2*25,0)</f>
        <v>47.643566268708035</v>
      </c>
      <c r="AR77" s="47">
        <f t="shared" si="9"/>
        <v>0.64591993647189472</v>
      </c>
      <c r="AS77" s="45" t="str">
        <f t="shared" si="14"/>
        <v>3B</v>
      </c>
      <c r="AT77" s="45">
        <v>8</v>
      </c>
      <c r="AU77" s="45">
        <v>73</v>
      </c>
      <c r="AV77" s="45">
        <v>73</v>
      </c>
      <c r="AW77" s="45" t="str">
        <f t="shared" si="15"/>
        <v>Possible</v>
      </c>
      <c r="AX77" s="45"/>
      <c r="AY77" s="45">
        <f>INDEX(Table5[[#All],[Ovr]],MATCH(Batters[[#This Row],[PID]],Table5[[#All],[PID]],0))</f>
        <v>179</v>
      </c>
      <c r="AZ77" s="45" t="str">
        <f>INDEX(Table5[[#All],[Rnd]],MATCH(Batters[[#This Row],[PID]],Table5[[#All],[PID]],0))</f>
        <v>6</v>
      </c>
      <c r="BA77" s="45">
        <f>INDEX(Table5[[#All],[Pick]],MATCH(Batters[[#This Row],[PID]],Table5[[#All],[PID]],0))</f>
        <v>10</v>
      </c>
      <c r="BB77" s="45" t="str">
        <f>INDEX(Table5[[#All],[Team]],MATCH(Batters[[#This Row],[PID]],Table5[[#All],[PID]],0))</f>
        <v>London Underground</v>
      </c>
    </row>
    <row r="78" spans="1:54" ht="15" customHeight="1" x14ac:dyDescent="0.3">
      <c r="A78" s="40">
        <v>7817</v>
      </c>
      <c r="B78" s="40" t="s">
        <v>86</v>
      </c>
      <c r="C78" s="40" t="s">
        <v>669</v>
      </c>
      <c r="D78" s="40" t="s">
        <v>1077</v>
      </c>
      <c r="E78" s="40">
        <v>21</v>
      </c>
      <c r="F78" s="40" t="s">
        <v>42</v>
      </c>
      <c r="G78" s="40" t="s">
        <v>42</v>
      </c>
      <c r="H78" s="41" t="s">
        <v>550</v>
      </c>
      <c r="I78" s="64" t="s">
        <v>47</v>
      </c>
      <c r="J78" s="65" t="s">
        <v>43</v>
      </c>
      <c r="K78" s="66" t="s">
        <v>43</v>
      </c>
      <c r="L78" s="40">
        <v>2</v>
      </c>
      <c r="M78" s="40">
        <v>4</v>
      </c>
      <c r="N78" s="40">
        <v>4</v>
      </c>
      <c r="O78" s="40">
        <v>5</v>
      </c>
      <c r="P78" s="41">
        <v>1</v>
      </c>
      <c r="Q78" s="40">
        <v>4</v>
      </c>
      <c r="R78" s="40">
        <v>5</v>
      </c>
      <c r="S78" s="40">
        <v>4</v>
      </c>
      <c r="T78" s="40">
        <v>6</v>
      </c>
      <c r="U78" s="41">
        <v>4</v>
      </c>
      <c r="V78" s="40">
        <v>3</v>
      </c>
      <c r="W78" s="40">
        <v>3</v>
      </c>
      <c r="X78" s="40">
        <v>6</v>
      </c>
      <c r="Y78" s="41">
        <v>6</v>
      </c>
      <c r="Z78" s="40">
        <v>2</v>
      </c>
      <c r="AA78" s="40" t="s">
        <v>45</v>
      </c>
      <c r="AB78" s="40" t="s">
        <v>45</v>
      </c>
      <c r="AC78" s="40" t="s">
        <v>45</v>
      </c>
      <c r="AD78" s="40" t="s">
        <v>45</v>
      </c>
      <c r="AE78" s="40" t="s">
        <v>45</v>
      </c>
      <c r="AF78" s="40" t="s">
        <v>45</v>
      </c>
      <c r="AG78" s="41" t="s">
        <v>45</v>
      </c>
      <c r="AH78" s="40">
        <v>1</v>
      </c>
      <c r="AI78" s="40">
        <v>1</v>
      </c>
      <c r="AJ78" s="41">
        <v>2</v>
      </c>
      <c r="AK78" s="43" t="s">
        <v>917</v>
      </c>
      <c r="AL78" s="43" t="s">
        <v>103</v>
      </c>
      <c r="AM78" s="44">
        <f t="shared" si="10"/>
        <v>-1.0005851926587581</v>
      </c>
      <c r="AN78" s="44">
        <f t="shared" si="11"/>
        <v>-9.4655071173873812E-2</v>
      </c>
      <c r="AO78" s="45">
        <f t="shared" si="12"/>
        <v>0</v>
      </c>
      <c r="AP78" s="46">
        <f t="shared" si="13"/>
        <v>1.1000000000000001</v>
      </c>
      <c r="AQ78" s="44">
        <f>($AM$3*AM78+$AN$3*AN78+$AO$3*AO78+$AP$3*AP78)+$I$3*VLOOKUP(I78,COND!$A$2:$E$7,4,FALSE)+$J$3*VLOOKUP(J78,COND!$A$2:$C$7,2,FALSE)+$K$3*VLOOKUP(K78,COND!$A$2:$C$7,3,FALSE)+IF(AND($B$2&gt;0,$E78&lt;20),$B$2*25,0)</f>
        <v>45.089080626647636</v>
      </c>
      <c r="AR78" s="47">
        <f t="shared" si="9"/>
        <v>0.27304649617954702</v>
      </c>
      <c r="AS78" s="45" t="str">
        <f t="shared" si="14"/>
        <v>C</v>
      </c>
      <c r="AT78" s="45">
        <v>8</v>
      </c>
      <c r="AU78" s="45">
        <v>74</v>
      </c>
      <c r="AV78" s="45">
        <v>74</v>
      </c>
      <c r="AW78" s="45" t="str">
        <f t="shared" si="15"/>
        <v>Unlikely</v>
      </c>
      <c r="AX78" s="45"/>
      <c r="AY78" s="45">
        <f>INDEX(Table5[[#All],[Ovr]],MATCH(Batters[[#This Row],[PID]],Table5[[#All],[PID]],0))</f>
        <v>93</v>
      </c>
      <c r="AZ78" s="45" t="str">
        <f>INDEX(Table5[[#All],[Rnd]],MATCH(Batters[[#This Row],[PID]],Table5[[#All],[PID]],0))</f>
        <v>3</v>
      </c>
      <c r="BA78" s="45">
        <f>INDEX(Table5[[#All],[Pick]],MATCH(Batters[[#This Row],[PID]],Table5[[#All],[PID]],0))</f>
        <v>21</v>
      </c>
      <c r="BB78" s="45" t="str">
        <f>INDEX(Table5[[#All],[Team]],MATCH(Batters[[#This Row],[PID]],Table5[[#All],[PID]],0))</f>
        <v>Aurora Borealis</v>
      </c>
    </row>
    <row r="79" spans="1:54" ht="15" customHeight="1" x14ac:dyDescent="0.3">
      <c r="A79" s="40">
        <v>11747</v>
      </c>
      <c r="B79" s="40" t="s">
        <v>72</v>
      </c>
      <c r="C79" s="40" t="s">
        <v>133</v>
      </c>
      <c r="D79" s="40" t="s">
        <v>157</v>
      </c>
      <c r="E79" s="40">
        <v>17</v>
      </c>
      <c r="F79" s="40" t="s">
        <v>42</v>
      </c>
      <c r="G79" s="40" t="s">
        <v>42</v>
      </c>
      <c r="H79" s="41" t="s">
        <v>550</v>
      </c>
      <c r="I79" s="64" t="s">
        <v>43</v>
      </c>
      <c r="J79" s="65" t="s">
        <v>43</v>
      </c>
      <c r="K79" s="66" t="s">
        <v>44</v>
      </c>
      <c r="L79" s="40">
        <v>2</v>
      </c>
      <c r="M79" s="40">
        <v>2</v>
      </c>
      <c r="N79" s="40">
        <v>2</v>
      </c>
      <c r="O79" s="40">
        <v>2</v>
      </c>
      <c r="P79" s="41">
        <v>2</v>
      </c>
      <c r="Q79" s="40">
        <v>5</v>
      </c>
      <c r="R79" s="40">
        <v>4</v>
      </c>
      <c r="S79" s="40">
        <v>3</v>
      </c>
      <c r="T79" s="40">
        <v>4</v>
      </c>
      <c r="U79" s="41">
        <v>5</v>
      </c>
      <c r="V79" s="40">
        <v>7</v>
      </c>
      <c r="W79" s="40">
        <v>6</v>
      </c>
      <c r="X79" s="40">
        <v>1</v>
      </c>
      <c r="Y79" s="41">
        <v>1</v>
      </c>
      <c r="Z79" s="40" t="s">
        <v>45</v>
      </c>
      <c r="AA79" s="40" t="s">
        <v>45</v>
      </c>
      <c r="AB79" s="40" t="s">
        <v>45</v>
      </c>
      <c r="AC79" s="40" t="s">
        <v>45</v>
      </c>
      <c r="AD79" s="40">
        <v>3</v>
      </c>
      <c r="AE79" s="40" t="s">
        <v>45</v>
      </c>
      <c r="AF79" s="40" t="s">
        <v>45</v>
      </c>
      <c r="AG79" s="41" t="s">
        <v>45</v>
      </c>
      <c r="AH79" s="40">
        <v>7</v>
      </c>
      <c r="AI79" s="40">
        <v>9</v>
      </c>
      <c r="AJ79" s="41">
        <v>5</v>
      </c>
      <c r="AK79" s="43" t="s">
        <v>492</v>
      </c>
      <c r="AL79" s="43" t="s">
        <v>103</v>
      </c>
      <c r="AM79" s="44">
        <f t="shared" si="10"/>
        <v>-1.4979402501556278</v>
      </c>
      <c r="AN79" s="44">
        <f t="shared" si="11"/>
        <v>-4.5623368815882727E-2</v>
      </c>
      <c r="AO79" s="45">
        <f t="shared" si="12"/>
        <v>2</v>
      </c>
      <c r="AP79" s="46">
        <f t="shared" si="13"/>
        <v>0</v>
      </c>
      <c r="AQ79" s="44">
        <f>($AM$3*AM79+$AN$3*AN79+$AO$3*AO79+$AP$3*AP79)+$I$3*VLOOKUP(I79,COND!$A$2:$E$7,4,FALSE)+$J$3*VLOOKUP(J79,COND!$A$2:$C$7,2,FALSE)+$K$3*VLOOKUP(K79,COND!$A$2:$C$7,3,FALSE)+IF(AND($B$2&gt;0,$E79&lt;20),$B$2*25,0)</f>
        <v>49.336058882527176</v>
      </c>
      <c r="AR79" s="47">
        <f t="shared" si="9"/>
        <v>0.89296988390284193</v>
      </c>
      <c r="AS79" s="45" t="str">
        <f t="shared" si="14"/>
        <v>SS</v>
      </c>
      <c r="AT79" s="45">
        <v>8</v>
      </c>
      <c r="AU79" s="45">
        <v>75</v>
      </c>
      <c r="AV79" s="45">
        <v>75</v>
      </c>
      <c r="AW79" s="45" t="str">
        <f t="shared" si="15"/>
        <v>Unlikely</v>
      </c>
      <c r="AX79" s="45"/>
      <c r="AY79" s="45">
        <f>INDEX(Table5[[#All],[Ovr]],MATCH(Batters[[#This Row],[PID]],Table5[[#All],[PID]],0))</f>
        <v>98</v>
      </c>
      <c r="AZ79" s="45" t="str">
        <f>INDEX(Table5[[#All],[Rnd]],MATCH(Batters[[#This Row],[PID]],Table5[[#All],[PID]],0))</f>
        <v>3</v>
      </c>
      <c r="BA79" s="45">
        <f>INDEX(Table5[[#All],[Pick]],MATCH(Batters[[#This Row],[PID]],Table5[[#All],[PID]],0))</f>
        <v>26</v>
      </c>
      <c r="BB79" s="45" t="str">
        <f>INDEX(Table5[[#All],[Team]],MATCH(Batters[[#This Row],[PID]],Table5[[#All],[PID]],0))</f>
        <v>Bakersfield Bears</v>
      </c>
    </row>
    <row r="80" spans="1:54" ht="15" customHeight="1" x14ac:dyDescent="0.3">
      <c r="A80" s="40">
        <v>21022</v>
      </c>
      <c r="B80" s="40" t="s">
        <v>69</v>
      </c>
      <c r="C80" s="40" t="s">
        <v>332</v>
      </c>
      <c r="D80" s="40" t="s">
        <v>1078</v>
      </c>
      <c r="E80" s="40">
        <v>17</v>
      </c>
      <c r="F80" s="40" t="s">
        <v>42</v>
      </c>
      <c r="G80" s="40" t="s">
        <v>42</v>
      </c>
      <c r="H80" s="41" t="s">
        <v>550</v>
      </c>
      <c r="I80" s="64" t="s">
        <v>44</v>
      </c>
      <c r="J80" s="65" t="s">
        <v>43</v>
      </c>
      <c r="K80" s="66" t="s">
        <v>43</v>
      </c>
      <c r="L80" s="40">
        <v>1</v>
      </c>
      <c r="M80" s="40">
        <v>2</v>
      </c>
      <c r="N80" s="40">
        <v>2</v>
      </c>
      <c r="O80" s="40">
        <v>2</v>
      </c>
      <c r="P80" s="41">
        <v>1</v>
      </c>
      <c r="Q80" s="40">
        <v>4</v>
      </c>
      <c r="R80" s="40">
        <v>6</v>
      </c>
      <c r="S80" s="40">
        <v>5</v>
      </c>
      <c r="T80" s="40">
        <v>5</v>
      </c>
      <c r="U80" s="41">
        <v>4</v>
      </c>
      <c r="V80" s="40">
        <v>8</v>
      </c>
      <c r="W80" s="40">
        <v>7</v>
      </c>
      <c r="X80" s="40">
        <v>1</v>
      </c>
      <c r="Y80" s="41">
        <v>1</v>
      </c>
      <c r="Z80" s="40" t="s">
        <v>45</v>
      </c>
      <c r="AA80" s="40" t="s">
        <v>45</v>
      </c>
      <c r="AB80" s="40">
        <v>1</v>
      </c>
      <c r="AC80" s="40">
        <v>2</v>
      </c>
      <c r="AD80" s="40">
        <v>1</v>
      </c>
      <c r="AE80" s="40" t="s">
        <v>45</v>
      </c>
      <c r="AF80" s="40" t="s">
        <v>45</v>
      </c>
      <c r="AG80" s="41" t="s">
        <v>45</v>
      </c>
      <c r="AH80" s="40">
        <v>3</v>
      </c>
      <c r="AI80" s="40">
        <v>4</v>
      </c>
      <c r="AJ80" s="41">
        <v>3</v>
      </c>
      <c r="AK80" s="43" t="s">
        <v>497</v>
      </c>
      <c r="AL80" s="43" t="s">
        <v>103</v>
      </c>
      <c r="AM80" s="44">
        <f t="shared" si="10"/>
        <v>-1.8605124261753858</v>
      </c>
      <c r="AN80" s="44">
        <f t="shared" si="11"/>
        <v>-5.0243247540849842E-2</v>
      </c>
      <c r="AO80" s="45">
        <f t="shared" si="12"/>
        <v>0</v>
      </c>
      <c r="AP80" s="46">
        <f t="shared" si="13"/>
        <v>0</v>
      </c>
      <c r="AQ80" s="44">
        <f>($AM$3*AM80+$AN$3*AN80+$AO$3*AO80+$AP$3*AP80)+$I$3*VLOOKUP(I80,COND!$A$2:$E$7,4,FALSE)+$J$3*VLOOKUP(J80,COND!$A$2:$C$7,2,FALSE)+$K$3*VLOOKUP(K80,COND!$A$2:$C$7,3,FALSE)+IF(AND($B$2&gt;0,$E80&lt;20),$B$2*25,0)</f>
        <v>49.061029786892263</v>
      </c>
      <c r="AR80" s="47">
        <f t="shared" si="9"/>
        <v>0.85282440671504789</v>
      </c>
      <c r="AS80" s="45" t="str">
        <f t="shared" si="14"/>
        <v>3B</v>
      </c>
      <c r="AT80" s="45">
        <v>9</v>
      </c>
      <c r="AU80" s="45">
        <v>76</v>
      </c>
      <c r="AV80" s="45">
        <v>76</v>
      </c>
      <c r="AW80" s="45" t="str">
        <f t="shared" si="15"/>
        <v>Unlikely</v>
      </c>
      <c r="AX80" s="45"/>
      <c r="AY80" s="45">
        <f>INDEX(Table5[[#All],[Ovr]],MATCH(Batters[[#This Row],[PID]],Table5[[#All],[PID]],0))</f>
        <v>387</v>
      </c>
      <c r="AZ80" s="45" t="str">
        <f>INDEX(Table5[[#All],[Rnd]],MATCH(Batters[[#This Row],[PID]],Table5[[#All],[PID]],0))</f>
        <v>12</v>
      </c>
      <c r="BA80" s="45">
        <f>INDEX(Table5[[#All],[Pick]],MATCH(Batters[[#This Row],[PID]],Table5[[#All],[PID]],0))</f>
        <v>22</v>
      </c>
      <c r="BB80" s="45" t="str">
        <f>INDEX(Table5[[#All],[Team]],MATCH(Batters[[#This Row],[PID]],Table5[[#All],[PID]],0))</f>
        <v>Bakersfield Bears</v>
      </c>
    </row>
    <row r="81" spans="1:54" ht="15" customHeight="1" x14ac:dyDescent="0.3">
      <c r="A81" s="40">
        <v>14511</v>
      </c>
      <c r="B81" s="40" t="s">
        <v>87</v>
      </c>
      <c r="C81" s="40" t="s">
        <v>671</v>
      </c>
      <c r="D81" s="40" t="s">
        <v>184</v>
      </c>
      <c r="E81" s="40">
        <v>21</v>
      </c>
      <c r="F81" s="40" t="s">
        <v>42</v>
      </c>
      <c r="G81" s="40" t="s">
        <v>42</v>
      </c>
      <c r="H81" s="41" t="s">
        <v>550</v>
      </c>
      <c r="I81" s="64" t="s">
        <v>43</v>
      </c>
      <c r="J81" s="65" t="s">
        <v>43</v>
      </c>
      <c r="K81" s="66" t="s">
        <v>43</v>
      </c>
      <c r="L81" s="40">
        <v>2</v>
      </c>
      <c r="M81" s="40">
        <v>4</v>
      </c>
      <c r="N81" s="40">
        <v>4</v>
      </c>
      <c r="O81" s="40">
        <v>4</v>
      </c>
      <c r="P81" s="41">
        <v>2</v>
      </c>
      <c r="Q81" s="40">
        <v>4</v>
      </c>
      <c r="R81" s="40">
        <v>7</v>
      </c>
      <c r="S81" s="40">
        <v>6</v>
      </c>
      <c r="T81" s="40">
        <v>6</v>
      </c>
      <c r="U81" s="41">
        <v>5</v>
      </c>
      <c r="V81" s="40">
        <v>3</v>
      </c>
      <c r="W81" s="40">
        <v>2</v>
      </c>
      <c r="X81" s="40">
        <v>1</v>
      </c>
      <c r="Y81" s="41">
        <v>1</v>
      </c>
      <c r="Z81" s="40" t="s">
        <v>45</v>
      </c>
      <c r="AA81" s="40">
        <v>5</v>
      </c>
      <c r="AB81" s="40">
        <v>1</v>
      </c>
      <c r="AC81" s="40" t="s">
        <v>45</v>
      </c>
      <c r="AD81" s="40" t="s">
        <v>45</v>
      </c>
      <c r="AE81" s="40" t="s">
        <v>45</v>
      </c>
      <c r="AF81" s="40" t="s">
        <v>45</v>
      </c>
      <c r="AG81" s="41" t="s">
        <v>45</v>
      </c>
      <c r="AH81" s="40">
        <v>5</v>
      </c>
      <c r="AI81" s="40">
        <v>1</v>
      </c>
      <c r="AJ81" s="41">
        <v>2</v>
      </c>
      <c r="AK81" s="43" t="s">
        <v>756</v>
      </c>
      <c r="AL81" s="43" t="s">
        <v>103</v>
      </c>
      <c r="AM81" s="44">
        <f t="shared" si="10"/>
        <v>-1.0502784028512557</v>
      </c>
      <c r="AN81" s="44">
        <f t="shared" si="11"/>
        <v>0.21360401592841963</v>
      </c>
      <c r="AO81" s="45">
        <f t="shared" si="12"/>
        <v>0</v>
      </c>
      <c r="AP81" s="46">
        <f t="shared" si="13"/>
        <v>0</v>
      </c>
      <c r="AQ81" s="44">
        <f>($AM$3*AM81+$AN$3*AN81+$AO$3*AO81+$AP$3*AP81)+$I$3*VLOOKUP(I81,COND!$A$2:$E$7,4,FALSE)+$J$3*VLOOKUP(J81,COND!$A$2:$C$7,2,FALSE)+$K$3*VLOOKUP(K81,COND!$A$2:$C$7,3,FALSE)+IF(AND($B$2&gt;0,$E81&lt;20),$B$2*25,0)</f>
        <v>47.45822035085591</v>
      </c>
      <c r="AR81" s="47">
        <f t="shared" si="9"/>
        <v>0.61886534321220377</v>
      </c>
      <c r="AS81" s="45" t="str">
        <f t="shared" si="14"/>
        <v>2B</v>
      </c>
      <c r="AT81" s="45">
        <v>9</v>
      </c>
      <c r="AU81" s="45">
        <v>77</v>
      </c>
      <c r="AV81" s="45">
        <v>77</v>
      </c>
      <c r="AW81" s="45" t="str">
        <f t="shared" si="15"/>
        <v>Possible</v>
      </c>
      <c r="AX81" s="45"/>
      <c r="AY81" s="45">
        <f>INDEX(Table5[[#All],[Ovr]],MATCH(Batters[[#This Row],[PID]],Table5[[#All],[PID]],0))</f>
        <v>60</v>
      </c>
      <c r="AZ81" s="45" t="str">
        <f>INDEX(Table5[[#All],[Rnd]],MATCH(Batters[[#This Row],[PID]],Table5[[#All],[PID]],0))</f>
        <v>2</v>
      </c>
      <c r="BA81" s="45">
        <f>INDEX(Table5[[#All],[Pick]],MATCH(Batters[[#This Row],[PID]],Table5[[#All],[PID]],0))</f>
        <v>24</v>
      </c>
      <c r="BB81" s="45" t="str">
        <f>INDEX(Table5[[#All],[Team]],MATCH(Batters[[#This Row],[PID]],Table5[[#All],[PID]],0))</f>
        <v>Florida Farstriders</v>
      </c>
    </row>
    <row r="82" spans="1:54" ht="15" customHeight="1" x14ac:dyDescent="0.3">
      <c r="A82" s="40">
        <v>13400</v>
      </c>
      <c r="B82" s="40" t="s">
        <v>86</v>
      </c>
      <c r="C82" s="40" t="s">
        <v>1123</v>
      </c>
      <c r="D82" s="40" t="s">
        <v>581</v>
      </c>
      <c r="E82" s="40">
        <v>18</v>
      </c>
      <c r="F82" s="40" t="s">
        <v>42</v>
      </c>
      <c r="G82" s="40" t="s">
        <v>42</v>
      </c>
      <c r="H82" s="41" t="s">
        <v>550</v>
      </c>
      <c r="I82" s="64" t="s">
        <v>44</v>
      </c>
      <c r="J82" s="65" t="s">
        <v>44</v>
      </c>
      <c r="K82" s="66" t="s">
        <v>44</v>
      </c>
      <c r="L82" s="40">
        <v>1</v>
      </c>
      <c r="M82" s="40">
        <v>4</v>
      </c>
      <c r="N82" s="40">
        <v>5</v>
      </c>
      <c r="O82" s="40">
        <v>4</v>
      </c>
      <c r="P82" s="41">
        <v>1</v>
      </c>
      <c r="Q82" s="40">
        <v>3</v>
      </c>
      <c r="R82" s="40">
        <v>6</v>
      </c>
      <c r="S82" s="40">
        <v>8</v>
      </c>
      <c r="T82" s="40">
        <v>7</v>
      </c>
      <c r="U82" s="41">
        <v>2</v>
      </c>
      <c r="V82" s="40">
        <v>2</v>
      </c>
      <c r="W82" s="40">
        <v>1</v>
      </c>
      <c r="X82" s="40">
        <v>3</v>
      </c>
      <c r="Y82" s="41">
        <v>2</v>
      </c>
      <c r="Z82" s="40" t="s">
        <v>45</v>
      </c>
      <c r="AA82" s="40" t="s">
        <v>45</v>
      </c>
      <c r="AB82" s="40" t="s">
        <v>45</v>
      </c>
      <c r="AC82" s="40" t="s">
        <v>45</v>
      </c>
      <c r="AD82" s="40" t="s">
        <v>45</v>
      </c>
      <c r="AE82" s="40" t="s">
        <v>45</v>
      </c>
      <c r="AF82" s="40" t="s">
        <v>45</v>
      </c>
      <c r="AG82" s="41" t="s">
        <v>45</v>
      </c>
      <c r="AH82" s="40">
        <v>1</v>
      </c>
      <c r="AI82" s="40">
        <v>1</v>
      </c>
      <c r="AJ82" s="41">
        <v>1</v>
      </c>
      <c r="AK82" s="43" t="s">
        <v>498</v>
      </c>
      <c r="AL82" s="43" t="s">
        <v>103</v>
      </c>
      <c r="AM82" s="44">
        <f t="shared" si="10"/>
        <v>-1.3297890848471123</v>
      </c>
      <c r="AN82" s="44">
        <f t="shared" si="11"/>
        <v>-2.4228181286824822E-2</v>
      </c>
      <c r="AO82" s="45">
        <f t="shared" si="12"/>
        <v>0</v>
      </c>
      <c r="AP82" s="46">
        <f t="shared" si="13"/>
        <v>0</v>
      </c>
      <c r="AQ82" s="44">
        <f>($AM$3*AM82+$AN$3*AN82+$AO$3*AO82+$AP$3*AP82)+$I$3*VLOOKUP(I82,COND!$A$2:$E$7,4,FALSE)+$J$3*VLOOKUP(J82,COND!$A$2:$C$7,2,FALSE)+$K$3*VLOOKUP(K82,COND!$A$2:$C$7,3,FALSE)+IF(AND($B$2&gt;0,$E82&lt;20),$B$2*25,0)</f>
        <v>48.826282916073389</v>
      </c>
      <c r="AR82" s="47">
        <f t="shared" si="9"/>
        <v>0.81855884973603255</v>
      </c>
      <c r="AS82" s="45" t="str">
        <f t="shared" si="14"/>
        <v>DH</v>
      </c>
      <c r="AT82" s="45">
        <v>9</v>
      </c>
      <c r="AU82" s="45">
        <v>78</v>
      </c>
      <c r="AV82" s="45">
        <v>78</v>
      </c>
      <c r="AW82" s="45" t="str">
        <f t="shared" si="15"/>
        <v>Possible</v>
      </c>
      <c r="AX82" s="45"/>
      <c r="AY82" s="45">
        <f>INDEX(Table5[[#All],[Ovr]],MATCH(Batters[[#This Row],[PID]],Table5[[#All],[PID]],0))</f>
        <v>174</v>
      </c>
      <c r="AZ82" s="45" t="str">
        <f>INDEX(Table5[[#All],[Rnd]],MATCH(Batters[[#This Row],[PID]],Table5[[#All],[PID]],0))</f>
        <v>6</v>
      </c>
      <c r="BA82" s="45">
        <f>INDEX(Table5[[#All],[Pick]],MATCH(Batters[[#This Row],[PID]],Table5[[#All],[PID]],0))</f>
        <v>5</v>
      </c>
      <c r="BB82" s="45" t="str">
        <f>INDEX(Table5[[#All],[Team]],MATCH(Batters[[#This Row],[PID]],Table5[[#All],[PID]],0))</f>
        <v>Tempe Knights</v>
      </c>
    </row>
    <row r="83" spans="1:54" ht="15" customHeight="1" x14ac:dyDescent="0.3">
      <c r="A83" s="40">
        <v>20845</v>
      </c>
      <c r="B83" s="40" t="s">
        <v>74</v>
      </c>
      <c r="C83" s="40" t="s">
        <v>127</v>
      </c>
      <c r="D83" s="40" t="s">
        <v>784</v>
      </c>
      <c r="E83" s="40">
        <v>17</v>
      </c>
      <c r="F83" s="40" t="s">
        <v>53</v>
      </c>
      <c r="G83" s="40" t="s">
        <v>42</v>
      </c>
      <c r="H83" s="41" t="s">
        <v>550</v>
      </c>
      <c r="I83" s="64" t="s">
        <v>43</v>
      </c>
      <c r="J83" s="65" t="s">
        <v>47</v>
      </c>
      <c r="K83" s="66" t="s">
        <v>43</v>
      </c>
      <c r="L83" s="40">
        <v>1</v>
      </c>
      <c r="M83" s="40">
        <v>2</v>
      </c>
      <c r="N83" s="40">
        <v>2</v>
      </c>
      <c r="O83" s="40">
        <v>2</v>
      </c>
      <c r="P83" s="41">
        <v>2</v>
      </c>
      <c r="Q83" s="40">
        <v>4</v>
      </c>
      <c r="R83" s="40">
        <v>4</v>
      </c>
      <c r="S83" s="40">
        <v>3</v>
      </c>
      <c r="T83" s="40">
        <v>5</v>
      </c>
      <c r="U83" s="41">
        <v>5</v>
      </c>
      <c r="V83" s="40">
        <v>4</v>
      </c>
      <c r="W83" s="40">
        <v>6</v>
      </c>
      <c r="X83" s="40">
        <v>1</v>
      </c>
      <c r="Y83" s="41">
        <v>1</v>
      </c>
      <c r="Z83" s="40" t="s">
        <v>45</v>
      </c>
      <c r="AA83" s="40" t="s">
        <v>45</v>
      </c>
      <c r="AB83" s="40" t="s">
        <v>45</v>
      </c>
      <c r="AC83" s="40" t="s">
        <v>45</v>
      </c>
      <c r="AD83" s="40">
        <v>1</v>
      </c>
      <c r="AE83" s="40" t="s">
        <v>45</v>
      </c>
      <c r="AF83" s="40">
        <v>4</v>
      </c>
      <c r="AG83" s="41" t="s">
        <v>45</v>
      </c>
      <c r="AH83" s="40">
        <v>8</v>
      </c>
      <c r="AI83" s="40">
        <v>8</v>
      </c>
      <c r="AJ83" s="41">
        <v>7</v>
      </c>
      <c r="AK83" s="43" t="s">
        <v>498</v>
      </c>
      <c r="AL83" s="43" t="s">
        <v>103</v>
      </c>
      <c r="AM83" s="44">
        <f t="shared" si="10"/>
        <v>-1.8204960863583022</v>
      </c>
      <c r="AN83" s="44">
        <f t="shared" si="11"/>
        <v>-0.27846965500897641</v>
      </c>
      <c r="AO83" s="45">
        <f t="shared" si="12"/>
        <v>4</v>
      </c>
      <c r="AP83" s="46">
        <f t="shared" si="13"/>
        <v>0</v>
      </c>
      <c r="AQ83" s="44">
        <f>($AM$3*AM83+$AN$3*AN83+$AO$3*AO83+$AP$3*AP83)+$I$3*VLOOKUP(I83,COND!$A$2:$E$7,4,FALSE)+$J$3*VLOOKUP(J83,COND!$A$2:$C$7,2,FALSE)+$K$3*VLOOKUP(K83,COND!$A$2:$C$7,3,FALSE)+IF(AND($B$2&gt;0,$E83&lt;20),$B$2*25,0)</f>
        <v>47.442981197923118</v>
      </c>
      <c r="AR83" s="47">
        <f t="shared" si="9"/>
        <v>0.61664091286598011</v>
      </c>
      <c r="AS83" s="45" t="str">
        <f t="shared" si="14"/>
        <v>SS</v>
      </c>
      <c r="AT83" s="45">
        <v>9</v>
      </c>
      <c r="AU83" s="45">
        <v>79</v>
      </c>
      <c r="AV83" s="45">
        <v>79</v>
      </c>
      <c r="AW83" s="45" t="str">
        <f t="shared" si="15"/>
        <v>Unlikely</v>
      </c>
      <c r="AX83" s="45"/>
      <c r="AY83" s="45">
        <f>INDEX(Table5[[#All],[Ovr]],MATCH(Batters[[#This Row],[PID]],Table5[[#All],[PID]],0))</f>
        <v>180</v>
      </c>
      <c r="AZ83" s="45" t="str">
        <f>INDEX(Table5[[#All],[Rnd]],MATCH(Batters[[#This Row],[PID]],Table5[[#All],[PID]],0))</f>
        <v>6</v>
      </c>
      <c r="BA83" s="45">
        <f>INDEX(Table5[[#All],[Pick]],MATCH(Batters[[#This Row],[PID]],Table5[[#All],[PID]],0))</f>
        <v>11</v>
      </c>
      <c r="BB83" s="45" t="str">
        <f>INDEX(Table5[[#All],[Team]],MATCH(Batters[[#This Row],[PID]],Table5[[#All],[PID]],0))</f>
        <v>Florida Farstriders</v>
      </c>
    </row>
    <row r="84" spans="1:54" ht="15" customHeight="1" x14ac:dyDescent="0.3">
      <c r="A84" s="40">
        <v>13933</v>
      </c>
      <c r="B84" s="40" t="s">
        <v>86</v>
      </c>
      <c r="C84" s="40" t="s">
        <v>1056</v>
      </c>
      <c r="D84" s="40" t="s">
        <v>600</v>
      </c>
      <c r="E84" s="40">
        <v>21</v>
      </c>
      <c r="F84" s="40" t="s">
        <v>53</v>
      </c>
      <c r="G84" s="40" t="s">
        <v>42</v>
      </c>
      <c r="H84" s="41" t="s">
        <v>550</v>
      </c>
      <c r="I84" s="64" t="s">
        <v>43</v>
      </c>
      <c r="J84" s="65" t="s">
        <v>43</v>
      </c>
      <c r="K84" s="66" t="s">
        <v>44</v>
      </c>
      <c r="L84" s="40">
        <v>1</v>
      </c>
      <c r="M84" s="40">
        <v>5</v>
      </c>
      <c r="N84" s="40">
        <v>3</v>
      </c>
      <c r="O84" s="40">
        <v>3</v>
      </c>
      <c r="P84" s="41">
        <v>1</v>
      </c>
      <c r="Q84" s="40">
        <v>4</v>
      </c>
      <c r="R84" s="40">
        <v>8</v>
      </c>
      <c r="S84" s="40">
        <v>5</v>
      </c>
      <c r="T84" s="40">
        <v>5</v>
      </c>
      <c r="U84" s="41">
        <v>3</v>
      </c>
      <c r="V84" s="40">
        <v>5</v>
      </c>
      <c r="W84" s="40">
        <v>4</v>
      </c>
      <c r="X84" s="40">
        <v>6</v>
      </c>
      <c r="Y84" s="41">
        <v>7</v>
      </c>
      <c r="Z84" s="40">
        <v>2</v>
      </c>
      <c r="AA84" s="40" t="s">
        <v>45</v>
      </c>
      <c r="AB84" s="40" t="s">
        <v>45</v>
      </c>
      <c r="AC84" s="40" t="s">
        <v>45</v>
      </c>
      <c r="AD84" s="40" t="s">
        <v>45</v>
      </c>
      <c r="AE84" s="40" t="s">
        <v>45</v>
      </c>
      <c r="AF84" s="40" t="s">
        <v>45</v>
      </c>
      <c r="AG84" s="41" t="s">
        <v>45</v>
      </c>
      <c r="AH84" s="40">
        <v>3</v>
      </c>
      <c r="AI84" s="40">
        <v>1</v>
      </c>
      <c r="AJ84" s="41">
        <v>1</v>
      </c>
      <c r="AK84" s="43" t="s">
        <v>1057</v>
      </c>
      <c r="AL84" s="43" t="s">
        <v>103</v>
      </c>
      <c r="AM84" s="44">
        <f t="shared" si="10"/>
        <v>-1.534561743285793</v>
      </c>
      <c r="AN84" s="44">
        <f t="shared" si="11"/>
        <v>1.1860171879473703E-2</v>
      </c>
      <c r="AO84" s="45">
        <f t="shared" si="12"/>
        <v>0</v>
      </c>
      <c r="AP84" s="46">
        <f t="shared" si="13"/>
        <v>1.1000000000000001</v>
      </c>
      <c r="AQ84" s="44">
        <f>($AM$3*AM84+$AN$3*AN84+$AO$3*AO84+$AP$3*AP84)+$I$3*VLOOKUP(I84,COND!$A$2:$E$7,4,FALSE)+$J$3*VLOOKUP(J84,COND!$A$2:$C$7,2,FALSE)+$K$3*VLOOKUP(K84,COND!$A$2:$C$7,3,FALSE)+IF(AND($B$2&gt;0,$E84&lt;20),$B$2*25,0)</f>
        <v>45.788865888225104</v>
      </c>
      <c r="AR84" s="47">
        <f t="shared" si="9"/>
        <v>0.37519282797094772</v>
      </c>
      <c r="AS84" s="45" t="str">
        <f t="shared" si="14"/>
        <v>C</v>
      </c>
      <c r="AT84" s="45">
        <v>9</v>
      </c>
      <c r="AU84" s="45">
        <v>80</v>
      </c>
      <c r="AV84" s="45">
        <v>80</v>
      </c>
      <c r="AW84" s="45" t="str">
        <f t="shared" si="15"/>
        <v>Unlikely</v>
      </c>
      <c r="AX84" s="45"/>
      <c r="AY84" s="45">
        <f>INDEX(Table5[[#All],[Ovr]],MATCH(Batters[[#This Row],[PID]],Table5[[#All],[PID]],0))</f>
        <v>158</v>
      </c>
      <c r="AZ84" s="45" t="str">
        <f>INDEX(Table5[[#All],[Rnd]],MATCH(Batters[[#This Row],[PID]],Table5[[#All],[PID]],0))</f>
        <v>5</v>
      </c>
      <c r="BA84" s="45">
        <f>INDEX(Table5[[#All],[Pick]],MATCH(Batters[[#This Row],[PID]],Table5[[#All],[PID]],0))</f>
        <v>21</v>
      </c>
      <c r="BB84" s="45" t="str">
        <f>INDEX(Table5[[#All],[Team]],MATCH(Batters[[#This Row],[PID]],Table5[[#All],[PID]],0))</f>
        <v>Neo-Tokyo Akira</v>
      </c>
    </row>
    <row r="85" spans="1:54" ht="15" customHeight="1" x14ac:dyDescent="0.3">
      <c r="A85" s="40">
        <v>20595</v>
      </c>
      <c r="B85" s="40" t="s">
        <v>74</v>
      </c>
      <c r="C85" s="40" t="s">
        <v>1248</v>
      </c>
      <c r="D85" s="40" t="s">
        <v>1249</v>
      </c>
      <c r="E85" s="40">
        <v>17</v>
      </c>
      <c r="F85" s="40" t="s">
        <v>62</v>
      </c>
      <c r="G85" s="40" t="s">
        <v>42</v>
      </c>
      <c r="H85" s="41" t="s">
        <v>552</v>
      </c>
      <c r="I85" s="64" t="s">
        <v>43</v>
      </c>
      <c r="J85" s="65" t="s">
        <v>43</v>
      </c>
      <c r="K85" s="66" t="s">
        <v>43</v>
      </c>
      <c r="L85" s="40">
        <v>1</v>
      </c>
      <c r="M85" s="40">
        <v>4</v>
      </c>
      <c r="N85" s="40">
        <v>3</v>
      </c>
      <c r="O85" s="40">
        <v>3</v>
      </c>
      <c r="P85" s="41">
        <v>2</v>
      </c>
      <c r="Q85" s="40">
        <v>3</v>
      </c>
      <c r="R85" s="40">
        <v>5</v>
      </c>
      <c r="S85" s="40">
        <v>4</v>
      </c>
      <c r="T85" s="40">
        <v>5</v>
      </c>
      <c r="U85" s="41">
        <v>5</v>
      </c>
      <c r="V85" s="40">
        <v>4</v>
      </c>
      <c r="W85" s="40">
        <v>7</v>
      </c>
      <c r="X85" s="40">
        <v>1</v>
      </c>
      <c r="Y85" s="41">
        <v>1</v>
      </c>
      <c r="Z85" s="40" t="s">
        <v>45</v>
      </c>
      <c r="AA85" s="40" t="s">
        <v>45</v>
      </c>
      <c r="AB85" s="40" t="s">
        <v>45</v>
      </c>
      <c r="AC85" s="40" t="s">
        <v>45</v>
      </c>
      <c r="AD85" s="40" t="s">
        <v>45</v>
      </c>
      <c r="AE85" s="40">
        <v>1</v>
      </c>
      <c r="AF85" s="40">
        <v>1</v>
      </c>
      <c r="AG85" s="41" t="s">
        <v>45</v>
      </c>
      <c r="AH85" s="40">
        <v>4</v>
      </c>
      <c r="AI85" s="40">
        <v>6</v>
      </c>
      <c r="AJ85" s="41">
        <v>7</v>
      </c>
      <c r="AK85" s="43" t="s">
        <v>558</v>
      </c>
      <c r="AL85" s="43" t="s">
        <v>103</v>
      </c>
      <c r="AM85" s="44">
        <f t="shared" si="10"/>
        <v>-1.5456052830874127</v>
      </c>
      <c r="AN85" s="44">
        <f t="shared" si="11"/>
        <v>-0.4669041175690461</v>
      </c>
      <c r="AO85" s="45">
        <f t="shared" si="12"/>
        <v>1</v>
      </c>
      <c r="AP85" s="46">
        <f t="shared" si="13"/>
        <v>0</v>
      </c>
      <c r="AQ85" s="44">
        <f>($AM$3*AM85+$AN$3*AN85+$AO$3*AO85+$AP$3*AP85)+$I$3*VLOOKUP(I85,COND!$A$2:$E$7,4,FALSE)+$J$3*VLOOKUP(J85,COND!$A$2:$C$7,2,FALSE)+$K$3*VLOOKUP(K85,COND!$A$2:$C$7,3,FALSE)+IF(AND($B$2&gt;0,$E85&lt;20),$B$2*25,0)</f>
        <v>44.409256727529367</v>
      </c>
      <c r="AR85" s="47">
        <f t="shared" si="9"/>
        <v>0.17381388673229722</v>
      </c>
      <c r="AS85" s="45" t="str">
        <f t="shared" si="14"/>
        <v>CF</v>
      </c>
      <c r="AT85" s="45">
        <v>9</v>
      </c>
      <c r="AU85" s="45">
        <v>81</v>
      </c>
      <c r="AV85" s="45">
        <v>81</v>
      </c>
      <c r="AW85" s="45" t="str">
        <f t="shared" si="15"/>
        <v>Unlikely</v>
      </c>
      <c r="AX85" s="45"/>
      <c r="AY85" s="45">
        <f>INDEX(Table5[[#All],[Ovr]],MATCH(Batters[[#This Row],[PID]],Table5[[#All],[PID]],0))</f>
        <v>393</v>
      </c>
      <c r="AZ85" s="45" t="str">
        <f>INDEX(Table5[[#All],[Rnd]],MATCH(Batters[[#This Row],[PID]],Table5[[#All],[PID]],0))</f>
        <v>12</v>
      </c>
      <c r="BA85" s="45">
        <f>INDEX(Table5[[#All],[Pick]],MATCH(Batters[[#This Row],[PID]],Table5[[#All],[PID]],0))</f>
        <v>28</v>
      </c>
      <c r="BB85" s="45" t="str">
        <f>INDEX(Table5[[#All],[Team]],MATCH(Batters[[#This Row],[PID]],Table5[[#All],[PID]],0))</f>
        <v>Amsterdam Lions</v>
      </c>
    </row>
    <row r="86" spans="1:54" ht="15" customHeight="1" x14ac:dyDescent="0.3">
      <c r="A86" s="40">
        <v>11172</v>
      </c>
      <c r="B86" s="40" t="s">
        <v>87</v>
      </c>
      <c r="C86" s="40" t="s">
        <v>737</v>
      </c>
      <c r="D86" s="40" t="s">
        <v>160</v>
      </c>
      <c r="E86" s="40">
        <v>17</v>
      </c>
      <c r="F86" s="40" t="s">
        <v>42</v>
      </c>
      <c r="G86" s="40" t="s">
        <v>42</v>
      </c>
      <c r="H86" s="41" t="s">
        <v>550</v>
      </c>
      <c r="I86" s="64" t="s">
        <v>43</v>
      </c>
      <c r="J86" s="65" t="s">
        <v>43</v>
      </c>
      <c r="K86" s="66" t="s">
        <v>43</v>
      </c>
      <c r="L86" s="40">
        <v>1</v>
      </c>
      <c r="M86" s="40">
        <v>4</v>
      </c>
      <c r="N86" s="40">
        <v>2</v>
      </c>
      <c r="O86" s="40">
        <v>2</v>
      </c>
      <c r="P86" s="41">
        <v>2</v>
      </c>
      <c r="Q86" s="40">
        <v>5</v>
      </c>
      <c r="R86" s="40">
        <v>6</v>
      </c>
      <c r="S86" s="40">
        <v>4</v>
      </c>
      <c r="T86" s="40">
        <v>5</v>
      </c>
      <c r="U86" s="41">
        <v>5</v>
      </c>
      <c r="V86" s="40">
        <v>3</v>
      </c>
      <c r="W86" s="40">
        <v>1</v>
      </c>
      <c r="X86" s="40">
        <v>1</v>
      </c>
      <c r="Y86" s="41">
        <v>1</v>
      </c>
      <c r="Z86" s="40" t="s">
        <v>45</v>
      </c>
      <c r="AA86" s="40">
        <v>6</v>
      </c>
      <c r="AB86" s="40">
        <v>1</v>
      </c>
      <c r="AC86" s="40" t="s">
        <v>45</v>
      </c>
      <c r="AD86" s="40" t="s">
        <v>45</v>
      </c>
      <c r="AE86" s="40" t="s">
        <v>45</v>
      </c>
      <c r="AF86" s="40" t="s">
        <v>45</v>
      </c>
      <c r="AG86" s="41" t="s">
        <v>45</v>
      </c>
      <c r="AH86" s="40">
        <v>8</v>
      </c>
      <c r="AI86" s="40">
        <v>8</v>
      </c>
      <c r="AJ86" s="41">
        <v>6</v>
      </c>
      <c r="AK86" s="43" t="s">
        <v>526</v>
      </c>
      <c r="AL86" s="43" t="s">
        <v>103</v>
      </c>
      <c r="AM86" s="44">
        <f t="shared" si="10"/>
        <v>-1.7183763271208954</v>
      </c>
      <c r="AN86" s="44">
        <f t="shared" si="11"/>
        <v>0.2292674344550068</v>
      </c>
      <c r="AO86" s="45">
        <f t="shared" si="12"/>
        <v>3</v>
      </c>
      <c r="AP86" s="46">
        <f t="shared" si="13"/>
        <v>0</v>
      </c>
      <c r="AQ86" s="44">
        <f>($AM$3*AM86+$AN$3*AN86+$AO$3*AO86+$AP$3*AP86)+$I$3*VLOOKUP(I86,COND!$A$2:$E$7,4,FALSE)+$J$3*VLOOKUP(J86,COND!$A$2:$C$7,2,FALSE)+$K$3*VLOOKUP(K86,COND!$A$2:$C$7,3,FALSE)+IF(AND($B$2&gt;0,$E86&lt;20),$B$2*25,0)</f>
        <v>53.079371580747988</v>
      </c>
      <c r="AR86" s="47">
        <f t="shared" si="9"/>
        <v>1.4393741622803138</v>
      </c>
      <c r="AS86" s="45" t="str">
        <f t="shared" si="14"/>
        <v>2B</v>
      </c>
      <c r="AT86" s="45">
        <v>10</v>
      </c>
      <c r="AU86" s="45">
        <v>82</v>
      </c>
      <c r="AV86" s="45">
        <v>82</v>
      </c>
      <c r="AW86" s="45" t="str">
        <f t="shared" si="15"/>
        <v>Unlikely</v>
      </c>
      <c r="AX86" s="45"/>
      <c r="AY86" s="45">
        <f>INDEX(Table5[[#All],[Ovr]],MATCH(Batters[[#This Row],[PID]],Table5[[#All],[PID]],0))</f>
        <v>119</v>
      </c>
      <c r="AZ86" s="45" t="str">
        <f>INDEX(Table5[[#All],[Rnd]],MATCH(Batters[[#This Row],[PID]],Table5[[#All],[PID]],0))</f>
        <v>4</v>
      </c>
      <c r="BA86" s="45">
        <f>INDEX(Table5[[#All],[Pick]],MATCH(Batters[[#This Row],[PID]],Table5[[#All],[PID]],0))</f>
        <v>14</v>
      </c>
      <c r="BB86" s="45" t="str">
        <f>INDEX(Table5[[#All],[Team]],MATCH(Batters[[#This Row],[PID]],Table5[[#All],[PID]],0))</f>
        <v>San Antonio Calzones of Laredo</v>
      </c>
    </row>
    <row r="87" spans="1:54" ht="15" customHeight="1" x14ac:dyDescent="0.3">
      <c r="A87" s="40">
        <v>9783</v>
      </c>
      <c r="B87" s="40" t="s">
        <v>66</v>
      </c>
      <c r="C87" s="40" t="s">
        <v>606</v>
      </c>
      <c r="D87" s="40" t="s">
        <v>676</v>
      </c>
      <c r="E87" s="40">
        <v>17</v>
      </c>
      <c r="F87" s="40" t="s">
        <v>53</v>
      </c>
      <c r="G87" s="40" t="s">
        <v>53</v>
      </c>
      <c r="H87" s="41" t="s">
        <v>549</v>
      </c>
      <c r="I87" s="64" t="s">
        <v>43</v>
      </c>
      <c r="J87" s="65" t="s">
        <v>47</v>
      </c>
      <c r="K87" s="66" t="s">
        <v>43</v>
      </c>
      <c r="L87" s="40">
        <v>1</v>
      </c>
      <c r="M87" s="40">
        <v>3</v>
      </c>
      <c r="N87" s="40">
        <v>3</v>
      </c>
      <c r="O87" s="40">
        <v>3</v>
      </c>
      <c r="P87" s="41">
        <v>1</v>
      </c>
      <c r="Q87" s="40">
        <v>3</v>
      </c>
      <c r="R87" s="40">
        <v>6</v>
      </c>
      <c r="S87" s="40">
        <v>8</v>
      </c>
      <c r="T87" s="40">
        <v>7</v>
      </c>
      <c r="U87" s="41">
        <v>2</v>
      </c>
      <c r="V87" s="40">
        <v>6</v>
      </c>
      <c r="W87" s="40">
        <v>9</v>
      </c>
      <c r="X87" s="40">
        <v>1</v>
      </c>
      <c r="Y87" s="41">
        <v>1</v>
      </c>
      <c r="Z87" s="40" t="s">
        <v>45</v>
      </c>
      <c r="AA87" s="40" t="s">
        <v>45</v>
      </c>
      <c r="AB87" s="40" t="s">
        <v>45</v>
      </c>
      <c r="AC87" s="40" t="s">
        <v>45</v>
      </c>
      <c r="AD87" s="40" t="s">
        <v>45</v>
      </c>
      <c r="AE87" s="40">
        <v>2</v>
      </c>
      <c r="AF87" s="40" t="s">
        <v>45</v>
      </c>
      <c r="AG87" s="41">
        <v>2</v>
      </c>
      <c r="AH87" s="40">
        <v>4</v>
      </c>
      <c r="AI87" s="40">
        <v>1</v>
      </c>
      <c r="AJ87" s="41">
        <v>2</v>
      </c>
      <c r="AK87" s="43" t="s">
        <v>502</v>
      </c>
      <c r="AL87" s="43" t="s">
        <v>103</v>
      </c>
      <c r="AM87" s="44">
        <f t="shared" si="10"/>
        <v>-1.6366815025231998</v>
      </c>
      <c r="AN87" s="44">
        <f t="shared" si="11"/>
        <v>-2.4228181286824822E-2</v>
      </c>
      <c r="AO87" s="45">
        <f t="shared" si="12"/>
        <v>0</v>
      </c>
      <c r="AP87" s="46">
        <f t="shared" si="13"/>
        <v>0</v>
      </c>
      <c r="AQ87" s="44">
        <f>($AM$3*AM87+$AN$3*AN87+$AO$3*AO87+$AP$3*AP87)+$I$3*VLOOKUP(I87,COND!$A$2:$E$7,4,FALSE)+$J$3*VLOOKUP(J87,COND!$A$2:$C$7,2,FALSE)+$K$3*VLOOKUP(K87,COND!$A$2:$C$7,3,FALSE)+IF(AND($B$2&gt;0,$E87&lt;20),$B$2*25,0)</f>
        <v>49.845593674305782</v>
      </c>
      <c r="AR87" s="47">
        <f t="shared" si="9"/>
        <v>0.96734571425822014</v>
      </c>
      <c r="AS87" s="45" t="str">
        <f t="shared" si="14"/>
        <v>RF</v>
      </c>
      <c r="AT87" s="45">
        <v>10</v>
      </c>
      <c r="AU87" s="45">
        <v>83</v>
      </c>
      <c r="AV87" s="45">
        <v>83</v>
      </c>
      <c r="AW87" s="45" t="str">
        <f t="shared" si="15"/>
        <v>Possible</v>
      </c>
      <c r="AX87" s="45"/>
      <c r="AY87" s="45">
        <f>INDEX(Table5[[#All],[Ovr]],MATCH(Batters[[#This Row],[PID]],Table5[[#All],[PID]],0))</f>
        <v>117</v>
      </c>
      <c r="AZ87" s="45" t="str">
        <f>INDEX(Table5[[#All],[Rnd]],MATCH(Batters[[#This Row],[PID]],Table5[[#All],[PID]],0))</f>
        <v>4</v>
      </c>
      <c r="BA87" s="45">
        <f>INDEX(Table5[[#All],[Pick]],MATCH(Batters[[#This Row],[PID]],Table5[[#All],[PID]],0))</f>
        <v>12</v>
      </c>
      <c r="BB87" s="45" t="str">
        <f>INDEX(Table5[[#All],[Team]],MATCH(Batters[[#This Row],[PID]],Table5[[#All],[PID]],0))</f>
        <v>Manchester Maulers</v>
      </c>
    </row>
    <row r="88" spans="1:54" ht="15" customHeight="1" x14ac:dyDescent="0.3">
      <c r="A88" s="40">
        <v>10137</v>
      </c>
      <c r="B88" s="40" t="s">
        <v>50</v>
      </c>
      <c r="C88" s="40" t="s">
        <v>401</v>
      </c>
      <c r="D88" s="40" t="s">
        <v>587</v>
      </c>
      <c r="E88" s="40">
        <v>17</v>
      </c>
      <c r="F88" s="40" t="s">
        <v>62</v>
      </c>
      <c r="G88" s="40" t="s">
        <v>53</v>
      </c>
      <c r="H88" s="41" t="s">
        <v>550</v>
      </c>
      <c r="I88" s="64" t="s">
        <v>47</v>
      </c>
      <c r="J88" s="65" t="s">
        <v>47</v>
      </c>
      <c r="K88" s="66" t="s">
        <v>43</v>
      </c>
      <c r="L88" s="40">
        <v>1</v>
      </c>
      <c r="M88" s="40">
        <v>4</v>
      </c>
      <c r="N88" s="40">
        <v>3</v>
      </c>
      <c r="O88" s="40">
        <v>2</v>
      </c>
      <c r="P88" s="41">
        <v>1</v>
      </c>
      <c r="Q88" s="40">
        <v>4</v>
      </c>
      <c r="R88" s="40">
        <v>7</v>
      </c>
      <c r="S88" s="40">
        <v>7</v>
      </c>
      <c r="T88" s="40">
        <v>5</v>
      </c>
      <c r="U88" s="41">
        <v>3</v>
      </c>
      <c r="V88" s="40">
        <v>3</v>
      </c>
      <c r="W88" s="40">
        <v>5</v>
      </c>
      <c r="X88" s="40">
        <v>1</v>
      </c>
      <c r="Y88" s="41">
        <v>1</v>
      </c>
      <c r="Z88" s="40" t="s">
        <v>45</v>
      </c>
      <c r="AA88" s="40" t="s">
        <v>45</v>
      </c>
      <c r="AB88" s="40" t="s">
        <v>45</v>
      </c>
      <c r="AC88" s="40" t="s">
        <v>45</v>
      </c>
      <c r="AD88" s="40" t="s">
        <v>45</v>
      </c>
      <c r="AE88" s="40">
        <v>1</v>
      </c>
      <c r="AF88" s="40" t="s">
        <v>45</v>
      </c>
      <c r="AG88" s="41" t="s">
        <v>45</v>
      </c>
      <c r="AH88" s="40">
        <v>1</v>
      </c>
      <c r="AI88" s="40">
        <v>5</v>
      </c>
      <c r="AJ88" s="41">
        <v>7</v>
      </c>
      <c r="AK88" s="43" t="s">
        <v>780</v>
      </c>
      <c r="AL88" s="43" t="s">
        <v>103</v>
      </c>
      <c r="AM88" s="44">
        <f t="shared" si="10"/>
        <v>-1.6753311729140774</v>
      </c>
      <c r="AN88" s="44">
        <f t="shared" si="11"/>
        <v>0.12692328030857319</v>
      </c>
      <c r="AO88" s="45">
        <f t="shared" si="12"/>
        <v>1</v>
      </c>
      <c r="AP88" s="46">
        <f t="shared" si="13"/>
        <v>0</v>
      </c>
      <c r="AQ88" s="44">
        <f>($AM$3*AM88+$AN$3*AN88+$AO$3*AO88+$AP$3*AP88)+$I$3*VLOOKUP(I88,COND!$A$2:$E$7,4,FALSE)+$J$3*VLOOKUP(J88,COND!$A$2:$C$7,2,FALSE)+$K$3*VLOOKUP(K88,COND!$A$2:$C$7,3,FALSE)+IF(AND($B$2&gt;0,$E88&lt;20),$B$2*25,0)</f>
        <v>52.047212913078141</v>
      </c>
      <c r="AR88" s="47">
        <f t="shared" si="9"/>
        <v>1.2887119127046232</v>
      </c>
      <c r="AS88" s="45" t="str">
        <f t="shared" si="14"/>
        <v>LF</v>
      </c>
      <c r="AT88" s="45">
        <v>10</v>
      </c>
      <c r="AU88" s="45">
        <v>84</v>
      </c>
      <c r="AV88" s="45">
        <v>84</v>
      </c>
      <c r="AW88" s="45" t="str">
        <f t="shared" si="15"/>
        <v>Possible</v>
      </c>
      <c r="AX88" s="45"/>
      <c r="AY88" s="45">
        <f>INDEX(Table5[[#All],[Ovr]],MATCH(Batters[[#This Row],[PID]],Table5[[#All],[PID]],0))</f>
        <v>94</v>
      </c>
      <c r="AZ88" s="45" t="str">
        <f>INDEX(Table5[[#All],[Rnd]],MATCH(Batters[[#This Row],[PID]],Table5[[#All],[PID]],0))</f>
        <v>3</v>
      </c>
      <c r="BA88" s="45">
        <f>INDEX(Table5[[#All],[Pick]],MATCH(Batters[[#This Row],[PID]],Table5[[#All],[PID]],0))</f>
        <v>22</v>
      </c>
      <c r="BB88" s="45" t="str">
        <f>INDEX(Table5[[#All],[Team]],MATCH(Batters[[#This Row],[PID]],Table5[[#All],[PID]],0))</f>
        <v>Neo-Tokyo Akira</v>
      </c>
    </row>
    <row r="89" spans="1:54" ht="15" customHeight="1" x14ac:dyDescent="0.3">
      <c r="A89" s="40">
        <v>20840</v>
      </c>
      <c r="B89" s="40" t="s">
        <v>87</v>
      </c>
      <c r="C89" s="40" t="s">
        <v>322</v>
      </c>
      <c r="D89" s="40" t="s">
        <v>566</v>
      </c>
      <c r="E89" s="40">
        <v>17</v>
      </c>
      <c r="F89" s="40" t="s">
        <v>53</v>
      </c>
      <c r="G89" s="40" t="s">
        <v>53</v>
      </c>
      <c r="H89" s="41" t="s">
        <v>550</v>
      </c>
      <c r="I89" s="64" t="s">
        <v>43</v>
      </c>
      <c r="J89" s="65" t="s">
        <v>44</v>
      </c>
      <c r="K89" s="66" t="s">
        <v>43</v>
      </c>
      <c r="L89" s="40">
        <v>1</v>
      </c>
      <c r="M89" s="40">
        <v>2</v>
      </c>
      <c r="N89" s="40">
        <v>3</v>
      </c>
      <c r="O89" s="40">
        <v>2</v>
      </c>
      <c r="P89" s="41">
        <v>1</v>
      </c>
      <c r="Q89" s="40">
        <v>5</v>
      </c>
      <c r="R89" s="40">
        <v>6</v>
      </c>
      <c r="S89" s="40">
        <v>5</v>
      </c>
      <c r="T89" s="40">
        <v>5</v>
      </c>
      <c r="U89" s="41">
        <v>4</v>
      </c>
      <c r="V89" s="40">
        <v>2</v>
      </c>
      <c r="W89" s="40">
        <v>4</v>
      </c>
      <c r="X89" s="40">
        <v>1</v>
      </c>
      <c r="Y89" s="41">
        <v>1</v>
      </c>
      <c r="Z89" s="40" t="s">
        <v>45</v>
      </c>
      <c r="AA89" s="40">
        <v>1</v>
      </c>
      <c r="AB89" s="40" t="s">
        <v>45</v>
      </c>
      <c r="AC89" s="40" t="s">
        <v>45</v>
      </c>
      <c r="AD89" s="40" t="s">
        <v>45</v>
      </c>
      <c r="AE89" s="40" t="s">
        <v>45</v>
      </c>
      <c r="AF89" s="40" t="s">
        <v>45</v>
      </c>
      <c r="AG89" s="41" t="s">
        <v>45</v>
      </c>
      <c r="AH89" s="40">
        <v>1</v>
      </c>
      <c r="AI89" s="40">
        <v>2</v>
      </c>
      <c r="AJ89" s="41">
        <v>1</v>
      </c>
      <c r="AK89" s="43" t="s">
        <v>498</v>
      </c>
      <c r="AL89" s="43" t="s">
        <v>103</v>
      </c>
      <c r="AM89" s="44">
        <f t="shared" si="10"/>
        <v>-1.7774509321514844</v>
      </c>
      <c r="AN89" s="44">
        <f t="shared" si="11"/>
        <v>0.27231258866182484</v>
      </c>
      <c r="AO89" s="45">
        <f t="shared" si="12"/>
        <v>0</v>
      </c>
      <c r="AP89" s="46">
        <f t="shared" si="13"/>
        <v>0</v>
      </c>
      <c r="AQ89" s="44">
        <f>($AM$3*AM89+$AN$3*AN89+$AO$3*AO89+$AP$3*AP89)+$I$3*VLOOKUP(I89,COND!$A$2:$E$7,4,FALSE)+$J$3*VLOOKUP(J89,COND!$A$2:$C$7,2,FALSE)+$K$3*VLOOKUP(K89,COND!$A$2:$C$7,3,FALSE)+IF(AND($B$2&gt;0,$E89&lt;20),$B$2*25,0)</f>
        <v>52.790005970726753</v>
      </c>
      <c r="AR89" s="47">
        <f>STANDARDIZE(AQ89,AVERAGE($AQ$5:$AQ$459),STDEVP($AQ$5:$AQ$459))</f>
        <v>1.3978581829299661</v>
      </c>
      <c r="AS89" s="45" t="str">
        <f t="shared" si="14"/>
        <v>1B</v>
      </c>
      <c r="AT89" s="45">
        <v>10</v>
      </c>
      <c r="AU89" s="45">
        <v>85</v>
      </c>
      <c r="AV89" s="45">
        <v>85</v>
      </c>
      <c r="AW89" s="45" t="str">
        <f t="shared" si="15"/>
        <v>Possible</v>
      </c>
      <c r="AX89" s="45"/>
      <c r="AY89" s="45">
        <f>INDEX(Table5[[#All],[Ovr]],MATCH(Batters[[#This Row],[PID]],Table5[[#All],[PID]],0))</f>
        <v>214</v>
      </c>
      <c r="AZ89" s="45" t="str">
        <f>INDEX(Table5[[#All],[Rnd]],MATCH(Batters[[#This Row],[PID]],Table5[[#All],[PID]],0))</f>
        <v>7</v>
      </c>
      <c r="BA89" s="45">
        <f>INDEX(Table5[[#All],[Pick]],MATCH(Batters[[#This Row],[PID]],Table5[[#All],[PID]],0))</f>
        <v>13</v>
      </c>
      <c r="BB89" s="45" t="str">
        <f>INDEX(Table5[[#All],[Team]],MATCH(Batters[[#This Row],[PID]],Table5[[#All],[PID]],0))</f>
        <v>Scottish Claymores</v>
      </c>
    </row>
    <row r="90" spans="1:54" ht="15" customHeight="1" x14ac:dyDescent="0.3">
      <c r="A90" s="40">
        <v>11164</v>
      </c>
      <c r="B90" s="40" t="s">
        <v>72</v>
      </c>
      <c r="C90" s="40" t="s">
        <v>161</v>
      </c>
      <c r="D90" s="40" t="s">
        <v>186</v>
      </c>
      <c r="E90" s="40">
        <v>17</v>
      </c>
      <c r="F90" s="40" t="s">
        <v>42</v>
      </c>
      <c r="G90" s="40" t="s">
        <v>42</v>
      </c>
      <c r="H90" s="41" t="s">
        <v>552</v>
      </c>
      <c r="I90" s="64" t="s">
        <v>47</v>
      </c>
      <c r="J90" s="65" t="s">
        <v>47</v>
      </c>
      <c r="K90" s="66" t="s">
        <v>43</v>
      </c>
      <c r="L90" s="40">
        <v>1</v>
      </c>
      <c r="M90" s="40">
        <v>2</v>
      </c>
      <c r="N90" s="40">
        <v>2</v>
      </c>
      <c r="O90" s="40">
        <v>2</v>
      </c>
      <c r="P90" s="41">
        <v>2</v>
      </c>
      <c r="Q90" s="40">
        <v>4</v>
      </c>
      <c r="R90" s="40">
        <v>5</v>
      </c>
      <c r="S90" s="40">
        <v>2</v>
      </c>
      <c r="T90" s="40">
        <v>5</v>
      </c>
      <c r="U90" s="41">
        <v>5</v>
      </c>
      <c r="V90" s="40">
        <v>6</v>
      </c>
      <c r="W90" s="40">
        <v>4</v>
      </c>
      <c r="X90" s="40">
        <v>1</v>
      </c>
      <c r="Y90" s="41">
        <v>1</v>
      </c>
      <c r="Z90" s="40" t="s">
        <v>45</v>
      </c>
      <c r="AA90" s="40" t="s">
        <v>45</v>
      </c>
      <c r="AB90" s="40">
        <v>2</v>
      </c>
      <c r="AC90" s="40" t="s">
        <v>45</v>
      </c>
      <c r="AD90" s="40">
        <v>3</v>
      </c>
      <c r="AE90" s="40" t="s">
        <v>45</v>
      </c>
      <c r="AF90" s="40" t="s">
        <v>45</v>
      </c>
      <c r="AG90" s="41" t="s">
        <v>45</v>
      </c>
      <c r="AH90" s="40">
        <v>9</v>
      </c>
      <c r="AI90" s="40">
        <v>3</v>
      </c>
      <c r="AJ90" s="41">
        <v>2</v>
      </c>
      <c r="AK90" s="43" t="s">
        <v>497</v>
      </c>
      <c r="AL90" s="43" t="s">
        <v>103</v>
      </c>
      <c r="AM90" s="44">
        <f t="shared" si="10"/>
        <v>-1.8204960863583022</v>
      </c>
      <c r="AN90" s="44">
        <f t="shared" si="11"/>
        <v>-0.31047126941417441</v>
      </c>
      <c r="AO90" s="45">
        <f t="shared" si="12"/>
        <v>1</v>
      </c>
      <c r="AP90" s="46">
        <f t="shared" si="13"/>
        <v>0</v>
      </c>
      <c r="AQ90" s="44">
        <f>($AM$3*AM90+$AN$3*AN90+$AO$3*AO90+$AP$3*AP90)+$I$3*VLOOKUP(I90,COND!$A$2:$E$7,4,FALSE)+$J$3*VLOOKUP(J90,COND!$A$2:$C$7,2,FALSE)+$K$3*VLOOKUP(K90,COND!$A$2:$C$7,3,FALSE)+IF(AND($B$2&gt;0,$E90&lt;20),$B$2*25,0)</f>
        <v>46.783961825060743</v>
      </c>
      <c r="AR90" s="47">
        <f t="shared" ref="AR90:AR104" si="16">STANDARDIZE(AQ90,AVERAGE($AQ$5:$AQ$442),STDEVP($AQ$5:$AQ$442))</f>
        <v>0.52044510078840778</v>
      </c>
      <c r="AS90" s="45" t="str">
        <f t="shared" si="14"/>
        <v>SS</v>
      </c>
      <c r="AT90" s="45">
        <v>10</v>
      </c>
      <c r="AU90" s="45">
        <v>86</v>
      </c>
      <c r="AV90" s="45">
        <v>86</v>
      </c>
      <c r="AW90" s="45" t="str">
        <f t="shared" si="15"/>
        <v>Unlikely</v>
      </c>
      <c r="AX90" s="45"/>
      <c r="AY90" s="45">
        <f>INDEX(Table5[[#All],[Ovr]],MATCH(Batters[[#This Row],[PID]],Table5[[#All],[PID]],0))</f>
        <v>244</v>
      </c>
      <c r="AZ90" s="45" t="str">
        <f>INDEX(Table5[[#All],[Rnd]],MATCH(Batters[[#This Row],[PID]],Table5[[#All],[PID]],0))</f>
        <v>8</v>
      </c>
      <c r="BA90" s="45">
        <f>INDEX(Table5[[#All],[Pick]],MATCH(Batters[[#This Row],[PID]],Table5[[#All],[PID]],0))</f>
        <v>11</v>
      </c>
      <c r="BB90" s="45" t="str">
        <f>INDEX(Table5[[#All],[Team]],MATCH(Batters[[#This Row],[PID]],Table5[[#All],[PID]],0))</f>
        <v>West Virginia Alleghenies</v>
      </c>
    </row>
    <row r="91" spans="1:54" ht="15" customHeight="1" x14ac:dyDescent="0.3">
      <c r="A91" s="40">
        <v>20495</v>
      </c>
      <c r="B91" s="40" t="s">
        <v>74</v>
      </c>
      <c r="C91" s="40" t="s">
        <v>1069</v>
      </c>
      <c r="D91" s="40" t="s">
        <v>1070</v>
      </c>
      <c r="E91" s="40">
        <v>17</v>
      </c>
      <c r="F91" s="40" t="s">
        <v>42</v>
      </c>
      <c r="G91" s="40" t="s">
        <v>42</v>
      </c>
      <c r="H91" s="41" t="s">
        <v>550</v>
      </c>
      <c r="I91" s="64" t="s">
        <v>43</v>
      </c>
      <c r="J91" s="65" t="s">
        <v>44</v>
      </c>
      <c r="K91" s="66" t="s">
        <v>43</v>
      </c>
      <c r="L91" s="40">
        <v>1</v>
      </c>
      <c r="M91" s="40">
        <v>2</v>
      </c>
      <c r="N91" s="40">
        <v>3</v>
      </c>
      <c r="O91" s="40">
        <v>3</v>
      </c>
      <c r="P91" s="41">
        <v>1</v>
      </c>
      <c r="Q91" s="40">
        <v>4</v>
      </c>
      <c r="R91" s="40">
        <v>3</v>
      </c>
      <c r="S91" s="40">
        <v>4</v>
      </c>
      <c r="T91" s="40">
        <v>6</v>
      </c>
      <c r="U91" s="41">
        <v>4</v>
      </c>
      <c r="V91" s="40">
        <v>4</v>
      </c>
      <c r="W91" s="40">
        <v>5</v>
      </c>
      <c r="X91" s="40">
        <v>1</v>
      </c>
      <c r="Y91" s="41">
        <v>1</v>
      </c>
      <c r="Z91" s="40" t="s">
        <v>45</v>
      </c>
      <c r="AA91" s="40" t="s">
        <v>45</v>
      </c>
      <c r="AB91" s="40" t="s">
        <v>45</v>
      </c>
      <c r="AC91" s="40" t="s">
        <v>45</v>
      </c>
      <c r="AD91" s="40" t="s">
        <v>45</v>
      </c>
      <c r="AE91" s="40" t="s">
        <v>45</v>
      </c>
      <c r="AF91" s="40">
        <v>4</v>
      </c>
      <c r="AG91" s="41" t="s">
        <v>45</v>
      </c>
      <c r="AH91" s="40">
        <v>8</v>
      </c>
      <c r="AI91" s="40">
        <v>7</v>
      </c>
      <c r="AJ91" s="41">
        <v>9</v>
      </c>
      <c r="AK91" s="43" t="s">
        <v>558</v>
      </c>
      <c r="AL91" s="43" t="s">
        <v>103</v>
      </c>
      <c r="AM91" s="44">
        <f t="shared" si="10"/>
        <v>-1.6877413821419032</v>
      </c>
      <c r="AN91" s="44">
        <f t="shared" si="11"/>
        <v>-0.19677483041128077</v>
      </c>
      <c r="AO91" s="45">
        <f t="shared" si="12"/>
        <v>4</v>
      </c>
      <c r="AP91" s="46">
        <f t="shared" si="13"/>
        <v>0</v>
      </c>
      <c r="AQ91" s="44">
        <f>($AM$3*AM91+$AN$3*AN91+$AO$3*AO91+$AP$3*AP91)+$I$3*VLOOKUP(I91,COND!$A$2:$E$7,4,FALSE)+$J$3*VLOOKUP(J91,COND!$A$2:$C$7,2,FALSE)+$K$3*VLOOKUP(K91,COND!$A$2:$C$7,3,FALSE)+IF(AND($B$2&gt;0,$E91&lt;20),$B$2*25,0)</f>
        <v>47.83659456351711</v>
      </c>
      <c r="AR91" s="47">
        <f t="shared" si="16"/>
        <v>0.67409591177358852</v>
      </c>
      <c r="AS91" s="45" t="str">
        <f t="shared" si="14"/>
        <v>CF</v>
      </c>
      <c r="AT91" s="45">
        <v>10</v>
      </c>
      <c r="AU91" s="45">
        <v>87</v>
      </c>
      <c r="AV91" s="45">
        <v>87</v>
      </c>
      <c r="AW91" s="45" t="str">
        <f t="shared" si="15"/>
        <v>Unlikely</v>
      </c>
      <c r="AX91" s="45"/>
      <c r="AY91" s="45">
        <f>INDEX(Table5[[#All],[Ovr]],MATCH(Batters[[#This Row],[PID]],Table5[[#All],[PID]],0))</f>
        <v>331</v>
      </c>
      <c r="AZ91" s="45" t="str">
        <f>INDEX(Table5[[#All],[Rnd]],MATCH(Batters[[#This Row],[PID]],Table5[[#All],[PID]],0))</f>
        <v>10</v>
      </c>
      <c r="BA91" s="45">
        <f>INDEX(Table5[[#All],[Pick]],MATCH(Batters[[#This Row],[PID]],Table5[[#All],[PID]],0))</f>
        <v>34</v>
      </c>
      <c r="BB91" s="45" t="str">
        <f>INDEX(Table5[[#All],[Team]],MATCH(Batters[[#This Row],[PID]],Table5[[#All],[PID]],0))</f>
        <v>Gloucester Fishermen</v>
      </c>
    </row>
    <row r="92" spans="1:54" ht="15" customHeight="1" x14ac:dyDescent="0.3">
      <c r="A92" s="40">
        <v>12648</v>
      </c>
      <c r="B92" s="40" t="s">
        <v>69</v>
      </c>
      <c r="C92" s="40" t="s">
        <v>1090</v>
      </c>
      <c r="D92" s="40" t="s">
        <v>198</v>
      </c>
      <c r="E92" s="40">
        <v>18</v>
      </c>
      <c r="F92" s="40" t="s">
        <v>53</v>
      </c>
      <c r="G92" s="40" t="s">
        <v>42</v>
      </c>
      <c r="H92" s="41" t="s">
        <v>550</v>
      </c>
      <c r="I92" s="64" t="s">
        <v>43</v>
      </c>
      <c r="J92" s="65" t="s">
        <v>44</v>
      </c>
      <c r="K92" s="66" t="s">
        <v>44</v>
      </c>
      <c r="L92" s="40">
        <v>1</v>
      </c>
      <c r="M92" s="40">
        <v>4</v>
      </c>
      <c r="N92" s="40">
        <v>4</v>
      </c>
      <c r="O92" s="40">
        <v>4</v>
      </c>
      <c r="P92" s="41">
        <v>1</v>
      </c>
      <c r="Q92" s="40">
        <v>4</v>
      </c>
      <c r="R92" s="40">
        <v>5</v>
      </c>
      <c r="S92" s="40">
        <v>5</v>
      </c>
      <c r="T92" s="40">
        <v>5</v>
      </c>
      <c r="U92" s="41">
        <v>3</v>
      </c>
      <c r="V92" s="40">
        <v>9</v>
      </c>
      <c r="W92" s="40">
        <v>8</v>
      </c>
      <c r="X92" s="40">
        <v>1</v>
      </c>
      <c r="Y92" s="41">
        <v>1</v>
      </c>
      <c r="Z92" s="40" t="s">
        <v>45</v>
      </c>
      <c r="AA92" s="40" t="s">
        <v>45</v>
      </c>
      <c r="AB92" s="40">
        <v>2</v>
      </c>
      <c r="AC92" s="40">
        <v>3</v>
      </c>
      <c r="AD92" s="40" t="s">
        <v>45</v>
      </c>
      <c r="AE92" s="40" t="s">
        <v>45</v>
      </c>
      <c r="AF92" s="40" t="s">
        <v>45</v>
      </c>
      <c r="AG92" s="41" t="s">
        <v>45</v>
      </c>
      <c r="AH92" s="40">
        <v>1</v>
      </c>
      <c r="AI92" s="40">
        <v>3</v>
      </c>
      <c r="AJ92" s="41">
        <v>3</v>
      </c>
      <c r="AK92" s="43" t="s">
        <v>497</v>
      </c>
      <c r="AL92" s="43" t="s">
        <v>103</v>
      </c>
      <c r="AM92" s="44">
        <f t="shared" si="10"/>
        <v>-1.4128505788710137</v>
      </c>
      <c r="AN92" s="44">
        <f t="shared" si="11"/>
        <v>-0.14131946697663683</v>
      </c>
      <c r="AO92" s="45">
        <f t="shared" si="12"/>
        <v>0</v>
      </c>
      <c r="AP92" s="46">
        <f t="shared" si="13"/>
        <v>0</v>
      </c>
      <c r="AQ92" s="44">
        <f>($AM$3*AM92+$AN$3*AN92+$AO$3*AO92+$AP$3*AP92)+$I$3*VLOOKUP(I92,COND!$A$2:$E$7,4,FALSE)+$J$3*VLOOKUP(J92,COND!$A$2:$C$7,2,FALSE)+$K$3*VLOOKUP(K92,COND!$A$2:$C$7,3,FALSE)+IF(AND($B$2&gt;0,$E92&lt;20),$B$2*25,0)</f>
        <v>47.562881338393254</v>
      </c>
      <c r="AR92" s="47">
        <f t="shared" si="16"/>
        <v>0.63414250971683395</v>
      </c>
      <c r="AS92" s="45" t="str">
        <f t="shared" si="14"/>
        <v>3B</v>
      </c>
      <c r="AT92" s="45">
        <v>10</v>
      </c>
      <c r="AU92" s="45">
        <v>88</v>
      </c>
      <c r="AV92" s="45">
        <v>88</v>
      </c>
      <c r="AW92" s="45" t="str">
        <f t="shared" si="15"/>
        <v>Unlikely</v>
      </c>
      <c r="AX92" s="45"/>
      <c r="AY92" s="45">
        <f>INDEX(Table5[[#All],[Ovr]],MATCH(Batters[[#This Row],[PID]],Table5[[#All],[PID]],0))</f>
        <v>161</v>
      </c>
      <c r="AZ92" s="45" t="str">
        <f>INDEX(Table5[[#All],[Rnd]],MATCH(Batters[[#This Row],[PID]],Table5[[#All],[PID]],0))</f>
        <v>5</v>
      </c>
      <c r="BA92" s="45">
        <f>INDEX(Table5[[#All],[Pick]],MATCH(Batters[[#This Row],[PID]],Table5[[#All],[PID]],0))</f>
        <v>24</v>
      </c>
      <c r="BB92" s="45" t="str">
        <f>INDEX(Table5[[#All],[Team]],MATCH(Batters[[#This Row],[PID]],Table5[[#All],[PID]],0))</f>
        <v>Reno Zephyrs</v>
      </c>
    </row>
    <row r="93" spans="1:54" ht="15" customHeight="1" x14ac:dyDescent="0.3">
      <c r="A93" s="40">
        <v>9714</v>
      </c>
      <c r="B93" s="40" t="s">
        <v>86</v>
      </c>
      <c r="C93" s="40" t="s">
        <v>348</v>
      </c>
      <c r="D93" s="40" t="s">
        <v>1088</v>
      </c>
      <c r="E93" s="40">
        <v>17</v>
      </c>
      <c r="F93" s="40" t="s">
        <v>42</v>
      </c>
      <c r="G93" s="40" t="s">
        <v>42</v>
      </c>
      <c r="H93" s="41" t="s">
        <v>550</v>
      </c>
      <c r="I93" s="64" t="s">
        <v>43</v>
      </c>
      <c r="J93" s="65" t="s">
        <v>43</v>
      </c>
      <c r="K93" s="66" t="s">
        <v>43</v>
      </c>
      <c r="L93" s="40">
        <v>1</v>
      </c>
      <c r="M93" s="40">
        <v>3</v>
      </c>
      <c r="N93" s="40">
        <v>2</v>
      </c>
      <c r="O93" s="40">
        <v>1</v>
      </c>
      <c r="P93" s="41">
        <v>3</v>
      </c>
      <c r="Q93" s="40">
        <v>4</v>
      </c>
      <c r="R93" s="40">
        <v>6</v>
      </c>
      <c r="S93" s="40">
        <v>2</v>
      </c>
      <c r="T93" s="40">
        <v>3</v>
      </c>
      <c r="U93" s="41">
        <v>6</v>
      </c>
      <c r="V93" s="40">
        <v>5</v>
      </c>
      <c r="W93" s="40">
        <v>4</v>
      </c>
      <c r="X93" s="40">
        <v>6</v>
      </c>
      <c r="Y93" s="41">
        <v>5</v>
      </c>
      <c r="Z93" s="40">
        <v>2</v>
      </c>
      <c r="AA93" s="40" t="s">
        <v>45</v>
      </c>
      <c r="AB93" s="40" t="s">
        <v>45</v>
      </c>
      <c r="AC93" s="40" t="s">
        <v>45</v>
      </c>
      <c r="AD93" s="40" t="s">
        <v>45</v>
      </c>
      <c r="AE93" s="40" t="s">
        <v>45</v>
      </c>
      <c r="AF93" s="40" t="s">
        <v>45</v>
      </c>
      <c r="AG93" s="41" t="s">
        <v>45</v>
      </c>
      <c r="AH93" s="40">
        <v>1</v>
      </c>
      <c r="AI93" s="40">
        <v>1</v>
      </c>
      <c r="AJ93" s="41">
        <v>1</v>
      </c>
      <c r="AK93" s="43" t="s">
        <v>495</v>
      </c>
      <c r="AL93" s="43" t="s">
        <v>103</v>
      </c>
      <c r="AM93" s="44">
        <f t="shared" si="10"/>
        <v>-1.8191294169320966</v>
      </c>
      <c r="AN93" s="44">
        <f t="shared" si="11"/>
        <v>-0.39881414999754949</v>
      </c>
      <c r="AO93" s="45">
        <f t="shared" si="12"/>
        <v>0</v>
      </c>
      <c r="AP93" s="46">
        <f t="shared" si="13"/>
        <v>1</v>
      </c>
      <c r="AQ93" s="44">
        <f>($AM$3*AM93+$AN$3*AN93+$AO$3*AO93+$AP$3*AP93)+$I$3*VLOOKUP(I93,COND!$A$2:$E$7,4,FALSE)+$J$3*VLOOKUP(J93,COND!$A$2:$C$7,2,FALSE)+$K$3*VLOOKUP(K93,COND!$A$2:$C$7,3,FALSE)+IF(AND($B$2&gt;0,$E93&lt;20),$B$2*25,0)</f>
        <v>46.032317258336192</v>
      </c>
      <c r="AR93" s="47">
        <f t="shared" si="16"/>
        <v>0.4107289642570725</v>
      </c>
      <c r="AS93" s="45" t="str">
        <f t="shared" si="14"/>
        <v>C</v>
      </c>
      <c r="AT93" s="45">
        <v>10</v>
      </c>
      <c r="AU93" s="45">
        <v>89</v>
      </c>
      <c r="AV93" s="45">
        <v>89</v>
      </c>
      <c r="AW93" s="45" t="str">
        <f t="shared" si="15"/>
        <v>Unlikely</v>
      </c>
      <c r="AX93" s="45"/>
      <c r="AY93" s="45">
        <f>INDEX(Table5[[#All],[Ovr]],MATCH(Batters[[#This Row],[PID]],Table5[[#All],[PID]],0))</f>
        <v>195</v>
      </c>
      <c r="AZ93" s="45" t="str">
        <f>INDEX(Table5[[#All],[Rnd]],MATCH(Batters[[#This Row],[PID]],Table5[[#All],[PID]],0))</f>
        <v>6</v>
      </c>
      <c r="BA93" s="45">
        <f>INDEX(Table5[[#All],[Pick]],MATCH(Batters[[#This Row],[PID]],Table5[[#All],[PID]],0))</f>
        <v>26</v>
      </c>
      <c r="BB93" s="45" t="str">
        <f>INDEX(Table5[[#All],[Team]],MATCH(Batters[[#This Row],[PID]],Table5[[#All],[PID]],0))</f>
        <v>Aurora Borealis</v>
      </c>
    </row>
    <row r="94" spans="1:54" ht="15" customHeight="1" x14ac:dyDescent="0.3">
      <c r="A94" s="40">
        <v>20763</v>
      </c>
      <c r="B94" s="40" t="s">
        <v>86</v>
      </c>
      <c r="C94" s="40" t="s">
        <v>666</v>
      </c>
      <c r="D94" s="40" t="s">
        <v>1033</v>
      </c>
      <c r="E94" s="40">
        <v>17</v>
      </c>
      <c r="F94" s="40" t="s">
        <v>42</v>
      </c>
      <c r="G94" s="40" t="s">
        <v>42</v>
      </c>
      <c r="H94" s="41" t="s">
        <v>550</v>
      </c>
      <c r="I94" s="64" t="s">
        <v>43</v>
      </c>
      <c r="J94" s="65" t="s">
        <v>43</v>
      </c>
      <c r="K94" s="66" t="s">
        <v>43</v>
      </c>
      <c r="L94" s="40">
        <v>1</v>
      </c>
      <c r="M94" s="40">
        <v>3</v>
      </c>
      <c r="N94" s="40">
        <v>3</v>
      </c>
      <c r="O94" s="40">
        <v>2</v>
      </c>
      <c r="P94" s="41">
        <v>1</v>
      </c>
      <c r="Q94" s="40">
        <v>3</v>
      </c>
      <c r="R94" s="40">
        <v>5</v>
      </c>
      <c r="S94" s="40">
        <v>6</v>
      </c>
      <c r="T94" s="40">
        <v>6</v>
      </c>
      <c r="U94" s="41">
        <v>1</v>
      </c>
      <c r="V94" s="40">
        <v>5</v>
      </c>
      <c r="W94" s="40">
        <v>5</v>
      </c>
      <c r="X94" s="40">
        <v>5</v>
      </c>
      <c r="Y94" s="41">
        <v>5</v>
      </c>
      <c r="Z94" s="40" t="s">
        <v>45</v>
      </c>
      <c r="AA94" s="40" t="s">
        <v>45</v>
      </c>
      <c r="AB94" s="40" t="s">
        <v>45</v>
      </c>
      <c r="AC94" s="40" t="s">
        <v>45</v>
      </c>
      <c r="AD94" s="40" t="s">
        <v>45</v>
      </c>
      <c r="AE94" s="40" t="s">
        <v>45</v>
      </c>
      <c r="AF94" s="40" t="s">
        <v>45</v>
      </c>
      <c r="AG94" s="41" t="s">
        <v>45</v>
      </c>
      <c r="AH94" s="40">
        <v>1</v>
      </c>
      <c r="AI94" s="40">
        <v>1</v>
      </c>
      <c r="AJ94" s="41">
        <v>2</v>
      </c>
      <c r="AK94" s="43" t="s">
        <v>495</v>
      </c>
      <c r="AL94" s="43" t="s">
        <v>103</v>
      </c>
      <c r="AM94" s="44">
        <f t="shared" si="10"/>
        <v>-1.726391052532781</v>
      </c>
      <c r="AN94" s="44">
        <f t="shared" si="11"/>
        <v>-0.37113693877999582</v>
      </c>
      <c r="AO94" s="45">
        <f t="shared" si="12"/>
        <v>0</v>
      </c>
      <c r="AP94" s="46">
        <f t="shared" si="13"/>
        <v>0</v>
      </c>
      <c r="AQ94" s="44">
        <f>($AM$3*AM94+$AN$3*AN94+$AO$3*AO94+$AP$3*AP94)+$I$3*VLOOKUP(I94,COND!$A$2:$E$7,4,FALSE)+$J$3*VLOOKUP(J94,COND!$A$2:$C$7,2,FALSE)+$K$3*VLOOKUP(K94,COND!$A$2:$C$7,3,FALSE)+IF(AND($B$2&gt;0,$E94&lt;20),$B$2*25,0)</f>
        <v>45.373717629386775</v>
      </c>
      <c r="AR94" s="47">
        <f t="shared" si="16"/>
        <v>0.31459442140501032</v>
      </c>
      <c r="AS94" s="45" t="str">
        <f t="shared" si="14"/>
        <v>DH</v>
      </c>
      <c r="AT94" s="45">
        <v>10</v>
      </c>
      <c r="AU94" s="45">
        <v>90</v>
      </c>
      <c r="AV94" s="45">
        <v>90</v>
      </c>
      <c r="AW94" s="45" t="str">
        <f t="shared" si="15"/>
        <v>Unlikely</v>
      </c>
      <c r="AX94" s="45"/>
      <c r="AY94" s="63">
        <f>INDEX(Table5[[#All],[Ovr]],MATCH(Batters[[#This Row],[PID]],Table5[[#All],[PID]],0))</f>
        <v>327</v>
      </c>
      <c r="AZ94" s="63" t="str">
        <f>INDEX(Table5[[#All],[Rnd]],MATCH(Batters[[#This Row],[PID]],Table5[[#All],[PID]],0))</f>
        <v>10</v>
      </c>
      <c r="BA94" s="63">
        <f>INDEX(Table5[[#All],[Pick]],MATCH(Batters[[#This Row],[PID]],Table5[[#All],[PID]],0))</f>
        <v>30</v>
      </c>
      <c r="BB94" s="63" t="str">
        <f>INDEX(Table5[[#All],[Team]],MATCH(Batters[[#This Row],[PID]],Table5[[#All],[PID]],0))</f>
        <v>Toyama Wind Dancers</v>
      </c>
    </row>
    <row r="95" spans="1:54" ht="15" customHeight="1" x14ac:dyDescent="0.3">
      <c r="A95" s="40">
        <v>11142</v>
      </c>
      <c r="B95" s="40" t="s">
        <v>50</v>
      </c>
      <c r="C95" s="40" t="s">
        <v>201</v>
      </c>
      <c r="D95" s="40" t="s">
        <v>1052</v>
      </c>
      <c r="E95" s="40">
        <v>17</v>
      </c>
      <c r="F95" s="40" t="s">
        <v>53</v>
      </c>
      <c r="G95" s="40" t="s">
        <v>53</v>
      </c>
      <c r="H95" s="41" t="s">
        <v>550</v>
      </c>
      <c r="I95" s="64" t="s">
        <v>43</v>
      </c>
      <c r="J95" s="65" t="s">
        <v>43</v>
      </c>
      <c r="K95" s="66" t="s">
        <v>43</v>
      </c>
      <c r="L95" s="40">
        <v>2</v>
      </c>
      <c r="M95" s="40">
        <v>3</v>
      </c>
      <c r="N95" s="40">
        <v>3</v>
      </c>
      <c r="O95" s="40">
        <v>3</v>
      </c>
      <c r="P95" s="41">
        <v>1</v>
      </c>
      <c r="Q95" s="40">
        <v>4</v>
      </c>
      <c r="R95" s="40">
        <v>7</v>
      </c>
      <c r="S95" s="40">
        <v>6</v>
      </c>
      <c r="T95" s="40">
        <v>6</v>
      </c>
      <c r="U95" s="41">
        <v>4</v>
      </c>
      <c r="V95" s="40">
        <v>5</v>
      </c>
      <c r="W95" s="40">
        <v>7</v>
      </c>
      <c r="X95" s="40">
        <v>1</v>
      </c>
      <c r="Y95" s="41">
        <v>1</v>
      </c>
      <c r="Z95" s="40" t="s">
        <v>45</v>
      </c>
      <c r="AA95" s="40" t="s">
        <v>45</v>
      </c>
      <c r="AB95" s="40" t="s">
        <v>45</v>
      </c>
      <c r="AC95" s="40" t="s">
        <v>45</v>
      </c>
      <c r="AD95" s="40" t="s">
        <v>45</v>
      </c>
      <c r="AE95" s="40">
        <v>4</v>
      </c>
      <c r="AF95" s="40">
        <v>1</v>
      </c>
      <c r="AG95" s="41" t="s">
        <v>45</v>
      </c>
      <c r="AH95" s="40">
        <v>6</v>
      </c>
      <c r="AI95" s="40">
        <v>2</v>
      </c>
      <c r="AJ95" s="41">
        <v>4</v>
      </c>
      <c r="AK95" s="43" t="s">
        <v>528</v>
      </c>
      <c r="AL95" s="43" t="s">
        <v>103</v>
      </c>
      <c r="AM95" s="44">
        <f t="shared" si="10"/>
        <v>-1.3141256663205254</v>
      </c>
      <c r="AN95" s="44">
        <f t="shared" si="11"/>
        <v>0.17358767611133616</v>
      </c>
      <c r="AO95" s="45">
        <f t="shared" si="12"/>
        <v>0</v>
      </c>
      <c r="AP95" s="46">
        <f t="shared" si="13"/>
        <v>0</v>
      </c>
      <c r="AQ95" s="44">
        <f>($AM$3*AM95+$AN$3*AN95+$AO$3*AO95+$AP$3*AP95)+$I$3*VLOOKUP(I95,COND!$A$2:$E$7,4,FALSE)+$J$3*VLOOKUP(J95,COND!$A$2:$C$7,2,FALSE)+$K$3*VLOOKUP(K95,COND!$A$2:$C$7,3,FALSE)+IF(AND($B$2&gt;0,$E95&lt;20),$B$2*25,0)</f>
        <v>51.95163954670398</v>
      </c>
      <c r="AR95" s="47">
        <f t="shared" si="16"/>
        <v>1.2747612490823721</v>
      </c>
      <c r="AS95" s="45" t="str">
        <f t="shared" si="14"/>
        <v>LF</v>
      </c>
      <c r="AT95" s="45">
        <v>11</v>
      </c>
      <c r="AU95" s="45">
        <v>91</v>
      </c>
      <c r="AV95" s="45">
        <v>91</v>
      </c>
      <c r="AW95" s="45" t="str">
        <f t="shared" si="15"/>
        <v>Possible</v>
      </c>
      <c r="AX95" s="45"/>
      <c r="AY95" s="45">
        <f>INDEX(Table5[[#All],[Ovr]],MATCH(Batters[[#This Row],[PID]],Table5[[#All],[PID]],0))</f>
        <v>125</v>
      </c>
      <c r="AZ95" s="45" t="str">
        <f>INDEX(Table5[[#All],[Rnd]],MATCH(Batters[[#This Row],[PID]],Table5[[#All],[PID]],0))</f>
        <v>4</v>
      </c>
      <c r="BA95" s="45">
        <f>INDEX(Table5[[#All],[Pick]],MATCH(Batters[[#This Row],[PID]],Table5[[#All],[PID]],0))</f>
        <v>20</v>
      </c>
      <c r="BB95" s="45" t="str">
        <f>INDEX(Table5[[#All],[Team]],MATCH(Batters[[#This Row],[PID]],Table5[[#All],[PID]],0))</f>
        <v>Hartford Harpoon</v>
      </c>
    </row>
    <row r="96" spans="1:54" ht="15" customHeight="1" x14ac:dyDescent="0.3">
      <c r="A96" s="40">
        <v>21087</v>
      </c>
      <c r="B96" s="40" t="s">
        <v>86</v>
      </c>
      <c r="C96" s="40" t="s">
        <v>483</v>
      </c>
      <c r="D96" s="40" t="s">
        <v>604</v>
      </c>
      <c r="E96" s="40">
        <v>17</v>
      </c>
      <c r="F96" s="40" t="s">
        <v>42</v>
      </c>
      <c r="G96" s="40" t="s">
        <v>42</v>
      </c>
      <c r="H96" s="41" t="s">
        <v>550</v>
      </c>
      <c r="I96" s="64" t="s">
        <v>44</v>
      </c>
      <c r="J96" s="65" t="s">
        <v>47</v>
      </c>
      <c r="K96" s="66" t="s">
        <v>43</v>
      </c>
      <c r="L96" s="40">
        <v>1</v>
      </c>
      <c r="M96" s="40">
        <v>2</v>
      </c>
      <c r="N96" s="40">
        <v>2</v>
      </c>
      <c r="O96" s="40">
        <v>3</v>
      </c>
      <c r="P96" s="41">
        <v>1</v>
      </c>
      <c r="Q96" s="40">
        <v>3</v>
      </c>
      <c r="R96" s="40">
        <v>6</v>
      </c>
      <c r="S96" s="40">
        <v>4</v>
      </c>
      <c r="T96" s="40">
        <v>6</v>
      </c>
      <c r="U96" s="41">
        <v>3</v>
      </c>
      <c r="V96" s="40">
        <v>5</v>
      </c>
      <c r="W96" s="40">
        <v>5</v>
      </c>
      <c r="X96" s="40">
        <v>6</v>
      </c>
      <c r="Y96" s="41">
        <v>6</v>
      </c>
      <c r="Z96" s="40">
        <v>2</v>
      </c>
      <c r="AA96" s="40" t="s">
        <v>45</v>
      </c>
      <c r="AB96" s="40" t="s">
        <v>45</v>
      </c>
      <c r="AC96" s="40" t="s">
        <v>45</v>
      </c>
      <c r="AD96" s="40" t="s">
        <v>45</v>
      </c>
      <c r="AE96" s="40" t="s">
        <v>45</v>
      </c>
      <c r="AF96" s="40" t="s">
        <v>45</v>
      </c>
      <c r="AG96" s="41" t="s">
        <v>45</v>
      </c>
      <c r="AH96" s="40">
        <v>1</v>
      </c>
      <c r="AI96" s="40">
        <v>1</v>
      </c>
      <c r="AJ96" s="41">
        <v>2</v>
      </c>
      <c r="AK96" s="43" t="s">
        <v>497</v>
      </c>
      <c r="AL96" s="43" t="s">
        <v>103</v>
      </c>
      <c r="AM96" s="44">
        <f t="shared" si="10"/>
        <v>-1.7708028761658048</v>
      </c>
      <c r="AN96" s="44">
        <f t="shared" si="11"/>
        <v>-0.40616736757492844</v>
      </c>
      <c r="AO96" s="45">
        <f t="shared" si="12"/>
        <v>0</v>
      </c>
      <c r="AP96" s="46">
        <f t="shared" si="13"/>
        <v>1.1000000000000001</v>
      </c>
      <c r="AQ96" s="44">
        <f>($AM$3*AM96+$AN$3*AN96+$AO$3*AO96+$AP$3*AP96)+$I$3*VLOOKUP(I96,COND!$A$2:$E$7,4,FALSE)+$J$3*VLOOKUP(J96,COND!$A$2:$C$7,2,FALSE)+$K$3*VLOOKUP(K96,COND!$A$2:$C$7,3,FALSE)+IF(AND($B$2&gt;0,$E96&lt;20),$B$2*25,0)</f>
        <v>46.19891130148428</v>
      </c>
      <c r="AR96" s="47">
        <f t="shared" si="16"/>
        <v>0.43504638181387489</v>
      </c>
      <c r="AS96" s="45" t="str">
        <f t="shared" si="14"/>
        <v>C</v>
      </c>
      <c r="AT96" s="45">
        <v>11</v>
      </c>
      <c r="AU96" s="45">
        <v>92</v>
      </c>
      <c r="AV96" s="45">
        <v>92</v>
      </c>
      <c r="AW96" s="45" t="str">
        <f t="shared" si="15"/>
        <v>Unlikely</v>
      </c>
      <c r="AX96" s="45"/>
      <c r="AY96" s="45">
        <f>INDEX(Table5[[#All],[Ovr]],MATCH(Batters[[#This Row],[PID]],Table5[[#All],[PID]],0))</f>
        <v>396</v>
      </c>
      <c r="AZ96" s="45" t="str">
        <f>INDEX(Table5[[#All],[Rnd]],MATCH(Batters[[#This Row],[PID]],Table5[[#All],[PID]],0))</f>
        <v>12</v>
      </c>
      <c r="BA96" s="45">
        <f>INDEX(Table5[[#All],[Pick]],MATCH(Batters[[#This Row],[PID]],Table5[[#All],[PID]],0))</f>
        <v>31</v>
      </c>
      <c r="BB96" s="45" t="str">
        <f>INDEX(Table5[[#All],[Team]],MATCH(Batters[[#This Row],[PID]],Table5[[#All],[PID]],0))</f>
        <v>West Virginia Alleghenies</v>
      </c>
    </row>
    <row r="97" spans="1:54" ht="15" customHeight="1" x14ac:dyDescent="0.3">
      <c r="A97" s="40">
        <v>20569</v>
      </c>
      <c r="B97" s="40" t="s">
        <v>87</v>
      </c>
      <c r="C97" s="40" t="s">
        <v>313</v>
      </c>
      <c r="D97" s="40" t="s">
        <v>1021</v>
      </c>
      <c r="E97" s="40">
        <v>17</v>
      </c>
      <c r="F97" s="40" t="s">
        <v>53</v>
      </c>
      <c r="G97" s="40" t="s">
        <v>42</v>
      </c>
      <c r="H97" s="41" t="s">
        <v>549</v>
      </c>
      <c r="I97" s="64" t="s">
        <v>44</v>
      </c>
      <c r="J97" s="65" t="s">
        <v>44</v>
      </c>
      <c r="K97" s="66" t="s">
        <v>43</v>
      </c>
      <c r="L97" s="40">
        <v>1</v>
      </c>
      <c r="M97" s="40">
        <v>4</v>
      </c>
      <c r="N97" s="40">
        <v>5</v>
      </c>
      <c r="O97" s="40">
        <v>3</v>
      </c>
      <c r="P97" s="41">
        <v>1</v>
      </c>
      <c r="Q97" s="40">
        <v>4</v>
      </c>
      <c r="R97" s="40">
        <v>5</v>
      </c>
      <c r="S97" s="40">
        <v>7</v>
      </c>
      <c r="T97" s="40">
        <v>7</v>
      </c>
      <c r="U97" s="41">
        <v>3</v>
      </c>
      <c r="V97" s="40">
        <v>3</v>
      </c>
      <c r="W97" s="40">
        <v>5</v>
      </c>
      <c r="X97" s="40">
        <v>1</v>
      </c>
      <c r="Y97" s="41">
        <v>1</v>
      </c>
      <c r="Z97" s="40" t="s">
        <v>45</v>
      </c>
      <c r="AA97" s="40">
        <v>2</v>
      </c>
      <c r="AB97" s="40" t="s">
        <v>45</v>
      </c>
      <c r="AC97" s="40" t="s">
        <v>45</v>
      </c>
      <c r="AD97" s="40" t="s">
        <v>45</v>
      </c>
      <c r="AE97" s="40" t="s">
        <v>45</v>
      </c>
      <c r="AF97" s="40" t="s">
        <v>45</v>
      </c>
      <c r="AG97" s="41" t="s">
        <v>45</v>
      </c>
      <c r="AH97" s="40">
        <v>3</v>
      </c>
      <c r="AI97" s="40">
        <v>4</v>
      </c>
      <c r="AJ97" s="41">
        <v>5</v>
      </c>
      <c r="AK97" s="43" t="s">
        <v>497</v>
      </c>
      <c r="AL97" s="43" t="s">
        <v>103</v>
      </c>
      <c r="AM97" s="44">
        <f t="shared" si="10"/>
        <v>-1.4194986348566934</v>
      </c>
      <c r="AN97" s="44">
        <f t="shared" si="11"/>
        <v>0.20422262109032827</v>
      </c>
      <c r="AO97" s="45">
        <f t="shared" si="12"/>
        <v>0</v>
      </c>
      <c r="AP97" s="46">
        <f t="shared" si="13"/>
        <v>0</v>
      </c>
      <c r="AQ97" s="44">
        <f>($AM$3*AM97+$AN$3*AN97+$AO$3*AO97+$AP$3*AP97)+$I$3*VLOOKUP(I97,COND!$A$2:$E$7,4,FALSE)+$J$3*VLOOKUP(J97,COND!$A$2:$C$7,2,FALSE)+$K$3*VLOOKUP(K97,COND!$A$2:$C$7,3,FALSE)+IF(AND($B$2&gt;0,$E97&lt;20),$B$2*25,0)</f>
        <v>51.858721589598268</v>
      </c>
      <c r="AR97" s="47">
        <f t="shared" si="16"/>
        <v>1.2611981905313763</v>
      </c>
      <c r="AS97" s="45" t="str">
        <f t="shared" si="14"/>
        <v>1B</v>
      </c>
      <c r="AT97" s="45">
        <v>11</v>
      </c>
      <c r="AU97" s="45">
        <v>93</v>
      </c>
      <c r="AV97" s="45">
        <v>93</v>
      </c>
      <c r="AW97" s="45" t="str">
        <f t="shared" si="15"/>
        <v>Possible</v>
      </c>
      <c r="AX97" s="45"/>
      <c r="AY97" s="45">
        <f>INDEX(Table5[[#All],[Ovr]],MATCH(Batters[[#This Row],[PID]],Table5[[#All],[PID]],0))</f>
        <v>99</v>
      </c>
      <c r="AZ97" s="45" t="str">
        <f>INDEX(Table5[[#All],[Rnd]],MATCH(Batters[[#This Row],[PID]],Table5[[#All],[PID]],0))</f>
        <v>3</v>
      </c>
      <c r="BA97" s="45">
        <f>INDEX(Table5[[#All],[Pick]],MATCH(Batters[[#This Row],[PID]],Table5[[#All],[PID]],0))</f>
        <v>27</v>
      </c>
      <c r="BB97" s="45" t="str">
        <f>INDEX(Table5[[#All],[Team]],MATCH(Batters[[#This Row],[PID]],Table5[[#All],[PID]],0))</f>
        <v>Aurora Borealis</v>
      </c>
    </row>
    <row r="98" spans="1:54" ht="15" customHeight="1" x14ac:dyDescent="0.3">
      <c r="A98" s="40">
        <v>9571</v>
      </c>
      <c r="B98" s="40" t="s">
        <v>50</v>
      </c>
      <c r="C98" s="40" t="s">
        <v>599</v>
      </c>
      <c r="D98" s="40" t="s">
        <v>810</v>
      </c>
      <c r="E98" s="40">
        <v>17</v>
      </c>
      <c r="F98" s="40" t="s">
        <v>53</v>
      </c>
      <c r="G98" s="40" t="s">
        <v>53</v>
      </c>
      <c r="H98" s="41" t="s">
        <v>550</v>
      </c>
      <c r="I98" s="64" t="s">
        <v>43</v>
      </c>
      <c r="J98" s="65" t="s">
        <v>43</v>
      </c>
      <c r="K98" s="66" t="s">
        <v>43</v>
      </c>
      <c r="L98" s="40">
        <v>2</v>
      </c>
      <c r="M98" s="40">
        <v>3</v>
      </c>
      <c r="N98" s="40">
        <v>2</v>
      </c>
      <c r="O98" s="40">
        <v>2</v>
      </c>
      <c r="P98" s="41">
        <v>6</v>
      </c>
      <c r="Q98" s="40">
        <v>6</v>
      </c>
      <c r="R98" s="40">
        <v>5</v>
      </c>
      <c r="S98" s="40">
        <v>2</v>
      </c>
      <c r="T98" s="40">
        <v>4</v>
      </c>
      <c r="U98" s="41">
        <v>8</v>
      </c>
      <c r="V98" s="40">
        <v>3</v>
      </c>
      <c r="W98" s="40">
        <v>6</v>
      </c>
      <c r="X98" s="40">
        <v>1</v>
      </c>
      <c r="Y98" s="41">
        <v>1</v>
      </c>
      <c r="Z98" s="40" t="s">
        <v>45</v>
      </c>
      <c r="AA98" s="40" t="s">
        <v>45</v>
      </c>
      <c r="AB98" s="40" t="s">
        <v>45</v>
      </c>
      <c r="AC98" s="40" t="s">
        <v>45</v>
      </c>
      <c r="AD98" s="40" t="s">
        <v>45</v>
      </c>
      <c r="AE98" s="40">
        <v>4</v>
      </c>
      <c r="AF98" s="40" t="s">
        <v>45</v>
      </c>
      <c r="AG98" s="41" t="s">
        <v>45</v>
      </c>
      <c r="AH98" s="40">
        <v>5</v>
      </c>
      <c r="AI98" s="40">
        <v>8</v>
      </c>
      <c r="AJ98" s="41">
        <v>4</v>
      </c>
      <c r="AK98" s="43" t="s">
        <v>526</v>
      </c>
      <c r="AL98" s="43" t="s">
        <v>103</v>
      </c>
      <c r="AM98" s="44">
        <f t="shared" si="10"/>
        <v>-1.2868150112685908</v>
      </c>
      <c r="AN98" s="44">
        <f t="shared" si="11"/>
        <v>0.36497987243284435</v>
      </c>
      <c r="AO98" s="45">
        <f t="shared" si="12"/>
        <v>1</v>
      </c>
      <c r="AP98" s="46">
        <f t="shared" si="13"/>
        <v>0</v>
      </c>
      <c r="AQ98" s="44">
        <f>($AM$3*AM98+$AN$3*AN98+$AO$3*AO98+$AP$3*AP98)+$I$3*VLOOKUP(I98,COND!$A$2:$E$7,4,FALSE)+$J$3*VLOOKUP(J98,COND!$A$2:$C$7,2,FALSE)+$K$3*VLOOKUP(K98,COND!$A$2:$C$7,3,FALSE)+IF(AND($B$2&gt;0,$E98&lt;20),$B$2*25,0)</f>
        <v>54.417743634733938</v>
      </c>
      <c r="AR98" s="47">
        <f t="shared" si="16"/>
        <v>1.6347338010052188</v>
      </c>
      <c r="AS98" s="45" t="str">
        <f t="shared" si="14"/>
        <v>LF</v>
      </c>
      <c r="AT98" s="45">
        <v>12</v>
      </c>
      <c r="AU98" s="45">
        <v>94</v>
      </c>
      <c r="AV98" s="45">
        <v>94</v>
      </c>
      <c r="AW98" s="45" t="str">
        <f t="shared" si="15"/>
        <v>Possible</v>
      </c>
      <c r="AX98" s="45"/>
      <c r="AY98" s="45">
        <f>INDEX(Table5[[#All],[Ovr]],MATCH(Batters[[#This Row],[PID]],Table5[[#All],[PID]],0))</f>
        <v>107</v>
      </c>
      <c r="AZ98" s="45" t="str">
        <f>INDEX(Table5[[#All],[Rnd]],MATCH(Batters[[#This Row],[PID]],Table5[[#All],[PID]],0))</f>
        <v>4</v>
      </c>
      <c r="BA98" s="45">
        <f>INDEX(Table5[[#All],[Pick]],MATCH(Batters[[#This Row],[PID]],Table5[[#All],[PID]],0))</f>
        <v>2</v>
      </c>
      <c r="BB98" s="45" t="str">
        <f>INDEX(Table5[[#All],[Team]],MATCH(Batters[[#This Row],[PID]],Table5[[#All],[PID]],0))</f>
        <v>Charleston Statesmen</v>
      </c>
    </row>
    <row r="99" spans="1:54" ht="15" customHeight="1" x14ac:dyDescent="0.3">
      <c r="A99" s="40">
        <v>9156</v>
      </c>
      <c r="B99" s="40" t="s">
        <v>50</v>
      </c>
      <c r="C99" s="40" t="s">
        <v>144</v>
      </c>
      <c r="D99" s="40" t="s">
        <v>741</v>
      </c>
      <c r="E99" s="40">
        <v>17</v>
      </c>
      <c r="F99" s="40" t="s">
        <v>53</v>
      </c>
      <c r="G99" s="40" t="s">
        <v>42</v>
      </c>
      <c r="H99" s="41" t="s">
        <v>549</v>
      </c>
      <c r="I99" s="64" t="s">
        <v>43</v>
      </c>
      <c r="J99" s="65" t="s">
        <v>44</v>
      </c>
      <c r="K99" s="66" t="s">
        <v>43</v>
      </c>
      <c r="L99" s="40">
        <v>1</v>
      </c>
      <c r="M99" s="40">
        <v>8</v>
      </c>
      <c r="N99" s="40">
        <v>4</v>
      </c>
      <c r="O99" s="40">
        <v>3</v>
      </c>
      <c r="P99" s="41">
        <v>1</v>
      </c>
      <c r="Q99" s="40">
        <v>4</v>
      </c>
      <c r="R99" s="40">
        <v>9</v>
      </c>
      <c r="S99" s="40">
        <v>7</v>
      </c>
      <c r="T99" s="40">
        <v>6</v>
      </c>
      <c r="U99" s="41">
        <v>2</v>
      </c>
      <c r="V99" s="40">
        <v>2</v>
      </c>
      <c r="W99" s="40">
        <v>4</v>
      </c>
      <c r="X99" s="40">
        <v>1</v>
      </c>
      <c r="Y99" s="41">
        <v>1</v>
      </c>
      <c r="Z99" s="40" t="s">
        <v>45</v>
      </c>
      <c r="AA99" s="40" t="s">
        <v>45</v>
      </c>
      <c r="AB99" s="40" t="s">
        <v>45</v>
      </c>
      <c r="AC99" s="40" t="s">
        <v>45</v>
      </c>
      <c r="AD99" s="40" t="s">
        <v>45</v>
      </c>
      <c r="AE99" s="40">
        <v>2</v>
      </c>
      <c r="AF99" s="40" t="s">
        <v>45</v>
      </c>
      <c r="AG99" s="41" t="s">
        <v>45</v>
      </c>
      <c r="AH99" s="40">
        <v>5</v>
      </c>
      <c r="AI99" s="40">
        <v>1</v>
      </c>
      <c r="AJ99" s="41">
        <v>1</v>
      </c>
      <c r="AK99" s="43" t="s">
        <v>988</v>
      </c>
      <c r="AL99" s="43" t="s">
        <v>103</v>
      </c>
      <c r="AM99" s="44">
        <f t="shared" si="10"/>
        <v>-1.2983206104057807</v>
      </c>
      <c r="AN99" s="44">
        <f t="shared" si="11"/>
        <v>0.27873624973847777</v>
      </c>
      <c r="AO99" s="45">
        <f t="shared" si="12"/>
        <v>0</v>
      </c>
      <c r="AP99" s="46">
        <f t="shared" si="13"/>
        <v>0</v>
      </c>
      <c r="AQ99" s="44">
        <f>($AM$3*AM99+$AN$3*AN99+$AO$3*AO99+$AP$3*AP99)+$I$3*VLOOKUP(I99,COND!$A$2:$E$7,4,FALSE)+$J$3*VLOOKUP(J99,COND!$A$2:$C$7,2,FALSE)+$K$3*VLOOKUP(K99,COND!$A$2:$C$7,3,FALSE)+IF(AND($B$2&gt;0,$E99&lt;20),$B$2*25,0)</f>
        <v>52.91500293582115</v>
      </c>
      <c r="AR99" s="47">
        <f t="shared" si="16"/>
        <v>1.415381581895079</v>
      </c>
      <c r="AS99" s="45" t="str">
        <f t="shared" si="14"/>
        <v>LF</v>
      </c>
      <c r="AT99" s="45">
        <v>13</v>
      </c>
      <c r="AU99" s="45">
        <v>95</v>
      </c>
      <c r="AV99" s="45">
        <v>95</v>
      </c>
      <c r="AW99" s="45" t="str">
        <f t="shared" si="15"/>
        <v>Possible</v>
      </c>
      <c r="AX99" s="45"/>
      <c r="AY99" s="45">
        <f>INDEX(Table5[[#All],[Ovr]],MATCH(Batters[[#This Row],[PID]],Table5[[#All],[PID]],0))</f>
        <v>47</v>
      </c>
      <c r="AZ99" s="45" t="str">
        <f>INDEX(Table5[[#All],[Rnd]],MATCH(Batters[[#This Row],[PID]],Table5[[#All],[PID]],0))</f>
        <v>2</v>
      </c>
      <c r="BA99" s="45">
        <f>INDEX(Table5[[#All],[Pick]],MATCH(Batters[[#This Row],[PID]],Table5[[#All],[PID]],0))</f>
        <v>11</v>
      </c>
      <c r="BB99" s="45" t="str">
        <f>INDEX(Table5[[#All],[Team]],MATCH(Batters[[#This Row],[PID]],Table5[[#All],[PID]],0))</f>
        <v>Scottish Claymores</v>
      </c>
    </row>
    <row r="100" spans="1:54" ht="15" customHeight="1" x14ac:dyDescent="0.3">
      <c r="A100" s="40">
        <v>13266</v>
      </c>
      <c r="B100" s="40" t="s">
        <v>87</v>
      </c>
      <c r="C100" s="40" t="s">
        <v>1029</v>
      </c>
      <c r="D100" s="40" t="s">
        <v>1030</v>
      </c>
      <c r="E100" s="40">
        <v>17</v>
      </c>
      <c r="F100" s="40" t="s">
        <v>53</v>
      </c>
      <c r="G100" s="40" t="s">
        <v>53</v>
      </c>
      <c r="H100" s="41" t="s">
        <v>550</v>
      </c>
      <c r="I100" s="64" t="s">
        <v>43</v>
      </c>
      <c r="J100" s="65" t="s">
        <v>43</v>
      </c>
      <c r="K100" s="66" t="s">
        <v>44</v>
      </c>
      <c r="L100" s="40">
        <v>1</v>
      </c>
      <c r="M100" s="40">
        <v>2</v>
      </c>
      <c r="N100" s="40">
        <v>4</v>
      </c>
      <c r="O100" s="40">
        <v>4</v>
      </c>
      <c r="P100" s="41">
        <v>1</v>
      </c>
      <c r="Q100" s="40">
        <v>4</v>
      </c>
      <c r="R100" s="40">
        <v>5</v>
      </c>
      <c r="S100" s="40">
        <v>7</v>
      </c>
      <c r="T100" s="40">
        <v>7</v>
      </c>
      <c r="U100" s="41">
        <v>3</v>
      </c>
      <c r="V100" s="40">
        <v>3</v>
      </c>
      <c r="W100" s="40">
        <v>5</v>
      </c>
      <c r="X100" s="40">
        <v>1</v>
      </c>
      <c r="Y100" s="41">
        <v>1</v>
      </c>
      <c r="Z100" s="40" t="s">
        <v>45</v>
      </c>
      <c r="AA100" s="40">
        <v>2</v>
      </c>
      <c r="AB100" s="40" t="s">
        <v>45</v>
      </c>
      <c r="AC100" s="40" t="s">
        <v>45</v>
      </c>
      <c r="AD100" s="40" t="s">
        <v>45</v>
      </c>
      <c r="AE100" s="40">
        <v>1</v>
      </c>
      <c r="AF100" s="40" t="s">
        <v>45</v>
      </c>
      <c r="AG100" s="41" t="s">
        <v>45</v>
      </c>
      <c r="AH100" s="40">
        <v>1</v>
      </c>
      <c r="AI100" s="40">
        <v>1</v>
      </c>
      <c r="AJ100" s="41">
        <v>2</v>
      </c>
      <c r="AK100" s="43" t="s">
        <v>498</v>
      </c>
      <c r="AL100" s="43" t="s">
        <v>103</v>
      </c>
      <c r="AM100" s="44">
        <f t="shared" si="10"/>
        <v>-1.5149703381084207</v>
      </c>
      <c r="AN100" s="44">
        <f t="shared" si="11"/>
        <v>0.20422262109032827</v>
      </c>
      <c r="AO100" s="45">
        <f t="shared" si="12"/>
        <v>0</v>
      </c>
      <c r="AP100" s="46">
        <f t="shared" si="13"/>
        <v>0</v>
      </c>
      <c r="AQ100" s="44">
        <f>($AM$3*AM100+$AN$3*AN100+$AO$3*AO100+$AP$3*AP100)+$I$3*VLOOKUP(I100,COND!$A$2:$E$7,4,FALSE)+$J$3*VLOOKUP(J100,COND!$A$2:$C$7,2,FALSE)+$K$3*VLOOKUP(K100,COND!$A$2:$C$7,3,FALSE)+IF(AND($B$2&gt;0,$E100&lt;20),$B$2*25,0)</f>
        <v>51.999174419273103</v>
      </c>
      <c r="AR100" s="47">
        <f t="shared" si="16"/>
        <v>1.2816998245736053</v>
      </c>
      <c r="AS100" s="45" t="str">
        <f t="shared" si="14"/>
        <v>LF</v>
      </c>
      <c r="AT100" s="45">
        <v>14</v>
      </c>
      <c r="AU100" s="45">
        <v>96</v>
      </c>
      <c r="AV100" s="45">
        <v>96</v>
      </c>
      <c r="AW100" s="45" t="str">
        <f t="shared" si="15"/>
        <v>Possible</v>
      </c>
      <c r="AX100" s="45"/>
      <c r="AY100" s="45">
        <f>INDEX(Table5[[#All],[Ovr]],MATCH(Batters[[#This Row],[PID]],Table5[[#All],[PID]],0))</f>
        <v>132</v>
      </c>
      <c r="AZ100" s="45" t="str">
        <f>INDEX(Table5[[#All],[Rnd]],MATCH(Batters[[#This Row],[PID]],Table5[[#All],[PID]],0))</f>
        <v>4</v>
      </c>
      <c r="BA100" s="45">
        <f>INDEX(Table5[[#All],[Pick]],MATCH(Batters[[#This Row],[PID]],Table5[[#All],[PID]],0))</f>
        <v>27</v>
      </c>
      <c r="BB100" s="45" t="str">
        <f>INDEX(Table5[[#All],[Team]],MATCH(Batters[[#This Row],[PID]],Table5[[#All],[PID]],0))</f>
        <v>Havana Leones</v>
      </c>
    </row>
    <row r="101" spans="1:54" ht="15" customHeight="1" x14ac:dyDescent="0.3">
      <c r="A101" s="40">
        <v>10299</v>
      </c>
      <c r="B101" s="40" t="s">
        <v>72</v>
      </c>
      <c r="C101" s="40" t="s">
        <v>599</v>
      </c>
      <c r="D101" s="40" t="s">
        <v>963</v>
      </c>
      <c r="E101" s="40">
        <v>17</v>
      </c>
      <c r="F101" s="40" t="s">
        <v>62</v>
      </c>
      <c r="G101" s="40" t="s">
        <v>42</v>
      </c>
      <c r="H101" s="41" t="s">
        <v>552</v>
      </c>
      <c r="I101" s="64" t="s">
        <v>43</v>
      </c>
      <c r="J101" s="65" t="s">
        <v>43</v>
      </c>
      <c r="K101" s="66" t="s">
        <v>47</v>
      </c>
      <c r="L101" s="40">
        <v>1</v>
      </c>
      <c r="M101" s="40">
        <v>3</v>
      </c>
      <c r="N101" s="40">
        <v>2</v>
      </c>
      <c r="O101" s="40">
        <v>2</v>
      </c>
      <c r="P101" s="41">
        <v>1</v>
      </c>
      <c r="Q101" s="40">
        <v>4</v>
      </c>
      <c r="R101" s="40">
        <v>5</v>
      </c>
      <c r="S101" s="40">
        <v>3</v>
      </c>
      <c r="T101" s="40">
        <v>5</v>
      </c>
      <c r="U101" s="41">
        <v>5</v>
      </c>
      <c r="V101" s="40">
        <v>7</v>
      </c>
      <c r="W101" s="40">
        <v>8</v>
      </c>
      <c r="X101" s="40">
        <v>1</v>
      </c>
      <c r="Y101" s="41">
        <v>1</v>
      </c>
      <c r="Z101" s="40" t="s">
        <v>45</v>
      </c>
      <c r="AA101" s="40" t="s">
        <v>45</v>
      </c>
      <c r="AB101" s="40" t="s">
        <v>45</v>
      </c>
      <c r="AC101" s="40" t="s">
        <v>45</v>
      </c>
      <c r="AD101" s="40">
        <v>3</v>
      </c>
      <c r="AE101" s="40" t="s">
        <v>45</v>
      </c>
      <c r="AF101" s="40" t="s">
        <v>45</v>
      </c>
      <c r="AG101" s="41" t="s">
        <v>45</v>
      </c>
      <c r="AH101" s="40">
        <v>6</v>
      </c>
      <c r="AI101" s="40">
        <v>6</v>
      </c>
      <c r="AJ101" s="41">
        <v>4</v>
      </c>
      <c r="AK101" s="43" t="s">
        <v>497</v>
      </c>
      <c r="AL101" s="43" t="s">
        <v>103</v>
      </c>
      <c r="AM101" s="44">
        <f t="shared" si="10"/>
        <v>-1.8094525465566824</v>
      </c>
      <c r="AN101" s="44">
        <f t="shared" si="11"/>
        <v>-0.22740977539027288</v>
      </c>
      <c r="AO101" s="45">
        <f t="shared" si="12"/>
        <v>0</v>
      </c>
      <c r="AP101" s="46">
        <f t="shared" si="13"/>
        <v>0</v>
      </c>
      <c r="AQ101" s="44">
        <f>($AM$3*AM101+$AN$3*AN101+$AO$3*AO101+$AP$3*AP101)+$I$3*VLOOKUP(I101,COND!$A$2:$E$7,4,FALSE)+$J$3*VLOOKUP(J101,COND!$A$2:$C$7,2,FALSE)+$K$3*VLOOKUP(K101,COND!$A$2:$C$7,3,FALSE)+IF(AND($B$2&gt;0,$E101&lt;20),$B$2*25,0)</f>
        <v>47.390137440661057</v>
      </c>
      <c r="AR101" s="47">
        <f t="shared" si="16"/>
        <v>0.60892740951178426</v>
      </c>
      <c r="AS101" s="45" t="str">
        <f t="shared" si="14"/>
        <v>SS</v>
      </c>
      <c r="AT101" s="45">
        <v>900</v>
      </c>
      <c r="AU101" s="45">
        <v>97</v>
      </c>
      <c r="AV101" s="45">
        <v>97</v>
      </c>
      <c r="AW101" s="45" t="str">
        <f t="shared" si="15"/>
        <v>Unlikely</v>
      </c>
      <c r="AX101" s="45"/>
      <c r="AY101" s="63">
        <f>INDEX(Table5[[#All],[Ovr]],MATCH(Batters[[#This Row],[PID]],Table5[[#All],[PID]],0))</f>
        <v>343</v>
      </c>
      <c r="AZ101" s="63" t="str">
        <f>INDEX(Table5[[#All],[Rnd]],MATCH(Batters[[#This Row],[PID]],Table5[[#All],[PID]],0))</f>
        <v>11</v>
      </c>
      <c r="BA101" s="63">
        <f>INDEX(Table5[[#All],[Pick]],MATCH(Batters[[#This Row],[PID]],Table5[[#All],[PID]],0))</f>
        <v>12</v>
      </c>
      <c r="BB101" s="63" t="str">
        <f>INDEX(Table5[[#All],[Team]],MATCH(Batters[[#This Row],[PID]],Table5[[#All],[PID]],0))</f>
        <v>Manchester Maulers</v>
      </c>
    </row>
    <row r="102" spans="1:54" ht="15" customHeight="1" x14ac:dyDescent="0.3">
      <c r="A102" s="40">
        <v>13982</v>
      </c>
      <c r="B102" s="40" t="s">
        <v>50</v>
      </c>
      <c r="C102" s="40" t="s">
        <v>144</v>
      </c>
      <c r="D102" s="40" t="s">
        <v>556</v>
      </c>
      <c r="E102" s="40">
        <v>21</v>
      </c>
      <c r="F102" s="40" t="s">
        <v>62</v>
      </c>
      <c r="G102" s="40" t="s">
        <v>42</v>
      </c>
      <c r="H102" s="41" t="s">
        <v>550</v>
      </c>
      <c r="I102" s="64" t="s">
        <v>43</v>
      </c>
      <c r="J102" s="65" t="s">
        <v>47</v>
      </c>
      <c r="K102" s="66" t="s">
        <v>47</v>
      </c>
      <c r="L102" s="40">
        <v>3</v>
      </c>
      <c r="M102" s="40">
        <v>4</v>
      </c>
      <c r="N102" s="40">
        <v>2</v>
      </c>
      <c r="O102" s="40">
        <v>3</v>
      </c>
      <c r="P102" s="41">
        <v>6</v>
      </c>
      <c r="Q102" s="40">
        <v>5</v>
      </c>
      <c r="R102" s="40">
        <v>6</v>
      </c>
      <c r="S102" s="40">
        <v>3</v>
      </c>
      <c r="T102" s="40">
        <v>4</v>
      </c>
      <c r="U102" s="41">
        <v>7</v>
      </c>
      <c r="V102" s="40">
        <v>5</v>
      </c>
      <c r="W102" s="40">
        <v>8</v>
      </c>
      <c r="X102" s="40">
        <v>1</v>
      </c>
      <c r="Y102" s="41">
        <v>1</v>
      </c>
      <c r="Z102" s="40" t="s">
        <v>45</v>
      </c>
      <c r="AA102" s="40" t="s">
        <v>45</v>
      </c>
      <c r="AB102" s="40" t="s">
        <v>45</v>
      </c>
      <c r="AC102" s="40" t="s">
        <v>45</v>
      </c>
      <c r="AD102" s="40" t="s">
        <v>45</v>
      </c>
      <c r="AE102" s="40">
        <v>3</v>
      </c>
      <c r="AF102" s="40" t="s">
        <v>45</v>
      </c>
      <c r="AG102" s="41" t="s">
        <v>45</v>
      </c>
      <c r="AH102" s="40">
        <v>3</v>
      </c>
      <c r="AI102" s="40">
        <v>5</v>
      </c>
      <c r="AJ102" s="41">
        <v>4</v>
      </c>
      <c r="AK102" s="43" t="s">
        <v>557</v>
      </c>
      <c r="AL102" s="43" t="s">
        <v>103</v>
      </c>
      <c r="AM102" s="44">
        <f t="shared" si="10"/>
        <v>-0.8234897454376312</v>
      </c>
      <c r="AN102" s="44">
        <f t="shared" si="11"/>
        <v>0.13652907005569115</v>
      </c>
      <c r="AO102" s="45">
        <f t="shared" si="12"/>
        <v>0</v>
      </c>
      <c r="AP102" s="46">
        <f t="shared" si="13"/>
        <v>0</v>
      </c>
      <c r="AQ102" s="44">
        <f>($AM$3*AM102+$AN$3*AN102+$AO$3*AO102+$AP$3*AP102)+$I$3*VLOOKUP(I102,COND!$A$2:$E$7,4,FALSE)+$J$3*VLOOKUP(J102,COND!$A$2:$C$7,2,FALSE)+$K$3*VLOOKUP(K102,COND!$A$2:$C$7,3,FALSE)+IF(AND($B$2&gt;0,$E102&lt;20),$B$2*25,0)</f>
        <v>47.155999866124532</v>
      </c>
      <c r="AR102" s="47">
        <f t="shared" si="16"/>
        <v>0.57475079035931842</v>
      </c>
      <c r="AS102" s="45" t="str">
        <f t="shared" si="14"/>
        <v>LF</v>
      </c>
      <c r="AT102" s="45">
        <v>900</v>
      </c>
      <c r="AU102" s="45">
        <v>98</v>
      </c>
      <c r="AV102" s="45">
        <v>98</v>
      </c>
      <c r="AW102" s="45" t="str">
        <f t="shared" si="15"/>
        <v>Unlikely</v>
      </c>
      <c r="AX102" s="45"/>
      <c r="AY102" s="45">
        <f>INDEX(Table5[[#All],[Ovr]],MATCH(Batters[[#This Row],[PID]],Table5[[#All],[PID]],0))</f>
        <v>162</v>
      </c>
      <c r="AZ102" s="45" t="str">
        <f>INDEX(Table5[[#All],[Rnd]],MATCH(Batters[[#This Row],[PID]],Table5[[#All],[PID]],0))</f>
        <v>5</v>
      </c>
      <c r="BA102" s="45">
        <f>INDEX(Table5[[#All],[Pick]],MATCH(Batters[[#This Row],[PID]],Table5[[#All],[PID]],0))</f>
        <v>25</v>
      </c>
      <c r="BB102" s="45" t="str">
        <f>INDEX(Table5[[#All],[Team]],MATCH(Batters[[#This Row],[PID]],Table5[[#All],[PID]],0))</f>
        <v>London Underground</v>
      </c>
    </row>
    <row r="103" spans="1:54" ht="15" customHeight="1" x14ac:dyDescent="0.3">
      <c r="A103" s="40">
        <v>13273</v>
      </c>
      <c r="B103" s="40" t="s">
        <v>71</v>
      </c>
      <c r="C103" s="40" t="s">
        <v>1027</v>
      </c>
      <c r="D103" s="40" t="s">
        <v>1028</v>
      </c>
      <c r="E103" s="40">
        <v>17</v>
      </c>
      <c r="F103" s="40" t="s">
        <v>42</v>
      </c>
      <c r="G103" s="40" t="s">
        <v>42</v>
      </c>
      <c r="H103" s="41" t="s">
        <v>550</v>
      </c>
      <c r="I103" s="64" t="s">
        <v>43</v>
      </c>
      <c r="J103" s="65" t="s">
        <v>47</v>
      </c>
      <c r="K103" s="66" t="s">
        <v>43</v>
      </c>
      <c r="L103" s="40">
        <v>1</v>
      </c>
      <c r="M103" s="40">
        <v>5</v>
      </c>
      <c r="N103" s="40">
        <v>3</v>
      </c>
      <c r="O103" s="40">
        <v>3</v>
      </c>
      <c r="P103" s="41">
        <v>2</v>
      </c>
      <c r="Q103" s="40">
        <v>4</v>
      </c>
      <c r="R103" s="40">
        <v>6</v>
      </c>
      <c r="S103" s="40">
        <v>6</v>
      </c>
      <c r="T103" s="40">
        <v>5</v>
      </c>
      <c r="U103" s="41">
        <v>4</v>
      </c>
      <c r="V103" s="40">
        <v>3</v>
      </c>
      <c r="W103" s="40">
        <v>1</v>
      </c>
      <c r="X103" s="40">
        <v>1</v>
      </c>
      <c r="Y103" s="41">
        <v>1</v>
      </c>
      <c r="Z103" s="40" t="s">
        <v>45</v>
      </c>
      <c r="AA103" s="40" t="s">
        <v>45</v>
      </c>
      <c r="AB103" s="40">
        <v>3</v>
      </c>
      <c r="AC103" s="40" t="s">
        <v>45</v>
      </c>
      <c r="AD103" s="40" t="s">
        <v>45</v>
      </c>
      <c r="AE103" s="40" t="s">
        <v>45</v>
      </c>
      <c r="AF103" s="40" t="s">
        <v>45</v>
      </c>
      <c r="AG103" s="41" t="s">
        <v>45</v>
      </c>
      <c r="AH103" s="40">
        <v>6</v>
      </c>
      <c r="AI103" s="40">
        <v>7</v>
      </c>
      <c r="AJ103" s="41">
        <v>6</v>
      </c>
      <c r="AK103" s="43" t="s">
        <v>502</v>
      </c>
      <c r="AL103" s="43" t="s">
        <v>103</v>
      </c>
      <c r="AM103" s="44">
        <f t="shared" si="10"/>
        <v>-1.4945454034687093</v>
      </c>
      <c r="AN103" s="44">
        <f t="shared" si="11"/>
        <v>3.281824648305165E-2</v>
      </c>
      <c r="AO103" s="45">
        <f t="shared" si="12"/>
        <v>0</v>
      </c>
      <c r="AP103" s="46">
        <f t="shared" si="13"/>
        <v>0</v>
      </c>
      <c r="AQ103" s="44">
        <f>($AM$3*AM103+$AN$3*AN103+$AO$3*AO103+$AP$3*AP103)+$I$3*VLOOKUP(I103,COND!$A$2:$E$7,4,FALSE)+$J$3*VLOOKUP(J103,COND!$A$2:$C$7,2,FALSE)+$K$3*VLOOKUP(K103,COND!$A$2:$C$7,3,FALSE)+IF(AND($B$2&gt;0,$E103&lt;20),$B$2*25,0)</f>
        <v>50.544364417449749</v>
      </c>
      <c r="AR103" s="47">
        <f t="shared" si="16"/>
        <v>1.0693439587116806</v>
      </c>
      <c r="AS103" s="45" t="str">
        <f t="shared" si="14"/>
        <v>2B</v>
      </c>
      <c r="AT103" s="45">
        <v>900</v>
      </c>
      <c r="AU103" s="45">
        <v>99</v>
      </c>
      <c r="AV103" s="45">
        <v>99</v>
      </c>
      <c r="AW103" s="45" t="str">
        <f t="shared" si="15"/>
        <v>Unlikely</v>
      </c>
      <c r="AX103" s="45"/>
      <c r="AY103" s="45">
        <f>INDEX(Table5[[#All],[Ovr]],MATCH(Batters[[#This Row],[PID]],Table5[[#All],[PID]],0))</f>
        <v>114</v>
      </c>
      <c r="AZ103" s="45" t="str">
        <f>INDEX(Table5[[#All],[Rnd]],MATCH(Batters[[#This Row],[PID]],Table5[[#All],[PID]],0))</f>
        <v>4</v>
      </c>
      <c r="BA103" s="45">
        <f>INDEX(Table5[[#All],[Pick]],MATCH(Batters[[#This Row],[PID]],Table5[[#All],[PID]],0))</f>
        <v>9</v>
      </c>
      <c r="BB103" s="45" t="str">
        <f>INDEX(Table5[[#All],[Team]],MATCH(Batters[[#This Row],[PID]],Table5[[#All],[PID]],0))</f>
        <v>Tempe Knights</v>
      </c>
    </row>
    <row r="104" spans="1:54" ht="15" customHeight="1" x14ac:dyDescent="0.3">
      <c r="A104" s="40">
        <v>12332</v>
      </c>
      <c r="B104" s="40" t="s">
        <v>50</v>
      </c>
      <c r="C104" s="40" t="s">
        <v>169</v>
      </c>
      <c r="D104" s="40" t="s">
        <v>566</v>
      </c>
      <c r="E104" s="40">
        <v>17</v>
      </c>
      <c r="F104" s="40" t="s">
        <v>62</v>
      </c>
      <c r="G104" s="40" t="s">
        <v>53</v>
      </c>
      <c r="H104" s="41" t="s">
        <v>550</v>
      </c>
      <c r="I104" s="64" t="s">
        <v>43</v>
      </c>
      <c r="J104" s="65" t="s">
        <v>47</v>
      </c>
      <c r="K104" s="66" t="s">
        <v>43</v>
      </c>
      <c r="L104" s="40">
        <v>1</v>
      </c>
      <c r="M104" s="40">
        <v>2</v>
      </c>
      <c r="N104" s="40">
        <v>5</v>
      </c>
      <c r="O104" s="40">
        <v>4</v>
      </c>
      <c r="P104" s="41">
        <v>1</v>
      </c>
      <c r="Q104" s="40">
        <v>3</v>
      </c>
      <c r="R104" s="40">
        <v>3</v>
      </c>
      <c r="S104" s="40">
        <v>8</v>
      </c>
      <c r="T104" s="40">
        <v>7</v>
      </c>
      <c r="U104" s="41">
        <v>1</v>
      </c>
      <c r="V104" s="40">
        <v>2</v>
      </c>
      <c r="W104" s="40">
        <v>4</v>
      </c>
      <c r="X104" s="40">
        <v>1</v>
      </c>
      <c r="Y104" s="41">
        <v>1</v>
      </c>
      <c r="Z104" s="40" t="s">
        <v>45</v>
      </c>
      <c r="AA104" s="40">
        <v>2</v>
      </c>
      <c r="AB104" s="40" t="s">
        <v>45</v>
      </c>
      <c r="AC104" s="40" t="s">
        <v>45</v>
      </c>
      <c r="AD104" s="40" t="s">
        <v>45</v>
      </c>
      <c r="AE104" s="40">
        <v>1</v>
      </c>
      <c r="AF104" s="40" t="s">
        <v>45</v>
      </c>
      <c r="AG104" s="41">
        <v>1</v>
      </c>
      <c r="AH104" s="40">
        <v>1</v>
      </c>
      <c r="AI104" s="40">
        <v>4</v>
      </c>
      <c r="AJ104" s="41">
        <v>4</v>
      </c>
      <c r="AK104" s="43" t="s">
        <v>528</v>
      </c>
      <c r="AL104" s="43" t="s">
        <v>103</v>
      </c>
      <c r="AM104" s="44">
        <f t="shared" si="10"/>
        <v>-1.4319088440845191</v>
      </c>
      <c r="AN104" s="44">
        <f t="shared" si="11"/>
        <v>-0.21742415996001874</v>
      </c>
      <c r="AO104" s="45">
        <f t="shared" si="12"/>
        <v>0</v>
      </c>
      <c r="AP104" s="46">
        <f t="shared" si="13"/>
        <v>0</v>
      </c>
      <c r="AQ104" s="44">
        <f>($AM$3*AM104+$AN$3*AN104+$AO$3*AO104+$AP$3*AP104)+$I$3*VLOOKUP(I104,COND!$A$2:$E$7,4,FALSE)+$J$3*VLOOKUP(J104,COND!$A$2:$C$7,2,FALSE)+$K$3*VLOOKUP(K104,COND!$A$2:$C$7,3,FALSE)+IF(AND($B$2&gt;0,$E104&lt;20),$B$2*25,0)</f>
        <v>47.547719196071327</v>
      </c>
      <c r="AR104" s="47">
        <f t="shared" si="16"/>
        <v>0.63192932046390116</v>
      </c>
      <c r="AS104" s="45" t="str">
        <f t="shared" si="14"/>
        <v>LF</v>
      </c>
      <c r="AT104" s="45">
        <v>900</v>
      </c>
      <c r="AU104" s="45">
        <v>100</v>
      </c>
      <c r="AV104" s="45">
        <v>100</v>
      </c>
      <c r="AW104" s="45" t="str">
        <f t="shared" si="15"/>
        <v>Possible</v>
      </c>
      <c r="AX104" s="45"/>
      <c r="AY104" s="45">
        <f>INDEX(Table5[[#All],[Ovr]],MATCH(Batters[[#This Row],[PID]],Table5[[#All],[PID]],0))</f>
        <v>154</v>
      </c>
      <c r="AZ104" s="45" t="str">
        <f>INDEX(Table5[[#All],[Rnd]],MATCH(Batters[[#This Row],[PID]],Table5[[#All],[PID]],0))</f>
        <v>5</v>
      </c>
      <c r="BA104" s="45">
        <f>INDEX(Table5[[#All],[Pick]],MATCH(Batters[[#This Row],[PID]],Table5[[#All],[PID]],0))</f>
        <v>17</v>
      </c>
      <c r="BB104" s="45" t="str">
        <f>INDEX(Table5[[#All],[Team]],MATCH(Batters[[#This Row],[PID]],Table5[[#All],[PID]],0))</f>
        <v>Niihama-shi Ghosts</v>
      </c>
    </row>
    <row r="105" spans="1:54" ht="15" customHeight="1" x14ac:dyDescent="0.3">
      <c r="A105" s="40">
        <v>13171</v>
      </c>
      <c r="B105" s="40" t="s">
        <v>87</v>
      </c>
      <c r="C105" s="40" t="s">
        <v>888</v>
      </c>
      <c r="D105" s="40" t="s">
        <v>823</v>
      </c>
      <c r="E105" s="40">
        <v>17</v>
      </c>
      <c r="F105" s="40" t="s">
        <v>42</v>
      </c>
      <c r="G105" s="40" t="s">
        <v>42</v>
      </c>
      <c r="H105" s="41" t="s">
        <v>549</v>
      </c>
      <c r="I105" s="64" t="s">
        <v>44</v>
      </c>
      <c r="J105" s="65" t="s">
        <v>44</v>
      </c>
      <c r="K105" s="66" t="s">
        <v>47</v>
      </c>
      <c r="L105" s="40">
        <v>1</v>
      </c>
      <c r="M105" s="40">
        <v>5</v>
      </c>
      <c r="N105" s="40">
        <v>5</v>
      </c>
      <c r="O105" s="40">
        <v>4</v>
      </c>
      <c r="P105" s="41">
        <v>1</v>
      </c>
      <c r="Q105" s="40">
        <v>4</v>
      </c>
      <c r="R105" s="40">
        <v>7</v>
      </c>
      <c r="S105" s="40">
        <v>8</v>
      </c>
      <c r="T105" s="40">
        <v>7</v>
      </c>
      <c r="U105" s="41">
        <v>3</v>
      </c>
      <c r="V105" s="40">
        <v>6</v>
      </c>
      <c r="W105" s="40">
        <v>7</v>
      </c>
      <c r="X105" s="40">
        <v>1</v>
      </c>
      <c r="Y105" s="41">
        <v>1</v>
      </c>
      <c r="Z105" s="40" t="s">
        <v>45</v>
      </c>
      <c r="AA105" s="40">
        <v>4</v>
      </c>
      <c r="AB105" s="40" t="s">
        <v>45</v>
      </c>
      <c r="AC105" s="40" t="s">
        <v>45</v>
      </c>
      <c r="AD105" s="40" t="s">
        <v>45</v>
      </c>
      <c r="AE105" s="40" t="s">
        <v>45</v>
      </c>
      <c r="AF105" s="40" t="s">
        <v>45</v>
      </c>
      <c r="AG105" s="41" t="s">
        <v>45</v>
      </c>
      <c r="AH105" s="40">
        <v>3</v>
      </c>
      <c r="AI105" s="40">
        <v>3</v>
      </c>
      <c r="AJ105" s="41">
        <v>1</v>
      </c>
      <c r="AK105" s="43" t="s">
        <v>748</v>
      </c>
      <c r="AL105" s="43" t="s">
        <v>103</v>
      </c>
      <c r="AM105" s="44">
        <f t="shared" si="10"/>
        <v>-1.2787292052284089</v>
      </c>
      <c r="AN105" s="44">
        <f t="shared" si="11"/>
        <v>0.38940387435163687</v>
      </c>
      <c r="AO105" s="45">
        <f t="shared" si="12"/>
        <v>0</v>
      </c>
      <c r="AP105" s="46">
        <f t="shared" si="13"/>
        <v>0</v>
      </c>
      <c r="AQ105" s="44">
        <f>($AM$3*AM105+$AN$3*AN105+$AO$3*AO105+$AP$3*AP105)+$I$3*VLOOKUP(I105,COND!$A$2:$E$7,4,FALSE)+$J$3*VLOOKUP(J105,COND!$A$2:$C$7,2,FALSE)+$K$3*VLOOKUP(K105,COND!$A$2:$C$7,3,FALSE)+IF(AND($B$2&gt;0,$E105&lt;20),$B$2*25,0)</f>
        <v>54.394973571696795</v>
      </c>
      <c r="AR105" s="47">
        <f>STANDARDIZE(AQ105,AVERAGE($AQ$5:$AQ$459),STDEVP($AQ$5:$AQ$459))</f>
        <v>1.6302233447243721</v>
      </c>
      <c r="AS105" s="45" t="str">
        <f t="shared" si="14"/>
        <v>1B</v>
      </c>
      <c r="AT105" s="45">
        <v>930</v>
      </c>
      <c r="AU105" s="45">
        <v>101</v>
      </c>
      <c r="AV105" s="45">
        <v>101</v>
      </c>
      <c r="AW105" s="45" t="str">
        <f t="shared" si="15"/>
        <v>Possible</v>
      </c>
      <c r="AX105" s="45"/>
      <c r="AY105" s="63">
        <f>INDEX(Table5[[#All],[Ovr]],MATCH(Batters[[#This Row],[PID]],Table5[[#All],[PID]],0))</f>
        <v>51</v>
      </c>
      <c r="AZ105" s="63" t="str">
        <f>INDEX(Table5[[#All],[Rnd]],MATCH(Batters[[#This Row],[PID]],Table5[[#All],[PID]],0))</f>
        <v>2</v>
      </c>
      <c r="BA105" s="63">
        <f>INDEX(Table5[[#All],[Pick]],MATCH(Batters[[#This Row],[PID]],Table5[[#All],[PID]],0))</f>
        <v>15</v>
      </c>
      <c r="BB105" s="63" t="str">
        <f>INDEX(Table5[[#All],[Team]],MATCH(Batters[[#This Row],[PID]],Table5[[#All],[PID]],0))</f>
        <v>Scottish Claymores</v>
      </c>
    </row>
    <row r="106" spans="1:54" ht="15" customHeight="1" x14ac:dyDescent="0.3">
      <c r="A106" s="40">
        <v>20741</v>
      </c>
      <c r="B106" s="40" t="s">
        <v>71</v>
      </c>
      <c r="C106" s="40" t="s">
        <v>499</v>
      </c>
      <c r="D106" s="40" t="s">
        <v>604</v>
      </c>
      <c r="E106" s="40">
        <v>17</v>
      </c>
      <c r="F106" s="40" t="s">
        <v>42</v>
      </c>
      <c r="G106" s="40" t="s">
        <v>42</v>
      </c>
      <c r="H106" s="41" t="s">
        <v>550</v>
      </c>
      <c r="I106" s="64" t="s">
        <v>43</v>
      </c>
      <c r="J106" s="65" t="s">
        <v>44</v>
      </c>
      <c r="K106" s="66" t="s">
        <v>43</v>
      </c>
      <c r="L106" s="40">
        <v>1</v>
      </c>
      <c r="M106" s="40">
        <v>2</v>
      </c>
      <c r="N106" s="40">
        <v>2</v>
      </c>
      <c r="O106" s="40">
        <v>3</v>
      </c>
      <c r="P106" s="41">
        <v>1</v>
      </c>
      <c r="Q106" s="40">
        <v>5</v>
      </c>
      <c r="R106" s="40">
        <v>4</v>
      </c>
      <c r="S106" s="40">
        <v>3</v>
      </c>
      <c r="T106" s="40">
        <v>6</v>
      </c>
      <c r="U106" s="41">
        <v>5</v>
      </c>
      <c r="V106" s="40">
        <v>3</v>
      </c>
      <c r="W106" s="40">
        <v>1</v>
      </c>
      <c r="X106" s="40">
        <v>1</v>
      </c>
      <c r="Y106" s="41">
        <v>1</v>
      </c>
      <c r="Z106" s="40" t="s">
        <v>45</v>
      </c>
      <c r="AA106" s="40" t="s">
        <v>45</v>
      </c>
      <c r="AB106" s="40">
        <v>1</v>
      </c>
      <c r="AC106" s="40" t="s">
        <v>45</v>
      </c>
      <c r="AD106" s="40" t="s">
        <v>45</v>
      </c>
      <c r="AE106" s="40" t="s">
        <v>45</v>
      </c>
      <c r="AF106" s="40" t="s">
        <v>45</v>
      </c>
      <c r="AG106" s="41" t="s">
        <v>45</v>
      </c>
      <c r="AH106" s="40">
        <v>4</v>
      </c>
      <c r="AI106" s="40">
        <v>1</v>
      </c>
      <c r="AJ106" s="41">
        <v>1</v>
      </c>
      <c r="AK106" s="43" t="s">
        <v>568</v>
      </c>
      <c r="AL106" s="43" t="s">
        <v>103</v>
      </c>
      <c r="AM106" s="44">
        <f t="shared" si="10"/>
        <v>-1.7708028761658048</v>
      </c>
      <c r="AN106" s="44">
        <f t="shared" si="11"/>
        <v>0.13379573120327934</v>
      </c>
      <c r="AO106" s="45">
        <f t="shared" si="12"/>
        <v>0</v>
      </c>
      <c r="AP106" s="46">
        <f t="shared" si="13"/>
        <v>0</v>
      </c>
      <c r="AQ106" s="44">
        <f>($AM$3*AM106+$AN$3*AN106+$AO$3*AO106+$AP$3*AP106)+$I$3*VLOOKUP(I106,COND!$A$2:$E$7,4,FALSE)+$J$3*VLOOKUP(J106,COND!$A$2:$C$7,2,FALSE)+$K$3*VLOOKUP(K106,COND!$A$2:$C$7,3,FALSE)+IF(AND($B$2&gt;0,$E106&lt;20),$B$2*25,0)</f>
        <v>51.128468486822769</v>
      </c>
      <c r="AR106" s="47">
        <f t="shared" ref="AR106:AR137" si="17">STANDARDIZE(AQ106,AVERAGE($AQ$5:$AQ$442),STDEVP($AQ$5:$AQ$442))</f>
        <v>1.1546045255552693</v>
      </c>
      <c r="AS106" s="45" t="str">
        <f t="shared" si="14"/>
        <v>2B</v>
      </c>
      <c r="AT106" s="45">
        <v>930</v>
      </c>
      <c r="AU106" s="45">
        <v>102</v>
      </c>
      <c r="AV106" s="45">
        <v>102</v>
      </c>
      <c r="AW106" s="45" t="str">
        <f t="shared" si="15"/>
        <v>Unlikely</v>
      </c>
      <c r="AX106" s="45"/>
      <c r="AY106" s="45">
        <f>INDEX(Table5[[#All],[Ovr]],MATCH(Batters[[#This Row],[PID]],Table5[[#All],[PID]],0))</f>
        <v>342</v>
      </c>
      <c r="AZ106" s="45" t="str">
        <f>INDEX(Table5[[#All],[Rnd]],MATCH(Batters[[#This Row],[PID]],Table5[[#All],[PID]],0))</f>
        <v>11</v>
      </c>
      <c r="BA106" s="45">
        <f>INDEX(Table5[[#All],[Pick]],MATCH(Batters[[#This Row],[PID]],Table5[[#All],[PID]],0))</f>
        <v>11</v>
      </c>
      <c r="BB106" s="45" t="str">
        <f>INDEX(Table5[[#All],[Team]],MATCH(Batters[[#This Row],[PID]],Table5[[#All],[PID]],0))</f>
        <v>Arlington Bureaucrats</v>
      </c>
    </row>
    <row r="107" spans="1:54" ht="15" customHeight="1" x14ac:dyDescent="0.3">
      <c r="A107" s="40">
        <v>20721</v>
      </c>
      <c r="B107" s="40" t="s">
        <v>66</v>
      </c>
      <c r="C107" s="40" t="s">
        <v>599</v>
      </c>
      <c r="D107" s="40" t="s">
        <v>1038</v>
      </c>
      <c r="E107" s="40">
        <v>17</v>
      </c>
      <c r="F107" s="40" t="s">
        <v>42</v>
      </c>
      <c r="G107" s="40" t="s">
        <v>42</v>
      </c>
      <c r="H107" s="41" t="s">
        <v>550</v>
      </c>
      <c r="I107" s="64" t="s">
        <v>43</v>
      </c>
      <c r="J107" s="65" t="s">
        <v>44</v>
      </c>
      <c r="K107" s="66" t="s">
        <v>43</v>
      </c>
      <c r="L107" s="40">
        <v>1</v>
      </c>
      <c r="M107" s="40">
        <v>4</v>
      </c>
      <c r="N107" s="40">
        <v>3</v>
      </c>
      <c r="O107" s="40">
        <v>2</v>
      </c>
      <c r="P107" s="41">
        <v>2</v>
      </c>
      <c r="Q107" s="40">
        <v>4</v>
      </c>
      <c r="R107" s="40">
        <v>8</v>
      </c>
      <c r="S107" s="40">
        <v>4</v>
      </c>
      <c r="T107" s="40">
        <v>5</v>
      </c>
      <c r="U107" s="41">
        <v>5</v>
      </c>
      <c r="V107" s="40">
        <v>4</v>
      </c>
      <c r="W107" s="40">
        <v>6</v>
      </c>
      <c r="X107" s="40">
        <v>1</v>
      </c>
      <c r="Y107" s="41">
        <v>1</v>
      </c>
      <c r="Z107" s="40" t="s">
        <v>45</v>
      </c>
      <c r="AA107" s="40" t="s">
        <v>45</v>
      </c>
      <c r="AB107" s="40" t="s">
        <v>45</v>
      </c>
      <c r="AC107" s="40" t="s">
        <v>45</v>
      </c>
      <c r="AD107" s="40" t="s">
        <v>45</v>
      </c>
      <c r="AE107" s="40" t="s">
        <v>45</v>
      </c>
      <c r="AF107" s="40" t="s">
        <v>45</v>
      </c>
      <c r="AG107" s="41">
        <v>3</v>
      </c>
      <c r="AH107" s="40">
        <v>9</v>
      </c>
      <c r="AI107" s="40">
        <v>3</v>
      </c>
      <c r="AJ107" s="41">
        <v>4</v>
      </c>
      <c r="AK107" s="43" t="s">
        <v>498</v>
      </c>
      <c r="AL107" s="43" t="s">
        <v>103</v>
      </c>
      <c r="AM107" s="44">
        <f t="shared" si="10"/>
        <v>-1.635314833096994</v>
      </c>
      <c r="AN107" s="44">
        <f t="shared" si="11"/>
        <v>8.8313574897391084E-3</v>
      </c>
      <c r="AO107" s="45">
        <f t="shared" si="12"/>
        <v>1</v>
      </c>
      <c r="AP107" s="46">
        <f t="shared" si="13"/>
        <v>0</v>
      </c>
      <c r="AQ107" s="44">
        <f>($AM$3*AM107+$AN$3*AN107+$AO$3*AO107+$AP$3*AP107)+$I$3*VLOOKUP(I107,COND!$A$2:$E$7,4,FALSE)+$J$3*VLOOKUP(J107,COND!$A$2:$C$7,2,FALSE)+$K$3*VLOOKUP(K107,COND!$A$2:$C$7,3,FALSE)+IF(AND($B$2&gt;0,$E107&lt;20),$B$2*25,0)</f>
        <v>49.809111473233834</v>
      </c>
      <c r="AR107" s="47">
        <f t="shared" si="17"/>
        <v>0.96202047633198062</v>
      </c>
      <c r="AS107" s="45" t="str">
        <f t="shared" si="14"/>
        <v>RF</v>
      </c>
      <c r="AT107" s="45">
        <v>930</v>
      </c>
      <c r="AU107" s="45">
        <v>103</v>
      </c>
      <c r="AV107" s="45">
        <v>103</v>
      </c>
      <c r="AW107" s="45" t="str">
        <f t="shared" si="15"/>
        <v>Unlikely</v>
      </c>
      <c r="AX107" s="45"/>
      <c r="AY107" s="45">
        <f>INDEX(Table5[[#All],[Ovr]],MATCH(Batters[[#This Row],[PID]],Table5[[#All],[PID]],0))</f>
        <v>186</v>
      </c>
      <c r="AZ107" s="45" t="str">
        <f>INDEX(Table5[[#All],[Rnd]],MATCH(Batters[[#This Row],[PID]],Table5[[#All],[PID]],0))</f>
        <v>6</v>
      </c>
      <c r="BA107" s="45">
        <f>INDEX(Table5[[#All],[Pick]],MATCH(Batters[[#This Row],[PID]],Table5[[#All],[PID]],0))</f>
        <v>17</v>
      </c>
      <c r="BB107" s="45" t="str">
        <f>INDEX(Table5[[#All],[Team]],MATCH(Batters[[#This Row],[PID]],Table5[[#All],[PID]],0))</f>
        <v>Duluth Warriors</v>
      </c>
    </row>
    <row r="108" spans="1:54" ht="15" customHeight="1" x14ac:dyDescent="0.3">
      <c r="A108" s="40">
        <v>21021</v>
      </c>
      <c r="B108" s="40" t="s">
        <v>66</v>
      </c>
      <c r="C108" s="40" t="s">
        <v>1103</v>
      </c>
      <c r="D108" s="40" t="s">
        <v>1104</v>
      </c>
      <c r="E108" s="40">
        <v>18</v>
      </c>
      <c r="F108" s="40" t="s">
        <v>42</v>
      </c>
      <c r="G108" s="40" t="s">
        <v>42</v>
      </c>
      <c r="H108" s="41" t="s">
        <v>550</v>
      </c>
      <c r="I108" s="64" t="s">
        <v>44</v>
      </c>
      <c r="J108" s="65" t="s">
        <v>44</v>
      </c>
      <c r="K108" s="66" t="s">
        <v>43</v>
      </c>
      <c r="L108" s="40">
        <v>1</v>
      </c>
      <c r="M108" s="40">
        <v>3</v>
      </c>
      <c r="N108" s="40">
        <v>3</v>
      </c>
      <c r="O108" s="40">
        <v>3</v>
      </c>
      <c r="P108" s="41">
        <v>1</v>
      </c>
      <c r="Q108" s="40">
        <v>4</v>
      </c>
      <c r="R108" s="40">
        <v>4</v>
      </c>
      <c r="S108" s="40">
        <v>6</v>
      </c>
      <c r="T108" s="40">
        <v>6</v>
      </c>
      <c r="U108" s="41">
        <v>3</v>
      </c>
      <c r="V108" s="40">
        <v>6</v>
      </c>
      <c r="W108" s="40">
        <v>9</v>
      </c>
      <c r="X108" s="40">
        <v>1</v>
      </c>
      <c r="Y108" s="41">
        <v>1</v>
      </c>
      <c r="Z108" s="40" t="s">
        <v>45</v>
      </c>
      <c r="AA108" s="40" t="s">
        <v>45</v>
      </c>
      <c r="AB108" s="40" t="s">
        <v>45</v>
      </c>
      <c r="AC108" s="40" t="s">
        <v>45</v>
      </c>
      <c r="AD108" s="40" t="s">
        <v>45</v>
      </c>
      <c r="AE108" s="40" t="s">
        <v>45</v>
      </c>
      <c r="AF108" s="40" t="s">
        <v>45</v>
      </c>
      <c r="AG108" s="41">
        <v>2</v>
      </c>
      <c r="AH108" s="40">
        <v>4</v>
      </c>
      <c r="AI108" s="40">
        <v>1</v>
      </c>
      <c r="AJ108" s="41">
        <v>3</v>
      </c>
      <c r="AK108" s="43" t="s">
        <v>557</v>
      </c>
      <c r="AL108" s="43" t="s">
        <v>103</v>
      </c>
      <c r="AM108" s="44">
        <f t="shared" si="10"/>
        <v>-1.6366815025231998</v>
      </c>
      <c r="AN108" s="44">
        <f t="shared" si="11"/>
        <v>-1.9608302561857787E-2</v>
      </c>
      <c r="AO108" s="45">
        <f t="shared" si="12"/>
        <v>0</v>
      </c>
      <c r="AP108" s="46">
        <f t="shared" si="13"/>
        <v>0</v>
      </c>
      <c r="AQ108" s="44">
        <f>($AM$3*AM108+$AN$3*AN108+$AO$3*AO108+$AP$3*AP108)+$I$3*VLOOKUP(I108,COND!$A$2:$E$7,4,FALSE)+$J$3*VLOOKUP(J108,COND!$A$2:$C$7,2,FALSE)+$K$3*VLOOKUP(K108,COND!$A$2:$C$7,3,FALSE)+IF(AND($B$2&gt;0,$E108&lt;20),$B$2*25,0)</f>
        <v>49.151032219005387</v>
      </c>
      <c r="AR108" s="47">
        <f t="shared" si="17"/>
        <v>0.86596189159424675</v>
      </c>
      <c r="AS108" s="45" t="str">
        <f t="shared" si="14"/>
        <v>RF</v>
      </c>
      <c r="AT108" s="45">
        <v>930</v>
      </c>
      <c r="AU108" s="45">
        <v>104</v>
      </c>
      <c r="AV108" s="45">
        <v>104</v>
      </c>
      <c r="AW108" s="45" t="str">
        <f t="shared" si="15"/>
        <v>Possible</v>
      </c>
      <c r="AX108" s="45"/>
      <c r="AY108" s="45">
        <f>INDEX(Table5[[#All],[Ovr]],MATCH(Batters[[#This Row],[PID]],Table5[[#All],[PID]],0))</f>
        <v>155</v>
      </c>
      <c r="AZ108" s="45" t="str">
        <f>INDEX(Table5[[#All],[Rnd]],MATCH(Batters[[#This Row],[PID]],Table5[[#All],[PID]],0))</f>
        <v>5</v>
      </c>
      <c r="BA108" s="45">
        <f>INDEX(Table5[[#All],[Pick]],MATCH(Batters[[#This Row],[PID]],Table5[[#All],[PID]],0))</f>
        <v>18</v>
      </c>
      <c r="BB108" s="45" t="str">
        <f>INDEX(Table5[[#All],[Team]],MATCH(Batters[[#This Row],[PID]],Table5[[#All],[PID]],0))</f>
        <v>San Juan Coqui</v>
      </c>
    </row>
    <row r="109" spans="1:54" ht="15" customHeight="1" x14ac:dyDescent="0.3">
      <c r="A109" s="40">
        <v>20868</v>
      </c>
      <c r="B109" s="40" t="s">
        <v>72</v>
      </c>
      <c r="C109" s="40" t="s">
        <v>1218</v>
      </c>
      <c r="D109" s="40" t="s">
        <v>834</v>
      </c>
      <c r="E109" s="40">
        <v>17</v>
      </c>
      <c r="F109" s="40" t="s">
        <v>42</v>
      </c>
      <c r="G109" s="40" t="s">
        <v>42</v>
      </c>
      <c r="H109" s="41" t="s">
        <v>552</v>
      </c>
      <c r="I109" s="64" t="s">
        <v>43</v>
      </c>
      <c r="J109" s="65" t="s">
        <v>44</v>
      </c>
      <c r="K109" s="66" t="s">
        <v>47</v>
      </c>
      <c r="L109" s="40">
        <v>1</v>
      </c>
      <c r="M109" s="40">
        <v>2</v>
      </c>
      <c r="N109" s="40">
        <v>2</v>
      </c>
      <c r="O109" s="40">
        <v>3</v>
      </c>
      <c r="P109" s="41">
        <v>1</v>
      </c>
      <c r="Q109" s="40">
        <v>4</v>
      </c>
      <c r="R109" s="40">
        <v>4</v>
      </c>
      <c r="S109" s="40">
        <v>3</v>
      </c>
      <c r="T109" s="40">
        <v>7</v>
      </c>
      <c r="U109" s="41">
        <v>4</v>
      </c>
      <c r="V109" s="40">
        <v>7</v>
      </c>
      <c r="W109" s="40">
        <v>7</v>
      </c>
      <c r="X109" s="40">
        <v>1</v>
      </c>
      <c r="Y109" s="41">
        <v>1</v>
      </c>
      <c r="Z109" s="40" t="s">
        <v>45</v>
      </c>
      <c r="AA109" s="40" t="s">
        <v>45</v>
      </c>
      <c r="AB109" s="40" t="s">
        <v>45</v>
      </c>
      <c r="AC109" s="40">
        <v>1</v>
      </c>
      <c r="AD109" s="40">
        <v>1</v>
      </c>
      <c r="AE109" s="40" t="s">
        <v>45</v>
      </c>
      <c r="AF109" s="40" t="s">
        <v>45</v>
      </c>
      <c r="AG109" s="41" t="s">
        <v>45</v>
      </c>
      <c r="AH109" s="40">
        <v>3</v>
      </c>
      <c r="AI109" s="40">
        <v>6</v>
      </c>
      <c r="AJ109" s="41">
        <v>3</v>
      </c>
      <c r="AK109" s="43" t="s">
        <v>558</v>
      </c>
      <c r="AL109" s="43" t="s">
        <v>103</v>
      </c>
      <c r="AM109" s="44">
        <f t="shared" si="10"/>
        <v>-1.7708028761658048</v>
      </c>
      <c r="AN109" s="44">
        <f t="shared" si="11"/>
        <v>-0.13906689480689777</v>
      </c>
      <c r="AO109" s="45">
        <f t="shared" si="12"/>
        <v>0</v>
      </c>
      <c r="AP109" s="46">
        <f t="shared" si="13"/>
        <v>0</v>
      </c>
      <c r="AQ109" s="44">
        <f>($AM$3*AM109+$AN$3*AN109+$AO$3*AO109+$AP$3*AP109)+$I$3*VLOOKUP(I109,COND!$A$2:$E$7,4,FALSE)+$J$3*VLOOKUP(J109,COND!$A$2:$C$7,2,FALSE)+$K$3*VLOOKUP(K109,COND!$A$2:$C$7,3,FALSE)+IF(AND($B$2&gt;0,$E109&lt;20),$B$2*25,0)</f>
        <v>48.154116974700642</v>
      </c>
      <c r="AR109" s="47">
        <f t="shared" si="17"/>
        <v>0.72044405790465438</v>
      </c>
      <c r="AS109" s="45" t="str">
        <f t="shared" si="14"/>
        <v>SS</v>
      </c>
      <c r="AT109" s="45">
        <v>930</v>
      </c>
      <c r="AU109" s="45">
        <v>105</v>
      </c>
      <c r="AV109" s="45">
        <v>105</v>
      </c>
      <c r="AW109" s="45" t="str">
        <f t="shared" si="15"/>
        <v>Unlikely</v>
      </c>
      <c r="AX109" s="45"/>
      <c r="AY109" s="45">
        <f>INDEX(Table5[[#All],[Ovr]],MATCH(Batters[[#This Row],[PID]],Table5[[#All],[PID]],0))</f>
        <v>225</v>
      </c>
      <c r="AZ109" s="45" t="str">
        <f>INDEX(Table5[[#All],[Rnd]],MATCH(Batters[[#This Row],[PID]],Table5[[#All],[PID]],0))</f>
        <v>7</v>
      </c>
      <c r="BA109" s="45">
        <f>INDEX(Table5[[#All],[Pick]],MATCH(Batters[[#This Row],[PID]],Table5[[#All],[PID]],0))</f>
        <v>24</v>
      </c>
      <c r="BB109" s="45" t="str">
        <f>INDEX(Table5[[#All],[Team]],MATCH(Batters[[#This Row],[PID]],Table5[[#All],[PID]],0))</f>
        <v>Reno Zephyrs</v>
      </c>
    </row>
    <row r="110" spans="1:54" ht="15" customHeight="1" x14ac:dyDescent="0.3">
      <c r="A110" s="40">
        <v>20671</v>
      </c>
      <c r="B110" s="40" t="s">
        <v>50</v>
      </c>
      <c r="C110" s="40" t="s">
        <v>1068</v>
      </c>
      <c r="D110" s="40" t="s">
        <v>602</v>
      </c>
      <c r="E110" s="40">
        <v>17</v>
      </c>
      <c r="F110" s="40" t="s">
        <v>42</v>
      </c>
      <c r="G110" s="40" t="s">
        <v>42</v>
      </c>
      <c r="H110" s="41" t="s">
        <v>550</v>
      </c>
      <c r="I110" s="64" t="s">
        <v>43</v>
      </c>
      <c r="J110" s="65" t="s">
        <v>47</v>
      </c>
      <c r="K110" s="66" t="s">
        <v>43</v>
      </c>
      <c r="L110" s="40">
        <v>2</v>
      </c>
      <c r="M110" s="40">
        <v>3</v>
      </c>
      <c r="N110" s="40">
        <v>4</v>
      </c>
      <c r="O110" s="40">
        <v>4</v>
      </c>
      <c r="P110" s="41">
        <v>1</v>
      </c>
      <c r="Q110" s="40">
        <v>4</v>
      </c>
      <c r="R110" s="40">
        <v>5</v>
      </c>
      <c r="S110" s="40">
        <v>6</v>
      </c>
      <c r="T110" s="40">
        <v>6</v>
      </c>
      <c r="U110" s="41">
        <v>3</v>
      </c>
      <c r="V110" s="40">
        <v>3</v>
      </c>
      <c r="W110" s="40">
        <v>6</v>
      </c>
      <c r="X110" s="40">
        <v>1</v>
      </c>
      <c r="Y110" s="41">
        <v>1</v>
      </c>
      <c r="Z110" s="40" t="s">
        <v>45</v>
      </c>
      <c r="AA110" s="40">
        <v>2</v>
      </c>
      <c r="AB110" s="40" t="s">
        <v>45</v>
      </c>
      <c r="AC110" s="40" t="s">
        <v>45</v>
      </c>
      <c r="AD110" s="40" t="s">
        <v>45</v>
      </c>
      <c r="AE110" s="40">
        <v>3</v>
      </c>
      <c r="AF110" s="40" t="s">
        <v>45</v>
      </c>
      <c r="AG110" s="41" t="s">
        <v>45</v>
      </c>
      <c r="AH110" s="40">
        <v>9</v>
      </c>
      <c r="AI110" s="40">
        <v>7</v>
      </c>
      <c r="AJ110" s="41">
        <v>7</v>
      </c>
      <c r="AK110" s="43" t="s">
        <v>495</v>
      </c>
      <c r="AL110" s="43" t="s">
        <v>103</v>
      </c>
      <c r="AM110" s="44">
        <f t="shared" si="10"/>
        <v>-1.1413546222870428</v>
      </c>
      <c r="AN110" s="44">
        <f t="shared" si="11"/>
        <v>3.1451577056845731E-2</v>
      </c>
      <c r="AO110" s="45">
        <f t="shared" si="12"/>
        <v>3</v>
      </c>
      <c r="AP110" s="46">
        <f t="shared" si="13"/>
        <v>0</v>
      </c>
      <c r="AQ110" s="44">
        <f>($AM$3*AM110+$AN$3*AN110+$AO$3*AO110+$AP$3*AP110)+$I$3*VLOOKUP(I110,COND!$A$2:$E$7,4,FALSE)+$J$3*VLOOKUP(J110,COND!$A$2:$C$7,2,FALSE)+$K$3*VLOOKUP(K110,COND!$A$2:$C$7,3,FALSE)+IF(AND($B$2&gt;0,$E110&lt;20),$B$2*25,0)</f>
        <v>51.063283462453441</v>
      </c>
      <c r="AR110" s="47">
        <f t="shared" si="17"/>
        <v>1.145089590770775</v>
      </c>
      <c r="AS110" s="45" t="str">
        <f t="shared" si="14"/>
        <v>LF</v>
      </c>
      <c r="AT110" s="45">
        <v>900</v>
      </c>
      <c r="AU110" s="45">
        <v>106</v>
      </c>
      <c r="AV110" s="45"/>
      <c r="AW110" s="45" t="str">
        <f t="shared" si="15"/>
        <v>Possible</v>
      </c>
      <c r="AX110" s="45"/>
      <c r="AY110" s="45">
        <f>INDEX(Table5[[#All],[Ovr]],MATCH(Batters[[#This Row],[PID]],Table5[[#All],[PID]],0))</f>
        <v>44</v>
      </c>
      <c r="AZ110" s="45" t="str">
        <f>INDEX(Table5[[#All],[Rnd]],MATCH(Batters[[#This Row],[PID]],Table5[[#All],[PID]],0))</f>
        <v>2</v>
      </c>
      <c r="BA110" s="45">
        <f>INDEX(Table5[[#All],[Pick]],MATCH(Batters[[#This Row],[PID]],Table5[[#All],[PID]],0))</f>
        <v>8</v>
      </c>
      <c r="BB110" s="45" t="str">
        <f>INDEX(Table5[[#All],[Team]],MATCH(Batters[[#This Row],[PID]],Table5[[#All],[PID]],0))</f>
        <v>Gloucester Fishermen</v>
      </c>
    </row>
    <row r="111" spans="1:54" ht="15" customHeight="1" x14ac:dyDescent="0.3">
      <c r="A111" s="40">
        <v>20894</v>
      </c>
      <c r="B111" s="40" t="s">
        <v>50</v>
      </c>
      <c r="C111" s="40" t="s">
        <v>865</v>
      </c>
      <c r="D111" s="40" t="s">
        <v>1187</v>
      </c>
      <c r="E111" s="40">
        <v>17</v>
      </c>
      <c r="F111" s="40" t="s">
        <v>42</v>
      </c>
      <c r="G111" s="40" t="s">
        <v>42</v>
      </c>
      <c r="H111" s="41" t="s">
        <v>552</v>
      </c>
      <c r="I111" s="64" t="s">
        <v>47</v>
      </c>
      <c r="J111" s="65" t="s">
        <v>47</v>
      </c>
      <c r="K111" s="66" t="s">
        <v>43</v>
      </c>
      <c r="L111" s="40">
        <v>1</v>
      </c>
      <c r="M111" s="40">
        <v>3</v>
      </c>
      <c r="N111" s="40">
        <v>3</v>
      </c>
      <c r="O111" s="40">
        <v>3</v>
      </c>
      <c r="P111" s="41">
        <v>1</v>
      </c>
      <c r="Q111" s="40">
        <v>4</v>
      </c>
      <c r="R111" s="40">
        <v>6</v>
      </c>
      <c r="S111" s="40">
        <v>6</v>
      </c>
      <c r="T111" s="40">
        <v>5</v>
      </c>
      <c r="U111" s="41">
        <v>4</v>
      </c>
      <c r="V111" s="40">
        <v>7</v>
      </c>
      <c r="W111" s="40">
        <v>9</v>
      </c>
      <c r="X111" s="40">
        <v>1</v>
      </c>
      <c r="Y111" s="41">
        <v>1</v>
      </c>
      <c r="Z111" s="40" t="s">
        <v>45</v>
      </c>
      <c r="AA111" s="40" t="s">
        <v>45</v>
      </c>
      <c r="AB111" s="40" t="s">
        <v>45</v>
      </c>
      <c r="AC111" s="40" t="s">
        <v>45</v>
      </c>
      <c r="AD111" s="40" t="s">
        <v>45</v>
      </c>
      <c r="AE111" s="40">
        <v>1</v>
      </c>
      <c r="AF111" s="40" t="s">
        <v>45</v>
      </c>
      <c r="AG111" s="41" t="s">
        <v>45</v>
      </c>
      <c r="AH111" s="40">
        <v>1</v>
      </c>
      <c r="AI111" s="40">
        <v>1</v>
      </c>
      <c r="AJ111" s="41">
        <v>1</v>
      </c>
      <c r="AK111" s="43" t="s">
        <v>498</v>
      </c>
      <c r="AL111" s="43" t="s">
        <v>103</v>
      </c>
      <c r="AM111" s="44">
        <f t="shared" si="10"/>
        <v>-1.6366815025231998</v>
      </c>
      <c r="AN111" s="44">
        <f t="shared" si="11"/>
        <v>3.281824648305165E-2</v>
      </c>
      <c r="AO111" s="45">
        <f t="shared" si="12"/>
        <v>0</v>
      </c>
      <c r="AP111" s="46">
        <f t="shared" si="13"/>
        <v>0</v>
      </c>
      <c r="AQ111" s="44">
        <f>($AM$3*AM111+$AN$3*AN111+$AO$3*AO111+$AP$3*AP111)+$I$3*VLOOKUP(I111,COND!$A$2:$E$7,4,FALSE)+$J$3*VLOOKUP(J111,COND!$A$2:$C$7,2,FALSE)+$K$3*VLOOKUP(K111,COND!$A$2:$C$7,3,FALSE)+IF(AND($B$2&gt;0,$E111&lt;20),$B$2*25,0)</f>
        <v>50.755150807544297</v>
      </c>
      <c r="AR111" s="47">
        <f t="shared" si="17"/>
        <v>1.1001120496131289</v>
      </c>
      <c r="AS111" s="45" t="str">
        <f t="shared" si="14"/>
        <v>LF</v>
      </c>
      <c r="AT111" s="45">
        <v>900</v>
      </c>
      <c r="AU111" s="45">
        <v>107</v>
      </c>
      <c r="AV111" s="45"/>
      <c r="AW111" s="45" t="str">
        <f t="shared" si="15"/>
        <v>Unlikely</v>
      </c>
      <c r="AX111" s="45"/>
      <c r="AY111" s="63">
        <f>INDEX(Table5[[#All],[Ovr]],MATCH(Batters[[#This Row],[PID]],Table5[[#All],[PID]],0))</f>
        <v>272</v>
      </c>
      <c r="AZ111" s="63" t="str">
        <f>INDEX(Table5[[#All],[Rnd]],MATCH(Batters[[#This Row],[PID]],Table5[[#All],[PID]],0))</f>
        <v>9</v>
      </c>
      <c r="BA111" s="63">
        <f>INDEX(Table5[[#All],[Pick]],MATCH(Batters[[#This Row],[PID]],Table5[[#All],[PID]],0))</f>
        <v>7</v>
      </c>
      <c r="BB111" s="63" t="str">
        <f>INDEX(Table5[[#All],[Team]],MATCH(Batters[[#This Row],[PID]],Table5[[#All],[PID]],0))</f>
        <v>Hartford Harpoon</v>
      </c>
    </row>
    <row r="112" spans="1:54" ht="15" customHeight="1" x14ac:dyDescent="0.3">
      <c r="A112" s="40">
        <v>12502</v>
      </c>
      <c r="B112" s="40" t="s">
        <v>50</v>
      </c>
      <c r="C112" s="40" t="s">
        <v>691</v>
      </c>
      <c r="D112" s="40" t="s">
        <v>1181</v>
      </c>
      <c r="E112" s="40">
        <v>17</v>
      </c>
      <c r="F112" s="40" t="s">
        <v>53</v>
      </c>
      <c r="G112" s="40" t="s">
        <v>53</v>
      </c>
      <c r="H112" s="41" t="s">
        <v>552</v>
      </c>
      <c r="I112" s="64" t="s">
        <v>44</v>
      </c>
      <c r="J112" s="65" t="s">
        <v>43</v>
      </c>
      <c r="K112" s="66" t="s">
        <v>43</v>
      </c>
      <c r="L112" s="40">
        <v>2</v>
      </c>
      <c r="M112" s="40">
        <v>4</v>
      </c>
      <c r="N112" s="40">
        <v>3</v>
      </c>
      <c r="O112" s="40">
        <v>2</v>
      </c>
      <c r="P112" s="41">
        <v>4</v>
      </c>
      <c r="Q112" s="40">
        <v>5</v>
      </c>
      <c r="R112" s="40">
        <v>5</v>
      </c>
      <c r="S112" s="40">
        <v>4</v>
      </c>
      <c r="T112" s="40">
        <v>4</v>
      </c>
      <c r="U112" s="41">
        <v>6</v>
      </c>
      <c r="V112" s="40">
        <v>4</v>
      </c>
      <c r="W112" s="40">
        <v>7</v>
      </c>
      <c r="X112" s="40">
        <v>1</v>
      </c>
      <c r="Y112" s="41">
        <v>1</v>
      </c>
      <c r="Z112" s="40" t="s">
        <v>45</v>
      </c>
      <c r="AA112" s="40" t="s">
        <v>45</v>
      </c>
      <c r="AB112" s="40" t="s">
        <v>45</v>
      </c>
      <c r="AC112" s="40" t="s">
        <v>45</v>
      </c>
      <c r="AD112" s="40" t="s">
        <v>45</v>
      </c>
      <c r="AE112" s="40">
        <v>1</v>
      </c>
      <c r="AF112" s="40" t="s">
        <v>45</v>
      </c>
      <c r="AG112" s="41" t="s">
        <v>45</v>
      </c>
      <c r="AH112" s="40">
        <v>1</v>
      </c>
      <c r="AI112" s="40">
        <v>1</v>
      </c>
      <c r="AJ112" s="41">
        <v>3</v>
      </c>
      <c r="AK112" s="43" t="s">
        <v>493</v>
      </c>
      <c r="AL112" s="43" t="s">
        <v>103</v>
      </c>
      <c r="AM112" s="44">
        <f t="shared" si="10"/>
        <v>-1.2327263172601524</v>
      </c>
      <c r="AN112" s="44">
        <f t="shared" si="11"/>
        <v>0.12851434464380571</v>
      </c>
      <c r="AO112" s="45">
        <f t="shared" si="12"/>
        <v>0</v>
      </c>
      <c r="AP112" s="46">
        <f t="shared" si="13"/>
        <v>0</v>
      </c>
      <c r="AQ112" s="44">
        <f>($AM$3*AM112+$AN$3*AN112+$AO$3*AO112+$AP$3*AP112)+$I$3*VLOOKUP(I112,COND!$A$2:$E$7,4,FALSE)+$J$3*VLOOKUP(J112,COND!$A$2:$C$7,2,FALSE)+$K$3*VLOOKUP(K112,COND!$A$2:$C$7,3,FALSE)+IF(AND($B$2&gt;0,$E112&lt;20),$B$2*25,0)</f>
        <v>51.268899503999648</v>
      </c>
      <c r="AR112" s="47">
        <f t="shared" si="17"/>
        <v>1.175102975668405</v>
      </c>
      <c r="AS112" s="45" t="str">
        <f t="shared" si="14"/>
        <v>LF</v>
      </c>
      <c r="AT112" s="45">
        <v>900</v>
      </c>
      <c r="AU112" s="45">
        <v>108</v>
      </c>
      <c r="AV112" s="45"/>
      <c r="AW112" s="45" t="str">
        <f t="shared" si="15"/>
        <v>Unlikely</v>
      </c>
      <c r="AX112" s="45"/>
      <c r="AY112" s="45">
        <f>INDEX(Table5[[#All],[Ovr]],MATCH(Batters[[#This Row],[PID]],Table5[[#All],[PID]],0))</f>
        <v>291</v>
      </c>
      <c r="AZ112" s="45" t="str">
        <f>INDEX(Table5[[#All],[Rnd]],MATCH(Batters[[#This Row],[PID]],Table5[[#All],[PID]],0))</f>
        <v>9</v>
      </c>
      <c r="BA112" s="45">
        <f>INDEX(Table5[[#All],[Pick]],MATCH(Batters[[#This Row],[PID]],Table5[[#All],[PID]],0))</f>
        <v>26</v>
      </c>
      <c r="BB112" s="45" t="str">
        <f>INDEX(Table5[[#All],[Team]],MATCH(Batters[[#This Row],[PID]],Table5[[#All],[PID]],0))</f>
        <v>Aurora Borealis</v>
      </c>
    </row>
    <row r="113" spans="1:54" ht="15" customHeight="1" x14ac:dyDescent="0.3">
      <c r="A113" s="40">
        <v>9138</v>
      </c>
      <c r="B113" s="40" t="s">
        <v>66</v>
      </c>
      <c r="C113" s="40" t="s">
        <v>606</v>
      </c>
      <c r="D113" s="40" t="s">
        <v>699</v>
      </c>
      <c r="E113" s="40">
        <v>17</v>
      </c>
      <c r="F113" s="40" t="s">
        <v>42</v>
      </c>
      <c r="G113" s="40" t="s">
        <v>42</v>
      </c>
      <c r="H113" s="41" t="s">
        <v>550</v>
      </c>
      <c r="I113" s="64" t="s">
        <v>44</v>
      </c>
      <c r="J113" s="65" t="s">
        <v>43</v>
      </c>
      <c r="K113" s="66" t="s">
        <v>43</v>
      </c>
      <c r="L113" s="40">
        <v>1</v>
      </c>
      <c r="M113" s="40">
        <v>2</v>
      </c>
      <c r="N113" s="40">
        <v>3</v>
      </c>
      <c r="O113" s="40">
        <v>3</v>
      </c>
      <c r="P113" s="41">
        <v>1</v>
      </c>
      <c r="Q113" s="40">
        <v>4</v>
      </c>
      <c r="R113" s="40">
        <v>5</v>
      </c>
      <c r="S113" s="40">
        <v>6</v>
      </c>
      <c r="T113" s="40">
        <v>6</v>
      </c>
      <c r="U113" s="41">
        <v>3</v>
      </c>
      <c r="V113" s="40">
        <v>8</v>
      </c>
      <c r="W113" s="40">
        <v>10</v>
      </c>
      <c r="X113" s="40">
        <v>1</v>
      </c>
      <c r="Y113" s="41">
        <v>1</v>
      </c>
      <c r="Z113" s="40" t="s">
        <v>45</v>
      </c>
      <c r="AA113" s="40" t="s">
        <v>45</v>
      </c>
      <c r="AB113" s="40">
        <v>1</v>
      </c>
      <c r="AC113" s="40" t="s">
        <v>45</v>
      </c>
      <c r="AD113" s="40" t="s">
        <v>45</v>
      </c>
      <c r="AE113" s="40" t="s">
        <v>45</v>
      </c>
      <c r="AF113" s="40">
        <v>1</v>
      </c>
      <c r="AG113" s="41">
        <v>5</v>
      </c>
      <c r="AH113" s="40">
        <v>7</v>
      </c>
      <c r="AI113" s="40">
        <v>8</v>
      </c>
      <c r="AJ113" s="41">
        <v>7</v>
      </c>
      <c r="AK113" s="43" t="s">
        <v>535</v>
      </c>
      <c r="AL113" s="43" t="s">
        <v>103</v>
      </c>
      <c r="AM113" s="44">
        <f t="shared" si="10"/>
        <v>-1.6877413821419032</v>
      </c>
      <c r="AN113" s="44">
        <f t="shared" si="11"/>
        <v>3.1451577056845731E-2</v>
      </c>
      <c r="AO113" s="45">
        <f t="shared" si="12"/>
        <v>3</v>
      </c>
      <c r="AP113" s="46">
        <f t="shared" si="13"/>
        <v>0.65</v>
      </c>
      <c r="AQ113" s="44">
        <f>($AM$3*AM113+$AN$3*AN113+$AO$3*AO113+$AP$3*AP113)+$I$3*VLOOKUP(I113,COND!$A$2:$E$7,4,FALSE)+$J$3*VLOOKUP(J113,COND!$A$2:$C$7,2,FALSE)+$K$3*VLOOKUP(K113,COND!$A$2:$C$7,3,FALSE)+IF(AND($B$2&gt;0,$E113&lt;20),$B$2*25,0)</f>
        <v>51.208644786467957</v>
      </c>
      <c r="AR113" s="47">
        <f t="shared" si="17"/>
        <v>1.1663077084529809</v>
      </c>
      <c r="AS113" s="45" t="str">
        <f t="shared" si="14"/>
        <v>2B</v>
      </c>
      <c r="AT113" s="45">
        <v>900</v>
      </c>
      <c r="AU113" s="45">
        <v>109</v>
      </c>
      <c r="AV113" s="45"/>
      <c r="AW113" s="45" t="str">
        <f t="shared" si="15"/>
        <v>Possible</v>
      </c>
      <c r="AX113" s="45"/>
      <c r="AY113" s="45">
        <f>INDEX(Table5[[#All],[Ovr]],MATCH(Batters[[#This Row],[PID]],Table5[[#All],[PID]],0))</f>
        <v>169</v>
      </c>
      <c r="AZ113" s="45" t="str">
        <f>INDEX(Table5[[#All],[Rnd]],MATCH(Batters[[#This Row],[PID]],Table5[[#All],[PID]],0))</f>
        <v>5</v>
      </c>
      <c r="BA113" s="45">
        <f>INDEX(Table5[[#All],[Pick]],MATCH(Batters[[#This Row],[PID]],Table5[[#All],[PID]],0))</f>
        <v>32</v>
      </c>
      <c r="BB113" s="45" t="str">
        <f>INDEX(Table5[[#All],[Team]],MATCH(Batters[[#This Row],[PID]],Table5[[#All],[PID]],0))</f>
        <v>Florida Farstriders</v>
      </c>
    </row>
    <row r="114" spans="1:54" ht="15" customHeight="1" x14ac:dyDescent="0.3">
      <c r="A114" s="40">
        <v>11293</v>
      </c>
      <c r="B114" s="40" t="s">
        <v>87</v>
      </c>
      <c r="C114" s="40" t="s">
        <v>150</v>
      </c>
      <c r="D114" s="40" t="s">
        <v>1115</v>
      </c>
      <c r="E114" s="40">
        <v>18</v>
      </c>
      <c r="F114" s="40" t="s">
        <v>42</v>
      </c>
      <c r="G114" s="40" t="s">
        <v>42</v>
      </c>
      <c r="H114" s="41" t="s">
        <v>550</v>
      </c>
      <c r="I114" s="64" t="s">
        <v>43</v>
      </c>
      <c r="J114" s="65" t="s">
        <v>47</v>
      </c>
      <c r="K114" s="66" t="s">
        <v>43</v>
      </c>
      <c r="L114" s="40">
        <v>1</v>
      </c>
      <c r="M114" s="40">
        <v>5</v>
      </c>
      <c r="N114" s="40">
        <v>3</v>
      </c>
      <c r="O114" s="40">
        <v>2</v>
      </c>
      <c r="P114" s="41">
        <v>1</v>
      </c>
      <c r="Q114" s="40">
        <v>4</v>
      </c>
      <c r="R114" s="40">
        <v>8</v>
      </c>
      <c r="S114" s="40">
        <v>4</v>
      </c>
      <c r="T114" s="40">
        <v>5</v>
      </c>
      <c r="U114" s="41">
        <v>5</v>
      </c>
      <c r="V114" s="40">
        <v>6</v>
      </c>
      <c r="W114" s="40">
        <v>7</v>
      </c>
      <c r="X114" s="40">
        <v>1</v>
      </c>
      <c r="Y114" s="41">
        <v>1</v>
      </c>
      <c r="Z114" s="40" t="s">
        <v>45</v>
      </c>
      <c r="AA114" s="40">
        <v>6</v>
      </c>
      <c r="AB114" s="40">
        <v>1</v>
      </c>
      <c r="AC114" s="40" t="s">
        <v>45</v>
      </c>
      <c r="AD114" s="40" t="s">
        <v>45</v>
      </c>
      <c r="AE114" s="40" t="s">
        <v>45</v>
      </c>
      <c r="AF114" s="40" t="s">
        <v>45</v>
      </c>
      <c r="AG114" s="41" t="s">
        <v>45</v>
      </c>
      <c r="AH114" s="40">
        <v>8</v>
      </c>
      <c r="AI114" s="40">
        <v>3</v>
      </c>
      <c r="AJ114" s="41">
        <v>4</v>
      </c>
      <c r="AK114" s="43" t="s">
        <v>497</v>
      </c>
      <c r="AL114" s="43" t="s">
        <v>103</v>
      </c>
      <c r="AM114" s="44">
        <f t="shared" si="10"/>
        <v>-1.624271293295374</v>
      </c>
      <c r="AN114" s="44">
        <f t="shared" si="11"/>
        <v>8.8313574897391084E-3</v>
      </c>
      <c r="AO114" s="45">
        <f t="shared" si="12"/>
        <v>1</v>
      </c>
      <c r="AP114" s="46">
        <f t="shared" si="13"/>
        <v>0</v>
      </c>
      <c r="AQ114" s="44">
        <f>($AM$3*AM114+$AN$3*AN114+$AO$3*AO114+$AP$3*AP114)+$I$3*VLOOKUP(I114,COND!$A$2:$E$7,4,FALSE)+$J$3*VLOOKUP(J114,COND!$A$2:$C$7,2,FALSE)+$K$3*VLOOKUP(K114,COND!$A$2:$C$7,3,FALSE)+IF(AND($B$2&gt;0,$E114&lt;20),$B$2*25,0)</f>
        <v>50.410215827214003</v>
      </c>
      <c r="AR114" s="47">
        <f t="shared" si="17"/>
        <v>1.0497625425831385</v>
      </c>
      <c r="AS114" s="45" t="str">
        <f t="shared" si="14"/>
        <v>2B</v>
      </c>
      <c r="AT114" s="45">
        <v>900</v>
      </c>
      <c r="AU114" s="45">
        <v>110</v>
      </c>
      <c r="AV114" s="45"/>
      <c r="AW114" s="45" t="str">
        <f t="shared" si="15"/>
        <v>Unlikely</v>
      </c>
      <c r="AX114" s="45"/>
      <c r="AY114" s="45">
        <f>INDEX(Table5[[#All],[Ovr]],MATCH(Batters[[#This Row],[PID]],Table5[[#All],[PID]],0))</f>
        <v>237</v>
      </c>
      <c r="AZ114" s="45" t="str">
        <f>INDEX(Table5[[#All],[Rnd]],MATCH(Batters[[#This Row],[PID]],Table5[[#All],[PID]],0))</f>
        <v>8</v>
      </c>
      <c r="BA114" s="45">
        <f>INDEX(Table5[[#All],[Pick]],MATCH(Batters[[#This Row],[PID]],Table5[[#All],[PID]],0))</f>
        <v>4</v>
      </c>
      <c r="BB114" s="45" t="str">
        <f>INDEX(Table5[[#All],[Team]],MATCH(Batters[[#This Row],[PID]],Table5[[#All],[PID]],0))</f>
        <v>Palm Springs Codgers</v>
      </c>
    </row>
    <row r="115" spans="1:54" ht="15" customHeight="1" x14ac:dyDescent="0.3">
      <c r="A115" s="40">
        <v>20771</v>
      </c>
      <c r="B115" s="40" t="s">
        <v>66</v>
      </c>
      <c r="C115" s="40" t="s">
        <v>158</v>
      </c>
      <c r="D115" s="40" t="s">
        <v>153</v>
      </c>
      <c r="E115" s="40">
        <v>17</v>
      </c>
      <c r="F115" s="40" t="s">
        <v>53</v>
      </c>
      <c r="G115" s="40" t="s">
        <v>53</v>
      </c>
      <c r="H115" s="41" t="s">
        <v>550</v>
      </c>
      <c r="I115" s="64" t="s">
        <v>44</v>
      </c>
      <c r="J115" s="65" t="s">
        <v>47</v>
      </c>
      <c r="K115" s="66" t="s">
        <v>44</v>
      </c>
      <c r="L115" s="40">
        <v>1</v>
      </c>
      <c r="M115" s="40">
        <v>4</v>
      </c>
      <c r="N115" s="40">
        <v>3</v>
      </c>
      <c r="O115" s="40">
        <v>2</v>
      </c>
      <c r="P115" s="41">
        <v>1</v>
      </c>
      <c r="Q115" s="40">
        <v>4</v>
      </c>
      <c r="R115" s="40">
        <v>6</v>
      </c>
      <c r="S115" s="40">
        <v>6</v>
      </c>
      <c r="T115" s="40">
        <v>6</v>
      </c>
      <c r="U115" s="41">
        <v>3</v>
      </c>
      <c r="V115" s="40">
        <v>3</v>
      </c>
      <c r="W115" s="40">
        <v>6</v>
      </c>
      <c r="X115" s="40">
        <v>1</v>
      </c>
      <c r="Y115" s="41">
        <v>1</v>
      </c>
      <c r="Z115" s="40" t="s">
        <v>45</v>
      </c>
      <c r="AA115" s="40" t="s">
        <v>45</v>
      </c>
      <c r="AB115" s="40" t="s">
        <v>45</v>
      </c>
      <c r="AC115" s="40" t="s">
        <v>45</v>
      </c>
      <c r="AD115" s="40" t="s">
        <v>45</v>
      </c>
      <c r="AE115" s="40" t="s">
        <v>45</v>
      </c>
      <c r="AF115" s="40" t="s">
        <v>45</v>
      </c>
      <c r="AG115" s="41">
        <v>2</v>
      </c>
      <c r="AH115" s="40">
        <v>5</v>
      </c>
      <c r="AI115" s="40">
        <v>8</v>
      </c>
      <c r="AJ115" s="41">
        <v>7</v>
      </c>
      <c r="AK115" s="43" t="s">
        <v>608</v>
      </c>
      <c r="AL115" s="43" t="s">
        <v>103</v>
      </c>
      <c r="AM115" s="44">
        <f t="shared" si="10"/>
        <v>-1.6753311729140774</v>
      </c>
      <c r="AN115" s="44">
        <f t="shared" si="11"/>
        <v>8.2511456675549238E-2</v>
      </c>
      <c r="AO115" s="45">
        <f t="shared" si="12"/>
        <v>2</v>
      </c>
      <c r="AP115" s="46">
        <f t="shared" si="13"/>
        <v>0</v>
      </c>
      <c r="AQ115" s="44">
        <f>($AM$3*AM115+$AN$3*AN115+$AO$3*AO115+$AP$3*AP115)+$I$3*VLOOKUP(I115,COND!$A$2:$E$7,4,FALSE)+$J$3*VLOOKUP(J115,COND!$A$2:$C$7,2,FALSE)+$K$3*VLOOKUP(K115,COND!$A$2:$C$7,3,FALSE)+IF(AND($B$2&gt;0,$E115&lt;20),$B$2*25,0)</f>
        <v>51.005937696148514</v>
      </c>
      <c r="AR115" s="47">
        <f t="shared" si="17"/>
        <v>1.1367189376669775</v>
      </c>
      <c r="AS115" s="45" t="str">
        <f t="shared" si="14"/>
        <v>RF</v>
      </c>
      <c r="AT115" s="45">
        <v>900</v>
      </c>
      <c r="AU115" s="45">
        <v>111</v>
      </c>
      <c r="AV115" s="45"/>
      <c r="AW115" s="45" t="str">
        <f t="shared" si="15"/>
        <v>Possible</v>
      </c>
      <c r="AX115" s="45"/>
      <c r="AY115" s="45">
        <f>INDEX(Table5[[#All],[Ovr]],MATCH(Batters[[#This Row],[PID]],Table5[[#All],[PID]],0))</f>
        <v>150</v>
      </c>
      <c r="AZ115" s="45" t="str">
        <f>INDEX(Table5[[#All],[Rnd]],MATCH(Batters[[#This Row],[PID]],Table5[[#All],[PID]],0))</f>
        <v>5</v>
      </c>
      <c r="BA115" s="45">
        <f>INDEX(Table5[[#All],[Pick]],MATCH(Batters[[#This Row],[PID]],Table5[[#All],[PID]],0))</f>
        <v>13</v>
      </c>
      <c r="BB115" s="45" t="str">
        <f>INDEX(Table5[[#All],[Team]],MATCH(Batters[[#This Row],[PID]],Table5[[#All],[PID]],0))</f>
        <v>Scottish Claymores</v>
      </c>
    </row>
    <row r="116" spans="1:54" ht="15" customHeight="1" x14ac:dyDescent="0.3">
      <c r="A116" s="40">
        <v>20493</v>
      </c>
      <c r="B116" s="40" t="s">
        <v>71</v>
      </c>
      <c r="C116" s="40" t="s">
        <v>1062</v>
      </c>
      <c r="D116" s="40" t="s">
        <v>940</v>
      </c>
      <c r="E116" s="40">
        <v>17</v>
      </c>
      <c r="F116" s="40" t="s">
        <v>42</v>
      </c>
      <c r="G116" s="40" t="s">
        <v>42</v>
      </c>
      <c r="H116" s="41" t="s">
        <v>550</v>
      </c>
      <c r="I116" s="64" t="s">
        <v>43</v>
      </c>
      <c r="J116" s="65" t="s">
        <v>43</v>
      </c>
      <c r="K116" s="66" t="s">
        <v>43</v>
      </c>
      <c r="L116" s="40">
        <v>2</v>
      </c>
      <c r="M116" s="40">
        <v>2</v>
      </c>
      <c r="N116" s="40">
        <v>2</v>
      </c>
      <c r="O116" s="40">
        <v>3</v>
      </c>
      <c r="P116" s="41">
        <v>7</v>
      </c>
      <c r="Q116" s="40">
        <v>5</v>
      </c>
      <c r="R116" s="40">
        <v>4</v>
      </c>
      <c r="S116" s="40">
        <v>2</v>
      </c>
      <c r="T116" s="40">
        <v>5</v>
      </c>
      <c r="U116" s="41">
        <v>8</v>
      </c>
      <c r="V116" s="40">
        <v>7</v>
      </c>
      <c r="W116" s="40">
        <v>6</v>
      </c>
      <c r="X116" s="40">
        <v>1</v>
      </c>
      <c r="Y116" s="41">
        <v>1</v>
      </c>
      <c r="Z116" s="40" t="s">
        <v>45</v>
      </c>
      <c r="AA116" s="40" t="s">
        <v>45</v>
      </c>
      <c r="AB116" s="40">
        <v>2</v>
      </c>
      <c r="AC116" s="40" t="s">
        <v>45</v>
      </c>
      <c r="AD116" s="40">
        <v>1</v>
      </c>
      <c r="AE116" s="40" t="s">
        <v>45</v>
      </c>
      <c r="AF116" s="40" t="s">
        <v>45</v>
      </c>
      <c r="AG116" s="41" t="s">
        <v>45</v>
      </c>
      <c r="AH116" s="40">
        <v>3</v>
      </c>
      <c r="AI116" s="40">
        <v>4</v>
      </c>
      <c r="AJ116" s="41">
        <v>5</v>
      </c>
      <c r="AK116" s="43" t="s">
        <v>497</v>
      </c>
      <c r="AL116" s="43" t="s">
        <v>103</v>
      </c>
      <c r="AM116" s="44">
        <f t="shared" si="10"/>
        <v>-1.2081490010606295</v>
      </c>
      <c r="AN116" s="44">
        <f t="shared" si="11"/>
        <v>8.1073706621047154E-2</v>
      </c>
      <c r="AO116" s="45">
        <f t="shared" si="12"/>
        <v>0</v>
      </c>
      <c r="AP116" s="46">
        <f t="shared" si="13"/>
        <v>0</v>
      </c>
      <c r="AQ116" s="44">
        <f>($AM$3*AM116+$AN$3*AN116+$AO$3*AO116+$AP$3*AP116)+$I$3*VLOOKUP(I116,COND!$A$2:$E$7,4,FALSE)+$J$3*VLOOKUP(J116,COND!$A$2:$C$7,2,FALSE)+$K$3*VLOOKUP(K116,COND!$A$2:$C$7,3,FALSE)+IF(AND($B$2&gt;0,$E116&lt;20),$B$2*25,0)</f>
        <v>50.852069579346505</v>
      </c>
      <c r="AR116" s="47">
        <f t="shared" si="17"/>
        <v>1.1142590995224211</v>
      </c>
      <c r="AS116" s="45" t="str">
        <f t="shared" si="14"/>
        <v>2B</v>
      </c>
      <c r="AT116" s="45">
        <v>900</v>
      </c>
      <c r="AU116" s="45">
        <v>112</v>
      </c>
      <c r="AV116" s="45"/>
      <c r="AW116" s="45" t="str">
        <f t="shared" si="15"/>
        <v>Unlikely</v>
      </c>
      <c r="AX116" s="45"/>
      <c r="AY116" s="45">
        <f>INDEX(Table5[[#All],[Ovr]],MATCH(Batters[[#This Row],[PID]],Table5[[#All],[PID]],0))</f>
        <v>233</v>
      </c>
      <c r="AZ116" s="45" t="str">
        <f>INDEX(Table5[[#All],[Rnd]],MATCH(Batters[[#This Row],[PID]],Table5[[#All],[PID]],0))</f>
        <v>7</v>
      </c>
      <c r="BA116" s="45">
        <f>INDEX(Table5[[#All],[Pick]],MATCH(Batters[[#This Row],[PID]],Table5[[#All],[PID]],0))</f>
        <v>32</v>
      </c>
      <c r="BB116" s="45" t="str">
        <f>INDEX(Table5[[#All],[Team]],MATCH(Batters[[#This Row],[PID]],Table5[[#All],[PID]],0))</f>
        <v>Florida Farstriders</v>
      </c>
    </row>
    <row r="117" spans="1:54" ht="15" customHeight="1" x14ac:dyDescent="0.3">
      <c r="A117" s="40">
        <v>20744</v>
      </c>
      <c r="B117" s="40" t="s">
        <v>50</v>
      </c>
      <c r="C117" s="40" t="s">
        <v>392</v>
      </c>
      <c r="D117" s="40" t="s">
        <v>587</v>
      </c>
      <c r="E117" s="40">
        <v>17</v>
      </c>
      <c r="F117" s="40" t="s">
        <v>53</v>
      </c>
      <c r="G117" s="40" t="s">
        <v>53</v>
      </c>
      <c r="H117" s="41" t="s">
        <v>550</v>
      </c>
      <c r="I117" s="64" t="s">
        <v>43</v>
      </c>
      <c r="J117" s="65" t="s">
        <v>43</v>
      </c>
      <c r="K117" s="66" t="s">
        <v>43</v>
      </c>
      <c r="L117" s="40">
        <v>1</v>
      </c>
      <c r="M117" s="40">
        <v>3</v>
      </c>
      <c r="N117" s="40">
        <v>2</v>
      </c>
      <c r="O117" s="40">
        <v>3</v>
      </c>
      <c r="P117" s="41">
        <v>1</v>
      </c>
      <c r="Q117" s="40">
        <v>4</v>
      </c>
      <c r="R117" s="40">
        <v>6</v>
      </c>
      <c r="S117" s="40">
        <v>6</v>
      </c>
      <c r="T117" s="40">
        <v>5</v>
      </c>
      <c r="U117" s="41">
        <v>5</v>
      </c>
      <c r="V117" s="40">
        <v>5</v>
      </c>
      <c r="W117" s="40">
        <v>7</v>
      </c>
      <c r="X117" s="40">
        <v>1</v>
      </c>
      <c r="Y117" s="41">
        <v>1</v>
      </c>
      <c r="Z117" s="40" t="s">
        <v>45</v>
      </c>
      <c r="AA117" s="40" t="s">
        <v>45</v>
      </c>
      <c r="AB117" s="40" t="s">
        <v>45</v>
      </c>
      <c r="AC117" s="40" t="s">
        <v>45</v>
      </c>
      <c r="AD117" s="40" t="s">
        <v>45</v>
      </c>
      <c r="AE117" s="40">
        <v>1</v>
      </c>
      <c r="AF117" s="40" t="s">
        <v>45</v>
      </c>
      <c r="AG117" s="41" t="s">
        <v>45</v>
      </c>
      <c r="AH117" s="40">
        <v>2</v>
      </c>
      <c r="AI117" s="40">
        <v>1</v>
      </c>
      <c r="AJ117" s="41">
        <v>1</v>
      </c>
      <c r="AK117" s="43" t="s">
        <v>557</v>
      </c>
      <c r="AL117" s="43" t="s">
        <v>103</v>
      </c>
      <c r="AM117" s="44">
        <f t="shared" si="10"/>
        <v>-1.7197429965471014</v>
      </c>
      <c r="AN117" s="44">
        <f t="shared" si="11"/>
        <v>7.2834586300135104E-2</v>
      </c>
      <c r="AO117" s="45">
        <f t="shared" si="12"/>
        <v>0</v>
      </c>
      <c r="AP117" s="46">
        <f t="shared" si="13"/>
        <v>0</v>
      </c>
      <c r="AQ117" s="44">
        <f>($AM$3*AM117+$AN$3*AN117+$AO$3*AO117+$AP$3*AP117)+$I$3*VLOOKUP(I117,COND!$A$2:$E$7,4,FALSE)+$J$3*VLOOKUP(J117,COND!$A$2:$C$7,2,FALSE)+$K$3*VLOOKUP(K117,COND!$A$2:$C$7,3,FALSE)+IF(AND($B$2&gt;0,$E117&lt;20),$B$2*25,0)</f>
        <v>50.702040735946909</v>
      </c>
      <c r="AR117" s="47">
        <f t="shared" si="17"/>
        <v>1.0923596728588334</v>
      </c>
      <c r="AS117" s="45" t="str">
        <f t="shared" si="14"/>
        <v>LF</v>
      </c>
      <c r="AT117" s="45">
        <v>900</v>
      </c>
      <c r="AU117" s="45">
        <v>113</v>
      </c>
      <c r="AV117" s="45"/>
      <c r="AW117" s="45" t="str">
        <f t="shared" si="15"/>
        <v>Unlikely</v>
      </c>
      <c r="AX117" s="45"/>
      <c r="AY117" s="45">
        <f>INDEX(Table5[[#All],[Ovr]],MATCH(Batters[[#This Row],[PID]],Table5[[#All],[PID]],0))</f>
        <v>362</v>
      </c>
      <c r="AZ117" s="45" t="str">
        <f>INDEX(Table5[[#All],[Rnd]],MATCH(Batters[[#This Row],[PID]],Table5[[#All],[PID]],0))</f>
        <v>11</v>
      </c>
      <c r="BA117" s="45">
        <f>INDEX(Table5[[#All],[Pick]],MATCH(Batters[[#This Row],[PID]],Table5[[#All],[PID]],0))</f>
        <v>31</v>
      </c>
      <c r="BB117" s="45" t="str">
        <f>INDEX(Table5[[#All],[Team]],MATCH(Batters[[#This Row],[PID]],Table5[[#All],[PID]],0))</f>
        <v>West Virginia Alleghenies</v>
      </c>
    </row>
    <row r="118" spans="1:54" ht="15" customHeight="1" x14ac:dyDescent="0.3">
      <c r="A118" s="40">
        <v>12114</v>
      </c>
      <c r="B118" s="40" t="s">
        <v>71</v>
      </c>
      <c r="C118" s="40" t="s">
        <v>364</v>
      </c>
      <c r="D118" s="40" t="s">
        <v>1119</v>
      </c>
      <c r="E118" s="40">
        <v>18</v>
      </c>
      <c r="F118" s="40" t="s">
        <v>42</v>
      </c>
      <c r="G118" s="40" t="s">
        <v>42</v>
      </c>
      <c r="H118" s="41" t="s">
        <v>550</v>
      </c>
      <c r="I118" s="64" t="s">
        <v>47</v>
      </c>
      <c r="J118" s="65" t="s">
        <v>43</v>
      </c>
      <c r="K118" s="66" t="s">
        <v>43</v>
      </c>
      <c r="L118" s="40">
        <v>2</v>
      </c>
      <c r="M118" s="40">
        <v>5</v>
      </c>
      <c r="N118" s="40">
        <v>3</v>
      </c>
      <c r="O118" s="40">
        <v>3</v>
      </c>
      <c r="P118" s="41">
        <v>2</v>
      </c>
      <c r="Q118" s="40">
        <v>4</v>
      </c>
      <c r="R118" s="40">
        <v>7</v>
      </c>
      <c r="S118" s="40">
        <v>5</v>
      </c>
      <c r="T118" s="40">
        <v>5</v>
      </c>
      <c r="U118" s="41">
        <v>5</v>
      </c>
      <c r="V118" s="40">
        <v>5</v>
      </c>
      <c r="W118" s="40">
        <v>6</v>
      </c>
      <c r="X118" s="40">
        <v>1</v>
      </c>
      <c r="Y118" s="41">
        <v>1</v>
      </c>
      <c r="Z118" s="40" t="s">
        <v>45</v>
      </c>
      <c r="AA118" s="40" t="s">
        <v>45</v>
      </c>
      <c r="AB118" s="40">
        <v>4</v>
      </c>
      <c r="AC118" s="40" t="s">
        <v>45</v>
      </c>
      <c r="AD118" s="40" t="s">
        <v>45</v>
      </c>
      <c r="AE118" s="40" t="s">
        <v>45</v>
      </c>
      <c r="AF118" s="40" t="s">
        <v>45</v>
      </c>
      <c r="AG118" s="41" t="s">
        <v>45</v>
      </c>
      <c r="AH118" s="40">
        <v>5</v>
      </c>
      <c r="AI118" s="40">
        <v>5</v>
      </c>
      <c r="AJ118" s="41">
        <v>3</v>
      </c>
      <c r="AK118" s="43" t="s">
        <v>492</v>
      </c>
      <c r="AL118" s="43" t="s">
        <v>103</v>
      </c>
      <c r="AM118" s="44">
        <f t="shared" si="10"/>
        <v>-1.171989567266035</v>
      </c>
      <c r="AN118" s="44">
        <f t="shared" si="11"/>
        <v>4.0832971894937092E-2</v>
      </c>
      <c r="AO118" s="45">
        <f t="shared" si="12"/>
        <v>0</v>
      </c>
      <c r="AP118" s="46">
        <f t="shared" si="13"/>
        <v>0</v>
      </c>
      <c r="AQ118" s="44">
        <f>($AM$3*AM118+$AN$3*AN118+$AO$3*AO118+$AP$3*AP118)+$I$3*VLOOKUP(I118,COND!$A$2:$E$7,4,FALSE)+$J$3*VLOOKUP(J118,COND!$A$2:$C$7,2,FALSE)+$K$3*VLOOKUP(K118,COND!$A$2:$C$7,3,FALSE)+IF(AND($B$2&gt;0,$E118&lt;20),$B$2*25,0)</f>
        <v>50.597796706012637</v>
      </c>
      <c r="AR118" s="47">
        <f t="shared" si="17"/>
        <v>1.0771433688673266</v>
      </c>
      <c r="AS118" s="45" t="str">
        <f t="shared" si="14"/>
        <v>2B</v>
      </c>
      <c r="AT118" s="45">
        <v>900</v>
      </c>
      <c r="AU118" s="45">
        <v>114</v>
      </c>
      <c r="AV118" s="45"/>
      <c r="AW118" s="45" t="str">
        <f t="shared" si="15"/>
        <v>Unlikely</v>
      </c>
      <c r="AX118" s="45"/>
      <c r="AY118" s="45">
        <f>INDEX(Table5[[#All],[Ovr]],MATCH(Batters[[#This Row],[PID]],Table5[[#All],[PID]],0))</f>
        <v>197</v>
      </c>
      <c r="AZ118" s="45" t="str">
        <f>INDEX(Table5[[#All],[Rnd]],MATCH(Batters[[#This Row],[PID]],Table5[[#All],[PID]],0))</f>
        <v>6</v>
      </c>
      <c r="BA118" s="45">
        <f>INDEX(Table5[[#All],[Pick]],MATCH(Batters[[#This Row],[PID]],Table5[[#All],[PID]],0))</f>
        <v>28</v>
      </c>
      <c r="BB118" s="45" t="str">
        <f>INDEX(Table5[[#All],[Team]],MATCH(Batters[[#This Row],[PID]],Table5[[#All],[PID]],0))</f>
        <v>Hartford Harpoon</v>
      </c>
    </row>
    <row r="119" spans="1:54" ht="15" customHeight="1" x14ac:dyDescent="0.3">
      <c r="A119" s="40">
        <v>12336</v>
      </c>
      <c r="B119" s="40" t="s">
        <v>66</v>
      </c>
      <c r="C119" s="40" t="s">
        <v>1243</v>
      </c>
      <c r="D119" s="40" t="s">
        <v>197</v>
      </c>
      <c r="E119" s="40">
        <v>17</v>
      </c>
      <c r="F119" s="40" t="s">
        <v>42</v>
      </c>
      <c r="G119" s="40" t="s">
        <v>42</v>
      </c>
      <c r="H119" s="41" t="s">
        <v>552</v>
      </c>
      <c r="I119" s="64" t="s">
        <v>43</v>
      </c>
      <c r="J119" s="65" t="s">
        <v>43</v>
      </c>
      <c r="K119" s="66" t="s">
        <v>43</v>
      </c>
      <c r="L119" s="40">
        <v>1</v>
      </c>
      <c r="M119" s="40">
        <v>4</v>
      </c>
      <c r="N119" s="40">
        <v>3</v>
      </c>
      <c r="O119" s="40">
        <v>4</v>
      </c>
      <c r="P119" s="41">
        <v>1</v>
      </c>
      <c r="Q119" s="40">
        <v>4</v>
      </c>
      <c r="R119" s="40">
        <v>5</v>
      </c>
      <c r="S119" s="40">
        <v>4</v>
      </c>
      <c r="T119" s="40">
        <v>7</v>
      </c>
      <c r="U119" s="41">
        <v>5</v>
      </c>
      <c r="V119" s="40">
        <v>2</v>
      </c>
      <c r="W119" s="40">
        <v>6</v>
      </c>
      <c r="X119" s="40">
        <v>1</v>
      </c>
      <c r="Y119" s="41">
        <v>1</v>
      </c>
      <c r="Z119" s="40" t="s">
        <v>45</v>
      </c>
      <c r="AA119" s="40" t="s">
        <v>45</v>
      </c>
      <c r="AB119" s="40" t="s">
        <v>45</v>
      </c>
      <c r="AC119" s="40" t="s">
        <v>45</v>
      </c>
      <c r="AD119" s="40" t="s">
        <v>45</v>
      </c>
      <c r="AE119" s="40">
        <v>3</v>
      </c>
      <c r="AF119" s="40" t="s">
        <v>45</v>
      </c>
      <c r="AG119" s="41">
        <v>2</v>
      </c>
      <c r="AH119" s="40">
        <v>9</v>
      </c>
      <c r="AI119" s="40">
        <v>4</v>
      </c>
      <c r="AJ119" s="41">
        <v>2</v>
      </c>
      <c r="AK119" s="43" t="s">
        <v>497</v>
      </c>
      <c r="AL119" s="43" t="s">
        <v>103</v>
      </c>
      <c r="AM119" s="44">
        <f t="shared" si="10"/>
        <v>-1.4959120728949156</v>
      </c>
      <c r="AN119" s="44">
        <f t="shared" si="11"/>
        <v>3.5070818652790686E-2</v>
      </c>
      <c r="AO119" s="45">
        <f t="shared" si="12"/>
        <v>1</v>
      </c>
      <c r="AP119" s="46">
        <f t="shared" si="13"/>
        <v>0</v>
      </c>
      <c r="AQ119" s="44">
        <f>($AM$3*AM119+$AN$3*AN119+$AO$3*AO119+$AP$3*AP119)+$I$3*VLOOKUP(I119,COND!$A$2:$E$7,4,FALSE)+$J$3*VLOOKUP(J119,COND!$A$2:$C$7,2,FALSE)+$K$3*VLOOKUP(K119,COND!$A$2:$C$7,3,FALSE)+IF(AND($B$2&gt;0,$E119&lt;20),$B$2*25,0)</f>
        <v>50.43792528321066</v>
      </c>
      <c r="AR119" s="47">
        <f t="shared" si="17"/>
        <v>1.0538072394943214</v>
      </c>
      <c r="AS119" s="45" t="str">
        <f t="shared" si="14"/>
        <v>LF</v>
      </c>
      <c r="AT119" s="45">
        <v>900</v>
      </c>
      <c r="AU119" s="45">
        <v>115</v>
      </c>
      <c r="AV119" s="45"/>
      <c r="AW119" s="45" t="str">
        <f t="shared" si="15"/>
        <v>Unlikely</v>
      </c>
      <c r="AX119" s="45"/>
      <c r="AY119" s="45">
        <f>INDEX(Table5[[#All],[Ovr]],MATCH(Batters[[#This Row],[PID]],Table5[[#All],[PID]],0))</f>
        <v>250</v>
      </c>
      <c r="AZ119" s="45" t="str">
        <f>INDEX(Table5[[#All],[Rnd]],MATCH(Batters[[#This Row],[PID]],Table5[[#All],[PID]],0))</f>
        <v>8</v>
      </c>
      <c r="BA119" s="45">
        <f>INDEX(Table5[[#All],[Pick]],MATCH(Batters[[#This Row],[PID]],Table5[[#All],[PID]],0))</f>
        <v>17</v>
      </c>
      <c r="BB119" s="45" t="str">
        <f>INDEX(Table5[[#All],[Team]],MATCH(Batters[[#This Row],[PID]],Table5[[#All],[PID]],0))</f>
        <v>Duluth Warriors</v>
      </c>
    </row>
    <row r="120" spans="1:54" ht="15" customHeight="1" x14ac:dyDescent="0.3">
      <c r="A120" s="40">
        <v>11009</v>
      </c>
      <c r="B120" s="40" t="s">
        <v>66</v>
      </c>
      <c r="C120" s="40" t="s">
        <v>405</v>
      </c>
      <c r="D120" s="40" t="s">
        <v>1238</v>
      </c>
      <c r="E120" s="40">
        <v>17</v>
      </c>
      <c r="F120" s="40" t="s">
        <v>53</v>
      </c>
      <c r="G120" s="40" t="s">
        <v>53</v>
      </c>
      <c r="H120" s="41" t="s">
        <v>552</v>
      </c>
      <c r="I120" s="64" t="s">
        <v>43</v>
      </c>
      <c r="J120" s="65" t="s">
        <v>43</v>
      </c>
      <c r="K120" s="66" t="s">
        <v>43</v>
      </c>
      <c r="L120" s="40">
        <v>1</v>
      </c>
      <c r="M120" s="40">
        <v>3</v>
      </c>
      <c r="N120" s="40">
        <v>3</v>
      </c>
      <c r="O120" s="40">
        <v>2</v>
      </c>
      <c r="P120" s="41">
        <v>1</v>
      </c>
      <c r="Q120" s="40">
        <v>4</v>
      </c>
      <c r="R120" s="40">
        <v>6</v>
      </c>
      <c r="S120" s="40">
        <v>5</v>
      </c>
      <c r="T120" s="40">
        <v>6</v>
      </c>
      <c r="U120" s="41">
        <v>4</v>
      </c>
      <c r="V120" s="40">
        <v>3</v>
      </c>
      <c r="W120" s="40">
        <v>6</v>
      </c>
      <c r="X120" s="40">
        <v>1</v>
      </c>
      <c r="Y120" s="41">
        <v>1</v>
      </c>
      <c r="Z120" s="40" t="s">
        <v>45</v>
      </c>
      <c r="AA120" s="40" t="s">
        <v>45</v>
      </c>
      <c r="AB120" s="40" t="s">
        <v>45</v>
      </c>
      <c r="AC120" s="40" t="s">
        <v>45</v>
      </c>
      <c r="AD120" s="40" t="s">
        <v>45</v>
      </c>
      <c r="AE120" s="40">
        <v>1</v>
      </c>
      <c r="AF120" s="40" t="s">
        <v>45</v>
      </c>
      <c r="AG120" s="41">
        <v>1</v>
      </c>
      <c r="AH120" s="40">
        <v>5</v>
      </c>
      <c r="AI120" s="40">
        <v>1</v>
      </c>
      <c r="AJ120" s="41">
        <v>3</v>
      </c>
      <c r="AK120" s="43" t="s">
        <v>558</v>
      </c>
      <c r="AL120" s="43" t="s">
        <v>103</v>
      </c>
      <c r="AM120" s="44">
        <f t="shared" si="10"/>
        <v>-1.726391052532781</v>
      </c>
      <c r="AN120" s="44">
        <f t="shared" si="11"/>
        <v>3.9466302468731194E-2</v>
      </c>
      <c r="AO120" s="45">
        <f t="shared" si="12"/>
        <v>0</v>
      </c>
      <c r="AP120" s="46">
        <f t="shared" si="13"/>
        <v>0</v>
      </c>
      <c r="AQ120" s="44">
        <f>($AM$3*AM120+$AN$3*AN120+$AO$3*AO120+$AP$3*AP120)+$I$3*VLOOKUP(I120,COND!$A$2:$E$7,4,FALSE)+$J$3*VLOOKUP(J120,COND!$A$2:$C$7,2,FALSE)+$K$3*VLOOKUP(K120,COND!$A$2:$C$7,3,FALSE)+IF(AND($B$2&gt;0,$E120&lt;20),$B$2*25,0)</f>
        <v>50.3009565243715</v>
      </c>
      <c r="AR120" s="47">
        <f t="shared" si="17"/>
        <v>1.0338141686858526</v>
      </c>
      <c r="AS120" s="45" t="str">
        <f t="shared" si="14"/>
        <v>RF</v>
      </c>
      <c r="AT120" s="45">
        <v>900</v>
      </c>
      <c r="AU120" s="45">
        <v>116</v>
      </c>
      <c r="AV120" s="45"/>
      <c r="AW120" s="45" t="str">
        <f t="shared" si="15"/>
        <v>Unlikely</v>
      </c>
      <c r="AX120" s="45"/>
      <c r="AY120" s="45">
        <f>INDEX(Table5[[#All],[Ovr]],MATCH(Batters[[#This Row],[PID]],Table5[[#All],[PID]],0))</f>
        <v>310</v>
      </c>
      <c r="AZ120" s="45" t="str">
        <f>INDEX(Table5[[#All],[Rnd]],MATCH(Batters[[#This Row],[PID]],Table5[[#All],[PID]],0))</f>
        <v>10</v>
      </c>
      <c r="BA120" s="45">
        <f>INDEX(Table5[[#All],[Pick]],MATCH(Batters[[#This Row],[PID]],Table5[[#All],[PID]],0))</f>
        <v>13</v>
      </c>
      <c r="BB120" s="45" t="str">
        <f>INDEX(Table5[[#All],[Team]],MATCH(Batters[[#This Row],[PID]],Table5[[#All],[PID]],0))</f>
        <v>Scottish Claymores</v>
      </c>
    </row>
    <row r="121" spans="1:54" ht="15" customHeight="1" x14ac:dyDescent="0.3">
      <c r="A121" s="40">
        <v>11536</v>
      </c>
      <c r="B121" s="40" t="s">
        <v>87</v>
      </c>
      <c r="C121" s="40" t="s">
        <v>805</v>
      </c>
      <c r="D121" s="40" t="s">
        <v>1035</v>
      </c>
      <c r="E121" s="40">
        <v>18</v>
      </c>
      <c r="F121" s="40" t="s">
        <v>42</v>
      </c>
      <c r="G121" s="40" t="s">
        <v>42</v>
      </c>
      <c r="H121" s="41" t="s">
        <v>550</v>
      </c>
      <c r="I121" s="64" t="s">
        <v>47</v>
      </c>
      <c r="J121" s="65" t="s">
        <v>47</v>
      </c>
      <c r="K121" s="66" t="s">
        <v>43</v>
      </c>
      <c r="L121" s="40">
        <v>2</v>
      </c>
      <c r="M121" s="40">
        <v>3</v>
      </c>
      <c r="N121" s="40">
        <v>4</v>
      </c>
      <c r="O121" s="40">
        <v>2</v>
      </c>
      <c r="P121" s="41">
        <v>1</v>
      </c>
      <c r="Q121" s="40">
        <v>4</v>
      </c>
      <c r="R121" s="40">
        <v>4</v>
      </c>
      <c r="S121" s="40">
        <v>6</v>
      </c>
      <c r="T121" s="40">
        <v>5</v>
      </c>
      <c r="U121" s="41">
        <v>4</v>
      </c>
      <c r="V121" s="40">
        <v>6</v>
      </c>
      <c r="W121" s="40">
        <v>5</v>
      </c>
      <c r="X121" s="40">
        <v>1</v>
      </c>
      <c r="Y121" s="41">
        <v>1</v>
      </c>
      <c r="Z121" s="40" t="s">
        <v>45</v>
      </c>
      <c r="AA121" s="40">
        <v>6</v>
      </c>
      <c r="AB121" s="40" t="s">
        <v>45</v>
      </c>
      <c r="AC121" s="40">
        <v>1</v>
      </c>
      <c r="AD121" s="40" t="s">
        <v>45</v>
      </c>
      <c r="AE121" s="40" t="s">
        <v>45</v>
      </c>
      <c r="AF121" s="40" t="s">
        <v>45</v>
      </c>
      <c r="AG121" s="41" t="s">
        <v>45</v>
      </c>
      <c r="AH121" s="40">
        <v>6</v>
      </c>
      <c r="AI121" s="40">
        <v>6</v>
      </c>
      <c r="AJ121" s="41">
        <v>5</v>
      </c>
      <c r="AK121" s="43" t="s">
        <v>498</v>
      </c>
      <c r="AL121" s="43" t="s">
        <v>103</v>
      </c>
      <c r="AM121" s="44">
        <f t="shared" si="10"/>
        <v>-1.3207737223062048</v>
      </c>
      <c r="AN121" s="44">
        <f t="shared" si="11"/>
        <v>-6.9301512754355379E-2</v>
      </c>
      <c r="AO121" s="45">
        <f t="shared" si="12"/>
        <v>0</v>
      </c>
      <c r="AP121" s="46">
        <f t="shared" si="13"/>
        <v>0</v>
      </c>
      <c r="AQ121" s="44">
        <f>($AM$3*AM121+$AN$3*AN121+$AO$3*AO121+$AP$3*AP121)+$I$3*VLOOKUP(I121,COND!$A$2:$E$7,4,FALSE)+$J$3*VLOOKUP(J121,COND!$A$2:$C$7,2,FALSE)+$K$3*VLOOKUP(K121,COND!$A$2:$C$7,3,FALSE)+IF(AND($B$2&gt;0,$E121&lt;20),$B$2*25,0)</f>
        <v>49.561304474717112</v>
      </c>
      <c r="AR121" s="47">
        <f t="shared" si="17"/>
        <v>0.92584855720116011</v>
      </c>
      <c r="AS121" s="45" t="str">
        <f t="shared" si="14"/>
        <v>1B</v>
      </c>
      <c r="AT121" s="45">
        <v>900</v>
      </c>
      <c r="AU121" s="45">
        <v>117</v>
      </c>
      <c r="AV121" s="45"/>
      <c r="AW121" s="45" t="str">
        <f t="shared" si="15"/>
        <v>Unlikely</v>
      </c>
      <c r="AX121" s="45"/>
      <c r="AY121" s="45">
        <f>INDEX(Table5[[#All],[Ovr]],MATCH(Batters[[#This Row],[PID]],Table5[[#All],[PID]],0))</f>
        <v>54</v>
      </c>
      <c r="AZ121" s="45" t="str">
        <f>INDEX(Table5[[#All],[Rnd]],MATCH(Batters[[#This Row],[PID]],Table5[[#All],[PID]],0))</f>
        <v>2</v>
      </c>
      <c r="BA121" s="45">
        <f>INDEX(Table5[[#All],[Pick]],MATCH(Batters[[#This Row],[PID]],Table5[[#All],[PID]],0))</f>
        <v>18</v>
      </c>
      <c r="BB121" s="45" t="str">
        <f>INDEX(Table5[[#All],[Team]],MATCH(Batters[[#This Row],[PID]],Table5[[#All],[PID]],0))</f>
        <v>San Antonio Calzones of Laredo</v>
      </c>
    </row>
    <row r="122" spans="1:54" ht="15" customHeight="1" x14ac:dyDescent="0.3">
      <c r="A122" s="40">
        <v>12589</v>
      </c>
      <c r="B122" s="40" t="s">
        <v>50</v>
      </c>
      <c r="C122" s="40" t="s">
        <v>790</v>
      </c>
      <c r="D122" s="40" t="s">
        <v>1112</v>
      </c>
      <c r="E122" s="40">
        <v>17</v>
      </c>
      <c r="F122" s="40" t="s">
        <v>42</v>
      </c>
      <c r="G122" s="40" t="s">
        <v>42</v>
      </c>
      <c r="H122" s="41" t="s">
        <v>550</v>
      </c>
      <c r="I122" s="64" t="s">
        <v>43</v>
      </c>
      <c r="J122" s="65" t="s">
        <v>43</v>
      </c>
      <c r="K122" s="66" t="s">
        <v>43</v>
      </c>
      <c r="L122" s="40">
        <v>1</v>
      </c>
      <c r="M122" s="40">
        <v>4</v>
      </c>
      <c r="N122" s="40">
        <v>4</v>
      </c>
      <c r="O122" s="40">
        <v>4</v>
      </c>
      <c r="P122" s="41">
        <v>1</v>
      </c>
      <c r="Q122" s="40">
        <v>4</v>
      </c>
      <c r="R122" s="40">
        <v>5</v>
      </c>
      <c r="S122" s="40">
        <v>6</v>
      </c>
      <c r="T122" s="40">
        <v>6</v>
      </c>
      <c r="U122" s="41">
        <v>3</v>
      </c>
      <c r="V122" s="40">
        <v>4</v>
      </c>
      <c r="W122" s="40">
        <v>8</v>
      </c>
      <c r="X122" s="40">
        <v>1</v>
      </c>
      <c r="Y122" s="41">
        <v>1</v>
      </c>
      <c r="Z122" s="40" t="s">
        <v>45</v>
      </c>
      <c r="AA122" s="40" t="s">
        <v>45</v>
      </c>
      <c r="AB122" s="40" t="s">
        <v>45</v>
      </c>
      <c r="AC122" s="40" t="s">
        <v>45</v>
      </c>
      <c r="AD122" s="40" t="s">
        <v>45</v>
      </c>
      <c r="AE122" s="40">
        <v>1</v>
      </c>
      <c r="AF122" s="40" t="s">
        <v>45</v>
      </c>
      <c r="AG122" s="41" t="s">
        <v>45</v>
      </c>
      <c r="AH122" s="40">
        <v>3</v>
      </c>
      <c r="AI122" s="40">
        <v>4</v>
      </c>
      <c r="AJ122" s="41">
        <v>1</v>
      </c>
      <c r="AK122" s="43" t="s">
        <v>497</v>
      </c>
      <c r="AL122" s="43" t="s">
        <v>103</v>
      </c>
      <c r="AM122" s="44">
        <f t="shared" si="10"/>
        <v>-1.4128505788710137</v>
      </c>
      <c r="AN122" s="44">
        <f t="shared" si="11"/>
        <v>3.1451577056845731E-2</v>
      </c>
      <c r="AO122" s="45">
        <f t="shared" si="12"/>
        <v>0</v>
      </c>
      <c r="AP122" s="46">
        <f t="shared" si="13"/>
        <v>0</v>
      </c>
      <c r="AQ122" s="44">
        <f>($AM$3*AM122+$AN$3*AN122+$AO$3*AO122+$AP$3*AP122)+$I$3*VLOOKUP(I122,COND!$A$2:$E$7,4,FALSE)+$J$3*VLOOKUP(J122,COND!$A$2:$C$7,2,FALSE)+$K$3*VLOOKUP(K122,COND!$A$2:$C$7,3,FALSE)+IF(AND($B$2&gt;0,$E122&lt;20),$B$2*25,0)</f>
        <v>50.236133866795043</v>
      </c>
      <c r="AR122" s="47">
        <f t="shared" si="17"/>
        <v>1.0243521278971126</v>
      </c>
      <c r="AS122" s="45" t="str">
        <f t="shared" si="14"/>
        <v>LF</v>
      </c>
      <c r="AT122" s="45">
        <v>900</v>
      </c>
      <c r="AU122" s="45">
        <v>118</v>
      </c>
      <c r="AV122" s="45"/>
      <c r="AW122" s="45" t="str">
        <f t="shared" si="15"/>
        <v>Possible</v>
      </c>
      <c r="AX122" s="45"/>
      <c r="AY122" s="45">
        <f>INDEX(Table5[[#All],[Ovr]],MATCH(Batters[[#This Row],[PID]],Table5[[#All],[PID]],0))</f>
        <v>136</v>
      </c>
      <c r="AZ122" s="45" t="str">
        <f>INDEX(Table5[[#All],[Rnd]],MATCH(Batters[[#This Row],[PID]],Table5[[#All],[PID]],0))</f>
        <v>4</v>
      </c>
      <c r="BA122" s="45">
        <f>INDEX(Table5[[#All],[Pick]],MATCH(Batters[[#This Row],[PID]],Table5[[#All],[PID]],0))</f>
        <v>31</v>
      </c>
      <c r="BB122" s="45" t="str">
        <f>INDEX(Table5[[#All],[Team]],MATCH(Batters[[#This Row],[PID]],Table5[[#All],[PID]],0))</f>
        <v>West Virginia Alleghenies</v>
      </c>
    </row>
    <row r="123" spans="1:54" ht="15" customHeight="1" x14ac:dyDescent="0.3">
      <c r="A123" s="40">
        <v>12715</v>
      </c>
      <c r="B123" s="40" t="s">
        <v>66</v>
      </c>
      <c r="C123" s="40" t="s">
        <v>176</v>
      </c>
      <c r="D123" s="40" t="s">
        <v>1034</v>
      </c>
      <c r="E123" s="40">
        <v>17</v>
      </c>
      <c r="F123" s="40" t="s">
        <v>42</v>
      </c>
      <c r="G123" s="40" t="s">
        <v>42</v>
      </c>
      <c r="H123" s="41" t="s">
        <v>550</v>
      </c>
      <c r="I123" s="64" t="s">
        <v>43</v>
      </c>
      <c r="J123" s="65" t="s">
        <v>43</v>
      </c>
      <c r="K123" s="66" t="s">
        <v>43</v>
      </c>
      <c r="L123" s="40">
        <v>1</v>
      </c>
      <c r="M123" s="40">
        <v>3</v>
      </c>
      <c r="N123" s="40">
        <v>4</v>
      </c>
      <c r="O123" s="40">
        <v>4</v>
      </c>
      <c r="P123" s="41">
        <v>1</v>
      </c>
      <c r="Q123" s="40">
        <v>4</v>
      </c>
      <c r="R123" s="40">
        <v>5</v>
      </c>
      <c r="S123" s="40">
        <v>6</v>
      </c>
      <c r="T123" s="40">
        <v>6</v>
      </c>
      <c r="U123" s="41">
        <v>3</v>
      </c>
      <c r="V123" s="40">
        <v>3</v>
      </c>
      <c r="W123" s="40">
        <v>6</v>
      </c>
      <c r="X123" s="40">
        <v>1</v>
      </c>
      <c r="Y123" s="41">
        <v>1</v>
      </c>
      <c r="Z123" s="40" t="s">
        <v>45</v>
      </c>
      <c r="AA123" s="40" t="s">
        <v>45</v>
      </c>
      <c r="AB123" s="40" t="s">
        <v>45</v>
      </c>
      <c r="AC123" s="40" t="s">
        <v>45</v>
      </c>
      <c r="AD123" s="40" t="s">
        <v>45</v>
      </c>
      <c r="AE123" s="40">
        <v>1</v>
      </c>
      <c r="AF123" s="40" t="s">
        <v>45</v>
      </c>
      <c r="AG123" s="41">
        <v>1</v>
      </c>
      <c r="AH123" s="40">
        <v>1</v>
      </c>
      <c r="AI123" s="40">
        <v>1</v>
      </c>
      <c r="AJ123" s="41">
        <v>1</v>
      </c>
      <c r="AK123" s="43" t="s">
        <v>497</v>
      </c>
      <c r="AL123" s="43" t="s">
        <v>103</v>
      </c>
      <c r="AM123" s="44">
        <f t="shared" si="10"/>
        <v>-1.4639104584897171</v>
      </c>
      <c r="AN123" s="44">
        <f t="shared" si="11"/>
        <v>3.1451577056845731E-2</v>
      </c>
      <c r="AO123" s="45">
        <f t="shared" si="12"/>
        <v>0</v>
      </c>
      <c r="AP123" s="46">
        <f t="shared" si="13"/>
        <v>0</v>
      </c>
      <c r="AQ123" s="44">
        <f>($AM$3*AM123+$AN$3*AN123+$AO$3*AO123+$AP$3*AP123)+$I$3*VLOOKUP(I123,COND!$A$2:$E$7,4,FALSE)+$J$3*VLOOKUP(J123,COND!$A$2:$C$7,2,FALSE)+$K$3*VLOOKUP(K123,COND!$A$2:$C$7,3,FALSE)+IF(AND($B$2&gt;0,$E123&lt;20),$B$2*25,0)</f>
        <v>50.231027878833174</v>
      </c>
      <c r="AR123" s="47">
        <f t="shared" si="17"/>
        <v>1.0236068164864374</v>
      </c>
      <c r="AS123" s="45" t="str">
        <f t="shared" si="14"/>
        <v>RF</v>
      </c>
      <c r="AT123" s="45">
        <v>900</v>
      </c>
      <c r="AU123" s="45">
        <v>119</v>
      </c>
      <c r="AV123" s="45"/>
      <c r="AW123" s="45" t="str">
        <f t="shared" si="15"/>
        <v>Possible</v>
      </c>
      <c r="AX123" s="45"/>
      <c r="AY123" s="45">
        <f>INDEX(Table5[[#All],[Ovr]],MATCH(Batters[[#This Row],[PID]],Table5[[#All],[PID]],0))</f>
        <v>210</v>
      </c>
      <c r="AZ123" s="45" t="str">
        <f>INDEX(Table5[[#All],[Rnd]],MATCH(Batters[[#This Row],[PID]],Table5[[#All],[PID]],0))</f>
        <v>7</v>
      </c>
      <c r="BA123" s="45">
        <f>INDEX(Table5[[#All],[Pick]],MATCH(Batters[[#This Row],[PID]],Table5[[#All],[PID]],0))</f>
        <v>9</v>
      </c>
      <c r="BB123" s="45" t="str">
        <f>INDEX(Table5[[#All],[Team]],MATCH(Batters[[#This Row],[PID]],Table5[[#All],[PID]],0))</f>
        <v>New Jersey Hitmen</v>
      </c>
    </row>
    <row r="124" spans="1:54" ht="15" customHeight="1" x14ac:dyDescent="0.3">
      <c r="A124" s="40">
        <v>9982</v>
      </c>
      <c r="B124" s="40" t="s">
        <v>72</v>
      </c>
      <c r="C124" s="40" t="s">
        <v>125</v>
      </c>
      <c r="D124" s="40" t="s">
        <v>619</v>
      </c>
      <c r="E124" s="40">
        <v>17</v>
      </c>
      <c r="F124" s="40" t="s">
        <v>42</v>
      </c>
      <c r="G124" s="40" t="s">
        <v>42</v>
      </c>
      <c r="H124" s="41" t="s">
        <v>550</v>
      </c>
      <c r="I124" s="64" t="s">
        <v>43</v>
      </c>
      <c r="J124" s="65" t="s">
        <v>43</v>
      </c>
      <c r="K124" s="66" t="s">
        <v>43</v>
      </c>
      <c r="L124" s="40">
        <v>1</v>
      </c>
      <c r="M124" s="40">
        <v>3</v>
      </c>
      <c r="N124" s="40">
        <v>2</v>
      </c>
      <c r="O124" s="40">
        <v>2</v>
      </c>
      <c r="P124" s="41">
        <v>3</v>
      </c>
      <c r="Q124" s="40">
        <v>4</v>
      </c>
      <c r="R124" s="40">
        <v>6</v>
      </c>
      <c r="S124" s="40">
        <v>5</v>
      </c>
      <c r="T124" s="40">
        <v>4</v>
      </c>
      <c r="U124" s="41">
        <v>6</v>
      </c>
      <c r="V124" s="40">
        <v>9</v>
      </c>
      <c r="W124" s="40">
        <v>8</v>
      </c>
      <c r="X124" s="40">
        <v>1</v>
      </c>
      <c r="Y124" s="41">
        <v>1</v>
      </c>
      <c r="Z124" s="40" t="s">
        <v>45</v>
      </c>
      <c r="AA124" s="40" t="s">
        <v>45</v>
      </c>
      <c r="AB124" s="40">
        <v>3</v>
      </c>
      <c r="AC124" s="40" t="s">
        <v>45</v>
      </c>
      <c r="AD124" s="40">
        <v>2</v>
      </c>
      <c r="AE124" s="40" t="s">
        <v>45</v>
      </c>
      <c r="AF124" s="40" t="s">
        <v>45</v>
      </c>
      <c r="AG124" s="41" t="s">
        <v>45</v>
      </c>
      <c r="AH124" s="40">
        <v>5</v>
      </c>
      <c r="AI124" s="40">
        <v>4</v>
      </c>
      <c r="AJ124" s="41">
        <v>4</v>
      </c>
      <c r="AK124" s="43" t="s">
        <v>503</v>
      </c>
      <c r="AL124" s="43" t="s">
        <v>103</v>
      </c>
      <c r="AM124" s="44">
        <f t="shared" si="10"/>
        <v>-1.7294198669225156</v>
      </c>
      <c r="AN124" s="44">
        <f t="shared" si="11"/>
        <v>-5.9920117916263983E-2</v>
      </c>
      <c r="AO124" s="45">
        <f t="shared" si="12"/>
        <v>0</v>
      </c>
      <c r="AP124" s="46">
        <f t="shared" si="13"/>
        <v>0</v>
      </c>
      <c r="AQ124" s="44">
        <f>($AM$3*AM124+$AN$3*AN124+$AO$3*AO124+$AP$3*AP124)+$I$3*VLOOKUP(I124,COND!$A$2:$E$7,4,FALSE)+$J$3*VLOOKUP(J124,COND!$A$2:$C$7,2,FALSE)+$K$3*VLOOKUP(K124,COND!$A$2:$C$7,3,FALSE)+IF(AND($B$2&gt;0,$E124&lt;20),$B$2*25,0)</f>
        <v>49.108016598312581</v>
      </c>
      <c r="AR124" s="47">
        <f t="shared" si="17"/>
        <v>0.85968298275641886</v>
      </c>
      <c r="AS124" s="45" t="str">
        <f t="shared" si="14"/>
        <v>2B</v>
      </c>
      <c r="AT124" s="45">
        <v>900</v>
      </c>
      <c r="AU124" s="45">
        <v>120</v>
      </c>
      <c r="AV124" s="45"/>
      <c r="AW124" s="45" t="str">
        <f t="shared" si="15"/>
        <v>Unlikely</v>
      </c>
      <c r="AX124" s="45"/>
      <c r="AY124" s="45">
        <f>INDEX(Table5[[#All],[Ovr]],MATCH(Batters[[#This Row],[PID]],Table5[[#All],[PID]],0))</f>
        <v>242</v>
      </c>
      <c r="AZ124" s="45" t="str">
        <f>INDEX(Table5[[#All],[Rnd]],MATCH(Batters[[#This Row],[PID]],Table5[[#All],[PID]],0))</f>
        <v>8</v>
      </c>
      <c r="BA124" s="45">
        <f>INDEX(Table5[[#All],[Pick]],MATCH(Batters[[#This Row],[PID]],Table5[[#All],[PID]],0))</f>
        <v>9</v>
      </c>
      <c r="BB124" s="45" t="str">
        <f>INDEX(Table5[[#All],[Team]],MATCH(Batters[[#This Row],[PID]],Table5[[#All],[PID]],0))</f>
        <v>New Jersey Hitmen</v>
      </c>
    </row>
    <row r="125" spans="1:54" ht="15" customHeight="1" x14ac:dyDescent="0.3">
      <c r="A125" s="40">
        <v>12056</v>
      </c>
      <c r="B125" s="40" t="s">
        <v>71</v>
      </c>
      <c r="C125" s="40" t="s">
        <v>1222</v>
      </c>
      <c r="D125" s="40" t="s">
        <v>1223</v>
      </c>
      <c r="E125" s="40">
        <v>17</v>
      </c>
      <c r="F125" s="40" t="s">
        <v>42</v>
      </c>
      <c r="G125" s="40" t="s">
        <v>42</v>
      </c>
      <c r="H125" s="41" t="s">
        <v>552</v>
      </c>
      <c r="I125" s="64" t="s">
        <v>43</v>
      </c>
      <c r="J125" s="65" t="s">
        <v>47</v>
      </c>
      <c r="K125" s="66" t="s">
        <v>43</v>
      </c>
      <c r="L125" s="40">
        <v>2</v>
      </c>
      <c r="M125" s="40">
        <v>4</v>
      </c>
      <c r="N125" s="40">
        <v>3</v>
      </c>
      <c r="O125" s="40">
        <v>3</v>
      </c>
      <c r="P125" s="41">
        <v>2</v>
      </c>
      <c r="Q125" s="40">
        <v>4</v>
      </c>
      <c r="R125" s="40">
        <v>5</v>
      </c>
      <c r="S125" s="40">
        <v>4</v>
      </c>
      <c r="T125" s="40">
        <v>5</v>
      </c>
      <c r="U125" s="41">
        <v>4</v>
      </c>
      <c r="V125" s="40">
        <v>3</v>
      </c>
      <c r="W125" s="40">
        <v>2</v>
      </c>
      <c r="X125" s="40">
        <v>1</v>
      </c>
      <c r="Y125" s="41">
        <v>1</v>
      </c>
      <c r="Z125" s="40" t="s">
        <v>45</v>
      </c>
      <c r="AA125" s="40" t="s">
        <v>45</v>
      </c>
      <c r="AB125" s="40">
        <v>1</v>
      </c>
      <c r="AC125" s="40" t="s">
        <v>45</v>
      </c>
      <c r="AD125" s="40" t="s">
        <v>45</v>
      </c>
      <c r="AE125" s="40" t="s">
        <v>45</v>
      </c>
      <c r="AF125" s="40" t="s">
        <v>45</v>
      </c>
      <c r="AG125" s="41" t="s">
        <v>45</v>
      </c>
      <c r="AH125" s="40">
        <v>7</v>
      </c>
      <c r="AI125" s="40">
        <v>7</v>
      </c>
      <c r="AJ125" s="41">
        <v>5</v>
      </c>
      <c r="AK125" s="43" t="s">
        <v>576</v>
      </c>
      <c r="AL125" s="43" t="s">
        <v>103</v>
      </c>
      <c r="AM125" s="44">
        <f t="shared" si="10"/>
        <v>-1.2230494468847384</v>
      </c>
      <c r="AN125" s="44">
        <f t="shared" si="11"/>
        <v>-0.18436462118345487</v>
      </c>
      <c r="AO125" s="45">
        <f t="shared" si="12"/>
        <v>0</v>
      </c>
      <c r="AP125" s="46">
        <f t="shared" si="13"/>
        <v>0</v>
      </c>
      <c r="AQ125" s="44">
        <f>($AM$3*AM125+$AN$3*AN125+$AO$3*AO125+$AP$3*AP125)+$I$3*VLOOKUP(I125,COND!$A$2:$E$7,4,FALSE)+$J$3*VLOOKUP(J125,COND!$A$2:$C$7,2,FALSE)+$K$3*VLOOKUP(K125,COND!$A$2:$C$7,3,FALSE)+IF(AND($B$2&gt;0,$E125&lt;20),$B$2*25,0)</f>
        <v>47.965319601110068</v>
      </c>
      <c r="AR125" s="47">
        <f t="shared" si="17"/>
        <v>0.69288566217529113</v>
      </c>
      <c r="AS125" s="45" t="str">
        <f t="shared" si="14"/>
        <v>2B</v>
      </c>
      <c r="AT125" s="45">
        <v>900</v>
      </c>
      <c r="AU125" s="45">
        <v>121</v>
      </c>
      <c r="AV125" s="45"/>
      <c r="AW125" s="45" t="str">
        <f t="shared" si="15"/>
        <v>Unlikely</v>
      </c>
      <c r="AX125" s="45"/>
      <c r="AY125" s="45">
        <f>INDEX(Table5[[#All],[Ovr]],MATCH(Batters[[#This Row],[PID]],Table5[[#All],[PID]],0))</f>
        <v>248</v>
      </c>
      <c r="AZ125" s="45" t="str">
        <f>INDEX(Table5[[#All],[Rnd]],MATCH(Batters[[#This Row],[PID]],Table5[[#All],[PID]],0))</f>
        <v>8</v>
      </c>
      <c r="BA125" s="45">
        <f>INDEX(Table5[[#All],[Pick]],MATCH(Batters[[#This Row],[PID]],Table5[[#All],[PID]],0))</f>
        <v>15</v>
      </c>
      <c r="BB125" s="45" t="str">
        <f>INDEX(Table5[[#All],[Team]],MATCH(Batters[[#This Row],[PID]],Table5[[#All],[PID]],0))</f>
        <v>Niihama-shi Ghosts</v>
      </c>
    </row>
    <row r="126" spans="1:54" ht="15" customHeight="1" x14ac:dyDescent="0.3">
      <c r="A126" s="40">
        <v>20672</v>
      </c>
      <c r="B126" s="40" t="s">
        <v>87</v>
      </c>
      <c r="C126" s="40" t="s">
        <v>1147</v>
      </c>
      <c r="D126" s="40" t="s">
        <v>927</v>
      </c>
      <c r="E126" s="40">
        <v>17</v>
      </c>
      <c r="F126" s="40" t="s">
        <v>53</v>
      </c>
      <c r="G126" s="40" t="s">
        <v>53</v>
      </c>
      <c r="H126" s="41" t="s">
        <v>552</v>
      </c>
      <c r="I126" s="64" t="s">
        <v>43</v>
      </c>
      <c r="J126" s="65" t="s">
        <v>47</v>
      </c>
      <c r="K126" s="66" t="s">
        <v>43</v>
      </c>
      <c r="L126" s="40">
        <v>1</v>
      </c>
      <c r="M126" s="40">
        <v>4</v>
      </c>
      <c r="N126" s="40">
        <v>2</v>
      </c>
      <c r="O126" s="40">
        <v>4</v>
      </c>
      <c r="P126" s="41">
        <v>2</v>
      </c>
      <c r="Q126" s="40">
        <v>4</v>
      </c>
      <c r="R126" s="40">
        <v>4</v>
      </c>
      <c r="S126" s="40">
        <v>3</v>
      </c>
      <c r="T126" s="40">
        <v>6</v>
      </c>
      <c r="U126" s="41">
        <v>4</v>
      </c>
      <c r="V126" s="40">
        <v>1</v>
      </c>
      <c r="W126" s="40">
        <v>3</v>
      </c>
      <c r="X126" s="40">
        <v>1</v>
      </c>
      <c r="Y126" s="41">
        <v>1</v>
      </c>
      <c r="Z126" s="40" t="s">
        <v>45</v>
      </c>
      <c r="AA126" s="40">
        <v>1</v>
      </c>
      <c r="AB126" s="40" t="s">
        <v>45</v>
      </c>
      <c r="AC126" s="40" t="s">
        <v>45</v>
      </c>
      <c r="AD126" s="40" t="s">
        <v>45</v>
      </c>
      <c r="AE126" s="40" t="s">
        <v>45</v>
      </c>
      <c r="AF126" s="40" t="s">
        <v>45</v>
      </c>
      <c r="AG126" s="41" t="s">
        <v>45</v>
      </c>
      <c r="AH126" s="40">
        <v>1</v>
      </c>
      <c r="AI126" s="40">
        <v>1</v>
      </c>
      <c r="AJ126" s="41">
        <v>3</v>
      </c>
      <c r="AK126" s="43" t="s">
        <v>583</v>
      </c>
      <c r="AL126" s="43" t="s">
        <v>103</v>
      </c>
      <c r="AM126" s="44">
        <f t="shared" si="10"/>
        <v>-1.5389572271017335</v>
      </c>
      <c r="AN126" s="44">
        <f t="shared" si="11"/>
        <v>-0.2287764448164788</v>
      </c>
      <c r="AO126" s="45">
        <f t="shared" si="12"/>
        <v>0</v>
      </c>
      <c r="AP126" s="46">
        <f t="shared" si="13"/>
        <v>0</v>
      </c>
      <c r="AQ126" s="44">
        <f>($AM$3*AM126+$AN$3*AN126+$AO$3*AO126+$AP$3*AP126)+$I$3*VLOOKUP(I126,COND!$A$2:$E$7,4,FALSE)+$J$3*VLOOKUP(J126,COND!$A$2:$C$7,2,FALSE)+$K$3*VLOOKUP(K126,COND!$A$2:$C$7,3,FALSE)+IF(AND($B$2&gt;0,$E126&lt;20),$B$2*25,0)</f>
        <v>47.400786939492079</v>
      </c>
      <c r="AR126" s="47">
        <f t="shared" si="17"/>
        <v>0.61048189672483799</v>
      </c>
      <c r="AS126" s="45" t="str">
        <f t="shared" si="14"/>
        <v>1B</v>
      </c>
      <c r="AT126" s="45">
        <v>900</v>
      </c>
      <c r="AU126" s="45">
        <v>122</v>
      </c>
      <c r="AV126" s="45"/>
      <c r="AW126" s="45" t="str">
        <f t="shared" si="15"/>
        <v>Unlikely</v>
      </c>
      <c r="AX126" s="45"/>
      <c r="AY126" s="45">
        <f>INDEX(Table5[[#All],[Ovr]],MATCH(Batters[[#This Row],[PID]],Table5[[#All],[PID]],0))</f>
        <v>427</v>
      </c>
      <c r="AZ126" s="45" t="str">
        <f>INDEX(Table5[[#All],[Rnd]],MATCH(Batters[[#This Row],[PID]],Table5[[#All],[PID]],0))</f>
        <v>13</v>
      </c>
      <c r="BA126" s="45">
        <f>INDEX(Table5[[#All],[Pick]],MATCH(Batters[[#This Row],[PID]],Table5[[#All],[PID]],0))</f>
        <v>28</v>
      </c>
      <c r="BB126" s="45" t="str">
        <f>INDEX(Table5[[#All],[Team]],MATCH(Batters[[#This Row],[PID]],Table5[[#All],[PID]],0))</f>
        <v>Amsterdam Lions</v>
      </c>
    </row>
    <row r="127" spans="1:54" ht="15" customHeight="1" x14ac:dyDescent="0.3">
      <c r="A127" s="40">
        <v>12929</v>
      </c>
      <c r="B127" s="40" t="s">
        <v>69</v>
      </c>
      <c r="C127" s="40" t="s">
        <v>172</v>
      </c>
      <c r="D127" s="40" t="s">
        <v>922</v>
      </c>
      <c r="E127" s="40">
        <v>18</v>
      </c>
      <c r="F127" s="40" t="s">
        <v>42</v>
      </c>
      <c r="G127" s="40" t="s">
        <v>42</v>
      </c>
      <c r="H127" s="41" t="s">
        <v>552</v>
      </c>
      <c r="I127" s="64" t="s">
        <v>43</v>
      </c>
      <c r="J127" s="65" t="s">
        <v>43</v>
      </c>
      <c r="K127" s="66" t="s">
        <v>43</v>
      </c>
      <c r="L127" s="40">
        <v>2</v>
      </c>
      <c r="M127" s="40">
        <v>4</v>
      </c>
      <c r="N127" s="40">
        <v>2</v>
      </c>
      <c r="O127" s="40">
        <v>1</v>
      </c>
      <c r="P127" s="41">
        <v>8</v>
      </c>
      <c r="Q127" s="40">
        <v>4</v>
      </c>
      <c r="R127" s="40">
        <v>7</v>
      </c>
      <c r="S127" s="40">
        <v>2</v>
      </c>
      <c r="T127" s="40">
        <v>3</v>
      </c>
      <c r="U127" s="41">
        <v>9</v>
      </c>
      <c r="V127" s="40">
        <v>8</v>
      </c>
      <c r="W127" s="40">
        <v>7</v>
      </c>
      <c r="X127" s="40">
        <v>1</v>
      </c>
      <c r="Y127" s="41">
        <v>1</v>
      </c>
      <c r="Z127" s="40" t="s">
        <v>45</v>
      </c>
      <c r="AA127" s="40">
        <v>3</v>
      </c>
      <c r="AB127" s="40">
        <v>3</v>
      </c>
      <c r="AC127" s="40">
        <v>5</v>
      </c>
      <c r="AD127" s="40" t="s">
        <v>45</v>
      </c>
      <c r="AE127" s="40" t="s">
        <v>45</v>
      </c>
      <c r="AF127" s="40" t="s">
        <v>45</v>
      </c>
      <c r="AG127" s="41" t="s">
        <v>45</v>
      </c>
      <c r="AH127" s="40">
        <v>8</v>
      </c>
      <c r="AI127" s="40">
        <v>3</v>
      </c>
      <c r="AJ127" s="41">
        <v>4</v>
      </c>
      <c r="AK127" s="43" t="s">
        <v>492</v>
      </c>
      <c r="AL127" s="43" t="s">
        <v>103</v>
      </c>
      <c r="AM127" s="44">
        <f t="shared" si="10"/>
        <v>-1.2454320020253011</v>
      </c>
      <c r="AN127" s="44">
        <f t="shared" si="11"/>
        <v>-0.22770525092759566</v>
      </c>
      <c r="AO127" s="45">
        <f t="shared" si="12"/>
        <v>1</v>
      </c>
      <c r="AP127" s="46">
        <f t="shared" si="13"/>
        <v>0.75</v>
      </c>
      <c r="AQ127" s="44">
        <f>($AM$3*AM127+$AN$3*AN127+$AO$3*AO127+$AP$3*AP127)+$I$3*VLOOKUP(I127,COND!$A$2:$E$7,4,FALSE)+$J$3*VLOOKUP(J127,COND!$A$2:$C$7,2,FALSE)+$K$3*VLOOKUP(K127,COND!$A$2:$C$7,3,FALSE)+IF(AND($B$2&gt;0,$E127&lt;20),$B$2*25,0)</f>
        <v>48.059660455332988</v>
      </c>
      <c r="AR127" s="47">
        <f t="shared" si="17"/>
        <v>0.7066564183287084</v>
      </c>
      <c r="AS127" s="45" t="str">
        <f t="shared" si="14"/>
        <v>3B</v>
      </c>
      <c r="AT127" s="45">
        <v>900</v>
      </c>
      <c r="AU127" s="45">
        <v>123</v>
      </c>
      <c r="AV127" s="45"/>
      <c r="AW127" s="45" t="str">
        <f t="shared" si="15"/>
        <v>Unlikely</v>
      </c>
      <c r="AX127" s="45"/>
      <c r="AY127" s="63">
        <f>INDEX(Table5[[#All],[Ovr]],MATCH(Batters[[#This Row],[PID]],Table5[[#All],[PID]],0))</f>
        <v>86</v>
      </c>
      <c r="AZ127" s="63" t="str">
        <f>INDEX(Table5[[#All],[Rnd]],MATCH(Batters[[#This Row],[PID]],Table5[[#All],[PID]],0))</f>
        <v>3</v>
      </c>
      <c r="BA127" s="63">
        <f>INDEX(Table5[[#All],[Pick]],MATCH(Batters[[#This Row],[PID]],Table5[[#All],[PID]],0))</f>
        <v>14</v>
      </c>
      <c r="BB127" s="63" t="str">
        <f>INDEX(Table5[[#All],[Team]],MATCH(Batters[[#This Row],[PID]],Table5[[#All],[PID]],0))</f>
        <v>San Antonio Calzones of Laredo</v>
      </c>
    </row>
    <row r="128" spans="1:54" ht="15" customHeight="1" x14ac:dyDescent="0.3">
      <c r="A128" s="40">
        <v>13223</v>
      </c>
      <c r="B128" s="40" t="s">
        <v>50</v>
      </c>
      <c r="C128" s="40" t="s">
        <v>1192</v>
      </c>
      <c r="D128" s="40" t="s">
        <v>339</v>
      </c>
      <c r="E128" s="40">
        <v>17</v>
      </c>
      <c r="F128" s="40" t="s">
        <v>42</v>
      </c>
      <c r="G128" s="40" t="s">
        <v>53</v>
      </c>
      <c r="H128" s="41" t="s">
        <v>552</v>
      </c>
      <c r="I128" s="64" t="s">
        <v>43</v>
      </c>
      <c r="J128" s="65" t="s">
        <v>47</v>
      </c>
      <c r="K128" s="66" t="s">
        <v>43</v>
      </c>
      <c r="L128" s="40">
        <v>1</v>
      </c>
      <c r="M128" s="40">
        <v>3</v>
      </c>
      <c r="N128" s="40">
        <v>2</v>
      </c>
      <c r="O128" s="40">
        <v>3</v>
      </c>
      <c r="P128" s="41">
        <v>3</v>
      </c>
      <c r="Q128" s="40">
        <v>4</v>
      </c>
      <c r="R128" s="40">
        <v>4</v>
      </c>
      <c r="S128" s="40">
        <v>2</v>
      </c>
      <c r="T128" s="40">
        <v>6</v>
      </c>
      <c r="U128" s="41">
        <v>5</v>
      </c>
      <c r="V128" s="40">
        <v>2</v>
      </c>
      <c r="W128" s="40">
        <v>5</v>
      </c>
      <c r="X128" s="40">
        <v>1</v>
      </c>
      <c r="Y128" s="41">
        <v>1</v>
      </c>
      <c r="Z128" s="40" t="s">
        <v>45</v>
      </c>
      <c r="AA128" s="40" t="s">
        <v>45</v>
      </c>
      <c r="AB128" s="40" t="s">
        <v>45</v>
      </c>
      <c r="AC128" s="40" t="s">
        <v>45</v>
      </c>
      <c r="AD128" s="40" t="s">
        <v>45</v>
      </c>
      <c r="AE128" s="40">
        <v>1</v>
      </c>
      <c r="AF128" s="40" t="s">
        <v>45</v>
      </c>
      <c r="AG128" s="41" t="s">
        <v>45</v>
      </c>
      <c r="AH128" s="40">
        <v>3</v>
      </c>
      <c r="AI128" s="40">
        <v>6</v>
      </c>
      <c r="AJ128" s="41">
        <v>8</v>
      </c>
      <c r="AK128" s="43" t="s">
        <v>558</v>
      </c>
      <c r="AL128" s="43" t="s">
        <v>103</v>
      </c>
      <c r="AM128" s="44">
        <f t="shared" si="10"/>
        <v>-1.6397103169129343</v>
      </c>
      <c r="AN128" s="44">
        <f t="shared" si="11"/>
        <v>-0.27182159902329689</v>
      </c>
      <c r="AO128" s="45">
        <f t="shared" si="12"/>
        <v>1</v>
      </c>
      <c r="AP128" s="46">
        <f t="shared" si="13"/>
        <v>0</v>
      </c>
      <c r="AQ128" s="44">
        <f>($AM$3*AM128+$AN$3*AN128+$AO$3*AO128+$AP$3*AP128)+$I$3*VLOOKUP(I128,COND!$A$2:$E$7,4,FALSE)+$J$3*VLOOKUP(J128,COND!$A$2:$C$7,2,FALSE)+$K$3*VLOOKUP(K128,COND!$A$2:$C$7,3,FALSE)+IF(AND($B$2&gt;0,$E128&lt;20),$B$2*25,0)</f>
        <v>47.040836446695813</v>
      </c>
      <c r="AR128" s="47">
        <f t="shared" si="17"/>
        <v>0.55794060372480636</v>
      </c>
      <c r="AS128" s="45" t="str">
        <f t="shared" si="14"/>
        <v>LF</v>
      </c>
      <c r="AT128" s="45">
        <v>900</v>
      </c>
      <c r="AU128" s="45">
        <v>124</v>
      </c>
      <c r="AV128" s="45"/>
      <c r="AW128" s="45" t="str">
        <f t="shared" si="15"/>
        <v>Unlikely</v>
      </c>
      <c r="AX128" s="45"/>
      <c r="AY128" s="45">
        <f>INDEX(Table5[[#All],[Ovr]],MATCH(Batters[[#This Row],[PID]],Table5[[#All],[PID]],0))</f>
        <v>454</v>
      </c>
      <c r="AZ128" s="45" t="str">
        <f>INDEX(Table5[[#All],[Rnd]],MATCH(Batters[[#This Row],[PID]],Table5[[#All],[PID]],0))</f>
        <v>14</v>
      </c>
      <c r="BA128" s="45">
        <f>INDEX(Table5[[#All],[Pick]],MATCH(Batters[[#This Row],[PID]],Table5[[#All],[PID]],0))</f>
        <v>21</v>
      </c>
      <c r="BB128" s="45" t="str">
        <f>INDEX(Table5[[#All],[Team]],MATCH(Batters[[#This Row],[PID]],Table5[[#All],[PID]],0))</f>
        <v>Neo-Tokyo Akira</v>
      </c>
    </row>
    <row r="129" spans="1:54" ht="15" customHeight="1" x14ac:dyDescent="0.3">
      <c r="A129" s="40">
        <v>20497</v>
      </c>
      <c r="B129" s="40" t="s">
        <v>69</v>
      </c>
      <c r="C129" s="40" t="s">
        <v>1099</v>
      </c>
      <c r="D129" s="40" t="s">
        <v>701</v>
      </c>
      <c r="E129" s="40">
        <v>17</v>
      </c>
      <c r="F129" s="40" t="s">
        <v>53</v>
      </c>
      <c r="G129" s="40" t="s">
        <v>42</v>
      </c>
      <c r="H129" s="41" t="s">
        <v>550</v>
      </c>
      <c r="I129" s="64" t="s">
        <v>43</v>
      </c>
      <c r="J129" s="65" t="s">
        <v>43</v>
      </c>
      <c r="K129" s="66" t="s">
        <v>43</v>
      </c>
      <c r="L129" s="40">
        <v>1</v>
      </c>
      <c r="M129" s="40">
        <v>3</v>
      </c>
      <c r="N129" s="40">
        <v>3</v>
      </c>
      <c r="O129" s="40">
        <v>3</v>
      </c>
      <c r="P129" s="41">
        <v>3</v>
      </c>
      <c r="Q129" s="40">
        <v>4</v>
      </c>
      <c r="R129" s="40">
        <v>4</v>
      </c>
      <c r="S129" s="40">
        <v>4</v>
      </c>
      <c r="T129" s="40">
        <v>5</v>
      </c>
      <c r="U129" s="41">
        <v>5</v>
      </c>
      <c r="V129" s="40">
        <v>7</v>
      </c>
      <c r="W129" s="40">
        <v>7</v>
      </c>
      <c r="X129" s="40">
        <v>1</v>
      </c>
      <c r="Y129" s="41">
        <v>1</v>
      </c>
      <c r="Z129" s="40" t="s">
        <v>45</v>
      </c>
      <c r="AA129" s="40" t="s">
        <v>45</v>
      </c>
      <c r="AB129" s="40" t="s">
        <v>45</v>
      </c>
      <c r="AC129" s="40">
        <v>2</v>
      </c>
      <c r="AD129" s="40" t="s">
        <v>45</v>
      </c>
      <c r="AE129" s="40" t="s">
        <v>45</v>
      </c>
      <c r="AF129" s="40" t="s">
        <v>45</v>
      </c>
      <c r="AG129" s="41" t="s">
        <v>45</v>
      </c>
      <c r="AH129" s="40">
        <v>4</v>
      </c>
      <c r="AI129" s="40">
        <v>1</v>
      </c>
      <c r="AJ129" s="41">
        <v>2</v>
      </c>
      <c r="AK129" s="43" t="s">
        <v>497</v>
      </c>
      <c r="AL129" s="43" t="s">
        <v>103</v>
      </c>
      <c r="AM129" s="44">
        <f t="shared" si="10"/>
        <v>-1.5566488228890329</v>
      </c>
      <c r="AN129" s="44">
        <f t="shared" si="11"/>
        <v>-0.19540816098507491</v>
      </c>
      <c r="AO129" s="45">
        <f t="shared" si="12"/>
        <v>0</v>
      </c>
      <c r="AP129" s="46">
        <f t="shared" si="13"/>
        <v>0</v>
      </c>
      <c r="AQ129" s="44">
        <f>($AM$3*AM129+$AN$3*AN129+$AO$3*AO129+$AP$3*AP129)+$I$3*VLOOKUP(I129,COND!$A$2:$E$7,4,FALSE)+$J$3*VLOOKUP(J129,COND!$A$2:$C$7,2,FALSE)+$K$3*VLOOKUP(K129,COND!$A$2:$C$7,3,FALSE)+IF(AND($B$2&gt;0,$E129&lt;20),$B$2*25,0)</f>
        <v>47.499437185890201</v>
      </c>
      <c r="AR129" s="47">
        <f t="shared" si="17"/>
        <v>0.62488168670779776</v>
      </c>
      <c r="AS129" s="45" t="str">
        <f t="shared" si="14"/>
        <v>3B</v>
      </c>
      <c r="AT129" s="45">
        <v>900</v>
      </c>
      <c r="AU129" s="45">
        <v>125</v>
      </c>
      <c r="AV129" s="45"/>
      <c r="AW129" s="45" t="str">
        <f t="shared" si="15"/>
        <v>Unlikely</v>
      </c>
      <c r="AX129" s="45"/>
      <c r="AY129" s="63">
        <f>INDEX(Table5[[#All],[Ovr]],MATCH(Batters[[#This Row],[PID]],Table5[[#All],[PID]],0))</f>
        <v>274</v>
      </c>
      <c r="AZ129" s="63" t="str">
        <f>INDEX(Table5[[#All],[Rnd]],MATCH(Batters[[#This Row],[PID]],Table5[[#All],[PID]],0))</f>
        <v>9</v>
      </c>
      <c r="BA129" s="63">
        <f>INDEX(Table5[[#All],[Pick]],MATCH(Batters[[#This Row],[PID]],Table5[[#All],[PID]],0))</f>
        <v>9</v>
      </c>
      <c r="BB129" s="63" t="str">
        <f>INDEX(Table5[[#All],[Team]],MATCH(Batters[[#This Row],[PID]],Table5[[#All],[PID]],0))</f>
        <v>New Jersey Hitmen</v>
      </c>
    </row>
    <row r="130" spans="1:54" ht="15" customHeight="1" x14ac:dyDescent="0.3">
      <c r="A130" s="40">
        <v>20837</v>
      </c>
      <c r="B130" s="40" t="s">
        <v>87</v>
      </c>
      <c r="C130" s="40" t="s">
        <v>480</v>
      </c>
      <c r="D130" s="40" t="s">
        <v>849</v>
      </c>
      <c r="E130" s="40">
        <v>17</v>
      </c>
      <c r="F130" s="40" t="s">
        <v>42</v>
      </c>
      <c r="G130" s="40" t="s">
        <v>42</v>
      </c>
      <c r="H130" s="41" t="s">
        <v>552</v>
      </c>
      <c r="I130" s="64" t="s">
        <v>43</v>
      </c>
      <c r="J130" s="65" t="s">
        <v>47</v>
      </c>
      <c r="K130" s="66" t="s">
        <v>43</v>
      </c>
      <c r="L130" s="40">
        <v>1</v>
      </c>
      <c r="M130" s="40">
        <v>3</v>
      </c>
      <c r="N130" s="40">
        <v>3</v>
      </c>
      <c r="O130" s="40">
        <v>3</v>
      </c>
      <c r="P130" s="41">
        <v>1</v>
      </c>
      <c r="Q130" s="40">
        <v>3</v>
      </c>
      <c r="R130" s="40">
        <v>5</v>
      </c>
      <c r="S130" s="40">
        <v>6</v>
      </c>
      <c r="T130" s="40">
        <v>6</v>
      </c>
      <c r="U130" s="41">
        <v>3</v>
      </c>
      <c r="V130" s="40">
        <v>3</v>
      </c>
      <c r="W130" s="40">
        <v>4</v>
      </c>
      <c r="X130" s="40">
        <v>4</v>
      </c>
      <c r="Y130" s="41">
        <v>5</v>
      </c>
      <c r="Z130" s="40" t="s">
        <v>45</v>
      </c>
      <c r="AA130" s="40">
        <v>1</v>
      </c>
      <c r="AB130" s="40" t="s">
        <v>45</v>
      </c>
      <c r="AC130" s="40" t="s">
        <v>45</v>
      </c>
      <c r="AD130" s="40" t="s">
        <v>45</v>
      </c>
      <c r="AE130" s="40" t="s">
        <v>45</v>
      </c>
      <c r="AF130" s="40" t="s">
        <v>45</v>
      </c>
      <c r="AG130" s="41" t="s">
        <v>45</v>
      </c>
      <c r="AH130" s="40">
        <v>2</v>
      </c>
      <c r="AI130" s="40">
        <v>1</v>
      </c>
      <c r="AJ130" s="41">
        <v>1</v>
      </c>
      <c r="AK130" s="43" t="s">
        <v>495</v>
      </c>
      <c r="AL130" s="43" t="s">
        <v>103</v>
      </c>
      <c r="AM130" s="44">
        <f t="shared" si="10"/>
        <v>-1.6366815025231998</v>
      </c>
      <c r="AN130" s="44">
        <f t="shared" si="11"/>
        <v>-0.29110425914582899</v>
      </c>
      <c r="AO130" s="45">
        <f t="shared" si="12"/>
        <v>0</v>
      </c>
      <c r="AP130" s="46">
        <f t="shared" si="13"/>
        <v>0</v>
      </c>
      <c r="AQ130" s="44">
        <f>($AM$3*AM130+$AN$3*AN130+$AO$3*AO130+$AP$3*AP130)+$I$3*VLOOKUP(I130,COND!$A$2:$E$7,4,FALSE)+$J$3*VLOOKUP(J130,COND!$A$2:$C$7,2,FALSE)+$K$3*VLOOKUP(K130,COND!$A$2:$C$7,3,FALSE)+IF(AND($B$2&gt;0,$E130&lt;20),$B$2*25,0)</f>
        <v>46.643080739997735</v>
      </c>
      <c r="AR130" s="47">
        <f t="shared" si="17"/>
        <v>0.49988095511672087</v>
      </c>
      <c r="AS130" s="45" t="str">
        <f t="shared" si="14"/>
        <v>1B</v>
      </c>
      <c r="AT130" s="45">
        <v>900</v>
      </c>
      <c r="AU130" s="45">
        <v>126</v>
      </c>
      <c r="AV130" s="45"/>
      <c r="AW130" s="45" t="str">
        <f t="shared" si="15"/>
        <v>Unlikely</v>
      </c>
      <c r="AX130" s="45"/>
      <c r="AY130" s="45">
        <f>INDEX(Table5[[#All],[Ovr]],MATCH(Batters[[#This Row],[PID]],Table5[[#All],[PID]],0))</f>
        <v>420</v>
      </c>
      <c r="AZ130" s="45" t="str">
        <f>INDEX(Table5[[#All],[Rnd]],MATCH(Batters[[#This Row],[PID]],Table5[[#All],[PID]],0))</f>
        <v>13</v>
      </c>
      <c r="BA130" s="45">
        <f>INDEX(Table5[[#All],[Pick]],MATCH(Batters[[#This Row],[PID]],Table5[[#All],[PID]],0))</f>
        <v>21</v>
      </c>
      <c r="BB130" s="45" t="str">
        <f>INDEX(Table5[[#All],[Team]],MATCH(Batters[[#This Row],[PID]],Table5[[#All],[PID]],0))</f>
        <v>Neo-Tokyo Akira</v>
      </c>
    </row>
    <row r="131" spans="1:54" ht="15" customHeight="1" x14ac:dyDescent="0.3">
      <c r="A131" s="40">
        <v>20444</v>
      </c>
      <c r="B131" s="40" t="s">
        <v>66</v>
      </c>
      <c r="C131" s="40" t="s">
        <v>1067</v>
      </c>
      <c r="D131" s="40" t="s">
        <v>747</v>
      </c>
      <c r="E131" s="40">
        <v>17</v>
      </c>
      <c r="F131" s="40" t="s">
        <v>53</v>
      </c>
      <c r="G131" s="40" t="s">
        <v>42</v>
      </c>
      <c r="H131" s="41" t="s">
        <v>550</v>
      </c>
      <c r="I131" s="64" t="s">
        <v>44</v>
      </c>
      <c r="J131" s="65" t="s">
        <v>47</v>
      </c>
      <c r="K131" s="66" t="s">
        <v>43</v>
      </c>
      <c r="L131" s="40">
        <v>1</v>
      </c>
      <c r="M131" s="40">
        <v>4</v>
      </c>
      <c r="N131" s="40">
        <v>5</v>
      </c>
      <c r="O131" s="40">
        <v>3</v>
      </c>
      <c r="P131" s="41">
        <v>1</v>
      </c>
      <c r="Q131" s="40">
        <v>3</v>
      </c>
      <c r="R131" s="40">
        <v>5</v>
      </c>
      <c r="S131" s="40">
        <v>7</v>
      </c>
      <c r="T131" s="40">
        <v>5</v>
      </c>
      <c r="U131" s="41">
        <v>3</v>
      </c>
      <c r="V131" s="40">
        <v>4</v>
      </c>
      <c r="W131" s="40">
        <v>7</v>
      </c>
      <c r="X131" s="40">
        <v>1</v>
      </c>
      <c r="Y131" s="41">
        <v>1</v>
      </c>
      <c r="Z131" s="40" t="s">
        <v>45</v>
      </c>
      <c r="AA131" s="40" t="s">
        <v>45</v>
      </c>
      <c r="AB131" s="40" t="s">
        <v>45</v>
      </c>
      <c r="AC131" s="40" t="s">
        <v>45</v>
      </c>
      <c r="AD131" s="40" t="s">
        <v>45</v>
      </c>
      <c r="AE131" s="40" t="s">
        <v>45</v>
      </c>
      <c r="AF131" s="40" t="s">
        <v>45</v>
      </c>
      <c r="AG131" s="41">
        <v>2</v>
      </c>
      <c r="AH131" s="40">
        <v>3</v>
      </c>
      <c r="AI131" s="40">
        <v>1</v>
      </c>
      <c r="AJ131" s="41">
        <v>1</v>
      </c>
      <c r="AK131" s="43" t="s">
        <v>497</v>
      </c>
      <c r="AL131" s="43" t="s">
        <v>103</v>
      </c>
      <c r="AM131" s="44">
        <f t="shared" si="10"/>
        <v>-1.4194986348566934</v>
      </c>
      <c r="AN131" s="44">
        <f t="shared" si="11"/>
        <v>-0.29775231513150857</v>
      </c>
      <c r="AO131" s="45">
        <f t="shared" si="12"/>
        <v>0</v>
      </c>
      <c r="AP131" s="46">
        <f t="shared" si="13"/>
        <v>0</v>
      </c>
      <c r="AQ131" s="44">
        <f>($AM$3*AM131+$AN$3*AN131+$AO$3*AO131+$AP$3*AP131)+$I$3*VLOOKUP(I131,COND!$A$2:$E$7,4,FALSE)+$J$3*VLOOKUP(J131,COND!$A$2:$C$7,2,FALSE)+$K$3*VLOOKUP(K131,COND!$A$2:$C$7,3,FALSE)+IF(AND($B$2&gt;0,$E131&lt;20),$B$2*25,0)</f>
        <v>46.43502235493623</v>
      </c>
      <c r="AR131" s="47">
        <f t="shared" si="17"/>
        <v>0.4695110659530537</v>
      </c>
      <c r="AS131" s="45" t="str">
        <f t="shared" si="14"/>
        <v>RF</v>
      </c>
      <c r="AT131" s="45">
        <v>900</v>
      </c>
      <c r="AU131" s="45">
        <v>127</v>
      </c>
      <c r="AV131" s="45"/>
      <c r="AW131" s="45" t="str">
        <f t="shared" si="15"/>
        <v>Unlikely</v>
      </c>
      <c r="AX131" s="45"/>
      <c r="AY131" s="63">
        <f>INDEX(Table5[[#All],[Ovr]],MATCH(Batters[[#This Row],[PID]],Table5[[#All],[PID]],0))</f>
        <v>138</v>
      </c>
      <c r="AZ131" s="63" t="str">
        <f>INDEX(Table5[[#All],[Rnd]],MATCH(Batters[[#This Row],[PID]],Table5[[#All],[PID]],0))</f>
        <v>5</v>
      </c>
      <c r="BA131" s="63">
        <f>INDEX(Table5[[#All],[Pick]],MATCH(Batters[[#This Row],[PID]],Table5[[#All],[PID]],0))</f>
        <v>1</v>
      </c>
      <c r="BB131" s="63" t="str">
        <f>INDEX(Table5[[#All],[Team]],MATCH(Batters[[#This Row],[PID]],Table5[[#All],[PID]],0))</f>
        <v>Yuma Arroyos</v>
      </c>
    </row>
    <row r="132" spans="1:54" ht="15" customHeight="1" x14ac:dyDescent="0.3">
      <c r="A132" s="40">
        <v>12834</v>
      </c>
      <c r="B132" s="40" t="s">
        <v>87</v>
      </c>
      <c r="C132" s="40" t="s">
        <v>1121</v>
      </c>
      <c r="D132" s="40" t="s">
        <v>1122</v>
      </c>
      <c r="E132" s="40">
        <v>17</v>
      </c>
      <c r="F132" s="40" t="s">
        <v>42</v>
      </c>
      <c r="G132" s="40" t="s">
        <v>42</v>
      </c>
      <c r="H132" s="41" t="s">
        <v>550</v>
      </c>
      <c r="I132" s="64" t="s">
        <v>44</v>
      </c>
      <c r="J132" s="65" t="s">
        <v>47</v>
      </c>
      <c r="K132" s="66" t="s">
        <v>43</v>
      </c>
      <c r="L132" s="40">
        <v>1</v>
      </c>
      <c r="M132" s="40">
        <v>1</v>
      </c>
      <c r="N132" s="40">
        <v>4</v>
      </c>
      <c r="O132" s="40">
        <v>3</v>
      </c>
      <c r="P132" s="41">
        <v>1</v>
      </c>
      <c r="Q132" s="40">
        <v>3</v>
      </c>
      <c r="R132" s="40">
        <v>2</v>
      </c>
      <c r="S132" s="40">
        <v>8</v>
      </c>
      <c r="T132" s="40">
        <v>6</v>
      </c>
      <c r="U132" s="41">
        <v>2</v>
      </c>
      <c r="V132" s="40">
        <v>8</v>
      </c>
      <c r="W132" s="40">
        <v>8</v>
      </c>
      <c r="X132" s="40">
        <v>1</v>
      </c>
      <c r="Y132" s="41">
        <v>1</v>
      </c>
      <c r="Z132" s="40" t="s">
        <v>45</v>
      </c>
      <c r="AA132" s="40">
        <v>2</v>
      </c>
      <c r="AB132" s="40" t="s">
        <v>45</v>
      </c>
      <c r="AC132" s="40" t="s">
        <v>45</v>
      </c>
      <c r="AD132" s="40" t="s">
        <v>45</v>
      </c>
      <c r="AE132" s="40" t="s">
        <v>45</v>
      </c>
      <c r="AF132" s="40" t="s">
        <v>45</v>
      </c>
      <c r="AG132" s="41" t="s">
        <v>45</v>
      </c>
      <c r="AH132" s="40">
        <v>1</v>
      </c>
      <c r="AI132" s="40">
        <v>6</v>
      </c>
      <c r="AJ132" s="41">
        <v>7</v>
      </c>
      <c r="AK132" s="43" t="s">
        <v>558</v>
      </c>
      <c r="AL132" s="43" t="s">
        <v>103</v>
      </c>
      <c r="AM132" s="44">
        <f t="shared" si="10"/>
        <v>-1.6557397677367052</v>
      </c>
      <c r="AN132" s="44">
        <f t="shared" si="11"/>
        <v>-0.31817724977121992</v>
      </c>
      <c r="AO132" s="45">
        <f t="shared" si="12"/>
        <v>1</v>
      </c>
      <c r="AP132" s="46">
        <f t="shared" si="13"/>
        <v>0</v>
      </c>
      <c r="AQ132" s="44">
        <f>($AM$3*AM132+$AN$3*AN132+$AO$3*AO132+$AP$3*AP132)+$I$3*VLOOKUP(I132,COND!$A$2:$E$7,4,FALSE)+$J$3*VLOOKUP(J132,COND!$A$2:$C$7,2,FALSE)+$K$3*VLOOKUP(K132,COND!$A$2:$C$7,3,FALSE)+IF(AND($B$2&gt;0,$E132&lt;20),$B$2*25,0)</f>
        <v>46.332965692638354</v>
      </c>
      <c r="AR132" s="47">
        <f t="shared" si="17"/>
        <v>0.45461404788053489</v>
      </c>
      <c r="AS132" s="45" t="str">
        <f t="shared" si="14"/>
        <v>1B</v>
      </c>
      <c r="AT132" s="45">
        <v>900</v>
      </c>
      <c r="AU132" s="45">
        <v>128</v>
      </c>
      <c r="AV132" s="45"/>
      <c r="AW132" s="45" t="str">
        <f t="shared" si="15"/>
        <v>Possible</v>
      </c>
      <c r="AX132" s="45"/>
      <c r="AY132" s="45">
        <f>INDEX(Table5[[#All],[Ovr]],MATCH(Batters[[#This Row],[PID]],Table5[[#All],[PID]],0))</f>
        <v>243</v>
      </c>
      <c r="AZ132" s="45" t="str">
        <f>INDEX(Table5[[#All],[Rnd]],MATCH(Batters[[#This Row],[PID]],Table5[[#All],[PID]],0))</f>
        <v>8</v>
      </c>
      <c r="BA132" s="45">
        <f>INDEX(Table5[[#All],[Pick]],MATCH(Batters[[#This Row],[PID]],Table5[[#All],[PID]],0))</f>
        <v>10</v>
      </c>
      <c r="BB132" s="45" t="str">
        <f>INDEX(Table5[[#All],[Team]],MATCH(Batters[[#This Row],[PID]],Table5[[#All],[PID]],0))</f>
        <v>Niihama-shi Ghosts</v>
      </c>
    </row>
    <row r="133" spans="1:54" ht="15" customHeight="1" x14ac:dyDescent="0.3">
      <c r="A133" s="40">
        <v>20924</v>
      </c>
      <c r="B133" s="40" t="s">
        <v>50</v>
      </c>
      <c r="C133" s="40" t="s">
        <v>195</v>
      </c>
      <c r="D133" s="40" t="s">
        <v>1128</v>
      </c>
      <c r="E133" s="40">
        <v>17</v>
      </c>
      <c r="F133" s="40" t="s">
        <v>42</v>
      </c>
      <c r="G133" s="40" t="s">
        <v>42</v>
      </c>
      <c r="H133" s="41" t="s">
        <v>552</v>
      </c>
      <c r="I133" s="64" t="s">
        <v>43</v>
      </c>
      <c r="J133" s="65" t="s">
        <v>47</v>
      </c>
      <c r="K133" s="66" t="s">
        <v>43</v>
      </c>
      <c r="L133" s="40">
        <v>1</v>
      </c>
      <c r="M133" s="40">
        <v>2</v>
      </c>
      <c r="N133" s="40">
        <v>2</v>
      </c>
      <c r="O133" s="40">
        <v>2</v>
      </c>
      <c r="P133" s="41">
        <v>1</v>
      </c>
      <c r="Q133" s="40">
        <v>4</v>
      </c>
      <c r="R133" s="40">
        <v>4</v>
      </c>
      <c r="S133" s="40">
        <v>3</v>
      </c>
      <c r="T133" s="40">
        <v>5</v>
      </c>
      <c r="U133" s="41">
        <v>4</v>
      </c>
      <c r="V133" s="40">
        <v>8</v>
      </c>
      <c r="W133" s="40">
        <v>9</v>
      </c>
      <c r="X133" s="40">
        <v>1</v>
      </c>
      <c r="Y133" s="41">
        <v>1</v>
      </c>
      <c r="Z133" s="40" t="s">
        <v>45</v>
      </c>
      <c r="AA133" s="40" t="s">
        <v>45</v>
      </c>
      <c r="AB133" s="40" t="s">
        <v>45</v>
      </c>
      <c r="AC133" s="40">
        <v>1</v>
      </c>
      <c r="AD133" s="40" t="s">
        <v>45</v>
      </c>
      <c r="AE133" s="40">
        <v>3</v>
      </c>
      <c r="AF133" s="40" t="s">
        <v>45</v>
      </c>
      <c r="AG133" s="41">
        <v>2</v>
      </c>
      <c r="AH133" s="40">
        <v>5</v>
      </c>
      <c r="AI133" s="40">
        <v>2</v>
      </c>
      <c r="AJ133" s="41">
        <v>1</v>
      </c>
      <c r="AK133" s="43" t="s">
        <v>583</v>
      </c>
      <c r="AL133" s="43" t="s">
        <v>103</v>
      </c>
      <c r="AM133" s="44">
        <f t="shared" ref="AM133:AM196" si="18">($L$3*(L133-$Q$1)/$Q$2+$M$3*(M133-$R$1)/$R$2+$N$3*(N133-$S$1)/$S$2+$O$3*(O133-$T$1)/$T$2+$P$3*(P133-$U$1)/$U$2)/(SUM($L$3:$P$3))</f>
        <v>-1.8605124261753858</v>
      </c>
      <c r="AN133" s="44">
        <f t="shared" ref="AN133:AN196" si="19">($L$3*(Q133-$Q$1)/$Q$2+$M$3*(R133-$R$1)/$R$2+$N$3*(S133-$S$1)/$S$2+$O$3*(T133-$T$1)/$T$2+$P$3*(U133-$U$1)/$U$2)/(SUM($L$3:$P$3))</f>
        <v>-0.31848599482605983</v>
      </c>
      <c r="AO133" s="45">
        <f t="shared" ref="AO133:AO196" si="20">IF(AVERAGE(AH133:AI133)&gt;9,1,0)+IF(AVERAGE(AH133:AI133)&gt;7,1,0)+IF(AH133&gt;7,1,0)+IF(AI133&gt;7,1,0)+IF(AJ133&gt;8,1,0)+IF(AJ133&gt;6,1,0)</f>
        <v>0</v>
      </c>
      <c r="AP133" s="46">
        <f t="shared" ref="AP133:AP196" si="21">MIN(2,IF(OR(Z133="-",X133&lt;5),0,1+IF(Y133&gt;7,0.35,IF(Y133&gt;5,0.1,0))+IF(Z133&gt;7,1+IF(X133&gt;7,0.25,0),IF(Z133&gt;4,0.5+IF(X133&gt;7,0.25,0),0+IF(X133&gt;7,0.25))))+IF(AA133="-",0,IF(AA133&gt;9,0.5,IF(AA133&gt;7,0.25,0)))+IF(AB133="-",0,IF(AB133&gt;7,1.1,IF(AB133&gt;4,0.6,0)))+IF(OR(AC133="-",V133&lt;5),0,IF(AC133&gt;7,1+IF(V133&gt;7,0.25,0),IF(AC133&gt;4,0.5+IF(V133&gt;7,0.25,0),0)))+IF(AD133="-",0,IF(AD133&gt;7,1.5,IF(AD133&gt;4,1,0)))+IF(AE133="-",0,IF(AE133&gt;9,0.5,IF(AE133&gt;7,0.25,0)))+IF(AF133="-",0,IF(AF133&gt;7,1.25,IF(AF133&gt;4,0.75,0)))+IF(OR(AG133="-",W133&lt;4),0,IF(AG133&gt;7,1+IF(W133&gt;7,0.15,0),IF(AG133&gt;4,0.5+IF(W133&gt;7,0.15,0),0))))</f>
        <v>0</v>
      </c>
      <c r="AQ133" s="44">
        <f>($AM$3*AM133+$AN$3*AN133+$AO$3*AO133+$AP$3*AP133)+$I$3*VLOOKUP(I133,COND!$A$2:$E$7,4,FALSE)+$J$3*VLOOKUP(J133,COND!$A$2:$C$7,2,FALSE)+$K$3*VLOOKUP(K133,COND!$A$2:$C$7,3,FALSE)+IF(AND($B$2&gt;0,$E133&lt;20),$B$2*25,0)</f>
        <v>46.29211681946974</v>
      </c>
      <c r="AR133" s="47">
        <f t="shared" si="17"/>
        <v>0.44865141508289613</v>
      </c>
      <c r="AS133" s="45" t="str">
        <f t="shared" ref="AS133:AS196" si="22">IF(AND(Z133&lt;&gt;"-",Y133&gt;1),"C",IF(AB133=MAX(AB133:AD133),"2B",IF(AD133=MAX(AB133:AD133),"SS",IF(OR(AC133=MAX(AA133:AD133),AND(AC133&lt;&gt;"-",AC133&gt;4,V133&gt;5)),"3B",IF(AF133=MAX(AE133:AG133),"CF",IF(AND(AG133=MAX(AE133,AG133),AND(W133&gt;5,AG133&lt;&gt;"-")),"RF",IF(AE133&lt;&gt;"-","LF",IF(AA133&lt;&gt;"-","1B","DH"))))))))</f>
        <v>3B</v>
      </c>
      <c r="AT133" s="45">
        <v>900</v>
      </c>
      <c r="AU133" s="45">
        <v>129</v>
      </c>
      <c r="AV133" s="45"/>
      <c r="AW133" s="45" t="str">
        <f t="shared" ref="AW133:AW196" si="23">IF(AND($Q133&gt;=6,AVERAGE($S133:$T133)&gt;=6),"Likely",IF(OR($Q133&gt;6,AND($Q133=6,AVERAGE($S133:$T133)&gt;=3),AND($Q133&gt;=5,AVERAGE($S133:$T133)&gt;=5),AVERAGE($Q133,$S133:$T133)&gt;5),"Possible","Unlikely"))</f>
        <v>Unlikely</v>
      </c>
      <c r="AX133" s="45"/>
      <c r="AY133" s="45">
        <f>INDEX(Table5[[#All],[Ovr]],MATCH(Batters[[#This Row],[PID]],Table5[[#All],[PID]],0))</f>
        <v>473</v>
      </c>
      <c r="AZ133" s="45" t="str">
        <f>INDEX(Table5[[#All],[Rnd]],MATCH(Batters[[#This Row],[PID]],Table5[[#All],[PID]],0))</f>
        <v>15</v>
      </c>
      <c r="BA133" s="45">
        <f>INDEX(Table5[[#All],[Pick]],MATCH(Batters[[#This Row],[PID]],Table5[[#All],[PID]],0))</f>
        <v>6</v>
      </c>
      <c r="BB133" s="45" t="str">
        <f>INDEX(Table5[[#All],[Team]],MATCH(Batters[[#This Row],[PID]],Table5[[#All],[PID]],0))</f>
        <v>New Orleans Trendsetters</v>
      </c>
    </row>
    <row r="134" spans="1:54" ht="15" customHeight="1" x14ac:dyDescent="0.3">
      <c r="A134" s="40">
        <v>12736</v>
      </c>
      <c r="B134" s="40" t="s">
        <v>87</v>
      </c>
      <c r="C134" s="40" t="s">
        <v>308</v>
      </c>
      <c r="D134" s="40" t="s">
        <v>1179</v>
      </c>
      <c r="E134" s="40">
        <v>17</v>
      </c>
      <c r="F134" s="40" t="s">
        <v>42</v>
      </c>
      <c r="G134" s="40" t="s">
        <v>42</v>
      </c>
      <c r="H134" s="41" t="s">
        <v>552</v>
      </c>
      <c r="I134" s="64" t="s">
        <v>43</v>
      </c>
      <c r="J134" s="65" t="s">
        <v>43</v>
      </c>
      <c r="K134" s="66" t="s">
        <v>43</v>
      </c>
      <c r="L134" s="40">
        <v>2</v>
      </c>
      <c r="M134" s="40">
        <v>4</v>
      </c>
      <c r="N134" s="40">
        <v>3</v>
      </c>
      <c r="O134" s="40">
        <v>2</v>
      </c>
      <c r="P134" s="41">
        <v>5</v>
      </c>
      <c r="Q134" s="40">
        <v>4</v>
      </c>
      <c r="R134" s="40">
        <v>5</v>
      </c>
      <c r="S134" s="40">
        <v>4</v>
      </c>
      <c r="T134" s="40">
        <v>3</v>
      </c>
      <c r="U134" s="41">
        <v>7</v>
      </c>
      <c r="V134" s="40">
        <v>3</v>
      </c>
      <c r="W134" s="40">
        <v>2</v>
      </c>
      <c r="X134" s="40">
        <v>4</v>
      </c>
      <c r="Y134" s="41">
        <v>5</v>
      </c>
      <c r="Z134" s="40" t="s">
        <v>45</v>
      </c>
      <c r="AA134" s="40">
        <v>2</v>
      </c>
      <c r="AB134" s="40" t="s">
        <v>45</v>
      </c>
      <c r="AC134" s="40" t="s">
        <v>45</v>
      </c>
      <c r="AD134" s="40" t="s">
        <v>45</v>
      </c>
      <c r="AE134" s="40" t="s">
        <v>45</v>
      </c>
      <c r="AF134" s="40" t="s">
        <v>45</v>
      </c>
      <c r="AG134" s="41" t="s">
        <v>45</v>
      </c>
      <c r="AH134" s="40">
        <v>1</v>
      </c>
      <c r="AI134" s="40">
        <v>1</v>
      </c>
      <c r="AJ134" s="41">
        <v>1</v>
      </c>
      <c r="AK134" s="43" t="s">
        <v>497</v>
      </c>
      <c r="AL134" s="43" t="s">
        <v>103</v>
      </c>
      <c r="AM134" s="44">
        <f t="shared" si="18"/>
        <v>-1.1927099774430689</v>
      </c>
      <c r="AN134" s="44">
        <f t="shared" si="19"/>
        <v>-0.24373470175136655</v>
      </c>
      <c r="AO134" s="45">
        <f t="shared" si="20"/>
        <v>0</v>
      </c>
      <c r="AP134" s="46">
        <f t="shared" si="21"/>
        <v>0</v>
      </c>
      <c r="AQ134" s="44">
        <f>($AM$3*AM134+$AN$3*AN134+$AO$3*AO134+$AP$3*AP134)+$I$3*VLOOKUP(I134,COND!$A$2:$E$7,4,FALSE)+$J$3*VLOOKUP(J134,COND!$A$2:$C$7,2,FALSE)+$K$3*VLOOKUP(K134,COND!$A$2:$C$7,3,FALSE)+IF(AND($B$2&gt;0,$E134&lt;20),$B$2*25,0)</f>
        <v>46.955912581239296</v>
      </c>
      <c r="AR134" s="47">
        <f t="shared" si="17"/>
        <v>0.54554442762018951</v>
      </c>
      <c r="AS134" s="45" t="str">
        <f t="shared" si="22"/>
        <v>1B</v>
      </c>
      <c r="AT134" s="45">
        <v>900</v>
      </c>
      <c r="AU134" s="45">
        <v>130</v>
      </c>
      <c r="AV134" s="45"/>
      <c r="AW134" s="45" t="str">
        <f t="shared" si="23"/>
        <v>Unlikely</v>
      </c>
      <c r="AX134" s="45"/>
      <c r="AY134" s="45">
        <f>INDEX(Table5[[#All],[Ovr]],MATCH(Batters[[#This Row],[PID]],Table5[[#All],[PID]],0))</f>
        <v>461</v>
      </c>
      <c r="AZ134" s="45" t="str">
        <f>INDEX(Table5[[#All],[Rnd]],MATCH(Batters[[#This Row],[PID]],Table5[[#All],[PID]],0))</f>
        <v>14</v>
      </c>
      <c r="BA134" s="45">
        <f>INDEX(Table5[[#All],[Pick]],MATCH(Batters[[#This Row],[PID]],Table5[[#All],[PID]],0))</f>
        <v>28</v>
      </c>
      <c r="BB134" s="45" t="str">
        <f>INDEX(Table5[[#All],[Team]],MATCH(Batters[[#This Row],[PID]],Table5[[#All],[PID]],0))</f>
        <v>Amsterdam Lions</v>
      </c>
    </row>
    <row r="135" spans="1:54" ht="15" customHeight="1" x14ac:dyDescent="0.3">
      <c r="A135" s="40">
        <v>20941</v>
      </c>
      <c r="B135" s="40" t="s">
        <v>71</v>
      </c>
      <c r="C135" s="40" t="s">
        <v>309</v>
      </c>
      <c r="D135" s="40" t="s">
        <v>141</v>
      </c>
      <c r="E135" s="40">
        <v>17</v>
      </c>
      <c r="F135" s="40" t="s">
        <v>53</v>
      </c>
      <c r="G135" s="40" t="s">
        <v>42</v>
      </c>
      <c r="H135" s="41" t="s">
        <v>552</v>
      </c>
      <c r="I135" s="64" t="s">
        <v>43</v>
      </c>
      <c r="J135" s="65" t="s">
        <v>47</v>
      </c>
      <c r="K135" s="66" t="s">
        <v>43</v>
      </c>
      <c r="L135" s="40">
        <v>1</v>
      </c>
      <c r="M135" s="40">
        <v>5</v>
      </c>
      <c r="N135" s="40">
        <v>2</v>
      </c>
      <c r="O135" s="40">
        <v>1</v>
      </c>
      <c r="P135" s="41">
        <v>2</v>
      </c>
      <c r="Q135" s="40">
        <v>4</v>
      </c>
      <c r="R135" s="40">
        <v>8</v>
      </c>
      <c r="S135" s="40">
        <v>3</v>
      </c>
      <c r="T135" s="40">
        <v>2</v>
      </c>
      <c r="U135" s="41">
        <v>5</v>
      </c>
      <c r="V135" s="40">
        <v>4</v>
      </c>
      <c r="W135" s="40">
        <v>3</v>
      </c>
      <c r="X135" s="40">
        <v>1</v>
      </c>
      <c r="Y135" s="41">
        <v>1</v>
      </c>
      <c r="Z135" s="40" t="s">
        <v>45</v>
      </c>
      <c r="AA135" s="40" t="s">
        <v>45</v>
      </c>
      <c r="AB135" s="40">
        <v>1</v>
      </c>
      <c r="AC135" s="40" t="s">
        <v>45</v>
      </c>
      <c r="AD135" s="40" t="s">
        <v>45</v>
      </c>
      <c r="AE135" s="40" t="s">
        <v>45</v>
      </c>
      <c r="AF135" s="40" t="s">
        <v>45</v>
      </c>
      <c r="AG135" s="41" t="s">
        <v>45</v>
      </c>
      <c r="AH135" s="40">
        <v>6</v>
      </c>
      <c r="AI135" s="40">
        <v>2</v>
      </c>
      <c r="AJ135" s="41">
        <v>3</v>
      </c>
      <c r="AK135" s="43" t="s">
        <v>558</v>
      </c>
      <c r="AL135" s="43" t="s">
        <v>103</v>
      </c>
      <c r="AM135" s="44">
        <f t="shared" si="18"/>
        <v>-1.757025997511773</v>
      </c>
      <c r="AN135" s="44">
        <f t="shared" si="19"/>
        <v>-0.34335878656290553</v>
      </c>
      <c r="AO135" s="45">
        <f t="shared" si="20"/>
        <v>0</v>
      </c>
      <c r="AP135" s="46">
        <f t="shared" si="21"/>
        <v>0</v>
      </c>
      <c r="AQ135" s="44">
        <f>($AM$3*AM135+$AN$3*AN135+$AO$3*AO135+$AP$3*AP135)+$I$3*VLOOKUP(I135,COND!$A$2:$E$7,4,FALSE)+$J$3*VLOOKUP(J135,COND!$A$2:$C$7,2,FALSE)+$K$3*VLOOKUP(K135,COND!$A$2:$C$7,3,FALSE)+IF(AND($B$2&gt;0,$E135&lt;20),$B$2*25,0)</f>
        <v>46.003991961493959</v>
      </c>
      <c r="AR135" s="47">
        <f t="shared" si="17"/>
        <v>0.40659437422181727</v>
      </c>
      <c r="AS135" s="45" t="str">
        <f t="shared" si="22"/>
        <v>2B</v>
      </c>
      <c r="AT135" s="45">
        <v>900</v>
      </c>
      <c r="AU135" s="45">
        <v>131</v>
      </c>
      <c r="AV135" s="45"/>
      <c r="AW135" s="45" t="str">
        <f t="shared" si="23"/>
        <v>Unlikely</v>
      </c>
      <c r="AX135" s="45"/>
      <c r="AY135" s="45">
        <f>INDEX(Table5[[#All],[Ovr]],MATCH(Batters[[#This Row],[PID]],Table5[[#All],[PID]],0))</f>
        <v>191</v>
      </c>
      <c r="AZ135" s="45" t="str">
        <f>INDEX(Table5[[#All],[Rnd]],MATCH(Batters[[#This Row],[PID]],Table5[[#All],[PID]],0))</f>
        <v>6</v>
      </c>
      <c r="BA135" s="45">
        <f>INDEX(Table5[[#All],[Pick]],MATCH(Batters[[#This Row],[PID]],Table5[[#All],[PID]],0))</f>
        <v>22</v>
      </c>
      <c r="BB135" s="45" t="str">
        <f>INDEX(Table5[[#All],[Team]],MATCH(Batters[[#This Row],[PID]],Table5[[#All],[PID]],0))</f>
        <v>Bakersfield Bears</v>
      </c>
    </row>
    <row r="136" spans="1:54" ht="15" customHeight="1" x14ac:dyDescent="0.3">
      <c r="A136" s="40">
        <v>20624</v>
      </c>
      <c r="B136" s="40" t="s">
        <v>69</v>
      </c>
      <c r="C136" s="40" t="s">
        <v>1040</v>
      </c>
      <c r="D136" s="40" t="s">
        <v>804</v>
      </c>
      <c r="E136" s="40">
        <v>17</v>
      </c>
      <c r="F136" s="40" t="s">
        <v>42</v>
      </c>
      <c r="G136" s="40" t="s">
        <v>42</v>
      </c>
      <c r="H136" s="41" t="s">
        <v>550</v>
      </c>
      <c r="I136" s="64" t="s">
        <v>43</v>
      </c>
      <c r="J136" s="65" t="s">
        <v>43</v>
      </c>
      <c r="K136" s="66" t="s">
        <v>43</v>
      </c>
      <c r="L136" s="40">
        <v>1</v>
      </c>
      <c r="M136" s="40">
        <v>3</v>
      </c>
      <c r="N136" s="40">
        <v>2</v>
      </c>
      <c r="O136" s="40">
        <v>3</v>
      </c>
      <c r="P136" s="41">
        <v>1</v>
      </c>
      <c r="Q136" s="40">
        <v>4</v>
      </c>
      <c r="R136" s="40">
        <v>5</v>
      </c>
      <c r="S136" s="40">
        <v>2</v>
      </c>
      <c r="T136" s="40">
        <v>6</v>
      </c>
      <c r="U136" s="41">
        <v>4</v>
      </c>
      <c r="V136" s="40">
        <v>10</v>
      </c>
      <c r="W136" s="40">
        <v>9</v>
      </c>
      <c r="X136" s="40">
        <v>1</v>
      </c>
      <c r="Y136" s="41">
        <v>1</v>
      </c>
      <c r="Z136" s="40" t="s">
        <v>45</v>
      </c>
      <c r="AA136" s="40" t="s">
        <v>45</v>
      </c>
      <c r="AB136" s="40">
        <v>2</v>
      </c>
      <c r="AC136" s="40">
        <v>2</v>
      </c>
      <c r="AD136" s="40" t="s">
        <v>45</v>
      </c>
      <c r="AE136" s="40" t="s">
        <v>45</v>
      </c>
      <c r="AF136" s="40" t="s">
        <v>45</v>
      </c>
      <c r="AG136" s="41" t="s">
        <v>45</v>
      </c>
      <c r="AH136" s="40">
        <v>6</v>
      </c>
      <c r="AI136" s="40">
        <v>4</v>
      </c>
      <c r="AJ136" s="41">
        <v>2</v>
      </c>
      <c r="AK136" s="43" t="s">
        <v>497</v>
      </c>
      <c r="AL136" s="43" t="s">
        <v>103</v>
      </c>
      <c r="AM136" s="44">
        <f t="shared" si="18"/>
        <v>-1.7197429965471014</v>
      </c>
      <c r="AN136" s="44">
        <f t="shared" si="19"/>
        <v>-0.26077805922167685</v>
      </c>
      <c r="AO136" s="45">
        <f t="shared" si="20"/>
        <v>0</v>
      </c>
      <c r="AP136" s="46">
        <f t="shared" si="21"/>
        <v>0</v>
      </c>
      <c r="AQ136" s="44">
        <f>($AM$3*AM136+$AN$3*AN136+$AO$3*AO136+$AP$3*AP136)+$I$3*VLOOKUP(I136,COND!$A$2:$E$7,4,FALSE)+$J$3*VLOOKUP(J136,COND!$A$2:$C$7,2,FALSE)+$K$3*VLOOKUP(K136,COND!$A$2:$C$7,3,FALSE)+IF(AND($B$2&gt;0,$E136&lt;20),$B$2*25,0)</f>
        <v>46.698688989685166</v>
      </c>
      <c r="AR136" s="47">
        <f t="shared" si="17"/>
        <v>0.50799798620438208</v>
      </c>
      <c r="AS136" s="45" t="str">
        <f t="shared" si="22"/>
        <v>2B</v>
      </c>
      <c r="AT136" s="45">
        <v>900</v>
      </c>
      <c r="AU136" s="45">
        <v>132</v>
      </c>
      <c r="AV136" s="45"/>
      <c r="AW136" s="45" t="str">
        <f t="shared" si="23"/>
        <v>Unlikely</v>
      </c>
      <c r="AX136" s="45"/>
      <c r="AY136" s="45">
        <f>INDEX(Table5[[#All],[Ovr]],MATCH(Batters[[#This Row],[PID]],Table5[[#All],[PID]],0))</f>
        <v>202</v>
      </c>
      <c r="AZ136" s="45" t="str">
        <f>INDEX(Table5[[#All],[Rnd]],MATCH(Batters[[#This Row],[PID]],Table5[[#All],[PID]],0))</f>
        <v>7</v>
      </c>
      <c r="BA136" s="45">
        <f>INDEX(Table5[[#All],[Pick]],MATCH(Batters[[#This Row],[PID]],Table5[[#All],[PID]],0))</f>
        <v>1</v>
      </c>
      <c r="BB136" s="45" t="str">
        <f>INDEX(Table5[[#All],[Team]],MATCH(Batters[[#This Row],[PID]],Table5[[#All],[PID]],0))</f>
        <v>Yuma Arroyos</v>
      </c>
    </row>
    <row r="137" spans="1:54" ht="15" customHeight="1" x14ac:dyDescent="0.3">
      <c r="A137" s="40">
        <v>10552</v>
      </c>
      <c r="B137" s="40" t="s">
        <v>71</v>
      </c>
      <c r="C137" s="40" t="s">
        <v>1237</v>
      </c>
      <c r="D137" s="40" t="s">
        <v>616</v>
      </c>
      <c r="E137" s="40">
        <v>18</v>
      </c>
      <c r="F137" s="40" t="s">
        <v>42</v>
      </c>
      <c r="G137" s="40" t="s">
        <v>42</v>
      </c>
      <c r="H137" s="41" t="s">
        <v>552</v>
      </c>
      <c r="I137" s="64" t="s">
        <v>43</v>
      </c>
      <c r="J137" s="65" t="s">
        <v>47</v>
      </c>
      <c r="K137" s="66" t="s">
        <v>43</v>
      </c>
      <c r="L137" s="40">
        <v>1</v>
      </c>
      <c r="M137" s="40">
        <v>4</v>
      </c>
      <c r="N137" s="40">
        <v>2</v>
      </c>
      <c r="O137" s="40">
        <v>1</v>
      </c>
      <c r="P137" s="41">
        <v>2</v>
      </c>
      <c r="Q137" s="40">
        <v>4</v>
      </c>
      <c r="R137" s="40">
        <v>7</v>
      </c>
      <c r="S137" s="40">
        <v>2</v>
      </c>
      <c r="T137" s="40">
        <v>3</v>
      </c>
      <c r="U137" s="41">
        <v>6</v>
      </c>
      <c r="V137" s="40">
        <v>6</v>
      </c>
      <c r="W137" s="40">
        <v>6</v>
      </c>
      <c r="X137" s="40">
        <v>1</v>
      </c>
      <c r="Y137" s="41">
        <v>1</v>
      </c>
      <c r="Z137" s="40" t="s">
        <v>45</v>
      </c>
      <c r="AA137" s="40" t="s">
        <v>45</v>
      </c>
      <c r="AB137" s="40">
        <v>4</v>
      </c>
      <c r="AC137" s="40" t="s">
        <v>45</v>
      </c>
      <c r="AD137" s="40">
        <v>1</v>
      </c>
      <c r="AE137" s="40" t="s">
        <v>45</v>
      </c>
      <c r="AF137" s="40" t="s">
        <v>45</v>
      </c>
      <c r="AG137" s="41" t="s">
        <v>45</v>
      </c>
      <c r="AH137" s="40">
        <v>7</v>
      </c>
      <c r="AI137" s="40">
        <v>4</v>
      </c>
      <c r="AJ137" s="41">
        <v>1</v>
      </c>
      <c r="AK137" s="43" t="s">
        <v>497</v>
      </c>
      <c r="AL137" s="43" t="s">
        <v>103</v>
      </c>
      <c r="AM137" s="44">
        <f t="shared" si="18"/>
        <v>-1.8080858771304764</v>
      </c>
      <c r="AN137" s="44">
        <f t="shared" si="19"/>
        <v>-0.34775427037884604</v>
      </c>
      <c r="AO137" s="45">
        <f t="shared" si="20"/>
        <v>0</v>
      </c>
      <c r="AP137" s="46">
        <f t="shared" si="21"/>
        <v>0</v>
      </c>
      <c r="AQ137" s="44">
        <f>($AM$3*AM137+$AN$3*AN137+$AO$3*AO137+$AP$3*AP137)+$I$3*VLOOKUP(I137,COND!$A$2:$E$7,4,FALSE)+$J$3*VLOOKUP(J137,COND!$A$2:$C$7,2,FALSE)+$K$3*VLOOKUP(K137,COND!$A$2:$C$7,3,FALSE)+IF(AND($B$2&gt;0,$E137&lt;20),$B$2*25,0)</f>
        <v>45.946140167740801</v>
      </c>
      <c r="AR137" s="47">
        <f t="shared" si="17"/>
        <v>0.39814985724797181</v>
      </c>
      <c r="AS137" s="45" t="str">
        <f t="shared" si="22"/>
        <v>2B</v>
      </c>
      <c r="AT137" s="45">
        <v>900</v>
      </c>
      <c r="AU137" s="45">
        <v>133</v>
      </c>
      <c r="AV137" s="45"/>
      <c r="AW137" s="45" t="str">
        <f t="shared" si="23"/>
        <v>Unlikely</v>
      </c>
      <c r="AX137" s="45"/>
      <c r="AY137" s="45">
        <f>INDEX(Table5[[#All],[Ovr]],MATCH(Batters[[#This Row],[PID]],Table5[[#All],[PID]],0))</f>
        <v>199</v>
      </c>
      <c r="AZ137" s="45" t="str">
        <f>INDEX(Table5[[#All],[Rnd]],MATCH(Batters[[#This Row],[PID]],Table5[[#All],[PID]],0))</f>
        <v>6</v>
      </c>
      <c r="BA137" s="45">
        <f>INDEX(Table5[[#All],[Pick]],MATCH(Batters[[#This Row],[PID]],Table5[[#All],[PID]],0))</f>
        <v>30</v>
      </c>
      <c r="BB137" s="45" t="str">
        <f>INDEX(Table5[[#All],[Team]],MATCH(Batters[[#This Row],[PID]],Table5[[#All],[PID]],0))</f>
        <v>Toyama Wind Dancers</v>
      </c>
    </row>
    <row r="138" spans="1:54" ht="15" customHeight="1" x14ac:dyDescent="0.3">
      <c r="A138" s="40">
        <v>9282</v>
      </c>
      <c r="B138" s="40" t="s">
        <v>69</v>
      </c>
      <c r="C138" s="40" t="s">
        <v>968</v>
      </c>
      <c r="D138" s="40" t="s">
        <v>1230</v>
      </c>
      <c r="E138" s="40">
        <v>17</v>
      </c>
      <c r="F138" s="40" t="s">
        <v>53</v>
      </c>
      <c r="G138" s="40" t="s">
        <v>42</v>
      </c>
      <c r="H138" s="41" t="s">
        <v>552</v>
      </c>
      <c r="I138" s="64" t="s">
        <v>43</v>
      </c>
      <c r="J138" s="65" t="s">
        <v>43</v>
      </c>
      <c r="K138" s="66" t="s">
        <v>43</v>
      </c>
      <c r="L138" s="40">
        <v>1</v>
      </c>
      <c r="M138" s="40">
        <v>2</v>
      </c>
      <c r="N138" s="40">
        <v>2</v>
      </c>
      <c r="O138" s="40">
        <v>2</v>
      </c>
      <c r="P138" s="41">
        <v>2</v>
      </c>
      <c r="Q138" s="40">
        <v>4</v>
      </c>
      <c r="R138" s="40">
        <v>5</v>
      </c>
      <c r="S138" s="40">
        <v>3</v>
      </c>
      <c r="T138" s="40">
        <v>5</v>
      </c>
      <c r="U138" s="41">
        <v>4</v>
      </c>
      <c r="V138" s="40">
        <v>9</v>
      </c>
      <c r="W138" s="40">
        <v>9</v>
      </c>
      <c r="X138" s="40">
        <v>1</v>
      </c>
      <c r="Y138" s="41">
        <v>1</v>
      </c>
      <c r="Z138" s="40" t="s">
        <v>45</v>
      </c>
      <c r="AA138" s="40" t="s">
        <v>45</v>
      </c>
      <c r="AB138" s="40">
        <v>2</v>
      </c>
      <c r="AC138" s="40">
        <v>3</v>
      </c>
      <c r="AD138" s="40" t="s">
        <v>45</v>
      </c>
      <c r="AE138" s="40" t="s">
        <v>45</v>
      </c>
      <c r="AF138" s="40" t="s">
        <v>45</v>
      </c>
      <c r="AG138" s="41" t="s">
        <v>45</v>
      </c>
      <c r="AH138" s="40">
        <v>4</v>
      </c>
      <c r="AI138" s="40">
        <v>5</v>
      </c>
      <c r="AJ138" s="41">
        <v>3</v>
      </c>
      <c r="AK138" s="43" t="s">
        <v>498</v>
      </c>
      <c r="AL138" s="43" t="s">
        <v>103</v>
      </c>
      <c r="AM138" s="44">
        <f t="shared" si="18"/>
        <v>-1.8204960863583022</v>
      </c>
      <c r="AN138" s="44">
        <f t="shared" si="19"/>
        <v>-0.26742611520735632</v>
      </c>
      <c r="AO138" s="45">
        <f t="shared" si="20"/>
        <v>0</v>
      </c>
      <c r="AP138" s="46">
        <f t="shared" si="21"/>
        <v>0</v>
      </c>
      <c r="AQ138" s="44">
        <f>($AM$3*AM138+$AN$3*AN138+$AO$3*AO138+$AP$3*AP138)+$I$3*VLOOKUP(I138,COND!$A$2:$E$7,4,FALSE)+$J$3*VLOOKUP(J138,COND!$A$2:$C$7,2,FALSE)+$K$3*VLOOKUP(K138,COND!$A$2:$C$7,3,FALSE)+IF(AND($B$2&gt;0,$E138&lt;20),$B$2*25,0)</f>
        <v>46.608837008875895</v>
      </c>
      <c r="AR138" s="47">
        <f t="shared" ref="AR138:AR169" si="24">STANDARDIZE(AQ138,AVERAGE($AQ$5:$AQ$442),STDEVP($AQ$5:$AQ$442))</f>
        <v>0.49488246241760048</v>
      </c>
      <c r="AS138" s="45" t="str">
        <f t="shared" si="22"/>
        <v>3B</v>
      </c>
      <c r="AT138" s="45">
        <v>900</v>
      </c>
      <c r="AU138" s="45">
        <v>134</v>
      </c>
      <c r="AV138" s="45"/>
      <c r="AW138" s="45" t="str">
        <f t="shared" si="23"/>
        <v>Unlikely</v>
      </c>
      <c r="AX138" s="45"/>
      <c r="AY138" s="45">
        <f>INDEX(Table5[[#All],[Ovr]],MATCH(Batters[[#This Row],[PID]],Table5[[#All],[PID]],0))</f>
        <v>493</v>
      </c>
      <c r="AZ138" s="45" t="str">
        <f>INDEX(Table5[[#All],[Rnd]],MATCH(Batters[[#This Row],[PID]],Table5[[#All],[PID]],0))</f>
        <v>15</v>
      </c>
      <c r="BA138" s="45">
        <f>INDEX(Table5[[#All],[Pick]],MATCH(Batters[[#This Row],[PID]],Table5[[#All],[PID]],0))</f>
        <v>26</v>
      </c>
      <c r="BB138" s="45" t="str">
        <f>INDEX(Table5[[#All],[Team]],MATCH(Batters[[#This Row],[PID]],Table5[[#All],[PID]],0))</f>
        <v>Aurora Borealis</v>
      </c>
    </row>
    <row r="139" spans="1:54" ht="15" customHeight="1" x14ac:dyDescent="0.3">
      <c r="A139" s="40">
        <v>12107</v>
      </c>
      <c r="B139" s="40" t="s">
        <v>87</v>
      </c>
      <c r="C139" s="40" t="s">
        <v>1182</v>
      </c>
      <c r="D139" s="40" t="s">
        <v>1183</v>
      </c>
      <c r="E139" s="40">
        <v>17</v>
      </c>
      <c r="F139" s="40" t="s">
        <v>42</v>
      </c>
      <c r="G139" s="40" t="s">
        <v>53</v>
      </c>
      <c r="H139" s="41" t="s">
        <v>552</v>
      </c>
      <c r="I139" s="64" t="s">
        <v>43</v>
      </c>
      <c r="J139" s="65" t="s">
        <v>43</v>
      </c>
      <c r="K139" s="66" t="s">
        <v>43</v>
      </c>
      <c r="L139" s="40">
        <v>1</v>
      </c>
      <c r="M139" s="40">
        <v>2</v>
      </c>
      <c r="N139" s="40">
        <v>2</v>
      </c>
      <c r="O139" s="40">
        <v>2</v>
      </c>
      <c r="P139" s="41">
        <v>1</v>
      </c>
      <c r="Q139" s="40">
        <v>4</v>
      </c>
      <c r="R139" s="40">
        <v>4</v>
      </c>
      <c r="S139" s="40">
        <v>3</v>
      </c>
      <c r="T139" s="40">
        <v>5</v>
      </c>
      <c r="U139" s="41">
        <v>5</v>
      </c>
      <c r="V139" s="40">
        <v>3</v>
      </c>
      <c r="W139" s="40">
        <v>4</v>
      </c>
      <c r="X139" s="40">
        <v>1</v>
      </c>
      <c r="Y139" s="41">
        <v>1</v>
      </c>
      <c r="Z139" s="40" t="s">
        <v>45</v>
      </c>
      <c r="AA139" s="40">
        <v>2</v>
      </c>
      <c r="AB139" s="40" t="s">
        <v>45</v>
      </c>
      <c r="AC139" s="40" t="s">
        <v>45</v>
      </c>
      <c r="AD139" s="40" t="s">
        <v>45</v>
      </c>
      <c r="AE139" s="40" t="s">
        <v>45</v>
      </c>
      <c r="AF139" s="40" t="s">
        <v>45</v>
      </c>
      <c r="AG139" s="41" t="s">
        <v>45</v>
      </c>
      <c r="AH139" s="40">
        <v>3</v>
      </c>
      <c r="AI139" s="40">
        <v>2</v>
      </c>
      <c r="AJ139" s="41">
        <v>1</v>
      </c>
      <c r="AK139" s="43" t="s">
        <v>511</v>
      </c>
      <c r="AL139" s="43" t="s">
        <v>103</v>
      </c>
      <c r="AM139" s="44">
        <f t="shared" si="18"/>
        <v>-1.8605124261753858</v>
      </c>
      <c r="AN139" s="44">
        <f t="shared" si="19"/>
        <v>-0.27846965500897641</v>
      </c>
      <c r="AO139" s="45">
        <f t="shared" si="20"/>
        <v>0</v>
      </c>
      <c r="AP139" s="46">
        <f t="shared" si="21"/>
        <v>0</v>
      </c>
      <c r="AQ139" s="44">
        <f>($AM$3*AM139+$AN$3*AN139+$AO$3*AO139+$AP$3*AP139)+$I$3*VLOOKUP(I139,COND!$A$2:$E$7,4,FALSE)+$J$3*VLOOKUP(J139,COND!$A$2:$C$7,2,FALSE)+$K$3*VLOOKUP(K139,COND!$A$2:$C$7,3,FALSE)+IF(AND($B$2&gt;0,$E139&lt;20),$B$2*25,0)</f>
        <v>46.472312897274747</v>
      </c>
      <c r="AR139" s="47">
        <f t="shared" si="24"/>
        <v>0.4749542959259242</v>
      </c>
      <c r="AS139" s="45" t="str">
        <f t="shared" si="22"/>
        <v>1B</v>
      </c>
      <c r="AT139" s="45">
        <v>900</v>
      </c>
      <c r="AU139" s="45">
        <v>135</v>
      </c>
      <c r="AV139" s="45"/>
      <c r="AW139" s="45" t="str">
        <f t="shared" si="23"/>
        <v>Unlikely</v>
      </c>
      <c r="AX139" s="45"/>
      <c r="AY139" s="45">
        <f>INDEX(Table5[[#All],[Ovr]],MATCH(Batters[[#This Row],[PID]],Table5[[#All],[PID]],0))</f>
        <v>495</v>
      </c>
      <c r="AZ139" s="45" t="str">
        <f>INDEX(Table5[[#All],[Rnd]],MATCH(Batters[[#This Row],[PID]],Table5[[#All],[PID]],0))</f>
        <v>15</v>
      </c>
      <c r="BA139" s="45">
        <f>INDEX(Table5[[#All],[Pick]],MATCH(Batters[[#This Row],[PID]],Table5[[#All],[PID]],0))</f>
        <v>28</v>
      </c>
      <c r="BB139" s="45" t="str">
        <f>INDEX(Table5[[#All],[Team]],MATCH(Batters[[#This Row],[PID]],Table5[[#All],[PID]],0))</f>
        <v>Amsterdam Lions</v>
      </c>
    </row>
    <row r="140" spans="1:54" ht="15" customHeight="1" x14ac:dyDescent="0.3">
      <c r="A140" s="40">
        <v>20206</v>
      </c>
      <c r="B140" s="40" t="s">
        <v>72</v>
      </c>
      <c r="C140" s="40" t="s">
        <v>852</v>
      </c>
      <c r="D140" s="40" t="s">
        <v>1006</v>
      </c>
      <c r="E140" s="40">
        <v>21</v>
      </c>
      <c r="F140" s="40" t="s">
        <v>42</v>
      </c>
      <c r="G140" s="40" t="s">
        <v>42</v>
      </c>
      <c r="H140" s="41" t="s">
        <v>549</v>
      </c>
      <c r="I140" s="64" t="s">
        <v>43</v>
      </c>
      <c r="J140" s="65" t="s">
        <v>43</v>
      </c>
      <c r="K140" s="66" t="s">
        <v>43</v>
      </c>
      <c r="L140" s="40">
        <v>4</v>
      </c>
      <c r="M140" s="40">
        <v>5</v>
      </c>
      <c r="N140" s="40">
        <v>2</v>
      </c>
      <c r="O140" s="40">
        <v>3</v>
      </c>
      <c r="P140" s="41">
        <v>8</v>
      </c>
      <c r="Q140" s="40">
        <v>5</v>
      </c>
      <c r="R140" s="40">
        <v>5</v>
      </c>
      <c r="S140" s="40">
        <v>2</v>
      </c>
      <c r="T140" s="40">
        <v>4</v>
      </c>
      <c r="U140" s="41">
        <v>8</v>
      </c>
      <c r="V140" s="40">
        <v>6</v>
      </c>
      <c r="W140" s="40">
        <v>6</v>
      </c>
      <c r="X140" s="40">
        <v>1</v>
      </c>
      <c r="Y140" s="41">
        <v>1</v>
      </c>
      <c r="Z140" s="40" t="s">
        <v>45</v>
      </c>
      <c r="AA140" s="40" t="s">
        <v>45</v>
      </c>
      <c r="AB140" s="40" t="s">
        <v>45</v>
      </c>
      <c r="AC140" s="40">
        <v>1</v>
      </c>
      <c r="AD140" s="40">
        <v>6</v>
      </c>
      <c r="AE140" s="40" t="s">
        <v>45</v>
      </c>
      <c r="AF140" s="40" t="s">
        <v>45</v>
      </c>
      <c r="AG140" s="41" t="s">
        <v>45</v>
      </c>
      <c r="AH140" s="40">
        <v>7</v>
      </c>
      <c r="AI140" s="40">
        <v>4</v>
      </c>
      <c r="AJ140" s="41">
        <v>5</v>
      </c>
      <c r="AK140" s="43" t="s">
        <v>535</v>
      </c>
      <c r="AL140" s="43" t="s">
        <v>103</v>
      </c>
      <c r="AM140" s="44">
        <f t="shared" si="18"/>
        <v>-0.36984134998208618</v>
      </c>
      <c r="AN140" s="44">
        <f t="shared" si="19"/>
        <v>4.2424036230169604E-2</v>
      </c>
      <c r="AO140" s="45">
        <f t="shared" si="20"/>
        <v>0</v>
      </c>
      <c r="AP140" s="46">
        <f t="shared" si="21"/>
        <v>1</v>
      </c>
      <c r="AQ140" s="44">
        <f>($AM$3*AM140+$AN$3*AN140+$AO$3*AO140+$AP$3*AP140)+$I$3*VLOOKUP(I140,COND!$A$2:$E$7,4,FALSE)+$J$3*VLOOKUP(J140,COND!$A$2:$C$7,2,FALSE)+$K$3*VLOOKUP(K140,COND!$A$2:$C$7,3,FALSE)+IF(AND($B$2&gt;0,$E140&lt;20),$B$2*25,0)</f>
        <v>46.472104299763828</v>
      </c>
      <c r="AR140" s="47">
        <f t="shared" si="24"/>
        <v>0.47492384734157816</v>
      </c>
      <c r="AS140" s="45" t="str">
        <f t="shared" si="22"/>
        <v>SS</v>
      </c>
      <c r="AT140" s="45">
        <v>900</v>
      </c>
      <c r="AU140" s="45">
        <v>136</v>
      </c>
      <c r="AV140" s="45"/>
      <c r="AW140" s="45" t="str">
        <f t="shared" si="23"/>
        <v>Unlikely</v>
      </c>
      <c r="AX140" s="45"/>
      <c r="AY140" s="45">
        <f>INDEX(Table5[[#All],[Ovr]],MATCH(Batters[[#This Row],[PID]],Table5[[#All],[PID]],0))</f>
        <v>15</v>
      </c>
      <c r="AZ140" s="45" t="str">
        <f>INDEX(Table5[[#All],[Rnd]],MATCH(Batters[[#This Row],[PID]],Table5[[#All],[PID]],0))</f>
        <v>1</v>
      </c>
      <c r="BA140" s="45">
        <f>INDEX(Table5[[#All],[Pick]],MATCH(Batters[[#This Row],[PID]],Table5[[#All],[PID]],0))</f>
        <v>15</v>
      </c>
      <c r="BB140" s="45" t="str">
        <f>INDEX(Table5[[#All],[Team]],MATCH(Batters[[#This Row],[PID]],Table5[[#All],[PID]],0))</f>
        <v>San Antonio Calzones of Laredo</v>
      </c>
    </row>
    <row r="141" spans="1:54" ht="15" customHeight="1" x14ac:dyDescent="0.3">
      <c r="A141" s="40">
        <v>12671</v>
      </c>
      <c r="B141" s="40" t="s">
        <v>50</v>
      </c>
      <c r="C141" s="40" t="s">
        <v>685</v>
      </c>
      <c r="D141" s="40" t="s">
        <v>1180</v>
      </c>
      <c r="E141" s="40">
        <v>17</v>
      </c>
      <c r="F141" s="40" t="s">
        <v>42</v>
      </c>
      <c r="G141" s="40" t="s">
        <v>42</v>
      </c>
      <c r="H141" s="41" t="s">
        <v>552</v>
      </c>
      <c r="I141" s="64" t="s">
        <v>43</v>
      </c>
      <c r="J141" s="65" t="s">
        <v>43</v>
      </c>
      <c r="K141" s="66" t="s">
        <v>43</v>
      </c>
      <c r="L141" s="40">
        <v>2</v>
      </c>
      <c r="M141" s="40">
        <v>2</v>
      </c>
      <c r="N141" s="40">
        <v>3</v>
      </c>
      <c r="O141" s="40">
        <v>3</v>
      </c>
      <c r="P141" s="41">
        <v>3</v>
      </c>
      <c r="Q141" s="40">
        <v>4</v>
      </c>
      <c r="R141" s="40">
        <v>4</v>
      </c>
      <c r="S141" s="40">
        <v>4</v>
      </c>
      <c r="T141" s="40">
        <v>4</v>
      </c>
      <c r="U141" s="41">
        <v>5</v>
      </c>
      <c r="V141" s="40">
        <v>4</v>
      </c>
      <c r="W141" s="40">
        <v>6</v>
      </c>
      <c r="X141" s="40">
        <v>1</v>
      </c>
      <c r="Y141" s="41">
        <v>1</v>
      </c>
      <c r="Z141" s="40" t="s">
        <v>45</v>
      </c>
      <c r="AA141" s="40" t="s">
        <v>45</v>
      </c>
      <c r="AB141" s="40" t="s">
        <v>45</v>
      </c>
      <c r="AC141" s="40" t="s">
        <v>45</v>
      </c>
      <c r="AD141" s="40" t="s">
        <v>45</v>
      </c>
      <c r="AE141" s="40">
        <v>2</v>
      </c>
      <c r="AF141" s="40" t="s">
        <v>45</v>
      </c>
      <c r="AG141" s="41">
        <v>1</v>
      </c>
      <c r="AH141" s="40">
        <v>2</v>
      </c>
      <c r="AI141" s="40">
        <v>4</v>
      </c>
      <c r="AJ141" s="41">
        <v>2</v>
      </c>
      <c r="AK141" s="43" t="s">
        <v>497</v>
      </c>
      <c r="AL141" s="43" t="s">
        <v>103</v>
      </c>
      <c r="AM141" s="44">
        <f t="shared" si="18"/>
        <v>-1.285152866305062</v>
      </c>
      <c r="AN141" s="44">
        <f t="shared" si="19"/>
        <v>-0.28511771099465594</v>
      </c>
      <c r="AO141" s="45">
        <f t="shared" si="20"/>
        <v>0</v>
      </c>
      <c r="AP141" s="46">
        <f t="shared" si="21"/>
        <v>0</v>
      </c>
      <c r="AQ141" s="44">
        <f>($AM$3*AM141+$AN$3*AN141+$AO$3*AO141+$AP$3*AP141)+$I$3*VLOOKUP(I141,COND!$A$2:$E$7,4,FALSE)+$J$3*VLOOKUP(J141,COND!$A$2:$C$7,2,FALSE)+$K$3*VLOOKUP(K141,COND!$A$2:$C$7,3,FALSE)+IF(AND($B$2&gt;0,$E141&lt;20),$B$2*25,0)</f>
        <v>46.450072181433626</v>
      </c>
      <c r="AR141" s="47">
        <f t="shared" si="24"/>
        <v>0.47170786067739623</v>
      </c>
      <c r="AS141" s="45" t="str">
        <f t="shared" si="22"/>
        <v>LF</v>
      </c>
      <c r="AT141" s="45">
        <v>900</v>
      </c>
      <c r="AU141" s="45">
        <v>137</v>
      </c>
      <c r="AV141" s="45"/>
      <c r="AW141" s="45" t="str">
        <f t="shared" si="23"/>
        <v>Unlikely</v>
      </c>
      <c r="AX141" s="45"/>
      <c r="AY141" s="45">
        <f>INDEX(Table5[[#All],[Ovr]],MATCH(Batters[[#This Row],[PID]],Table5[[#All],[PID]],0))</f>
        <v>205</v>
      </c>
      <c r="AZ141" s="45" t="str">
        <f>INDEX(Table5[[#All],[Rnd]],MATCH(Batters[[#This Row],[PID]],Table5[[#All],[PID]],0))</f>
        <v>7</v>
      </c>
      <c r="BA141" s="45">
        <f>INDEX(Table5[[#All],[Pick]],MATCH(Batters[[#This Row],[PID]],Table5[[#All],[PID]],0))</f>
        <v>4</v>
      </c>
      <c r="BB141" s="45" t="str">
        <f>INDEX(Table5[[#All],[Team]],MATCH(Batters[[#This Row],[PID]],Table5[[#All],[PID]],0))</f>
        <v>Palm Springs Codgers</v>
      </c>
    </row>
    <row r="142" spans="1:54" ht="15" customHeight="1" x14ac:dyDescent="0.3">
      <c r="A142" s="40">
        <v>20498</v>
      </c>
      <c r="B142" s="40" t="s">
        <v>66</v>
      </c>
      <c r="C142" s="40" t="s">
        <v>886</v>
      </c>
      <c r="D142" s="40" t="s">
        <v>919</v>
      </c>
      <c r="E142" s="40">
        <v>16</v>
      </c>
      <c r="F142" s="40" t="s">
        <v>53</v>
      </c>
      <c r="G142" s="40" t="s">
        <v>53</v>
      </c>
      <c r="H142" s="41" t="s">
        <v>550</v>
      </c>
      <c r="I142" s="64" t="s">
        <v>43</v>
      </c>
      <c r="J142" s="65" t="s">
        <v>43</v>
      </c>
      <c r="K142" s="66" t="s">
        <v>43</v>
      </c>
      <c r="L142" s="40">
        <v>1</v>
      </c>
      <c r="M142" s="40">
        <v>3</v>
      </c>
      <c r="N142" s="40">
        <v>4</v>
      </c>
      <c r="O142" s="40">
        <v>3</v>
      </c>
      <c r="P142" s="41">
        <v>1</v>
      </c>
      <c r="Q142" s="40">
        <v>3</v>
      </c>
      <c r="R142" s="40">
        <v>5</v>
      </c>
      <c r="S142" s="40">
        <v>7</v>
      </c>
      <c r="T142" s="40">
        <v>6</v>
      </c>
      <c r="U142" s="41">
        <v>1</v>
      </c>
      <c r="V142" s="40">
        <v>6</v>
      </c>
      <c r="W142" s="40">
        <v>7</v>
      </c>
      <c r="X142" s="40">
        <v>1</v>
      </c>
      <c r="Y142" s="41">
        <v>1</v>
      </c>
      <c r="Z142" s="40" t="s">
        <v>45</v>
      </c>
      <c r="AA142" s="40" t="s">
        <v>45</v>
      </c>
      <c r="AB142" s="40" t="s">
        <v>45</v>
      </c>
      <c r="AC142" s="40" t="s">
        <v>45</v>
      </c>
      <c r="AD142" s="40" t="s">
        <v>45</v>
      </c>
      <c r="AE142" s="40" t="s">
        <v>45</v>
      </c>
      <c r="AF142" s="40" t="s">
        <v>45</v>
      </c>
      <c r="AG142" s="41">
        <v>1</v>
      </c>
      <c r="AH142" s="40">
        <v>1</v>
      </c>
      <c r="AI142" s="40">
        <v>1</v>
      </c>
      <c r="AJ142" s="41">
        <v>1</v>
      </c>
      <c r="AK142" s="43" t="s">
        <v>558</v>
      </c>
      <c r="AL142" s="43" t="s">
        <v>103</v>
      </c>
      <c r="AM142" s="44">
        <f t="shared" si="18"/>
        <v>-1.5536200084992982</v>
      </c>
      <c r="AN142" s="44">
        <f t="shared" si="19"/>
        <v>-0.28807544475609437</v>
      </c>
      <c r="AO142" s="45">
        <f t="shared" si="20"/>
        <v>0</v>
      </c>
      <c r="AP142" s="46">
        <f t="shared" si="21"/>
        <v>0</v>
      </c>
      <c r="AQ142" s="44">
        <f>($AM$3*AM142+$AN$3*AN142+$AO$3*AO142+$AP$3*AP142)+$I$3*VLOOKUP(I142,COND!$A$2:$E$7,4,FALSE)+$J$3*VLOOKUP(J142,COND!$A$2:$C$7,2,FALSE)+$K$3*VLOOKUP(K142,COND!$A$2:$C$7,3,FALSE)+IF(AND($B$2&gt;0,$E142&lt;20),$B$2*25,0)</f>
        <v>46.387732662076942</v>
      </c>
      <c r="AR142" s="47">
        <f t="shared" si="24"/>
        <v>0.46260827888058909</v>
      </c>
      <c r="AS142" s="45" t="str">
        <f t="shared" si="22"/>
        <v>RF</v>
      </c>
      <c r="AT142" s="45">
        <v>900</v>
      </c>
      <c r="AU142" s="45">
        <v>138</v>
      </c>
      <c r="AV142" s="45"/>
      <c r="AW142" s="45" t="str">
        <f t="shared" si="23"/>
        <v>Possible</v>
      </c>
      <c r="AX142" s="45"/>
      <c r="AY142" s="45">
        <f>INDEX(Table5[[#All],[Ovr]],MATCH(Batters[[#This Row],[PID]],Table5[[#All],[PID]],0))</f>
        <v>290</v>
      </c>
      <c r="AZ142" s="45" t="str">
        <f>INDEX(Table5[[#All],[Rnd]],MATCH(Batters[[#This Row],[PID]],Table5[[#All],[PID]],0))</f>
        <v>9</v>
      </c>
      <c r="BA142" s="45">
        <f>INDEX(Table5[[#All],[Pick]],MATCH(Batters[[#This Row],[PID]],Table5[[#All],[PID]],0))</f>
        <v>25</v>
      </c>
      <c r="BB142" s="45" t="str">
        <f>INDEX(Table5[[#All],[Team]],MATCH(Batters[[#This Row],[PID]],Table5[[#All],[PID]],0))</f>
        <v>Kalamazoo Badgers</v>
      </c>
    </row>
    <row r="143" spans="1:54" ht="15" customHeight="1" x14ac:dyDescent="0.3">
      <c r="A143" s="40">
        <v>7644</v>
      </c>
      <c r="B143" s="40" t="s">
        <v>87</v>
      </c>
      <c r="C143" s="40" t="s">
        <v>618</v>
      </c>
      <c r="D143" s="40" t="s">
        <v>619</v>
      </c>
      <c r="E143" s="40">
        <v>21</v>
      </c>
      <c r="F143" s="40" t="s">
        <v>62</v>
      </c>
      <c r="G143" s="40" t="s">
        <v>42</v>
      </c>
      <c r="H143" s="41" t="s">
        <v>552</v>
      </c>
      <c r="I143" s="64" t="s">
        <v>43</v>
      </c>
      <c r="J143" s="65" t="s">
        <v>47</v>
      </c>
      <c r="K143" s="66" t="s">
        <v>43</v>
      </c>
      <c r="L143" s="40">
        <v>2</v>
      </c>
      <c r="M143" s="40">
        <v>5</v>
      </c>
      <c r="N143" s="40">
        <v>2</v>
      </c>
      <c r="O143" s="40">
        <v>3</v>
      </c>
      <c r="P143" s="41">
        <v>1</v>
      </c>
      <c r="Q143" s="40">
        <v>4</v>
      </c>
      <c r="R143" s="40">
        <v>6</v>
      </c>
      <c r="S143" s="40">
        <v>4</v>
      </c>
      <c r="T143" s="40">
        <v>6</v>
      </c>
      <c r="U143" s="41">
        <v>4</v>
      </c>
      <c r="V143" s="40">
        <v>5</v>
      </c>
      <c r="W143" s="40">
        <v>6</v>
      </c>
      <c r="X143" s="40">
        <v>1</v>
      </c>
      <c r="Y143" s="41">
        <v>1</v>
      </c>
      <c r="Z143" s="40" t="s">
        <v>45</v>
      </c>
      <c r="AA143" s="40">
        <v>5</v>
      </c>
      <c r="AB143" s="40" t="s">
        <v>45</v>
      </c>
      <c r="AC143" s="40" t="s">
        <v>45</v>
      </c>
      <c r="AD143" s="40" t="s">
        <v>45</v>
      </c>
      <c r="AE143" s="40">
        <v>1</v>
      </c>
      <c r="AF143" s="40" t="s">
        <v>45</v>
      </c>
      <c r="AG143" s="41" t="s">
        <v>45</v>
      </c>
      <c r="AH143" s="40">
        <v>6</v>
      </c>
      <c r="AI143" s="40">
        <v>9</v>
      </c>
      <c r="AJ143" s="41">
        <v>10</v>
      </c>
      <c r="AK143" s="43" t="s">
        <v>557</v>
      </c>
      <c r="AL143" s="43" t="s">
        <v>103</v>
      </c>
      <c r="AM143" s="44">
        <f t="shared" si="18"/>
        <v>-1.2950674011070198</v>
      </c>
      <c r="AN143" s="44">
        <f t="shared" si="19"/>
        <v>-4.3595191555170297E-2</v>
      </c>
      <c r="AO143" s="45">
        <f t="shared" si="20"/>
        <v>4</v>
      </c>
      <c r="AP143" s="46">
        <f t="shared" si="21"/>
        <v>0</v>
      </c>
      <c r="AQ143" s="44">
        <f>($AM$3*AM143+$AN$3*AN143+$AO$3*AO143+$AP$3*AP143)+$I$3*VLOOKUP(I143,COND!$A$2:$E$7,4,FALSE)+$J$3*VLOOKUP(J143,COND!$A$2:$C$7,2,FALSE)+$K$3*VLOOKUP(K143,COND!$A$2:$C$7,3,FALSE)+IF(AND($B$2&gt;0,$E143&lt;20),$B$2*25,0)</f>
        <v>45.314017627893918</v>
      </c>
      <c r="AR143" s="47">
        <f t="shared" si="24"/>
        <v>0.30588012504116585</v>
      </c>
      <c r="AS143" s="45" t="str">
        <f t="shared" si="22"/>
        <v>LF</v>
      </c>
      <c r="AT143" s="45">
        <v>900</v>
      </c>
      <c r="AU143" s="45">
        <v>139</v>
      </c>
      <c r="AV143" s="45"/>
      <c r="AW143" s="45" t="str">
        <f t="shared" si="23"/>
        <v>Unlikely</v>
      </c>
      <c r="AX143" s="45"/>
      <c r="AY143" s="45">
        <f>INDEX(Table5[[#All],[Ovr]],MATCH(Batters[[#This Row],[PID]],Table5[[#All],[PID]],0))</f>
        <v>200</v>
      </c>
      <c r="AZ143" s="45" t="str">
        <f>INDEX(Table5[[#All],[Rnd]],MATCH(Batters[[#This Row],[PID]],Table5[[#All],[PID]],0))</f>
        <v>6</v>
      </c>
      <c r="BA143" s="45">
        <f>INDEX(Table5[[#All],[Pick]],MATCH(Batters[[#This Row],[PID]],Table5[[#All],[PID]],0))</f>
        <v>31</v>
      </c>
      <c r="BB143" s="45" t="str">
        <f>INDEX(Table5[[#All],[Team]],MATCH(Batters[[#This Row],[PID]],Table5[[#All],[PID]],0))</f>
        <v>Kentucky Thoroughbreds</v>
      </c>
    </row>
    <row r="144" spans="1:54" ht="15" customHeight="1" x14ac:dyDescent="0.3">
      <c r="A144" s="40">
        <v>9019</v>
      </c>
      <c r="B144" s="40" t="s">
        <v>86</v>
      </c>
      <c r="C144" s="40" t="s">
        <v>924</v>
      </c>
      <c r="D144" s="40" t="s">
        <v>880</v>
      </c>
      <c r="E144" s="40">
        <v>18</v>
      </c>
      <c r="F144" s="40" t="s">
        <v>42</v>
      </c>
      <c r="G144" s="40" t="s">
        <v>42</v>
      </c>
      <c r="H144" s="41" t="s">
        <v>552</v>
      </c>
      <c r="I144" s="64" t="s">
        <v>43</v>
      </c>
      <c r="J144" s="65" t="s">
        <v>47</v>
      </c>
      <c r="K144" s="66" t="s">
        <v>43</v>
      </c>
      <c r="L144" s="40">
        <v>1</v>
      </c>
      <c r="M144" s="40">
        <v>2</v>
      </c>
      <c r="N144" s="40">
        <v>2</v>
      </c>
      <c r="O144" s="40">
        <v>2</v>
      </c>
      <c r="P144" s="41">
        <v>1</v>
      </c>
      <c r="Q144" s="40">
        <v>4</v>
      </c>
      <c r="R144" s="40">
        <v>4</v>
      </c>
      <c r="S144" s="40">
        <v>2</v>
      </c>
      <c r="T144" s="40">
        <v>5</v>
      </c>
      <c r="U144" s="41">
        <v>4</v>
      </c>
      <c r="V144" s="40">
        <v>3</v>
      </c>
      <c r="W144" s="40">
        <v>2</v>
      </c>
      <c r="X144" s="40">
        <v>3</v>
      </c>
      <c r="Y144" s="41">
        <v>3</v>
      </c>
      <c r="Z144" s="40" t="s">
        <v>45</v>
      </c>
      <c r="AA144" s="40" t="s">
        <v>45</v>
      </c>
      <c r="AB144" s="40" t="s">
        <v>45</v>
      </c>
      <c r="AC144" s="40" t="s">
        <v>45</v>
      </c>
      <c r="AD144" s="40" t="s">
        <v>45</v>
      </c>
      <c r="AE144" s="40" t="s">
        <v>45</v>
      </c>
      <c r="AF144" s="40" t="s">
        <v>45</v>
      </c>
      <c r="AG144" s="41" t="s">
        <v>45</v>
      </c>
      <c r="AH144" s="40">
        <v>1</v>
      </c>
      <c r="AI144" s="40">
        <v>2</v>
      </c>
      <c r="AJ144" s="41">
        <v>1</v>
      </c>
      <c r="AK144" s="43" t="s">
        <v>558</v>
      </c>
      <c r="AL144" s="43" t="s">
        <v>103</v>
      </c>
      <c r="AM144" s="44">
        <f t="shared" si="18"/>
        <v>-1.8605124261753858</v>
      </c>
      <c r="AN144" s="44">
        <f t="shared" si="19"/>
        <v>-0.40154748884996139</v>
      </c>
      <c r="AO144" s="45">
        <f t="shared" si="20"/>
        <v>0</v>
      </c>
      <c r="AP144" s="46">
        <f t="shared" si="21"/>
        <v>0</v>
      </c>
      <c r="AQ144" s="44">
        <f>($AM$3*AM144+$AN$3*AN144+$AO$3*AO144+$AP$3*AP144)+$I$3*VLOOKUP(I144,COND!$A$2:$E$7,4,FALSE)+$J$3*VLOOKUP(J144,COND!$A$2:$C$7,2,FALSE)+$K$3*VLOOKUP(K144,COND!$A$2:$C$7,3,FALSE)+IF(AND($B$2&gt;0,$E144&lt;20),$B$2*25,0)</f>
        <v>45.295378891182921</v>
      </c>
      <c r="AR144" s="47">
        <f t="shared" si="24"/>
        <v>0.30315946387725062</v>
      </c>
      <c r="AS144" s="45" t="str">
        <f t="shared" si="22"/>
        <v>DH</v>
      </c>
      <c r="AT144" s="45">
        <v>900</v>
      </c>
      <c r="AU144" s="45">
        <v>140</v>
      </c>
      <c r="AV144" s="45"/>
      <c r="AW144" s="45" t="str">
        <f t="shared" si="23"/>
        <v>Unlikely</v>
      </c>
      <c r="AX144" s="45"/>
      <c r="AY144" s="45">
        <f>INDEX(Table5[[#All],[Ovr]],MATCH(Batters[[#This Row],[PID]],Table5[[#All],[PID]],0))</f>
        <v>501</v>
      </c>
      <c r="AZ144" s="45" t="str">
        <f>INDEX(Table5[[#All],[Rnd]],MATCH(Batters[[#This Row],[PID]],Table5[[#All],[PID]],0))</f>
        <v>15</v>
      </c>
      <c r="BA144" s="45">
        <f>INDEX(Table5[[#All],[Pick]],MATCH(Batters[[#This Row],[PID]],Table5[[#All],[PID]],0))</f>
        <v>34</v>
      </c>
      <c r="BB144" s="45" t="str">
        <f>INDEX(Table5[[#All],[Team]],MATCH(Batters[[#This Row],[PID]],Table5[[#All],[PID]],0))</f>
        <v>New Jersey Hitmen</v>
      </c>
    </row>
    <row r="145" spans="1:54" ht="15" customHeight="1" x14ac:dyDescent="0.3">
      <c r="A145" s="40">
        <v>14624</v>
      </c>
      <c r="B145" s="40" t="s">
        <v>50</v>
      </c>
      <c r="C145" s="40" t="s">
        <v>165</v>
      </c>
      <c r="D145" s="40" t="s">
        <v>184</v>
      </c>
      <c r="E145" s="40">
        <v>21</v>
      </c>
      <c r="F145" s="40" t="s">
        <v>53</v>
      </c>
      <c r="G145" s="40" t="s">
        <v>53</v>
      </c>
      <c r="H145" s="41" t="s">
        <v>550</v>
      </c>
      <c r="I145" s="64" t="s">
        <v>43</v>
      </c>
      <c r="J145" s="65" t="s">
        <v>47</v>
      </c>
      <c r="K145" s="66" t="s">
        <v>43</v>
      </c>
      <c r="L145" s="40">
        <v>2</v>
      </c>
      <c r="M145" s="40">
        <v>4</v>
      </c>
      <c r="N145" s="40">
        <v>3</v>
      </c>
      <c r="O145" s="40">
        <v>3</v>
      </c>
      <c r="P145" s="41">
        <v>3</v>
      </c>
      <c r="Q145" s="40">
        <v>4</v>
      </c>
      <c r="R145" s="40">
        <v>5</v>
      </c>
      <c r="S145" s="40">
        <v>6</v>
      </c>
      <c r="T145" s="40">
        <v>4</v>
      </c>
      <c r="U145" s="41">
        <v>5</v>
      </c>
      <c r="V145" s="40">
        <v>4</v>
      </c>
      <c r="W145" s="40">
        <v>6</v>
      </c>
      <c r="X145" s="40">
        <v>1</v>
      </c>
      <c r="Y145" s="41">
        <v>1</v>
      </c>
      <c r="Z145" s="40" t="s">
        <v>45</v>
      </c>
      <c r="AA145" s="40" t="s">
        <v>45</v>
      </c>
      <c r="AB145" s="40" t="s">
        <v>45</v>
      </c>
      <c r="AC145" s="40" t="s">
        <v>45</v>
      </c>
      <c r="AD145" s="40" t="s">
        <v>45</v>
      </c>
      <c r="AE145" s="40">
        <v>5</v>
      </c>
      <c r="AF145" s="40" t="s">
        <v>45</v>
      </c>
      <c r="AG145" s="41" t="s">
        <v>45</v>
      </c>
      <c r="AH145" s="40">
        <v>8</v>
      </c>
      <c r="AI145" s="40">
        <v>10</v>
      </c>
      <c r="AJ145" s="41">
        <v>9</v>
      </c>
      <c r="AK145" s="43" t="s">
        <v>504</v>
      </c>
      <c r="AL145" s="43" t="s">
        <v>103</v>
      </c>
      <c r="AM145" s="44">
        <f t="shared" si="18"/>
        <v>-1.183033107067655</v>
      </c>
      <c r="AN145" s="44">
        <f t="shared" si="19"/>
        <v>-6.7934843328149447E-2</v>
      </c>
      <c r="AO145" s="45">
        <f t="shared" si="20"/>
        <v>5</v>
      </c>
      <c r="AP145" s="46">
        <f t="shared" si="21"/>
        <v>0</v>
      </c>
      <c r="AQ145" s="44">
        <f>($AM$3*AM145+$AN$3*AN145+$AO$3*AO145+$AP$3*AP145)+$I$3*VLOOKUP(I145,COND!$A$2:$E$7,4,FALSE)+$J$3*VLOOKUP(J145,COND!$A$2:$C$7,2,FALSE)+$K$3*VLOOKUP(K145,COND!$A$2:$C$7,3,FALSE)+IF(AND($B$2&gt;0,$E145&lt;20),$B$2*25,0)</f>
        <v>45.199811902688779</v>
      </c>
      <c r="AR145" s="47">
        <f t="shared" si="24"/>
        <v>0.28920973122208965</v>
      </c>
      <c r="AS145" s="45" t="str">
        <f t="shared" si="22"/>
        <v>LF</v>
      </c>
      <c r="AT145" s="45">
        <v>900</v>
      </c>
      <c r="AU145" s="45">
        <v>141</v>
      </c>
      <c r="AV145" s="45"/>
      <c r="AW145" s="45" t="str">
        <f t="shared" si="23"/>
        <v>Unlikely</v>
      </c>
      <c r="AX145" s="45"/>
      <c r="AY145" s="45">
        <f>INDEX(Table5[[#All],[Ovr]],MATCH(Batters[[#This Row],[PID]],Table5[[#All],[PID]],0))</f>
        <v>85</v>
      </c>
      <c r="AZ145" s="45" t="str">
        <f>INDEX(Table5[[#All],[Rnd]],MATCH(Batters[[#This Row],[PID]],Table5[[#All],[PID]],0))</f>
        <v>3</v>
      </c>
      <c r="BA145" s="45">
        <f>INDEX(Table5[[#All],[Pick]],MATCH(Batters[[#This Row],[PID]],Table5[[#All],[PID]],0))</f>
        <v>13</v>
      </c>
      <c r="BB145" s="45" t="str">
        <f>INDEX(Table5[[#All],[Team]],MATCH(Batters[[#This Row],[PID]],Table5[[#All],[PID]],0))</f>
        <v>Scottish Claymores</v>
      </c>
    </row>
    <row r="146" spans="1:54" ht="15" customHeight="1" x14ac:dyDescent="0.3">
      <c r="A146" s="40">
        <v>20462</v>
      </c>
      <c r="B146" s="40" t="s">
        <v>86</v>
      </c>
      <c r="C146" s="40" t="s">
        <v>1026</v>
      </c>
      <c r="D146" s="40" t="s">
        <v>761</v>
      </c>
      <c r="E146" s="40">
        <v>16</v>
      </c>
      <c r="F146" s="40" t="s">
        <v>42</v>
      </c>
      <c r="G146" s="40" t="s">
        <v>42</v>
      </c>
      <c r="H146" s="41" t="s">
        <v>550</v>
      </c>
      <c r="I146" s="64" t="s">
        <v>43</v>
      </c>
      <c r="J146" s="65" t="s">
        <v>43</v>
      </c>
      <c r="K146" s="66" t="s">
        <v>43</v>
      </c>
      <c r="L146" s="40">
        <v>1</v>
      </c>
      <c r="M146" s="40">
        <v>5</v>
      </c>
      <c r="N146" s="40">
        <v>4</v>
      </c>
      <c r="O146" s="40">
        <v>3</v>
      </c>
      <c r="P146" s="41">
        <v>1</v>
      </c>
      <c r="Q146" s="40">
        <v>3</v>
      </c>
      <c r="R146" s="40">
        <v>6</v>
      </c>
      <c r="S146" s="40">
        <v>6</v>
      </c>
      <c r="T146" s="40">
        <v>5</v>
      </c>
      <c r="U146" s="41">
        <v>3</v>
      </c>
      <c r="V146" s="40">
        <v>4</v>
      </c>
      <c r="W146" s="40">
        <v>4</v>
      </c>
      <c r="X146" s="40">
        <v>5</v>
      </c>
      <c r="Y146" s="41">
        <v>6</v>
      </c>
      <c r="Z146" s="40" t="s">
        <v>45</v>
      </c>
      <c r="AA146" s="40" t="s">
        <v>45</v>
      </c>
      <c r="AB146" s="40" t="s">
        <v>45</v>
      </c>
      <c r="AC146" s="40" t="s">
        <v>45</v>
      </c>
      <c r="AD146" s="40" t="s">
        <v>45</v>
      </c>
      <c r="AE146" s="40" t="s">
        <v>45</v>
      </c>
      <c r="AF146" s="40" t="s">
        <v>45</v>
      </c>
      <c r="AG146" s="41" t="s">
        <v>45</v>
      </c>
      <c r="AH146" s="40">
        <v>1</v>
      </c>
      <c r="AI146" s="40">
        <v>1</v>
      </c>
      <c r="AJ146" s="41">
        <v>1</v>
      </c>
      <c r="AK146" s="43" t="s">
        <v>495</v>
      </c>
      <c r="AL146" s="43" t="s">
        <v>103</v>
      </c>
      <c r="AM146" s="44">
        <f t="shared" si="18"/>
        <v>-1.4515002492618914</v>
      </c>
      <c r="AN146" s="44">
        <f t="shared" si="19"/>
        <v>-0.32975392953670657</v>
      </c>
      <c r="AO146" s="45">
        <f t="shared" si="20"/>
        <v>0</v>
      </c>
      <c r="AP146" s="46">
        <f t="shared" si="21"/>
        <v>0</v>
      </c>
      <c r="AQ146" s="44">
        <f>($AM$3*AM146+$AN$3*AN146+$AO$3*AO146+$AP$3*AP146)+$I$3*VLOOKUP(I146,COND!$A$2:$E$7,4,FALSE)+$J$3*VLOOKUP(J146,COND!$A$2:$C$7,2,FALSE)+$K$3*VLOOKUP(K146,COND!$A$2:$C$7,3,FALSE)+IF(AND($B$2&gt;0,$E146&lt;20),$B$2*25,0)</f>
        <v>45.897802820633331</v>
      </c>
      <c r="AR146" s="47">
        <f t="shared" si="24"/>
        <v>0.39109414606533616</v>
      </c>
      <c r="AS146" s="45" t="str">
        <f t="shared" si="22"/>
        <v>DH</v>
      </c>
      <c r="AT146" s="45">
        <v>900</v>
      </c>
      <c r="AU146" s="45">
        <v>142</v>
      </c>
      <c r="AV146" s="45"/>
      <c r="AW146" s="45" t="str">
        <f t="shared" si="23"/>
        <v>Unlikely</v>
      </c>
      <c r="AX146" s="45"/>
      <c r="AY146" s="45">
        <f>INDEX(Table5[[#All],[Ovr]],MATCH(Batters[[#This Row],[PID]],Table5[[#All],[PID]],0))</f>
        <v>104</v>
      </c>
      <c r="AZ146" s="45" t="str">
        <f>INDEX(Table5[[#All],[Rnd]],MATCH(Batters[[#This Row],[PID]],Table5[[#All],[PID]],0))</f>
        <v>3</v>
      </c>
      <c r="BA146" s="45">
        <f>INDEX(Table5[[#All],[Pick]],MATCH(Batters[[#This Row],[PID]],Table5[[#All],[PID]],0))</f>
        <v>32</v>
      </c>
      <c r="BB146" s="45" t="str">
        <f>INDEX(Table5[[#All],[Team]],MATCH(Batters[[#This Row],[PID]],Table5[[#All],[PID]],0))</f>
        <v>West Virginia Alleghenies</v>
      </c>
    </row>
    <row r="147" spans="1:54" ht="15" customHeight="1" x14ac:dyDescent="0.3">
      <c r="A147" s="40">
        <v>20874</v>
      </c>
      <c r="B147" s="40" t="s">
        <v>74</v>
      </c>
      <c r="C147" s="40" t="s">
        <v>128</v>
      </c>
      <c r="D147" s="40" t="s">
        <v>856</v>
      </c>
      <c r="E147" s="40">
        <v>17</v>
      </c>
      <c r="F147" s="40" t="s">
        <v>42</v>
      </c>
      <c r="G147" s="40" t="s">
        <v>42</v>
      </c>
      <c r="H147" s="41" t="s">
        <v>550</v>
      </c>
      <c r="I147" s="64" t="s">
        <v>47</v>
      </c>
      <c r="J147" s="65" t="s">
        <v>43</v>
      </c>
      <c r="K147" s="66" t="s">
        <v>43</v>
      </c>
      <c r="L147" s="40">
        <v>1</v>
      </c>
      <c r="M147" s="40">
        <v>2</v>
      </c>
      <c r="N147" s="40">
        <v>2</v>
      </c>
      <c r="O147" s="40">
        <v>2</v>
      </c>
      <c r="P147" s="41">
        <v>2</v>
      </c>
      <c r="Q147" s="40">
        <v>4</v>
      </c>
      <c r="R147" s="40">
        <v>4</v>
      </c>
      <c r="S147" s="40">
        <v>3</v>
      </c>
      <c r="T147" s="40">
        <v>4</v>
      </c>
      <c r="U147" s="41">
        <v>5</v>
      </c>
      <c r="V147" s="40">
        <v>5</v>
      </c>
      <c r="W147" s="40">
        <v>6</v>
      </c>
      <c r="X147" s="40">
        <v>1</v>
      </c>
      <c r="Y147" s="41">
        <v>1</v>
      </c>
      <c r="Z147" s="40" t="s">
        <v>45</v>
      </c>
      <c r="AA147" s="40" t="s">
        <v>45</v>
      </c>
      <c r="AB147" s="40" t="s">
        <v>45</v>
      </c>
      <c r="AC147" s="40" t="s">
        <v>45</v>
      </c>
      <c r="AD147" s="40" t="s">
        <v>45</v>
      </c>
      <c r="AE147" s="40">
        <v>3</v>
      </c>
      <c r="AF147" s="40">
        <v>2</v>
      </c>
      <c r="AG147" s="41" t="s">
        <v>45</v>
      </c>
      <c r="AH147" s="40">
        <v>8</v>
      </c>
      <c r="AI147" s="40">
        <v>5</v>
      </c>
      <c r="AJ147" s="41">
        <v>5</v>
      </c>
      <c r="AK147" s="43" t="s">
        <v>497</v>
      </c>
      <c r="AL147" s="43" t="s">
        <v>103</v>
      </c>
      <c r="AM147" s="44">
        <f t="shared" si="18"/>
        <v>-1.8204960863583022</v>
      </c>
      <c r="AN147" s="44">
        <f t="shared" si="19"/>
        <v>-0.36817920501855744</v>
      </c>
      <c r="AO147" s="45">
        <f t="shared" si="20"/>
        <v>1</v>
      </c>
      <c r="AP147" s="46">
        <f t="shared" si="21"/>
        <v>0</v>
      </c>
      <c r="AQ147" s="44">
        <f>($AM$3*AM147+$AN$3*AN147+$AO$3*AO147+$AP$3*AP147)+$I$3*VLOOKUP(I147,COND!$A$2:$E$7,4,FALSE)+$J$3*VLOOKUP(J147,COND!$A$2:$C$7,2,FALSE)+$K$3*VLOOKUP(K147,COND!$A$2:$C$7,3,FALSE)+IF(AND($B$2&gt;0,$E147&lt;20),$B$2*25,0)</f>
        <v>45.791466597808146</v>
      </c>
      <c r="AR147" s="47">
        <f t="shared" si="24"/>
        <v>0.37557244863252565</v>
      </c>
      <c r="AS147" s="45" t="str">
        <f t="shared" si="22"/>
        <v>LF</v>
      </c>
      <c r="AT147" s="45">
        <v>900</v>
      </c>
      <c r="AU147" s="45">
        <v>143</v>
      </c>
      <c r="AV147" s="45"/>
      <c r="AW147" s="45" t="str">
        <f t="shared" si="23"/>
        <v>Unlikely</v>
      </c>
      <c r="AX147" s="45"/>
      <c r="AY147" s="45">
        <f>INDEX(Table5[[#All],[Ovr]],MATCH(Batters[[#This Row],[PID]],Table5[[#All],[PID]],0))</f>
        <v>212</v>
      </c>
      <c r="AZ147" s="45" t="str">
        <f>INDEX(Table5[[#All],[Rnd]],MATCH(Batters[[#This Row],[PID]],Table5[[#All],[PID]],0))</f>
        <v>7</v>
      </c>
      <c r="BA147" s="45">
        <f>INDEX(Table5[[#All],[Pick]],MATCH(Batters[[#This Row],[PID]],Table5[[#All],[PID]],0))</f>
        <v>11</v>
      </c>
      <c r="BB147" s="45" t="str">
        <f>INDEX(Table5[[#All],[Team]],MATCH(Batters[[#This Row],[PID]],Table5[[#All],[PID]],0))</f>
        <v>West Virginia Alleghenies</v>
      </c>
    </row>
    <row r="148" spans="1:54" ht="15" customHeight="1" x14ac:dyDescent="0.3">
      <c r="A148" s="40">
        <v>12530</v>
      </c>
      <c r="B148" s="40" t="s">
        <v>87</v>
      </c>
      <c r="C148" s="40" t="s">
        <v>148</v>
      </c>
      <c r="D148" s="40" t="s">
        <v>1259</v>
      </c>
      <c r="E148" s="40">
        <v>17</v>
      </c>
      <c r="F148" s="40" t="s">
        <v>42</v>
      </c>
      <c r="G148" s="40" t="s">
        <v>42</v>
      </c>
      <c r="H148" s="41" t="s">
        <v>552</v>
      </c>
      <c r="I148" s="64" t="s">
        <v>43</v>
      </c>
      <c r="J148" s="65" t="s">
        <v>43</v>
      </c>
      <c r="K148" s="66" t="s">
        <v>43</v>
      </c>
      <c r="L148" s="40">
        <v>1</v>
      </c>
      <c r="M148" s="40">
        <v>4</v>
      </c>
      <c r="N148" s="40">
        <v>3</v>
      </c>
      <c r="O148" s="40">
        <v>4</v>
      </c>
      <c r="P148" s="41">
        <v>1</v>
      </c>
      <c r="Q148" s="40">
        <v>3</v>
      </c>
      <c r="R148" s="40">
        <v>6</v>
      </c>
      <c r="S148" s="40">
        <v>5</v>
      </c>
      <c r="T148" s="40">
        <v>6</v>
      </c>
      <c r="U148" s="41">
        <v>2</v>
      </c>
      <c r="V148" s="40">
        <v>3</v>
      </c>
      <c r="W148" s="40">
        <v>3</v>
      </c>
      <c r="X148" s="40">
        <v>4</v>
      </c>
      <c r="Y148" s="41">
        <v>3</v>
      </c>
      <c r="Z148" s="40" t="s">
        <v>45</v>
      </c>
      <c r="AA148" s="40">
        <v>1</v>
      </c>
      <c r="AB148" s="40" t="s">
        <v>45</v>
      </c>
      <c r="AC148" s="40" t="s">
        <v>45</v>
      </c>
      <c r="AD148" s="40" t="s">
        <v>45</v>
      </c>
      <c r="AE148" s="40" t="s">
        <v>45</v>
      </c>
      <c r="AF148" s="40" t="s">
        <v>45</v>
      </c>
      <c r="AG148" s="41" t="s">
        <v>45</v>
      </c>
      <c r="AH148" s="40">
        <v>1</v>
      </c>
      <c r="AI148" s="40">
        <v>1</v>
      </c>
      <c r="AJ148" s="41">
        <v>1</v>
      </c>
      <c r="AK148" s="43" t="s">
        <v>558</v>
      </c>
      <c r="AL148" s="43" t="s">
        <v>103</v>
      </c>
      <c r="AM148" s="44">
        <f t="shared" si="18"/>
        <v>-1.4959120728949156</v>
      </c>
      <c r="AN148" s="44">
        <f t="shared" si="19"/>
        <v>-0.36312221336811046</v>
      </c>
      <c r="AO148" s="45">
        <f t="shared" si="20"/>
        <v>0</v>
      </c>
      <c r="AP148" s="46">
        <f t="shared" si="21"/>
        <v>0</v>
      </c>
      <c r="AQ148" s="44">
        <f>($AM$3*AM148+$AN$3*AN148+$AO$3*AO148+$AP$3*AP148)+$I$3*VLOOKUP(I148,COND!$A$2:$E$7,4,FALSE)+$J$3*VLOOKUP(J148,COND!$A$2:$C$7,2,FALSE)+$K$3*VLOOKUP(K148,COND!$A$2:$C$7,3,FALSE)+IF(AND($B$2&gt;0,$E148&lt;20),$B$2*25,0)</f>
        <v>45.492942232293181</v>
      </c>
      <c r="AR148" s="47">
        <f t="shared" si="24"/>
        <v>0.33199741131469079</v>
      </c>
      <c r="AS148" s="45" t="str">
        <f t="shared" si="22"/>
        <v>1B</v>
      </c>
      <c r="AT148" s="45">
        <v>900</v>
      </c>
      <c r="AU148" s="45">
        <v>144</v>
      </c>
      <c r="AV148" s="45"/>
      <c r="AW148" s="45" t="str">
        <f t="shared" si="23"/>
        <v>Unlikely</v>
      </c>
      <c r="AX148" s="45"/>
      <c r="AY148" s="45">
        <f>INDEX(Table5[[#All],[Ovr]],MATCH(Batters[[#This Row],[PID]],Table5[[#All],[PID]],0))</f>
        <v>529</v>
      </c>
      <c r="AZ148" s="45" t="str">
        <f>INDEX(Table5[[#All],[Rnd]],MATCH(Batters[[#This Row],[PID]],Table5[[#All],[PID]],0))</f>
        <v>16</v>
      </c>
      <c r="BA148" s="45">
        <f>INDEX(Table5[[#All],[Pick]],MATCH(Batters[[#This Row],[PID]],Table5[[#All],[PID]],0))</f>
        <v>28</v>
      </c>
      <c r="BB148" s="45" t="str">
        <f>INDEX(Table5[[#All],[Team]],MATCH(Batters[[#This Row],[PID]],Table5[[#All],[PID]],0))</f>
        <v>Amsterdam Lions</v>
      </c>
    </row>
    <row r="149" spans="1:54" ht="15" customHeight="1" x14ac:dyDescent="0.3">
      <c r="A149" s="40">
        <v>11238</v>
      </c>
      <c r="B149" s="40" t="s">
        <v>86</v>
      </c>
      <c r="C149" s="40" t="s">
        <v>1133</v>
      </c>
      <c r="D149" s="40" t="s">
        <v>1134</v>
      </c>
      <c r="E149" s="40">
        <v>18</v>
      </c>
      <c r="F149" s="40" t="s">
        <v>62</v>
      </c>
      <c r="G149" s="40" t="s">
        <v>42</v>
      </c>
      <c r="H149" s="41" t="s">
        <v>552</v>
      </c>
      <c r="I149" s="64" t="s">
        <v>43</v>
      </c>
      <c r="J149" s="65" t="s">
        <v>43</v>
      </c>
      <c r="K149" s="66" t="s">
        <v>43</v>
      </c>
      <c r="L149" s="40">
        <v>1</v>
      </c>
      <c r="M149" s="40">
        <v>3</v>
      </c>
      <c r="N149" s="40">
        <v>2</v>
      </c>
      <c r="O149" s="40">
        <v>1</v>
      </c>
      <c r="P149" s="41">
        <v>4</v>
      </c>
      <c r="Q149" s="40">
        <v>4</v>
      </c>
      <c r="R149" s="40">
        <v>6</v>
      </c>
      <c r="S149" s="40">
        <v>3</v>
      </c>
      <c r="T149" s="40">
        <v>2</v>
      </c>
      <c r="U149" s="41">
        <v>7</v>
      </c>
      <c r="V149" s="40">
        <v>3</v>
      </c>
      <c r="W149" s="40">
        <v>2</v>
      </c>
      <c r="X149" s="40">
        <v>4</v>
      </c>
      <c r="Y149" s="41">
        <v>7</v>
      </c>
      <c r="Z149" s="40" t="s">
        <v>45</v>
      </c>
      <c r="AA149" s="40" t="s">
        <v>45</v>
      </c>
      <c r="AB149" s="40" t="s">
        <v>45</v>
      </c>
      <c r="AC149" s="40" t="s">
        <v>45</v>
      </c>
      <c r="AD149" s="40" t="s">
        <v>45</v>
      </c>
      <c r="AE149" s="40" t="s">
        <v>45</v>
      </c>
      <c r="AF149" s="40" t="s">
        <v>45</v>
      </c>
      <c r="AG149" s="41" t="s">
        <v>45</v>
      </c>
      <c r="AH149" s="40">
        <v>1</v>
      </c>
      <c r="AI149" s="40">
        <v>1</v>
      </c>
      <c r="AJ149" s="41">
        <v>1</v>
      </c>
      <c r="AK149" s="43" t="s">
        <v>497</v>
      </c>
      <c r="AL149" s="43" t="s">
        <v>103</v>
      </c>
      <c r="AM149" s="44">
        <f t="shared" si="18"/>
        <v>-1.779113077115013</v>
      </c>
      <c r="AN149" s="44">
        <f t="shared" si="19"/>
        <v>-0.36544586616614555</v>
      </c>
      <c r="AO149" s="45">
        <f t="shared" si="20"/>
        <v>0</v>
      </c>
      <c r="AP149" s="46">
        <f t="shared" si="21"/>
        <v>0</v>
      </c>
      <c r="AQ149" s="44">
        <f>($AM$3*AM149+$AN$3*AN149+$AO$3*AO149+$AP$3*AP149)+$I$3*VLOOKUP(I149,COND!$A$2:$E$7,4,FALSE)+$J$3*VLOOKUP(J149,COND!$A$2:$C$7,2,FALSE)+$K$3*VLOOKUP(K149,COND!$A$2:$C$7,3,FALSE)+IF(AND($B$2&gt;0,$E149&lt;20),$B$2*25,0)</f>
        <v>45.436738298294756</v>
      </c>
      <c r="AR149" s="47">
        <f t="shared" si="24"/>
        <v>0.3237934293142074</v>
      </c>
      <c r="AS149" s="45" t="str">
        <f t="shared" si="22"/>
        <v>DH</v>
      </c>
      <c r="AT149" s="45">
        <v>900</v>
      </c>
      <c r="AU149" s="45">
        <v>145</v>
      </c>
      <c r="AV149" s="45"/>
      <c r="AW149" s="45" t="str">
        <f t="shared" si="23"/>
        <v>Unlikely</v>
      </c>
      <c r="AX149" s="45"/>
      <c r="AY149" s="45">
        <f>INDEX(Table5[[#All],[Ovr]],MATCH(Batters[[#This Row],[PID]],Table5[[#All],[PID]],0))</f>
        <v>600</v>
      </c>
      <c r="AZ149" s="45" t="str">
        <f>INDEX(Table5[[#All],[Rnd]],MATCH(Batters[[#This Row],[PID]],Table5[[#All],[PID]],0))</f>
        <v>18</v>
      </c>
      <c r="BA149" s="45">
        <f>INDEX(Table5[[#All],[Pick]],MATCH(Batters[[#This Row],[PID]],Table5[[#All],[PID]],0))</f>
        <v>31</v>
      </c>
      <c r="BB149" s="45" t="str">
        <f>INDEX(Table5[[#All],[Team]],MATCH(Batters[[#This Row],[PID]],Table5[[#All],[PID]],0))</f>
        <v>West Virginia Alleghenies</v>
      </c>
    </row>
    <row r="150" spans="1:54" ht="15" customHeight="1" x14ac:dyDescent="0.3">
      <c r="A150" s="40">
        <v>21019</v>
      </c>
      <c r="B150" s="40" t="s">
        <v>50</v>
      </c>
      <c r="C150" s="40" t="s">
        <v>595</v>
      </c>
      <c r="D150" s="40" t="s">
        <v>626</v>
      </c>
      <c r="E150" s="40">
        <v>17</v>
      </c>
      <c r="F150" s="40" t="s">
        <v>42</v>
      </c>
      <c r="G150" s="40" t="s">
        <v>42</v>
      </c>
      <c r="H150" s="41" t="s">
        <v>552</v>
      </c>
      <c r="I150" s="64" t="s">
        <v>43</v>
      </c>
      <c r="J150" s="65" t="s">
        <v>43</v>
      </c>
      <c r="K150" s="66" t="s">
        <v>43</v>
      </c>
      <c r="L150" s="40">
        <v>1</v>
      </c>
      <c r="M150" s="40">
        <v>3</v>
      </c>
      <c r="N150" s="40">
        <v>3</v>
      </c>
      <c r="O150" s="40">
        <v>2</v>
      </c>
      <c r="P150" s="41">
        <v>1</v>
      </c>
      <c r="Q150" s="40">
        <v>3</v>
      </c>
      <c r="R150" s="40">
        <v>5</v>
      </c>
      <c r="S150" s="40">
        <v>6</v>
      </c>
      <c r="T150" s="40">
        <v>5</v>
      </c>
      <c r="U150" s="41">
        <v>3</v>
      </c>
      <c r="V150" s="40">
        <v>5</v>
      </c>
      <c r="W150" s="40">
        <v>6</v>
      </c>
      <c r="X150" s="40">
        <v>1</v>
      </c>
      <c r="Y150" s="41">
        <v>1</v>
      </c>
      <c r="Z150" s="40" t="s">
        <v>45</v>
      </c>
      <c r="AA150" s="40" t="s">
        <v>45</v>
      </c>
      <c r="AB150" s="40" t="s">
        <v>45</v>
      </c>
      <c r="AC150" s="40" t="s">
        <v>45</v>
      </c>
      <c r="AD150" s="40" t="s">
        <v>45</v>
      </c>
      <c r="AE150" s="40">
        <v>1</v>
      </c>
      <c r="AF150" s="40" t="s">
        <v>45</v>
      </c>
      <c r="AG150" s="41" t="s">
        <v>45</v>
      </c>
      <c r="AH150" s="40">
        <v>6</v>
      </c>
      <c r="AI150" s="40">
        <v>6</v>
      </c>
      <c r="AJ150" s="41">
        <v>7</v>
      </c>
      <c r="AK150" s="43" t="s">
        <v>498</v>
      </c>
      <c r="AL150" s="43" t="s">
        <v>103</v>
      </c>
      <c r="AM150" s="44">
        <f t="shared" si="18"/>
        <v>-1.726391052532781</v>
      </c>
      <c r="AN150" s="44">
        <f t="shared" si="19"/>
        <v>-0.38081380915540997</v>
      </c>
      <c r="AO150" s="45">
        <f t="shared" si="20"/>
        <v>1</v>
      </c>
      <c r="AP150" s="46">
        <f t="shared" si="21"/>
        <v>0</v>
      </c>
      <c r="AQ150" s="44">
        <f>($AM$3*AM150+$AN$3*AN150+$AO$3*AO150+$AP$3*AP150)+$I$3*VLOOKUP(I150,COND!$A$2:$E$7,4,FALSE)+$J$3*VLOOKUP(J150,COND!$A$2:$C$7,2,FALSE)+$K$3*VLOOKUP(K150,COND!$A$2:$C$7,3,FALSE)+IF(AND($B$2&gt;0,$E150&lt;20),$B$2*25,0)</f>
        <v>45.424261851548465</v>
      </c>
      <c r="AR150" s="47">
        <f t="shared" si="24"/>
        <v>0.32197226596753792</v>
      </c>
      <c r="AS150" s="45" t="str">
        <f t="shared" si="22"/>
        <v>LF</v>
      </c>
      <c r="AT150" s="45">
        <v>900</v>
      </c>
      <c r="AU150" s="45">
        <v>146</v>
      </c>
      <c r="AV150" s="45"/>
      <c r="AW150" s="45" t="str">
        <f t="shared" si="23"/>
        <v>Unlikely</v>
      </c>
      <c r="AX150" s="45"/>
      <c r="AY150" s="45">
        <f>INDEX(Table5[[#All],[Ovr]],MATCH(Batters[[#This Row],[PID]],Table5[[#All],[PID]],0))</f>
        <v>300</v>
      </c>
      <c r="AZ150" s="45" t="str">
        <f>INDEX(Table5[[#All],[Rnd]],MATCH(Batters[[#This Row],[PID]],Table5[[#All],[PID]],0))</f>
        <v>10</v>
      </c>
      <c r="BA150" s="45">
        <f>INDEX(Table5[[#All],[Pick]],MATCH(Batters[[#This Row],[PID]],Table5[[#All],[PID]],0))</f>
        <v>3</v>
      </c>
      <c r="BB150" s="45" t="str">
        <f>INDEX(Table5[[#All],[Team]],MATCH(Batters[[#This Row],[PID]],Table5[[#All],[PID]],0))</f>
        <v>Okinawa Shisa</v>
      </c>
    </row>
    <row r="151" spans="1:54" ht="15" customHeight="1" x14ac:dyDescent="0.3">
      <c r="A151" s="40">
        <v>13248</v>
      </c>
      <c r="B151" s="40" t="s">
        <v>50</v>
      </c>
      <c r="C151" s="40" t="s">
        <v>650</v>
      </c>
      <c r="D151" s="40" t="s">
        <v>1229</v>
      </c>
      <c r="E151" s="40">
        <v>17</v>
      </c>
      <c r="F151" s="40" t="s">
        <v>42</v>
      </c>
      <c r="G151" s="40" t="s">
        <v>42</v>
      </c>
      <c r="H151" s="41" t="s">
        <v>552</v>
      </c>
      <c r="I151" s="64" t="s">
        <v>43</v>
      </c>
      <c r="J151" s="65" t="s">
        <v>43</v>
      </c>
      <c r="K151" s="66" t="s">
        <v>43</v>
      </c>
      <c r="L151" s="40">
        <v>2</v>
      </c>
      <c r="M151" s="40">
        <v>3</v>
      </c>
      <c r="N151" s="40">
        <v>2</v>
      </c>
      <c r="O151" s="40">
        <v>3</v>
      </c>
      <c r="P151" s="41">
        <v>5</v>
      </c>
      <c r="Q151" s="40">
        <v>4</v>
      </c>
      <c r="R151" s="40">
        <v>4</v>
      </c>
      <c r="S151" s="40">
        <v>2</v>
      </c>
      <c r="T151" s="40">
        <v>4</v>
      </c>
      <c r="U151" s="41">
        <v>7</v>
      </c>
      <c r="V151" s="40">
        <v>3</v>
      </c>
      <c r="W151" s="40">
        <v>3</v>
      </c>
      <c r="X151" s="40">
        <v>1</v>
      </c>
      <c r="Y151" s="41">
        <v>1</v>
      </c>
      <c r="Z151" s="40" t="s">
        <v>45</v>
      </c>
      <c r="AA151" s="40" t="s">
        <v>45</v>
      </c>
      <c r="AB151" s="40" t="s">
        <v>45</v>
      </c>
      <c r="AC151" s="40" t="s">
        <v>45</v>
      </c>
      <c r="AD151" s="40" t="s">
        <v>45</v>
      </c>
      <c r="AE151" s="40">
        <v>1</v>
      </c>
      <c r="AF151" s="40" t="s">
        <v>45</v>
      </c>
      <c r="AG151" s="41" t="s">
        <v>45</v>
      </c>
      <c r="AH151" s="40">
        <v>3</v>
      </c>
      <c r="AI151" s="40">
        <v>3</v>
      </c>
      <c r="AJ151" s="41">
        <v>1</v>
      </c>
      <c r="AK151" s="43" t="s">
        <v>558</v>
      </c>
      <c r="AL151" s="43" t="s">
        <v>103</v>
      </c>
      <c r="AM151" s="44">
        <f t="shared" si="18"/>
        <v>-1.2371218010760929</v>
      </c>
      <c r="AN151" s="44">
        <f t="shared" si="19"/>
        <v>-0.37120801940829207</v>
      </c>
      <c r="AO151" s="45">
        <f t="shared" si="20"/>
        <v>0</v>
      </c>
      <c r="AP151" s="46">
        <f t="shared" si="21"/>
        <v>0</v>
      </c>
      <c r="AQ151" s="44">
        <f>($AM$3*AM151+$AN$3*AN151+$AO$3*AO151+$AP$3*AP151)+$I$3*VLOOKUP(I151,COND!$A$2:$E$7,4,FALSE)+$J$3*VLOOKUP(J151,COND!$A$2:$C$7,2,FALSE)+$K$3*VLOOKUP(K151,COND!$A$2:$C$7,3,FALSE)+IF(AND($B$2&gt;0,$E151&lt;20),$B$2*25,0)</f>
        <v>45.421791586992882</v>
      </c>
      <c r="AR151" s="47">
        <f t="shared" si="24"/>
        <v>0.32161168612003105</v>
      </c>
      <c r="AS151" s="45" t="str">
        <f t="shared" si="22"/>
        <v>LF</v>
      </c>
      <c r="AT151" s="45">
        <v>900</v>
      </c>
      <c r="AU151" s="45">
        <v>147</v>
      </c>
      <c r="AV151" s="45"/>
      <c r="AW151" s="45" t="str">
        <f t="shared" si="23"/>
        <v>Unlikely</v>
      </c>
      <c r="AX151" s="45"/>
      <c r="AY151" s="45">
        <f>INDEX(Table5[[#All],[Ovr]],MATCH(Batters[[#This Row],[PID]],Table5[[#All],[PID]],0))</f>
        <v>386</v>
      </c>
      <c r="AZ151" s="45" t="str">
        <f>INDEX(Table5[[#All],[Rnd]],MATCH(Batters[[#This Row],[PID]],Table5[[#All],[PID]],0))</f>
        <v>12</v>
      </c>
      <c r="BA151" s="45">
        <f>INDEX(Table5[[#All],[Pick]],MATCH(Batters[[#This Row],[PID]],Table5[[#All],[PID]],0))</f>
        <v>21</v>
      </c>
      <c r="BB151" s="45" t="str">
        <f>INDEX(Table5[[#All],[Team]],MATCH(Batters[[#This Row],[PID]],Table5[[#All],[PID]],0))</f>
        <v>Neo-Tokyo Akira</v>
      </c>
    </row>
    <row r="152" spans="1:54" ht="15" customHeight="1" x14ac:dyDescent="0.3">
      <c r="A152" s="40">
        <v>12931</v>
      </c>
      <c r="B152" s="40" t="s">
        <v>86</v>
      </c>
      <c r="C152" s="40" t="s">
        <v>361</v>
      </c>
      <c r="D152" s="40" t="s">
        <v>1247</v>
      </c>
      <c r="E152" s="40">
        <v>18</v>
      </c>
      <c r="F152" s="40" t="s">
        <v>42</v>
      </c>
      <c r="G152" s="40" t="s">
        <v>42</v>
      </c>
      <c r="H152" s="41" t="s">
        <v>552</v>
      </c>
      <c r="I152" s="64" t="s">
        <v>43</v>
      </c>
      <c r="J152" s="65" t="s">
        <v>43</v>
      </c>
      <c r="K152" s="66" t="s">
        <v>43</v>
      </c>
      <c r="L152" s="40">
        <v>1</v>
      </c>
      <c r="M152" s="40">
        <v>4</v>
      </c>
      <c r="N152" s="40">
        <v>3</v>
      </c>
      <c r="O152" s="40">
        <v>3</v>
      </c>
      <c r="P152" s="41">
        <v>1</v>
      </c>
      <c r="Q152" s="40">
        <v>3</v>
      </c>
      <c r="R152" s="40">
        <v>5</v>
      </c>
      <c r="S152" s="40">
        <v>5</v>
      </c>
      <c r="T152" s="40">
        <v>6</v>
      </c>
      <c r="U152" s="41">
        <v>3</v>
      </c>
      <c r="V152" s="40">
        <v>3</v>
      </c>
      <c r="W152" s="40">
        <v>4</v>
      </c>
      <c r="X152" s="40">
        <v>6</v>
      </c>
      <c r="Y152" s="41">
        <v>5</v>
      </c>
      <c r="Z152" s="40" t="s">
        <v>45</v>
      </c>
      <c r="AA152" s="40" t="s">
        <v>45</v>
      </c>
      <c r="AB152" s="40" t="s">
        <v>45</v>
      </c>
      <c r="AC152" s="40" t="s">
        <v>45</v>
      </c>
      <c r="AD152" s="40" t="s">
        <v>45</v>
      </c>
      <c r="AE152" s="40" t="s">
        <v>45</v>
      </c>
      <c r="AF152" s="40" t="s">
        <v>45</v>
      </c>
      <c r="AG152" s="41" t="s">
        <v>45</v>
      </c>
      <c r="AH152" s="40">
        <v>1</v>
      </c>
      <c r="AI152" s="40">
        <v>2</v>
      </c>
      <c r="AJ152" s="41">
        <v>4</v>
      </c>
      <c r="AK152" s="43" t="s">
        <v>558</v>
      </c>
      <c r="AL152" s="43" t="s">
        <v>103</v>
      </c>
      <c r="AM152" s="44">
        <f t="shared" si="18"/>
        <v>-1.5856216229044964</v>
      </c>
      <c r="AN152" s="44">
        <f t="shared" si="19"/>
        <v>-0.3741657531697305</v>
      </c>
      <c r="AO152" s="45">
        <f t="shared" si="20"/>
        <v>0</v>
      </c>
      <c r="AP152" s="46">
        <f t="shared" si="21"/>
        <v>0</v>
      </c>
      <c r="AQ152" s="44">
        <f>($AM$3*AM152+$AN$3*AN152+$AO$3*AO152+$AP$3*AP152)+$I$3*VLOOKUP(I152,COND!$A$2:$E$7,4,FALSE)+$J$3*VLOOKUP(J152,COND!$A$2:$C$7,2,FALSE)+$K$3*VLOOKUP(K152,COND!$A$2:$C$7,3,FALSE)+IF(AND($B$2&gt;0,$E152&lt;20),$B$2*25,0)</f>
        <v>45.351448799672781</v>
      </c>
      <c r="AR152" s="47">
        <f t="shared" si="24"/>
        <v>0.3113438824276043</v>
      </c>
      <c r="AS152" s="45" t="str">
        <f t="shared" si="22"/>
        <v>DH</v>
      </c>
      <c r="AT152" s="45">
        <v>900</v>
      </c>
      <c r="AU152" s="45">
        <v>148</v>
      </c>
      <c r="AV152" s="45"/>
      <c r="AW152" s="45" t="str">
        <f t="shared" si="23"/>
        <v>Unlikely</v>
      </c>
      <c r="AX152" s="45"/>
      <c r="AY152" s="63" t="str">
        <f>INDEX(Table5[[#All],[Ovr]],MATCH(Batters[[#This Row],[PID]],Table5[[#All],[PID]],0))</f>
        <v/>
      </c>
      <c r="AZ152" s="63" t="str">
        <f>INDEX(Table5[[#All],[Rnd]],MATCH(Batters[[#This Row],[PID]],Table5[[#All],[PID]],0))</f>
        <v/>
      </c>
      <c r="BA152" s="63" t="str">
        <f>INDEX(Table5[[#All],[Pick]],MATCH(Batters[[#This Row],[PID]],Table5[[#All],[PID]],0))</f>
        <v/>
      </c>
      <c r="BB152" s="63" t="str">
        <f>INDEX(Table5[[#All],[Team]],MATCH(Batters[[#This Row],[PID]],Table5[[#All],[PID]],0))</f>
        <v/>
      </c>
    </row>
    <row r="153" spans="1:54" ht="15" customHeight="1" x14ac:dyDescent="0.3">
      <c r="A153" s="40">
        <v>13140</v>
      </c>
      <c r="B153" s="40" t="s">
        <v>71</v>
      </c>
      <c r="C153" s="40" t="s">
        <v>1175</v>
      </c>
      <c r="D153" s="40" t="s">
        <v>1176</v>
      </c>
      <c r="E153" s="40">
        <v>18</v>
      </c>
      <c r="F153" s="40" t="s">
        <v>42</v>
      </c>
      <c r="G153" s="40" t="s">
        <v>42</v>
      </c>
      <c r="H153" s="41" t="s">
        <v>552</v>
      </c>
      <c r="I153" s="64" t="s">
        <v>43</v>
      </c>
      <c r="J153" s="65" t="s">
        <v>47</v>
      </c>
      <c r="K153" s="66" t="s">
        <v>43</v>
      </c>
      <c r="L153" s="40">
        <v>1</v>
      </c>
      <c r="M153" s="40">
        <v>3</v>
      </c>
      <c r="N153" s="40">
        <v>3</v>
      </c>
      <c r="O153" s="40">
        <v>4</v>
      </c>
      <c r="P153" s="41">
        <v>2</v>
      </c>
      <c r="Q153" s="40">
        <v>3</v>
      </c>
      <c r="R153" s="40">
        <v>4</v>
      </c>
      <c r="S153" s="40">
        <v>4</v>
      </c>
      <c r="T153" s="40">
        <v>6</v>
      </c>
      <c r="U153" s="41">
        <v>4</v>
      </c>
      <c r="V153" s="40">
        <v>3</v>
      </c>
      <c r="W153" s="40">
        <v>1</v>
      </c>
      <c r="X153" s="40">
        <v>1</v>
      </c>
      <c r="Y153" s="41">
        <v>1</v>
      </c>
      <c r="Z153" s="40" t="s">
        <v>45</v>
      </c>
      <c r="AA153" s="40" t="s">
        <v>45</v>
      </c>
      <c r="AB153" s="40">
        <v>4</v>
      </c>
      <c r="AC153" s="40" t="s">
        <v>45</v>
      </c>
      <c r="AD153" s="40" t="s">
        <v>45</v>
      </c>
      <c r="AE153" s="40" t="s">
        <v>45</v>
      </c>
      <c r="AF153" s="40" t="s">
        <v>45</v>
      </c>
      <c r="AG153" s="41" t="s">
        <v>45</v>
      </c>
      <c r="AH153" s="40">
        <v>6</v>
      </c>
      <c r="AI153" s="40">
        <v>5</v>
      </c>
      <c r="AJ153" s="41">
        <v>5</v>
      </c>
      <c r="AK153" s="43" t="s">
        <v>498</v>
      </c>
      <c r="AL153" s="43" t="s">
        <v>103</v>
      </c>
      <c r="AM153" s="44">
        <f t="shared" si="18"/>
        <v>-1.5069556126965353</v>
      </c>
      <c r="AN153" s="44">
        <f t="shared" si="19"/>
        <v>-0.46827078699525204</v>
      </c>
      <c r="AO153" s="45">
        <f t="shared" si="20"/>
        <v>0</v>
      </c>
      <c r="AP153" s="46">
        <f t="shared" si="21"/>
        <v>0</v>
      </c>
      <c r="AQ153" s="44">
        <f>($AM$3*AM153+$AN$3*AN153+$AO$3*AO153+$AP$3*AP153)+$I$3*VLOOKUP(I153,COND!$A$2:$E$7,4,FALSE)+$J$3*VLOOKUP(J153,COND!$A$2:$C$7,2,FALSE)+$K$3*VLOOKUP(K153,COND!$A$2:$C$7,3,FALSE)+IF(AND($B$2&gt;0,$E153&lt;20),$B$2*25,0)</f>
        <v>44.530054994787321</v>
      </c>
      <c r="AR153" s="47">
        <f t="shared" si="24"/>
        <v>0.19144658145259211</v>
      </c>
      <c r="AS153" s="45" t="str">
        <f t="shared" si="22"/>
        <v>2B</v>
      </c>
      <c r="AT153" s="45">
        <v>900</v>
      </c>
      <c r="AU153" s="45">
        <v>149</v>
      </c>
      <c r="AV153" s="45"/>
      <c r="AW153" s="45" t="str">
        <f t="shared" si="23"/>
        <v>Unlikely</v>
      </c>
      <c r="AX153" s="45"/>
      <c r="AY153" s="45">
        <f>INDEX(Table5[[#All],[Ovr]],MATCH(Batters[[#This Row],[PID]],Table5[[#All],[PID]],0))</f>
        <v>226</v>
      </c>
      <c r="AZ153" s="45" t="str">
        <f>INDEX(Table5[[#All],[Rnd]],MATCH(Batters[[#This Row],[PID]],Table5[[#All],[PID]],0))</f>
        <v>7</v>
      </c>
      <c r="BA153" s="45">
        <f>INDEX(Table5[[#All],[Pick]],MATCH(Batters[[#This Row],[PID]],Table5[[#All],[PID]],0))</f>
        <v>25</v>
      </c>
      <c r="BB153" s="45" t="str">
        <f>INDEX(Table5[[#All],[Team]],MATCH(Batters[[#This Row],[PID]],Table5[[#All],[PID]],0))</f>
        <v>Kalamazoo Badgers</v>
      </c>
    </row>
    <row r="154" spans="1:54" ht="15" customHeight="1" x14ac:dyDescent="0.3">
      <c r="A154" s="40">
        <v>18077</v>
      </c>
      <c r="B154" s="40" t="s">
        <v>71</v>
      </c>
      <c r="C154" s="40" t="s">
        <v>481</v>
      </c>
      <c r="D154" s="40" t="s">
        <v>994</v>
      </c>
      <c r="E154" s="40">
        <v>21</v>
      </c>
      <c r="F154" s="40" t="s">
        <v>42</v>
      </c>
      <c r="G154" s="40" t="s">
        <v>42</v>
      </c>
      <c r="H154" s="41" t="s">
        <v>549</v>
      </c>
      <c r="I154" s="64" t="s">
        <v>43</v>
      </c>
      <c r="J154" s="65" t="s">
        <v>43</v>
      </c>
      <c r="K154" s="66" t="s">
        <v>43</v>
      </c>
      <c r="L154" s="40">
        <v>2</v>
      </c>
      <c r="M154" s="40">
        <v>4</v>
      </c>
      <c r="N154" s="40">
        <v>3</v>
      </c>
      <c r="O154" s="40">
        <v>4</v>
      </c>
      <c r="P154" s="41">
        <v>2</v>
      </c>
      <c r="Q154" s="40">
        <v>4</v>
      </c>
      <c r="R154" s="40">
        <v>5</v>
      </c>
      <c r="S154" s="40">
        <v>4</v>
      </c>
      <c r="T154" s="40">
        <v>5</v>
      </c>
      <c r="U154" s="41">
        <v>4</v>
      </c>
      <c r="V154" s="40">
        <v>8</v>
      </c>
      <c r="W154" s="40">
        <v>5</v>
      </c>
      <c r="X154" s="40">
        <v>1</v>
      </c>
      <c r="Y154" s="41">
        <v>1</v>
      </c>
      <c r="Z154" s="40" t="s">
        <v>45</v>
      </c>
      <c r="AA154" s="40" t="s">
        <v>45</v>
      </c>
      <c r="AB154" s="40">
        <v>8</v>
      </c>
      <c r="AC154" s="40" t="s">
        <v>45</v>
      </c>
      <c r="AD154" s="40">
        <v>5</v>
      </c>
      <c r="AE154" s="40" t="s">
        <v>45</v>
      </c>
      <c r="AF154" s="40" t="s">
        <v>45</v>
      </c>
      <c r="AG154" s="41" t="s">
        <v>45</v>
      </c>
      <c r="AH154" s="40">
        <v>10</v>
      </c>
      <c r="AI154" s="40">
        <v>6</v>
      </c>
      <c r="AJ154" s="41">
        <v>6</v>
      </c>
      <c r="AK154" s="43" t="s">
        <v>571</v>
      </c>
      <c r="AL154" s="43" t="s">
        <v>103</v>
      </c>
      <c r="AM154" s="44">
        <f t="shared" si="18"/>
        <v>-1.1333398968751573</v>
      </c>
      <c r="AN154" s="44">
        <f t="shared" si="19"/>
        <v>-0.18436462118345487</v>
      </c>
      <c r="AO154" s="45">
        <f t="shared" si="20"/>
        <v>2</v>
      </c>
      <c r="AP154" s="46">
        <f t="shared" si="21"/>
        <v>2</v>
      </c>
      <c r="AQ154" s="44">
        <f>($AM$3*AM154+$AN$3*AN154+$AO$3*AO154+$AP$3*AP154)+$I$3*VLOOKUP(I154,COND!$A$2:$E$7,4,FALSE)+$J$3*VLOOKUP(J154,COND!$A$2:$C$7,2,FALSE)+$K$3*VLOOKUP(K154,COND!$A$2:$C$7,3,FALSE)+IF(AND($B$2&gt;0,$E154&lt;20),$B$2*25,0)</f>
        <v>45.007623889444361</v>
      </c>
      <c r="AR154" s="47">
        <f t="shared" si="24"/>
        <v>0.26115641023196007</v>
      </c>
      <c r="AS154" s="45" t="str">
        <f t="shared" si="22"/>
        <v>2B</v>
      </c>
      <c r="AT154" s="45">
        <v>900</v>
      </c>
      <c r="AU154" s="45">
        <v>150</v>
      </c>
      <c r="AV154" s="45"/>
      <c r="AW154" s="45" t="str">
        <f t="shared" si="23"/>
        <v>Unlikely</v>
      </c>
      <c r="AX154" s="45"/>
      <c r="AY154" s="45">
        <f>INDEX(Table5[[#All],[Ovr]],MATCH(Batters[[#This Row],[PID]],Table5[[#All],[PID]],0))</f>
        <v>79</v>
      </c>
      <c r="AZ154" s="45" t="str">
        <f>INDEX(Table5[[#All],[Rnd]],MATCH(Batters[[#This Row],[PID]],Table5[[#All],[PID]],0))</f>
        <v>3</v>
      </c>
      <c r="BA154" s="45">
        <f>INDEX(Table5[[#All],[Pick]],MATCH(Batters[[#This Row],[PID]],Table5[[#All],[PID]],0))</f>
        <v>7</v>
      </c>
      <c r="BB154" s="45" t="str">
        <f>INDEX(Table5[[#All],[Team]],MATCH(Batters[[#This Row],[PID]],Table5[[#All],[PID]],0))</f>
        <v>Hartford Harpoon</v>
      </c>
    </row>
    <row r="155" spans="1:54" ht="15" customHeight="1" x14ac:dyDescent="0.3">
      <c r="A155" s="40">
        <v>12769</v>
      </c>
      <c r="B155" s="40" t="s">
        <v>50</v>
      </c>
      <c r="C155" s="40" t="s">
        <v>1206</v>
      </c>
      <c r="D155" s="40" t="s">
        <v>1207</v>
      </c>
      <c r="E155" s="40">
        <v>17</v>
      </c>
      <c r="F155" s="40" t="s">
        <v>42</v>
      </c>
      <c r="G155" s="40" t="s">
        <v>42</v>
      </c>
      <c r="H155" s="41" t="s">
        <v>552</v>
      </c>
      <c r="I155" s="64" t="s">
        <v>43</v>
      </c>
      <c r="J155" s="65" t="s">
        <v>43</v>
      </c>
      <c r="K155" s="66" t="s">
        <v>43</v>
      </c>
      <c r="L155" s="40">
        <v>1</v>
      </c>
      <c r="M155" s="40">
        <v>2</v>
      </c>
      <c r="N155" s="40">
        <v>2</v>
      </c>
      <c r="O155" s="40">
        <v>3</v>
      </c>
      <c r="P155" s="41">
        <v>1</v>
      </c>
      <c r="Q155" s="40">
        <v>4</v>
      </c>
      <c r="R155" s="40">
        <v>4</v>
      </c>
      <c r="S155" s="40">
        <v>3</v>
      </c>
      <c r="T155" s="40">
        <v>4</v>
      </c>
      <c r="U155" s="41">
        <v>4</v>
      </c>
      <c r="V155" s="40">
        <v>2</v>
      </c>
      <c r="W155" s="40">
        <v>5</v>
      </c>
      <c r="X155" s="40">
        <v>1</v>
      </c>
      <c r="Y155" s="41">
        <v>1</v>
      </c>
      <c r="Z155" s="40" t="s">
        <v>45</v>
      </c>
      <c r="AA155" s="40" t="s">
        <v>45</v>
      </c>
      <c r="AB155" s="40" t="s">
        <v>45</v>
      </c>
      <c r="AC155" s="40" t="s">
        <v>45</v>
      </c>
      <c r="AD155" s="40" t="s">
        <v>45</v>
      </c>
      <c r="AE155" s="40">
        <v>1</v>
      </c>
      <c r="AF155" s="40" t="s">
        <v>45</v>
      </c>
      <c r="AG155" s="41" t="s">
        <v>45</v>
      </c>
      <c r="AH155" s="40">
        <v>5</v>
      </c>
      <c r="AI155" s="40">
        <v>2</v>
      </c>
      <c r="AJ155" s="41">
        <v>2</v>
      </c>
      <c r="AK155" s="43" t="s">
        <v>570</v>
      </c>
      <c r="AL155" s="43" t="s">
        <v>103</v>
      </c>
      <c r="AM155" s="44">
        <f t="shared" si="18"/>
        <v>-1.7708028761658048</v>
      </c>
      <c r="AN155" s="44">
        <f t="shared" si="19"/>
        <v>-0.40819554483564086</v>
      </c>
      <c r="AO155" s="45">
        <f t="shared" si="20"/>
        <v>0</v>
      </c>
      <c r="AP155" s="46">
        <f t="shared" si="21"/>
        <v>0</v>
      </c>
      <c r="AQ155" s="44">
        <f>($AM$3*AM155+$AN$3*AN155+$AO$3*AO155+$AP$3*AP155)+$I$3*VLOOKUP(I155,COND!$A$2:$E$7,4,FALSE)+$J$3*VLOOKUP(J155,COND!$A$2:$C$7,2,FALSE)+$K$3*VLOOKUP(K155,COND!$A$2:$C$7,3,FALSE)+IF(AND($B$2&gt;0,$E155&lt;20),$B$2*25,0)</f>
        <v>44.924573174355729</v>
      </c>
      <c r="AR155" s="47">
        <f t="shared" si="24"/>
        <v>0.24903365434562824</v>
      </c>
      <c r="AS155" s="45" t="str">
        <f t="shared" si="22"/>
        <v>LF</v>
      </c>
      <c r="AT155" s="45">
        <v>900</v>
      </c>
      <c r="AU155" s="45">
        <v>151</v>
      </c>
      <c r="AV155" s="45"/>
      <c r="AW155" s="45" t="str">
        <f t="shared" si="23"/>
        <v>Unlikely</v>
      </c>
      <c r="AX155" s="45"/>
      <c r="AY155" s="45">
        <f>INDEX(Table5[[#All],[Ovr]],MATCH(Batters[[#This Row],[PID]],Table5[[#All],[PID]],0))</f>
        <v>534</v>
      </c>
      <c r="AZ155" s="45" t="str">
        <f>INDEX(Table5[[#All],[Rnd]],MATCH(Batters[[#This Row],[PID]],Table5[[#All],[PID]],0))</f>
        <v>16</v>
      </c>
      <c r="BA155" s="45">
        <f>INDEX(Table5[[#All],[Pick]],MATCH(Batters[[#This Row],[PID]],Table5[[#All],[PID]],0))</f>
        <v>33</v>
      </c>
      <c r="BB155" s="45" t="str">
        <f>INDEX(Table5[[#All],[Team]],MATCH(Batters[[#This Row],[PID]],Table5[[#All],[PID]],0))</f>
        <v>New Jersey Hitmen</v>
      </c>
    </row>
    <row r="156" spans="1:54" ht="15" customHeight="1" x14ac:dyDescent="0.3">
      <c r="A156" s="40">
        <v>21066</v>
      </c>
      <c r="B156" s="40" t="s">
        <v>71</v>
      </c>
      <c r="C156" s="40" t="s">
        <v>201</v>
      </c>
      <c r="D156" s="40" t="s">
        <v>1204</v>
      </c>
      <c r="E156" s="40">
        <v>16</v>
      </c>
      <c r="F156" s="40" t="s">
        <v>42</v>
      </c>
      <c r="G156" s="40" t="s">
        <v>42</v>
      </c>
      <c r="H156" s="41" t="s">
        <v>552</v>
      </c>
      <c r="I156" s="64" t="s">
        <v>43</v>
      </c>
      <c r="J156" s="65" t="s">
        <v>43</v>
      </c>
      <c r="K156" s="66" t="s">
        <v>43</v>
      </c>
      <c r="L156" s="40">
        <v>1</v>
      </c>
      <c r="M156" s="40">
        <v>2</v>
      </c>
      <c r="N156" s="40">
        <v>2</v>
      </c>
      <c r="O156" s="40">
        <v>2</v>
      </c>
      <c r="P156" s="41">
        <v>1</v>
      </c>
      <c r="Q156" s="40">
        <v>4</v>
      </c>
      <c r="R156" s="40">
        <v>4</v>
      </c>
      <c r="S156" s="40">
        <v>2</v>
      </c>
      <c r="T156" s="40">
        <v>4</v>
      </c>
      <c r="U156" s="41">
        <v>5</v>
      </c>
      <c r="V156" s="40">
        <v>4</v>
      </c>
      <c r="W156" s="40">
        <v>2</v>
      </c>
      <c r="X156" s="40">
        <v>1</v>
      </c>
      <c r="Y156" s="41">
        <v>1</v>
      </c>
      <c r="Z156" s="40" t="s">
        <v>45</v>
      </c>
      <c r="AA156" s="40" t="s">
        <v>45</v>
      </c>
      <c r="AB156" s="40">
        <v>1</v>
      </c>
      <c r="AC156" s="40" t="s">
        <v>45</v>
      </c>
      <c r="AD156" s="40" t="s">
        <v>45</v>
      </c>
      <c r="AE156" s="40" t="s">
        <v>45</v>
      </c>
      <c r="AF156" s="40" t="s">
        <v>45</v>
      </c>
      <c r="AG156" s="41" t="s">
        <v>45</v>
      </c>
      <c r="AH156" s="40">
        <v>8</v>
      </c>
      <c r="AI156" s="40">
        <v>7</v>
      </c>
      <c r="AJ156" s="41">
        <v>8</v>
      </c>
      <c r="AK156" s="43" t="s">
        <v>583</v>
      </c>
      <c r="AL156" s="43" t="s">
        <v>103</v>
      </c>
      <c r="AM156" s="44">
        <f t="shared" si="18"/>
        <v>-1.8605124261753858</v>
      </c>
      <c r="AN156" s="44">
        <f t="shared" si="19"/>
        <v>-0.451240699042459</v>
      </c>
      <c r="AO156" s="45">
        <f t="shared" si="20"/>
        <v>3</v>
      </c>
      <c r="AP156" s="46">
        <f t="shared" si="21"/>
        <v>0</v>
      </c>
      <c r="AQ156" s="44">
        <f>($AM$3*AM156+$AN$3*AN156+$AO$3*AO156+$AP$3*AP156)+$I$3*VLOOKUP(I156,COND!$A$2:$E$7,4,FALSE)+$J$3*VLOOKUP(J156,COND!$A$2:$C$7,2,FALSE)+$K$3*VLOOKUP(K156,COND!$A$2:$C$7,3,FALSE)+IF(AND($B$2&gt;0,$E156&lt;20),$B$2*25,0)</f>
        <v>44.899060368872952</v>
      </c>
      <c r="AR156" s="47">
        <f t="shared" si="24"/>
        <v>0.24530959835751187</v>
      </c>
      <c r="AS156" s="45" t="str">
        <f t="shared" si="22"/>
        <v>2B</v>
      </c>
      <c r="AT156" s="45">
        <v>900</v>
      </c>
      <c r="AU156" s="45">
        <v>152</v>
      </c>
      <c r="AV156" s="45"/>
      <c r="AW156" s="45" t="str">
        <f t="shared" si="23"/>
        <v>Unlikely</v>
      </c>
      <c r="AX156" s="45"/>
      <c r="AY156" s="45">
        <f>INDEX(Table5[[#All],[Ovr]],MATCH(Batters[[#This Row],[PID]],Table5[[#All],[PID]],0))</f>
        <v>503</v>
      </c>
      <c r="AZ156" s="45" t="str">
        <f>INDEX(Table5[[#All],[Rnd]],MATCH(Batters[[#This Row],[PID]],Table5[[#All],[PID]],0))</f>
        <v>16</v>
      </c>
      <c r="BA156" s="45">
        <f>INDEX(Table5[[#All],[Pick]],MATCH(Batters[[#This Row],[PID]],Table5[[#All],[PID]],0))</f>
        <v>2</v>
      </c>
      <c r="BB156" s="45" t="str">
        <f>INDEX(Table5[[#All],[Team]],MATCH(Batters[[#This Row],[PID]],Table5[[#All],[PID]],0))</f>
        <v>Charleston Statesmen</v>
      </c>
    </row>
    <row r="157" spans="1:54" ht="15" customHeight="1" x14ac:dyDescent="0.3">
      <c r="A157" s="40">
        <v>12421</v>
      </c>
      <c r="B157" s="40" t="s">
        <v>50</v>
      </c>
      <c r="C157" s="40" t="s">
        <v>1215</v>
      </c>
      <c r="D157" s="40" t="s">
        <v>1216</v>
      </c>
      <c r="E157" s="40">
        <v>17</v>
      </c>
      <c r="F157" s="40" t="s">
        <v>42</v>
      </c>
      <c r="G157" s="40" t="s">
        <v>42</v>
      </c>
      <c r="H157" s="41" t="s">
        <v>552</v>
      </c>
      <c r="I157" s="64" t="s">
        <v>43</v>
      </c>
      <c r="J157" s="65" t="s">
        <v>43</v>
      </c>
      <c r="K157" s="66" t="s">
        <v>43</v>
      </c>
      <c r="L157" s="40">
        <v>1</v>
      </c>
      <c r="M157" s="40">
        <v>4</v>
      </c>
      <c r="N157" s="40">
        <v>4</v>
      </c>
      <c r="O157" s="40">
        <v>4</v>
      </c>
      <c r="P157" s="41">
        <v>1</v>
      </c>
      <c r="Q157" s="40">
        <v>3</v>
      </c>
      <c r="R157" s="40">
        <v>5</v>
      </c>
      <c r="S157" s="40">
        <v>6</v>
      </c>
      <c r="T157" s="40">
        <v>5</v>
      </c>
      <c r="U157" s="41">
        <v>2</v>
      </c>
      <c r="V157" s="40">
        <v>2</v>
      </c>
      <c r="W157" s="40">
        <v>5</v>
      </c>
      <c r="X157" s="40">
        <v>1</v>
      </c>
      <c r="Y157" s="41">
        <v>1</v>
      </c>
      <c r="Z157" s="40" t="s">
        <v>45</v>
      </c>
      <c r="AA157" s="40" t="s">
        <v>45</v>
      </c>
      <c r="AB157" s="40" t="s">
        <v>45</v>
      </c>
      <c r="AC157" s="40" t="s">
        <v>45</v>
      </c>
      <c r="AD157" s="40" t="s">
        <v>45</v>
      </c>
      <c r="AE157" s="40">
        <v>1</v>
      </c>
      <c r="AF157" s="40" t="s">
        <v>45</v>
      </c>
      <c r="AG157" s="41" t="s">
        <v>45</v>
      </c>
      <c r="AH157" s="40">
        <v>2</v>
      </c>
      <c r="AI157" s="40">
        <v>1</v>
      </c>
      <c r="AJ157" s="41">
        <v>2</v>
      </c>
      <c r="AK157" s="43" t="s">
        <v>558</v>
      </c>
      <c r="AL157" s="43" t="s">
        <v>103</v>
      </c>
      <c r="AM157" s="44">
        <f t="shared" si="18"/>
        <v>-1.4128505788710137</v>
      </c>
      <c r="AN157" s="44">
        <f t="shared" si="19"/>
        <v>-0.42083014897249338</v>
      </c>
      <c r="AO157" s="45">
        <f t="shared" si="20"/>
        <v>0</v>
      </c>
      <c r="AP157" s="46">
        <f t="shared" si="21"/>
        <v>0</v>
      </c>
      <c r="AQ157" s="44">
        <f>($AM$3*AM157+$AN$3*AN157+$AO$3*AO157+$AP$3*AP157)+$I$3*VLOOKUP(I157,COND!$A$2:$E$7,4,FALSE)+$J$3*VLOOKUP(J157,COND!$A$2:$C$7,2,FALSE)+$K$3*VLOOKUP(K157,COND!$A$2:$C$7,3,FALSE)+IF(AND($B$2&gt;0,$E157&lt;20),$B$2*25,0)</f>
        <v>44.808753154442982</v>
      </c>
      <c r="AR157" s="47">
        <f t="shared" si="24"/>
        <v>0.23212762497966916</v>
      </c>
      <c r="AS157" s="45" t="str">
        <f t="shared" si="22"/>
        <v>LF</v>
      </c>
      <c r="AT157" s="45">
        <v>900</v>
      </c>
      <c r="AU157" s="45">
        <v>153</v>
      </c>
      <c r="AV157" s="45"/>
      <c r="AW157" s="45" t="str">
        <f t="shared" si="23"/>
        <v>Unlikely</v>
      </c>
      <c r="AX157" s="45"/>
      <c r="AY157" s="63">
        <f>INDEX(Table5[[#All],[Ovr]],MATCH(Batters[[#This Row],[PID]],Table5[[#All],[PID]],0))</f>
        <v>258</v>
      </c>
      <c r="AZ157" s="63" t="str">
        <f>INDEX(Table5[[#All],[Rnd]],MATCH(Batters[[#This Row],[PID]],Table5[[#All],[PID]],0))</f>
        <v>8</v>
      </c>
      <c r="BA157" s="63">
        <f>INDEX(Table5[[#All],[Pick]],MATCH(Batters[[#This Row],[PID]],Table5[[#All],[PID]],0))</f>
        <v>25</v>
      </c>
      <c r="BB157" s="63" t="str">
        <f>INDEX(Table5[[#All],[Team]],MATCH(Batters[[#This Row],[PID]],Table5[[#All],[PID]],0))</f>
        <v>Kalamazoo Badgers</v>
      </c>
    </row>
    <row r="158" spans="1:54" ht="15" customHeight="1" x14ac:dyDescent="0.3">
      <c r="A158" s="40">
        <v>8633</v>
      </c>
      <c r="B158" s="40" t="s">
        <v>87</v>
      </c>
      <c r="C158" s="40" t="s">
        <v>1011</v>
      </c>
      <c r="D158" s="40" t="s">
        <v>1012</v>
      </c>
      <c r="E158" s="40">
        <v>21</v>
      </c>
      <c r="F158" s="40" t="s">
        <v>62</v>
      </c>
      <c r="G158" s="40" t="s">
        <v>42</v>
      </c>
      <c r="H158" s="41" t="s">
        <v>549</v>
      </c>
      <c r="I158" s="64" t="s">
        <v>43</v>
      </c>
      <c r="J158" s="65" t="s">
        <v>43</v>
      </c>
      <c r="K158" s="66" t="s">
        <v>43</v>
      </c>
      <c r="L158" s="40">
        <v>1</v>
      </c>
      <c r="M158" s="40">
        <v>6</v>
      </c>
      <c r="N158" s="40">
        <v>7</v>
      </c>
      <c r="O158" s="40">
        <v>6</v>
      </c>
      <c r="P158" s="41">
        <v>1</v>
      </c>
      <c r="Q158" s="40">
        <v>3</v>
      </c>
      <c r="R158" s="40">
        <v>7</v>
      </c>
      <c r="S158" s="40">
        <v>8</v>
      </c>
      <c r="T158" s="40">
        <v>7</v>
      </c>
      <c r="U158" s="41">
        <v>1</v>
      </c>
      <c r="V158" s="40">
        <v>6</v>
      </c>
      <c r="W158" s="40">
        <v>6</v>
      </c>
      <c r="X158" s="40">
        <v>1</v>
      </c>
      <c r="Y158" s="41">
        <v>1</v>
      </c>
      <c r="Z158" s="40" t="s">
        <v>45</v>
      </c>
      <c r="AA158" s="40">
        <v>2</v>
      </c>
      <c r="AB158" s="40" t="s">
        <v>45</v>
      </c>
      <c r="AC158" s="40" t="s">
        <v>45</v>
      </c>
      <c r="AD158" s="40" t="s">
        <v>45</v>
      </c>
      <c r="AE158" s="40" t="s">
        <v>45</v>
      </c>
      <c r="AF158" s="40" t="s">
        <v>45</v>
      </c>
      <c r="AG158" s="41">
        <v>1</v>
      </c>
      <c r="AH158" s="40">
        <v>1</v>
      </c>
      <c r="AI158" s="40">
        <v>1</v>
      </c>
      <c r="AJ158" s="41">
        <v>1</v>
      </c>
      <c r="AK158" s="43" t="s">
        <v>791</v>
      </c>
      <c r="AL158" s="43" t="s">
        <v>103</v>
      </c>
      <c r="AM158" s="44">
        <f t="shared" si="18"/>
        <v>-0.88212723754274025</v>
      </c>
      <c r="AN158" s="44">
        <f t="shared" si="19"/>
        <v>-1.3184641485204826E-2</v>
      </c>
      <c r="AO158" s="45">
        <f t="shared" si="20"/>
        <v>0</v>
      </c>
      <c r="AP158" s="46">
        <f t="shared" si="21"/>
        <v>0</v>
      </c>
      <c r="AQ158" s="44">
        <f>($AM$3*AM158+$AN$3*AN158+$AO$3*AO158+$AP$3*AP158)+$I$3*VLOOKUP(I158,COND!$A$2:$E$7,4,FALSE)+$J$3*VLOOKUP(J158,COND!$A$2:$C$7,2,FALSE)+$K$3*VLOOKUP(K158,COND!$A$2:$C$7,3,FALSE)+IF(AND($B$2&gt;0,$E158&lt;20),$B$2*25,0)</f>
        <v>44.753571578423269</v>
      </c>
      <c r="AR158" s="47">
        <f t="shared" si="24"/>
        <v>0.22407287464072106</v>
      </c>
      <c r="AS158" s="45" t="str">
        <f t="shared" si="22"/>
        <v>RF</v>
      </c>
      <c r="AT158" s="45">
        <v>900</v>
      </c>
      <c r="AU158" s="45">
        <v>154</v>
      </c>
      <c r="AV158" s="45"/>
      <c r="AW158" s="45" t="str">
        <f t="shared" si="23"/>
        <v>Possible</v>
      </c>
      <c r="AX158" s="45"/>
      <c r="AY158" s="45">
        <f>INDEX(Table5[[#All],[Ovr]],MATCH(Batters[[#This Row],[PID]],Table5[[#All],[PID]],0))</f>
        <v>43</v>
      </c>
      <c r="AZ158" s="45" t="str">
        <f>INDEX(Table5[[#All],[Rnd]],MATCH(Batters[[#This Row],[PID]],Table5[[#All],[PID]],0))</f>
        <v>2</v>
      </c>
      <c r="BA158" s="45">
        <f>INDEX(Table5[[#All],[Pick]],MATCH(Batters[[#This Row],[PID]],Table5[[#All],[PID]],0))</f>
        <v>7</v>
      </c>
      <c r="BB158" s="45" t="str">
        <f>INDEX(Table5[[#All],[Team]],MATCH(Batters[[#This Row],[PID]],Table5[[#All],[PID]],0))</f>
        <v>Hartford Harpoon</v>
      </c>
    </row>
    <row r="159" spans="1:54" ht="15" customHeight="1" x14ac:dyDescent="0.3">
      <c r="A159" s="40">
        <v>7645</v>
      </c>
      <c r="B159" s="40" t="s">
        <v>74</v>
      </c>
      <c r="C159" s="40" t="s">
        <v>731</v>
      </c>
      <c r="D159" s="40" t="s">
        <v>1032</v>
      </c>
      <c r="E159" s="40">
        <v>21</v>
      </c>
      <c r="F159" s="40" t="s">
        <v>42</v>
      </c>
      <c r="G159" s="40" t="s">
        <v>42</v>
      </c>
      <c r="H159" s="41" t="s">
        <v>550</v>
      </c>
      <c r="I159" s="64" t="s">
        <v>43</v>
      </c>
      <c r="J159" s="65" t="s">
        <v>47</v>
      </c>
      <c r="K159" s="66" t="s">
        <v>43</v>
      </c>
      <c r="L159" s="40">
        <v>2</v>
      </c>
      <c r="M159" s="40">
        <v>5</v>
      </c>
      <c r="N159" s="40">
        <v>2</v>
      </c>
      <c r="O159" s="40">
        <v>3</v>
      </c>
      <c r="P159" s="41">
        <v>2</v>
      </c>
      <c r="Q159" s="40">
        <v>4</v>
      </c>
      <c r="R159" s="40">
        <v>6</v>
      </c>
      <c r="S159" s="40">
        <v>3</v>
      </c>
      <c r="T159" s="40">
        <v>5</v>
      </c>
      <c r="U159" s="41">
        <v>4</v>
      </c>
      <c r="V159" s="40">
        <v>7</v>
      </c>
      <c r="W159" s="40">
        <v>9</v>
      </c>
      <c r="X159" s="40">
        <v>1</v>
      </c>
      <c r="Y159" s="41">
        <v>1</v>
      </c>
      <c r="Z159" s="40" t="s">
        <v>45</v>
      </c>
      <c r="AA159" s="40" t="s">
        <v>45</v>
      </c>
      <c r="AB159" s="40" t="s">
        <v>45</v>
      </c>
      <c r="AC159" s="40" t="s">
        <v>45</v>
      </c>
      <c r="AD159" s="40">
        <v>1</v>
      </c>
      <c r="AE159" s="40" t="s">
        <v>45</v>
      </c>
      <c r="AF159" s="40">
        <v>7</v>
      </c>
      <c r="AG159" s="41" t="s">
        <v>45</v>
      </c>
      <c r="AH159" s="40">
        <v>9</v>
      </c>
      <c r="AI159" s="40">
        <v>8</v>
      </c>
      <c r="AJ159" s="41">
        <v>8</v>
      </c>
      <c r="AK159" s="43" t="s">
        <v>576</v>
      </c>
      <c r="AL159" s="43" t="s">
        <v>103</v>
      </c>
      <c r="AM159" s="44">
        <f t="shared" si="18"/>
        <v>-1.2550510612899364</v>
      </c>
      <c r="AN159" s="44">
        <f t="shared" si="19"/>
        <v>-0.21636623558865281</v>
      </c>
      <c r="AO159" s="45">
        <f t="shared" si="20"/>
        <v>4</v>
      </c>
      <c r="AP159" s="46">
        <f t="shared" si="21"/>
        <v>0.75</v>
      </c>
      <c r="AQ159" s="44">
        <f>($AM$3*AM159+$AN$3*AN159+$AO$3*AO159+$AP$3*AP159)+$I$3*VLOOKUP(I159,COND!$A$2:$E$7,4,FALSE)+$J$3*VLOOKUP(J159,COND!$A$2:$C$7,2,FALSE)+$K$3*VLOOKUP(K159,COND!$A$2:$C$7,3,FALSE)+IF(AND($B$2&gt;0,$E159&lt;20),$B$2*25,0)</f>
        <v>43.994766733473838</v>
      </c>
      <c r="AR159" s="47">
        <f t="shared" si="24"/>
        <v>0.11331156583235238</v>
      </c>
      <c r="AS159" s="45" t="str">
        <f t="shared" si="22"/>
        <v>SS</v>
      </c>
      <c r="AT159" s="45">
        <v>900</v>
      </c>
      <c r="AU159" s="45">
        <v>155</v>
      </c>
      <c r="AV159" s="45"/>
      <c r="AW159" s="45" t="str">
        <f t="shared" si="23"/>
        <v>Unlikely</v>
      </c>
      <c r="AX159" s="45"/>
      <c r="AY159" s="45">
        <f>INDEX(Table5[[#All],[Ovr]],MATCH(Batters[[#This Row],[PID]],Table5[[#All],[PID]],0))</f>
        <v>139</v>
      </c>
      <c r="AZ159" s="45" t="str">
        <f>INDEX(Table5[[#All],[Rnd]],MATCH(Batters[[#This Row],[PID]],Table5[[#All],[PID]],0))</f>
        <v>5</v>
      </c>
      <c r="BA159" s="45">
        <f>INDEX(Table5[[#All],[Pick]],MATCH(Batters[[#This Row],[PID]],Table5[[#All],[PID]],0))</f>
        <v>2</v>
      </c>
      <c r="BB159" s="45" t="str">
        <f>INDEX(Table5[[#All],[Team]],MATCH(Batters[[#This Row],[PID]],Table5[[#All],[PID]],0))</f>
        <v>Charleston Statesmen</v>
      </c>
    </row>
    <row r="160" spans="1:54" ht="15" customHeight="1" x14ac:dyDescent="0.3">
      <c r="A160" s="40">
        <v>9519</v>
      </c>
      <c r="B160" s="40" t="s">
        <v>87</v>
      </c>
      <c r="C160" s="40" t="s">
        <v>1151</v>
      </c>
      <c r="D160" s="40" t="s">
        <v>1152</v>
      </c>
      <c r="E160" s="40">
        <v>17</v>
      </c>
      <c r="F160" s="40" t="s">
        <v>53</v>
      </c>
      <c r="G160" s="40" t="s">
        <v>53</v>
      </c>
      <c r="H160" s="41" t="s">
        <v>552</v>
      </c>
      <c r="I160" s="64" t="s">
        <v>43</v>
      </c>
      <c r="J160" s="65" t="s">
        <v>47</v>
      </c>
      <c r="K160" s="66" t="s">
        <v>43</v>
      </c>
      <c r="L160" s="40">
        <v>1</v>
      </c>
      <c r="M160" s="40">
        <v>2</v>
      </c>
      <c r="N160" s="40">
        <v>2</v>
      </c>
      <c r="O160" s="40">
        <v>2</v>
      </c>
      <c r="P160" s="41">
        <v>1</v>
      </c>
      <c r="Q160" s="40">
        <v>3</v>
      </c>
      <c r="R160" s="40">
        <v>4</v>
      </c>
      <c r="S160" s="40">
        <v>5</v>
      </c>
      <c r="T160" s="40">
        <v>5</v>
      </c>
      <c r="U160" s="41">
        <v>3</v>
      </c>
      <c r="V160" s="40">
        <v>7</v>
      </c>
      <c r="W160" s="40">
        <v>7</v>
      </c>
      <c r="X160" s="40">
        <v>1</v>
      </c>
      <c r="Y160" s="41">
        <v>1</v>
      </c>
      <c r="Z160" s="40" t="s">
        <v>45</v>
      </c>
      <c r="AA160" s="40">
        <v>3</v>
      </c>
      <c r="AB160" s="40" t="s">
        <v>45</v>
      </c>
      <c r="AC160" s="40" t="s">
        <v>45</v>
      </c>
      <c r="AD160" s="40" t="s">
        <v>45</v>
      </c>
      <c r="AE160" s="40">
        <v>1</v>
      </c>
      <c r="AF160" s="40" t="s">
        <v>45</v>
      </c>
      <c r="AG160" s="41">
        <v>2</v>
      </c>
      <c r="AH160" s="40">
        <v>7</v>
      </c>
      <c r="AI160" s="40">
        <v>4</v>
      </c>
      <c r="AJ160" s="41">
        <v>6</v>
      </c>
      <c r="AK160" s="43" t="s">
        <v>558</v>
      </c>
      <c r="AL160" s="43" t="s">
        <v>103</v>
      </c>
      <c r="AM160" s="44">
        <f t="shared" si="18"/>
        <v>-1.8605124261753858</v>
      </c>
      <c r="AN160" s="44">
        <f t="shared" si="19"/>
        <v>-0.51493518279801498</v>
      </c>
      <c r="AO160" s="45">
        <f t="shared" si="20"/>
        <v>0</v>
      </c>
      <c r="AP160" s="46">
        <f t="shared" si="21"/>
        <v>0</v>
      </c>
      <c r="AQ160" s="44">
        <f>($AM$3*AM160+$AN$3*AN160+$AO$3*AO160+$AP$3*AP160)+$I$3*VLOOKUP(I160,COND!$A$2:$E$7,4,FALSE)+$J$3*VLOOKUP(J160,COND!$A$2:$C$7,2,FALSE)+$K$3*VLOOKUP(K160,COND!$A$2:$C$7,3,FALSE)+IF(AND($B$2&gt;0,$E160&lt;20),$B$2*25,0)</f>
        <v>43.934726563806279</v>
      </c>
      <c r="AR160" s="47">
        <f t="shared" si="24"/>
        <v>0.10454761576308452</v>
      </c>
      <c r="AS160" s="45" t="str">
        <f t="shared" si="22"/>
        <v>RF</v>
      </c>
      <c r="AT160" s="45">
        <v>900</v>
      </c>
      <c r="AU160" s="45">
        <v>156</v>
      </c>
      <c r="AV160" s="45"/>
      <c r="AW160" s="45" t="str">
        <f t="shared" si="23"/>
        <v>Unlikely</v>
      </c>
      <c r="AX160" s="45"/>
      <c r="AY160" s="63">
        <f>INDEX(Table5[[#All],[Ovr]],MATCH(Batters[[#This Row],[PID]],Table5[[#All],[PID]],0))</f>
        <v>475</v>
      </c>
      <c r="AZ160" s="63" t="str">
        <f>INDEX(Table5[[#All],[Rnd]],MATCH(Batters[[#This Row],[PID]],Table5[[#All],[PID]],0))</f>
        <v>15</v>
      </c>
      <c r="BA160" s="63">
        <f>INDEX(Table5[[#All],[Pick]],MATCH(Batters[[#This Row],[PID]],Table5[[#All],[PID]],0))</f>
        <v>8</v>
      </c>
      <c r="BB160" s="63" t="str">
        <f>INDEX(Table5[[#All],[Team]],MATCH(Batters[[#This Row],[PID]],Table5[[#All],[PID]],0))</f>
        <v>Gloucester Fishermen</v>
      </c>
    </row>
    <row r="161" spans="1:54" ht="15" customHeight="1" x14ac:dyDescent="0.3">
      <c r="A161" s="40">
        <v>11986</v>
      </c>
      <c r="B161" s="40" t="s">
        <v>87</v>
      </c>
      <c r="C161" s="40" t="s">
        <v>588</v>
      </c>
      <c r="D161" s="40" t="s">
        <v>566</v>
      </c>
      <c r="E161" s="40">
        <v>17</v>
      </c>
      <c r="F161" s="40" t="s">
        <v>42</v>
      </c>
      <c r="G161" s="40" t="s">
        <v>42</v>
      </c>
      <c r="H161" s="41" t="s">
        <v>553</v>
      </c>
      <c r="I161" s="64" t="s">
        <v>47</v>
      </c>
      <c r="J161" s="65" t="s">
        <v>47</v>
      </c>
      <c r="K161" s="66" t="s">
        <v>43</v>
      </c>
      <c r="L161" s="40">
        <v>1</v>
      </c>
      <c r="M161" s="40">
        <v>2</v>
      </c>
      <c r="N161" s="40">
        <v>2</v>
      </c>
      <c r="O161" s="40">
        <v>1</v>
      </c>
      <c r="P161" s="41">
        <v>2</v>
      </c>
      <c r="Q161" s="40">
        <v>4</v>
      </c>
      <c r="R161" s="40">
        <v>4</v>
      </c>
      <c r="S161" s="40">
        <v>2</v>
      </c>
      <c r="T161" s="40">
        <v>3</v>
      </c>
      <c r="U161" s="41">
        <v>5</v>
      </c>
      <c r="V161" s="40">
        <v>3</v>
      </c>
      <c r="W161" s="40">
        <v>4</v>
      </c>
      <c r="X161" s="40">
        <v>4</v>
      </c>
      <c r="Y161" s="41">
        <v>4</v>
      </c>
      <c r="Z161" s="40" t="s">
        <v>45</v>
      </c>
      <c r="AA161" s="40">
        <v>1</v>
      </c>
      <c r="AB161" s="40" t="s">
        <v>45</v>
      </c>
      <c r="AC161" s="40" t="s">
        <v>45</v>
      </c>
      <c r="AD161" s="40" t="s">
        <v>45</v>
      </c>
      <c r="AE161" s="40" t="s">
        <v>45</v>
      </c>
      <c r="AF161" s="40" t="s">
        <v>45</v>
      </c>
      <c r="AG161" s="41" t="s">
        <v>45</v>
      </c>
      <c r="AH161" s="40">
        <v>1</v>
      </c>
      <c r="AI161" s="40">
        <v>3</v>
      </c>
      <c r="AJ161" s="41">
        <v>4</v>
      </c>
      <c r="AK161" s="43" t="s">
        <v>558</v>
      </c>
      <c r="AL161" s="43" t="s">
        <v>103</v>
      </c>
      <c r="AM161" s="44">
        <f t="shared" si="18"/>
        <v>-1.9102056363678834</v>
      </c>
      <c r="AN161" s="44">
        <f t="shared" si="19"/>
        <v>-0.54095024905204003</v>
      </c>
      <c r="AO161" s="45">
        <f t="shared" si="20"/>
        <v>0</v>
      </c>
      <c r="AP161" s="46">
        <f t="shared" si="21"/>
        <v>0</v>
      </c>
      <c r="AQ161" s="44">
        <f>($AM$3*AM161+$AN$3*AN161+$AO$3*AO161+$AP$3*AP161)+$I$3*VLOOKUP(I161,COND!$A$2:$E$7,4,FALSE)+$J$3*VLOOKUP(J161,COND!$A$2:$C$7,2,FALSE)+$K$3*VLOOKUP(K161,COND!$A$2:$C$7,3,FALSE)+IF(AND($B$2&gt;0,$E161&lt;20),$B$2*25,0)</f>
        <v>43.842576447738729</v>
      </c>
      <c r="AR161" s="47">
        <f t="shared" si="24"/>
        <v>9.1096637516938556E-2</v>
      </c>
      <c r="AS161" s="45" t="str">
        <f t="shared" si="22"/>
        <v>1B</v>
      </c>
      <c r="AT161" s="45">
        <v>900</v>
      </c>
      <c r="AU161" s="45">
        <v>157</v>
      </c>
      <c r="AV161" s="45"/>
      <c r="AW161" s="45" t="str">
        <f t="shared" si="23"/>
        <v>Unlikely</v>
      </c>
      <c r="AX161" s="45"/>
      <c r="AY161" s="45" t="str">
        <f>INDEX(Table5[[#All],[Ovr]],MATCH(Batters[[#This Row],[PID]],Table5[[#All],[PID]],0))</f>
        <v/>
      </c>
      <c r="AZ161" s="45" t="str">
        <f>INDEX(Table5[[#All],[Rnd]],MATCH(Batters[[#This Row],[PID]],Table5[[#All],[PID]],0))</f>
        <v/>
      </c>
      <c r="BA161" s="45" t="str">
        <f>INDEX(Table5[[#All],[Pick]],MATCH(Batters[[#This Row],[PID]],Table5[[#All],[PID]],0))</f>
        <v/>
      </c>
      <c r="BB161" s="45" t="str">
        <f>INDEX(Table5[[#All],[Team]],MATCH(Batters[[#This Row],[PID]],Table5[[#All],[PID]],0))</f>
        <v/>
      </c>
    </row>
    <row r="162" spans="1:54" ht="15" customHeight="1" x14ac:dyDescent="0.3">
      <c r="A162" s="40">
        <v>9863</v>
      </c>
      <c r="B162" s="40" t="s">
        <v>72</v>
      </c>
      <c r="C162" s="40" t="s">
        <v>188</v>
      </c>
      <c r="D162" s="40" t="s">
        <v>607</v>
      </c>
      <c r="E162" s="40">
        <v>17</v>
      </c>
      <c r="F162" s="40" t="s">
        <v>42</v>
      </c>
      <c r="G162" s="40" t="s">
        <v>42</v>
      </c>
      <c r="H162" s="41" t="s">
        <v>550</v>
      </c>
      <c r="I162" s="64" t="s">
        <v>43</v>
      </c>
      <c r="J162" s="65" t="s">
        <v>43</v>
      </c>
      <c r="K162" s="66" t="s">
        <v>43</v>
      </c>
      <c r="L162" s="40">
        <v>1</v>
      </c>
      <c r="M162" s="40">
        <v>2</v>
      </c>
      <c r="N162" s="40">
        <v>2</v>
      </c>
      <c r="O162" s="40">
        <v>2</v>
      </c>
      <c r="P162" s="41">
        <v>3</v>
      </c>
      <c r="Q162" s="40">
        <v>4</v>
      </c>
      <c r="R162" s="40">
        <v>4</v>
      </c>
      <c r="S162" s="40">
        <v>2</v>
      </c>
      <c r="T162" s="40">
        <v>4</v>
      </c>
      <c r="U162" s="41">
        <v>5</v>
      </c>
      <c r="V162" s="40">
        <v>7</v>
      </c>
      <c r="W162" s="40">
        <v>7</v>
      </c>
      <c r="X162" s="40">
        <v>1</v>
      </c>
      <c r="Y162" s="41">
        <v>1</v>
      </c>
      <c r="Z162" s="40" t="s">
        <v>45</v>
      </c>
      <c r="AA162" s="40" t="s">
        <v>45</v>
      </c>
      <c r="AB162" s="40" t="s">
        <v>45</v>
      </c>
      <c r="AC162" s="40">
        <v>3</v>
      </c>
      <c r="AD162" s="40">
        <v>3</v>
      </c>
      <c r="AE162" s="40" t="s">
        <v>45</v>
      </c>
      <c r="AF162" s="40" t="s">
        <v>45</v>
      </c>
      <c r="AG162" s="41" t="s">
        <v>45</v>
      </c>
      <c r="AH162" s="40">
        <v>4</v>
      </c>
      <c r="AI162" s="40">
        <v>2</v>
      </c>
      <c r="AJ162" s="41">
        <v>2</v>
      </c>
      <c r="AK162" s="43" t="s">
        <v>497</v>
      </c>
      <c r="AL162" s="43" t="s">
        <v>103</v>
      </c>
      <c r="AM162" s="44">
        <f t="shared" si="18"/>
        <v>-1.780479746541219</v>
      </c>
      <c r="AN162" s="44">
        <f t="shared" si="19"/>
        <v>-0.451240699042459</v>
      </c>
      <c r="AO162" s="45">
        <f t="shared" si="20"/>
        <v>0</v>
      </c>
      <c r="AP162" s="46">
        <f t="shared" si="21"/>
        <v>0</v>
      </c>
      <c r="AQ162" s="44">
        <f>($AM$3*AM162+$AN$3*AN162+$AO$3*AO162+$AP$3*AP162)+$I$3*VLOOKUP(I162,COND!$A$2:$E$7,4,FALSE)+$J$3*VLOOKUP(J162,COND!$A$2:$C$7,2,FALSE)+$K$3*VLOOKUP(K162,COND!$A$2:$C$7,3,FALSE)+IF(AND($B$2&gt;0,$E162&lt;20),$B$2*25,0)</f>
        <v>44.407063636836369</v>
      </c>
      <c r="AR162" s="47">
        <f t="shared" si="24"/>
        <v>0.17349376542955552</v>
      </c>
      <c r="AS162" s="45" t="str">
        <f t="shared" si="22"/>
        <v>SS</v>
      </c>
      <c r="AT162" s="45">
        <v>900</v>
      </c>
      <c r="AU162" s="45">
        <v>158</v>
      </c>
      <c r="AV162" s="45"/>
      <c r="AW162" s="45" t="str">
        <f t="shared" si="23"/>
        <v>Unlikely</v>
      </c>
      <c r="AX162" s="45"/>
      <c r="AY162" s="45">
        <f>INDEX(Table5[[#All],[Ovr]],MATCH(Batters[[#This Row],[PID]],Table5[[#All],[PID]],0))</f>
        <v>134</v>
      </c>
      <c r="AZ162" s="45" t="str">
        <f>INDEX(Table5[[#All],[Rnd]],MATCH(Batters[[#This Row],[PID]],Table5[[#All],[PID]],0))</f>
        <v>4</v>
      </c>
      <c r="BA162" s="45">
        <f>INDEX(Table5[[#All],[Pick]],MATCH(Batters[[#This Row],[PID]],Table5[[#All],[PID]],0))</f>
        <v>29</v>
      </c>
      <c r="BB162" s="45" t="str">
        <f>INDEX(Table5[[#All],[Team]],MATCH(Batters[[#This Row],[PID]],Table5[[#All],[PID]],0))</f>
        <v>Charleston Statesmen</v>
      </c>
    </row>
    <row r="163" spans="1:54" ht="15" customHeight="1" x14ac:dyDescent="0.3">
      <c r="A163" s="40">
        <v>12526</v>
      </c>
      <c r="B163" s="40" t="s">
        <v>86</v>
      </c>
      <c r="C163" s="40" t="s">
        <v>130</v>
      </c>
      <c r="D163" s="40" t="s">
        <v>1075</v>
      </c>
      <c r="E163" s="40">
        <v>18</v>
      </c>
      <c r="F163" s="40" t="s">
        <v>42</v>
      </c>
      <c r="G163" s="40" t="s">
        <v>42</v>
      </c>
      <c r="H163" s="41" t="s">
        <v>550</v>
      </c>
      <c r="I163" s="64" t="s">
        <v>43</v>
      </c>
      <c r="J163" s="65" t="s">
        <v>43</v>
      </c>
      <c r="K163" s="66" t="s">
        <v>43</v>
      </c>
      <c r="L163" s="40">
        <v>1</v>
      </c>
      <c r="M163" s="40">
        <v>4</v>
      </c>
      <c r="N163" s="40">
        <v>3</v>
      </c>
      <c r="O163" s="40">
        <v>3</v>
      </c>
      <c r="P163" s="41">
        <v>1</v>
      </c>
      <c r="Q163" s="40">
        <v>3</v>
      </c>
      <c r="R163" s="40">
        <v>5</v>
      </c>
      <c r="S163" s="40">
        <v>4</v>
      </c>
      <c r="T163" s="40">
        <v>6</v>
      </c>
      <c r="U163" s="41">
        <v>3</v>
      </c>
      <c r="V163" s="40">
        <v>4</v>
      </c>
      <c r="W163" s="40">
        <v>4</v>
      </c>
      <c r="X163" s="40">
        <v>5</v>
      </c>
      <c r="Y163" s="41">
        <v>5</v>
      </c>
      <c r="Z163" s="40" t="s">
        <v>45</v>
      </c>
      <c r="AA163" s="40" t="s">
        <v>45</v>
      </c>
      <c r="AB163" s="40" t="s">
        <v>45</v>
      </c>
      <c r="AC163" s="40" t="s">
        <v>45</v>
      </c>
      <c r="AD163" s="40" t="s">
        <v>45</v>
      </c>
      <c r="AE163" s="40" t="s">
        <v>45</v>
      </c>
      <c r="AF163" s="40" t="s">
        <v>45</v>
      </c>
      <c r="AG163" s="41" t="s">
        <v>45</v>
      </c>
      <c r="AH163" s="40">
        <v>1</v>
      </c>
      <c r="AI163" s="40">
        <v>1</v>
      </c>
      <c r="AJ163" s="41">
        <v>1</v>
      </c>
      <c r="AK163" s="43" t="s">
        <v>558</v>
      </c>
      <c r="AL163" s="43" t="s">
        <v>103</v>
      </c>
      <c r="AM163" s="44">
        <f t="shared" si="18"/>
        <v>-1.5856216229044964</v>
      </c>
      <c r="AN163" s="44">
        <f t="shared" si="19"/>
        <v>-0.457227247193632</v>
      </c>
      <c r="AO163" s="45">
        <f t="shared" si="20"/>
        <v>0</v>
      </c>
      <c r="AP163" s="46">
        <f t="shared" si="21"/>
        <v>0</v>
      </c>
      <c r="AQ163" s="44">
        <f>($AM$3*AM163+$AN$3*AN163+$AO$3*AO163+$AP$3*AP163)+$I$3*VLOOKUP(I163,COND!$A$2:$E$7,4,FALSE)+$J$3*VLOOKUP(J163,COND!$A$2:$C$7,2,FALSE)+$K$3*VLOOKUP(K163,COND!$A$2:$C$7,3,FALSE)+IF(AND($B$2&gt;0,$E163&lt;20),$B$2*25,0)</f>
        <v>44.354710871385969</v>
      </c>
      <c r="AR163" s="47">
        <f t="shared" si="24"/>
        <v>0.16585193122195979</v>
      </c>
      <c r="AS163" s="45" t="str">
        <f t="shared" si="22"/>
        <v>DH</v>
      </c>
      <c r="AT163" s="45">
        <v>900</v>
      </c>
      <c r="AU163" s="45">
        <v>159</v>
      </c>
      <c r="AV163" s="45"/>
      <c r="AW163" s="45" t="str">
        <f t="shared" si="23"/>
        <v>Unlikely</v>
      </c>
      <c r="AX163" s="45"/>
      <c r="AY163" s="45">
        <f>INDEX(Table5[[#All],[Ovr]],MATCH(Batters[[#This Row],[PID]],Table5[[#All],[PID]],0))</f>
        <v>368</v>
      </c>
      <c r="AZ163" s="45" t="str">
        <f>INDEX(Table5[[#All],[Rnd]],MATCH(Batters[[#This Row],[PID]],Table5[[#All],[PID]],0))</f>
        <v>12</v>
      </c>
      <c r="BA163" s="45">
        <f>INDEX(Table5[[#All],[Pick]],MATCH(Batters[[#This Row],[PID]],Table5[[#All],[PID]],0))</f>
        <v>3</v>
      </c>
      <c r="BB163" s="45" t="str">
        <f>INDEX(Table5[[#All],[Team]],MATCH(Batters[[#This Row],[PID]],Table5[[#All],[PID]],0))</f>
        <v>Okinawa Shisa</v>
      </c>
    </row>
    <row r="164" spans="1:54" ht="15" customHeight="1" x14ac:dyDescent="0.3">
      <c r="A164" s="40">
        <v>12431</v>
      </c>
      <c r="B164" s="40" t="s">
        <v>71</v>
      </c>
      <c r="C164" s="40" t="s">
        <v>126</v>
      </c>
      <c r="D164" s="40" t="s">
        <v>1094</v>
      </c>
      <c r="E164" s="40">
        <v>21</v>
      </c>
      <c r="F164" s="40" t="s">
        <v>42</v>
      </c>
      <c r="G164" s="40" t="s">
        <v>42</v>
      </c>
      <c r="H164" s="41" t="s">
        <v>550</v>
      </c>
      <c r="I164" s="64" t="s">
        <v>47</v>
      </c>
      <c r="J164" s="65" t="s">
        <v>47</v>
      </c>
      <c r="K164" s="66" t="s">
        <v>43</v>
      </c>
      <c r="L164" s="40">
        <v>2</v>
      </c>
      <c r="M164" s="40">
        <v>2</v>
      </c>
      <c r="N164" s="40">
        <v>3</v>
      </c>
      <c r="O164" s="40">
        <v>3</v>
      </c>
      <c r="P164" s="41">
        <v>3</v>
      </c>
      <c r="Q164" s="40">
        <v>4</v>
      </c>
      <c r="R164" s="40">
        <v>4</v>
      </c>
      <c r="S164" s="40">
        <v>4</v>
      </c>
      <c r="T164" s="40">
        <v>5</v>
      </c>
      <c r="U164" s="41">
        <v>5</v>
      </c>
      <c r="V164" s="40">
        <v>4</v>
      </c>
      <c r="W164" s="40">
        <v>2</v>
      </c>
      <c r="X164" s="40">
        <v>1</v>
      </c>
      <c r="Y164" s="41">
        <v>1</v>
      </c>
      <c r="Z164" s="40" t="s">
        <v>45</v>
      </c>
      <c r="AA164" s="40" t="s">
        <v>45</v>
      </c>
      <c r="AB164" s="40">
        <v>6</v>
      </c>
      <c r="AC164" s="40" t="s">
        <v>45</v>
      </c>
      <c r="AD164" s="40">
        <v>1</v>
      </c>
      <c r="AE164" s="40" t="s">
        <v>45</v>
      </c>
      <c r="AF164" s="40" t="s">
        <v>45</v>
      </c>
      <c r="AG164" s="41" t="s">
        <v>45</v>
      </c>
      <c r="AH164" s="40">
        <v>4</v>
      </c>
      <c r="AI164" s="40">
        <v>7</v>
      </c>
      <c r="AJ164" s="41">
        <v>3</v>
      </c>
      <c r="AK164" s="43" t="s">
        <v>570</v>
      </c>
      <c r="AL164" s="43" t="s">
        <v>103</v>
      </c>
      <c r="AM164" s="44">
        <f t="shared" si="18"/>
        <v>-1.285152866305062</v>
      </c>
      <c r="AN164" s="44">
        <f t="shared" si="19"/>
        <v>-0.19540816098507491</v>
      </c>
      <c r="AO164" s="45">
        <f t="shared" si="20"/>
        <v>0</v>
      </c>
      <c r="AP164" s="46">
        <f t="shared" si="21"/>
        <v>0.6</v>
      </c>
      <c r="AQ164" s="44">
        <f>($AM$3*AM164+$AN$3*AN164+$AO$3*AO164+$AP$3*AP164)+$I$3*VLOOKUP(I164,COND!$A$2:$E$7,4,FALSE)+$J$3*VLOOKUP(J164,COND!$A$2:$C$7,2,FALSE)+$K$3*VLOOKUP(K164,COND!$A$2:$C$7,3,FALSE)+IF(AND($B$2&gt;0,$E164&lt;20),$B$2*25,0)</f>
        <v>43.651586781548595</v>
      </c>
      <c r="AR164" s="47">
        <f t="shared" si="24"/>
        <v>6.3218236981024079E-2</v>
      </c>
      <c r="AS164" s="45" t="str">
        <f t="shared" si="22"/>
        <v>2B</v>
      </c>
      <c r="AT164" s="45">
        <v>900</v>
      </c>
      <c r="AU164" s="45">
        <v>160</v>
      </c>
      <c r="AV164" s="45"/>
      <c r="AW164" s="45" t="str">
        <f t="shared" si="23"/>
        <v>Unlikely</v>
      </c>
      <c r="AX164" s="45"/>
      <c r="AY164" s="63">
        <f>INDEX(Table5[[#All],[Ovr]],MATCH(Batters[[#This Row],[PID]],Table5[[#All],[PID]],0))</f>
        <v>91</v>
      </c>
      <c r="AZ164" s="63" t="str">
        <f>INDEX(Table5[[#All],[Rnd]],MATCH(Batters[[#This Row],[PID]],Table5[[#All],[PID]],0))</f>
        <v>3</v>
      </c>
      <c r="BA164" s="63">
        <f>INDEX(Table5[[#All],[Pick]],MATCH(Batters[[#This Row],[PID]],Table5[[#All],[PID]],0))</f>
        <v>19</v>
      </c>
      <c r="BB164" s="63" t="str">
        <f>INDEX(Table5[[#All],[Team]],MATCH(Batters[[#This Row],[PID]],Table5[[#All],[PID]],0))</f>
        <v>San Juan Coqui</v>
      </c>
    </row>
    <row r="165" spans="1:54" ht="15" customHeight="1" x14ac:dyDescent="0.3">
      <c r="A165" s="40">
        <v>8835</v>
      </c>
      <c r="B165" s="40" t="s">
        <v>86</v>
      </c>
      <c r="C165" s="40" t="s">
        <v>1020</v>
      </c>
      <c r="D165" s="40" t="s">
        <v>359</v>
      </c>
      <c r="E165" s="40">
        <v>21</v>
      </c>
      <c r="F165" s="40" t="s">
        <v>42</v>
      </c>
      <c r="G165" s="40" t="s">
        <v>42</v>
      </c>
      <c r="H165" s="41" t="s">
        <v>549</v>
      </c>
      <c r="I165" s="64" t="s">
        <v>44</v>
      </c>
      <c r="J165" s="65" t="s">
        <v>43</v>
      </c>
      <c r="K165" s="66" t="s">
        <v>43</v>
      </c>
      <c r="L165" s="40">
        <v>2</v>
      </c>
      <c r="M165" s="40">
        <v>6</v>
      </c>
      <c r="N165" s="40">
        <v>4</v>
      </c>
      <c r="O165" s="40">
        <v>6</v>
      </c>
      <c r="P165" s="41">
        <v>1</v>
      </c>
      <c r="Q165" s="40">
        <v>3</v>
      </c>
      <c r="R165" s="40">
        <v>6</v>
      </c>
      <c r="S165" s="40">
        <v>6</v>
      </c>
      <c r="T165" s="40">
        <v>7</v>
      </c>
      <c r="U165" s="41">
        <v>3</v>
      </c>
      <c r="V165" s="40">
        <v>4</v>
      </c>
      <c r="W165" s="40">
        <v>3</v>
      </c>
      <c r="X165" s="40">
        <v>5</v>
      </c>
      <c r="Y165" s="41">
        <v>8</v>
      </c>
      <c r="Z165" s="40">
        <v>2</v>
      </c>
      <c r="AA165" s="40" t="s">
        <v>45</v>
      </c>
      <c r="AB165" s="40" t="s">
        <v>45</v>
      </c>
      <c r="AC165" s="40" t="s">
        <v>45</v>
      </c>
      <c r="AD165" s="40" t="s">
        <v>45</v>
      </c>
      <c r="AE165" s="40" t="s">
        <v>45</v>
      </c>
      <c r="AF165" s="40" t="s">
        <v>45</v>
      </c>
      <c r="AG165" s="41" t="s">
        <v>45</v>
      </c>
      <c r="AH165" s="40">
        <v>1</v>
      </c>
      <c r="AI165" s="40">
        <v>2</v>
      </c>
      <c r="AJ165" s="41">
        <v>2</v>
      </c>
      <c r="AK165" s="43" t="s">
        <v>568</v>
      </c>
      <c r="AL165" s="43" t="s">
        <v>103</v>
      </c>
      <c r="AM165" s="44">
        <f t="shared" si="18"/>
        <v>-0.80875588341177018</v>
      </c>
      <c r="AN165" s="44">
        <f t="shared" si="19"/>
        <v>-0.15033482951754448</v>
      </c>
      <c r="AO165" s="45">
        <f t="shared" si="20"/>
        <v>0</v>
      </c>
      <c r="AP165" s="46">
        <f t="shared" si="21"/>
        <v>1.35</v>
      </c>
      <c r="AQ165" s="44">
        <f>($AM$3*AM165+$AN$3*AN165+$AO$3*AO165+$AP$3*AP165)+$I$3*VLOOKUP(I165,COND!$A$2:$E$7,4,FALSE)+$J$3*VLOOKUP(J165,COND!$A$2:$C$7,2,FALSE)+$K$3*VLOOKUP(K165,COND!$A$2:$C$7,3,FALSE)+IF(AND($B$2&gt;0,$E165&lt;20),$B$2*25,0)</f>
        <v>44.315106457448287</v>
      </c>
      <c r="AR165" s="47">
        <f t="shared" si="24"/>
        <v>0.16007094978579314</v>
      </c>
      <c r="AS165" s="45" t="str">
        <f t="shared" si="22"/>
        <v>C</v>
      </c>
      <c r="AT165" s="45">
        <v>900</v>
      </c>
      <c r="AU165" s="45">
        <v>161</v>
      </c>
      <c r="AV165" s="45"/>
      <c r="AW165" s="45" t="str">
        <f t="shared" si="23"/>
        <v>Possible</v>
      </c>
      <c r="AX165" s="45"/>
      <c r="AY165" s="45">
        <f>INDEX(Table5[[#All],[Ovr]],MATCH(Batters[[#This Row],[PID]],Table5[[#All],[PID]],0))</f>
        <v>27</v>
      </c>
      <c r="AZ165" s="45" t="str">
        <f>INDEX(Table5[[#All],[Rnd]],MATCH(Batters[[#This Row],[PID]],Table5[[#All],[PID]],0))</f>
        <v>1</v>
      </c>
      <c r="BA165" s="45">
        <f>INDEX(Table5[[#All],[Pick]],MATCH(Batters[[#This Row],[PID]],Table5[[#All],[PID]],0))</f>
        <v>27</v>
      </c>
      <c r="BB165" s="45" t="str">
        <f>INDEX(Table5[[#All],[Team]],MATCH(Batters[[#This Row],[PID]],Table5[[#All],[PID]],0))</f>
        <v>Yuma Arroyos</v>
      </c>
    </row>
    <row r="166" spans="1:54" ht="15" customHeight="1" x14ac:dyDescent="0.3">
      <c r="A166" s="40">
        <v>12683</v>
      </c>
      <c r="B166" s="40" t="s">
        <v>86</v>
      </c>
      <c r="C166" s="40" t="s">
        <v>1053</v>
      </c>
      <c r="D166" s="40" t="s">
        <v>598</v>
      </c>
      <c r="E166" s="40">
        <v>17</v>
      </c>
      <c r="F166" s="40" t="s">
        <v>42</v>
      </c>
      <c r="G166" s="40" t="s">
        <v>42</v>
      </c>
      <c r="H166" s="41" t="s">
        <v>550</v>
      </c>
      <c r="I166" s="64" t="s">
        <v>43</v>
      </c>
      <c r="J166" s="65" t="s">
        <v>47</v>
      </c>
      <c r="K166" s="66" t="s">
        <v>44</v>
      </c>
      <c r="L166" s="40">
        <v>1</v>
      </c>
      <c r="M166" s="40">
        <v>2</v>
      </c>
      <c r="N166" s="40">
        <v>3</v>
      </c>
      <c r="O166" s="40">
        <v>3</v>
      </c>
      <c r="P166" s="41">
        <v>1</v>
      </c>
      <c r="Q166" s="40">
        <v>3</v>
      </c>
      <c r="R166" s="40">
        <v>4</v>
      </c>
      <c r="S166" s="40">
        <v>4</v>
      </c>
      <c r="T166" s="40">
        <v>5</v>
      </c>
      <c r="U166" s="41">
        <v>4</v>
      </c>
      <c r="V166" s="40">
        <v>5</v>
      </c>
      <c r="W166" s="40">
        <v>5</v>
      </c>
      <c r="X166" s="40">
        <v>7</v>
      </c>
      <c r="Y166" s="41">
        <v>7</v>
      </c>
      <c r="Z166" s="40">
        <v>3</v>
      </c>
      <c r="AA166" s="40" t="s">
        <v>45</v>
      </c>
      <c r="AB166" s="40" t="s">
        <v>45</v>
      </c>
      <c r="AC166" s="40" t="s">
        <v>45</v>
      </c>
      <c r="AD166" s="40" t="s">
        <v>45</v>
      </c>
      <c r="AE166" s="40" t="s">
        <v>45</v>
      </c>
      <c r="AF166" s="40" t="s">
        <v>45</v>
      </c>
      <c r="AG166" s="41" t="s">
        <v>45</v>
      </c>
      <c r="AH166" s="40">
        <v>1</v>
      </c>
      <c r="AI166" s="40">
        <v>2</v>
      </c>
      <c r="AJ166" s="41">
        <v>1</v>
      </c>
      <c r="AK166" s="43" t="s">
        <v>497</v>
      </c>
      <c r="AL166" s="43" t="s">
        <v>103</v>
      </c>
      <c r="AM166" s="44">
        <f t="shared" si="18"/>
        <v>-1.6877413821419032</v>
      </c>
      <c r="AN166" s="44">
        <f t="shared" si="19"/>
        <v>-0.55798033700483307</v>
      </c>
      <c r="AO166" s="45">
        <f t="shared" si="20"/>
        <v>0</v>
      </c>
      <c r="AP166" s="46">
        <f t="shared" si="21"/>
        <v>1.1000000000000001</v>
      </c>
      <c r="AQ166" s="44">
        <f>($AM$3*AM166+$AN$3*AN166+$AO$3*AO166+$AP$3*AP166)+$I$3*VLOOKUP(I166,COND!$A$2:$E$7,4,FALSE)+$J$3*VLOOKUP(J166,COND!$A$2:$C$7,2,FALSE)+$K$3*VLOOKUP(K166,COND!$A$2:$C$7,3,FALSE)+IF(AND($B$2&gt;0,$E166&lt;20),$B$2*25,0)</f>
        <v>44.23546181772781</v>
      </c>
      <c r="AR166" s="47">
        <f t="shared" si="24"/>
        <v>0.14844537228226656</v>
      </c>
      <c r="AS166" s="45" t="str">
        <f t="shared" si="22"/>
        <v>C</v>
      </c>
      <c r="AT166" s="45">
        <v>900</v>
      </c>
      <c r="AU166" s="45">
        <v>162</v>
      </c>
      <c r="AV166" s="45"/>
      <c r="AW166" s="45" t="str">
        <f t="shared" si="23"/>
        <v>Unlikely</v>
      </c>
      <c r="AX166" s="45"/>
      <c r="AY166" s="45">
        <f>INDEX(Table5[[#All],[Ovr]],MATCH(Batters[[#This Row],[PID]],Table5[[#All],[PID]],0))</f>
        <v>541</v>
      </c>
      <c r="AZ166" s="45" t="str">
        <f>INDEX(Table5[[#All],[Rnd]],MATCH(Batters[[#This Row],[PID]],Table5[[#All],[PID]],0))</f>
        <v>17</v>
      </c>
      <c r="BA166" s="45">
        <f>INDEX(Table5[[#All],[Pick]],MATCH(Batters[[#This Row],[PID]],Table5[[#All],[PID]],0))</f>
        <v>6</v>
      </c>
      <c r="BB166" s="45" t="str">
        <f>INDEX(Table5[[#All],[Team]],MATCH(Batters[[#This Row],[PID]],Table5[[#All],[PID]],0))</f>
        <v>New Orleans Trendsetters</v>
      </c>
    </row>
    <row r="167" spans="1:54" ht="15" customHeight="1" x14ac:dyDescent="0.3">
      <c r="A167" s="40">
        <v>20565</v>
      </c>
      <c r="B167" s="40" t="s">
        <v>87</v>
      </c>
      <c r="C167" s="40" t="s">
        <v>1154</v>
      </c>
      <c r="D167" s="40" t="s">
        <v>381</v>
      </c>
      <c r="E167" s="40">
        <v>16</v>
      </c>
      <c r="F167" s="40" t="s">
        <v>62</v>
      </c>
      <c r="G167" s="40" t="s">
        <v>42</v>
      </c>
      <c r="H167" s="41" t="s">
        <v>552</v>
      </c>
      <c r="I167" s="64" t="s">
        <v>43</v>
      </c>
      <c r="J167" s="65" t="s">
        <v>43</v>
      </c>
      <c r="K167" s="66" t="s">
        <v>43</v>
      </c>
      <c r="L167" s="40">
        <v>2</v>
      </c>
      <c r="M167" s="40">
        <v>3</v>
      </c>
      <c r="N167" s="40">
        <v>3</v>
      </c>
      <c r="O167" s="40">
        <v>4</v>
      </c>
      <c r="P167" s="41">
        <v>1</v>
      </c>
      <c r="Q167" s="40">
        <v>3</v>
      </c>
      <c r="R167" s="40">
        <v>4</v>
      </c>
      <c r="S167" s="40">
        <v>5</v>
      </c>
      <c r="T167" s="40">
        <v>5</v>
      </c>
      <c r="U167" s="41">
        <v>4</v>
      </c>
      <c r="V167" s="40">
        <v>4</v>
      </c>
      <c r="W167" s="40">
        <v>2</v>
      </c>
      <c r="X167" s="40">
        <v>1</v>
      </c>
      <c r="Y167" s="41">
        <v>1</v>
      </c>
      <c r="Z167" s="40" t="s">
        <v>45</v>
      </c>
      <c r="AA167" s="40">
        <v>2</v>
      </c>
      <c r="AB167" s="40" t="s">
        <v>45</v>
      </c>
      <c r="AC167" s="40" t="s">
        <v>45</v>
      </c>
      <c r="AD167" s="40" t="s">
        <v>45</v>
      </c>
      <c r="AE167" s="40" t="s">
        <v>45</v>
      </c>
      <c r="AF167" s="40" t="s">
        <v>45</v>
      </c>
      <c r="AG167" s="41" t="s">
        <v>45</v>
      </c>
      <c r="AH167" s="40">
        <v>2</v>
      </c>
      <c r="AI167" s="40">
        <v>3</v>
      </c>
      <c r="AJ167" s="41">
        <v>1</v>
      </c>
      <c r="AK167" s="43" t="s">
        <v>572</v>
      </c>
      <c r="AL167" s="43" t="s">
        <v>103</v>
      </c>
      <c r="AM167" s="44">
        <f t="shared" si="18"/>
        <v>-1.2244161163109442</v>
      </c>
      <c r="AN167" s="44">
        <f t="shared" si="19"/>
        <v>-0.47491884298093157</v>
      </c>
      <c r="AO167" s="45">
        <f t="shared" si="20"/>
        <v>0</v>
      </c>
      <c r="AP167" s="46">
        <f t="shared" si="21"/>
        <v>0</v>
      </c>
      <c r="AQ167" s="44">
        <f>($AM$3*AM167+$AN$3*AN167+$AO$3*AO167+$AP$3*AP167)+$I$3*VLOOKUP(I167,COND!$A$2:$E$7,4,FALSE)+$J$3*VLOOKUP(J167,COND!$A$2:$C$7,2,FALSE)+$K$3*VLOOKUP(K167,COND!$A$2:$C$7,3,FALSE)+IF(AND($B$2&gt;0,$E167&lt;20),$B$2*25,0)</f>
        <v>44.178532272597728</v>
      </c>
      <c r="AR167" s="47">
        <f t="shared" si="24"/>
        <v>0.14013547419655631</v>
      </c>
      <c r="AS167" s="45" t="str">
        <f t="shared" si="22"/>
        <v>1B</v>
      </c>
      <c r="AT167" s="45">
        <v>900</v>
      </c>
      <c r="AU167" s="45">
        <v>163</v>
      </c>
      <c r="AV167" s="45"/>
      <c r="AW167" s="45" t="str">
        <f t="shared" si="23"/>
        <v>Unlikely</v>
      </c>
      <c r="AX167" s="45"/>
      <c r="AY167" s="45">
        <f>INDEX(Table5[[#All],[Ovr]],MATCH(Batters[[#This Row],[PID]],Table5[[#All],[PID]],0))</f>
        <v>435</v>
      </c>
      <c r="AZ167" s="45" t="str">
        <f>INDEX(Table5[[#All],[Rnd]],MATCH(Batters[[#This Row],[PID]],Table5[[#All],[PID]],0))</f>
        <v>14</v>
      </c>
      <c r="BA167" s="45">
        <f>INDEX(Table5[[#All],[Pick]],MATCH(Batters[[#This Row],[PID]],Table5[[#All],[PID]],0))</f>
        <v>2</v>
      </c>
      <c r="BB167" s="45" t="str">
        <f>INDEX(Table5[[#All],[Team]],MATCH(Batters[[#This Row],[PID]],Table5[[#All],[PID]],0))</f>
        <v>Charleston Statesmen</v>
      </c>
    </row>
    <row r="168" spans="1:54" ht="15" customHeight="1" x14ac:dyDescent="0.3">
      <c r="A168" s="40">
        <v>11654</v>
      </c>
      <c r="B168" s="40" t="s">
        <v>86</v>
      </c>
      <c r="C168" s="40" t="s">
        <v>1170</v>
      </c>
      <c r="D168" s="40" t="s">
        <v>1171</v>
      </c>
      <c r="E168" s="40">
        <v>18</v>
      </c>
      <c r="F168" s="40" t="s">
        <v>42</v>
      </c>
      <c r="G168" s="40" t="s">
        <v>42</v>
      </c>
      <c r="H168" s="41" t="s">
        <v>552</v>
      </c>
      <c r="I168" s="64" t="s">
        <v>47</v>
      </c>
      <c r="J168" s="65" t="s">
        <v>47</v>
      </c>
      <c r="K168" s="66" t="s">
        <v>47</v>
      </c>
      <c r="L168" s="40">
        <v>1</v>
      </c>
      <c r="M168" s="40">
        <v>4</v>
      </c>
      <c r="N168" s="40">
        <v>2</v>
      </c>
      <c r="O168" s="40">
        <v>2</v>
      </c>
      <c r="P168" s="41">
        <v>1</v>
      </c>
      <c r="Q168" s="40">
        <v>2</v>
      </c>
      <c r="R168" s="40">
        <v>7</v>
      </c>
      <c r="S168" s="40">
        <v>4</v>
      </c>
      <c r="T168" s="40">
        <v>6</v>
      </c>
      <c r="U168" s="41">
        <v>3</v>
      </c>
      <c r="V168" s="40">
        <v>2</v>
      </c>
      <c r="W168" s="40">
        <v>2</v>
      </c>
      <c r="X168" s="40">
        <v>4</v>
      </c>
      <c r="Y168" s="41">
        <v>5</v>
      </c>
      <c r="Z168" s="40" t="s">
        <v>45</v>
      </c>
      <c r="AA168" s="40" t="s">
        <v>45</v>
      </c>
      <c r="AB168" s="40" t="s">
        <v>45</v>
      </c>
      <c r="AC168" s="40" t="s">
        <v>45</v>
      </c>
      <c r="AD168" s="40" t="s">
        <v>45</v>
      </c>
      <c r="AE168" s="40" t="s">
        <v>45</v>
      </c>
      <c r="AF168" s="40" t="s">
        <v>45</v>
      </c>
      <c r="AG168" s="41" t="s">
        <v>45</v>
      </c>
      <c r="AH168" s="40">
        <v>1</v>
      </c>
      <c r="AI168" s="40">
        <v>3</v>
      </c>
      <c r="AJ168" s="41">
        <v>3</v>
      </c>
      <c r="AK168" s="43" t="s">
        <v>498</v>
      </c>
      <c r="AL168" s="43" t="s">
        <v>103</v>
      </c>
      <c r="AM168" s="44">
        <f t="shared" si="18"/>
        <v>-1.758392666937979</v>
      </c>
      <c r="AN168" s="44">
        <f t="shared" si="19"/>
        <v>-0.67766332415889974</v>
      </c>
      <c r="AO168" s="45">
        <f t="shared" si="20"/>
        <v>0</v>
      </c>
      <c r="AP168" s="46">
        <f t="shared" si="21"/>
        <v>0</v>
      </c>
      <c r="AQ168" s="44">
        <f>($AM$3*AM168+$AN$3*AN168+$AO$3*AO168+$AP$3*AP168)+$I$3*VLOOKUP(I168,COND!$A$2:$E$7,4,FALSE)+$J$3*VLOOKUP(J168,COND!$A$2:$C$7,2,FALSE)+$K$3*VLOOKUP(K168,COND!$A$2:$C$7,3,FALSE)+IF(AND($B$2&gt;0,$E168&lt;20),$B$2*25,0)</f>
        <v>42.517200843399408</v>
      </c>
      <c r="AR168" s="47">
        <f t="shared" si="24"/>
        <v>-0.10236593402092374</v>
      </c>
      <c r="AS168" s="45" t="str">
        <f t="shared" si="22"/>
        <v>DH</v>
      </c>
      <c r="AT168" s="45">
        <v>900</v>
      </c>
      <c r="AU168" s="45">
        <v>164</v>
      </c>
      <c r="AV168" s="45"/>
      <c r="AW168" s="45" t="str">
        <f t="shared" si="23"/>
        <v>Unlikely</v>
      </c>
      <c r="AX168" s="45"/>
      <c r="AY168" s="45">
        <f>INDEX(Table5[[#All],[Ovr]],MATCH(Batters[[#This Row],[PID]],Table5[[#All],[PID]],0))</f>
        <v>318</v>
      </c>
      <c r="AZ168" s="45" t="str">
        <f>INDEX(Table5[[#All],[Rnd]],MATCH(Batters[[#This Row],[PID]],Table5[[#All],[PID]],0))</f>
        <v>10</v>
      </c>
      <c r="BA168" s="45">
        <f>INDEX(Table5[[#All],[Pick]],MATCH(Batters[[#This Row],[PID]],Table5[[#All],[PID]],0))</f>
        <v>21</v>
      </c>
      <c r="BB168" s="45" t="str">
        <f>INDEX(Table5[[#All],[Team]],MATCH(Batters[[#This Row],[PID]],Table5[[#All],[PID]],0))</f>
        <v>Neo-Tokyo Akira</v>
      </c>
    </row>
    <row r="169" spans="1:54" ht="15" customHeight="1" x14ac:dyDescent="0.3">
      <c r="A169" s="40">
        <v>20890</v>
      </c>
      <c r="B169" s="40" t="s">
        <v>87</v>
      </c>
      <c r="C169" s="40" t="s">
        <v>323</v>
      </c>
      <c r="D169" s="40" t="s">
        <v>152</v>
      </c>
      <c r="E169" s="40">
        <v>17</v>
      </c>
      <c r="F169" s="40" t="s">
        <v>42</v>
      </c>
      <c r="G169" s="40" t="s">
        <v>42</v>
      </c>
      <c r="H169" s="41" t="s">
        <v>552</v>
      </c>
      <c r="I169" s="64" t="s">
        <v>47</v>
      </c>
      <c r="J169" s="65" t="s">
        <v>47</v>
      </c>
      <c r="K169" s="66" t="s">
        <v>47</v>
      </c>
      <c r="L169" s="40">
        <v>1</v>
      </c>
      <c r="M169" s="40">
        <v>2</v>
      </c>
      <c r="N169" s="40">
        <v>2</v>
      </c>
      <c r="O169" s="40">
        <v>2</v>
      </c>
      <c r="P169" s="41">
        <v>2</v>
      </c>
      <c r="Q169" s="40">
        <v>3</v>
      </c>
      <c r="R169" s="40">
        <v>4</v>
      </c>
      <c r="S169" s="40">
        <v>2</v>
      </c>
      <c r="T169" s="40">
        <v>5</v>
      </c>
      <c r="U169" s="41">
        <v>5</v>
      </c>
      <c r="V169" s="40">
        <v>3</v>
      </c>
      <c r="W169" s="40">
        <v>2</v>
      </c>
      <c r="X169" s="40">
        <v>1</v>
      </c>
      <c r="Y169" s="41">
        <v>1</v>
      </c>
      <c r="Z169" s="40" t="s">
        <v>45</v>
      </c>
      <c r="AA169" s="40">
        <v>2</v>
      </c>
      <c r="AB169" s="40" t="s">
        <v>45</v>
      </c>
      <c r="AC169" s="40" t="s">
        <v>45</v>
      </c>
      <c r="AD169" s="40" t="s">
        <v>45</v>
      </c>
      <c r="AE169" s="40" t="s">
        <v>45</v>
      </c>
      <c r="AF169" s="40" t="s">
        <v>45</v>
      </c>
      <c r="AG169" s="41" t="s">
        <v>45</v>
      </c>
      <c r="AH169" s="40">
        <v>3</v>
      </c>
      <c r="AI169" s="40">
        <v>2</v>
      </c>
      <c r="AJ169" s="41">
        <v>3</v>
      </c>
      <c r="AK169" s="43" t="s">
        <v>583</v>
      </c>
      <c r="AL169" s="43" t="s">
        <v>103</v>
      </c>
      <c r="AM169" s="44">
        <f t="shared" si="18"/>
        <v>-1.8204960863583022</v>
      </c>
      <c r="AN169" s="44">
        <f t="shared" si="19"/>
        <v>-0.68408698523555256</v>
      </c>
      <c r="AO169" s="45">
        <f t="shared" si="20"/>
        <v>0</v>
      </c>
      <c r="AP169" s="46">
        <f t="shared" si="21"/>
        <v>0</v>
      </c>
      <c r="AQ169" s="44">
        <f>($AM$3*AM169+$AN$3*AN169+$AO$3*AO169+$AP$3*AP169)+$I$3*VLOOKUP(I169,COND!$A$2:$E$7,4,FALSE)+$J$3*VLOOKUP(J169,COND!$A$2:$C$7,2,FALSE)+$K$3*VLOOKUP(K169,COND!$A$2:$C$7,3,FALSE)+IF(AND($B$2&gt;0,$E169&lt;20),$B$2*25,0)</f>
        <v>42.433906568537537</v>
      </c>
      <c r="AR169" s="47">
        <f t="shared" si="24"/>
        <v>-0.11452424186694128</v>
      </c>
      <c r="AS169" s="45" t="str">
        <f t="shared" si="22"/>
        <v>1B</v>
      </c>
      <c r="AT169" s="45">
        <v>900</v>
      </c>
      <c r="AU169" s="45">
        <v>165</v>
      </c>
      <c r="AV169" s="45"/>
      <c r="AW169" s="45" t="str">
        <f t="shared" si="23"/>
        <v>Unlikely</v>
      </c>
      <c r="AX169" s="45"/>
      <c r="AY169" s="63">
        <f>INDEX(Table5[[#All],[Ovr]],MATCH(Batters[[#This Row],[PID]],Table5[[#All],[PID]],0))</f>
        <v>432</v>
      </c>
      <c r="AZ169" s="63" t="str">
        <f>INDEX(Table5[[#All],[Rnd]],MATCH(Batters[[#This Row],[PID]],Table5[[#All],[PID]],0))</f>
        <v>13</v>
      </c>
      <c r="BA169" s="63">
        <f>INDEX(Table5[[#All],[Pick]],MATCH(Batters[[#This Row],[PID]],Table5[[#All],[PID]],0))</f>
        <v>33</v>
      </c>
      <c r="BB169" s="63" t="str">
        <f>INDEX(Table5[[#All],[Team]],MATCH(Batters[[#This Row],[PID]],Table5[[#All],[PID]],0))</f>
        <v>Gloucester Fishermen</v>
      </c>
    </row>
    <row r="170" spans="1:54" ht="15" customHeight="1" x14ac:dyDescent="0.3">
      <c r="A170" s="40">
        <v>12449</v>
      </c>
      <c r="B170" s="40" t="s">
        <v>86</v>
      </c>
      <c r="C170" s="40" t="s">
        <v>155</v>
      </c>
      <c r="D170" s="40" t="s">
        <v>1140</v>
      </c>
      <c r="E170" s="40">
        <v>17</v>
      </c>
      <c r="F170" s="40" t="s">
        <v>42</v>
      </c>
      <c r="G170" s="40" t="s">
        <v>42</v>
      </c>
      <c r="H170" s="41" t="s">
        <v>552</v>
      </c>
      <c r="I170" s="64" t="s">
        <v>43</v>
      </c>
      <c r="J170" s="65" t="s">
        <v>43</v>
      </c>
      <c r="K170" s="66" t="s">
        <v>43</v>
      </c>
      <c r="L170" s="40">
        <v>1</v>
      </c>
      <c r="M170" s="40">
        <v>3</v>
      </c>
      <c r="N170" s="40">
        <v>3</v>
      </c>
      <c r="O170" s="40">
        <v>3</v>
      </c>
      <c r="P170" s="41">
        <v>1</v>
      </c>
      <c r="Q170" s="40">
        <v>3</v>
      </c>
      <c r="R170" s="40">
        <v>4</v>
      </c>
      <c r="S170" s="40">
        <v>4</v>
      </c>
      <c r="T170" s="40">
        <v>6</v>
      </c>
      <c r="U170" s="41">
        <v>3</v>
      </c>
      <c r="V170" s="40">
        <v>5</v>
      </c>
      <c r="W170" s="40">
        <v>5</v>
      </c>
      <c r="X170" s="40">
        <v>6</v>
      </c>
      <c r="Y170" s="41">
        <v>3</v>
      </c>
      <c r="Z170" s="40" t="s">
        <v>45</v>
      </c>
      <c r="AA170" s="40" t="s">
        <v>45</v>
      </c>
      <c r="AB170" s="40" t="s">
        <v>45</v>
      </c>
      <c r="AC170" s="40" t="s">
        <v>45</v>
      </c>
      <c r="AD170" s="40" t="s">
        <v>45</v>
      </c>
      <c r="AE170" s="40" t="s">
        <v>45</v>
      </c>
      <c r="AF170" s="40" t="s">
        <v>45</v>
      </c>
      <c r="AG170" s="41" t="s">
        <v>45</v>
      </c>
      <c r="AH170" s="40">
        <v>2</v>
      </c>
      <c r="AI170" s="40">
        <v>2</v>
      </c>
      <c r="AJ170" s="41">
        <v>3</v>
      </c>
      <c r="AK170" s="43" t="s">
        <v>568</v>
      </c>
      <c r="AL170" s="43" t="s">
        <v>103</v>
      </c>
      <c r="AM170" s="44">
        <f t="shared" si="18"/>
        <v>-1.6366815025231998</v>
      </c>
      <c r="AN170" s="44">
        <f t="shared" si="19"/>
        <v>-0.50828712681233545</v>
      </c>
      <c r="AO170" s="45">
        <f t="shared" si="20"/>
        <v>0</v>
      </c>
      <c r="AP170" s="46">
        <f t="shared" si="21"/>
        <v>0</v>
      </c>
      <c r="AQ170" s="44">
        <f>($AM$3*AM170+$AN$3*AN170+$AO$3*AO170+$AP$3*AP170)+$I$3*VLOOKUP(I170,COND!$A$2:$E$7,4,FALSE)+$J$3*VLOOKUP(J170,COND!$A$2:$C$7,2,FALSE)+$K$3*VLOOKUP(K170,COND!$A$2:$C$7,3,FALSE)+IF(AND($B$2&gt;0,$E170&lt;20),$B$2*25,0)</f>
        <v>43.736886327999656</v>
      </c>
      <c r="AR170" s="47">
        <f t="shared" ref="AR170:AR201" si="25">STANDARDIZE(AQ170,AVERAGE($AQ$5:$AQ$442),STDEVP($AQ$5:$AQ$442))</f>
        <v>7.5669250530244939E-2</v>
      </c>
      <c r="AS170" s="45" t="str">
        <f t="shared" si="22"/>
        <v>DH</v>
      </c>
      <c r="AT170" s="45">
        <v>900</v>
      </c>
      <c r="AU170" s="45">
        <v>166</v>
      </c>
      <c r="AV170" s="45"/>
      <c r="AW170" s="45" t="str">
        <f t="shared" si="23"/>
        <v>Unlikely</v>
      </c>
      <c r="AX170" s="45"/>
      <c r="AY170" s="45" t="str">
        <f>INDEX(Table5[[#All],[Ovr]],MATCH(Batters[[#This Row],[PID]],Table5[[#All],[PID]],0))</f>
        <v/>
      </c>
      <c r="AZ170" s="45" t="str">
        <f>INDEX(Table5[[#All],[Rnd]],MATCH(Batters[[#This Row],[PID]],Table5[[#All],[PID]],0))</f>
        <v/>
      </c>
      <c r="BA170" s="45" t="str">
        <f>INDEX(Table5[[#All],[Pick]],MATCH(Batters[[#This Row],[PID]],Table5[[#All],[PID]],0))</f>
        <v/>
      </c>
      <c r="BB170" s="45" t="str">
        <f>INDEX(Table5[[#All],[Team]],MATCH(Batters[[#This Row],[PID]],Table5[[#All],[PID]],0))</f>
        <v/>
      </c>
    </row>
    <row r="171" spans="1:54" ht="15" customHeight="1" x14ac:dyDescent="0.3">
      <c r="A171" s="40">
        <v>9973</v>
      </c>
      <c r="B171" s="40" t="s">
        <v>66</v>
      </c>
      <c r="C171" s="40" t="s">
        <v>386</v>
      </c>
      <c r="D171" s="40" t="s">
        <v>360</v>
      </c>
      <c r="E171" s="40">
        <v>17</v>
      </c>
      <c r="F171" s="40" t="s">
        <v>53</v>
      </c>
      <c r="G171" s="40" t="s">
        <v>53</v>
      </c>
      <c r="H171" s="41" t="s">
        <v>552</v>
      </c>
      <c r="I171" s="64" t="s">
        <v>43</v>
      </c>
      <c r="J171" s="65" t="s">
        <v>43</v>
      </c>
      <c r="K171" s="66" t="s">
        <v>43</v>
      </c>
      <c r="L171" s="40">
        <v>1</v>
      </c>
      <c r="M171" s="40">
        <v>3</v>
      </c>
      <c r="N171" s="40">
        <v>2</v>
      </c>
      <c r="O171" s="40">
        <v>2</v>
      </c>
      <c r="P171" s="41">
        <v>1</v>
      </c>
      <c r="Q171" s="40">
        <v>3</v>
      </c>
      <c r="R171" s="40">
        <v>5</v>
      </c>
      <c r="S171" s="40">
        <v>3</v>
      </c>
      <c r="T171" s="40">
        <v>6</v>
      </c>
      <c r="U171" s="41">
        <v>3</v>
      </c>
      <c r="V171" s="40">
        <v>2</v>
      </c>
      <c r="W171" s="40">
        <v>6</v>
      </c>
      <c r="X171" s="40">
        <v>1</v>
      </c>
      <c r="Y171" s="41">
        <v>1</v>
      </c>
      <c r="Z171" s="40" t="s">
        <v>45</v>
      </c>
      <c r="AA171" s="40" t="s">
        <v>45</v>
      </c>
      <c r="AB171" s="40" t="s">
        <v>45</v>
      </c>
      <c r="AC171" s="40" t="s">
        <v>45</v>
      </c>
      <c r="AD171" s="40" t="s">
        <v>45</v>
      </c>
      <c r="AE171" s="40" t="s">
        <v>45</v>
      </c>
      <c r="AF171" s="40">
        <v>1</v>
      </c>
      <c r="AG171" s="41">
        <v>4</v>
      </c>
      <c r="AH171" s="40">
        <v>6</v>
      </c>
      <c r="AI171" s="40">
        <v>10</v>
      </c>
      <c r="AJ171" s="41">
        <v>6</v>
      </c>
      <c r="AK171" s="43" t="s">
        <v>558</v>
      </c>
      <c r="AL171" s="43" t="s">
        <v>103</v>
      </c>
      <c r="AM171" s="44">
        <f t="shared" si="18"/>
        <v>-1.8094525465566824</v>
      </c>
      <c r="AN171" s="44">
        <f t="shared" si="19"/>
        <v>-0.54028874121753345</v>
      </c>
      <c r="AO171" s="45">
        <f t="shared" si="20"/>
        <v>2</v>
      </c>
      <c r="AP171" s="46">
        <f t="shared" si="21"/>
        <v>0</v>
      </c>
      <c r="AQ171" s="44">
        <f>($AM$3*AM171+$AN$3*AN171+$AO$3*AO171+$AP$3*AP171)+$I$3*VLOOKUP(I171,COND!$A$2:$E$7,4,FALSE)+$J$3*VLOOKUP(J171,COND!$A$2:$C$7,2,FALSE)+$K$3*VLOOKUP(K171,COND!$A$2:$C$7,3,FALSE)+IF(AND($B$2&gt;0,$E171&lt;20),$B$2*25,0)</f>
        <v>43.668923184067268</v>
      </c>
      <c r="AR171" s="47">
        <f t="shared" si="25"/>
        <v>6.574879888475689E-2</v>
      </c>
      <c r="AS171" s="45" t="str">
        <f t="shared" si="22"/>
        <v>RF</v>
      </c>
      <c r="AT171" s="45">
        <v>900</v>
      </c>
      <c r="AU171" s="45">
        <v>167</v>
      </c>
      <c r="AV171" s="45"/>
      <c r="AW171" s="45" t="str">
        <f t="shared" si="23"/>
        <v>Unlikely</v>
      </c>
      <c r="AX171" s="45"/>
      <c r="AY171" s="45">
        <f>INDEX(Table5[[#All],[Ovr]],MATCH(Batters[[#This Row],[PID]],Table5[[#All],[PID]],0))</f>
        <v>379</v>
      </c>
      <c r="AZ171" s="45" t="str">
        <f>INDEX(Table5[[#All],[Rnd]],MATCH(Batters[[#This Row],[PID]],Table5[[#All],[PID]],0))</f>
        <v>12</v>
      </c>
      <c r="BA171" s="45">
        <f>INDEX(Table5[[#All],[Pick]],MATCH(Batters[[#This Row],[PID]],Table5[[#All],[PID]],0))</f>
        <v>14</v>
      </c>
      <c r="BB171" s="45" t="str">
        <f>INDEX(Table5[[#All],[Team]],MATCH(Batters[[#This Row],[PID]],Table5[[#All],[PID]],0))</f>
        <v>San Antonio Calzones of Laredo</v>
      </c>
    </row>
    <row r="172" spans="1:54" ht="15" customHeight="1" x14ac:dyDescent="0.3">
      <c r="A172" s="40">
        <v>21017</v>
      </c>
      <c r="B172" s="40" t="s">
        <v>87</v>
      </c>
      <c r="C172" s="40" t="s">
        <v>196</v>
      </c>
      <c r="D172" s="40" t="s">
        <v>574</v>
      </c>
      <c r="E172" s="40">
        <v>17</v>
      </c>
      <c r="F172" s="40" t="s">
        <v>53</v>
      </c>
      <c r="G172" s="40" t="s">
        <v>42</v>
      </c>
      <c r="H172" s="41" t="s">
        <v>552</v>
      </c>
      <c r="I172" s="64" t="s">
        <v>43</v>
      </c>
      <c r="J172" s="65" t="s">
        <v>43</v>
      </c>
      <c r="K172" s="66" t="s">
        <v>43</v>
      </c>
      <c r="L172" s="40">
        <v>1</v>
      </c>
      <c r="M172" s="40">
        <v>3</v>
      </c>
      <c r="N172" s="40">
        <v>2</v>
      </c>
      <c r="O172" s="40">
        <v>2</v>
      </c>
      <c r="P172" s="41">
        <v>1</v>
      </c>
      <c r="Q172" s="40">
        <v>3</v>
      </c>
      <c r="R172" s="40">
        <v>4</v>
      </c>
      <c r="S172" s="40">
        <v>5</v>
      </c>
      <c r="T172" s="40">
        <v>5</v>
      </c>
      <c r="U172" s="41">
        <v>3</v>
      </c>
      <c r="V172" s="40">
        <v>6</v>
      </c>
      <c r="W172" s="40">
        <v>6</v>
      </c>
      <c r="X172" s="40">
        <v>1</v>
      </c>
      <c r="Y172" s="41">
        <v>2</v>
      </c>
      <c r="Z172" s="40" t="s">
        <v>45</v>
      </c>
      <c r="AA172" s="40">
        <v>3</v>
      </c>
      <c r="AB172" s="40" t="s">
        <v>45</v>
      </c>
      <c r="AC172" s="40">
        <v>1</v>
      </c>
      <c r="AD172" s="40" t="s">
        <v>45</v>
      </c>
      <c r="AE172" s="40" t="s">
        <v>45</v>
      </c>
      <c r="AF172" s="40" t="s">
        <v>45</v>
      </c>
      <c r="AG172" s="41" t="s">
        <v>45</v>
      </c>
      <c r="AH172" s="40">
        <v>2</v>
      </c>
      <c r="AI172" s="40">
        <v>3</v>
      </c>
      <c r="AJ172" s="41">
        <v>4</v>
      </c>
      <c r="AK172" s="43" t="s">
        <v>497</v>
      </c>
      <c r="AL172" s="43" t="s">
        <v>103</v>
      </c>
      <c r="AM172" s="44">
        <f t="shared" si="18"/>
        <v>-1.8094525465566824</v>
      </c>
      <c r="AN172" s="44">
        <f t="shared" si="19"/>
        <v>-0.51493518279801498</v>
      </c>
      <c r="AO172" s="45">
        <f t="shared" si="20"/>
        <v>0</v>
      </c>
      <c r="AP172" s="46">
        <f t="shared" si="21"/>
        <v>0</v>
      </c>
      <c r="AQ172" s="44">
        <f>($AM$3*AM172+$AN$3*AN172+$AO$3*AO172+$AP$3*AP172)+$I$3*VLOOKUP(I172,COND!$A$2:$E$7,4,FALSE)+$J$3*VLOOKUP(J172,COND!$A$2:$C$7,2,FALSE)+$K$3*VLOOKUP(K172,COND!$A$2:$C$7,3,FALSE)+IF(AND($B$2&gt;0,$E172&lt;20),$B$2*25,0)</f>
        <v>43.639832551768151</v>
      </c>
      <c r="AR172" s="47">
        <f t="shared" si="25"/>
        <v>6.150249427961451E-2</v>
      </c>
      <c r="AS172" s="45" t="str">
        <f t="shared" si="22"/>
        <v>1B</v>
      </c>
      <c r="AT172" s="45">
        <v>900</v>
      </c>
      <c r="AU172" s="45">
        <v>168</v>
      </c>
      <c r="AV172" s="45"/>
      <c r="AW172" s="45" t="str">
        <f t="shared" si="23"/>
        <v>Unlikely</v>
      </c>
      <c r="AX172" s="45"/>
      <c r="AY172" s="45">
        <f>INDEX(Table5[[#All],[Ovr]],MATCH(Batters[[#This Row],[PID]],Table5[[#All],[PID]],0))</f>
        <v>444</v>
      </c>
      <c r="AZ172" s="45" t="str">
        <f>INDEX(Table5[[#All],[Rnd]],MATCH(Batters[[#This Row],[PID]],Table5[[#All],[PID]],0))</f>
        <v>14</v>
      </c>
      <c r="BA172" s="45">
        <f>INDEX(Table5[[#All],[Pick]],MATCH(Batters[[#This Row],[PID]],Table5[[#All],[PID]],0))</f>
        <v>11</v>
      </c>
      <c r="BB172" s="45" t="str">
        <f>INDEX(Table5[[#All],[Team]],MATCH(Batters[[#This Row],[PID]],Table5[[#All],[PID]],0))</f>
        <v>Arlington Bureaucrats</v>
      </c>
    </row>
    <row r="173" spans="1:54" ht="15" customHeight="1" x14ac:dyDescent="0.3">
      <c r="A173" s="40">
        <v>12052</v>
      </c>
      <c r="B173" s="40" t="s">
        <v>69</v>
      </c>
      <c r="C173" s="40" t="s">
        <v>509</v>
      </c>
      <c r="D173" s="40" t="s">
        <v>484</v>
      </c>
      <c r="E173" s="40">
        <v>21</v>
      </c>
      <c r="F173" s="40" t="s">
        <v>42</v>
      </c>
      <c r="G173" s="40" t="s">
        <v>42</v>
      </c>
      <c r="H173" s="41" t="s">
        <v>550</v>
      </c>
      <c r="I173" s="64" t="s">
        <v>47</v>
      </c>
      <c r="J173" s="65" t="s">
        <v>43</v>
      </c>
      <c r="K173" s="66" t="s">
        <v>43</v>
      </c>
      <c r="L173" s="40">
        <v>2</v>
      </c>
      <c r="M173" s="40">
        <v>3</v>
      </c>
      <c r="N173" s="40">
        <v>2</v>
      </c>
      <c r="O173" s="40">
        <v>2</v>
      </c>
      <c r="P173" s="41">
        <v>1</v>
      </c>
      <c r="Q173" s="40">
        <v>4</v>
      </c>
      <c r="R173" s="40">
        <v>5</v>
      </c>
      <c r="S173" s="40">
        <v>3</v>
      </c>
      <c r="T173" s="40">
        <v>5</v>
      </c>
      <c r="U173" s="41">
        <v>4</v>
      </c>
      <c r="V173" s="40">
        <v>10</v>
      </c>
      <c r="W173" s="40">
        <v>10</v>
      </c>
      <c r="X173" s="40">
        <v>1</v>
      </c>
      <c r="Y173" s="41">
        <v>1</v>
      </c>
      <c r="Z173" s="40" t="s">
        <v>45</v>
      </c>
      <c r="AA173" s="40" t="s">
        <v>45</v>
      </c>
      <c r="AB173" s="40" t="s">
        <v>45</v>
      </c>
      <c r="AC173" s="40">
        <v>5</v>
      </c>
      <c r="AD173" s="40" t="s">
        <v>45</v>
      </c>
      <c r="AE173" s="40" t="s">
        <v>45</v>
      </c>
      <c r="AF173" s="40" t="s">
        <v>45</v>
      </c>
      <c r="AG173" s="41" t="s">
        <v>45</v>
      </c>
      <c r="AH173" s="40">
        <v>10</v>
      </c>
      <c r="AI173" s="40">
        <v>10</v>
      </c>
      <c r="AJ173" s="41">
        <v>10</v>
      </c>
      <c r="AK173" s="43" t="s">
        <v>511</v>
      </c>
      <c r="AL173" s="43" t="s">
        <v>103</v>
      </c>
      <c r="AM173" s="44">
        <f t="shared" si="18"/>
        <v>-1.4868967103540081</v>
      </c>
      <c r="AN173" s="44">
        <f t="shared" si="19"/>
        <v>-0.26742611520735632</v>
      </c>
      <c r="AO173" s="45">
        <f t="shared" si="20"/>
        <v>6</v>
      </c>
      <c r="AP173" s="46">
        <f t="shared" si="21"/>
        <v>0.75</v>
      </c>
      <c r="AQ173" s="44">
        <f>($AM$3*AM173+$AN$3*AN173+$AO$3*AO173+$AP$3*AP173)+$I$3*VLOOKUP(I173,COND!$A$2:$E$7,4,FALSE)+$J$3*VLOOKUP(J173,COND!$A$2:$C$7,2,FALSE)+$K$3*VLOOKUP(K173,COND!$A$2:$C$7,3,FALSE)+IF(AND($B$2&gt;0,$E173&lt;20),$B$2*25,0)</f>
        <v>43.617196946476319</v>
      </c>
      <c r="AR173" s="47">
        <f t="shared" si="25"/>
        <v>5.819841776444673E-2</v>
      </c>
      <c r="AS173" s="45" t="str">
        <f t="shared" si="22"/>
        <v>3B</v>
      </c>
      <c r="AT173" s="45">
        <v>900</v>
      </c>
      <c r="AU173" s="45">
        <v>169</v>
      </c>
      <c r="AV173" s="45"/>
      <c r="AW173" s="45" t="str">
        <f t="shared" si="23"/>
        <v>Unlikely</v>
      </c>
      <c r="AX173" s="45"/>
      <c r="AY173" s="45">
        <f>INDEX(Table5[[#All],[Ovr]],MATCH(Batters[[#This Row],[PID]],Table5[[#All],[PID]],0))</f>
        <v>221</v>
      </c>
      <c r="AZ173" s="45" t="str">
        <f>INDEX(Table5[[#All],[Rnd]],MATCH(Batters[[#This Row],[PID]],Table5[[#All],[PID]],0))</f>
        <v>7</v>
      </c>
      <c r="BA173" s="45">
        <f>INDEX(Table5[[#All],[Pick]],MATCH(Batters[[#This Row],[PID]],Table5[[#All],[PID]],0))</f>
        <v>20</v>
      </c>
      <c r="BB173" s="45" t="str">
        <f>INDEX(Table5[[#All],[Team]],MATCH(Batters[[#This Row],[PID]],Table5[[#All],[PID]],0))</f>
        <v>Crystal Lake Sandgnats</v>
      </c>
    </row>
    <row r="174" spans="1:54" ht="15" customHeight="1" x14ac:dyDescent="0.3">
      <c r="A174" s="40">
        <v>12869</v>
      </c>
      <c r="B174" s="40" t="s">
        <v>86</v>
      </c>
      <c r="C174" s="40" t="s">
        <v>1173</v>
      </c>
      <c r="D174" s="40" t="s">
        <v>1174</v>
      </c>
      <c r="E174" s="40">
        <v>17</v>
      </c>
      <c r="F174" s="40" t="s">
        <v>42</v>
      </c>
      <c r="G174" s="40" t="s">
        <v>42</v>
      </c>
      <c r="H174" s="41" t="s">
        <v>552</v>
      </c>
      <c r="I174" s="64" t="s">
        <v>47</v>
      </c>
      <c r="J174" s="65" t="s">
        <v>43</v>
      </c>
      <c r="K174" s="66" t="s">
        <v>43</v>
      </c>
      <c r="L174" s="40">
        <v>1</v>
      </c>
      <c r="M174" s="40">
        <v>4</v>
      </c>
      <c r="N174" s="40">
        <v>2</v>
      </c>
      <c r="O174" s="40">
        <v>4</v>
      </c>
      <c r="P174" s="41">
        <v>1</v>
      </c>
      <c r="Q174" s="40">
        <v>3</v>
      </c>
      <c r="R174" s="40">
        <v>5</v>
      </c>
      <c r="S174" s="40">
        <v>3</v>
      </c>
      <c r="T174" s="40">
        <v>6</v>
      </c>
      <c r="U174" s="41">
        <v>3</v>
      </c>
      <c r="V174" s="40">
        <v>2</v>
      </c>
      <c r="W174" s="40">
        <v>2</v>
      </c>
      <c r="X174" s="40">
        <v>3</v>
      </c>
      <c r="Y174" s="41">
        <v>3</v>
      </c>
      <c r="Z174" s="40" t="s">
        <v>45</v>
      </c>
      <c r="AA174" s="40" t="s">
        <v>45</v>
      </c>
      <c r="AB174" s="40" t="s">
        <v>45</v>
      </c>
      <c r="AC174" s="40" t="s">
        <v>45</v>
      </c>
      <c r="AD174" s="40" t="s">
        <v>45</v>
      </c>
      <c r="AE174" s="40" t="s">
        <v>45</v>
      </c>
      <c r="AF174" s="40" t="s">
        <v>45</v>
      </c>
      <c r="AG174" s="41" t="s">
        <v>45</v>
      </c>
      <c r="AH174" s="40">
        <v>1</v>
      </c>
      <c r="AI174" s="40">
        <v>1</v>
      </c>
      <c r="AJ174" s="41">
        <v>1</v>
      </c>
      <c r="AK174" s="43" t="s">
        <v>558</v>
      </c>
      <c r="AL174" s="43" t="s">
        <v>103</v>
      </c>
      <c r="AM174" s="44">
        <f t="shared" si="18"/>
        <v>-1.578973566918817</v>
      </c>
      <c r="AN174" s="44">
        <f t="shared" si="19"/>
        <v>-0.54028874121753345</v>
      </c>
      <c r="AO174" s="45">
        <f t="shared" si="20"/>
        <v>0</v>
      </c>
      <c r="AP174" s="46">
        <f t="shared" si="21"/>
        <v>0</v>
      </c>
      <c r="AQ174" s="44">
        <f>($AM$3*AM174+$AN$3*AN174+$AO$3*AO174+$AP$3*AP174)+$I$3*VLOOKUP(I174,COND!$A$2:$E$7,4,FALSE)+$J$3*VLOOKUP(J174,COND!$A$2:$C$7,2,FALSE)+$K$3*VLOOKUP(K174,COND!$A$2:$C$7,3,FALSE)+IF(AND($B$2&gt;0,$E174&lt;20),$B$2*25,0)</f>
        <v>43.583637748697711</v>
      </c>
      <c r="AR174" s="47">
        <f t="shared" si="25"/>
        <v>5.329984510342841E-2</v>
      </c>
      <c r="AS174" s="45" t="str">
        <f t="shared" si="22"/>
        <v>DH</v>
      </c>
      <c r="AT174" s="45">
        <v>900</v>
      </c>
      <c r="AU174" s="45">
        <v>170</v>
      </c>
      <c r="AV174" s="45"/>
      <c r="AW174" s="45" t="str">
        <f t="shared" si="23"/>
        <v>Unlikely</v>
      </c>
      <c r="AX174" s="45"/>
      <c r="AY174" s="45" t="str">
        <f>INDEX(Table5[[#All],[Ovr]],MATCH(Batters[[#This Row],[PID]],Table5[[#All],[PID]],0))</f>
        <v/>
      </c>
      <c r="AZ174" s="45" t="str">
        <f>INDEX(Table5[[#All],[Rnd]],MATCH(Batters[[#This Row],[PID]],Table5[[#All],[PID]],0))</f>
        <v/>
      </c>
      <c r="BA174" s="45" t="str">
        <f>INDEX(Table5[[#All],[Pick]],MATCH(Batters[[#This Row],[PID]],Table5[[#All],[PID]],0))</f>
        <v/>
      </c>
      <c r="BB174" s="45" t="str">
        <f>INDEX(Table5[[#All],[Team]],MATCH(Batters[[#This Row],[PID]],Table5[[#All],[PID]],0))</f>
        <v/>
      </c>
    </row>
    <row r="175" spans="1:54" ht="15" customHeight="1" x14ac:dyDescent="0.3">
      <c r="A175" s="40">
        <v>13331</v>
      </c>
      <c r="B175" s="40" t="s">
        <v>86</v>
      </c>
      <c r="C175" s="40" t="s">
        <v>1027</v>
      </c>
      <c r="D175" s="40" t="s">
        <v>518</v>
      </c>
      <c r="E175" s="40">
        <v>18</v>
      </c>
      <c r="F175" s="40" t="s">
        <v>42</v>
      </c>
      <c r="G175" s="40" t="s">
        <v>42</v>
      </c>
      <c r="H175" s="41" t="s">
        <v>552</v>
      </c>
      <c r="I175" s="64" t="s">
        <v>43</v>
      </c>
      <c r="J175" s="65" t="s">
        <v>43</v>
      </c>
      <c r="K175" s="66" t="s">
        <v>43</v>
      </c>
      <c r="L175" s="40">
        <v>1</v>
      </c>
      <c r="M175" s="40">
        <v>2</v>
      </c>
      <c r="N175" s="40">
        <v>2</v>
      </c>
      <c r="O175" s="40">
        <v>3</v>
      </c>
      <c r="P175" s="41">
        <v>1</v>
      </c>
      <c r="Q175" s="40">
        <v>3</v>
      </c>
      <c r="R175" s="40">
        <v>4</v>
      </c>
      <c r="S175" s="40">
        <v>3</v>
      </c>
      <c r="T175" s="40">
        <v>6</v>
      </c>
      <c r="U175" s="41">
        <v>2</v>
      </c>
      <c r="V175" s="40">
        <v>6</v>
      </c>
      <c r="W175" s="40">
        <v>5</v>
      </c>
      <c r="X175" s="40">
        <v>7</v>
      </c>
      <c r="Y175" s="41">
        <v>7</v>
      </c>
      <c r="Z175" s="40">
        <v>2</v>
      </c>
      <c r="AA175" s="40" t="s">
        <v>45</v>
      </c>
      <c r="AB175" s="40" t="s">
        <v>45</v>
      </c>
      <c r="AC175" s="40" t="s">
        <v>45</v>
      </c>
      <c r="AD175" s="40" t="s">
        <v>45</v>
      </c>
      <c r="AE175" s="40" t="s">
        <v>45</v>
      </c>
      <c r="AF175" s="40" t="s">
        <v>45</v>
      </c>
      <c r="AG175" s="41" t="s">
        <v>45</v>
      </c>
      <c r="AH175" s="40">
        <v>3</v>
      </c>
      <c r="AI175" s="40">
        <v>1</v>
      </c>
      <c r="AJ175" s="41">
        <v>1</v>
      </c>
      <c r="AK175" s="43" t="s">
        <v>498</v>
      </c>
      <c r="AL175" s="43" t="s">
        <v>103</v>
      </c>
      <c r="AM175" s="44">
        <f t="shared" si="18"/>
        <v>-1.7708028761658048</v>
      </c>
      <c r="AN175" s="44">
        <f t="shared" si="19"/>
        <v>-0.63136496065332037</v>
      </c>
      <c r="AO175" s="45">
        <f t="shared" si="20"/>
        <v>0</v>
      </c>
      <c r="AP175" s="46">
        <f t="shared" si="21"/>
        <v>1.1000000000000001</v>
      </c>
      <c r="AQ175" s="44">
        <f>($AM$3*AM175+$AN$3*AN175+$AO$3*AO175+$AP$3*AP175)+$I$3*VLOOKUP(I175,COND!$A$2:$E$7,4,FALSE)+$J$3*VLOOKUP(J175,COND!$A$2:$C$7,2,FALSE)+$K$3*VLOOKUP(K175,COND!$A$2:$C$7,3,FALSE)+IF(AND($B$2&gt;0,$E175&lt;20),$B$2*25,0)</f>
        <v>43.346540184543578</v>
      </c>
      <c r="AR175" s="47">
        <f t="shared" si="25"/>
        <v>1.8691161861905201E-2</v>
      </c>
      <c r="AS175" s="45" t="str">
        <f t="shared" si="22"/>
        <v>C</v>
      </c>
      <c r="AT175" s="45">
        <v>900</v>
      </c>
      <c r="AU175" s="45">
        <v>171</v>
      </c>
      <c r="AV175" s="45"/>
      <c r="AW175" s="45" t="str">
        <f t="shared" si="23"/>
        <v>Unlikely</v>
      </c>
      <c r="AX175" s="45"/>
      <c r="AY175" s="45" t="str">
        <f>INDEX(Table5[[#All],[Ovr]],MATCH(Batters[[#This Row],[PID]],Table5[[#All],[PID]],0))</f>
        <v/>
      </c>
      <c r="AZ175" s="45" t="str">
        <f>INDEX(Table5[[#All],[Rnd]],MATCH(Batters[[#This Row],[PID]],Table5[[#All],[PID]],0))</f>
        <v/>
      </c>
      <c r="BA175" s="45" t="str">
        <f>INDEX(Table5[[#All],[Pick]],MATCH(Batters[[#This Row],[PID]],Table5[[#All],[PID]],0))</f>
        <v/>
      </c>
      <c r="BB175" s="45" t="str">
        <f>INDEX(Table5[[#All],[Team]],MATCH(Batters[[#This Row],[PID]],Table5[[#All],[PID]],0))</f>
        <v/>
      </c>
    </row>
    <row r="176" spans="1:54" ht="15" customHeight="1" x14ac:dyDescent="0.3">
      <c r="A176" s="40">
        <v>11284</v>
      </c>
      <c r="B176" s="40" t="s">
        <v>71</v>
      </c>
      <c r="C176" s="40" t="s">
        <v>752</v>
      </c>
      <c r="D176" s="40" t="s">
        <v>356</v>
      </c>
      <c r="E176" s="40">
        <v>21</v>
      </c>
      <c r="F176" s="40" t="s">
        <v>42</v>
      </c>
      <c r="G176" s="40" t="s">
        <v>42</v>
      </c>
      <c r="H176" s="41" t="s">
        <v>550</v>
      </c>
      <c r="I176" s="64" t="s">
        <v>44</v>
      </c>
      <c r="J176" s="65" t="s">
        <v>43</v>
      </c>
      <c r="K176" s="66" t="s">
        <v>43</v>
      </c>
      <c r="L176" s="40">
        <v>2</v>
      </c>
      <c r="M176" s="40">
        <v>4</v>
      </c>
      <c r="N176" s="40">
        <v>3</v>
      </c>
      <c r="O176" s="40">
        <v>3</v>
      </c>
      <c r="P176" s="41">
        <v>2</v>
      </c>
      <c r="Q176" s="40">
        <v>4</v>
      </c>
      <c r="R176" s="40">
        <v>5</v>
      </c>
      <c r="S176" s="40">
        <v>4</v>
      </c>
      <c r="T176" s="40">
        <v>5</v>
      </c>
      <c r="U176" s="41">
        <v>4</v>
      </c>
      <c r="V176" s="40">
        <v>7</v>
      </c>
      <c r="W176" s="40">
        <v>6</v>
      </c>
      <c r="X176" s="40">
        <v>1</v>
      </c>
      <c r="Y176" s="41">
        <v>1</v>
      </c>
      <c r="Z176" s="40" t="s">
        <v>45</v>
      </c>
      <c r="AA176" s="40" t="s">
        <v>45</v>
      </c>
      <c r="AB176" s="40">
        <v>5</v>
      </c>
      <c r="AC176" s="40">
        <v>1</v>
      </c>
      <c r="AD176" s="40">
        <v>1</v>
      </c>
      <c r="AE176" s="40" t="s">
        <v>45</v>
      </c>
      <c r="AF176" s="40" t="s">
        <v>45</v>
      </c>
      <c r="AG176" s="41" t="s">
        <v>45</v>
      </c>
      <c r="AH176" s="40">
        <v>6</v>
      </c>
      <c r="AI176" s="40">
        <v>7</v>
      </c>
      <c r="AJ176" s="41">
        <v>8</v>
      </c>
      <c r="AK176" s="43" t="s">
        <v>504</v>
      </c>
      <c r="AL176" s="43" t="s">
        <v>103</v>
      </c>
      <c r="AM176" s="44">
        <f t="shared" si="18"/>
        <v>-1.2230494468847384</v>
      </c>
      <c r="AN176" s="44">
        <f t="shared" si="19"/>
        <v>-0.18436462118345487</v>
      </c>
      <c r="AO176" s="45">
        <f t="shared" si="20"/>
        <v>1</v>
      </c>
      <c r="AP176" s="46">
        <f t="shared" si="21"/>
        <v>0.6</v>
      </c>
      <c r="AQ176" s="44">
        <f>($AM$3*AM176+$AN$3*AN176+$AO$3*AO176+$AP$3*AP176)+$I$3*VLOOKUP(I176,COND!$A$2:$E$7,4,FALSE)+$J$3*VLOOKUP(J176,COND!$A$2:$C$7,2,FALSE)+$K$3*VLOOKUP(K176,COND!$A$2:$C$7,3,FALSE)+IF(AND($B$2&gt;0,$E176&lt;20),$B$2*25,0)</f>
        <v>43.28198626777673</v>
      </c>
      <c r="AR176" s="47">
        <f t="shared" si="25"/>
        <v>9.2683486611288973E-3</v>
      </c>
      <c r="AS176" s="45" t="str">
        <f t="shared" si="22"/>
        <v>2B</v>
      </c>
      <c r="AT176" s="45">
        <v>900</v>
      </c>
      <c r="AU176" s="45">
        <v>172</v>
      </c>
      <c r="AV176" s="45"/>
      <c r="AW176" s="45" t="str">
        <f t="shared" si="23"/>
        <v>Unlikely</v>
      </c>
      <c r="AX176" s="45"/>
      <c r="AY176" s="45">
        <f>INDEX(Table5[[#All],[Ovr]],MATCH(Batters[[#This Row],[PID]],Table5[[#All],[PID]],0))</f>
        <v>288</v>
      </c>
      <c r="AZ176" s="45" t="str">
        <f>INDEX(Table5[[#All],[Rnd]],MATCH(Batters[[#This Row],[PID]],Table5[[#All],[PID]],0))</f>
        <v>9</v>
      </c>
      <c r="BA176" s="45">
        <f>INDEX(Table5[[#All],[Pick]],MATCH(Batters[[#This Row],[PID]],Table5[[#All],[PID]],0))</f>
        <v>23</v>
      </c>
      <c r="BB176" s="45" t="str">
        <f>INDEX(Table5[[#All],[Team]],MATCH(Batters[[#This Row],[PID]],Table5[[#All],[PID]],0))</f>
        <v>Kentucky Thoroughbreds</v>
      </c>
    </row>
    <row r="177" spans="1:54" ht="15" customHeight="1" x14ac:dyDescent="0.3">
      <c r="A177" s="40">
        <v>11295</v>
      </c>
      <c r="B177" s="40" t="s">
        <v>72</v>
      </c>
      <c r="C177" s="40" t="s">
        <v>313</v>
      </c>
      <c r="D177" s="40" t="s">
        <v>720</v>
      </c>
      <c r="E177" s="40">
        <v>17</v>
      </c>
      <c r="F177" s="40" t="s">
        <v>42</v>
      </c>
      <c r="G177" s="40" t="s">
        <v>42</v>
      </c>
      <c r="H177" s="41" t="s">
        <v>552</v>
      </c>
      <c r="I177" s="64" t="s">
        <v>43</v>
      </c>
      <c r="J177" s="65" t="s">
        <v>47</v>
      </c>
      <c r="K177" s="66" t="s">
        <v>43</v>
      </c>
      <c r="L177" s="40">
        <v>1</v>
      </c>
      <c r="M177" s="40">
        <v>3</v>
      </c>
      <c r="N177" s="40">
        <v>2</v>
      </c>
      <c r="O177" s="40">
        <v>2</v>
      </c>
      <c r="P177" s="41">
        <v>1</v>
      </c>
      <c r="Q177" s="40">
        <v>3</v>
      </c>
      <c r="R177" s="40">
        <v>5</v>
      </c>
      <c r="S177" s="40">
        <v>3</v>
      </c>
      <c r="T177" s="40">
        <v>5</v>
      </c>
      <c r="U177" s="41">
        <v>3</v>
      </c>
      <c r="V177" s="40">
        <v>4</v>
      </c>
      <c r="W177" s="40">
        <v>6</v>
      </c>
      <c r="X177" s="40">
        <v>1</v>
      </c>
      <c r="Y177" s="41">
        <v>1</v>
      </c>
      <c r="Z177" s="40" t="s">
        <v>45</v>
      </c>
      <c r="AA177" s="40" t="s">
        <v>45</v>
      </c>
      <c r="AB177" s="40" t="s">
        <v>45</v>
      </c>
      <c r="AC177" s="40" t="s">
        <v>45</v>
      </c>
      <c r="AD177" s="40">
        <v>3</v>
      </c>
      <c r="AE177" s="40" t="s">
        <v>45</v>
      </c>
      <c r="AF177" s="40" t="s">
        <v>45</v>
      </c>
      <c r="AG177" s="41" t="s">
        <v>45</v>
      </c>
      <c r="AH177" s="40">
        <v>5</v>
      </c>
      <c r="AI177" s="40">
        <v>3</v>
      </c>
      <c r="AJ177" s="41">
        <v>2</v>
      </c>
      <c r="AK177" s="43" t="s">
        <v>498</v>
      </c>
      <c r="AL177" s="43" t="s">
        <v>103</v>
      </c>
      <c r="AM177" s="44">
        <f t="shared" si="18"/>
        <v>-1.8094525465566824</v>
      </c>
      <c r="AN177" s="44">
        <f t="shared" si="19"/>
        <v>-0.62999829122711448</v>
      </c>
      <c r="AO177" s="45">
        <f t="shared" si="20"/>
        <v>0</v>
      </c>
      <c r="AP177" s="46">
        <f t="shared" si="21"/>
        <v>0</v>
      </c>
      <c r="AQ177" s="44">
        <f>($AM$3*AM177+$AN$3*AN177+$AO$3*AO177+$AP$3*AP177)+$I$3*VLOOKUP(I177,COND!$A$2:$E$7,4,FALSE)+$J$3*VLOOKUP(J177,COND!$A$2:$C$7,2,FALSE)+$K$3*VLOOKUP(K177,COND!$A$2:$C$7,3,FALSE)+IF(AND($B$2&gt;0,$E177&lt;20),$B$2*25,0)</f>
        <v>42.55907525061896</v>
      </c>
      <c r="AR177" s="47">
        <f t="shared" si="25"/>
        <v>-9.6253605956490643E-2</v>
      </c>
      <c r="AS177" s="45" t="str">
        <f t="shared" si="22"/>
        <v>SS</v>
      </c>
      <c r="AT177" s="45">
        <v>900</v>
      </c>
      <c r="AU177" s="45">
        <v>173</v>
      </c>
      <c r="AV177" s="45"/>
      <c r="AW177" s="45" t="str">
        <f t="shared" si="23"/>
        <v>Unlikely</v>
      </c>
      <c r="AX177" s="45"/>
      <c r="AY177" s="45">
        <f>INDEX(Table5[[#All],[Ovr]],MATCH(Batters[[#This Row],[PID]],Table5[[#All],[PID]],0))</f>
        <v>500</v>
      </c>
      <c r="AZ177" s="45" t="str">
        <f>INDEX(Table5[[#All],[Rnd]],MATCH(Batters[[#This Row],[PID]],Table5[[#All],[PID]],0))</f>
        <v>15</v>
      </c>
      <c r="BA177" s="45">
        <f>INDEX(Table5[[#All],[Pick]],MATCH(Batters[[#This Row],[PID]],Table5[[#All],[PID]],0))</f>
        <v>33</v>
      </c>
      <c r="BB177" s="45" t="str">
        <f>INDEX(Table5[[#All],[Team]],MATCH(Batters[[#This Row],[PID]],Table5[[#All],[PID]],0))</f>
        <v>Gloucester Fishermen</v>
      </c>
    </row>
    <row r="178" spans="1:54" ht="15" customHeight="1" x14ac:dyDescent="0.3">
      <c r="A178" s="40">
        <v>7878</v>
      </c>
      <c r="B178" s="40" t="s">
        <v>72</v>
      </c>
      <c r="C178" s="40" t="s">
        <v>809</v>
      </c>
      <c r="D178" s="40" t="s">
        <v>1050</v>
      </c>
      <c r="E178" s="40">
        <v>21</v>
      </c>
      <c r="F178" s="40" t="s">
        <v>42</v>
      </c>
      <c r="G178" s="40" t="s">
        <v>42</v>
      </c>
      <c r="H178" s="41" t="s">
        <v>550</v>
      </c>
      <c r="I178" s="64" t="s">
        <v>43</v>
      </c>
      <c r="J178" s="65" t="s">
        <v>43</v>
      </c>
      <c r="K178" s="66" t="s">
        <v>43</v>
      </c>
      <c r="L178" s="40">
        <v>2</v>
      </c>
      <c r="M178" s="40">
        <v>3</v>
      </c>
      <c r="N178" s="40">
        <v>2</v>
      </c>
      <c r="O178" s="40">
        <v>3</v>
      </c>
      <c r="P178" s="41">
        <v>4</v>
      </c>
      <c r="Q178" s="40">
        <v>4</v>
      </c>
      <c r="R178" s="40">
        <v>4</v>
      </c>
      <c r="S178" s="40">
        <v>3</v>
      </c>
      <c r="T178" s="40">
        <v>5</v>
      </c>
      <c r="U178" s="41">
        <v>5</v>
      </c>
      <c r="V178" s="40">
        <v>7</v>
      </c>
      <c r="W178" s="40">
        <v>7</v>
      </c>
      <c r="X178" s="40">
        <v>1</v>
      </c>
      <c r="Y178" s="41">
        <v>1</v>
      </c>
      <c r="Z178" s="40" t="s">
        <v>45</v>
      </c>
      <c r="AA178" s="40" t="s">
        <v>45</v>
      </c>
      <c r="AB178" s="40" t="s">
        <v>45</v>
      </c>
      <c r="AC178" s="40" t="s">
        <v>45</v>
      </c>
      <c r="AD178" s="40">
        <v>6</v>
      </c>
      <c r="AE178" s="40" t="s">
        <v>45</v>
      </c>
      <c r="AF178" s="40" t="s">
        <v>45</v>
      </c>
      <c r="AG178" s="41" t="s">
        <v>45</v>
      </c>
      <c r="AH178" s="40">
        <v>9</v>
      </c>
      <c r="AI178" s="40">
        <v>8</v>
      </c>
      <c r="AJ178" s="41">
        <v>7</v>
      </c>
      <c r="AK178" s="43" t="s">
        <v>764</v>
      </c>
      <c r="AL178" s="43" t="s">
        <v>103</v>
      </c>
      <c r="AM178" s="44">
        <f t="shared" si="18"/>
        <v>-1.2771381408931763</v>
      </c>
      <c r="AN178" s="44">
        <f t="shared" si="19"/>
        <v>-0.27846965500897641</v>
      </c>
      <c r="AO178" s="45">
        <f t="shared" si="20"/>
        <v>4</v>
      </c>
      <c r="AP178" s="46">
        <f t="shared" si="21"/>
        <v>1</v>
      </c>
      <c r="AQ178" s="44">
        <f>($AM$3*AM178+$AN$3*AN178+$AO$3*AO178+$AP$3*AP178)+$I$3*VLOOKUP(I178,COND!$A$2:$E$7,4,FALSE)+$J$3*VLOOKUP(J178,COND!$A$2:$C$7,2,FALSE)+$K$3*VLOOKUP(K178,COND!$A$2:$C$7,3,FALSE)+IF(AND($B$2&gt;0,$E178&lt;20),$B$2*25,0)</f>
        <v>43.197316992469631</v>
      </c>
      <c r="AR178" s="47">
        <f t="shared" si="25"/>
        <v>-3.0906654006427219E-3</v>
      </c>
      <c r="AS178" s="45" t="str">
        <f t="shared" si="22"/>
        <v>SS</v>
      </c>
      <c r="AT178" s="45">
        <v>900</v>
      </c>
      <c r="AU178" s="45">
        <v>174</v>
      </c>
      <c r="AV178" s="45"/>
      <c r="AW178" s="45" t="str">
        <f t="shared" si="23"/>
        <v>Unlikely</v>
      </c>
      <c r="AX178" s="45"/>
      <c r="AY178" s="45">
        <f>INDEX(Table5[[#All],[Ovr]],MATCH(Batters[[#This Row],[PID]],Table5[[#All],[PID]],0))</f>
        <v>148</v>
      </c>
      <c r="AZ178" s="45" t="str">
        <f>INDEX(Table5[[#All],[Rnd]],MATCH(Batters[[#This Row],[PID]],Table5[[#All],[PID]],0))</f>
        <v>5</v>
      </c>
      <c r="BA178" s="45">
        <f>INDEX(Table5[[#All],[Pick]],MATCH(Batters[[#This Row],[PID]],Table5[[#All],[PID]],0))</f>
        <v>11</v>
      </c>
      <c r="BB178" s="45" t="str">
        <f>INDEX(Table5[[#All],[Team]],MATCH(Batters[[#This Row],[PID]],Table5[[#All],[PID]],0))</f>
        <v>Aurora Borealis</v>
      </c>
    </row>
    <row r="179" spans="1:54" ht="15" customHeight="1" x14ac:dyDescent="0.3">
      <c r="A179" s="40">
        <v>13713</v>
      </c>
      <c r="B179" s="40" t="s">
        <v>66</v>
      </c>
      <c r="C179" s="40" t="s">
        <v>897</v>
      </c>
      <c r="D179" s="40" t="s">
        <v>1232</v>
      </c>
      <c r="E179" s="40">
        <v>21</v>
      </c>
      <c r="F179" s="40" t="s">
        <v>42</v>
      </c>
      <c r="G179" s="40" t="s">
        <v>42</v>
      </c>
      <c r="H179" s="41" t="s">
        <v>552</v>
      </c>
      <c r="I179" s="64" t="s">
        <v>43</v>
      </c>
      <c r="J179" s="65" t="s">
        <v>43</v>
      </c>
      <c r="K179" s="66" t="s">
        <v>43</v>
      </c>
      <c r="L179" s="40">
        <v>2</v>
      </c>
      <c r="M179" s="40">
        <v>3</v>
      </c>
      <c r="N179" s="40">
        <v>3</v>
      </c>
      <c r="O179" s="40">
        <v>2</v>
      </c>
      <c r="P179" s="41">
        <v>2</v>
      </c>
      <c r="Q179" s="40">
        <v>4</v>
      </c>
      <c r="R179" s="40">
        <v>5</v>
      </c>
      <c r="S179" s="40">
        <v>5</v>
      </c>
      <c r="T179" s="40">
        <v>5</v>
      </c>
      <c r="U179" s="41">
        <v>3</v>
      </c>
      <c r="V179" s="40">
        <v>4</v>
      </c>
      <c r="W179" s="40">
        <v>6</v>
      </c>
      <c r="X179" s="40">
        <v>1</v>
      </c>
      <c r="Y179" s="41">
        <v>1</v>
      </c>
      <c r="Z179" s="40" t="s">
        <v>45</v>
      </c>
      <c r="AA179" s="40" t="s">
        <v>45</v>
      </c>
      <c r="AB179" s="40" t="s">
        <v>45</v>
      </c>
      <c r="AC179" s="40" t="s">
        <v>45</v>
      </c>
      <c r="AD179" s="40" t="s">
        <v>45</v>
      </c>
      <c r="AE179" s="40">
        <v>1</v>
      </c>
      <c r="AF179" s="40" t="s">
        <v>45</v>
      </c>
      <c r="AG179" s="41">
        <v>1</v>
      </c>
      <c r="AH179" s="40">
        <v>4</v>
      </c>
      <c r="AI179" s="40">
        <v>5</v>
      </c>
      <c r="AJ179" s="41">
        <v>6</v>
      </c>
      <c r="AK179" s="43" t="s">
        <v>557</v>
      </c>
      <c r="AL179" s="43" t="s">
        <v>103</v>
      </c>
      <c r="AM179" s="44">
        <f t="shared" si="18"/>
        <v>-1.3638188765130226</v>
      </c>
      <c r="AN179" s="44">
        <f t="shared" si="19"/>
        <v>-0.14131946697663683</v>
      </c>
      <c r="AO179" s="45">
        <f t="shared" si="20"/>
        <v>0</v>
      </c>
      <c r="AP179" s="46">
        <f t="shared" si="21"/>
        <v>0</v>
      </c>
      <c r="AQ179" s="44">
        <f>($AM$3*AM179+$AN$3*AN179+$AO$3*AO179+$AP$3*AP179)+$I$3*VLOOKUP(I179,COND!$A$2:$E$7,4,FALSE)+$J$3*VLOOKUP(J179,COND!$A$2:$C$7,2,FALSE)+$K$3*VLOOKUP(K179,COND!$A$2:$C$7,3,FALSE)+IF(AND($B$2&gt;0,$E179&lt;20),$B$2*25,0)</f>
        <v>43.167784508629055</v>
      </c>
      <c r="AR179" s="47">
        <f t="shared" si="25"/>
        <v>-7.4014662400366865E-3</v>
      </c>
      <c r="AS179" s="45" t="str">
        <f t="shared" si="22"/>
        <v>RF</v>
      </c>
      <c r="AT179" s="45">
        <v>900</v>
      </c>
      <c r="AU179" s="45">
        <v>175</v>
      </c>
      <c r="AV179" s="45"/>
      <c r="AW179" s="45" t="str">
        <f t="shared" si="23"/>
        <v>Unlikely</v>
      </c>
      <c r="AX179" s="45"/>
      <c r="AY179" s="45">
        <f>INDEX(Table5[[#All],[Ovr]],MATCH(Batters[[#This Row],[PID]],Table5[[#All],[PID]],0))</f>
        <v>287</v>
      </c>
      <c r="AZ179" s="45" t="str">
        <f>INDEX(Table5[[#All],[Rnd]],MATCH(Batters[[#This Row],[PID]],Table5[[#All],[PID]],0))</f>
        <v>9</v>
      </c>
      <c r="BA179" s="45">
        <f>INDEX(Table5[[#All],[Pick]],MATCH(Batters[[#This Row],[PID]],Table5[[#All],[PID]],0))</f>
        <v>22</v>
      </c>
      <c r="BB179" s="45" t="str">
        <f>INDEX(Table5[[#All],[Team]],MATCH(Batters[[#This Row],[PID]],Table5[[#All],[PID]],0))</f>
        <v>Bakersfield Bears</v>
      </c>
    </row>
    <row r="180" spans="1:54" ht="15" customHeight="1" x14ac:dyDescent="0.3">
      <c r="A180" s="40">
        <v>20284</v>
      </c>
      <c r="B180" s="40" t="s">
        <v>69</v>
      </c>
      <c r="C180" s="40" t="s">
        <v>801</v>
      </c>
      <c r="D180" s="40" t="s">
        <v>802</v>
      </c>
      <c r="E180" s="40">
        <v>22</v>
      </c>
      <c r="F180" s="40" t="s">
        <v>62</v>
      </c>
      <c r="G180" s="40" t="s">
        <v>42</v>
      </c>
      <c r="H180" s="41" t="s">
        <v>550</v>
      </c>
      <c r="I180" s="64" t="s">
        <v>43</v>
      </c>
      <c r="J180" s="65" t="s">
        <v>43</v>
      </c>
      <c r="K180" s="66" t="s">
        <v>43</v>
      </c>
      <c r="L180" s="40">
        <v>2</v>
      </c>
      <c r="M180" s="40">
        <v>4</v>
      </c>
      <c r="N180" s="40">
        <v>3</v>
      </c>
      <c r="O180" s="40">
        <v>4</v>
      </c>
      <c r="P180" s="41">
        <v>1</v>
      </c>
      <c r="Q180" s="40">
        <v>4</v>
      </c>
      <c r="R180" s="40">
        <v>4</v>
      </c>
      <c r="S180" s="40">
        <v>4</v>
      </c>
      <c r="T180" s="40">
        <v>6</v>
      </c>
      <c r="U180" s="41">
        <v>3</v>
      </c>
      <c r="V180" s="40">
        <v>7</v>
      </c>
      <c r="W180" s="40">
        <v>6</v>
      </c>
      <c r="X180" s="40">
        <v>1</v>
      </c>
      <c r="Y180" s="41">
        <v>1</v>
      </c>
      <c r="Z180" s="40" t="s">
        <v>45</v>
      </c>
      <c r="AA180" s="40" t="s">
        <v>45</v>
      </c>
      <c r="AB180" s="40">
        <v>3</v>
      </c>
      <c r="AC180" s="40">
        <v>5</v>
      </c>
      <c r="AD180" s="40">
        <v>4</v>
      </c>
      <c r="AE180" s="40" t="s">
        <v>45</v>
      </c>
      <c r="AF180" s="40" t="s">
        <v>45</v>
      </c>
      <c r="AG180" s="41">
        <v>2</v>
      </c>
      <c r="AH180" s="40">
        <v>4</v>
      </c>
      <c r="AI180" s="40">
        <v>2</v>
      </c>
      <c r="AJ180" s="41">
        <v>1</v>
      </c>
      <c r="AK180" s="43" t="s">
        <v>557</v>
      </c>
      <c r="AL180" s="43" t="s">
        <v>103</v>
      </c>
      <c r="AM180" s="44">
        <f t="shared" si="18"/>
        <v>-1.1733562366922408</v>
      </c>
      <c r="AN180" s="44">
        <f t="shared" si="19"/>
        <v>-0.18573129060966079</v>
      </c>
      <c r="AO180" s="45">
        <f t="shared" si="20"/>
        <v>0</v>
      </c>
      <c r="AP180" s="46">
        <f t="shared" si="21"/>
        <v>0.5</v>
      </c>
      <c r="AQ180" s="44">
        <f>($AM$3*AM180+$AN$3*AN180+$AO$3*AO180+$AP$3*AP180)+$I$3*VLOOKUP(I180,COND!$A$2:$E$7,4,FALSE)+$J$3*VLOOKUP(J180,COND!$A$2:$C$7,2,FALSE)+$K$3*VLOOKUP(K180,COND!$A$2:$C$7,3,FALSE)+IF(AND($B$2&gt;0,$E180&lt;20),$B$2*25,0)</f>
        <v>43.153888889014844</v>
      </c>
      <c r="AR180" s="47">
        <f t="shared" si="25"/>
        <v>-9.4297835674988627E-3</v>
      </c>
      <c r="AS180" s="45" t="str">
        <f t="shared" si="22"/>
        <v>3B</v>
      </c>
      <c r="AT180" s="45">
        <v>900</v>
      </c>
      <c r="AU180" s="45">
        <v>176</v>
      </c>
      <c r="AV180" s="45"/>
      <c r="AW180" s="45" t="str">
        <f t="shared" si="23"/>
        <v>Unlikely</v>
      </c>
      <c r="AX180" s="45"/>
      <c r="AY180" s="45">
        <f>INDEX(Table5[[#All],[Ovr]],MATCH(Batters[[#This Row],[PID]],Table5[[#All],[PID]],0))</f>
        <v>385</v>
      </c>
      <c r="AZ180" s="45" t="str">
        <f>INDEX(Table5[[#All],[Rnd]],MATCH(Batters[[#This Row],[PID]],Table5[[#All],[PID]],0))</f>
        <v>12</v>
      </c>
      <c r="BA180" s="45">
        <f>INDEX(Table5[[#All],[Pick]],MATCH(Batters[[#This Row],[PID]],Table5[[#All],[PID]],0))</f>
        <v>20</v>
      </c>
      <c r="BB180" s="45" t="str">
        <f>INDEX(Table5[[#All],[Team]],MATCH(Batters[[#This Row],[PID]],Table5[[#All],[PID]],0))</f>
        <v>Crystal Lake Sandgnats</v>
      </c>
    </row>
    <row r="181" spans="1:54" ht="15" customHeight="1" x14ac:dyDescent="0.3">
      <c r="A181" s="40">
        <v>10900</v>
      </c>
      <c r="B181" s="40" t="s">
        <v>86</v>
      </c>
      <c r="C181" s="40" t="s">
        <v>670</v>
      </c>
      <c r="D181" s="40" t="s">
        <v>722</v>
      </c>
      <c r="E181" s="40">
        <v>18</v>
      </c>
      <c r="F181" s="40" t="s">
        <v>42</v>
      </c>
      <c r="G181" s="40" t="s">
        <v>42</v>
      </c>
      <c r="H181" s="41" t="s">
        <v>550</v>
      </c>
      <c r="I181" s="64" t="s">
        <v>43</v>
      </c>
      <c r="J181" s="65" t="s">
        <v>43</v>
      </c>
      <c r="K181" s="66" t="s">
        <v>43</v>
      </c>
      <c r="L181" s="40">
        <v>1</v>
      </c>
      <c r="M181" s="40">
        <v>2</v>
      </c>
      <c r="N181" s="40">
        <v>3</v>
      </c>
      <c r="O181" s="40">
        <v>2</v>
      </c>
      <c r="P181" s="41">
        <v>1</v>
      </c>
      <c r="Q181" s="40">
        <v>2</v>
      </c>
      <c r="R181" s="40">
        <v>5</v>
      </c>
      <c r="S181" s="40">
        <v>6</v>
      </c>
      <c r="T181" s="40">
        <v>6</v>
      </c>
      <c r="U181" s="41">
        <v>2</v>
      </c>
      <c r="V181" s="40">
        <v>4</v>
      </c>
      <c r="W181" s="40">
        <v>5</v>
      </c>
      <c r="X181" s="40">
        <v>6</v>
      </c>
      <c r="Y181" s="41">
        <v>7</v>
      </c>
      <c r="Z181" s="40">
        <v>2</v>
      </c>
      <c r="AA181" s="40" t="s">
        <v>45</v>
      </c>
      <c r="AB181" s="40" t="s">
        <v>45</v>
      </c>
      <c r="AC181" s="40" t="s">
        <v>45</v>
      </c>
      <c r="AD181" s="40" t="s">
        <v>45</v>
      </c>
      <c r="AE181" s="40" t="s">
        <v>45</v>
      </c>
      <c r="AF181" s="40" t="s">
        <v>45</v>
      </c>
      <c r="AG181" s="41" t="s">
        <v>45</v>
      </c>
      <c r="AH181" s="40">
        <v>1</v>
      </c>
      <c r="AI181" s="40">
        <v>2</v>
      </c>
      <c r="AJ181" s="41">
        <v>5</v>
      </c>
      <c r="AK181" s="43" t="s">
        <v>526</v>
      </c>
      <c r="AL181" s="43" t="s">
        <v>103</v>
      </c>
      <c r="AM181" s="44">
        <f t="shared" si="18"/>
        <v>-1.7774509321514844</v>
      </c>
      <c r="AN181" s="44">
        <f t="shared" si="19"/>
        <v>-0.65367643516558727</v>
      </c>
      <c r="AO181" s="45">
        <f t="shared" si="20"/>
        <v>0</v>
      </c>
      <c r="AP181" s="46">
        <f t="shared" si="21"/>
        <v>1.1000000000000001</v>
      </c>
      <c r="AQ181" s="44">
        <f>($AM$3*AM181+$AN$3*AN181+$AO$3*AO181+$AP$3*AP181)+$I$3*VLOOKUP(I181,COND!$A$2:$E$7,4,FALSE)+$J$3*VLOOKUP(J181,COND!$A$2:$C$7,2,FALSE)+$K$3*VLOOKUP(K181,COND!$A$2:$C$7,3,FALSE)+IF(AND($B$2&gt;0,$E181&lt;20),$B$2*25,0)</f>
        <v>43.078137684797802</v>
      </c>
      <c r="AR181" s="47">
        <f t="shared" si="25"/>
        <v>-2.0487043650555824E-2</v>
      </c>
      <c r="AS181" s="45" t="str">
        <f t="shared" si="22"/>
        <v>C</v>
      </c>
      <c r="AT181" s="45">
        <v>900</v>
      </c>
      <c r="AU181" s="45">
        <v>177</v>
      </c>
      <c r="AV181" s="45"/>
      <c r="AW181" s="45" t="str">
        <f t="shared" si="23"/>
        <v>Unlikely</v>
      </c>
      <c r="AX181" s="45"/>
      <c r="AY181" s="45">
        <f>INDEX(Table5[[#All],[Ovr]],MATCH(Batters[[#This Row],[PID]],Table5[[#All],[PID]],0))</f>
        <v>429</v>
      </c>
      <c r="AZ181" s="45" t="str">
        <f>INDEX(Table5[[#All],[Rnd]],MATCH(Batters[[#This Row],[PID]],Table5[[#All],[PID]],0))</f>
        <v>13</v>
      </c>
      <c r="BA181" s="45">
        <f>INDEX(Table5[[#All],[Pick]],MATCH(Batters[[#This Row],[PID]],Table5[[#All],[PID]],0))</f>
        <v>30</v>
      </c>
      <c r="BB181" s="45" t="str">
        <f>INDEX(Table5[[#All],[Team]],MATCH(Batters[[#This Row],[PID]],Table5[[#All],[PID]],0))</f>
        <v>Toyama Wind Dancers</v>
      </c>
    </row>
    <row r="182" spans="1:54" ht="15" customHeight="1" x14ac:dyDescent="0.3">
      <c r="A182" s="40">
        <v>12677</v>
      </c>
      <c r="B182" s="40" t="s">
        <v>69</v>
      </c>
      <c r="C182" s="40" t="s">
        <v>124</v>
      </c>
      <c r="D182" s="40" t="s">
        <v>799</v>
      </c>
      <c r="E182" s="40">
        <v>18</v>
      </c>
      <c r="F182" s="40" t="s">
        <v>42</v>
      </c>
      <c r="G182" s="40" t="s">
        <v>42</v>
      </c>
      <c r="H182" s="41" t="s">
        <v>552</v>
      </c>
      <c r="I182" s="64" t="s">
        <v>43</v>
      </c>
      <c r="J182" s="65" t="s">
        <v>43</v>
      </c>
      <c r="K182" s="66" t="s">
        <v>43</v>
      </c>
      <c r="L182" s="40">
        <v>1</v>
      </c>
      <c r="M182" s="40">
        <v>4</v>
      </c>
      <c r="N182" s="40">
        <v>2</v>
      </c>
      <c r="O182" s="40">
        <v>3</v>
      </c>
      <c r="P182" s="41">
        <v>2</v>
      </c>
      <c r="Q182" s="40">
        <v>3</v>
      </c>
      <c r="R182" s="40">
        <v>5</v>
      </c>
      <c r="S182" s="40">
        <v>2</v>
      </c>
      <c r="T182" s="40">
        <v>6</v>
      </c>
      <c r="U182" s="41">
        <v>4</v>
      </c>
      <c r="V182" s="40">
        <v>8</v>
      </c>
      <c r="W182" s="40">
        <v>7</v>
      </c>
      <c r="X182" s="40">
        <v>1</v>
      </c>
      <c r="Y182" s="41">
        <v>1</v>
      </c>
      <c r="Z182" s="40" t="s">
        <v>45</v>
      </c>
      <c r="AA182" s="40" t="s">
        <v>45</v>
      </c>
      <c r="AB182" s="40" t="s">
        <v>45</v>
      </c>
      <c r="AC182" s="40">
        <v>3</v>
      </c>
      <c r="AD182" s="40">
        <v>1</v>
      </c>
      <c r="AE182" s="40" t="s">
        <v>45</v>
      </c>
      <c r="AF182" s="40" t="s">
        <v>45</v>
      </c>
      <c r="AG182" s="41" t="s">
        <v>45</v>
      </c>
      <c r="AH182" s="40">
        <v>1</v>
      </c>
      <c r="AI182" s="40">
        <v>1</v>
      </c>
      <c r="AJ182" s="41">
        <v>1</v>
      </c>
      <c r="AK182" s="43" t="s">
        <v>558</v>
      </c>
      <c r="AL182" s="43" t="s">
        <v>103</v>
      </c>
      <c r="AM182" s="44">
        <f t="shared" si="18"/>
        <v>-1.6286667771113144</v>
      </c>
      <c r="AN182" s="44">
        <f t="shared" si="19"/>
        <v>-0.58333389542435155</v>
      </c>
      <c r="AO182" s="45">
        <f t="shared" si="20"/>
        <v>0</v>
      </c>
      <c r="AP182" s="46">
        <f t="shared" si="21"/>
        <v>0</v>
      </c>
      <c r="AQ182" s="44">
        <f>($AM$3*AM182+$AN$3*AN182+$AO$3*AO182+$AP$3*AP182)+$I$3*VLOOKUP(I182,COND!$A$2:$E$7,4,FALSE)+$J$3*VLOOKUP(J182,COND!$A$2:$C$7,2,FALSE)+$K$3*VLOOKUP(K182,COND!$A$2:$C$7,3,FALSE)+IF(AND($B$2&gt;0,$E182&lt;20),$B$2*25,0)</f>
        <v>42.837126577196649</v>
      </c>
      <c r="AR182" s="47">
        <f t="shared" si="25"/>
        <v>-5.566697943106249E-2</v>
      </c>
      <c r="AS182" s="45" t="str">
        <f t="shared" si="22"/>
        <v>3B</v>
      </c>
      <c r="AT182" s="45">
        <v>900</v>
      </c>
      <c r="AU182" s="45">
        <v>178</v>
      </c>
      <c r="AV182" s="45"/>
      <c r="AW182" s="45" t="str">
        <f t="shared" si="23"/>
        <v>Unlikely</v>
      </c>
      <c r="AX182" s="45"/>
      <c r="AY182" s="45">
        <f>INDEX(Table5[[#All],[Ovr]],MATCH(Batters[[#This Row],[PID]],Table5[[#All],[PID]],0))</f>
        <v>395</v>
      </c>
      <c r="AZ182" s="45" t="str">
        <f>INDEX(Table5[[#All],[Rnd]],MATCH(Batters[[#This Row],[PID]],Table5[[#All],[PID]],0))</f>
        <v>12</v>
      </c>
      <c r="BA182" s="45">
        <f>INDEX(Table5[[#All],[Pick]],MATCH(Batters[[#This Row],[PID]],Table5[[#All],[PID]],0))</f>
        <v>30</v>
      </c>
      <c r="BB182" s="45" t="str">
        <f>INDEX(Table5[[#All],[Team]],MATCH(Batters[[#This Row],[PID]],Table5[[#All],[PID]],0))</f>
        <v>Toyama Wind Dancers</v>
      </c>
    </row>
    <row r="183" spans="1:54" ht="15" customHeight="1" x14ac:dyDescent="0.3">
      <c r="A183" s="40">
        <v>12781</v>
      </c>
      <c r="B183" s="40" t="s">
        <v>74</v>
      </c>
      <c r="C183" s="40" t="s">
        <v>1303</v>
      </c>
      <c r="D183" s="40" t="s">
        <v>1304</v>
      </c>
      <c r="E183" s="40">
        <v>17</v>
      </c>
      <c r="F183" s="40" t="s">
        <v>62</v>
      </c>
      <c r="G183" s="40" t="s">
        <v>42</v>
      </c>
      <c r="H183" s="41" t="s">
        <v>561</v>
      </c>
      <c r="I183" s="64" t="s">
        <v>43</v>
      </c>
      <c r="J183" s="65" t="s">
        <v>43</v>
      </c>
      <c r="K183" s="66" t="s">
        <v>47</v>
      </c>
      <c r="L183" s="40">
        <v>1</v>
      </c>
      <c r="M183" s="40">
        <v>3</v>
      </c>
      <c r="N183" s="40">
        <v>2</v>
      </c>
      <c r="O183" s="40">
        <v>3</v>
      </c>
      <c r="P183" s="41">
        <v>1</v>
      </c>
      <c r="Q183" s="40">
        <v>3</v>
      </c>
      <c r="R183" s="40">
        <v>4</v>
      </c>
      <c r="S183" s="40">
        <v>3</v>
      </c>
      <c r="T183" s="40">
        <v>5</v>
      </c>
      <c r="U183" s="41">
        <v>3</v>
      </c>
      <c r="V183" s="40">
        <v>5</v>
      </c>
      <c r="W183" s="40">
        <v>5</v>
      </c>
      <c r="X183" s="40">
        <v>1</v>
      </c>
      <c r="Y183" s="41">
        <v>1</v>
      </c>
      <c r="Z183" s="40" t="s">
        <v>45</v>
      </c>
      <c r="AA183" s="40" t="s">
        <v>45</v>
      </c>
      <c r="AB183" s="40">
        <v>2</v>
      </c>
      <c r="AC183" s="40" t="s">
        <v>45</v>
      </c>
      <c r="AD183" s="40" t="s">
        <v>45</v>
      </c>
      <c r="AE183" s="40" t="s">
        <v>45</v>
      </c>
      <c r="AF183" s="40" t="s">
        <v>45</v>
      </c>
      <c r="AG183" s="41" t="s">
        <v>45</v>
      </c>
      <c r="AH183" s="40">
        <v>4</v>
      </c>
      <c r="AI183" s="40">
        <v>5</v>
      </c>
      <c r="AJ183" s="41">
        <v>4</v>
      </c>
      <c r="AK183" s="43" t="s">
        <v>558</v>
      </c>
      <c r="AL183" s="43" t="s">
        <v>103</v>
      </c>
      <c r="AM183" s="44">
        <f t="shared" si="18"/>
        <v>-1.7197429965471014</v>
      </c>
      <c r="AN183" s="44">
        <f t="shared" si="19"/>
        <v>-0.6810581708458181</v>
      </c>
      <c r="AO183" s="45">
        <f t="shared" si="20"/>
        <v>0</v>
      </c>
      <c r="AP183" s="46">
        <f t="shared" si="21"/>
        <v>0</v>
      </c>
      <c r="AQ183" s="44">
        <f>($AM$3*AM183+$AN$3*AN183+$AO$3*AO183+$AP$3*AP183)+$I$3*VLOOKUP(I183,COND!$A$2:$E$7,4,FALSE)+$J$3*VLOOKUP(J183,COND!$A$2:$C$7,2,FALSE)+$K$3*VLOOKUP(K183,COND!$A$2:$C$7,3,FALSE)+IF(AND($B$2&gt;0,$E183&lt;20),$B$2*25,0)</f>
        <v>41.955327650195471</v>
      </c>
      <c r="AR183" s="47">
        <f t="shared" si="25"/>
        <v>-0.18438150189431138</v>
      </c>
      <c r="AS183" s="45" t="str">
        <f t="shared" si="22"/>
        <v>2B</v>
      </c>
      <c r="AT183" s="45">
        <v>900</v>
      </c>
      <c r="AU183" s="45">
        <v>179</v>
      </c>
      <c r="AV183" s="45"/>
      <c r="AW183" s="45" t="str">
        <f t="shared" si="23"/>
        <v>Unlikely</v>
      </c>
      <c r="AX183" s="45"/>
      <c r="AY183" s="45">
        <f>INDEX(Table5[[#All],[Ovr]],MATCH(Batters[[#This Row],[PID]],Table5[[#All],[PID]],0))</f>
        <v>476</v>
      </c>
      <c r="AZ183" s="45" t="str">
        <f>INDEX(Table5[[#All],[Rnd]],MATCH(Batters[[#This Row],[PID]],Table5[[#All],[PID]],0))</f>
        <v>15</v>
      </c>
      <c r="BA183" s="45">
        <f>INDEX(Table5[[#All],[Pick]],MATCH(Batters[[#This Row],[PID]],Table5[[#All],[PID]],0))</f>
        <v>9</v>
      </c>
      <c r="BB183" s="45" t="str">
        <f>INDEX(Table5[[#All],[Team]],MATCH(Batters[[#This Row],[PID]],Table5[[#All],[PID]],0))</f>
        <v>Gloucester Fishermen</v>
      </c>
    </row>
    <row r="184" spans="1:54" ht="15" customHeight="1" x14ac:dyDescent="0.3">
      <c r="A184" s="40">
        <v>9861</v>
      </c>
      <c r="B184" s="40" t="s">
        <v>87</v>
      </c>
      <c r="C184" s="40" t="s">
        <v>134</v>
      </c>
      <c r="D184" s="40" t="s">
        <v>1311</v>
      </c>
      <c r="E184" s="40">
        <v>18</v>
      </c>
      <c r="F184" s="40" t="s">
        <v>53</v>
      </c>
      <c r="G184" s="40" t="s">
        <v>53</v>
      </c>
      <c r="H184" s="41" t="s">
        <v>561</v>
      </c>
      <c r="I184" s="64" t="s">
        <v>43</v>
      </c>
      <c r="J184" s="65" t="s">
        <v>43</v>
      </c>
      <c r="K184" s="66" t="s">
        <v>47</v>
      </c>
      <c r="L184" s="40">
        <v>1</v>
      </c>
      <c r="M184" s="40">
        <v>2</v>
      </c>
      <c r="N184" s="40">
        <v>2</v>
      </c>
      <c r="O184" s="40">
        <v>1</v>
      </c>
      <c r="P184" s="41">
        <v>1</v>
      </c>
      <c r="Q184" s="40">
        <v>4</v>
      </c>
      <c r="R184" s="40">
        <v>2</v>
      </c>
      <c r="S184" s="40">
        <v>2</v>
      </c>
      <c r="T184" s="40">
        <v>3</v>
      </c>
      <c r="U184" s="41">
        <v>4</v>
      </c>
      <c r="V184" s="40">
        <v>3</v>
      </c>
      <c r="W184" s="40">
        <v>2</v>
      </c>
      <c r="X184" s="40">
        <v>1</v>
      </c>
      <c r="Y184" s="41">
        <v>1</v>
      </c>
      <c r="Z184" s="40" t="s">
        <v>45</v>
      </c>
      <c r="AA184" s="40">
        <v>1</v>
      </c>
      <c r="AB184" s="40" t="s">
        <v>45</v>
      </c>
      <c r="AC184" s="40" t="s">
        <v>45</v>
      </c>
      <c r="AD184" s="40" t="s">
        <v>45</v>
      </c>
      <c r="AE184" s="40" t="s">
        <v>45</v>
      </c>
      <c r="AF184" s="40" t="s">
        <v>45</v>
      </c>
      <c r="AG184" s="41" t="s">
        <v>45</v>
      </c>
      <c r="AH184" s="40">
        <v>1</v>
      </c>
      <c r="AI184" s="40">
        <v>1</v>
      </c>
      <c r="AJ184" s="41">
        <v>3</v>
      </c>
      <c r="AK184" s="43" t="s">
        <v>583</v>
      </c>
      <c r="AL184" s="43" t="s">
        <v>103</v>
      </c>
      <c r="AM184" s="44">
        <f t="shared" si="18"/>
        <v>-1.9502219761849671</v>
      </c>
      <c r="AN184" s="44">
        <f t="shared" si="19"/>
        <v>-0.68308634810653046</v>
      </c>
      <c r="AO184" s="45">
        <f t="shared" si="20"/>
        <v>0</v>
      </c>
      <c r="AP184" s="46">
        <f t="shared" si="21"/>
        <v>0</v>
      </c>
      <c r="AQ184" s="44">
        <f>($AM$3*AM184+$AN$3*AN184+$AO$3*AO184+$AP$3*AP184)+$I$3*VLOOKUP(I184,COND!$A$2:$E$7,4,FALSE)+$J$3*VLOOKUP(J184,COND!$A$2:$C$7,2,FALSE)+$K$3*VLOOKUP(K184,COND!$A$2:$C$7,3,FALSE)+IF(AND($B$2&gt;0,$E184&lt;20),$B$2*25,0)</f>
        <v>41.907941625103135</v>
      </c>
      <c r="AR184" s="47">
        <f t="shared" si="25"/>
        <v>-0.19129835040073226</v>
      </c>
      <c r="AS184" s="45" t="str">
        <f t="shared" si="22"/>
        <v>1B</v>
      </c>
      <c r="AT184" s="45">
        <v>900</v>
      </c>
      <c r="AU184" s="45">
        <v>180</v>
      </c>
      <c r="AV184" s="45"/>
      <c r="AW184" s="45" t="str">
        <f t="shared" si="23"/>
        <v>Unlikely</v>
      </c>
      <c r="AX184" s="45"/>
      <c r="AY184" s="45">
        <f>INDEX(Table5[[#All],[Ovr]],MATCH(Batters[[#This Row],[PID]],Table5[[#All],[PID]],0))</f>
        <v>669</v>
      </c>
      <c r="AZ184" s="45" t="str">
        <f>INDEX(Table5[[#All],[Rnd]],MATCH(Batters[[#This Row],[PID]],Table5[[#All],[PID]],0))</f>
        <v>20</v>
      </c>
      <c r="BA184" s="45">
        <f>INDEX(Table5[[#All],[Pick]],MATCH(Batters[[#This Row],[PID]],Table5[[#All],[PID]],0))</f>
        <v>32</v>
      </c>
      <c r="BB184" s="45" t="str">
        <f>INDEX(Table5[[#All],[Team]],MATCH(Batters[[#This Row],[PID]],Table5[[#All],[PID]],0))</f>
        <v>Florida Farstriders</v>
      </c>
    </row>
    <row r="185" spans="1:54" ht="15" customHeight="1" x14ac:dyDescent="0.3">
      <c r="A185" s="40">
        <v>21068</v>
      </c>
      <c r="B185" s="40" t="s">
        <v>71</v>
      </c>
      <c r="C185" s="40" t="s">
        <v>324</v>
      </c>
      <c r="D185" s="40" t="s">
        <v>1144</v>
      </c>
      <c r="E185" s="40">
        <v>17</v>
      </c>
      <c r="F185" s="40" t="s">
        <v>53</v>
      </c>
      <c r="G185" s="40" t="s">
        <v>42</v>
      </c>
      <c r="H185" s="41" t="s">
        <v>552</v>
      </c>
      <c r="I185" s="64" t="s">
        <v>43</v>
      </c>
      <c r="J185" s="65" t="s">
        <v>47</v>
      </c>
      <c r="K185" s="66" t="s">
        <v>43</v>
      </c>
      <c r="L185" s="40">
        <v>1</v>
      </c>
      <c r="M185" s="40">
        <v>2</v>
      </c>
      <c r="N185" s="40">
        <v>2</v>
      </c>
      <c r="O185" s="40">
        <v>3</v>
      </c>
      <c r="P185" s="41">
        <v>1</v>
      </c>
      <c r="Q185" s="40">
        <v>3</v>
      </c>
      <c r="R185" s="40">
        <v>4</v>
      </c>
      <c r="S185" s="40">
        <v>2</v>
      </c>
      <c r="T185" s="40">
        <v>5</v>
      </c>
      <c r="U185" s="41">
        <v>4</v>
      </c>
      <c r="V185" s="40">
        <v>5</v>
      </c>
      <c r="W185" s="40">
        <v>4</v>
      </c>
      <c r="X185" s="40">
        <v>1</v>
      </c>
      <c r="Y185" s="41">
        <v>1</v>
      </c>
      <c r="Z185" s="40" t="s">
        <v>45</v>
      </c>
      <c r="AA185" s="40" t="s">
        <v>45</v>
      </c>
      <c r="AB185" s="40">
        <v>3</v>
      </c>
      <c r="AC185" s="40" t="s">
        <v>45</v>
      </c>
      <c r="AD185" s="40">
        <v>1</v>
      </c>
      <c r="AE185" s="40" t="s">
        <v>45</v>
      </c>
      <c r="AF185" s="40" t="s">
        <v>45</v>
      </c>
      <c r="AG185" s="41" t="s">
        <v>45</v>
      </c>
      <c r="AH185" s="40">
        <v>9</v>
      </c>
      <c r="AI185" s="40">
        <v>7</v>
      </c>
      <c r="AJ185" s="41">
        <v>4</v>
      </c>
      <c r="AK185" s="43" t="s">
        <v>583</v>
      </c>
      <c r="AL185" s="43" t="s">
        <v>103</v>
      </c>
      <c r="AM185" s="44">
        <f t="shared" si="18"/>
        <v>-1.7708028761658048</v>
      </c>
      <c r="AN185" s="44">
        <f t="shared" si="19"/>
        <v>-0.72410332505263597</v>
      </c>
      <c r="AO185" s="45">
        <f t="shared" si="20"/>
        <v>2</v>
      </c>
      <c r="AP185" s="46">
        <f t="shared" si="21"/>
        <v>0</v>
      </c>
      <c r="AQ185" s="44">
        <f>($AM$3*AM185+$AN$3*AN185+$AO$3*AO185+$AP$3*AP185)+$I$3*VLOOKUP(I185,COND!$A$2:$E$7,4,FALSE)+$J$3*VLOOKUP(J185,COND!$A$2:$C$7,2,FALSE)+$K$3*VLOOKUP(K185,COND!$A$2:$C$7,3,FALSE)+IF(AND($B$2&gt;0,$E185&lt;20),$B$2*25,0)</f>
        <v>41.767013145085123</v>
      </c>
      <c r="AR185" s="47">
        <f t="shared" si="25"/>
        <v>-0.21186941422440786</v>
      </c>
      <c r="AS185" s="45" t="str">
        <f t="shared" si="22"/>
        <v>2B</v>
      </c>
      <c r="AT185" s="45">
        <v>900</v>
      </c>
      <c r="AU185" s="45">
        <v>181</v>
      </c>
      <c r="AV185" s="45"/>
      <c r="AW185" s="45" t="str">
        <f t="shared" si="23"/>
        <v>Unlikely</v>
      </c>
      <c r="AX185" s="45"/>
      <c r="AY185" s="63">
        <f>INDEX(Table5[[#All],[Ovr]],MATCH(Batters[[#This Row],[PID]],Table5[[#All],[PID]],0))</f>
        <v>634</v>
      </c>
      <c r="AZ185" s="63" t="str">
        <f>INDEX(Table5[[#All],[Rnd]],MATCH(Batters[[#This Row],[PID]],Table5[[#All],[PID]],0))</f>
        <v>19</v>
      </c>
      <c r="BA185" s="63">
        <f>INDEX(Table5[[#All],[Pick]],MATCH(Batters[[#This Row],[PID]],Table5[[#All],[PID]],0))</f>
        <v>31</v>
      </c>
      <c r="BB185" s="63" t="str">
        <f>INDEX(Table5[[#All],[Team]],MATCH(Batters[[#This Row],[PID]],Table5[[#All],[PID]],0))</f>
        <v>West Virginia Alleghenies</v>
      </c>
    </row>
    <row r="186" spans="1:54" ht="15" customHeight="1" x14ac:dyDescent="0.3">
      <c r="A186" s="40">
        <v>13379</v>
      </c>
      <c r="B186" s="40" t="s">
        <v>71</v>
      </c>
      <c r="C186" s="40" t="s">
        <v>1285</v>
      </c>
      <c r="D186" s="40" t="s">
        <v>913</v>
      </c>
      <c r="E186" s="40">
        <v>17</v>
      </c>
      <c r="F186" s="40" t="s">
        <v>42</v>
      </c>
      <c r="G186" s="40" t="s">
        <v>42</v>
      </c>
      <c r="H186" s="41" t="s">
        <v>553</v>
      </c>
      <c r="I186" s="64" t="s">
        <v>43</v>
      </c>
      <c r="J186" s="65" t="s">
        <v>43</v>
      </c>
      <c r="K186" s="66" t="s">
        <v>43</v>
      </c>
      <c r="L186" s="40">
        <v>1</v>
      </c>
      <c r="M186" s="40">
        <v>3</v>
      </c>
      <c r="N186" s="40">
        <v>2</v>
      </c>
      <c r="O186" s="40">
        <v>3</v>
      </c>
      <c r="P186" s="41">
        <v>3</v>
      </c>
      <c r="Q186" s="40">
        <v>3</v>
      </c>
      <c r="R186" s="40">
        <v>4</v>
      </c>
      <c r="S186" s="40">
        <v>2</v>
      </c>
      <c r="T186" s="40">
        <v>5</v>
      </c>
      <c r="U186" s="41">
        <v>5</v>
      </c>
      <c r="V186" s="40">
        <v>4</v>
      </c>
      <c r="W186" s="40">
        <v>3</v>
      </c>
      <c r="X186" s="40">
        <v>1</v>
      </c>
      <c r="Y186" s="41">
        <v>1</v>
      </c>
      <c r="Z186" s="40" t="s">
        <v>45</v>
      </c>
      <c r="AA186" s="40" t="s">
        <v>45</v>
      </c>
      <c r="AB186" s="40">
        <v>1</v>
      </c>
      <c r="AC186" s="40" t="s">
        <v>45</v>
      </c>
      <c r="AD186" s="40" t="s">
        <v>45</v>
      </c>
      <c r="AE186" s="40">
        <v>1</v>
      </c>
      <c r="AF186" s="40" t="s">
        <v>45</v>
      </c>
      <c r="AG186" s="41" t="s">
        <v>45</v>
      </c>
      <c r="AH186" s="40">
        <v>8</v>
      </c>
      <c r="AI186" s="40">
        <v>8</v>
      </c>
      <c r="AJ186" s="41">
        <v>9</v>
      </c>
      <c r="AK186" s="43" t="s">
        <v>568</v>
      </c>
      <c r="AL186" s="43" t="s">
        <v>103</v>
      </c>
      <c r="AM186" s="44">
        <f t="shared" si="18"/>
        <v>-1.6397103169129343</v>
      </c>
      <c r="AN186" s="44">
        <f t="shared" si="19"/>
        <v>-0.68408698523555256</v>
      </c>
      <c r="AO186" s="45">
        <f t="shared" si="20"/>
        <v>5</v>
      </c>
      <c r="AP186" s="46">
        <f t="shared" si="21"/>
        <v>0</v>
      </c>
      <c r="AQ186" s="44">
        <f>($AM$3*AM186+$AN$3*AN186+$AO$3*AO186+$AP$3*AP186)+$I$3*VLOOKUP(I186,COND!$A$2:$E$7,4,FALSE)+$J$3*VLOOKUP(J186,COND!$A$2:$C$7,2,FALSE)+$K$3*VLOOKUP(K186,COND!$A$2:$C$7,3,FALSE)+IF(AND($B$2&gt;0,$E186&lt;20),$B$2*25,0)</f>
        <v>42.46031847881541</v>
      </c>
      <c r="AR186" s="47">
        <f t="shared" si="25"/>
        <v>-0.1106689452515101</v>
      </c>
      <c r="AS186" s="45" t="str">
        <f t="shared" si="22"/>
        <v>2B</v>
      </c>
      <c r="AT186" s="45">
        <v>900</v>
      </c>
      <c r="AU186" s="45">
        <v>182</v>
      </c>
      <c r="AV186" s="45"/>
      <c r="AW186" s="45" t="str">
        <f t="shared" si="23"/>
        <v>Unlikely</v>
      </c>
      <c r="AX186" s="45"/>
      <c r="AY186" s="63">
        <f>INDEX(Table5[[#All],[Ovr]],MATCH(Batters[[#This Row],[PID]],Table5[[#All],[PID]],0))</f>
        <v>517</v>
      </c>
      <c r="AZ186" s="63" t="str">
        <f>INDEX(Table5[[#All],[Rnd]],MATCH(Batters[[#This Row],[PID]],Table5[[#All],[PID]],0))</f>
        <v>16</v>
      </c>
      <c r="BA186" s="63">
        <f>INDEX(Table5[[#All],[Pick]],MATCH(Batters[[#This Row],[PID]],Table5[[#All],[PID]],0))</f>
        <v>16</v>
      </c>
      <c r="BB186" s="63" t="str">
        <f>INDEX(Table5[[#All],[Team]],MATCH(Batters[[#This Row],[PID]],Table5[[#All],[PID]],0))</f>
        <v>Madison Malts</v>
      </c>
    </row>
    <row r="187" spans="1:54" ht="15" customHeight="1" x14ac:dyDescent="0.3">
      <c r="A187" s="40">
        <v>9734</v>
      </c>
      <c r="B187" s="40" t="s">
        <v>86</v>
      </c>
      <c r="C187" s="40" t="s">
        <v>128</v>
      </c>
      <c r="D187" s="40" t="s">
        <v>533</v>
      </c>
      <c r="E187" s="40">
        <v>18</v>
      </c>
      <c r="F187" s="40" t="s">
        <v>42</v>
      </c>
      <c r="G187" s="40" t="s">
        <v>42</v>
      </c>
      <c r="H187" s="41" t="s">
        <v>552</v>
      </c>
      <c r="I187" s="64" t="s">
        <v>47</v>
      </c>
      <c r="J187" s="65" t="s">
        <v>47</v>
      </c>
      <c r="K187" s="66" t="s">
        <v>43</v>
      </c>
      <c r="L187" s="40">
        <v>1</v>
      </c>
      <c r="M187" s="40">
        <v>2</v>
      </c>
      <c r="N187" s="40">
        <v>2</v>
      </c>
      <c r="O187" s="40">
        <v>1</v>
      </c>
      <c r="P187" s="41">
        <v>1</v>
      </c>
      <c r="Q187" s="40">
        <v>3</v>
      </c>
      <c r="R187" s="40">
        <v>4</v>
      </c>
      <c r="S187" s="40">
        <v>3</v>
      </c>
      <c r="T187" s="40">
        <v>5</v>
      </c>
      <c r="U187" s="41">
        <v>2</v>
      </c>
      <c r="V187" s="40">
        <v>3</v>
      </c>
      <c r="W187" s="40">
        <v>4</v>
      </c>
      <c r="X187" s="40">
        <v>7</v>
      </c>
      <c r="Y187" s="41">
        <v>6</v>
      </c>
      <c r="Z187" s="40" t="s">
        <v>45</v>
      </c>
      <c r="AA187" s="40" t="s">
        <v>45</v>
      </c>
      <c r="AB187" s="40" t="s">
        <v>45</v>
      </c>
      <c r="AC187" s="40" t="s">
        <v>45</v>
      </c>
      <c r="AD187" s="40" t="s">
        <v>45</v>
      </c>
      <c r="AE187" s="40" t="s">
        <v>45</v>
      </c>
      <c r="AF187" s="40" t="s">
        <v>45</v>
      </c>
      <c r="AG187" s="41" t="s">
        <v>45</v>
      </c>
      <c r="AH187" s="40">
        <v>1</v>
      </c>
      <c r="AI187" s="40">
        <v>3</v>
      </c>
      <c r="AJ187" s="41">
        <v>1</v>
      </c>
      <c r="AK187" s="43" t="s">
        <v>558</v>
      </c>
      <c r="AL187" s="43" t="s">
        <v>103</v>
      </c>
      <c r="AM187" s="44">
        <f t="shared" si="18"/>
        <v>-1.9502219761849671</v>
      </c>
      <c r="AN187" s="44">
        <f t="shared" si="19"/>
        <v>-0.72107451066290151</v>
      </c>
      <c r="AO187" s="45">
        <f t="shared" si="20"/>
        <v>0</v>
      </c>
      <c r="AP187" s="46">
        <f t="shared" si="21"/>
        <v>0</v>
      </c>
      <c r="AQ187" s="44">
        <f>($AM$3*AM187+$AN$3*AN187+$AO$3*AO187+$AP$3*AP187)+$I$3*VLOOKUP(I187,COND!$A$2:$E$7,4,FALSE)+$J$3*VLOOKUP(J187,COND!$A$2:$C$7,2,FALSE)+$K$3*VLOOKUP(K187,COND!$A$2:$C$7,3,FALSE)+IF(AND($B$2&gt;0,$E187&lt;20),$B$2*25,0)</f>
        <v>41.677083674426683</v>
      </c>
      <c r="AR187" s="47">
        <f t="shared" si="25"/>
        <v>-0.22499624905798934</v>
      </c>
      <c r="AS187" s="45" t="str">
        <f t="shared" si="22"/>
        <v>DH</v>
      </c>
      <c r="AT187" s="45">
        <v>900</v>
      </c>
      <c r="AU187" s="45">
        <v>183</v>
      </c>
      <c r="AV187" s="45"/>
      <c r="AW187" s="45" t="str">
        <f t="shared" si="23"/>
        <v>Unlikely</v>
      </c>
      <c r="AX187" s="45"/>
      <c r="AY187" s="45" t="str">
        <f>INDEX(Table5[[#All],[Ovr]],MATCH(Batters[[#This Row],[PID]],Table5[[#All],[PID]],0))</f>
        <v/>
      </c>
      <c r="AZ187" s="45" t="str">
        <f>INDEX(Table5[[#All],[Rnd]],MATCH(Batters[[#This Row],[PID]],Table5[[#All],[PID]],0))</f>
        <v/>
      </c>
      <c r="BA187" s="45" t="str">
        <f>INDEX(Table5[[#All],[Pick]],MATCH(Batters[[#This Row],[PID]],Table5[[#All],[PID]],0))</f>
        <v/>
      </c>
      <c r="BB187" s="45" t="str">
        <f>INDEX(Table5[[#All],[Team]],MATCH(Batters[[#This Row],[PID]],Table5[[#All],[PID]],0))</f>
        <v/>
      </c>
    </row>
    <row r="188" spans="1:54" ht="15" customHeight="1" x14ac:dyDescent="0.3">
      <c r="A188" s="40">
        <v>14676</v>
      </c>
      <c r="B188" s="40" t="s">
        <v>71</v>
      </c>
      <c r="C188" s="40" t="s">
        <v>134</v>
      </c>
      <c r="D188" s="40" t="s">
        <v>135</v>
      </c>
      <c r="E188" s="40">
        <v>21</v>
      </c>
      <c r="F188" s="40" t="s">
        <v>42</v>
      </c>
      <c r="G188" s="40" t="s">
        <v>42</v>
      </c>
      <c r="H188" s="41" t="s">
        <v>550</v>
      </c>
      <c r="I188" s="64" t="s">
        <v>43</v>
      </c>
      <c r="J188" s="65" t="s">
        <v>43</v>
      </c>
      <c r="K188" s="66" t="s">
        <v>43</v>
      </c>
      <c r="L188" s="40">
        <v>1</v>
      </c>
      <c r="M188" s="40">
        <v>3</v>
      </c>
      <c r="N188" s="40">
        <v>2</v>
      </c>
      <c r="O188" s="40">
        <v>3</v>
      </c>
      <c r="P188" s="41">
        <v>1</v>
      </c>
      <c r="Q188" s="40">
        <v>4</v>
      </c>
      <c r="R188" s="40">
        <v>5</v>
      </c>
      <c r="S188" s="40">
        <v>3</v>
      </c>
      <c r="T188" s="40">
        <v>5</v>
      </c>
      <c r="U188" s="41">
        <v>4</v>
      </c>
      <c r="V188" s="40">
        <v>3</v>
      </c>
      <c r="W188" s="40">
        <v>2</v>
      </c>
      <c r="X188" s="40">
        <v>1</v>
      </c>
      <c r="Y188" s="41">
        <v>1</v>
      </c>
      <c r="Z188" s="40" t="s">
        <v>45</v>
      </c>
      <c r="AA188" s="40" t="s">
        <v>45</v>
      </c>
      <c r="AB188" s="40">
        <v>3</v>
      </c>
      <c r="AC188" s="40" t="s">
        <v>45</v>
      </c>
      <c r="AD188" s="40" t="s">
        <v>45</v>
      </c>
      <c r="AE188" s="40" t="s">
        <v>45</v>
      </c>
      <c r="AF188" s="40" t="s">
        <v>45</v>
      </c>
      <c r="AG188" s="41" t="s">
        <v>45</v>
      </c>
      <c r="AH188" s="40">
        <v>9</v>
      </c>
      <c r="AI188" s="40">
        <v>8</v>
      </c>
      <c r="AJ188" s="41">
        <v>7</v>
      </c>
      <c r="AK188" s="43" t="s">
        <v>580</v>
      </c>
      <c r="AL188" s="43" t="s">
        <v>103</v>
      </c>
      <c r="AM188" s="44">
        <f t="shared" si="18"/>
        <v>-1.7197429965471014</v>
      </c>
      <c r="AN188" s="44">
        <f t="shared" si="19"/>
        <v>-0.26742611520735632</v>
      </c>
      <c r="AO188" s="45">
        <f t="shared" si="20"/>
        <v>4</v>
      </c>
      <c r="AP188" s="46">
        <f t="shared" si="21"/>
        <v>0</v>
      </c>
      <c r="AQ188" s="44">
        <f>($AM$3*AM188+$AN$3*AN188+$AO$3*AO188+$AP$3*AP188)+$I$3*VLOOKUP(I188,COND!$A$2:$E$7,4,FALSE)+$J$3*VLOOKUP(J188,COND!$A$2:$C$7,2,FALSE)+$K$3*VLOOKUP(K188,COND!$A$2:$C$7,3,FALSE)+IF(AND($B$2&gt;0,$E188&lt;20),$B$2*25,0)</f>
        <v>42.285578984523681</v>
      </c>
      <c r="AR188" s="47">
        <f t="shared" si="25"/>
        <v>-0.13617533891397296</v>
      </c>
      <c r="AS188" s="45" t="str">
        <f t="shared" si="22"/>
        <v>2B</v>
      </c>
      <c r="AT188" s="45">
        <v>900</v>
      </c>
      <c r="AU188" s="45">
        <v>184</v>
      </c>
      <c r="AV188" s="45"/>
      <c r="AW188" s="45" t="str">
        <f t="shared" si="23"/>
        <v>Unlikely</v>
      </c>
      <c r="AX188" s="45"/>
      <c r="AY188" s="45">
        <f>INDEX(Table5[[#All],[Ovr]],MATCH(Batters[[#This Row],[PID]],Table5[[#All],[PID]],0))</f>
        <v>208</v>
      </c>
      <c r="AZ188" s="45" t="str">
        <f>INDEX(Table5[[#All],[Rnd]],MATCH(Batters[[#This Row],[PID]],Table5[[#All],[PID]],0))</f>
        <v>7</v>
      </c>
      <c r="BA188" s="45">
        <f>INDEX(Table5[[#All],[Pick]],MATCH(Batters[[#This Row],[PID]],Table5[[#All],[PID]],0))</f>
        <v>7</v>
      </c>
      <c r="BB188" s="45" t="str">
        <f>INDEX(Table5[[#All],[Team]],MATCH(Batters[[#This Row],[PID]],Table5[[#All],[PID]],0))</f>
        <v>Hartford Harpoon</v>
      </c>
    </row>
    <row r="189" spans="1:54" ht="15" customHeight="1" x14ac:dyDescent="0.3">
      <c r="A189" s="40">
        <v>13424</v>
      </c>
      <c r="B189" s="40" t="s">
        <v>71</v>
      </c>
      <c r="C189" s="40" t="s">
        <v>888</v>
      </c>
      <c r="D189" s="40" t="s">
        <v>581</v>
      </c>
      <c r="E189" s="40">
        <v>17</v>
      </c>
      <c r="F189" s="40" t="s">
        <v>62</v>
      </c>
      <c r="G189" s="40" t="s">
        <v>42</v>
      </c>
      <c r="H189" s="41" t="s">
        <v>553</v>
      </c>
      <c r="I189" s="64" t="s">
        <v>43</v>
      </c>
      <c r="J189" s="65" t="s">
        <v>43</v>
      </c>
      <c r="K189" s="66" t="s">
        <v>43</v>
      </c>
      <c r="L189" s="40">
        <v>1</v>
      </c>
      <c r="M189" s="40">
        <v>3</v>
      </c>
      <c r="N189" s="40">
        <v>2</v>
      </c>
      <c r="O189" s="40">
        <v>3</v>
      </c>
      <c r="P189" s="41">
        <v>1</v>
      </c>
      <c r="Q189" s="40">
        <v>3</v>
      </c>
      <c r="R189" s="40">
        <v>4</v>
      </c>
      <c r="S189" s="40">
        <v>3</v>
      </c>
      <c r="T189" s="40">
        <v>5</v>
      </c>
      <c r="U189" s="41">
        <v>3</v>
      </c>
      <c r="V189" s="40">
        <v>5</v>
      </c>
      <c r="W189" s="40">
        <v>3</v>
      </c>
      <c r="X189" s="40">
        <v>1</v>
      </c>
      <c r="Y189" s="41">
        <v>1</v>
      </c>
      <c r="Z189" s="40" t="s">
        <v>45</v>
      </c>
      <c r="AA189" s="40" t="s">
        <v>45</v>
      </c>
      <c r="AB189" s="40">
        <v>3</v>
      </c>
      <c r="AC189" s="40" t="s">
        <v>45</v>
      </c>
      <c r="AD189" s="40" t="s">
        <v>45</v>
      </c>
      <c r="AE189" s="40" t="s">
        <v>45</v>
      </c>
      <c r="AF189" s="40" t="s">
        <v>45</v>
      </c>
      <c r="AG189" s="41" t="s">
        <v>45</v>
      </c>
      <c r="AH189" s="40">
        <v>7</v>
      </c>
      <c r="AI189" s="40">
        <v>5</v>
      </c>
      <c r="AJ189" s="41">
        <v>7</v>
      </c>
      <c r="AK189" s="43" t="s">
        <v>511</v>
      </c>
      <c r="AL189" s="43" t="s">
        <v>103</v>
      </c>
      <c r="AM189" s="44">
        <f t="shared" si="18"/>
        <v>-1.7197429965471014</v>
      </c>
      <c r="AN189" s="44">
        <f t="shared" si="19"/>
        <v>-0.6810581708458181</v>
      </c>
      <c r="AO189" s="45">
        <f t="shared" si="20"/>
        <v>1</v>
      </c>
      <c r="AP189" s="46">
        <f t="shared" si="21"/>
        <v>0</v>
      </c>
      <c r="AQ189" s="44">
        <f>($AM$3*AM189+$AN$3*AN189+$AO$3*AO189+$AP$3*AP189)+$I$3*VLOOKUP(I189,COND!$A$2:$E$7,4,FALSE)+$J$3*VLOOKUP(J189,COND!$A$2:$C$7,2,FALSE)+$K$3*VLOOKUP(K189,COND!$A$2:$C$7,3,FALSE)+IF(AND($B$2&gt;0,$E189&lt;20),$B$2*25,0)</f>
        <v>41.821994316862138</v>
      </c>
      <c r="AR189" s="47">
        <f t="shared" si="25"/>
        <v>-0.20384391651393158</v>
      </c>
      <c r="AS189" s="45" t="str">
        <f t="shared" si="22"/>
        <v>2B</v>
      </c>
      <c r="AT189" s="45">
        <v>900</v>
      </c>
      <c r="AU189" s="45">
        <v>185</v>
      </c>
      <c r="AV189" s="45"/>
      <c r="AW189" s="45" t="str">
        <f t="shared" si="23"/>
        <v>Unlikely</v>
      </c>
      <c r="AX189" s="45"/>
      <c r="AY189" s="45" t="str">
        <f>INDEX(Table5[[#All],[Ovr]],MATCH(Batters[[#This Row],[PID]],Table5[[#All],[PID]],0))</f>
        <v/>
      </c>
      <c r="AZ189" s="45" t="str">
        <f>INDEX(Table5[[#All],[Rnd]],MATCH(Batters[[#This Row],[PID]],Table5[[#All],[PID]],0))</f>
        <v/>
      </c>
      <c r="BA189" s="45" t="str">
        <f>INDEX(Table5[[#All],[Pick]],MATCH(Batters[[#This Row],[PID]],Table5[[#All],[PID]],0))</f>
        <v/>
      </c>
      <c r="BB189" s="45" t="str">
        <f>INDEX(Table5[[#All],[Team]],MATCH(Batters[[#This Row],[PID]],Table5[[#All],[PID]],0))</f>
        <v/>
      </c>
    </row>
    <row r="190" spans="1:54" ht="15" customHeight="1" x14ac:dyDescent="0.3">
      <c r="A190" s="40">
        <v>9246</v>
      </c>
      <c r="B190" s="40" t="s">
        <v>72</v>
      </c>
      <c r="C190" s="40" t="s">
        <v>158</v>
      </c>
      <c r="D190" s="40" t="s">
        <v>1228</v>
      </c>
      <c r="E190" s="40">
        <v>18</v>
      </c>
      <c r="F190" s="40" t="s">
        <v>62</v>
      </c>
      <c r="G190" s="40" t="s">
        <v>42</v>
      </c>
      <c r="H190" s="41" t="s">
        <v>552</v>
      </c>
      <c r="I190" s="64" t="s">
        <v>47</v>
      </c>
      <c r="J190" s="65" t="s">
        <v>47</v>
      </c>
      <c r="K190" s="66" t="s">
        <v>43</v>
      </c>
      <c r="L190" s="40">
        <v>1</v>
      </c>
      <c r="M190" s="40">
        <v>3</v>
      </c>
      <c r="N190" s="40">
        <v>2</v>
      </c>
      <c r="O190" s="40">
        <v>2</v>
      </c>
      <c r="P190" s="41">
        <v>1</v>
      </c>
      <c r="Q190" s="40">
        <v>2</v>
      </c>
      <c r="R190" s="40">
        <v>6</v>
      </c>
      <c r="S190" s="40">
        <v>4</v>
      </c>
      <c r="T190" s="40">
        <v>6</v>
      </c>
      <c r="U190" s="41">
        <v>2</v>
      </c>
      <c r="V190" s="40">
        <v>6</v>
      </c>
      <c r="W190" s="40">
        <v>7</v>
      </c>
      <c r="X190" s="40">
        <v>1</v>
      </c>
      <c r="Y190" s="41">
        <v>1</v>
      </c>
      <c r="Z190" s="40" t="s">
        <v>45</v>
      </c>
      <c r="AA190" s="40" t="s">
        <v>45</v>
      </c>
      <c r="AB190" s="40" t="s">
        <v>45</v>
      </c>
      <c r="AC190" s="40" t="s">
        <v>45</v>
      </c>
      <c r="AD190" s="40">
        <v>2</v>
      </c>
      <c r="AE190" s="40" t="s">
        <v>45</v>
      </c>
      <c r="AF190" s="40" t="s">
        <v>45</v>
      </c>
      <c r="AG190" s="41" t="s">
        <v>45</v>
      </c>
      <c r="AH190" s="40">
        <v>1</v>
      </c>
      <c r="AI190" s="40">
        <v>5</v>
      </c>
      <c r="AJ190" s="41">
        <v>4</v>
      </c>
      <c r="AK190" s="43" t="s">
        <v>558</v>
      </c>
      <c r="AL190" s="43" t="s">
        <v>103</v>
      </c>
      <c r="AM190" s="44">
        <f t="shared" si="18"/>
        <v>-1.8094525465566824</v>
      </c>
      <c r="AN190" s="44">
        <f t="shared" si="19"/>
        <v>-0.76873954359468677</v>
      </c>
      <c r="AO190" s="45">
        <f t="shared" si="20"/>
        <v>0</v>
      </c>
      <c r="AP190" s="46">
        <f t="shared" si="21"/>
        <v>0</v>
      </c>
      <c r="AQ190" s="44">
        <f>($AM$3*AM190+$AN$3*AN190+$AO$3*AO190+$AP$3*AP190)+$I$3*VLOOKUP(I190,COND!$A$2:$E$7,4,FALSE)+$J$3*VLOOKUP(J190,COND!$A$2:$C$7,2,FALSE)+$K$3*VLOOKUP(K190,COND!$A$2:$C$7,3,FALSE)+IF(AND($B$2&gt;0,$E190&lt;20),$B$2*25,0)</f>
        <v>41.119180222208087</v>
      </c>
      <c r="AR190" s="47">
        <f t="shared" si="25"/>
        <v>-0.30643236134395802</v>
      </c>
      <c r="AS190" s="45" t="str">
        <f t="shared" si="22"/>
        <v>SS</v>
      </c>
      <c r="AT190" s="45">
        <v>900</v>
      </c>
      <c r="AU190" s="45">
        <v>186</v>
      </c>
      <c r="AV190" s="45"/>
      <c r="AW190" s="45" t="str">
        <f t="shared" si="23"/>
        <v>Unlikely</v>
      </c>
      <c r="AX190" s="45"/>
      <c r="AY190" s="45">
        <f>INDEX(Table5[[#All],[Ovr]],MATCH(Batters[[#This Row],[PID]],Table5[[#All],[PID]],0))</f>
        <v>339</v>
      </c>
      <c r="AZ190" s="45" t="str">
        <f>INDEX(Table5[[#All],[Rnd]],MATCH(Batters[[#This Row],[PID]],Table5[[#All],[PID]],0))</f>
        <v>11</v>
      </c>
      <c r="BA190" s="45">
        <f>INDEX(Table5[[#All],[Pick]],MATCH(Batters[[#This Row],[PID]],Table5[[#All],[PID]],0))</f>
        <v>8</v>
      </c>
      <c r="BB190" s="45" t="str">
        <f>INDEX(Table5[[#All],[Team]],MATCH(Batters[[#This Row],[PID]],Table5[[#All],[PID]],0))</f>
        <v>Gloucester Fishermen</v>
      </c>
    </row>
    <row r="191" spans="1:54" ht="15" customHeight="1" x14ac:dyDescent="0.3">
      <c r="A191" s="40">
        <v>15523</v>
      </c>
      <c r="B191" s="40" t="s">
        <v>72</v>
      </c>
      <c r="C191" s="40" t="s">
        <v>599</v>
      </c>
      <c r="D191" s="40" t="s">
        <v>612</v>
      </c>
      <c r="E191" s="40">
        <v>21</v>
      </c>
      <c r="F191" s="40" t="s">
        <v>42</v>
      </c>
      <c r="G191" s="40" t="s">
        <v>42</v>
      </c>
      <c r="H191" s="41" t="s">
        <v>550</v>
      </c>
      <c r="I191" s="64" t="s">
        <v>43</v>
      </c>
      <c r="J191" s="65" t="s">
        <v>43</v>
      </c>
      <c r="K191" s="66" t="s">
        <v>43</v>
      </c>
      <c r="L191" s="40">
        <v>2</v>
      </c>
      <c r="M191" s="40">
        <v>4</v>
      </c>
      <c r="N191" s="40">
        <v>2</v>
      </c>
      <c r="O191" s="40">
        <v>3</v>
      </c>
      <c r="P191" s="41">
        <v>2</v>
      </c>
      <c r="Q191" s="40">
        <v>4</v>
      </c>
      <c r="R191" s="40">
        <v>4</v>
      </c>
      <c r="S191" s="40">
        <v>3</v>
      </c>
      <c r="T191" s="40">
        <v>5</v>
      </c>
      <c r="U191" s="41">
        <v>3</v>
      </c>
      <c r="V191" s="40">
        <v>9</v>
      </c>
      <c r="W191" s="40">
        <v>7</v>
      </c>
      <c r="X191" s="40">
        <v>1</v>
      </c>
      <c r="Y191" s="41">
        <v>1</v>
      </c>
      <c r="Z191" s="40" t="s">
        <v>45</v>
      </c>
      <c r="AA191" s="40" t="s">
        <v>45</v>
      </c>
      <c r="AB191" s="40" t="s">
        <v>45</v>
      </c>
      <c r="AC191" s="40" t="s">
        <v>45</v>
      </c>
      <c r="AD191" s="40">
        <v>6</v>
      </c>
      <c r="AE191" s="40" t="s">
        <v>45</v>
      </c>
      <c r="AF191" s="40" t="s">
        <v>45</v>
      </c>
      <c r="AG191" s="41" t="s">
        <v>45</v>
      </c>
      <c r="AH191" s="40">
        <v>6</v>
      </c>
      <c r="AI191" s="40">
        <v>7</v>
      </c>
      <c r="AJ191" s="41">
        <v>7</v>
      </c>
      <c r="AK191" s="43" t="s">
        <v>570</v>
      </c>
      <c r="AL191" s="43" t="s">
        <v>103</v>
      </c>
      <c r="AM191" s="44">
        <f t="shared" si="18"/>
        <v>-1.3061109409086398</v>
      </c>
      <c r="AN191" s="44">
        <f t="shared" si="19"/>
        <v>-0.35850233464314329</v>
      </c>
      <c r="AO191" s="45">
        <f t="shared" si="20"/>
        <v>1</v>
      </c>
      <c r="AP191" s="46">
        <f t="shared" si="21"/>
        <v>1</v>
      </c>
      <c r="AQ191" s="44">
        <f>($AM$3*AM191+$AN$3*AN191+$AO$3*AO191+$AP$3*AP191)+$I$3*VLOOKUP(I191,COND!$A$2:$E$7,4,FALSE)+$J$3*VLOOKUP(J191,COND!$A$2:$C$7,2,FALSE)+$K$3*VLOOKUP(K191,COND!$A$2:$C$7,3,FALSE)+IF(AND($B$2&gt;0,$E191&lt;20),$B$2*25,0)</f>
        <v>41.734027556858081</v>
      </c>
      <c r="AR191" s="47">
        <f t="shared" si="25"/>
        <v>-0.21668425818350856</v>
      </c>
      <c r="AS191" s="45" t="str">
        <f t="shared" si="22"/>
        <v>SS</v>
      </c>
      <c r="AT191" s="45">
        <v>900</v>
      </c>
      <c r="AU191" s="45">
        <v>187</v>
      </c>
      <c r="AV191" s="45"/>
      <c r="AW191" s="45" t="str">
        <f t="shared" si="23"/>
        <v>Unlikely</v>
      </c>
      <c r="AX191" s="45"/>
      <c r="AY191" s="63">
        <f>INDEX(Table5[[#All],[Ovr]],MATCH(Batters[[#This Row],[PID]],Table5[[#All],[PID]],0))</f>
        <v>232</v>
      </c>
      <c r="AZ191" s="63" t="str">
        <f>INDEX(Table5[[#All],[Rnd]],MATCH(Batters[[#This Row],[PID]],Table5[[#All],[PID]],0))</f>
        <v>7</v>
      </c>
      <c r="BA191" s="63">
        <f>INDEX(Table5[[#All],[Pick]],MATCH(Batters[[#This Row],[PID]],Table5[[#All],[PID]],0))</f>
        <v>31</v>
      </c>
      <c r="BB191" s="63" t="str">
        <f>INDEX(Table5[[#All],[Team]],MATCH(Batters[[#This Row],[PID]],Table5[[#All],[PID]],0))</f>
        <v>Duluth Warriors</v>
      </c>
    </row>
    <row r="192" spans="1:54" ht="15" customHeight="1" x14ac:dyDescent="0.3">
      <c r="A192" s="40">
        <v>20286</v>
      </c>
      <c r="B192" s="40" t="s">
        <v>74</v>
      </c>
      <c r="C192" s="40" t="s">
        <v>1113</v>
      </c>
      <c r="D192" s="40" t="s">
        <v>755</v>
      </c>
      <c r="E192" s="40">
        <v>21</v>
      </c>
      <c r="F192" s="40" t="s">
        <v>42</v>
      </c>
      <c r="G192" s="40" t="s">
        <v>53</v>
      </c>
      <c r="H192" s="41" t="s">
        <v>550</v>
      </c>
      <c r="I192" s="64" t="s">
        <v>43</v>
      </c>
      <c r="J192" s="65" t="s">
        <v>43</v>
      </c>
      <c r="K192" s="66" t="s">
        <v>43</v>
      </c>
      <c r="L192" s="40">
        <v>2</v>
      </c>
      <c r="M192" s="40">
        <v>4</v>
      </c>
      <c r="N192" s="40">
        <v>3</v>
      </c>
      <c r="O192" s="40">
        <v>5</v>
      </c>
      <c r="P192" s="41">
        <v>2</v>
      </c>
      <c r="Q192" s="40">
        <v>4</v>
      </c>
      <c r="R192" s="40">
        <v>4</v>
      </c>
      <c r="S192" s="40">
        <v>4</v>
      </c>
      <c r="T192" s="40">
        <v>5</v>
      </c>
      <c r="U192" s="41">
        <v>3</v>
      </c>
      <c r="V192" s="40">
        <v>2</v>
      </c>
      <c r="W192" s="40">
        <v>4</v>
      </c>
      <c r="X192" s="40">
        <v>1</v>
      </c>
      <c r="Y192" s="41">
        <v>1</v>
      </c>
      <c r="Z192" s="40" t="s">
        <v>45</v>
      </c>
      <c r="AA192" s="40" t="s">
        <v>45</v>
      </c>
      <c r="AB192" s="40" t="s">
        <v>45</v>
      </c>
      <c r="AC192" s="40" t="s">
        <v>45</v>
      </c>
      <c r="AD192" s="40" t="s">
        <v>45</v>
      </c>
      <c r="AE192" s="40">
        <v>2</v>
      </c>
      <c r="AF192" s="40">
        <v>4</v>
      </c>
      <c r="AG192" s="41">
        <v>2</v>
      </c>
      <c r="AH192" s="40">
        <v>5</v>
      </c>
      <c r="AI192" s="40">
        <v>5</v>
      </c>
      <c r="AJ192" s="41">
        <v>5</v>
      </c>
      <c r="AK192" s="43" t="s">
        <v>563</v>
      </c>
      <c r="AL192" s="43" t="s">
        <v>103</v>
      </c>
      <c r="AM192" s="44">
        <f t="shared" si="18"/>
        <v>-1.0436303468655763</v>
      </c>
      <c r="AN192" s="44">
        <f t="shared" si="19"/>
        <v>-0.27544084061924184</v>
      </c>
      <c r="AO192" s="45">
        <f t="shared" si="20"/>
        <v>0</v>
      </c>
      <c r="AP192" s="46">
        <f t="shared" si="21"/>
        <v>0</v>
      </c>
      <c r="AQ192" s="44">
        <f>($AM$3*AM192+$AN$3*AN192+$AO$3*AO192+$AP$3*AP192)+$I$3*VLOOKUP(I192,COND!$A$2:$E$7,4,FALSE)+$J$3*VLOOKUP(J192,COND!$A$2:$C$7,2,FALSE)+$K$3*VLOOKUP(K192,COND!$A$2:$C$7,3,FALSE)+IF(AND($B$2&gt;0,$E192&lt;20),$B$2*25,0)</f>
        <v>41.590346877882538</v>
      </c>
      <c r="AR192" s="47">
        <f t="shared" si="25"/>
        <v>-0.23765705528638775</v>
      </c>
      <c r="AS192" s="45" t="str">
        <f t="shared" si="22"/>
        <v>CF</v>
      </c>
      <c r="AT192" s="45">
        <v>900</v>
      </c>
      <c r="AU192" s="45">
        <v>188</v>
      </c>
      <c r="AV192" s="45"/>
      <c r="AW192" s="45" t="str">
        <f t="shared" si="23"/>
        <v>Unlikely</v>
      </c>
      <c r="AX192" s="45"/>
      <c r="AY192" s="45">
        <f>INDEX(Table5[[#All],[Ovr]],MATCH(Batters[[#This Row],[PID]],Table5[[#All],[PID]],0))</f>
        <v>332</v>
      </c>
      <c r="AZ192" s="45" t="str">
        <f>INDEX(Table5[[#All],[Rnd]],MATCH(Batters[[#This Row],[PID]],Table5[[#All],[PID]],0))</f>
        <v>11</v>
      </c>
      <c r="BA192" s="45">
        <f>INDEX(Table5[[#All],[Pick]],MATCH(Batters[[#This Row],[PID]],Table5[[#All],[PID]],0))</f>
        <v>1</v>
      </c>
      <c r="BB192" s="45" t="str">
        <f>INDEX(Table5[[#All],[Team]],MATCH(Batters[[#This Row],[PID]],Table5[[#All],[PID]],0))</f>
        <v>Yuma Arroyos</v>
      </c>
    </row>
    <row r="193" spans="1:54" ht="15" customHeight="1" x14ac:dyDescent="0.3">
      <c r="A193" s="40">
        <v>7295</v>
      </c>
      <c r="B193" s="40" t="s">
        <v>71</v>
      </c>
      <c r="C193" s="40" t="s">
        <v>126</v>
      </c>
      <c r="D193" s="40" t="s">
        <v>1221</v>
      </c>
      <c r="E193" s="40">
        <v>21</v>
      </c>
      <c r="F193" s="40" t="s">
        <v>42</v>
      </c>
      <c r="G193" s="40" t="s">
        <v>42</v>
      </c>
      <c r="H193" s="41" t="s">
        <v>552</v>
      </c>
      <c r="I193" s="64" t="s">
        <v>43</v>
      </c>
      <c r="J193" s="65" t="s">
        <v>43</v>
      </c>
      <c r="K193" s="66" t="s">
        <v>43</v>
      </c>
      <c r="L193" s="40">
        <v>2</v>
      </c>
      <c r="M193" s="40">
        <v>3</v>
      </c>
      <c r="N193" s="40">
        <v>2</v>
      </c>
      <c r="O193" s="40">
        <v>3</v>
      </c>
      <c r="P193" s="41">
        <v>3</v>
      </c>
      <c r="Q193" s="40">
        <v>4</v>
      </c>
      <c r="R193" s="40">
        <v>4</v>
      </c>
      <c r="S193" s="40">
        <v>3</v>
      </c>
      <c r="T193" s="40">
        <v>5</v>
      </c>
      <c r="U193" s="41">
        <v>5</v>
      </c>
      <c r="V193" s="40">
        <v>4</v>
      </c>
      <c r="W193" s="40">
        <v>2</v>
      </c>
      <c r="X193" s="40">
        <v>1</v>
      </c>
      <c r="Y193" s="41">
        <v>1</v>
      </c>
      <c r="Z193" s="40" t="s">
        <v>45</v>
      </c>
      <c r="AA193" s="40" t="s">
        <v>45</v>
      </c>
      <c r="AB193" s="40" t="s">
        <v>45</v>
      </c>
      <c r="AC193" s="40" t="s">
        <v>45</v>
      </c>
      <c r="AD193" s="40" t="s">
        <v>45</v>
      </c>
      <c r="AE193" s="40" t="s">
        <v>45</v>
      </c>
      <c r="AF193" s="40" t="s">
        <v>45</v>
      </c>
      <c r="AG193" s="41" t="s">
        <v>45</v>
      </c>
      <c r="AH193" s="40">
        <v>6</v>
      </c>
      <c r="AI193" s="40">
        <v>5</v>
      </c>
      <c r="AJ193" s="41">
        <v>3</v>
      </c>
      <c r="AK193" s="43" t="s">
        <v>45</v>
      </c>
      <c r="AL193" s="43" t="s">
        <v>103</v>
      </c>
      <c r="AM193" s="44">
        <f t="shared" si="18"/>
        <v>-1.31715448071026</v>
      </c>
      <c r="AN193" s="44">
        <f t="shared" si="19"/>
        <v>-0.27846965500897641</v>
      </c>
      <c r="AO193" s="45">
        <f t="shared" si="20"/>
        <v>0</v>
      </c>
      <c r="AP193" s="46">
        <f t="shared" si="21"/>
        <v>0</v>
      </c>
      <c r="AQ193" s="44">
        <f>($AM$3*AM193+$AN$3*AN193+$AO$3*AO193+$AP$3*AP193)+$I$3*VLOOKUP(I193,COND!$A$2:$E$7,4,FALSE)+$J$3*VLOOKUP(J193,COND!$A$2:$C$7,2,FALSE)+$K$3*VLOOKUP(K193,COND!$A$2:$C$7,3,FALSE)+IF(AND($B$2&gt;0,$E193&lt;20),$B$2*25,0)</f>
        <v>41.526648691821258</v>
      </c>
      <c r="AR193" s="47">
        <f t="shared" si="25"/>
        <v>-0.24695495909370546</v>
      </c>
      <c r="AS193" s="45" t="str">
        <f t="shared" si="22"/>
        <v>DH</v>
      </c>
      <c r="AT193" s="45">
        <v>900</v>
      </c>
      <c r="AU193" s="45">
        <v>189</v>
      </c>
      <c r="AV193" s="45"/>
      <c r="AW193" s="45" t="str">
        <f t="shared" si="23"/>
        <v>Unlikely</v>
      </c>
      <c r="AX193" s="45"/>
      <c r="AY193" s="45">
        <f>INDEX(Table5[[#All],[Ovr]],MATCH(Batters[[#This Row],[PID]],Table5[[#All],[PID]],0))</f>
        <v>466</v>
      </c>
      <c r="AZ193" s="45" t="str">
        <f>INDEX(Table5[[#All],[Rnd]],MATCH(Batters[[#This Row],[PID]],Table5[[#All],[PID]],0))</f>
        <v>14</v>
      </c>
      <c r="BA193" s="45">
        <f>INDEX(Table5[[#All],[Pick]],MATCH(Batters[[#This Row],[PID]],Table5[[#All],[PID]],0))</f>
        <v>33</v>
      </c>
      <c r="BB193" s="45" t="str">
        <f>INDEX(Table5[[#All],[Team]],MATCH(Batters[[#This Row],[PID]],Table5[[#All],[PID]],0))</f>
        <v>New Jersey Hitmen</v>
      </c>
    </row>
    <row r="194" spans="1:54" ht="15" customHeight="1" x14ac:dyDescent="0.3">
      <c r="A194" s="40">
        <v>13236</v>
      </c>
      <c r="B194" s="40" t="s">
        <v>69</v>
      </c>
      <c r="C194" s="40" t="s">
        <v>1287</v>
      </c>
      <c r="D194" s="40" t="s">
        <v>1288</v>
      </c>
      <c r="E194" s="40">
        <v>18</v>
      </c>
      <c r="F194" s="40" t="s">
        <v>42</v>
      </c>
      <c r="G194" s="40" t="s">
        <v>42</v>
      </c>
      <c r="H194" s="41" t="s">
        <v>553</v>
      </c>
      <c r="I194" s="64" t="s">
        <v>43</v>
      </c>
      <c r="J194" s="65" t="s">
        <v>47</v>
      </c>
      <c r="K194" s="66" t="s">
        <v>47</v>
      </c>
      <c r="L194" s="40">
        <v>1</v>
      </c>
      <c r="M194" s="40">
        <v>3</v>
      </c>
      <c r="N194" s="40">
        <v>2</v>
      </c>
      <c r="O194" s="40">
        <v>3</v>
      </c>
      <c r="P194" s="41">
        <v>1</v>
      </c>
      <c r="Q194" s="40">
        <v>3</v>
      </c>
      <c r="R194" s="40">
        <v>3</v>
      </c>
      <c r="S194" s="40">
        <v>2</v>
      </c>
      <c r="T194" s="40">
        <v>4</v>
      </c>
      <c r="U194" s="41">
        <v>4</v>
      </c>
      <c r="V194" s="40">
        <v>8</v>
      </c>
      <c r="W194" s="40">
        <v>6</v>
      </c>
      <c r="X194" s="40">
        <v>1</v>
      </c>
      <c r="Y194" s="41">
        <v>1</v>
      </c>
      <c r="Z194" s="40" t="s">
        <v>45</v>
      </c>
      <c r="AA194" s="40">
        <v>1</v>
      </c>
      <c r="AB194" s="40">
        <v>1</v>
      </c>
      <c r="AC194" s="40">
        <v>3</v>
      </c>
      <c r="AD194" s="40">
        <v>1</v>
      </c>
      <c r="AE194" s="40" t="s">
        <v>45</v>
      </c>
      <c r="AF194" s="40" t="s">
        <v>45</v>
      </c>
      <c r="AG194" s="41" t="s">
        <v>45</v>
      </c>
      <c r="AH194" s="40">
        <v>2</v>
      </c>
      <c r="AI194" s="40">
        <v>1</v>
      </c>
      <c r="AJ194" s="41">
        <v>1</v>
      </c>
      <c r="AK194" s="43" t="s">
        <v>558</v>
      </c>
      <c r="AL194" s="43" t="s">
        <v>103</v>
      </c>
      <c r="AM194" s="44">
        <f t="shared" si="18"/>
        <v>-1.7197429965471014</v>
      </c>
      <c r="AN194" s="44">
        <f t="shared" si="19"/>
        <v>-0.8648727546809204</v>
      </c>
      <c r="AO194" s="45">
        <f t="shared" si="20"/>
        <v>0</v>
      </c>
      <c r="AP194" s="46">
        <f t="shared" si="21"/>
        <v>0</v>
      </c>
      <c r="AQ194" s="44">
        <f>($AM$3*AM194+$AN$3*AN194+$AO$3*AO194+$AP$3*AP194)+$I$3*VLOOKUP(I194,COND!$A$2:$E$7,4,FALSE)+$J$3*VLOOKUP(J194,COND!$A$2:$C$7,2,FALSE)+$K$3*VLOOKUP(K194,COND!$A$2:$C$7,3,FALSE)+IF(AND($B$2&gt;0,$E194&lt;20),$B$2*25,0)</f>
        <v>40.049552644174241</v>
      </c>
      <c r="AR194" s="47">
        <f t="shared" si="25"/>
        <v>-0.46256387693601997</v>
      </c>
      <c r="AS194" s="45" t="str">
        <f t="shared" si="22"/>
        <v>3B</v>
      </c>
      <c r="AT194" s="45">
        <v>900</v>
      </c>
      <c r="AU194" s="45">
        <v>190</v>
      </c>
      <c r="AV194" s="45"/>
      <c r="AW194" s="45" t="str">
        <f t="shared" si="23"/>
        <v>Unlikely</v>
      </c>
      <c r="AX194" s="45"/>
      <c r="AY194" s="45">
        <f>INDEX(Table5[[#All],[Ovr]],MATCH(Batters[[#This Row],[PID]],Table5[[#All],[PID]],0))</f>
        <v>509</v>
      </c>
      <c r="AZ194" s="45" t="str">
        <f>INDEX(Table5[[#All],[Rnd]],MATCH(Batters[[#This Row],[PID]],Table5[[#All],[PID]],0))</f>
        <v>16</v>
      </c>
      <c r="BA194" s="45">
        <f>INDEX(Table5[[#All],[Pick]],MATCH(Batters[[#This Row],[PID]],Table5[[#All],[PID]],0))</f>
        <v>8</v>
      </c>
      <c r="BB194" s="45" t="str">
        <f>INDEX(Table5[[#All],[Team]],MATCH(Batters[[#This Row],[PID]],Table5[[#All],[PID]],0))</f>
        <v>Gloucester Fishermen</v>
      </c>
    </row>
    <row r="195" spans="1:54" ht="15" customHeight="1" x14ac:dyDescent="0.3">
      <c r="A195" s="40">
        <v>20768</v>
      </c>
      <c r="B195" s="40" t="s">
        <v>71</v>
      </c>
      <c r="C195" s="40" t="s">
        <v>361</v>
      </c>
      <c r="D195" s="40" t="s">
        <v>1172</v>
      </c>
      <c r="E195" s="40">
        <v>17</v>
      </c>
      <c r="F195" s="40" t="s">
        <v>42</v>
      </c>
      <c r="G195" s="40" t="s">
        <v>42</v>
      </c>
      <c r="H195" s="41" t="s">
        <v>552</v>
      </c>
      <c r="I195" s="64" t="s">
        <v>44</v>
      </c>
      <c r="J195" s="65" t="s">
        <v>43</v>
      </c>
      <c r="K195" s="66" t="s">
        <v>43</v>
      </c>
      <c r="L195" s="40">
        <v>1</v>
      </c>
      <c r="M195" s="40">
        <v>2</v>
      </c>
      <c r="N195" s="40">
        <v>2</v>
      </c>
      <c r="O195" s="40">
        <v>1</v>
      </c>
      <c r="P195" s="41">
        <v>1</v>
      </c>
      <c r="Q195" s="40">
        <v>4</v>
      </c>
      <c r="R195" s="40">
        <v>3</v>
      </c>
      <c r="S195" s="40">
        <v>3</v>
      </c>
      <c r="T195" s="40">
        <v>1</v>
      </c>
      <c r="U195" s="41">
        <v>4</v>
      </c>
      <c r="V195" s="40">
        <v>6</v>
      </c>
      <c r="W195" s="40">
        <v>6</v>
      </c>
      <c r="X195" s="40">
        <v>1</v>
      </c>
      <c r="Y195" s="41">
        <v>1</v>
      </c>
      <c r="Z195" s="40" t="s">
        <v>45</v>
      </c>
      <c r="AA195" s="40" t="s">
        <v>45</v>
      </c>
      <c r="AB195" s="40">
        <v>3</v>
      </c>
      <c r="AC195" s="40">
        <v>1</v>
      </c>
      <c r="AD195" s="40">
        <v>1</v>
      </c>
      <c r="AE195" s="40" t="s">
        <v>45</v>
      </c>
      <c r="AF195" s="40" t="s">
        <v>45</v>
      </c>
      <c r="AG195" s="41">
        <v>1</v>
      </c>
      <c r="AH195" s="40">
        <v>9</v>
      </c>
      <c r="AI195" s="40">
        <v>9</v>
      </c>
      <c r="AJ195" s="41">
        <v>6</v>
      </c>
      <c r="AK195" s="43" t="s">
        <v>583</v>
      </c>
      <c r="AL195" s="43" t="s">
        <v>1025</v>
      </c>
      <c r="AM195" s="44">
        <f t="shared" si="18"/>
        <v>-1.9502219761849671</v>
      </c>
      <c r="AN195" s="44">
        <f t="shared" si="19"/>
        <v>-0.7283840744830874</v>
      </c>
      <c r="AO195" s="45">
        <f t="shared" si="20"/>
        <v>3</v>
      </c>
      <c r="AP195" s="46">
        <f t="shared" si="21"/>
        <v>0</v>
      </c>
      <c r="AQ195" s="44">
        <f>($AM$3*AM195+$AN$3*AN195+$AO$3*AO195+$AP$3*AP195)+$I$3*VLOOKUP(I195,COND!$A$2:$E$7,4,FALSE)+$J$3*VLOOKUP(J195,COND!$A$2:$C$7,2,FALSE)+$K$3*VLOOKUP(K195,COND!$A$2:$C$7,3,FALSE)+IF(AND($B$2&gt;0,$E195&lt;20),$B$2*25,0)</f>
        <v>41.41436890858445</v>
      </c>
      <c r="AR195" s="47">
        <f t="shared" si="25"/>
        <v>-0.26334422680437425</v>
      </c>
      <c r="AS195" s="45" t="str">
        <f t="shared" si="22"/>
        <v>2B</v>
      </c>
      <c r="AT195" s="45">
        <v>900</v>
      </c>
      <c r="AU195" s="45">
        <v>191</v>
      </c>
      <c r="AV195" s="45"/>
      <c r="AW195" s="45" t="str">
        <f t="shared" si="23"/>
        <v>Unlikely</v>
      </c>
      <c r="AX195" s="45"/>
      <c r="AY195" s="45">
        <f>INDEX(Table5[[#All],[Ovr]],MATCH(Batters[[#This Row],[PID]],Table5[[#All],[PID]],0))</f>
        <v>391</v>
      </c>
      <c r="AZ195" s="45" t="str">
        <f>INDEX(Table5[[#All],[Rnd]],MATCH(Batters[[#This Row],[PID]],Table5[[#All],[PID]],0))</f>
        <v>12</v>
      </c>
      <c r="BA195" s="45">
        <f>INDEX(Table5[[#All],[Pick]],MATCH(Batters[[#This Row],[PID]],Table5[[#All],[PID]],0))</f>
        <v>26</v>
      </c>
      <c r="BB195" s="45" t="str">
        <f>INDEX(Table5[[#All],[Team]],MATCH(Batters[[#This Row],[PID]],Table5[[#All],[PID]],0))</f>
        <v>Aurora Borealis</v>
      </c>
    </row>
    <row r="196" spans="1:54" ht="15" customHeight="1" x14ac:dyDescent="0.3">
      <c r="A196" s="40">
        <v>14404</v>
      </c>
      <c r="B196" s="40" t="s">
        <v>69</v>
      </c>
      <c r="C196" s="40" t="s">
        <v>308</v>
      </c>
      <c r="D196" s="40" t="s">
        <v>315</v>
      </c>
      <c r="E196" s="40">
        <v>21</v>
      </c>
      <c r="F196" s="40" t="s">
        <v>42</v>
      </c>
      <c r="G196" s="40" t="s">
        <v>42</v>
      </c>
      <c r="H196" s="41" t="s">
        <v>550</v>
      </c>
      <c r="I196" s="64" t="s">
        <v>43</v>
      </c>
      <c r="J196" s="65" t="s">
        <v>43</v>
      </c>
      <c r="K196" s="66" t="s">
        <v>43</v>
      </c>
      <c r="L196" s="40">
        <v>2</v>
      </c>
      <c r="M196" s="40">
        <v>3</v>
      </c>
      <c r="N196" s="40">
        <v>2</v>
      </c>
      <c r="O196" s="40">
        <v>3</v>
      </c>
      <c r="P196" s="41">
        <v>2</v>
      </c>
      <c r="Q196" s="40">
        <v>4</v>
      </c>
      <c r="R196" s="40">
        <v>4</v>
      </c>
      <c r="S196" s="40">
        <v>3</v>
      </c>
      <c r="T196" s="40">
        <v>5</v>
      </c>
      <c r="U196" s="41">
        <v>4</v>
      </c>
      <c r="V196" s="40">
        <v>7</v>
      </c>
      <c r="W196" s="40">
        <v>6</v>
      </c>
      <c r="X196" s="40">
        <v>1</v>
      </c>
      <c r="Y196" s="41">
        <v>1</v>
      </c>
      <c r="Z196" s="40" t="s">
        <v>45</v>
      </c>
      <c r="AA196" s="40">
        <v>7</v>
      </c>
      <c r="AB196" s="40" t="s">
        <v>45</v>
      </c>
      <c r="AC196" s="40">
        <v>4</v>
      </c>
      <c r="AD196" s="40">
        <v>1</v>
      </c>
      <c r="AE196" s="40" t="s">
        <v>45</v>
      </c>
      <c r="AF196" s="40" t="s">
        <v>45</v>
      </c>
      <c r="AG196" s="41" t="s">
        <v>45</v>
      </c>
      <c r="AH196" s="40">
        <v>8</v>
      </c>
      <c r="AI196" s="40">
        <v>7</v>
      </c>
      <c r="AJ196" s="41">
        <v>5</v>
      </c>
      <c r="AK196" s="43" t="s">
        <v>557</v>
      </c>
      <c r="AL196" s="43" t="s">
        <v>103</v>
      </c>
      <c r="AM196" s="44">
        <f t="shared" si="18"/>
        <v>-1.3571708205273432</v>
      </c>
      <c r="AN196" s="44">
        <f t="shared" si="19"/>
        <v>-0.31848599482605983</v>
      </c>
      <c r="AO196" s="45">
        <f t="shared" si="20"/>
        <v>2</v>
      </c>
      <c r="AP196" s="46">
        <f t="shared" si="21"/>
        <v>0</v>
      </c>
      <c r="AQ196" s="44">
        <f>($AM$3*AM196+$AN$3*AN196+$AO$3*AO196+$AP$3*AP196)+$I$3*VLOOKUP(I196,COND!$A$2:$E$7,4,FALSE)+$J$3*VLOOKUP(J196,COND!$A$2:$C$7,2,FALSE)+$K$3*VLOOKUP(K196,COND!$A$2:$C$7,3,FALSE)+IF(AND($B$2&gt;0,$E196&lt;20),$B$2*25,0)</f>
        <v>41.37578431336788</v>
      </c>
      <c r="AR196" s="47">
        <f t="shared" si="25"/>
        <v>-0.26897634722963748</v>
      </c>
      <c r="AS196" s="45" t="str">
        <f t="shared" si="22"/>
        <v>1B</v>
      </c>
      <c r="AT196" s="45">
        <v>900</v>
      </c>
      <c r="AU196" s="45">
        <v>192</v>
      </c>
      <c r="AV196" s="45"/>
      <c r="AW196" s="45" t="str">
        <f t="shared" si="23"/>
        <v>Unlikely</v>
      </c>
      <c r="AX196" s="45"/>
      <c r="AY196" s="45">
        <f>INDEX(Table5[[#All],[Ovr]],MATCH(Batters[[#This Row],[PID]],Table5[[#All],[PID]],0))</f>
        <v>192</v>
      </c>
      <c r="AZ196" s="45" t="str">
        <f>INDEX(Table5[[#All],[Rnd]],MATCH(Batters[[#This Row],[PID]],Table5[[#All],[PID]],0))</f>
        <v>6</v>
      </c>
      <c r="BA196" s="45">
        <f>INDEX(Table5[[#All],[Pick]],MATCH(Batters[[#This Row],[PID]],Table5[[#All],[PID]],0))</f>
        <v>23</v>
      </c>
      <c r="BB196" s="45" t="str">
        <f>INDEX(Table5[[#All],[Team]],MATCH(Batters[[#This Row],[PID]],Table5[[#All],[PID]],0))</f>
        <v>Kentucky Thoroughbreds</v>
      </c>
    </row>
    <row r="197" spans="1:54" ht="15" customHeight="1" x14ac:dyDescent="0.3">
      <c r="A197" s="40">
        <v>15827</v>
      </c>
      <c r="B197" s="40" t="s">
        <v>74</v>
      </c>
      <c r="C197" s="40" t="s">
        <v>1019</v>
      </c>
      <c r="D197" s="40" t="s">
        <v>916</v>
      </c>
      <c r="E197" s="40">
        <v>21</v>
      </c>
      <c r="F197" s="40" t="s">
        <v>42</v>
      </c>
      <c r="G197" s="40" t="s">
        <v>42</v>
      </c>
      <c r="H197" s="41" t="s">
        <v>550</v>
      </c>
      <c r="I197" s="64" t="s">
        <v>43</v>
      </c>
      <c r="J197" s="65" t="s">
        <v>43</v>
      </c>
      <c r="K197" s="66" t="s">
        <v>43</v>
      </c>
      <c r="L197" s="40">
        <v>2</v>
      </c>
      <c r="M197" s="40">
        <v>3</v>
      </c>
      <c r="N197" s="40">
        <v>3</v>
      </c>
      <c r="O197" s="40">
        <v>3</v>
      </c>
      <c r="P197" s="41">
        <v>1</v>
      </c>
      <c r="Q197" s="40">
        <v>4</v>
      </c>
      <c r="R197" s="40">
        <v>4</v>
      </c>
      <c r="S197" s="40">
        <v>3</v>
      </c>
      <c r="T197" s="40">
        <v>5</v>
      </c>
      <c r="U197" s="41">
        <v>3</v>
      </c>
      <c r="V197" s="40">
        <v>8</v>
      </c>
      <c r="W197" s="40">
        <v>10</v>
      </c>
      <c r="X197" s="40">
        <v>1</v>
      </c>
      <c r="Y197" s="41">
        <v>1</v>
      </c>
      <c r="Z197" s="40" t="s">
        <v>45</v>
      </c>
      <c r="AA197" s="40" t="s">
        <v>45</v>
      </c>
      <c r="AB197" s="40" t="s">
        <v>45</v>
      </c>
      <c r="AC197" s="40" t="s">
        <v>45</v>
      </c>
      <c r="AD197" s="40" t="s">
        <v>45</v>
      </c>
      <c r="AE197" s="40" t="s">
        <v>45</v>
      </c>
      <c r="AF197" s="40">
        <v>7</v>
      </c>
      <c r="AG197" s="41" t="s">
        <v>45</v>
      </c>
      <c r="AH197" s="40">
        <v>6</v>
      </c>
      <c r="AI197" s="40">
        <v>6</v>
      </c>
      <c r="AJ197" s="41">
        <v>5</v>
      </c>
      <c r="AK197" s="43" t="s">
        <v>493</v>
      </c>
      <c r="AL197" s="43" t="s">
        <v>103</v>
      </c>
      <c r="AM197" s="44">
        <f t="shared" ref="AM197:AM260" si="26">($L$3*(L197-$Q$1)/$Q$2+$M$3*(M197-$R$1)/$R$2+$N$3*(N197-$S$1)/$S$2+$O$3*(O197-$T$1)/$T$2+$P$3*(P197-$U$1)/$U$2)/(SUM($L$3:$P$3))</f>
        <v>-1.3141256663205254</v>
      </c>
      <c r="AN197" s="44">
        <f t="shared" ref="AN197:AN260" si="27">($L$3*(Q197-$Q$1)/$Q$2+$M$3*(R197-$R$1)/$R$2+$N$3*(S197-$S$1)/$S$2+$O$3*(T197-$T$1)/$T$2+$P$3*(U197-$U$1)/$U$2)/(SUM($L$3:$P$3))</f>
        <v>-0.35850233464314329</v>
      </c>
      <c r="AO197" s="45">
        <f t="shared" ref="AO197:AO260" si="28">IF(AVERAGE(AH197:AI197)&gt;9,1,0)+IF(AVERAGE(AH197:AI197)&gt;7,1,0)+IF(AH197&gt;7,1,0)+IF(AI197&gt;7,1,0)+IF(AJ197&gt;8,1,0)+IF(AJ197&gt;6,1,0)</f>
        <v>0</v>
      </c>
      <c r="AP197" s="46">
        <f t="shared" ref="AP197:AP260" si="29">MIN(2,IF(OR(Z197="-",X197&lt;5),0,1+IF(Y197&gt;7,0.35,IF(Y197&gt;5,0.1,0))+IF(Z197&gt;7,1+IF(X197&gt;7,0.25,0),IF(Z197&gt;4,0.5+IF(X197&gt;7,0.25,0),0+IF(X197&gt;7,0.25))))+IF(AA197="-",0,IF(AA197&gt;9,0.5,IF(AA197&gt;7,0.25,0)))+IF(AB197="-",0,IF(AB197&gt;7,1.1,IF(AB197&gt;4,0.6,0)))+IF(OR(AC197="-",V197&lt;5),0,IF(AC197&gt;7,1+IF(V197&gt;7,0.25,0),IF(AC197&gt;4,0.5+IF(V197&gt;7,0.25,0),0)))+IF(AD197="-",0,IF(AD197&gt;7,1.5,IF(AD197&gt;4,1,0)))+IF(AE197="-",0,IF(AE197&gt;9,0.5,IF(AE197&gt;7,0.25,0)))+IF(AF197="-",0,IF(AF197&gt;7,1.25,IF(AF197&gt;4,0.75,0)))+IF(OR(AG197="-",W197&lt;4),0,IF(AG197&gt;7,1+IF(W197&gt;7,0.15,0),IF(AG197&gt;4,0.5+IF(W197&gt;7,0.15,0),0))))</f>
        <v>0.75</v>
      </c>
      <c r="AQ197" s="44">
        <f>($AM$3*AM197+$AN$3*AN197+$AO$3*AO197+$AP$3*AP197)+$I$3*VLOOKUP(I197,COND!$A$2:$E$7,4,FALSE)+$J$3*VLOOKUP(J197,COND!$A$2:$C$7,2,FALSE)+$K$3*VLOOKUP(K197,COND!$A$2:$C$7,3,FALSE)+IF(AND($B$2&gt;0,$E197&lt;20),$B$2*25,0)</f>
        <v>41.316559417650225</v>
      </c>
      <c r="AR197" s="47">
        <f t="shared" si="25"/>
        <v>-0.2776212933015933</v>
      </c>
      <c r="AS197" s="45" t="str">
        <f t="shared" ref="AS197:AS260" si="30">IF(AND(Z197&lt;&gt;"-",Y197&gt;1),"C",IF(AB197=MAX(AB197:AD197),"2B",IF(AD197=MAX(AB197:AD197),"SS",IF(OR(AC197=MAX(AA197:AD197),AND(AC197&lt;&gt;"-",AC197&gt;4,V197&gt;5)),"3B",IF(AF197=MAX(AE197:AG197),"CF",IF(AND(AG197=MAX(AE197,AG197),AND(W197&gt;5,AG197&lt;&gt;"-")),"RF",IF(AE197&lt;&gt;"-","LF",IF(AA197&lt;&gt;"-","1B","DH"))))))))</f>
        <v>CF</v>
      </c>
      <c r="AT197" s="45">
        <v>900</v>
      </c>
      <c r="AU197" s="45">
        <v>193</v>
      </c>
      <c r="AV197" s="45"/>
      <c r="AW197" s="45" t="str">
        <f t="shared" ref="AW197:AW260" si="31">IF(AND($Q197&gt;=6,AVERAGE($S197:$T197)&gt;=6),"Likely",IF(OR($Q197&gt;6,AND($Q197=6,AVERAGE($S197:$T197)&gt;=3),AND($Q197&gt;=5,AVERAGE($S197:$T197)&gt;=5),AVERAGE($Q197,$S197:$T197)&gt;5),"Possible","Unlikely"))</f>
        <v>Unlikely</v>
      </c>
      <c r="AX197" s="45"/>
      <c r="AY197" s="45">
        <f>INDEX(Table5[[#All],[Ovr]],MATCH(Batters[[#This Row],[PID]],Table5[[#All],[PID]],0))</f>
        <v>295</v>
      </c>
      <c r="AZ197" s="45" t="str">
        <f>INDEX(Table5[[#All],[Rnd]],MATCH(Batters[[#This Row],[PID]],Table5[[#All],[PID]],0))</f>
        <v>9</v>
      </c>
      <c r="BA197" s="45">
        <f>INDEX(Table5[[#All],[Pick]],MATCH(Batters[[#This Row],[PID]],Table5[[#All],[PID]],0))</f>
        <v>30</v>
      </c>
      <c r="BB197" s="45" t="str">
        <f>INDEX(Table5[[#All],[Team]],MATCH(Batters[[#This Row],[PID]],Table5[[#All],[PID]],0))</f>
        <v>Toyama Wind Dancers</v>
      </c>
    </row>
    <row r="198" spans="1:54" ht="15" customHeight="1" x14ac:dyDescent="0.3">
      <c r="A198" s="40">
        <v>14415</v>
      </c>
      <c r="B198" s="40" t="s">
        <v>66</v>
      </c>
      <c r="C198" s="40" t="s">
        <v>176</v>
      </c>
      <c r="D198" s="40" t="s">
        <v>883</v>
      </c>
      <c r="E198" s="40">
        <v>21</v>
      </c>
      <c r="F198" s="40" t="s">
        <v>53</v>
      </c>
      <c r="G198" s="40" t="s">
        <v>53</v>
      </c>
      <c r="H198" s="41" t="s">
        <v>552</v>
      </c>
      <c r="I198" s="64" t="s">
        <v>43</v>
      </c>
      <c r="J198" s="65" t="s">
        <v>43</v>
      </c>
      <c r="K198" s="66" t="s">
        <v>47</v>
      </c>
      <c r="L198" s="40">
        <v>1</v>
      </c>
      <c r="M198" s="40">
        <v>4</v>
      </c>
      <c r="N198" s="40">
        <v>2</v>
      </c>
      <c r="O198" s="40">
        <v>4</v>
      </c>
      <c r="P198" s="41">
        <v>3</v>
      </c>
      <c r="Q198" s="40">
        <v>3</v>
      </c>
      <c r="R198" s="40">
        <v>5</v>
      </c>
      <c r="S198" s="40">
        <v>4</v>
      </c>
      <c r="T198" s="40">
        <v>5</v>
      </c>
      <c r="U198" s="41">
        <v>5</v>
      </c>
      <c r="V198" s="40">
        <v>7</v>
      </c>
      <c r="W198" s="40">
        <v>8</v>
      </c>
      <c r="X198" s="40">
        <v>1</v>
      </c>
      <c r="Y198" s="41">
        <v>1</v>
      </c>
      <c r="Z198" s="40" t="s">
        <v>45</v>
      </c>
      <c r="AA198" s="40" t="s">
        <v>45</v>
      </c>
      <c r="AB198" s="40" t="s">
        <v>45</v>
      </c>
      <c r="AC198" s="40" t="s">
        <v>45</v>
      </c>
      <c r="AD198" s="40" t="s">
        <v>45</v>
      </c>
      <c r="AE198" s="40" t="s">
        <v>45</v>
      </c>
      <c r="AF198" s="40">
        <v>1</v>
      </c>
      <c r="AG198" s="41">
        <v>6</v>
      </c>
      <c r="AH198" s="40">
        <v>5</v>
      </c>
      <c r="AI198" s="40">
        <v>7</v>
      </c>
      <c r="AJ198" s="41">
        <v>7</v>
      </c>
      <c r="AK198" s="43" t="s">
        <v>557</v>
      </c>
      <c r="AL198" s="43" t="s">
        <v>103</v>
      </c>
      <c r="AM198" s="44">
        <f t="shared" si="26"/>
        <v>-1.4989408872846501</v>
      </c>
      <c r="AN198" s="44">
        <f t="shared" si="27"/>
        <v>-0.4669041175690461</v>
      </c>
      <c r="AO198" s="45">
        <f t="shared" si="28"/>
        <v>1</v>
      </c>
      <c r="AP198" s="46">
        <f t="shared" si="29"/>
        <v>0.65</v>
      </c>
      <c r="AQ198" s="44">
        <f>($AM$3*AM198+$AN$3*AN198+$AO$3*AO198+$AP$3*AP198)+$I$3*VLOOKUP(I198,COND!$A$2:$E$7,4,FALSE)+$J$3*VLOOKUP(J198,COND!$A$2:$C$7,2,FALSE)+$K$3*VLOOKUP(K198,COND!$A$2:$C$7,3,FALSE)+IF(AND($B$2&gt;0,$E198&lt;20),$B$2*25,0)</f>
        <v>40.363923167109647</v>
      </c>
      <c r="AR198" s="47">
        <f t="shared" si="25"/>
        <v>-0.41667580597435216</v>
      </c>
      <c r="AS198" s="45" t="str">
        <f t="shared" si="30"/>
        <v>RF</v>
      </c>
      <c r="AT198" s="45">
        <v>900</v>
      </c>
      <c r="AU198" s="45">
        <v>194</v>
      </c>
      <c r="AV198" s="45"/>
      <c r="AW198" s="45" t="str">
        <f t="shared" si="31"/>
        <v>Unlikely</v>
      </c>
      <c r="AX198" s="45"/>
      <c r="AY198" s="45">
        <f>INDEX(Table5[[#All],[Ovr]],MATCH(Batters[[#This Row],[PID]],Table5[[#All],[PID]],0))</f>
        <v>282</v>
      </c>
      <c r="AZ198" s="45" t="str">
        <f>INDEX(Table5[[#All],[Rnd]],MATCH(Batters[[#This Row],[PID]],Table5[[#All],[PID]],0))</f>
        <v>9</v>
      </c>
      <c r="BA198" s="45">
        <f>INDEX(Table5[[#All],[Pick]],MATCH(Batters[[#This Row],[PID]],Table5[[#All],[PID]],0))</f>
        <v>17</v>
      </c>
      <c r="BB198" s="45" t="str">
        <f>INDEX(Table5[[#All],[Team]],MATCH(Batters[[#This Row],[PID]],Table5[[#All],[PID]],0))</f>
        <v>Duluth Warriors</v>
      </c>
    </row>
    <row r="199" spans="1:54" ht="15" customHeight="1" x14ac:dyDescent="0.3">
      <c r="A199" s="40">
        <v>13131</v>
      </c>
      <c r="B199" s="40" t="s">
        <v>66</v>
      </c>
      <c r="C199" s="40" t="s">
        <v>158</v>
      </c>
      <c r="D199" s="40" t="s">
        <v>1298</v>
      </c>
      <c r="E199" s="40">
        <v>17</v>
      </c>
      <c r="F199" s="40" t="s">
        <v>42</v>
      </c>
      <c r="G199" s="40" t="s">
        <v>42</v>
      </c>
      <c r="H199" s="41" t="s">
        <v>553</v>
      </c>
      <c r="I199" s="64" t="s">
        <v>44</v>
      </c>
      <c r="J199" s="65" t="s">
        <v>43</v>
      </c>
      <c r="K199" s="66" t="s">
        <v>43</v>
      </c>
      <c r="L199" s="40">
        <v>1</v>
      </c>
      <c r="M199" s="40">
        <v>3</v>
      </c>
      <c r="N199" s="40">
        <v>3</v>
      </c>
      <c r="O199" s="40">
        <v>3</v>
      </c>
      <c r="P199" s="41">
        <v>2</v>
      </c>
      <c r="Q199" s="40">
        <v>3</v>
      </c>
      <c r="R199" s="40">
        <v>3</v>
      </c>
      <c r="S199" s="40">
        <v>3</v>
      </c>
      <c r="T199" s="40">
        <v>5</v>
      </c>
      <c r="U199" s="41">
        <v>3</v>
      </c>
      <c r="V199" s="40">
        <v>4</v>
      </c>
      <c r="W199" s="40">
        <v>7</v>
      </c>
      <c r="X199" s="40">
        <v>1</v>
      </c>
      <c r="Y199" s="41">
        <v>1</v>
      </c>
      <c r="Z199" s="40" t="s">
        <v>45</v>
      </c>
      <c r="AA199" s="40" t="s">
        <v>45</v>
      </c>
      <c r="AB199" s="40" t="s">
        <v>45</v>
      </c>
      <c r="AC199" s="40" t="s">
        <v>45</v>
      </c>
      <c r="AD199" s="40" t="s">
        <v>45</v>
      </c>
      <c r="AE199" s="40">
        <v>2</v>
      </c>
      <c r="AF199" s="40" t="s">
        <v>45</v>
      </c>
      <c r="AG199" s="41">
        <v>2</v>
      </c>
      <c r="AH199" s="40">
        <v>5</v>
      </c>
      <c r="AI199" s="40">
        <v>4</v>
      </c>
      <c r="AJ199" s="41">
        <v>4</v>
      </c>
      <c r="AK199" s="43" t="s">
        <v>570</v>
      </c>
      <c r="AL199" s="43" t="s">
        <v>103</v>
      </c>
      <c r="AM199" s="44">
        <f t="shared" si="26"/>
        <v>-1.5966651627061161</v>
      </c>
      <c r="AN199" s="44">
        <f t="shared" si="27"/>
        <v>-0.73211805046452161</v>
      </c>
      <c r="AO199" s="45">
        <f t="shared" si="28"/>
        <v>0</v>
      </c>
      <c r="AP199" s="46">
        <f t="shared" si="29"/>
        <v>0</v>
      </c>
      <c r="AQ199" s="44">
        <f>($AM$3*AM199+$AN$3*AN199+$AO$3*AO199+$AP$3*AP199)+$I$3*VLOOKUP(I199,COND!$A$2:$E$7,4,FALSE)+$J$3*VLOOKUP(J199,COND!$A$2:$C$7,2,FALSE)+$K$3*VLOOKUP(K199,COND!$A$2:$C$7,3,FALSE)+IF(AND($B$2&gt;0,$E199&lt;20),$B$2*25,0)</f>
        <v>40.904916878155127</v>
      </c>
      <c r="AR199" s="47">
        <f t="shared" si="25"/>
        <v>-0.33770797664204583</v>
      </c>
      <c r="AS199" s="45" t="str">
        <f t="shared" si="30"/>
        <v>RF</v>
      </c>
      <c r="AT199" s="45">
        <v>900</v>
      </c>
      <c r="AU199" s="45">
        <v>195</v>
      </c>
      <c r="AV199" s="45"/>
      <c r="AW199" s="45" t="str">
        <f t="shared" si="31"/>
        <v>Unlikely</v>
      </c>
      <c r="AX199" s="45"/>
      <c r="AY199" s="45" t="str">
        <f>INDEX(Table5[[#All],[Ovr]],MATCH(Batters[[#This Row],[PID]],Table5[[#All],[PID]],0))</f>
        <v/>
      </c>
      <c r="AZ199" s="45" t="str">
        <f>INDEX(Table5[[#All],[Rnd]],MATCH(Batters[[#This Row],[PID]],Table5[[#All],[PID]],0))</f>
        <v/>
      </c>
      <c r="BA199" s="45" t="str">
        <f>INDEX(Table5[[#All],[Pick]],MATCH(Batters[[#This Row],[PID]],Table5[[#All],[PID]],0))</f>
        <v/>
      </c>
      <c r="BB199" s="45" t="str">
        <f>INDEX(Table5[[#All],[Team]],MATCH(Batters[[#This Row],[PID]],Table5[[#All],[PID]],0))</f>
        <v/>
      </c>
    </row>
    <row r="200" spans="1:54" ht="15" customHeight="1" x14ac:dyDescent="0.3">
      <c r="A200" s="40">
        <v>8567</v>
      </c>
      <c r="B200" s="40" t="s">
        <v>50</v>
      </c>
      <c r="C200" s="40" t="s">
        <v>1224</v>
      </c>
      <c r="D200" s="40" t="s">
        <v>478</v>
      </c>
      <c r="E200" s="40">
        <v>21</v>
      </c>
      <c r="F200" s="40" t="s">
        <v>42</v>
      </c>
      <c r="G200" s="40" t="s">
        <v>42</v>
      </c>
      <c r="H200" s="41" t="s">
        <v>552</v>
      </c>
      <c r="I200" s="64" t="s">
        <v>44</v>
      </c>
      <c r="J200" s="65" t="s">
        <v>43</v>
      </c>
      <c r="K200" s="66" t="s">
        <v>43</v>
      </c>
      <c r="L200" s="40">
        <v>2</v>
      </c>
      <c r="M200" s="40">
        <v>3</v>
      </c>
      <c r="N200" s="40">
        <v>2</v>
      </c>
      <c r="O200" s="40">
        <v>4</v>
      </c>
      <c r="P200" s="41">
        <v>4</v>
      </c>
      <c r="Q200" s="40">
        <v>4</v>
      </c>
      <c r="R200" s="40">
        <v>4</v>
      </c>
      <c r="S200" s="40">
        <v>2</v>
      </c>
      <c r="T200" s="40">
        <v>5</v>
      </c>
      <c r="U200" s="41">
        <v>5</v>
      </c>
      <c r="V200" s="40">
        <v>2</v>
      </c>
      <c r="W200" s="40">
        <v>5</v>
      </c>
      <c r="X200" s="40">
        <v>1</v>
      </c>
      <c r="Y200" s="41">
        <v>1</v>
      </c>
      <c r="Z200" s="40" t="s">
        <v>45</v>
      </c>
      <c r="AA200" s="40" t="s">
        <v>45</v>
      </c>
      <c r="AB200" s="40" t="s">
        <v>45</v>
      </c>
      <c r="AC200" s="40" t="s">
        <v>45</v>
      </c>
      <c r="AD200" s="40" t="s">
        <v>45</v>
      </c>
      <c r="AE200" s="40">
        <v>3</v>
      </c>
      <c r="AF200" s="40">
        <v>2</v>
      </c>
      <c r="AG200" s="41">
        <v>2</v>
      </c>
      <c r="AH200" s="40">
        <v>7</v>
      </c>
      <c r="AI200" s="40">
        <v>8</v>
      </c>
      <c r="AJ200" s="41">
        <v>8</v>
      </c>
      <c r="AK200" s="43" t="s">
        <v>45</v>
      </c>
      <c r="AL200" s="43" t="s">
        <v>103</v>
      </c>
      <c r="AM200" s="44">
        <f t="shared" si="26"/>
        <v>-1.1874285908835953</v>
      </c>
      <c r="AN200" s="44">
        <f t="shared" si="27"/>
        <v>-0.36153114903287792</v>
      </c>
      <c r="AO200" s="45">
        <f t="shared" si="28"/>
        <v>3</v>
      </c>
      <c r="AP200" s="46">
        <f t="shared" si="29"/>
        <v>0</v>
      </c>
      <c r="AQ200" s="44">
        <f>($AM$3*AM200+$AN$3*AN200+$AO$3*AO200+$AP$3*AP200)+$I$3*VLOOKUP(I200,COND!$A$2:$E$7,4,FALSE)+$J$3*VLOOKUP(J200,COND!$A$2:$C$7,2,FALSE)+$K$3*VLOOKUP(K200,COND!$A$2:$C$7,3,FALSE)+IF(AND($B$2&gt;0,$E200&lt;20),$B$2*25,0)</f>
        <v>40.892883352517103</v>
      </c>
      <c r="AR200" s="47">
        <f t="shared" si="25"/>
        <v>-0.3394644876318188</v>
      </c>
      <c r="AS200" s="45" t="str">
        <f t="shared" si="30"/>
        <v>LF</v>
      </c>
      <c r="AT200" s="45">
        <v>900</v>
      </c>
      <c r="AU200" s="45">
        <v>196</v>
      </c>
      <c r="AV200" s="45"/>
      <c r="AW200" s="45" t="str">
        <f t="shared" si="31"/>
        <v>Unlikely</v>
      </c>
      <c r="AX200" s="45"/>
      <c r="AY200" s="45">
        <f>INDEX(Table5[[#All],[Ovr]],MATCH(Batters[[#This Row],[PID]],Table5[[#All],[PID]],0))</f>
        <v>433</v>
      </c>
      <c r="AZ200" s="45" t="str">
        <f>INDEX(Table5[[#All],[Rnd]],MATCH(Batters[[#This Row],[PID]],Table5[[#All],[PID]],0))</f>
        <v>13</v>
      </c>
      <c r="BA200" s="45">
        <f>INDEX(Table5[[#All],[Pick]],MATCH(Batters[[#This Row],[PID]],Table5[[#All],[PID]],0))</f>
        <v>34</v>
      </c>
      <c r="BB200" s="45" t="str">
        <f>INDEX(Table5[[#All],[Team]],MATCH(Batters[[#This Row],[PID]],Table5[[#All],[PID]],0))</f>
        <v>New Jersey Hitmen</v>
      </c>
    </row>
    <row r="201" spans="1:54" ht="15" customHeight="1" x14ac:dyDescent="0.3">
      <c r="A201" s="40">
        <v>9828</v>
      </c>
      <c r="B201" s="40" t="s">
        <v>50</v>
      </c>
      <c r="C201" s="40" t="s">
        <v>867</v>
      </c>
      <c r="D201" s="40" t="s">
        <v>868</v>
      </c>
      <c r="E201" s="40">
        <v>22</v>
      </c>
      <c r="F201" s="40" t="s">
        <v>62</v>
      </c>
      <c r="G201" s="40" t="s">
        <v>53</v>
      </c>
      <c r="H201" s="41" t="s">
        <v>552</v>
      </c>
      <c r="I201" s="64" t="s">
        <v>43</v>
      </c>
      <c r="J201" s="65" t="s">
        <v>47</v>
      </c>
      <c r="K201" s="66" t="s">
        <v>43</v>
      </c>
      <c r="L201" s="40">
        <v>2</v>
      </c>
      <c r="M201" s="40">
        <v>2</v>
      </c>
      <c r="N201" s="40">
        <v>2</v>
      </c>
      <c r="O201" s="40">
        <v>2</v>
      </c>
      <c r="P201" s="41">
        <v>3</v>
      </c>
      <c r="Q201" s="40">
        <v>4</v>
      </c>
      <c r="R201" s="40">
        <v>3</v>
      </c>
      <c r="S201" s="40">
        <v>3</v>
      </c>
      <c r="T201" s="40">
        <v>4</v>
      </c>
      <c r="U201" s="41">
        <v>5</v>
      </c>
      <c r="V201" s="40">
        <v>6</v>
      </c>
      <c r="W201" s="40">
        <v>8</v>
      </c>
      <c r="X201" s="40">
        <v>1</v>
      </c>
      <c r="Y201" s="41">
        <v>1</v>
      </c>
      <c r="Z201" s="40" t="s">
        <v>45</v>
      </c>
      <c r="AA201" s="40" t="s">
        <v>45</v>
      </c>
      <c r="AB201" s="40" t="s">
        <v>45</v>
      </c>
      <c r="AC201" s="40" t="s">
        <v>45</v>
      </c>
      <c r="AD201" s="40" t="s">
        <v>45</v>
      </c>
      <c r="AE201" s="40">
        <v>1</v>
      </c>
      <c r="AF201" s="40" t="s">
        <v>45</v>
      </c>
      <c r="AG201" s="41" t="s">
        <v>45</v>
      </c>
      <c r="AH201" s="40">
        <v>1</v>
      </c>
      <c r="AI201" s="40">
        <v>1</v>
      </c>
      <c r="AJ201" s="41">
        <v>1</v>
      </c>
      <c r="AK201" s="43" t="s">
        <v>45</v>
      </c>
      <c r="AL201" s="43" t="s">
        <v>103</v>
      </c>
      <c r="AM201" s="44">
        <f t="shared" si="26"/>
        <v>-1.4579239103385446</v>
      </c>
      <c r="AN201" s="44">
        <f t="shared" si="27"/>
        <v>-0.41923908463726089</v>
      </c>
      <c r="AO201" s="45">
        <f t="shared" si="28"/>
        <v>0</v>
      </c>
      <c r="AP201" s="46">
        <f t="shared" si="29"/>
        <v>0</v>
      </c>
      <c r="AQ201" s="44">
        <f>($AM$3*AM201+$AN$3*AN201+$AO$3*AO201+$AP$3*AP201)+$I$3*VLOOKUP(I201,COND!$A$2:$E$7,4,FALSE)+$J$3*VLOOKUP(J201,COND!$A$2:$C$7,2,FALSE)+$K$3*VLOOKUP(K201,COND!$A$2:$C$7,3,FALSE)+IF(AND($B$2&gt;0,$E201&lt;20),$B$2*25,0)</f>
        <v>40.123338593319019</v>
      </c>
      <c r="AR201" s="47">
        <f t="shared" si="25"/>
        <v>-0.45179348142083581</v>
      </c>
      <c r="AS201" s="45" t="str">
        <f t="shared" si="30"/>
        <v>LF</v>
      </c>
      <c r="AT201" s="45">
        <v>900</v>
      </c>
      <c r="AU201" s="45">
        <v>197</v>
      </c>
      <c r="AV201" s="45"/>
      <c r="AW201" s="45" t="str">
        <f t="shared" si="31"/>
        <v>Unlikely</v>
      </c>
      <c r="AX201" s="45"/>
      <c r="AY201" s="45">
        <f>INDEX(Table5[[#All],[Ovr]],MATCH(Batters[[#This Row],[PID]],Table5[[#All],[PID]],0))</f>
        <v>383</v>
      </c>
      <c r="AZ201" s="45" t="str">
        <f>INDEX(Table5[[#All],[Rnd]],MATCH(Batters[[#This Row],[PID]],Table5[[#All],[PID]],0))</f>
        <v>12</v>
      </c>
      <c r="BA201" s="45">
        <f>INDEX(Table5[[#All],[Pick]],MATCH(Batters[[#This Row],[PID]],Table5[[#All],[PID]],0))</f>
        <v>18</v>
      </c>
      <c r="BB201" s="45" t="str">
        <f>INDEX(Table5[[#All],[Team]],MATCH(Batters[[#This Row],[PID]],Table5[[#All],[PID]],0))</f>
        <v>San Juan Coqui</v>
      </c>
    </row>
    <row r="202" spans="1:54" ht="15" customHeight="1" x14ac:dyDescent="0.3">
      <c r="A202" s="40">
        <v>12948</v>
      </c>
      <c r="B202" s="40" t="s">
        <v>86</v>
      </c>
      <c r="C202" s="40" t="s">
        <v>1265</v>
      </c>
      <c r="D202" s="40" t="s">
        <v>1266</v>
      </c>
      <c r="E202" s="40">
        <v>17</v>
      </c>
      <c r="F202" s="40" t="s">
        <v>42</v>
      </c>
      <c r="G202" s="40" t="s">
        <v>42</v>
      </c>
      <c r="H202" s="41" t="s">
        <v>552</v>
      </c>
      <c r="I202" s="64" t="s">
        <v>47</v>
      </c>
      <c r="J202" s="65" t="s">
        <v>43</v>
      </c>
      <c r="K202" s="66" t="s">
        <v>43</v>
      </c>
      <c r="L202" s="40">
        <v>1</v>
      </c>
      <c r="M202" s="40">
        <v>3</v>
      </c>
      <c r="N202" s="40">
        <v>2</v>
      </c>
      <c r="O202" s="40">
        <v>3</v>
      </c>
      <c r="P202" s="41">
        <v>1</v>
      </c>
      <c r="Q202" s="40">
        <v>3</v>
      </c>
      <c r="R202" s="40">
        <v>3</v>
      </c>
      <c r="S202" s="40">
        <v>3</v>
      </c>
      <c r="T202" s="40">
        <v>5</v>
      </c>
      <c r="U202" s="41">
        <v>2</v>
      </c>
      <c r="V202" s="40">
        <v>1</v>
      </c>
      <c r="W202" s="40">
        <v>2</v>
      </c>
      <c r="X202" s="40">
        <v>4</v>
      </c>
      <c r="Y202" s="41">
        <v>8</v>
      </c>
      <c r="Z202" s="40" t="s">
        <v>45</v>
      </c>
      <c r="AA202" s="40" t="s">
        <v>45</v>
      </c>
      <c r="AB202" s="40" t="s">
        <v>45</v>
      </c>
      <c r="AC202" s="40" t="s">
        <v>45</v>
      </c>
      <c r="AD202" s="40" t="s">
        <v>45</v>
      </c>
      <c r="AE202" s="40" t="s">
        <v>45</v>
      </c>
      <c r="AF202" s="40" t="s">
        <v>45</v>
      </c>
      <c r="AG202" s="41" t="s">
        <v>45</v>
      </c>
      <c r="AH202" s="40">
        <v>3</v>
      </c>
      <c r="AI202" s="40">
        <v>5</v>
      </c>
      <c r="AJ202" s="41">
        <v>5</v>
      </c>
      <c r="AK202" s="43" t="s">
        <v>558</v>
      </c>
      <c r="AL202" s="43" t="s">
        <v>103</v>
      </c>
      <c r="AM202" s="44">
        <f t="shared" si="26"/>
        <v>-1.7197429965471014</v>
      </c>
      <c r="AN202" s="44">
        <f t="shared" si="27"/>
        <v>-0.77213439028160502</v>
      </c>
      <c r="AO202" s="45">
        <f t="shared" si="28"/>
        <v>0</v>
      </c>
      <c r="AP202" s="46">
        <f t="shared" si="29"/>
        <v>0</v>
      </c>
      <c r="AQ202" s="44">
        <f>($AM$3*AM202+$AN$3*AN202+$AO$3*AO202+$AP$3*AP202)+$I$3*VLOOKUP(I202,COND!$A$2:$E$7,4,FALSE)+$J$3*VLOOKUP(J202,COND!$A$2:$C$7,2,FALSE)+$K$3*VLOOKUP(K202,COND!$A$2:$C$7,3,FALSE)+IF(AND($B$2&gt;0,$E202&lt;20),$B$2*25,0)</f>
        <v>40.787413016966028</v>
      </c>
      <c r="AR202" s="47">
        <f t="shared" ref="AR202:AR233" si="32">STANDARDIZE(AQ202,AVERAGE($AQ$5:$AQ$442),STDEVP($AQ$5:$AQ$442))</f>
        <v>-0.35485979313606009</v>
      </c>
      <c r="AS202" s="45" t="str">
        <f t="shared" si="30"/>
        <v>DH</v>
      </c>
      <c r="AT202" s="45">
        <v>900</v>
      </c>
      <c r="AU202" s="45">
        <v>198</v>
      </c>
      <c r="AV202" s="45"/>
      <c r="AW202" s="45" t="str">
        <f t="shared" si="31"/>
        <v>Unlikely</v>
      </c>
      <c r="AX202" s="45"/>
      <c r="AY202" s="45" t="str">
        <f>INDEX(Table5[[#All],[Ovr]],MATCH(Batters[[#This Row],[PID]],Table5[[#All],[PID]],0))</f>
        <v/>
      </c>
      <c r="AZ202" s="45" t="str">
        <f>INDEX(Table5[[#All],[Rnd]],MATCH(Batters[[#This Row],[PID]],Table5[[#All],[PID]],0))</f>
        <v/>
      </c>
      <c r="BA202" s="45" t="str">
        <f>INDEX(Table5[[#All],[Pick]],MATCH(Batters[[#This Row],[PID]],Table5[[#All],[PID]],0))</f>
        <v/>
      </c>
      <c r="BB202" s="45" t="str">
        <f>INDEX(Table5[[#All],[Team]],MATCH(Batters[[#This Row],[PID]],Table5[[#All],[PID]],0))</f>
        <v/>
      </c>
    </row>
    <row r="203" spans="1:54" ht="15" customHeight="1" x14ac:dyDescent="0.3">
      <c r="A203" s="40">
        <v>12109</v>
      </c>
      <c r="B203" s="40" t="s">
        <v>66</v>
      </c>
      <c r="C203" s="40" t="s">
        <v>172</v>
      </c>
      <c r="D203" s="40" t="s">
        <v>1061</v>
      </c>
      <c r="E203" s="40">
        <v>17</v>
      </c>
      <c r="F203" s="40" t="s">
        <v>53</v>
      </c>
      <c r="G203" s="40" t="s">
        <v>53</v>
      </c>
      <c r="H203" s="41" t="s">
        <v>553</v>
      </c>
      <c r="I203" s="64" t="s">
        <v>44</v>
      </c>
      <c r="J203" s="65" t="s">
        <v>43</v>
      </c>
      <c r="K203" s="66" t="s">
        <v>43</v>
      </c>
      <c r="L203" s="40">
        <v>1</v>
      </c>
      <c r="M203" s="40">
        <v>2</v>
      </c>
      <c r="N203" s="40">
        <v>3</v>
      </c>
      <c r="O203" s="40">
        <v>3</v>
      </c>
      <c r="P203" s="41">
        <v>1</v>
      </c>
      <c r="Q203" s="40">
        <v>3</v>
      </c>
      <c r="R203" s="40">
        <v>2</v>
      </c>
      <c r="S203" s="40">
        <v>3</v>
      </c>
      <c r="T203" s="40">
        <v>5</v>
      </c>
      <c r="U203" s="41">
        <v>4</v>
      </c>
      <c r="V203" s="40">
        <v>2</v>
      </c>
      <c r="W203" s="40">
        <v>5</v>
      </c>
      <c r="X203" s="40">
        <v>1</v>
      </c>
      <c r="Y203" s="41">
        <v>1</v>
      </c>
      <c r="Z203" s="40" t="s">
        <v>45</v>
      </c>
      <c r="AA203" s="40" t="s">
        <v>45</v>
      </c>
      <c r="AB203" s="40" t="s">
        <v>45</v>
      </c>
      <c r="AC203" s="40" t="s">
        <v>45</v>
      </c>
      <c r="AD203" s="40" t="s">
        <v>45</v>
      </c>
      <c r="AE203" s="40">
        <v>2</v>
      </c>
      <c r="AF203" s="40">
        <v>1</v>
      </c>
      <c r="AG203" s="41">
        <v>1</v>
      </c>
      <c r="AH203" s="40">
        <v>6</v>
      </c>
      <c r="AI203" s="40">
        <v>5</v>
      </c>
      <c r="AJ203" s="41">
        <v>3</v>
      </c>
      <c r="AK203" s="43" t="s">
        <v>572</v>
      </c>
      <c r="AL203" s="43" t="s">
        <v>103</v>
      </c>
      <c r="AM203" s="44">
        <f t="shared" si="26"/>
        <v>-1.6877413821419032</v>
      </c>
      <c r="AN203" s="44">
        <f t="shared" si="27"/>
        <v>-0.74316159026614159</v>
      </c>
      <c r="AO203" s="45">
        <f t="shared" si="28"/>
        <v>0</v>
      </c>
      <c r="AP203" s="46">
        <f t="shared" si="29"/>
        <v>0</v>
      </c>
      <c r="AQ203" s="44">
        <f>($AM$3*AM203+$AN$3*AN203+$AO$3*AO203+$AP$3*AP203)+$I$3*VLOOKUP(I203,COND!$A$2:$E$7,4,FALSE)+$J$3*VLOOKUP(J203,COND!$A$2:$C$7,2,FALSE)+$K$3*VLOOKUP(K203,COND!$A$2:$C$7,3,FALSE)+IF(AND($B$2&gt;0,$E203&lt;20),$B$2*25,0)</f>
        <v>40.763286778592111</v>
      </c>
      <c r="AR203" s="47">
        <f t="shared" si="32"/>
        <v>-0.35838145454439729</v>
      </c>
      <c r="AS203" s="45" t="str">
        <f t="shared" si="30"/>
        <v>LF</v>
      </c>
      <c r="AT203" s="45">
        <v>900</v>
      </c>
      <c r="AU203" s="45">
        <v>199</v>
      </c>
      <c r="AV203" s="45"/>
      <c r="AW203" s="45" t="str">
        <f t="shared" si="31"/>
        <v>Unlikely</v>
      </c>
      <c r="AX203" s="45"/>
      <c r="AY203" s="45">
        <f>INDEX(Table5[[#All],[Ovr]],MATCH(Batters[[#This Row],[PID]],Table5[[#All],[PID]],0))</f>
        <v>298</v>
      </c>
      <c r="AZ203" s="45" t="str">
        <f>INDEX(Table5[[#All],[Rnd]],MATCH(Batters[[#This Row],[PID]],Table5[[#All],[PID]],0))</f>
        <v>10</v>
      </c>
      <c r="BA203" s="45">
        <f>INDEX(Table5[[#All],[Pick]],MATCH(Batters[[#This Row],[PID]],Table5[[#All],[PID]],0))</f>
        <v>1</v>
      </c>
      <c r="BB203" s="45" t="str">
        <f>INDEX(Table5[[#All],[Team]],MATCH(Batters[[#This Row],[PID]],Table5[[#All],[PID]],0))</f>
        <v>Yuma Arroyos</v>
      </c>
    </row>
    <row r="204" spans="1:54" ht="15" customHeight="1" x14ac:dyDescent="0.3">
      <c r="A204" s="40">
        <v>5636</v>
      </c>
      <c r="B204" s="40" t="s">
        <v>72</v>
      </c>
      <c r="C204" s="40" t="s">
        <v>182</v>
      </c>
      <c r="D204" s="40" t="s">
        <v>404</v>
      </c>
      <c r="E204" s="40">
        <v>21</v>
      </c>
      <c r="F204" s="40" t="s">
        <v>42</v>
      </c>
      <c r="G204" s="40" t="s">
        <v>42</v>
      </c>
      <c r="H204" s="41" t="s">
        <v>550</v>
      </c>
      <c r="I204" s="64" t="s">
        <v>47</v>
      </c>
      <c r="J204" s="65" t="s">
        <v>47</v>
      </c>
      <c r="K204" s="66" t="s">
        <v>43</v>
      </c>
      <c r="L204" s="40">
        <v>1</v>
      </c>
      <c r="M204" s="40">
        <v>2</v>
      </c>
      <c r="N204" s="40">
        <v>2</v>
      </c>
      <c r="O204" s="40">
        <v>2</v>
      </c>
      <c r="P204" s="41">
        <v>1</v>
      </c>
      <c r="Q204" s="40">
        <v>3</v>
      </c>
      <c r="R204" s="40">
        <v>4</v>
      </c>
      <c r="S204" s="40">
        <v>3</v>
      </c>
      <c r="T204" s="40">
        <v>5</v>
      </c>
      <c r="U204" s="41">
        <v>4</v>
      </c>
      <c r="V204" s="40">
        <v>8</v>
      </c>
      <c r="W204" s="40">
        <v>7</v>
      </c>
      <c r="X204" s="40">
        <v>1</v>
      </c>
      <c r="Y204" s="41">
        <v>1</v>
      </c>
      <c r="Z204" s="40" t="s">
        <v>45</v>
      </c>
      <c r="AA204" s="40" t="s">
        <v>45</v>
      </c>
      <c r="AB204" s="40" t="s">
        <v>45</v>
      </c>
      <c r="AC204" s="40" t="s">
        <v>45</v>
      </c>
      <c r="AD204" s="40">
        <v>9</v>
      </c>
      <c r="AE204" s="40" t="s">
        <v>45</v>
      </c>
      <c r="AF204" s="40" t="s">
        <v>45</v>
      </c>
      <c r="AG204" s="41" t="s">
        <v>45</v>
      </c>
      <c r="AH204" s="40">
        <v>9</v>
      </c>
      <c r="AI204" s="40">
        <v>8</v>
      </c>
      <c r="AJ204" s="41">
        <v>10</v>
      </c>
      <c r="AK204" s="43" t="s">
        <v>695</v>
      </c>
      <c r="AL204" s="43" t="s">
        <v>103</v>
      </c>
      <c r="AM204" s="44">
        <f t="shared" si="26"/>
        <v>-1.8605124261753858</v>
      </c>
      <c r="AN204" s="44">
        <f t="shared" si="27"/>
        <v>-0.64104183102873458</v>
      </c>
      <c r="AO204" s="45">
        <f t="shared" si="28"/>
        <v>5</v>
      </c>
      <c r="AP204" s="46">
        <f t="shared" si="29"/>
        <v>1.5</v>
      </c>
      <c r="AQ204" s="44">
        <f>($AM$3*AM204+$AN$3*AN204+$AO$3*AO204+$AP$3*AP204)+$I$3*VLOOKUP(I204,COND!$A$2:$E$7,4,FALSE)+$J$3*VLOOKUP(J204,COND!$A$2:$C$7,2,FALSE)+$K$3*VLOOKUP(K204,COND!$A$2:$C$7,3,FALSE)+IF(AND($B$2&gt;0,$E204&lt;20),$B$2*25,0)</f>
        <v>39.979780118370982</v>
      </c>
      <c r="AR204" s="47">
        <f t="shared" si="32"/>
        <v>-0.47274844063282884</v>
      </c>
      <c r="AS204" s="45" t="str">
        <f t="shared" si="30"/>
        <v>SS</v>
      </c>
      <c r="AT204" s="45">
        <v>900</v>
      </c>
      <c r="AU204" s="45">
        <v>200</v>
      </c>
      <c r="AV204" s="45"/>
      <c r="AW204" s="45" t="str">
        <f t="shared" si="31"/>
        <v>Unlikely</v>
      </c>
      <c r="AX204" s="45"/>
      <c r="AY204" s="45">
        <f>INDEX(Table5[[#All],[Ovr]],MATCH(Batters[[#This Row],[PID]],Table5[[#All],[PID]],0))</f>
        <v>157</v>
      </c>
      <c r="AZ204" s="45" t="str">
        <f>INDEX(Table5[[#All],[Rnd]],MATCH(Batters[[#This Row],[PID]],Table5[[#All],[PID]],0))</f>
        <v>5</v>
      </c>
      <c r="BA204" s="45">
        <f>INDEX(Table5[[#All],[Pick]],MATCH(Batters[[#This Row],[PID]],Table5[[#All],[PID]],0))</f>
        <v>20</v>
      </c>
      <c r="BB204" s="45" t="str">
        <f>INDEX(Table5[[#All],[Team]],MATCH(Batters[[#This Row],[PID]],Table5[[#All],[PID]],0))</f>
        <v>Crystal Lake Sandgnats</v>
      </c>
    </row>
    <row r="205" spans="1:54" ht="15" customHeight="1" x14ac:dyDescent="0.3">
      <c r="A205" s="40">
        <v>7607</v>
      </c>
      <c r="B205" s="40" t="s">
        <v>86</v>
      </c>
      <c r="C205" s="40" t="s">
        <v>176</v>
      </c>
      <c r="D205" s="40" t="s">
        <v>769</v>
      </c>
      <c r="E205" s="40">
        <v>21</v>
      </c>
      <c r="F205" s="40" t="s">
        <v>42</v>
      </c>
      <c r="G205" s="40" t="s">
        <v>42</v>
      </c>
      <c r="H205" s="41" t="s">
        <v>550</v>
      </c>
      <c r="I205" s="64" t="s">
        <v>43</v>
      </c>
      <c r="J205" s="65" t="s">
        <v>43</v>
      </c>
      <c r="K205" s="66" t="s">
        <v>43</v>
      </c>
      <c r="L205" s="40">
        <v>2</v>
      </c>
      <c r="M205" s="40">
        <v>3</v>
      </c>
      <c r="N205" s="40">
        <v>3</v>
      </c>
      <c r="O205" s="40">
        <v>3</v>
      </c>
      <c r="P205" s="41">
        <v>1</v>
      </c>
      <c r="Q205" s="40">
        <v>3</v>
      </c>
      <c r="R205" s="40">
        <v>5</v>
      </c>
      <c r="S205" s="40">
        <v>4</v>
      </c>
      <c r="T205" s="40">
        <v>6</v>
      </c>
      <c r="U205" s="41">
        <v>3</v>
      </c>
      <c r="V205" s="40">
        <v>2</v>
      </c>
      <c r="W205" s="40">
        <v>3</v>
      </c>
      <c r="X205" s="40">
        <v>6</v>
      </c>
      <c r="Y205" s="41">
        <v>6</v>
      </c>
      <c r="Z205" s="40">
        <v>2</v>
      </c>
      <c r="AA205" s="40" t="s">
        <v>45</v>
      </c>
      <c r="AB205" s="40" t="s">
        <v>45</v>
      </c>
      <c r="AC205" s="40" t="s">
        <v>45</v>
      </c>
      <c r="AD205" s="40" t="s">
        <v>45</v>
      </c>
      <c r="AE205" s="40" t="s">
        <v>45</v>
      </c>
      <c r="AF205" s="40" t="s">
        <v>45</v>
      </c>
      <c r="AG205" s="41" t="s">
        <v>45</v>
      </c>
      <c r="AH205" s="40">
        <v>2</v>
      </c>
      <c r="AI205" s="40">
        <v>2</v>
      </c>
      <c r="AJ205" s="41">
        <v>2</v>
      </c>
      <c r="AK205" s="43" t="s">
        <v>570</v>
      </c>
      <c r="AL205" s="43" t="s">
        <v>103</v>
      </c>
      <c r="AM205" s="44">
        <f t="shared" si="26"/>
        <v>-1.3141256663205254</v>
      </c>
      <c r="AN205" s="44">
        <f t="shared" si="27"/>
        <v>-0.457227247193632</v>
      </c>
      <c r="AO205" s="45">
        <f t="shared" si="28"/>
        <v>0</v>
      </c>
      <c r="AP205" s="46">
        <f t="shared" si="29"/>
        <v>1.1000000000000001</v>
      </c>
      <c r="AQ205" s="44">
        <f>($AM$3*AM205+$AN$3*AN205+$AO$3*AO205+$AP$3*AP205)+$I$3*VLOOKUP(I205,COND!$A$2:$E$7,4,FALSE)+$J$3*VLOOKUP(J205,COND!$A$2:$C$7,2,FALSE)+$K$3*VLOOKUP(K205,COND!$A$2:$C$7,3,FALSE)+IF(AND($B$2&gt;0,$E205&lt;20),$B$2*25,0)</f>
        <v>40.481860467044363</v>
      </c>
      <c r="AR205" s="47">
        <f t="shared" si="32"/>
        <v>-0.39946072124599241</v>
      </c>
      <c r="AS205" s="45" t="str">
        <f t="shared" si="30"/>
        <v>C</v>
      </c>
      <c r="AT205" s="45">
        <v>900</v>
      </c>
      <c r="AU205" s="45">
        <v>201</v>
      </c>
      <c r="AV205" s="45"/>
      <c r="AW205" s="45" t="str">
        <f t="shared" si="31"/>
        <v>Unlikely</v>
      </c>
      <c r="AX205" s="45"/>
      <c r="AY205" s="45">
        <f>INDEX(Table5[[#All],[Ovr]],MATCH(Batters[[#This Row],[PID]],Table5[[#All],[PID]],0))</f>
        <v>275</v>
      </c>
      <c r="AZ205" s="45" t="str">
        <f>INDEX(Table5[[#All],[Rnd]],MATCH(Batters[[#This Row],[PID]],Table5[[#All],[PID]],0))</f>
        <v>9</v>
      </c>
      <c r="BA205" s="45">
        <f>INDEX(Table5[[#All],[Pick]],MATCH(Batters[[#This Row],[PID]],Table5[[#All],[PID]],0))</f>
        <v>10</v>
      </c>
      <c r="BB205" s="45" t="str">
        <f>INDEX(Table5[[#All],[Team]],MATCH(Batters[[#This Row],[PID]],Table5[[#All],[PID]],0))</f>
        <v>London Underground</v>
      </c>
    </row>
    <row r="206" spans="1:54" ht="15" customHeight="1" x14ac:dyDescent="0.3">
      <c r="A206" s="40">
        <v>20228</v>
      </c>
      <c r="B206" s="40" t="s">
        <v>72</v>
      </c>
      <c r="C206" s="40" t="s">
        <v>343</v>
      </c>
      <c r="D206" s="40" t="s">
        <v>724</v>
      </c>
      <c r="E206" s="40">
        <v>21</v>
      </c>
      <c r="F206" s="40" t="s">
        <v>42</v>
      </c>
      <c r="G206" s="40" t="s">
        <v>42</v>
      </c>
      <c r="H206" s="41" t="s">
        <v>550</v>
      </c>
      <c r="I206" s="64" t="s">
        <v>43</v>
      </c>
      <c r="J206" s="65" t="s">
        <v>47</v>
      </c>
      <c r="K206" s="66" t="s">
        <v>43</v>
      </c>
      <c r="L206" s="40">
        <v>2</v>
      </c>
      <c r="M206" s="40">
        <v>3</v>
      </c>
      <c r="N206" s="40">
        <v>3</v>
      </c>
      <c r="O206" s="40">
        <v>5</v>
      </c>
      <c r="P206" s="41">
        <v>2</v>
      </c>
      <c r="Q206" s="40">
        <v>3</v>
      </c>
      <c r="R206" s="40">
        <v>4</v>
      </c>
      <c r="S206" s="40">
        <v>4</v>
      </c>
      <c r="T206" s="40">
        <v>5</v>
      </c>
      <c r="U206" s="41">
        <v>3</v>
      </c>
      <c r="V206" s="40">
        <v>7</v>
      </c>
      <c r="W206" s="40">
        <v>7</v>
      </c>
      <c r="X206" s="40">
        <v>1</v>
      </c>
      <c r="Y206" s="41">
        <v>1</v>
      </c>
      <c r="Z206" s="40" t="s">
        <v>45</v>
      </c>
      <c r="AA206" s="40" t="s">
        <v>45</v>
      </c>
      <c r="AB206" s="40">
        <v>6</v>
      </c>
      <c r="AC206" s="40">
        <v>3</v>
      </c>
      <c r="AD206" s="40">
        <v>6</v>
      </c>
      <c r="AE206" s="40">
        <v>2</v>
      </c>
      <c r="AF206" s="40" t="s">
        <v>45</v>
      </c>
      <c r="AG206" s="41">
        <v>2</v>
      </c>
      <c r="AH206" s="40">
        <v>9</v>
      </c>
      <c r="AI206" s="40">
        <v>3</v>
      </c>
      <c r="AJ206" s="41">
        <v>1</v>
      </c>
      <c r="AK206" s="43" t="s">
        <v>571</v>
      </c>
      <c r="AL206" s="43" t="s">
        <v>103</v>
      </c>
      <c r="AM206" s="44">
        <f t="shared" si="26"/>
        <v>-1.0946902264842799</v>
      </c>
      <c r="AN206" s="44">
        <f t="shared" si="27"/>
        <v>-0.59799667682191648</v>
      </c>
      <c r="AO206" s="45">
        <f t="shared" si="28"/>
        <v>1</v>
      </c>
      <c r="AP206" s="46">
        <f t="shared" si="29"/>
        <v>1.6</v>
      </c>
      <c r="AQ206" s="44">
        <f>($AM$3*AM206+$AN$3*AN206+$AO$3*AO206+$AP$3*AP206)+$I$3*VLOOKUP(I206,COND!$A$2:$E$7,4,FALSE)+$J$3*VLOOKUP(J206,COND!$A$2:$C$7,2,FALSE)+$K$3*VLOOKUP(K206,COND!$A$2:$C$7,3,FALSE)+IF(AND($B$2&gt;0,$E206&lt;20),$B$2*25,0)</f>
        <v>39.781237522155244</v>
      </c>
      <c r="AR206" s="47">
        <f t="shared" si="32"/>
        <v>-0.50172932808687787</v>
      </c>
      <c r="AS206" s="45" t="str">
        <f t="shared" si="30"/>
        <v>2B</v>
      </c>
      <c r="AT206" s="45">
        <v>900</v>
      </c>
      <c r="AU206" s="45">
        <v>202</v>
      </c>
      <c r="AV206" s="45"/>
      <c r="AW206" s="45" t="str">
        <f t="shared" si="31"/>
        <v>Unlikely</v>
      </c>
      <c r="AX206" s="45"/>
      <c r="AY206" s="63">
        <f>INDEX(Table5[[#All],[Ovr]],MATCH(Batters[[#This Row],[PID]],Table5[[#All],[PID]],0))</f>
        <v>188</v>
      </c>
      <c r="AZ206" s="63" t="str">
        <f>INDEX(Table5[[#All],[Rnd]],MATCH(Batters[[#This Row],[PID]],Table5[[#All],[PID]],0))</f>
        <v>6</v>
      </c>
      <c r="BA206" s="63">
        <f>INDEX(Table5[[#All],[Pick]],MATCH(Batters[[#This Row],[PID]],Table5[[#All],[PID]],0))</f>
        <v>19</v>
      </c>
      <c r="BB206" s="63" t="str">
        <f>INDEX(Table5[[#All],[Team]],MATCH(Batters[[#This Row],[PID]],Table5[[#All],[PID]],0))</f>
        <v>Fargo Dinosaurs</v>
      </c>
    </row>
    <row r="207" spans="1:54" ht="15" customHeight="1" x14ac:dyDescent="0.3">
      <c r="A207" s="40">
        <v>12731</v>
      </c>
      <c r="B207" s="40" t="s">
        <v>72</v>
      </c>
      <c r="C207" s="40" t="s">
        <v>865</v>
      </c>
      <c r="D207" s="40" t="s">
        <v>1162</v>
      </c>
      <c r="E207" s="40">
        <v>18</v>
      </c>
      <c r="F207" s="40" t="s">
        <v>42</v>
      </c>
      <c r="G207" s="40" t="s">
        <v>42</v>
      </c>
      <c r="H207" s="41" t="s">
        <v>552</v>
      </c>
      <c r="I207" s="64" t="s">
        <v>43</v>
      </c>
      <c r="J207" s="65" t="s">
        <v>43</v>
      </c>
      <c r="K207" s="66" t="s">
        <v>43</v>
      </c>
      <c r="L207" s="40">
        <v>1</v>
      </c>
      <c r="M207" s="40">
        <v>2</v>
      </c>
      <c r="N207" s="40">
        <v>2</v>
      </c>
      <c r="O207" s="40">
        <v>2</v>
      </c>
      <c r="P207" s="41">
        <v>1</v>
      </c>
      <c r="Q207" s="40">
        <v>3</v>
      </c>
      <c r="R207" s="40">
        <v>3</v>
      </c>
      <c r="S207" s="40">
        <v>2</v>
      </c>
      <c r="T207" s="40">
        <v>4</v>
      </c>
      <c r="U207" s="41">
        <v>4</v>
      </c>
      <c r="V207" s="40">
        <v>7</v>
      </c>
      <c r="W207" s="40">
        <v>6</v>
      </c>
      <c r="X207" s="40">
        <v>1</v>
      </c>
      <c r="Y207" s="41">
        <v>1</v>
      </c>
      <c r="Z207" s="40" t="s">
        <v>45</v>
      </c>
      <c r="AA207" s="40" t="s">
        <v>45</v>
      </c>
      <c r="AB207" s="40" t="s">
        <v>45</v>
      </c>
      <c r="AC207" s="40">
        <v>2</v>
      </c>
      <c r="AD207" s="40">
        <v>5</v>
      </c>
      <c r="AE207" s="40" t="s">
        <v>45</v>
      </c>
      <c r="AF207" s="40" t="s">
        <v>45</v>
      </c>
      <c r="AG207" s="41" t="s">
        <v>45</v>
      </c>
      <c r="AH207" s="40">
        <v>5</v>
      </c>
      <c r="AI207" s="40">
        <v>6</v>
      </c>
      <c r="AJ207" s="41">
        <v>5</v>
      </c>
      <c r="AK207" s="43" t="s">
        <v>568</v>
      </c>
      <c r="AL207" s="43" t="s">
        <v>103</v>
      </c>
      <c r="AM207" s="44">
        <f t="shared" si="26"/>
        <v>-1.8605124261753858</v>
      </c>
      <c r="AN207" s="44">
        <f t="shared" si="27"/>
        <v>-0.8648727546809204</v>
      </c>
      <c r="AO207" s="45">
        <f t="shared" si="28"/>
        <v>0</v>
      </c>
      <c r="AP207" s="46">
        <f t="shared" si="29"/>
        <v>1</v>
      </c>
      <c r="AQ207" s="44">
        <f>($AM$3*AM207+$AN$3*AN207+$AO$3*AO207+$AP$3*AP207)+$I$3*VLOOKUP(I207,COND!$A$2:$E$7,4,FALSE)+$J$3*VLOOKUP(J207,COND!$A$2:$C$7,2,FALSE)+$K$3*VLOOKUP(K207,COND!$A$2:$C$7,3,FALSE)+IF(AND($B$2&gt;0,$E207&lt;20),$B$2*25,0)</f>
        <v>40.435475701211416</v>
      </c>
      <c r="AR207" s="47">
        <f t="shared" si="32"/>
        <v>-0.40623141783105349</v>
      </c>
      <c r="AS207" s="45" t="str">
        <f t="shared" si="30"/>
        <v>SS</v>
      </c>
      <c r="AT207" s="45">
        <v>900</v>
      </c>
      <c r="AU207" s="45">
        <v>203</v>
      </c>
      <c r="AV207" s="45"/>
      <c r="AW207" s="45" t="str">
        <f t="shared" si="31"/>
        <v>Unlikely</v>
      </c>
      <c r="AX207" s="45"/>
      <c r="AY207" s="45">
        <f>INDEX(Table5[[#All],[Ovr]],MATCH(Batters[[#This Row],[PID]],Table5[[#All],[PID]],0))</f>
        <v>531</v>
      </c>
      <c r="AZ207" s="45" t="str">
        <f>INDEX(Table5[[#All],[Rnd]],MATCH(Batters[[#This Row],[PID]],Table5[[#All],[PID]],0))</f>
        <v>16</v>
      </c>
      <c r="BA207" s="45">
        <f>INDEX(Table5[[#All],[Pick]],MATCH(Batters[[#This Row],[PID]],Table5[[#All],[PID]],0))</f>
        <v>30</v>
      </c>
      <c r="BB207" s="45" t="str">
        <f>INDEX(Table5[[#All],[Team]],MATCH(Batters[[#This Row],[PID]],Table5[[#All],[PID]],0))</f>
        <v>Toyama Wind Dancers</v>
      </c>
    </row>
    <row r="208" spans="1:54" ht="15" customHeight="1" x14ac:dyDescent="0.3">
      <c r="A208" s="40">
        <v>9172</v>
      </c>
      <c r="B208" s="40" t="s">
        <v>71</v>
      </c>
      <c r="C208" s="40" t="s">
        <v>200</v>
      </c>
      <c r="D208" s="40" t="s">
        <v>876</v>
      </c>
      <c r="E208" s="40">
        <v>18</v>
      </c>
      <c r="F208" s="40" t="s">
        <v>42</v>
      </c>
      <c r="G208" s="40" t="s">
        <v>42</v>
      </c>
      <c r="H208" s="41" t="s">
        <v>553</v>
      </c>
      <c r="I208" s="64" t="s">
        <v>43</v>
      </c>
      <c r="J208" s="65" t="s">
        <v>43</v>
      </c>
      <c r="K208" s="66" t="s">
        <v>43</v>
      </c>
      <c r="L208" s="40">
        <v>1</v>
      </c>
      <c r="M208" s="40">
        <v>2</v>
      </c>
      <c r="N208" s="40">
        <v>2</v>
      </c>
      <c r="O208" s="40">
        <v>1</v>
      </c>
      <c r="P208" s="41">
        <v>1</v>
      </c>
      <c r="Q208" s="40">
        <v>3</v>
      </c>
      <c r="R208" s="40">
        <v>4</v>
      </c>
      <c r="S208" s="40">
        <v>2</v>
      </c>
      <c r="T208" s="40">
        <v>4</v>
      </c>
      <c r="U208" s="41">
        <v>4</v>
      </c>
      <c r="V208" s="40">
        <v>7</v>
      </c>
      <c r="W208" s="40">
        <v>6</v>
      </c>
      <c r="X208" s="40">
        <v>1</v>
      </c>
      <c r="Y208" s="41">
        <v>1</v>
      </c>
      <c r="Z208" s="40" t="s">
        <v>45</v>
      </c>
      <c r="AA208" s="40" t="s">
        <v>45</v>
      </c>
      <c r="AB208" s="40">
        <v>2</v>
      </c>
      <c r="AC208" s="40" t="s">
        <v>45</v>
      </c>
      <c r="AD208" s="40">
        <v>1</v>
      </c>
      <c r="AE208" s="40" t="s">
        <v>45</v>
      </c>
      <c r="AF208" s="40" t="s">
        <v>45</v>
      </c>
      <c r="AG208" s="41" t="s">
        <v>45</v>
      </c>
      <c r="AH208" s="40">
        <v>9</v>
      </c>
      <c r="AI208" s="40">
        <v>7</v>
      </c>
      <c r="AJ208" s="41">
        <v>6</v>
      </c>
      <c r="AK208" s="43" t="s">
        <v>558</v>
      </c>
      <c r="AL208" s="43" t="s">
        <v>103</v>
      </c>
      <c r="AM208" s="44">
        <f t="shared" si="26"/>
        <v>-1.9502219761849671</v>
      </c>
      <c r="AN208" s="44">
        <f t="shared" si="27"/>
        <v>-0.813812875062217</v>
      </c>
      <c r="AO208" s="45">
        <f t="shared" si="28"/>
        <v>2</v>
      </c>
      <c r="AP208" s="46">
        <f t="shared" si="29"/>
        <v>0</v>
      </c>
      <c r="AQ208" s="44">
        <f>($AM$3*AM208+$AN$3*AN208+$AO$3*AO208+$AP$3*AP208)+$I$3*VLOOKUP(I208,COND!$A$2:$E$7,4,FALSE)+$J$3*VLOOKUP(J208,COND!$A$2:$C$7,2,FALSE)+$K$3*VLOOKUP(K208,COND!$A$2:$C$7,3,FALSE)+IF(AND($B$2&gt;0,$E208&lt;20),$B$2*25,0)</f>
        <v>40.372556634968234</v>
      </c>
      <c r="AR208" s="47">
        <f t="shared" si="32"/>
        <v>-0.41541559499133479</v>
      </c>
      <c r="AS208" s="45" t="str">
        <f t="shared" si="30"/>
        <v>2B</v>
      </c>
      <c r="AT208" s="45">
        <v>900</v>
      </c>
      <c r="AU208" s="45">
        <v>204</v>
      </c>
      <c r="AV208" s="45"/>
      <c r="AW208" s="45" t="str">
        <f t="shared" si="31"/>
        <v>Unlikely</v>
      </c>
      <c r="AX208" s="45"/>
      <c r="AY208" s="45">
        <f>INDEX(Table5[[#All],[Ovr]],MATCH(Batters[[#This Row],[PID]],Table5[[#All],[PID]],0))</f>
        <v>485</v>
      </c>
      <c r="AZ208" s="45" t="str">
        <f>INDEX(Table5[[#All],[Rnd]],MATCH(Batters[[#This Row],[PID]],Table5[[#All],[PID]],0))</f>
        <v>15</v>
      </c>
      <c r="BA208" s="45">
        <f>INDEX(Table5[[#All],[Pick]],MATCH(Batters[[#This Row],[PID]],Table5[[#All],[PID]],0))</f>
        <v>18</v>
      </c>
      <c r="BB208" s="45" t="str">
        <f>INDEX(Table5[[#All],[Team]],MATCH(Batters[[#This Row],[PID]],Table5[[#All],[PID]],0))</f>
        <v>San Juan Coqui</v>
      </c>
    </row>
    <row r="209" spans="1:54" ht="15" customHeight="1" x14ac:dyDescent="0.3">
      <c r="A209" s="40">
        <v>20514</v>
      </c>
      <c r="B209" s="40" t="s">
        <v>86</v>
      </c>
      <c r="C209" s="40" t="s">
        <v>1142</v>
      </c>
      <c r="D209" s="40" t="s">
        <v>1143</v>
      </c>
      <c r="E209" s="40">
        <v>18</v>
      </c>
      <c r="F209" s="40" t="s">
        <v>62</v>
      </c>
      <c r="G209" s="40" t="s">
        <v>42</v>
      </c>
      <c r="H209" s="41" t="s">
        <v>552</v>
      </c>
      <c r="I209" s="64" t="s">
        <v>44</v>
      </c>
      <c r="J209" s="65" t="s">
        <v>47</v>
      </c>
      <c r="K209" s="66" t="s">
        <v>44</v>
      </c>
      <c r="L209" s="40">
        <v>1</v>
      </c>
      <c r="M209" s="40">
        <v>4</v>
      </c>
      <c r="N209" s="40">
        <v>3</v>
      </c>
      <c r="O209" s="40">
        <v>4</v>
      </c>
      <c r="P209" s="41">
        <v>1</v>
      </c>
      <c r="Q209" s="40">
        <v>2</v>
      </c>
      <c r="R209" s="40">
        <v>4</v>
      </c>
      <c r="S209" s="40">
        <v>4</v>
      </c>
      <c r="T209" s="40">
        <v>6</v>
      </c>
      <c r="U209" s="41">
        <v>2</v>
      </c>
      <c r="V209" s="40">
        <v>4</v>
      </c>
      <c r="W209" s="40">
        <v>3</v>
      </c>
      <c r="X209" s="40">
        <v>5</v>
      </c>
      <c r="Y209" s="41">
        <v>7</v>
      </c>
      <c r="Z209" s="40">
        <v>2</v>
      </c>
      <c r="AA209" s="40" t="s">
        <v>45</v>
      </c>
      <c r="AB209" s="40" t="s">
        <v>45</v>
      </c>
      <c r="AC209" s="40" t="s">
        <v>45</v>
      </c>
      <c r="AD209" s="40" t="s">
        <v>45</v>
      </c>
      <c r="AE209" s="40" t="s">
        <v>45</v>
      </c>
      <c r="AF209" s="40" t="s">
        <v>45</v>
      </c>
      <c r="AG209" s="41" t="s">
        <v>45</v>
      </c>
      <c r="AH209" s="40">
        <v>2</v>
      </c>
      <c r="AI209" s="40">
        <v>3</v>
      </c>
      <c r="AJ209" s="41">
        <v>5</v>
      </c>
      <c r="AK209" s="43" t="s">
        <v>558</v>
      </c>
      <c r="AL209" s="43" t="s">
        <v>103</v>
      </c>
      <c r="AM209" s="44">
        <f t="shared" si="26"/>
        <v>-1.4959120728949156</v>
      </c>
      <c r="AN209" s="44">
        <f t="shared" si="27"/>
        <v>-0.87085930283209367</v>
      </c>
      <c r="AO209" s="45">
        <f t="shared" si="28"/>
        <v>0</v>
      </c>
      <c r="AP209" s="46">
        <f t="shared" si="29"/>
        <v>1.1000000000000001</v>
      </c>
      <c r="AQ209" s="44">
        <f>($AM$3*AM209+$AN$3*AN209+$AO$3*AO209+$AP$3*AP209)+$I$3*VLOOKUP(I209,COND!$A$2:$E$7,4,FALSE)+$J$3*VLOOKUP(J209,COND!$A$2:$C$7,2,FALSE)+$K$3*VLOOKUP(K209,COND!$A$2:$C$7,3,FALSE)+IF(AND($B$2&gt;0,$E209&lt;20),$B$2*25,0)</f>
        <v>40.35009715872539</v>
      </c>
      <c r="AR209" s="47">
        <f t="shared" si="32"/>
        <v>-0.41869396228216782</v>
      </c>
      <c r="AS209" s="45" t="str">
        <f t="shared" si="30"/>
        <v>C</v>
      </c>
      <c r="AT209" s="45">
        <v>900</v>
      </c>
      <c r="AU209" s="45">
        <v>205</v>
      </c>
      <c r="AV209" s="45"/>
      <c r="AW209" s="45" t="str">
        <f t="shared" si="31"/>
        <v>Unlikely</v>
      </c>
      <c r="AX209" s="45"/>
      <c r="AY209" s="45">
        <f>INDEX(Table5[[#All],[Ovr]],MATCH(Batters[[#This Row],[PID]],Table5[[#All],[PID]],0))</f>
        <v>668</v>
      </c>
      <c r="AZ209" s="45" t="str">
        <f>INDEX(Table5[[#All],[Rnd]],MATCH(Batters[[#This Row],[PID]],Table5[[#All],[PID]],0))</f>
        <v>20</v>
      </c>
      <c r="BA209" s="45">
        <f>INDEX(Table5[[#All],[Pick]],MATCH(Batters[[#This Row],[PID]],Table5[[#All],[PID]],0))</f>
        <v>31</v>
      </c>
      <c r="BB209" s="45" t="str">
        <f>INDEX(Table5[[#All],[Team]],MATCH(Batters[[#This Row],[PID]],Table5[[#All],[PID]],0))</f>
        <v>West Virginia Alleghenies</v>
      </c>
    </row>
    <row r="210" spans="1:54" ht="15" customHeight="1" x14ac:dyDescent="0.3">
      <c r="A210" s="40">
        <v>8504</v>
      </c>
      <c r="B210" s="40" t="s">
        <v>66</v>
      </c>
      <c r="C210" s="40" t="s">
        <v>282</v>
      </c>
      <c r="D210" s="40" t="s">
        <v>880</v>
      </c>
      <c r="E210" s="40">
        <v>22</v>
      </c>
      <c r="F210" s="40" t="s">
        <v>53</v>
      </c>
      <c r="G210" s="40" t="s">
        <v>53</v>
      </c>
      <c r="H210" s="41" t="s">
        <v>552</v>
      </c>
      <c r="I210" s="64" t="s">
        <v>43</v>
      </c>
      <c r="J210" s="65" t="s">
        <v>47</v>
      </c>
      <c r="K210" s="66" t="s">
        <v>43</v>
      </c>
      <c r="L210" s="40">
        <v>1</v>
      </c>
      <c r="M210" s="40">
        <v>2</v>
      </c>
      <c r="N210" s="40">
        <v>3</v>
      </c>
      <c r="O210" s="40">
        <v>3</v>
      </c>
      <c r="P210" s="41">
        <v>3</v>
      </c>
      <c r="Q210" s="40">
        <v>4</v>
      </c>
      <c r="R210" s="40">
        <v>3</v>
      </c>
      <c r="S210" s="40">
        <v>4</v>
      </c>
      <c r="T210" s="40">
        <v>3</v>
      </c>
      <c r="U210" s="41">
        <v>4</v>
      </c>
      <c r="V210" s="40">
        <v>6</v>
      </c>
      <c r="W210" s="40">
        <v>8</v>
      </c>
      <c r="X210" s="40">
        <v>1</v>
      </c>
      <c r="Y210" s="41">
        <v>1</v>
      </c>
      <c r="Z210" s="40" t="s">
        <v>45</v>
      </c>
      <c r="AA210" s="40" t="s">
        <v>45</v>
      </c>
      <c r="AB210" s="40" t="s">
        <v>45</v>
      </c>
      <c r="AC210" s="40" t="s">
        <v>45</v>
      </c>
      <c r="AD210" s="40" t="s">
        <v>45</v>
      </c>
      <c r="AE210" s="40" t="s">
        <v>45</v>
      </c>
      <c r="AF210" s="40" t="s">
        <v>45</v>
      </c>
      <c r="AG210" s="41">
        <v>2</v>
      </c>
      <c r="AH210" s="40">
        <v>4</v>
      </c>
      <c r="AI210" s="40">
        <v>5</v>
      </c>
      <c r="AJ210" s="41">
        <v>1</v>
      </c>
      <c r="AK210" s="43" t="s">
        <v>45</v>
      </c>
      <c r="AL210" s="43" t="s">
        <v>103</v>
      </c>
      <c r="AM210" s="44">
        <f t="shared" si="26"/>
        <v>-1.6077087025077363</v>
      </c>
      <c r="AN210" s="44">
        <f t="shared" si="27"/>
        <v>-0.46590348044002389</v>
      </c>
      <c r="AO210" s="45">
        <f t="shared" si="28"/>
        <v>0</v>
      </c>
      <c r="AP210" s="46">
        <f t="shared" si="29"/>
        <v>0</v>
      </c>
      <c r="AQ210" s="44">
        <f>($AM$3*AM210+$AN$3*AN210+$AO$3*AO210+$AP$3*AP210)+$I$3*VLOOKUP(I210,COND!$A$2:$E$7,4,FALSE)+$J$3*VLOOKUP(J210,COND!$A$2:$C$7,2,FALSE)+$K$3*VLOOKUP(K210,COND!$A$2:$C$7,3,FALSE)+IF(AND($B$2&gt;0,$E210&lt;20),$B$2*25,0)</f>
        <v>39.548387364468937</v>
      </c>
      <c r="AR210" s="47">
        <f t="shared" si="32"/>
        <v>-0.53571802543538938</v>
      </c>
      <c r="AS210" s="45" t="str">
        <f t="shared" si="30"/>
        <v>RF</v>
      </c>
      <c r="AT210" s="45">
        <v>900</v>
      </c>
      <c r="AU210" s="45">
        <v>206</v>
      </c>
      <c r="AV210" s="45"/>
      <c r="AW210" s="45" t="str">
        <f t="shared" si="31"/>
        <v>Unlikely</v>
      </c>
      <c r="AX210" s="45"/>
      <c r="AY210" s="63">
        <f>INDEX(Table5[[#All],[Ovr]],MATCH(Batters[[#This Row],[PID]],Table5[[#All],[PID]],0))</f>
        <v>328</v>
      </c>
      <c r="AZ210" s="63" t="str">
        <f>INDEX(Table5[[#All],[Rnd]],MATCH(Batters[[#This Row],[PID]],Table5[[#All],[PID]],0))</f>
        <v>10</v>
      </c>
      <c r="BA210" s="63">
        <f>INDEX(Table5[[#All],[Pick]],MATCH(Batters[[#This Row],[PID]],Table5[[#All],[PID]],0))</f>
        <v>31</v>
      </c>
      <c r="BB210" s="63" t="str">
        <f>INDEX(Table5[[#All],[Team]],MATCH(Batters[[#This Row],[PID]],Table5[[#All],[PID]],0))</f>
        <v>Arlington Bureaucrats</v>
      </c>
    </row>
    <row r="211" spans="1:54" ht="15" customHeight="1" x14ac:dyDescent="0.3">
      <c r="A211" s="40">
        <v>16888</v>
      </c>
      <c r="B211" s="40" t="s">
        <v>86</v>
      </c>
      <c r="C211" s="40" t="s">
        <v>569</v>
      </c>
      <c r="D211" s="40" t="s">
        <v>811</v>
      </c>
      <c r="E211" s="40">
        <v>22</v>
      </c>
      <c r="F211" s="40" t="s">
        <v>53</v>
      </c>
      <c r="G211" s="40" t="s">
        <v>42</v>
      </c>
      <c r="H211" s="41" t="s">
        <v>552</v>
      </c>
      <c r="I211" s="64" t="s">
        <v>43</v>
      </c>
      <c r="J211" s="65" t="s">
        <v>47</v>
      </c>
      <c r="K211" s="66" t="s">
        <v>47</v>
      </c>
      <c r="L211" s="40">
        <v>2</v>
      </c>
      <c r="M211" s="40">
        <v>3</v>
      </c>
      <c r="N211" s="40">
        <v>2</v>
      </c>
      <c r="O211" s="40">
        <v>2</v>
      </c>
      <c r="P211" s="41">
        <v>1</v>
      </c>
      <c r="Q211" s="40">
        <v>3</v>
      </c>
      <c r="R211" s="40">
        <v>4</v>
      </c>
      <c r="S211" s="40">
        <v>3</v>
      </c>
      <c r="T211" s="40">
        <v>5</v>
      </c>
      <c r="U211" s="41">
        <v>3</v>
      </c>
      <c r="V211" s="40">
        <v>2</v>
      </c>
      <c r="W211" s="40">
        <v>3</v>
      </c>
      <c r="X211" s="40">
        <v>6</v>
      </c>
      <c r="Y211" s="41">
        <v>8</v>
      </c>
      <c r="Z211" s="40">
        <v>3</v>
      </c>
      <c r="AA211" s="40" t="s">
        <v>45</v>
      </c>
      <c r="AB211" s="40" t="s">
        <v>45</v>
      </c>
      <c r="AC211" s="40" t="s">
        <v>45</v>
      </c>
      <c r="AD211" s="40" t="s">
        <v>45</v>
      </c>
      <c r="AE211" s="40" t="s">
        <v>45</v>
      </c>
      <c r="AF211" s="40" t="s">
        <v>45</v>
      </c>
      <c r="AG211" s="41" t="s">
        <v>45</v>
      </c>
      <c r="AH211" s="40">
        <v>1</v>
      </c>
      <c r="AI211" s="40">
        <v>2</v>
      </c>
      <c r="AJ211" s="41">
        <v>1</v>
      </c>
      <c r="AK211" s="43" t="s">
        <v>45</v>
      </c>
      <c r="AL211" s="43" t="s">
        <v>103</v>
      </c>
      <c r="AM211" s="44">
        <f t="shared" si="26"/>
        <v>-1.4868967103540081</v>
      </c>
      <c r="AN211" s="44">
        <f t="shared" si="27"/>
        <v>-0.6810581708458181</v>
      </c>
      <c r="AO211" s="45">
        <f t="shared" si="28"/>
        <v>0</v>
      </c>
      <c r="AP211" s="46">
        <f t="shared" si="29"/>
        <v>1.35</v>
      </c>
      <c r="AQ211" s="44">
        <f>($AM$3*AM211+$AN$3*AN211+$AO$3*AO211+$AP$3*AP211)+$I$3*VLOOKUP(I211,COND!$A$2:$E$7,4,FALSE)+$J$3*VLOOKUP(J211,COND!$A$2:$C$7,2,FALSE)+$K$3*VLOOKUP(K211,COND!$A$2:$C$7,3,FALSE)+IF(AND($B$2&gt;0,$E211&lt;20),$B$2*25,0)</f>
        <v>38.628612278814785</v>
      </c>
      <c r="AR211" s="47">
        <f t="shared" si="32"/>
        <v>-0.66997585598887321</v>
      </c>
      <c r="AS211" s="45" t="str">
        <f t="shared" si="30"/>
        <v>C</v>
      </c>
      <c r="AT211" s="45">
        <v>900</v>
      </c>
      <c r="AU211" s="45">
        <v>207</v>
      </c>
      <c r="AV211" s="45"/>
      <c r="AW211" s="45" t="str">
        <f t="shared" si="31"/>
        <v>Unlikely</v>
      </c>
      <c r="AX211" s="45"/>
      <c r="AY211" s="45">
        <f>INDEX(Table5[[#All],[Ovr]],MATCH(Batters[[#This Row],[PID]],Table5[[#All],[PID]],0))</f>
        <v>643</v>
      </c>
      <c r="AZ211" s="45" t="str">
        <f>INDEX(Table5[[#All],[Rnd]],MATCH(Batters[[#This Row],[PID]],Table5[[#All],[PID]],0))</f>
        <v>20</v>
      </c>
      <c r="BA211" s="45">
        <f>INDEX(Table5[[#All],[Pick]],MATCH(Batters[[#This Row],[PID]],Table5[[#All],[PID]],0))</f>
        <v>6</v>
      </c>
      <c r="BB211" s="45" t="str">
        <f>INDEX(Table5[[#All],[Team]],MATCH(Batters[[#This Row],[PID]],Table5[[#All],[PID]],0))</f>
        <v>New Orleans Trendsetters</v>
      </c>
    </row>
    <row r="212" spans="1:54" ht="15" customHeight="1" x14ac:dyDescent="0.3">
      <c r="A212" s="40">
        <v>12121</v>
      </c>
      <c r="B212" s="40" t="s">
        <v>69</v>
      </c>
      <c r="C212" s="40" t="s">
        <v>564</v>
      </c>
      <c r="D212" s="40" t="s">
        <v>1039</v>
      </c>
      <c r="E212" s="40">
        <v>21</v>
      </c>
      <c r="F212" s="40" t="s">
        <v>62</v>
      </c>
      <c r="G212" s="40" t="s">
        <v>42</v>
      </c>
      <c r="H212" s="41" t="s">
        <v>550</v>
      </c>
      <c r="I212" s="64" t="s">
        <v>43</v>
      </c>
      <c r="J212" s="65" t="s">
        <v>47</v>
      </c>
      <c r="K212" s="66" t="s">
        <v>43</v>
      </c>
      <c r="L212" s="40">
        <v>1</v>
      </c>
      <c r="M212" s="40">
        <v>2</v>
      </c>
      <c r="N212" s="40">
        <v>2</v>
      </c>
      <c r="O212" s="40">
        <v>3</v>
      </c>
      <c r="P212" s="41">
        <v>1</v>
      </c>
      <c r="Q212" s="40">
        <v>3</v>
      </c>
      <c r="R212" s="40">
        <v>4</v>
      </c>
      <c r="S212" s="40">
        <v>3</v>
      </c>
      <c r="T212" s="40">
        <v>6</v>
      </c>
      <c r="U212" s="41">
        <v>3</v>
      </c>
      <c r="V212" s="40">
        <v>9</v>
      </c>
      <c r="W212" s="40">
        <v>8</v>
      </c>
      <c r="X212" s="40">
        <v>1</v>
      </c>
      <c r="Y212" s="41">
        <v>1</v>
      </c>
      <c r="Z212" s="40" t="s">
        <v>45</v>
      </c>
      <c r="AA212" s="40" t="s">
        <v>45</v>
      </c>
      <c r="AB212" s="40" t="s">
        <v>45</v>
      </c>
      <c r="AC212" s="40">
        <v>8</v>
      </c>
      <c r="AD212" s="40">
        <v>2</v>
      </c>
      <c r="AE212" s="40" t="s">
        <v>45</v>
      </c>
      <c r="AF212" s="40" t="s">
        <v>45</v>
      </c>
      <c r="AG212" s="41" t="s">
        <v>45</v>
      </c>
      <c r="AH212" s="40">
        <v>5</v>
      </c>
      <c r="AI212" s="40">
        <v>4</v>
      </c>
      <c r="AJ212" s="41">
        <v>3</v>
      </c>
      <c r="AK212" s="43" t="s">
        <v>558</v>
      </c>
      <c r="AL212" s="43" t="s">
        <v>103</v>
      </c>
      <c r="AM212" s="44">
        <f t="shared" si="26"/>
        <v>-1.7708028761658048</v>
      </c>
      <c r="AN212" s="44">
        <f t="shared" si="27"/>
        <v>-0.59134862083623696</v>
      </c>
      <c r="AO212" s="45">
        <f t="shared" si="28"/>
        <v>0</v>
      </c>
      <c r="AP212" s="46">
        <f t="shared" si="29"/>
        <v>1.25</v>
      </c>
      <c r="AQ212" s="44">
        <f>($AM$3*AM212+$AN$3*AN212+$AO$3*AO212+$AP$3*AP212)+$I$3*VLOOKUP(I212,COND!$A$2:$E$7,4,FALSE)+$J$3*VLOOKUP(J212,COND!$A$2:$C$7,2,FALSE)+$K$3*VLOOKUP(K212,COND!$A$2:$C$7,3,FALSE)+IF(AND($B$2&gt;0,$E212&lt;20),$B$2*25,0)</f>
        <v>39.276736262348578</v>
      </c>
      <c r="AR212" s="47">
        <f t="shared" si="32"/>
        <v>-0.57537042329546362</v>
      </c>
      <c r="AS212" s="45" t="str">
        <f t="shared" si="30"/>
        <v>3B</v>
      </c>
      <c r="AT212" s="45">
        <v>900</v>
      </c>
      <c r="AU212" s="45">
        <v>208</v>
      </c>
      <c r="AV212" s="45"/>
      <c r="AW212" s="45" t="str">
        <f t="shared" si="31"/>
        <v>Unlikely</v>
      </c>
      <c r="AX212" s="45"/>
      <c r="AY212" s="63">
        <f>INDEX(Table5[[#All],[Ovr]],MATCH(Batters[[#This Row],[PID]],Table5[[#All],[PID]],0))</f>
        <v>283</v>
      </c>
      <c r="AZ212" s="63" t="str">
        <f>INDEX(Table5[[#All],[Rnd]],MATCH(Batters[[#This Row],[PID]],Table5[[#All],[PID]],0))</f>
        <v>9</v>
      </c>
      <c r="BA212" s="63">
        <f>INDEX(Table5[[#All],[Pick]],MATCH(Batters[[#This Row],[PID]],Table5[[#All],[PID]],0))</f>
        <v>18</v>
      </c>
      <c r="BB212" s="63" t="str">
        <f>INDEX(Table5[[#All],[Team]],MATCH(Batters[[#This Row],[PID]],Table5[[#All],[PID]],0))</f>
        <v>San Juan Coqui</v>
      </c>
    </row>
    <row r="213" spans="1:54" ht="15" customHeight="1" x14ac:dyDescent="0.3">
      <c r="A213" s="40">
        <v>13270</v>
      </c>
      <c r="B213" s="40" t="s">
        <v>69</v>
      </c>
      <c r="C213" s="40" t="s">
        <v>725</v>
      </c>
      <c r="D213" s="40" t="s">
        <v>1185</v>
      </c>
      <c r="E213" s="40">
        <v>17</v>
      </c>
      <c r="F213" s="40" t="s">
        <v>62</v>
      </c>
      <c r="G213" s="40" t="s">
        <v>42</v>
      </c>
      <c r="H213" s="41" t="s">
        <v>552</v>
      </c>
      <c r="I213" s="64" t="s">
        <v>43</v>
      </c>
      <c r="J213" s="65" t="s">
        <v>43</v>
      </c>
      <c r="K213" s="66" t="s">
        <v>43</v>
      </c>
      <c r="L213" s="40">
        <v>1</v>
      </c>
      <c r="M213" s="40">
        <v>2</v>
      </c>
      <c r="N213" s="40">
        <v>2</v>
      </c>
      <c r="O213" s="40">
        <v>3</v>
      </c>
      <c r="P213" s="41">
        <v>1</v>
      </c>
      <c r="Q213" s="40">
        <v>3</v>
      </c>
      <c r="R213" s="40">
        <v>3</v>
      </c>
      <c r="S213" s="40">
        <v>3</v>
      </c>
      <c r="T213" s="40">
        <v>4</v>
      </c>
      <c r="U213" s="41">
        <v>3</v>
      </c>
      <c r="V213" s="40">
        <v>10</v>
      </c>
      <c r="W213" s="40">
        <v>9</v>
      </c>
      <c r="X213" s="40">
        <v>1</v>
      </c>
      <c r="Y213" s="41">
        <v>1</v>
      </c>
      <c r="Z213" s="40" t="s">
        <v>45</v>
      </c>
      <c r="AA213" s="40" t="s">
        <v>45</v>
      </c>
      <c r="AB213" s="40" t="s">
        <v>45</v>
      </c>
      <c r="AC213" s="40">
        <v>3</v>
      </c>
      <c r="AD213" s="40" t="s">
        <v>45</v>
      </c>
      <c r="AE213" s="40" t="s">
        <v>45</v>
      </c>
      <c r="AF213" s="40" t="s">
        <v>45</v>
      </c>
      <c r="AG213" s="41" t="s">
        <v>45</v>
      </c>
      <c r="AH213" s="40">
        <v>2</v>
      </c>
      <c r="AI213" s="40">
        <v>6</v>
      </c>
      <c r="AJ213" s="41">
        <v>4</v>
      </c>
      <c r="AK213" s="43" t="s">
        <v>583</v>
      </c>
      <c r="AL213" s="43" t="s">
        <v>103</v>
      </c>
      <c r="AM213" s="44">
        <f t="shared" si="26"/>
        <v>-1.7708028761658048</v>
      </c>
      <c r="AN213" s="44">
        <f t="shared" si="27"/>
        <v>-0.82182760047410253</v>
      </c>
      <c r="AO213" s="45">
        <f t="shared" si="28"/>
        <v>0</v>
      </c>
      <c r="AP213" s="46">
        <f t="shared" si="29"/>
        <v>0</v>
      </c>
      <c r="AQ213" s="44">
        <f>($AM$3*AM213+$AN$3*AN213+$AO$3*AO213+$AP$3*AP213)+$I$3*VLOOKUP(I213,COND!$A$2:$E$7,4,FALSE)+$J$3*VLOOKUP(J213,COND!$A$2:$C$7,2,FALSE)+$K$3*VLOOKUP(K213,COND!$A$2:$C$7,3,FALSE)+IF(AND($B$2&gt;0,$E213&lt;20),$B$2*25,0)</f>
        <v>39.960988506694186</v>
      </c>
      <c r="AR213" s="47">
        <f t="shared" si="32"/>
        <v>-0.47549141666651418</v>
      </c>
      <c r="AS213" s="45" t="str">
        <f t="shared" si="30"/>
        <v>3B</v>
      </c>
      <c r="AT213" s="45">
        <v>900</v>
      </c>
      <c r="AU213" s="45">
        <v>209</v>
      </c>
      <c r="AV213" s="45"/>
      <c r="AW213" s="45" t="str">
        <f t="shared" si="31"/>
        <v>Unlikely</v>
      </c>
      <c r="AX213" s="45"/>
      <c r="AY213" s="45" t="str">
        <f>INDEX(Table5[[#All],[Ovr]],MATCH(Batters[[#This Row],[PID]],Table5[[#All],[PID]],0))</f>
        <v/>
      </c>
      <c r="AZ213" s="45" t="str">
        <f>INDEX(Table5[[#All],[Rnd]],MATCH(Batters[[#This Row],[PID]],Table5[[#All],[PID]],0))</f>
        <v/>
      </c>
      <c r="BA213" s="45" t="str">
        <f>INDEX(Table5[[#All],[Pick]],MATCH(Batters[[#This Row],[PID]],Table5[[#All],[PID]],0))</f>
        <v/>
      </c>
      <c r="BB213" s="45" t="str">
        <f>INDEX(Table5[[#All],[Team]],MATCH(Batters[[#This Row],[PID]],Table5[[#All],[PID]],0))</f>
        <v/>
      </c>
    </row>
    <row r="214" spans="1:54" ht="15" customHeight="1" x14ac:dyDescent="0.3">
      <c r="A214" s="40">
        <v>15639</v>
      </c>
      <c r="B214" s="40" t="s">
        <v>71</v>
      </c>
      <c r="C214" s="40" t="s">
        <v>864</v>
      </c>
      <c r="D214" s="40" t="s">
        <v>494</v>
      </c>
      <c r="E214" s="40">
        <v>22</v>
      </c>
      <c r="F214" s="40" t="s">
        <v>42</v>
      </c>
      <c r="G214" s="40" t="s">
        <v>42</v>
      </c>
      <c r="H214" s="41" t="s">
        <v>552</v>
      </c>
      <c r="I214" s="64" t="s">
        <v>43</v>
      </c>
      <c r="J214" s="65" t="s">
        <v>43</v>
      </c>
      <c r="K214" s="66" t="s">
        <v>43</v>
      </c>
      <c r="L214" s="40">
        <v>2</v>
      </c>
      <c r="M214" s="40">
        <v>3</v>
      </c>
      <c r="N214" s="40">
        <v>2</v>
      </c>
      <c r="O214" s="40">
        <v>2</v>
      </c>
      <c r="P214" s="41">
        <v>3</v>
      </c>
      <c r="Q214" s="40">
        <v>4</v>
      </c>
      <c r="R214" s="40">
        <v>4</v>
      </c>
      <c r="S214" s="40">
        <v>2</v>
      </c>
      <c r="T214" s="40">
        <v>3</v>
      </c>
      <c r="U214" s="41">
        <v>6</v>
      </c>
      <c r="V214" s="40">
        <v>9</v>
      </c>
      <c r="W214" s="40">
        <v>8</v>
      </c>
      <c r="X214" s="40">
        <v>1</v>
      </c>
      <c r="Y214" s="41">
        <v>1</v>
      </c>
      <c r="Z214" s="40" t="s">
        <v>45</v>
      </c>
      <c r="AA214" s="40" t="s">
        <v>45</v>
      </c>
      <c r="AB214" s="40">
        <v>7</v>
      </c>
      <c r="AC214" s="40" t="s">
        <v>45</v>
      </c>
      <c r="AD214" s="40" t="s">
        <v>45</v>
      </c>
      <c r="AE214" s="40" t="s">
        <v>45</v>
      </c>
      <c r="AF214" s="40" t="s">
        <v>45</v>
      </c>
      <c r="AG214" s="41" t="s">
        <v>45</v>
      </c>
      <c r="AH214" s="40">
        <v>9</v>
      </c>
      <c r="AI214" s="40">
        <v>9</v>
      </c>
      <c r="AJ214" s="41">
        <v>3</v>
      </c>
      <c r="AK214" s="43" t="s">
        <v>774</v>
      </c>
      <c r="AL214" s="43" t="s">
        <v>103</v>
      </c>
      <c r="AM214" s="44">
        <f t="shared" si="26"/>
        <v>-1.406864030719841</v>
      </c>
      <c r="AN214" s="44">
        <f t="shared" si="27"/>
        <v>-0.50093390923495651</v>
      </c>
      <c r="AO214" s="45">
        <f t="shared" si="28"/>
        <v>3</v>
      </c>
      <c r="AP214" s="46">
        <f t="shared" si="29"/>
        <v>0.6</v>
      </c>
      <c r="AQ214" s="44">
        <f>($AM$3*AM214+$AN$3*AN214+$AO$3*AO214+$AP$3*AP214)+$I$3*VLOOKUP(I214,COND!$A$2:$E$7,4,FALSE)+$J$3*VLOOKUP(J214,COND!$A$2:$C$7,2,FALSE)+$K$3*VLOOKUP(K214,COND!$A$2:$C$7,3,FALSE)+IF(AND($B$2&gt;0,$E214&lt;20),$B$2*25,0)</f>
        <v>39.948106686108538</v>
      </c>
      <c r="AR214" s="47">
        <f t="shared" si="32"/>
        <v>-0.47737175166621487</v>
      </c>
      <c r="AS214" s="45" t="str">
        <f t="shared" si="30"/>
        <v>2B</v>
      </c>
      <c r="AT214" s="45">
        <v>900</v>
      </c>
      <c r="AU214" s="45">
        <v>210</v>
      </c>
      <c r="AV214" s="45"/>
      <c r="AW214" s="45" t="str">
        <f t="shared" si="31"/>
        <v>Unlikely</v>
      </c>
      <c r="AX214" s="45"/>
      <c r="AY214" s="45">
        <f>INDEX(Table5[[#All],[Ovr]],MATCH(Batters[[#This Row],[PID]],Table5[[#All],[PID]],0))</f>
        <v>398</v>
      </c>
      <c r="AZ214" s="45" t="str">
        <f>INDEX(Table5[[#All],[Rnd]],MATCH(Batters[[#This Row],[PID]],Table5[[#All],[PID]],0))</f>
        <v>12</v>
      </c>
      <c r="BA214" s="45">
        <f>INDEX(Table5[[#All],[Pick]],MATCH(Batters[[#This Row],[PID]],Table5[[#All],[PID]],0))</f>
        <v>33</v>
      </c>
      <c r="BB214" s="45" t="str">
        <f>INDEX(Table5[[#All],[Team]],MATCH(Batters[[#This Row],[PID]],Table5[[#All],[PID]],0))</f>
        <v>New Jersey Hitmen</v>
      </c>
    </row>
    <row r="215" spans="1:54" ht="15" customHeight="1" x14ac:dyDescent="0.3">
      <c r="A215" s="40">
        <v>12087</v>
      </c>
      <c r="B215" s="40" t="s">
        <v>87</v>
      </c>
      <c r="C215" s="40" t="s">
        <v>1305</v>
      </c>
      <c r="D215" s="40" t="s">
        <v>993</v>
      </c>
      <c r="E215" s="40">
        <v>17</v>
      </c>
      <c r="F215" s="40" t="s">
        <v>42</v>
      </c>
      <c r="G215" s="40" t="s">
        <v>42</v>
      </c>
      <c r="H215" s="41" t="s">
        <v>561</v>
      </c>
      <c r="I215" s="64" t="s">
        <v>43</v>
      </c>
      <c r="J215" s="65" t="s">
        <v>43</v>
      </c>
      <c r="K215" s="66" t="s">
        <v>43</v>
      </c>
      <c r="L215" s="40">
        <v>1</v>
      </c>
      <c r="M215" s="40">
        <v>2</v>
      </c>
      <c r="N215" s="40">
        <v>2</v>
      </c>
      <c r="O215" s="40">
        <v>1</v>
      </c>
      <c r="P215" s="41">
        <v>2</v>
      </c>
      <c r="Q215" s="40">
        <v>4</v>
      </c>
      <c r="R215" s="40">
        <v>2</v>
      </c>
      <c r="S215" s="40">
        <v>2</v>
      </c>
      <c r="T215" s="40">
        <v>1</v>
      </c>
      <c r="U215" s="41">
        <v>5</v>
      </c>
      <c r="V215" s="40">
        <v>7</v>
      </c>
      <c r="W215" s="40">
        <v>2</v>
      </c>
      <c r="X215" s="40">
        <v>1</v>
      </c>
      <c r="Y215" s="41">
        <v>1</v>
      </c>
      <c r="Z215" s="40" t="s">
        <v>45</v>
      </c>
      <c r="AA215" s="40">
        <v>1</v>
      </c>
      <c r="AB215" s="40" t="s">
        <v>45</v>
      </c>
      <c r="AC215" s="40" t="s">
        <v>45</v>
      </c>
      <c r="AD215" s="40" t="s">
        <v>45</v>
      </c>
      <c r="AE215" s="40" t="s">
        <v>45</v>
      </c>
      <c r="AF215" s="40" t="s">
        <v>45</v>
      </c>
      <c r="AG215" s="41" t="s">
        <v>45</v>
      </c>
      <c r="AH215" s="40">
        <v>1</v>
      </c>
      <c r="AI215" s="40">
        <v>1</v>
      </c>
      <c r="AJ215" s="41">
        <v>1</v>
      </c>
      <c r="AK215" s="43" t="s">
        <v>576</v>
      </c>
      <c r="AL215" s="43" t="s">
        <v>103</v>
      </c>
      <c r="AM215" s="44">
        <f t="shared" si="26"/>
        <v>-1.9102056363678834</v>
      </c>
      <c r="AN215" s="44">
        <f t="shared" si="27"/>
        <v>-0.82248910830860888</v>
      </c>
      <c r="AO215" s="45">
        <f t="shared" si="28"/>
        <v>0</v>
      </c>
      <c r="AP215" s="46">
        <f t="shared" si="29"/>
        <v>0</v>
      </c>
      <c r="AQ215" s="44">
        <f>($AM$3*AM215+$AN$3*AN215+$AO$3*AO215+$AP$3*AP215)+$I$3*VLOOKUP(I215,COND!$A$2:$E$7,4,FALSE)+$J$3*VLOOKUP(J215,COND!$A$2:$C$7,2,FALSE)+$K$3*VLOOKUP(K215,COND!$A$2:$C$7,3,FALSE)+IF(AND($B$2&gt;0,$E215&lt;20),$B$2*25,0)</f>
        <v>39.939110136659906</v>
      </c>
      <c r="AR215" s="47">
        <f t="shared" si="32"/>
        <v>-0.47868496098257884</v>
      </c>
      <c r="AS215" s="45" t="str">
        <f t="shared" si="30"/>
        <v>1B</v>
      </c>
      <c r="AT215" s="45">
        <v>900</v>
      </c>
      <c r="AU215" s="45">
        <v>211</v>
      </c>
      <c r="AV215" s="45"/>
      <c r="AW215" s="45" t="str">
        <f t="shared" si="31"/>
        <v>Unlikely</v>
      </c>
      <c r="AX215" s="45"/>
      <c r="AY215" s="45">
        <f>INDEX(Table5[[#All],[Ovr]],MATCH(Batters[[#This Row],[PID]],Table5[[#All],[PID]],0))</f>
        <v>365</v>
      </c>
      <c r="AZ215" s="45" t="str">
        <f>INDEX(Table5[[#All],[Rnd]],MATCH(Batters[[#This Row],[PID]],Table5[[#All],[PID]],0))</f>
        <v>11</v>
      </c>
      <c r="BA215" s="45">
        <f>INDEX(Table5[[#All],[Pick]],MATCH(Batters[[#This Row],[PID]],Table5[[#All],[PID]],0))</f>
        <v>34</v>
      </c>
      <c r="BB215" s="45" t="str">
        <f>INDEX(Table5[[#All],[Team]],MATCH(Batters[[#This Row],[PID]],Table5[[#All],[PID]],0))</f>
        <v>New Jersey Hitmen</v>
      </c>
    </row>
    <row r="216" spans="1:54" ht="15" customHeight="1" x14ac:dyDescent="0.3">
      <c r="A216" s="40">
        <v>13669</v>
      </c>
      <c r="B216" s="40" t="s">
        <v>87</v>
      </c>
      <c r="C216" s="40" t="s">
        <v>617</v>
      </c>
      <c r="D216" s="40" t="s">
        <v>1294</v>
      </c>
      <c r="E216" s="40">
        <v>21</v>
      </c>
      <c r="F216" s="40" t="s">
        <v>42</v>
      </c>
      <c r="G216" s="40" t="s">
        <v>42</v>
      </c>
      <c r="H216" s="41" t="s">
        <v>553</v>
      </c>
      <c r="I216" s="64" t="s">
        <v>43</v>
      </c>
      <c r="J216" s="65" t="s">
        <v>43</v>
      </c>
      <c r="K216" s="66" t="s">
        <v>43</v>
      </c>
      <c r="L216" s="40">
        <v>2</v>
      </c>
      <c r="M216" s="40">
        <v>4</v>
      </c>
      <c r="N216" s="40">
        <v>2</v>
      </c>
      <c r="O216" s="40">
        <v>2</v>
      </c>
      <c r="P216" s="41">
        <v>3</v>
      </c>
      <c r="Q216" s="40">
        <v>4</v>
      </c>
      <c r="R216" s="40">
        <v>4</v>
      </c>
      <c r="S216" s="40">
        <v>2</v>
      </c>
      <c r="T216" s="40">
        <v>4</v>
      </c>
      <c r="U216" s="41">
        <v>6</v>
      </c>
      <c r="V216" s="40">
        <v>2</v>
      </c>
      <c r="W216" s="40">
        <v>1</v>
      </c>
      <c r="X216" s="40">
        <v>3</v>
      </c>
      <c r="Y216" s="41">
        <v>5</v>
      </c>
      <c r="Z216" s="40" t="s">
        <v>45</v>
      </c>
      <c r="AA216" s="40">
        <v>1</v>
      </c>
      <c r="AB216" s="40" t="s">
        <v>45</v>
      </c>
      <c r="AC216" s="40" t="s">
        <v>45</v>
      </c>
      <c r="AD216" s="40" t="s">
        <v>45</v>
      </c>
      <c r="AE216" s="40" t="s">
        <v>45</v>
      </c>
      <c r="AF216" s="40" t="s">
        <v>45</v>
      </c>
      <c r="AG216" s="41" t="s">
        <v>45</v>
      </c>
      <c r="AH216" s="40">
        <v>1</v>
      </c>
      <c r="AI216" s="40">
        <v>2</v>
      </c>
      <c r="AJ216" s="41">
        <v>2</v>
      </c>
      <c r="AK216" s="43" t="s">
        <v>45</v>
      </c>
      <c r="AL216" s="43" t="s">
        <v>103</v>
      </c>
      <c r="AM216" s="44">
        <f t="shared" si="26"/>
        <v>-1.3558041511011374</v>
      </c>
      <c r="AN216" s="44">
        <f t="shared" si="27"/>
        <v>-0.41122435922537554</v>
      </c>
      <c r="AO216" s="45">
        <f t="shared" si="28"/>
        <v>0</v>
      </c>
      <c r="AP216" s="46">
        <f t="shared" si="29"/>
        <v>0</v>
      </c>
      <c r="AQ216" s="44">
        <f>($AM$3*AM216+$AN$3*AN216+$AO$3*AO216+$AP$3*AP216)+$I$3*VLOOKUP(I216,COND!$A$2:$E$7,4,FALSE)+$J$3*VLOOKUP(J216,COND!$A$2:$C$7,2,FALSE)+$K$3*VLOOKUP(K216,COND!$A$2:$C$7,3,FALSE)+IF(AND($B$2&gt;0,$E216&lt;20),$B$2*25,0)</f>
        <v>39.929727274185382</v>
      </c>
      <c r="AR216" s="47">
        <f t="shared" si="32"/>
        <v>-0.48005455968106436</v>
      </c>
      <c r="AS216" s="45" t="str">
        <f t="shared" si="30"/>
        <v>1B</v>
      </c>
      <c r="AT216" s="45">
        <v>900</v>
      </c>
      <c r="AU216" s="45">
        <v>212</v>
      </c>
      <c r="AV216" s="45"/>
      <c r="AW216" s="45" t="str">
        <f t="shared" si="31"/>
        <v>Unlikely</v>
      </c>
      <c r="AX216" s="45"/>
      <c r="AY216" s="63">
        <f>INDEX(Table5[[#All],[Ovr]],MATCH(Batters[[#This Row],[PID]],Table5[[#All],[PID]],0))</f>
        <v>656</v>
      </c>
      <c r="AZ216" s="63" t="str">
        <f>INDEX(Table5[[#All],[Rnd]],MATCH(Batters[[#This Row],[PID]],Table5[[#All],[PID]],0))</f>
        <v>20</v>
      </c>
      <c r="BA216" s="63">
        <f>INDEX(Table5[[#All],[Pick]],MATCH(Batters[[#This Row],[PID]],Table5[[#All],[PID]],0))</f>
        <v>19</v>
      </c>
      <c r="BB216" s="63" t="str">
        <f>INDEX(Table5[[#All],[Team]],MATCH(Batters[[#This Row],[PID]],Table5[[#All],[PID]],0))</f>
        <v>Fargo Dinosaurs</v>
      </c>
    </row>
    <row r="217" spans="1:54" ht="15" customHeight="1" x14ac:dyDescent="0.3">
      <c r="A217" s="40">
        <v>6009</v>
      </c>
      <c r="B217" s="40" t="s">
        <v>86</v>
      </c>
      <c r="C217" s="40" t="s">
        <v>167</v>
      </c>
      <c r="D217" s="40" t="s">
        <v>1031</v>
      </c>
      <c r="E217" s="40">
        <v>21</v>
      </c>
      <c r="F217" s="40" t="s">
        <v>42</v>
      </c>
      <c r="G217" s="40" t="s">
        <v>42</v>
      </c>
      <c r="H217" s="41" t="s">
        <v>550</v>
      </c>
      <c r="I217" s="64" t="s">
        <v>43</v>
      </c>
      <c r="J217" s="65" t="s">
        <v>47</v>
      </c>
      <c r="K217" s="66" t="s">
        <v>43</v>
      </c>
      <c r="L217" s="40">
        <v>2</v>
      </c>
      <c r="M217" s="40">
        <v>5</v>
      </c>
      <c r="N217" s="40">
        <v>3</v>
      </c>
      <c r="O217" s="40">
        <v>2</v>
      </c>
      <c r="P217" s="41">
        <v>1</v>
      </c>
      <c r="Q217" s="40">
        <v>3</v>
      </c>
      <c r="R217" s="40">
        <v>6</v>
      </c>
      <c r="S217" s="40">
        <v>3</v>
      </c>
      <c r="T217" s="40">
        <v>5</v>
      </c>
      <c r="U217" s="41">
        <v>3</v>
      </c>
      <c r="V217" s="40">
        <v>3</v>
      </c>
      <c r="W217" s="40">
        <v>4</v>
      </c>
      <c r="X217" s="40">
        <v>6</v>
      </c>
      <c r="Y217" s="41">
        <v>5</v>
      </c>
      <c r="Z217" s="40">
        <v>2</v>
      </c>
      <c r="AA217" s="40" t="s">
        <v>45</v>
      </c>
      <c r="AB217" s="40" t="s">
        <v>45</v>
      </c>
      <c r="AC217" s="40" t="s">
        <v>45</v>
      </c>
      <c r="AD217" s="40" t="s">
        <v>45</v>
      </c>
      <c r="AE217" s="40" t="s">
        <v>45</v>
      </c>
      <c r="AF217" s="40" t="s">
        <v>45</v>
      </c>
      <c r="AG217" s="41" t="s">
        <v>45</v>
      </c>
      <c r="AH217" s="40">
        <v>1</v>
      </c>
      <c r="AI217" s="40">
        <v>1</v>
      </c>
      <c r="AJ217" s="41">
        <v>1</v>
      </c>
      <c r="AK217" s="43" t="s">
        <v>557</v>
      </c>
      <c r="AL217" s="43" t="s">
        <v>103</v>
      </c>
      <c r="AM217" s="44">
        <f t="shared" si="26"/>
        <v>-1.3017154570926994</v>
      </c>
      <c r="AN217" s="44">
        <f t="shared" si="27"/>
        <v>-0.57893841160841097</v>
      </c>
      <c r="AO217" s="45">
        <f t="shared" si="28"/>
        <v>0</v>
      </c>
      <c r="AP217" s="46">
        <f t="shared" si="29"/>
        <v>1</v>
      </c>
      <c r="AQ217" s="44">
        <f>($AM$3*AM217+$AN$3*AN217+$AO$3*AO217+$AP$3*AP217)+$I$3*VLOOKUP(I217,COND!$A$2:$E$7,4,FALSE)+$J$3*VLOOKUP(J217,COND!$A$2:$C$7,2,FALSE)+$K$3*VLOOKUP(K217,COND!$A$2:$C$7,3,FALSE)+IF(AND($B$2&gt;0,$E217&lt;20),$B$2*25,0)</f>
        <v>39.222567514989798</v>
      </c>
      <c r="AR217" s="47">
        <f t="shared" si="32"/>
        <v>-0.58327733294937889</v>
      </c>
      <c r="AS217" s="45" t="str">
        <f t="shared" si="30"/>
        <v>C</v>
      </c>
      <c r="AT217" s="45">
        <v>900</v>
      </c>
      <c r="AU217" s="45">
        <v>213</v>
      </c>
      <c r="AV217" s="45"/>
      <c r="AW217" s="45" t="str">
        <f t="shared" si="31"/>
        <v>Unlikely</v>
      </c>
      <c r="AX217" s="45"/>
      <c r="AY217" s="45">
        <f>INDEX(Table5[[#All],[Ovr]],MATCH(Batters[[#This Row],[PID]],Table5[[#All],[PID]],0))</f>
        <v>515</v>
      </c>
      <c r="AZ217" s="45" t="str">
        <f>INDEX(Table5[[#All],[Rnd]],MATCH(Batters[[#This Row],[PID]],Table5[[#All],[PID]],0))</f>
        <v>16</v>
      </c>
      <c r="BA217" s="45">
        <f>INDEX(Table5[[#All],[Pick]],MATCH(Batters[[#This Row],[PID]],Table5[[#All],[PID]],0))</f>
        <v>14</v>
      </c>
      <c r="BB217" s="45" t="str">
        <f>INDEX(Table5[[#All],[Team]],MATCH(Batters[[#This Row],[PID]],Table5[[#All],[PID]],0))</f>
        <v>San Antonio Calzones of Laredo</v>
      </c>
    </row>
    <row r="218" spans="1:54" ht="15" customHeight="1" x14ac:dyDescent="0.3">
      <c r="A218" s="40">
        <v>13960</v>
      </c>
      <c r="B218" s="40" t="s">
        <v>87</v>
      </c>
      <c r="C218" s="40" t="s">
        <v>564</v>
      </c>
      <c r="D218" s="40" t="s">
        <v>1295</v>
      </c>
      <c r="E218" s="40">
        <v>21</v>
      </c>
      <c r="F218" s="40" t="s">
        <v>42</v>
      </c>
      <c r="G218" s="40" t="s">
        <v>42</v>
      </c>
      <c r="H218" s="41" t="s">
        <v>553</v>
      </c>
      <c r="I218" s="64" t="s">
        <v>44</v>
      </c>
      <c r="J218" s="65" t="s">
        <v>47</v>
      </c>
      <c r="K218" s="66" t="s">
        <v>43</v>
      </c>
      <c r="L218" s="40">
        <v>2</v>
      </c>
      <c r="M218" s="40">
        <v>3</v>
      </c>
      <c r="N218" s="40">
        <v>2</v>
      </c>
      <c r="O218" s="40">
        <v>2</v>
      </c>
      <c r="P218" s="41">
        <v>2</v>
      </c>
      <c r="Q218" s="40">
        <v>4</v>
      </c>
      <c r="R218" s="40">
        <v>4</v>
      </c>
      <c r="S218" s="40">
        <v>2</v>
      </c>
      <c r="T218" s="40">
        <v>4</v>
      </c>
      <c r="U218" s="41">
        <v>4</v>
      </c>
      <c r="V218" s="40">
        <v>5</v>
      </c>
      <c r="W218" s="40">
        <v>2</v>
      </c>
      <c r="X218" s="40">
        <v>1</v>
      </c>
      <c r="Y218" s="41">
        <v>1</v>
      </c>
      <c r="Z218" s="40" t="s">
        <v>45</v>
      </c>
      <c r="AA218" s="40">
        <v>1</v>
      </c>
      <c r="AB218" s="40" t="s">
        <v>45</v>
      </c>
      <c r="AC218" s="40" t="s">
        <v>45</v>
      </c>
      <c r="AD218" s="40" t="s">
        <v>45</v>
      </c>
      <c r="AE218" s="40" t="s">
        <v>45</v>
      </c>
      <c r="AF218" s="40" t="s">
        <v>45</v>
      </c>
      <c r="AG218" s="41" t="s">
        <v>45</v>
      </c>
      <c r="AH218" s="40">
        <v>1</v>
      </c>
      <c r="AI218" s="40">
        <v>1</v>
      </c>
      <c r="AJ218" s="41">
        <v>1</v>
      </c>
      <c r="AK218" s="43" t="s">
        <v>45</v>
      </c>
      <c r="AL218" s="43" t="s">
        <v>103</v>
      </c>
      <c r="AM218" s="44">
        <f t="shared" si="26"/>
        <v>-1.4468803705369244</v>
      </c>
      <c r="AN218" s="44">
        <f t="shared" si="27"/>
        <v>-0.49125703885954242</v>
      </c>
      <c r="AO218" s="45">
        <f t="shared" si="28"/>
        <v>0</v>
      </c>
      <c r="AP218" s="46">
        <f t="shared" si="29"/>
        <v>0</v>
      </c>
      <c r="AQ218" s="44">
        <f>($AM$3*AM218+$AN$3*AN218+$AO$3*AO218+$AP$3*AP218)+$I$3*VLOOKUP(I218,COND!$A$2:$E$7,4,FALSE)+$J$3*VLOOKUP(J218,COND!$A$2:$C$7,2,FALSE)+$K$3*VLOOKUP(K218,COND!$A$2:$C$7,3,FALSE)+IF(AND($B$2&gt;0,$E218&lt;20),$B$2*25,0)</f>
        <v>39.110227496631801</v>
      </c>
      <c r="AR218" s="47">
        <f t="shared" si="32"/>
        <v>-0.59967539306682216</v>
      </c>
      <c r="AS218" s="45" t="str">
        <f t="shared" si="30"/>
        <v>1B</v>
      </c>
      <c r="AT218" s="45">
        <v>900</v>
      </c>
      <c r="AU218" s="45">
        <v>214</v>
      </c>
      <c r="AV218" s="45"/>
      <c r="AW218" s="45" t="str">
        <f t="shared" si="31"/>
        <v>Unlikely</v>
      </c>
      <c r="AX218" s="45"/>
      <c r="AY218" s="63">
        <f>INDEX(Table5[[#All],[Ovr]],MATCH(Batters[[#This Row],[PID]],Table5[[#All],[PID]],0))</f>
        <v>507</v>
      </c>
      <c r="AZ218" s="63" t="str">
        <f>INDEX(Table5[[#All],[Rnd]],MATCH(Batters[[#This Row],[PID]],Table5[[#All],[PID]],0))</f>
        <v>16</v>
      </c>
      <c r="BA218" s="63">
        <f>INDEX(Table5[[#All],[Pick]],MATCH(Batters[[#This Row],[PID]],Table5[[#All],[PID]],0))</f>
        <v>6</v>
      </c>
      <c r="BB218" s="63" t="str">
        <f>INDEX(Table5[[#All],[Team]],MATCH(Batters[[#This Row],[PID]],Table5[[#All],[PID]],0))</f>
        <v>New Orleans Trendsetters</v>
      </c>
    </row>
    <row r="219" spans="1:54" ht="15" customHeight="1" x14ac:dyDescent="0.3">
      <c r="A219" s="40">
        <v>15605</v>
      </c>
      <c r="B219" s="40" t="s">
        <v>87</v>
      </c>
      <c r="C219" s="40" t="s">
        <v>577</v>
      </c>
      <c r="D219" s="40" t="s">
        <v>826</v>
      </c>
      <c r="E219" s="40">
        <v>22</v>
      </c>
      <c r="F219" s="40" t="s">
        <v>53</v>
      </c>
      <c r="G219" s="40" t="s">
        <v>53</v>
      </c>
      <c r="H219" s="41" t="s">
        <v>552</v>
      </c>
      <c r="I219" s="64" t="s">
        <v>44</v>
      </c>
      <c r="J219" s="65" t="s">
        <v>43</v>
      </c>
      <c r="K219" s="66" t="s">
        <v>43</v>
      </c>
      <c r="L219" s="40">
        <v>2</v>
      </c>
      <c r="M219" s="40">
        <v>6</v>
      </c>
      <c r="N219" s="40">
        <v>4</v>
      </c>
      <c r="O219" s="40">
        <v>3</v>
      </c>
      <c r="P219" s="41">
        <v>1</v>
      </c>
      <c r="Q219" s="40">
        <v>3</v>
      </c>
      <c r="R219" s="40">
        <v>6</v>
      </c>
      <c r="S219" s="40">
        <v>5</v>
      </c>
      <c r="T219" s="40">
        <v>5</v>
      </c>
      <c r="U219" s="41">
        <v>3</v>
      </c>
      <c r="V219" s="40">
        <v>3</v>
      </c>
      <c r="W219" s="40">
        <v>1</v>
      </c>
      <c r="X219" s="40">
        <v>1</v>
      </c>
      <c r="Y219" s="41">
        <v>1</v>
      </c>
      <c r="Z219" s="40" t="s">
        <v>45</v>
      </c>
      <c r="AA219" s="40">
        <v>4</v>
      </c>
      <c r="AB219" s="40" t="s">
        <v>45</v>
      </c>
      <c r="AC219" s="40" t="s">
        <v>45</v>
      </c>
      <c r="AD219" s="40" t="s">
        <v>45</v>
      </c>
      <c r="AE219" s="40" t="s">
        <v>45</v>
      </c>
      <c r="AF219" s="40" t="s">
        <v>45</v>
      </c>
      <c r="AG219" s="41" t="s">
        <v>45</v>
      </c>
      <c r="AH219" s="40">
        <v>3</v>
      </c>
      <c r="AI219" s="40">
        <v>1</v>
      </c>
      <c r="AJ219" s="41">
        <v>1</v>
      </c>
      <c r="AK219" s="43" t="s">
        <v>1083</v>
      </c>
      <c r="AL219" s="43" t="s">
        <v>103</v>
      </c>
      <c r="AM219" s="44">
        <f t="shared" si="26"/>
        <v>-1.0778845334405134</v>
      </c>
      <c r="AN219" s="44">
        <f t="shared" si="27"/>
        <v>-0.41281542356060796</v>
      </c>
      <c r="AO219" s="45">
        <f t="shared" si="28"/>
        <v>0</v>
      </c>
      <c r="AP219" s="46">
        <f t="shared" si="29"/>
        <v>0</v>
      </c>
      <c r="AQ219" s="44">
        <f>($AM$3*AM219+$AN$3*AN219+$AO$3*AO219+$AP$3*AP219)+$I$3*VLOOKUP(I219,COND!$A$2:$E$7,4,FALSE)+$J$3*VLOOKUP(J219,COND!$A$2:$C$7,2,FALSE)+$K$3*VLOOKUP(K219,COND!$A$2:$C$7,3,FALSE)+IF(AND($B$2&gt;0,$E219&lt;20),$B$2*25,0)</f>
        <v>39.788426463928651</v>
      </c>
      <c r="AR219" s="47">
        <f t="shared" si="32"/>
        <v>-0.50067997184585022</v>
      </c>
      <c r="AS219" s="45" t="str">
        <f t="shared" si="30"/>
        <v>1B</v>
      </c>
      <c r="AT219" s="45">
        <v>900</v>
      </c>
      <c r="AU219" s="45">
        <v>215</v>
      </c>
      <c r="AV219" s="45"/>
      <c r="AW219" s="45" t="str">
        <f t="shared" si="31"/>
        <v>Unlikely</v>
      </c>
      <c r="AX219" s="45"/>
      <c r="AY219" s="45">
        <f>INDEX(Table5[[#All],[Ovr]],MATCH(Batters[[#This Row],[PID]],Table5[[#All],[PID]],0))</f>
        <v>266</v>
      </c>
      <c r="AZ219" s="45" t="str">
        <f>INDEX(Table5[[#All],[Rnd]],MATCH(Batters[[#This Row],[PID]],Table5[[#All],[PID]],0))</f>
        <v>9</v>
      </c>
      <c r="BA219" s="45">
        <f>INDEX(Table5[[#All],[Pick]],MATCH(Batters[[#This Row],[PID]],Table5[[#All],[PID]],0))</f>
        <v>1</v>
      </c>
      <c r="BB219" s="45" t="str">
        <f>INDEX(Table5[[#All],[Team]],MATCH(Batters[[#This Row],[PID]],Table5[[#All],[PID]],0))</f>
        <v>Yuma Arroyos</v>
      </c>
    </row>
    <row r="220" spans="1:54" ht="15" customHeight="1" x14ac:dyDescent="0.3">
      <c r="A220" s="40">
        <v>20231</v>
      </c>
      <c r="B220" s="40" t="s">
        <v>66</v>
      </c>
      <c r="C220" s="40" t="s">
        <v>368</v>
      </c>
      <c r="D220" s="40" t="s">
        <v>306</v>
      </c>
      <c r="E220" s="40">
        <v>23</v>
      </c>
      <c r="F220" s="40" t="s">
        <v>42</v>
      </c>
      <c r="G220" s="40" t="s">
        <v>42</v>
      </c>
      <c r="H220" s="41" t="s">
        <v>552</v>
      </c>
      <c r="I220" s="64" t="s">
        <v>43</v>
      </c>
      <c r="J220" s="65" t="s">
        <v>43</v>
      </c>
      <c r="K220" s="66" t="s">
        <v>43</v>
      </c>
      <c r="L220" s="40">
        <v>2</v>
      </c>
      <c r="M220" s="40">
        <v>3</v>
      </c>
      <c r="N220" s="40">
        <v>4</v>
      </c>
      <c r="O220" s="40">
        <v>5</v>
      </c>
      <c r="P220" s="41">
        <v>1</v>
      </c>
      <c r="Q220" s="40">
        <v>3</v>
      </c>
      <c r="R220" s="40">
        <v>3</v>
      </c>
      <c r="S220" s="40">
        <v>5</v>
      </c>
      <c r="T220" s="40">
        <v>6</v>
      </c>
      <c r="U220" s="41">
        <v>3</v>
      </c>
      <c r="V220" s="40">
        <v>4</v>
      </c>
      <c r="W220" s="40">
        <v>6</v>
      </c>
      <c r="X220" s="40">
        <v>1</v>
      </c>
      <c r="Y220" s="41">
        <v>1</v>
      </c>
      <c r="Z220" s="40" t="s">
        <v>45</v>
      </c>
      <c r="AA220" s="40" t="s">
        <v>45</v>
      </c>
      <c r="AB220" s="40" t="s">
        <v>45</v>
      </c>
      <c r="AC220" s="40" t="s">
        <v>45</v>
      </c>
      <c r="AD220" s="40" t="s">
        <v>45</v>
      </c>
      <c r="AE220" s="40">
        <v>2</v>
      </c>
      <c r="AF220" s="40">
        <v>1</v>
      </c>
      <c r="AG220" s="41">
        <v>5</v>
      </c>
      <c r="AH220" s="40">
        <v>4</v>
      </c>
      <c r="AI220" s="40">
        <v>4</v>
      </c>
      <c r="AJ220" s="41">
        <v>5</v>
      </c>
      <c r="AK220" s="43" t="s">
        <v>818</v>
      </c>
      <c r="AL220" s="43" t="s">
        <v>104</v>
      </c>
      <c r="AM220" s="44">
        <f t="shared" si="26"/>
        <v>-1.0516450722774617</v>
      </c>
      <c r="AN220" s="44">
        <f t="shared" si="27"/>
        <v>-0.4762855124071374</v>
      </c>
      <c r="AO220" s="45">
        <f t="shared" si="28"/>
        <v>0</v>
      </c>
      <c r="AP220" s="46">
        <f t="shared" si="29"/>
        <v>0.5</v>
      </c>
      <c r="AQ220" s="44">
        <f>($AM$3*AM220+$AN$3*AN220+$AO$3*AO220+$AP$3*AP220)+$I$3*VLOOKUP(I220,COND!$A$2:$E$7,4,FALSE)+$J$3*VLOOKUP(J220,COND!$A$2:$C$7,2,FALSE)+$K$3*VLOOKUP(K220,COND!$A$2:$C$7,3,FALSE)+IF(AND($B$2&gt;0,$E220&lt;20),$B$2*25,0)</f>
        <v>39.679409343886604</v>
      </c>
      <c r="AR220" s="47">
        <f t="shared" si="32"/>
        <v>-0.51659299477756448</v>
      </c>
      <c r="AS220" s="45" t="str">
        <f t="shared" si="30"/>
        <v>RF</v>
      </c>
      <c r="AT220" s="45">
        <v>900</v>
      </c>
      <c r="AU220" s="45">
        <v>216</v>
      </c>
      <c r="AV220" s="45"/>
      <c r="AW220" s="45" t="str">
        <f t="shared" si="31"/>
        <v>Unlikely</v>
      </c>
      <c r="AX220" s="45"/>
      <c r="AY220" s="63">
        <f>INDEX(Table5[[#All],[Ovr]],MATCH(Batters[[#This Row],[PID]],Table5[[#All],[PID]],0))</f>
        <v>322</v>
      </c>
      <c r="AZ220" s="63" t="str">
        <f>INDEX(Table5[[#All],[Rnd]],MATCH(Batters[[#This Row],[PID]],Table5[[#All],[PID]],0))</f>
        <v>10</v>
      </c>
      <c r="BA220" s="63">
        <f>INDEX(Table5[[#All],[Pick]],MATCH(Batters[[#This Row],[PID]],Table5[[#All],[PID]],0))</f>
        <v>25</v>
      </c>
      <c r="BB220" s="63" t="str">
        <f>INDEX(Table5[[#All],[Team]],MATCH(Batters[[#This Row],[PID]],Table5[[#All],[PID]],0))</f>
        <v>Duluth Warriors</v>
      </c>
    </row>
    <row r="221" spans="1:54" ht="15" customHeight="1" x14ac:dyDescent="0.3">
      <c r="A221" s="40">
        <v>20195</v>
      </c>
      <c r="B221" s="40" t="s">
        <v>86</v>
      </c>
      <c r="C221" s="40" t="s">
        <v>646</v>
      </c>
      <c r="D221" s="40" t="s">
        <v>349</v>
      </c>
      <c r="E221" s="40">
        <v>21</v>
      </c>
      <c r="F221" s="40" t="s">
        <v>42</v>
      </c>
      <c r="G221" s="40" t="s">
        <v>42</v>
      </c>
      <c r="H221" s="41" t="s">
        <v>550</v>
      </c>
      <c r="I221" s="64" t="s">
        <v>43</v>
      </c>
      <c r="J221" s="65" t="s">
        <v>43</v>
      </c>
      <c r="K221" s="66" t="s">
        <v>43</v>
      </c>
      <c r="L221" s="40">
        <v>2</v>
      </c>
      <c r="M221" s="40">
        <v>4</v>
      </c>
      <c r="N221" s="40">
        <v>2</v>
      </c>
      <c r="O221" s="40">
        <v>5</v>
      </c>
      <c r="P221" s="41">
        <v>2</v>
      </c>
      <c r="Q221" s="40">
        <v>3</v>
      </c>
      <c r="R221" s="40">
        <v>5</v>
      </c>
      <c r="S221" s="40">
        <v>3</v>
      </c>
      <c r="T221" s="40">
        <v>6</v>
      </c>
      <c r="U221" s="41">
        <v>3</v>
      </c>
      <c r="V221" s="40">
        <v>6</v>
      </c>
      <c r="W221" s="40">
        <v>6</v>
      </c>
      <c r="X221" s="40">
        <v>7</v>
      </c>
      <c r="Y221" s="41">
        <v>6</v>
      </c>
      <c r="Z221" s="40">
        <v>3</v>
      </c>
      <c r="AA221" s="40" t="s">
        <v>45</v>
      </c>
      <c r="AB221" s="40" t="s">
        <v>45</v>
      </c>
      <c r="AC221" s="40" t="s">
        <v>45</v>
      </c>
      <c r="AD221" s="40" t="s">
        <v>45</v>
      </c>
      <c r="AE221" s="40" t="s">
        <v>45</v>
      </c>
      <c r="AF221" s="40" t="s">
        <v>45</v>
      </c>
      <c r="AG221" s="41" t="s">
        <v>45</v>
      </c>
      <c r="AH221" s="40">
        <v>3</v>
      </c>
      <c r="AI221" s="40">
        <v>3</v>
      </c>
      <c r="AJ221" s="41">
        <v>4</v>
      </c>
      <c r="AK221" s="43" t="s">
        <v>1479</v>
      </c>
      <c r="AL221" s="43" t="s">
        <v>103</v>
      </c>
      <c r="AM221" s="44">
        <f t="shared" si="26"/>
        <v>-1.1266918408894777</v>
      </c>
      <c r="AN221" s="44">
        <f t="shared" si="27"/>
        <v>-0.54028874121753345</v>
      </c>
      <c r="AO221" s="45">
        <f t="shared" si="28"/>
        <v>0</v>
      </c>
      <c r="AP221" s="46">
        <f t="shared" si="29"/>
        <v>1.1000000000000001</v>
      </c>
      <c r="AQ221" s="44">
        <f>($AM$3*AM221+$AN$3*AN221+$AO$3*AO221+$AP$3*AP221)+$I$3*VLOOKUP(I221,COND!$A$2:$E$7,4,FALSE)+$J$3*VLOOKUP(J221,COND!$A$2:$C$7,2,FALSE)+$K$3*VLOOKUP(K221,COND!$A$2:$C$7,3,FALSE)+IF(AND($B$2&gt;0,$E221&lt;20),$B$2*25,0)</f>
        <v>39.503865921300651</v>
      </c>
      <c r="AR221" s="47">
        <f t="shared" si="32"/>
        <v>-0.54221673633342715</v>
      </c>
      <c r="AS221" s="45" t="str">
        <f t="shared" si="30"/>
        <v>C</v>
      </c>
      <c r="AT221" s="45">
        <v>900</v>
      </c>
      <c r="AU221" s="45">
        <v>217</v>
      </c>
      <c r="AV221" s="45"/>
      <c r="AW221" s="45" t="str">
        <f t="shared" si="31"/>
        <v>Unlikely</v>
      </c>
      <c r="AX221" s="45"/>
      <c r="AY221" s="45">
        <f>INDEX(Table5[[#All],[Ovr]],MATCH(Batters[[#This Row],[PID]],Table5[[#All],[PID]],0))</f>
        <v>533</v>
      </c>
      <c r="AZ221" s="45" t="str">
        <f>INDEX(Table5[[#All],[Rnd]],MATCH(Batters[[#This Row],[PID]],Table5[[#All],[PID]],0))</f>
        <v>16</v>
      </c>
      <c r="BA221" s="45">
        <f>INDEX(Table5[[#All],[Pick]],MATCH(Batters[[#This Row],[PID]],Table5[[#All],[PID]],0))</f>
        <v>32</v>
      </c>
      <c r="BB221" s="45" t="str">
        <f>INDEX(Table5[[#All],[Team]],MATCH(Batters[[#This Row],[PID]],Table5[[#All],[PID]],0))</f>
        <v>Florida Farstriders</v>
      </c>
    </row>
    <row r="222" spans="1:54" ht="15" customHeight="1" x14ac:dyDescent="0.3">
      <c r="A222" s="40">
        <v>13341</v>
      </c>
      <c r="B222" s="40" t="s">
        <v>69</v>
      </c>
      <c r="C222" s="40" t="s">
        <v>319</v>
      </c>
      <c r="D222" s="40" t="s">
        <v>832</v>
      </c>
      <c r="E222" s="40">
        <v>22</v>
      </c>
      <c r="F222" s="40" t="s">
        <v>42</v>
      </c>
      <c r="G222" s="40" t="s">
        <v>42</v>
      </c>
      <c r="H222" s="41" t="s">
        <v>552</v>
      </c>
      <c r="I222" s="64" t="s">
        <v>43</v>
      </c>
      <c r="J222" s="65" t="s">
        <v>43</v>
      </c>
      <c r="K222" s="66" t="s">
        <v>43</v>
      </c>
      <c r="L222" s="40">
        <v>1</v>
      </c>
      <c r="M222" s="40">
        <v>3</v>
      </c>
      <c r="N222" s="40">
        <v>2</v>
      </c>
      <c r="O222" s="40">
        <v>3</v>
      </c>
      <c r="P222" s="41">
        <v>1</v>
      </c>
      <c r="Q222" s="40">
        <v>3</v>
      </c>
      <c r="R222" s="40">
        <v>4</v>
      </c>
      <c r="S222" s="40">
        <v>3</v>
      </c>
      <c r="T222" s="40">
        <v>6</v>
      </c>
      <c r="U222" s="41">
        <v>3</v>
      </c>
      <c r="V222" s="40">
        <v>9</v>
      </c>
      <c r="W222" s="40">
        <v>8</v>
      </c>
      <c r="X222" s="40">
        <v>1</v>
      </c>
      <c r="Y222" s="41">
        <v>1</v>
      </c>
      <c r="Z222" s="40" t="s">
        <v>45</v>
      </c>
      <c r="AA222" s="40" t="s">
        <v>45</v>
      </c>
      <c r="AB222" s="40">
        <v>2</v>
      </c>
      <c r="AC222" s="40">
        <v>5</v>
      </c>
      <c r="AD222" s="40">
        <v>1</v>
      </c>
      <c r="AE222" s="40" t="s">
        <v>45</v>
      </c>
      <c r="AF222" s="40" t="s">
        <v>45</v>
      </c>
      <c r="AG222" s="41" t="s">
        <v>45</v>
      </c>
      <c r="AH222" s="40">
        <v>10</v>
      </c>
      <c r="AI222" s="40">
        <v>10</v>
      </c>
      <c r="AJ222" s="41">
        <v>10</v>
      </c>
      <c r="AK222" s="43" t="s">
        <v>45</v>
      </c>
      <c r="AL222" s="43" t="s">
        <v>103</v>
      </c>
      <c r="AM222" s="44">
        <f t="shared" si="26"/>
        <v>-1.7197429965471014</v>
      </c>
      <c r="AN222" s="44">
        <f t="shared" si="27"/>
        <v>-0.59134862083623696</v>
      </c>
      <c r="AO222" s="45">
        <f t="shared" si="28"/>
        <v>6</v>
      </c>
      <c r="AP222" s="46">
        <f t="shared" si="29"/>
        <v>0.75</v>
      </c>
      <c r="AQ222" s="44">
        <f>($AM$3*AM222+$AN$3*AN222+$AO$3*AO222+$AP$3*AP222)+$I$3*VLOOKUP(I222,COND!$A$2:$E$7,4,FALSE)+$J$3*VLOOKUP(J222,COND!$A$2:$C$7,2,FALSE)+$K$3*VLOOKUP(K222,COND!$A$2:$C$7,3,FALSE)+IF(AND($B$2&gt;0,$E222&lt;20),$B$2*25,0)</f>
        <v>39.48184225031045</v>
      </c>
      <c r="AR222" s="47">
        <f t="shared" si="32"/>
        <v>-0.54543148995535762</v>
      </c>
      <c r="AS222" s="45" t="str">
        <f t="shared" si="30"/>
        <v>3B</v>
      </c>
      <c r="AT222" s="45">
        <v>900</v>
      </c>
      <c r="AU222" s="45">
        <v>218</v>
      </c>
      <c r="AV222" s="45"/>
      <c r="AW222" s="45" t="str">
        <f t="shared" si="31"/>
        <v>Unlikely</v>
      </c>
      <c r="AX222" s="45"/>
      <c r="AY222" s="45">
        <f>INDEX(Table5[[#All],[Ovr]],MATCH(Batters[[#This Row],[PID]],Table5[[#All],[PID]],0))</f>
        <v>317</v>
      </c>
      <c r="AZ222" s="45" t="str">
        <f>INDEX(Table5[[#All],[Rnd]],MATCH(Batters[[#This Row],[PID]],Table5[[#All],[PID]],0))</f>
        <v>10</v>
      </c>
      <c r="BA222" s="45">
        <f>INDEX(Table5[[#All],[Pick]],MATCH(Batters[[#This Row],[PID]],Table5[[#All],[PID]],0))</f>
        <v>20</v>
      </c>
      <c r="BB222" s="45" t="str">
        <f>INDEX(Table5[[#All],[Team]],MATCH(Batters[[#This Row],[PID]],Table5[[#All],[PID]],0))</f>
        <v>Crystal Lake Sandgnats</v>
      </c>
    </row>
    <row r="223" spans="1:54" ht="15" customHeight="1" x14ac:dyDescent="0.3">
      <c r="A223" s="40">
        <v>11911</v>
      </c>
      <c r="B223" s="40" t="s">
        <v>72</v>
      </c>
      <c r="C223" s="40" t="s">
        <v>1051</v>
      </c>
      <c r="D223" s="40" t="s">
        <v>596</v>
      </c>
      <c r="E223" s="40">
        <v>21</v>
      </c>
      <c r="F223" s="40" t="s">
        <v>42</v>
      </c>
      <c r="G223" s="40" t="s">
        <v>42</v>
      </c>
      <c r="H223" s="41" t="s">
        <v>550</v>
      </c>
      <c r="I223" s="64" t="s">
        <v>47</v>
      </c>
      <c r="J223" s="65" t="s">
        <v>43</v>
      </c>
      <c r="K223" s="66" t="s">
        <v>43</v>
      </c>
      <c r="L223" s="40">
        <v>2</v>
      </c>
      <c r="M223" s="40">
        <v>3</v>
      </c>
      <c r="N223" s="40">
        <v>3</v>
      </c>
      <c r="O223" s="40">
        <v>3</v>
      </c>
      <c r="P223" s="41">
        <v>1</v>
      </c>
      <c r="Q223" s="40">
        <v>3</v>
      </c>
      <c r="R223" s="40">
        <v>4</v>
      </c>
      <c r="S223" s="40">
        <v>4</v>
      </c>
      <c r="T223" s="40">
        <v>5</v>
      </c>
      <c r="U223" s="41">
        <v>3</v>
      </c>
      <c r="V223" s="40">
        <v>10</v>
      </c>
      <c r="W223" s="40">
        <v>8</v>
      </c>
      <c r="X223" s="40">
        <v>1</v>
      </c>
      <c r="Y223" s="41">
        <v>1</v>
      </c>
      <c r="Z223" s="40" t="s">
        <v>45</v>
      </c>
      <c r="AA223" s="40" t="s">
        <v>45</v>
      </c>
      <c r="AB223" s="40" t="s">
        <v>45</v>
      </c>
      <c r="AC223" s="40" t="s">
        <v>45</v>
      </c>
      <c r="AD223" s="40">
        <v>6</v>
      </c>
      <c r="AE223" s="40" t="s">
        <v>45</v>
      </c>
      <c r="AF223" s="40" t="s">
        <v>45</v>
      </c>
      <c r="AG223" s="41" t="s">
        <v>45</v>
      </c>
      <c r="AH223" s="40">
        <v>4</v>
      </c>
      <c r="AI223" s="40">
        <v>9</v>
      </c>
      <c r="AJ223" s="41">
        <v>10</v>
      </c>
      <c r="AK223" s="43" t="s">
        <v>608</v>
      </c>
      <c r="AL223" s="43" t="s">
        <v>103</v>
      </c>
      <c r="AM223" s="44">
        <f t="shared" si="26"/>
        <v>-1.3141256663205254</v>
      </c>
      <c r="AN223" s="44">
        <f t="shared" si="27"/>
        <v>-0.59799667682191648</v>
      </c>
      <c r="AO223" s="45">
        <f t="shared" si="28"/>
        <v>3</v>
      </c>
      <c r="AP223" s="46">
        <f t="shared" si="29"/>
        <v>1</v>
      </c>
      <c r="AQ223" s="44">
        <f>($AM$3*AM223+$AN$3*AN223+$AO$3*AO223+$AP$3*AP223)+$I$3*VLOOKUP(I223,COND!$A$2:$E$7,4,FALSE)+$J$3*VLOOKUP(J223,COND!$A$2:$C$7,2,FALSE)+$K$3*VLOOKUP(K223,COND!$A$2:$C$7,3,FALSE)+IF(AND($B$2&gt;0,$E223&lt;20),$B$2*25,0)</f>
        <v>39.417627311504944</v>
      </c>
      <c r="AR223" s="47">
        <f t="shared" si="32"/>
        <v>-0.55480482318390489</v>
      </c>
      <c r="AS223" s="45" t="str">
        <f t="shared" si="30"/>
        <v>SS</v>
      </c>
      <c r="AT223" s="45">
        <v>900</v>
      </c>
      <c r="AU223" s="45">
        <v>219</v>
      </c>
      <c r="AV223" s="45"/>
      <c r="AW223" s="45" t="str">
        <f t="shared" si="31"/>
        <v>Unlikely</v>
      </c>
      <c r="AX223" s="45"/>
      <c r="AY223" s="45">
        <f>INDEX(Table5[[#All],[Ovr]],MATCH(Batters[[#This Row],[PID]],Table5[[#All],[PID]],0))</f>
        <v>189</v>
      </c>
      <c r="AZ223" s="45" t="str">
        <f>INDEX(Table5[[#All],[Rnd]],MATCH(Batters[[#This Row],[PID]],Table5[[#All],[PID]],0))</f>
        <v>6</v>
      </c>
      <c r="BA223" s="45">
        <f>INDEX(Table5[[#All],[Pick]],MATCH(Batters[[#This Row],[PID]],Table5[[#All],[PID]],0))</f>
        <v>20</v>
      </c>
      <c r="BB223" s="45" t="str">
        <f>INDEX(Table5[[#All],[Team]],MATCH(Batters[[#This Row],[PID]],Table5[[#All],[PID]],0))</f>
        <v>Crystal Lake Sandgnats</v>
      </c>
    </row>
    <row r="224" spans="1:54" ht="15" customHeight="1" x14ac:dyDescent="0.3">
      <c r="A224" s="40">
        <v>15898</v>
      </c>
      <c r="B224" s="40" t="s">
        <v>71</v>
      </c>
      <c r="C224" s="40" t="s">
        <v>321</v>
      </c>
      <c r="D224" s="40" t="s">
        <v>1184</v>
      </c>
      <c r="E224" s="40">
        <v>21</v>
      </c>
      <c r="F224" s="40" t="s">
        <v>53</v>
      </c>
      <c r="G224" s="40" t="s">
        <v>42</v>
      </c>
      <c r="H224" s="41" t="s">
        <v>552</v>
      </c>
      <c r="I224" s="64" t="s">
        <v>43</v>
      </c>
      <c r="J224" s="65" t="s">
        <v>43</v>
      </c>
      <c r="K224" s="66" t="s">
        <v>43</v>
      </c>
      <c r="L224" s="40">
        <v>2</v>
      </c>
      <c r="M224" s="40">
        <v>3</v>
      </c>
      <c r="N224" s="40">
        <v>2</v>
      </c>
      <c r="O224" s="40">
        <v>3</v>
      </c>
      <c r="P224" s="41">
        <v>3</v>
      </c>
      <c r="Q224" s="40">
        <v>4</v>
      </c>
      <c r="R224" s="40">
        <v>3</v>
      </c>
      <c r="S224" s="40">
        <v>3</v>
      </c>
      <c r="T224" s="40">
        <v>4</v>
      </c>
      <c r="U224" s="41">
        <v>4</v>
      </c>
      <c r="V224" s="40">
        <v>5</v>
      </c>
      <c r="W224" s="40">
        <v>2</v>
      </c>
      <c r="X224" s="40">
        <v>1</v>
      </c>
      <c r="Y224" s="41">
        <v>1</v>
      </c>
      <c r="Z224" s="40" t="s">
        <v>45</v>
      </c>
      <c r="AA224" s="40" t="s">
        <v>45</v>
      </c>
      <c r="AB224" s="40">
        <v>4</v>
      </c>
      <c r="AC224" s="40" t="s">
        <v>45</v>
      </c>
      <c r="AD224" s="40" t="s">
        <v>45</v>
      </c>
      <c r="AE224" s="40" t="s">
        <v>45</v>
      </c>
      <c r="AF224" s="40" t="s">
        <v>45</v>
      </c>
      <c r="AG224" s="41" t="s">
        <v>45</v>
      </c>
      <c r="AH224" s="40">
        <v>1</v>
      </c>
      <c r="AI224" s="40">
        <v>3</v>
      </c>
      <c r="AJ224" s="41">
        <v>5</v>
      </c>
      <c r="AK224" s="43" t="s">
        <v>45</v>
      </c>
      <c r="AL224" s="43" t="s">
        <v>103</v>
      </c>
      <c r="AM224" s="44">
        <f t="shared" si="26"/>
        <v>-1.31715448071026</v>
      </c>
      <c r="AN224" s="44">
        <f t="shared" si="27"/>
        <v>-0.45925542445434431</v>
      </c>
      <c r="AO224" s="45">
        <f t="shared" si="28"/>
        <v>0</v>
      </c>
      <c r="AP224" s="46">
        <f t="shared" si="29"/>
        <v>0</v>
      </c>
      <c r="AQ224" s="44">
        <f>($AM$3*AM224+$AN$3*AN224+$AO$3*AO224+$AP$3*AP224)+$I$3*VLOOKUP(I224,COND!$A$2:$E$7,4,FALSE)+$J$3*VLOOKUP(J224,COND!$A$2:$C$7,2,FALSE)+$K$3*VLOOKUP(K224,COND!$A$2:$C$7,3,FALSE)+IF(AND($B$2&gt;0,$E224&lt;20),$B$2*25,0)</f>
        <v>39.357219458476841</v>
      </c>
      <c r="AR224" s="47">
        <f t="shared" si="32"/>
        <v>-0.56362244329826006</v>
      </c>
      <c r="AS224" s="45" t="str">
        <f t="shared" si="30"/>
        <v>2B</v>
      </c>
      <c r="AT224" s="45">
        <v>900</v>
      </c>
      <c r="AU224" s="45">
        <v>220</v>
      </c>
      <c r="AV224" s="45"/>
      <c r="AW224" s="45" t="str">
        <f t="shared" si="31"/>
        <v>Unlikely</v>
      </c>
      <c r="AX224" s="45"/>
      <c r="AY224" s="45">
        <f>INDEX(Table5[[#All],[Ovr]],MATCH(Batters[[#This Row],[PID]],Table5[[#All],[PID]],0))</f>
        <v>663</v>
      </c>
      <c r="AZ224" s="45" t="str">
        <f>INDEX(Table5[[#All],[Rnd]],MATCH(Batters[[#This Row],[PID]],Table5[[#All],[PID]],0))</f>
        <v>20</v>
      </c>
      <c r="BA224" s="45">
        <f>INDEX(Table5[[#All],[Pick]],MATCH(Batters[[#This Row],[PID]],Table5[[#All],[PID]],0))</f>
        <v>26</v>
      </c>
      <c r="BB224" s="45" t="str">
        <f>INDEX(Table5[[#All],[Team]],MATCH(Batters[[#This Row],[PID]],Table5[[#All],[PID]],0))</f>
        <v>Aurora Borealis</v>
      </c>
    </row>
    <row r="225" spans="1:54" ht="15" customHeight="1" x14ac:dyDescent="0.3">
      <c r="A225" s="40">
        <v>20254</v>
      </c>
      <c r="B225" s="40" t="s">
        <v>71</v>
      </c>
      <c r="C225" s="40" t="s">
        <v>150</v>
      </c>
      <c r="D225" s="40" t="s">
        <v>152</v>
      </c>
      <c r="E225" s="40">
        <v>23</v>
      </c>
      <c r="F225" s="40" t="s">
        <v>62</v>
      </c>
      <c r="G225" s="40" t="s">
        <v>42</v>
      </c>
      <c r="H225" s="41" t="s">
        <v>550</v>
      </c>
      <c r="I225" s="64" t="s">
        <v>43</v>
      </c>
      <c r="J225" s="65" t="s">
        <v>43</v>
      </c>
      <c r="K225" s="66" t="s">
        <v>43</v>
      </c>
      <c r="L225" s="40">
        <v>2</v>
      </c>
      <c r="M225" s="40">
        <v>4</v>
      </c>
      <c r="N225" s="40">
        <v>3</v>
      </c>
      <c r="O225" s="40">
        <v>5</v>
      </c>
      <c r="P225" s="41">
        <v>2</v>
      </c>
      <c r="Q225" s="40">
        <v>3</v>
      </c>
      <c r="R225" s="40">
        <v>4</v>
      </c>
      <c r="S225" s="40">
        <v>4</v>
      </c>
      <c r="T225" s="40">
        <v>5</v>
      </c>
      <c r="U225" s="41">
        <v>4</v>
      </c>
      <c r="V225" s="40">
        <v>7</v>
      </c>
      <c r="W225" s="40">
        <v>7</v>
      </c>
      <c r="X225" s="40">
        <v>1</v>
      </c>
      <c r="Y225" s="41">
        <v>1</v>
      </c>
      <c r="Z225" s="40" t="s">
        <v>45</v>
      </c>
      <c r="AA225" s="40" t="s">
        <v>45</v>
      </c>
      <c r="AB225" s="40">
        <v>6</v>
      </c>
      <c r="AC225" s="40">
        <v>5</v>
      </c>
      <c r="AD225" s="40">
        <v>2</v>
      </c>
      <c r="AE225" s="40" t="s">
        <v>45</v>
      </c>
      <c r="AF225" s="40" t="s">
        <v>45</v>
      </c>
      <c r="AG225" s="41" t="s">
        <v>45</v>
      </c>
      <c r="AH225" s="40">
        <v>3</v>
      </c>
      <c r="AI225" s="40">
        <v>2</v>
      </c>
      <c r="AJ225" s="41">
        <v>1</v>
      </c>
      <c r="AK225" s="43" t="s">
        <v>818</v>
      </c>
      <c r="AL225" s="43" t="s">
        <v>104</v>
      </c>
      <c r="AM225" s="44">
        <f t="shared" si="26"/>
        <v>-1.0436303468655763</v>
      </c>
      <c r="AN225" s="44">
        <f t="shared" si="27"/>
        <v>-0.55798033700483307</v>
      </c>
      <c r="AO225" s="45">
        <f t="shared" si="28"/>
        <v>0</v>
      </c>
      <c r="AP225" s="46">
        <f t="shared" si="29"/>
        <v>1.1000000000000001</v>
      </c>
      <c r="AQ225" s="44">
        <f>($AM$3*AM225+$AN$3*AN225+$AO$3*AO225+$AP$3*AP225)+$I$3*VLOOKUP(I225,COND!$A$2:$E$7,4,FALSE)+$J$3*VLOOKUP(J225,COND!$A$2:$C$7,2,FALSE)+$K$3*VLOOKUP(K225,COND!$A$2:$C$7,3,FALSE)+IF(AND($B$2&gt;0,$E225&lt;20),$B$2*25,0)</f>
        <v>39.299872921255442</v>
      </c>
      <c r="AR225" s="47">
        <f t="shared" si="32"/>
        <v>-0.5719932089312777</v>
      </c>
      <c r="AS225" s="45" t="str">
        <f t="shared" si="30"/>
        <v>2B</v>
      </c>
      <c r="AT225" s="45">
        <v>900</v>
      </c>
      <c r="AU225" s="45">
        <v>221</v>
      </c>
      <c r="AV225" s="45"/>
      <c r="AW225" s="45" t="str">
        <f t="shared" si="31"/>
        <v>Unlikely</v>
      </c>
      <c r="AX225" s="45"/>
      <c r="AY225" s="45">
        <f>INDEX(Table5[[#All],[Ovr]],MATCH(Batters[[#This Row],[PID]],Table5[[#All],[PID]],0))</f>
        <v>215</v>
      </c>
      <c r="AZ225" s="45" t="str">
        <f>INDEX(Table5[[#All],[Rnd]],MATCH(Batters[[#This Row],[PID]],Table5[[#All],[PID]],0))</f>
        <v>7</v>
      </c>
      <c r="BA225" s="45">
        <f>INDEX(Table5[[#All],[Pick]],MATCH(Batters[[#This Row],[PID]],Table5[[#All],[PID]],0))</f>
        <v>14</v>
      </c>
      <c r="BB225" s="45" t="str">
        <f>INDEX(Table5[[#All],[Team]],MATCH(Batters[[#This Row],[PID]],Table5[[#All],[PID]],0))</f>
        <v>San Antonio Calzones of Laredo</v>
      </c>
    </row>
    <row r="226" spans="1:54" ht="15" customHeight="1" x14ac:dyDescent="0.3">
      <c r="A226" s="40">
        <v>9355</v>
      </c>
      <c r="B226" s="40" t="s">
        <v>66</v>
      </c>
      <c r="C226" s="40" t="s">
        <v>640</v>
      </c>
      <c r="D226" s="40" t="s">
        <v>574</v>
      </c>
      <c r="E226" s="40">
        <v>22</v>
      </c>
      <c r="F226" s="40" t="s">
        <v>42</v>
      </c>
      <c r="G226" s="40" t="s">
        <v>42</v>
      </c>
      <c r="H226" s="41" t="s">
        <v>552</v>
      </c>
      <c r="I226" s="64" t="s">
        <v>43</v>
      </c>
      <c r="J226" s="65" t="s">
        <v>43</v>
      </c>
      <c r="K226" s="66" t="s">
        <v>43</v>
      </c>
      <c r="L226" s="40">
        <v>2</v>
      </c>
      <c r="M226" s="40">
        <v>2</v>
      </c>
      <c r="N226" s="40">
        <v>2</v>
      </c>
      <c r="O226" s="40">
        <v>3</v>
      </c>
      <c r="P226" s="41">
        <v>2</v>
      </c>
      <c r="Q226" s="40">
        <v>4</v>
      </c>
      <c r="R226" s="40">
        <v>4</v>
      </c>
      <c r="S226" s="40">
        <v>2</v>
      </c>
      <c r="T226" s="40">
        <v>4</v>
      </c>
      <c r="U226" s="41">
        <v>4</v>
      </c>
      <c r="V226" s="40">
        <v>4</v>
      </c>
      <c r="W226" s="40">
        <v>7</v>
      </c>
      <c r="X226" s="40">
        <v>1</v>
      </c>
      <c r="Y226" s="41">
        <v>1</v>
      </c>
      <c r="Z226" s="40" t="s">
        <v>45</v>
      </c>
      <c r="AA226" s="40" t="s">
        <v>45</v>
      </c>
      <c r="AB226" s="40" t="s">
        <v>45</v>
      </c>
      <c r="AC226" s="40" t="s">
        <v>45</v>
      </c>
      <c r="AD226" s="40" t="s">
        <v>45</v>
      </c>
      <c r="AE226" s="40">
        <v>2</v>
      </c>
      <c r="AF226" s="40" t="s">
        <v>45</v>
      </c>
      <c r="AG226" s="41">
        <v>3</v>
      </c>
      <c r="AH226" s="40">
        <v>3</v>
      </c>
      <c r="AI226" s="40">
        <v>9</v>
      </c>
      <c r="AJ226" s="41">
        <v>8</v>
      </c>
      <c r="AK226" s="43" t="s">
        <v>45</v>
      </c>
      <c r="AL226" s="43" t="s">
        <v>103</v>
      </c>
      <c r="AM226" s="44">
        <f t="shared" si="26"/>
        <v>-1.4082307001460468</v>
      </c>
      <c r="AN226" s="44">
        <f t="shared" si="27"/>
        <v>-0.49125703885954242</v>
      </c>
      <c r="AO226" s="45">
        <f t="shared" si="28"/>
        <v>2</v>
      </c>
      <c r="AP226" s="46">
        <f t="shared" si="29"/>
        <v>0</v>
      </c>
      <c r="AQ226" s="44">
        <f>($AM$3*AM226+$AN$3*AN226+$AO$3*AO226+$AP$3*AP226)+$I$3*VLOOKUP(I226,COND!$A$2:$E$7,4,FALSE)+$J$3*VLOOKUP(J226,COND!$A$2:$C$7,2,FALSE)+$K$3*VLOOKUP(K226,COND!$A$2:$C$7,3,FALSE)+IF(AND($B$2&gt;0,$E226&lt;20),$B$2*25,0)</f>
        <v>39.297425797004223</v>
      </c>
      <c r="AR226" s="47">
        <f t="shared" si="32"/>
        <v>-0.57235041103229989</v>
      </c>
      <c r="AS226" s="45" t="str">
        <f t="shared" si="30"/>
        <v>RF</v>
      </c>
      <c r="AT226" s="45">
        <v>900</v>
      </c>
      <c r="AU226" s="45">
        <v>222</v>
      </c>
      <c r="AV226" s="45"/>
      <c r="AW226" s="45" t="str">
        <f t="shared" si="31"/>
        <v>Unlikely</v>
      </c>
      <c r="AX226" s="45"/>
      <c r="AY226" s="45">
        <f>INDEX(Table5[[#All],[Ovr]],MATCH(Batters[[#This Row],[PID]],Table5[[#All],[PID]],0))</f>
        <v>410</v>
      </c>
      <c r="AZ226" s="45" t="str">
        <f>INDEX(Table5[[#All],[Rnd]],MATCH(Batters[[#This Row],[PID]],Table5[[#All],[PID]],0))</f>
        <v>13</v>
      </c>
      <c r="BA226" s="45">
        <f>INDEX(Table5[[#All],[Pick]],MATCH(Batters[[#This Row],[PID]],Table5[[#All],[PID]],0))</f>
        <v>11</v>
      </c>
      <c r="BB226" s="45" t="str">
        <f>INDEX(Table5[[#All],[Team]],MATCH(Batters[[#This Row],[PID]],Table5[[#All],[PID]],0))</f>
        <v>Arlington Bureaucrats</v>
      </c>
    </row>
    <row r="227" spans="1:54" ht="15" customHeight="1" x14ac:dyDescent="0.3">
      <c r="A227" s="40">
        <v>15922</v>
      </c>
      <c r="B227" s="40" t="s">
        <v>71</v>
      </c>
      <c r="C227" s="40" t="s">
        <v>517</v>
      </c>
      <c r="D227" s="40" t="s">
        <v>854</v>
      </c>
      <c r="E227" s="40">
        <v>22</v>
      </c>
      <c r="F227" s="40" t="s">
        <v>62</v>
      </c>
      <c r="G227" s="40" t="s">
        <v>42</v>
      </c>
      <c r="H227" s="41" t="s">
        <v>552</v>
      </c>
      <c r="I227" s="64" t="s">
        <v>43</v>
      </c>
      <c r="J227" s="65" t="s">
        <v>43</v>
      </c>
      <c r="K227" s="66" t="s">
        <v>43</v>
      </c>
      <c r="L227" s="40">
        <v>2</v>
      </c>
      <c r="M227" s="40">
        <v>3</v>
      </c>
      <c r="N227" s="40">
        <v>3</v>
      </c>
      <c r="O227" s="40">
        <v>3</v>
      </c>
      <c r="P227" s="41">
        <v>1</v>
      </c>
      <c r="Q227" s="40">
        <v>3</v>
      </c>
      <c r="R227" s="40">
        <v>4</v>
      </c>
      <c r="S227" s="40">
        <v>4</v>
      </c>
      <c r="T227" s="40">
        <v>5</v>
      </c>
      <c r="U227" s="41">
        <v>3</v>
      </c>
      <c r="V227" s="40">
        <v>7</v>
      </c>
      <c r="W227" s="40">
        <v>6</v>
      </c>
      <c r="X227" s="40">
        <v>1</v>
      </c>
      <c r="Y227" s="41">
        <v>1</v>
      </c>
      <c r="Z227" s="40" t="s">
        <v>45</v>
      </c>
      <c r="AA227" s="40" t="s">
        <v>45</v>
      </c>
      <c r="AB227" s="40">
        <v>5</v>
      </c>
      <c r="AC227" s="40">
        <v>2</v>
      </c>
      <c r="AD227" s="40" t="s">
        <v>45</v>
      </c>
      <c r="AE227" s="40" t="s">
        <v>45</v>
      </c>
      <c r="AF227" s="40" t="s">
        <v>45</v>
      </c>
      <c r="AG227" s="41" t="s">
        <v>45</v>
      </c>
      <c r="AH227" s="40">
        <v>10</v>
      </c>
      <c r="AI227" s="40">
        <v>10</v>
      </c>
      <c r="AJ227" s="41">
        <v>9</v>
      </c>
      <c r="AK227" s="43" t="s">
        <v>45</v>
      </c>
      <c r="AL227" s="43" t="s">
        <v>103</v>
      </c>
      <c r="AM227" s="44">
        <f t="shared" si="26"/>
        <v>-1.3141256663205254</v>
      </c>
      <c r="AN227" s="44">
        <f t="shared" si="27"/>
        <v>-0.59799667682191648</v>
      </c>
      <c r="AO227" s="45">
        <f t="shared" si="28"/>
        <v>6</v>
      </c>
      <c r="AP227" s="46">
        <f t="shared" si="29"/>
        <v>0.6</v>
      </c>
      <c r="AQ227" s="44">
        <f>($AM$3*AM227+$AN$3*AN227+$AO$3*AO227+$AP$3*AP227)+$I$3*VLOOKUP(I227,COND!$A$2:$E$7,4,FALSE)+$J$3*VLOOKUP(J227,COND!$A$2:$C$7,2,FALSE)+$K$3*VLOOKUP(K227,COND!$A$2:$C$7,3,FALSE)+IF(AND($B$2&gt;0,$E227&lt;20),$B$2*25,0)</f>
        <v>39.292627311504951</v>
      </c>
      <c r="AR227" s="47">
        <f t="shared" si="32"/>
        <v>-0.57305083688979785</v>
      </c>
      <c r="AS227" s="45" t="str">
        <f t="shared" si="30"/>
        <v>2B</v>
      </c>
      <c r="AT227" s="45">
        <v>900</v>
      </c>
      <c r="AU227" s="45">
        <v>223</v>
      </c>
      <c r="AV227" s="45"/>
      <c r="AW227" s="45" t="str">
        <f t="shared" si="31"/>
        <v>Unlikely</v>
      </c>
      <c r="AX227" s="45"/>
      <c r="AY227" s="45">
        <f>INDEX(Table5[[#All],[Ovr]],MATCH(Batters[[#This Row],[PID]],Table5[[#All],[PID]],0))</f>
        <v>351</v>
      </c>
      <c r="AZ227" s="45" t="str">
        <f>INDEX(Table5[[#All],[Rnd]],MATCH(Batters[[#This Row],[PID]],Table5[[#All],[PID]],0))</f>
        <v>11</v>
      </c>
      <c r="BA227" s="45">
        <f>INDEX(Table5[[#All],[Pick]],MATCH(Batters[[#This Row],[PID]],Table5[[#All],[PID]],0))</f>
        <v>20</v>
      </c>
      <c r="BB227" s="45" t="str">
        <f>INDEX(Table5[[#All],[Team]],MATCH(Batters[[#This Row],[PID]],Table5[[#All],[PID]],0))</f>
        <v>Crystal Lake Sandgnats</v>
      </c>
    </row>
    <row r="228" spans="1:54" ht="15" customHeight="1" x14ac:dyDescent="0.3">
      <c r="A228" s="40">
        <v>12627</v>
      </c>
      <c r="B228" s="40" t="s">
        <v>50</v>
      </c>
      <c r="C228" s="40" t="s">
        <v>149</v>
      </c>
      <c r="D228" s="40" t="s">
        <v>626</v>
      </c>
      <c r="E228" s="40">
        <v>21</v>
      </c>
      <c r="F228" s="40" t="s">
        <v>53</v>
      </c>
      <c r="G228" s="40" t="s">
        <v>42</v>
      </c>
      <c r="H228" s="41" t="s">
        <v>552</v>
      </c>
      <c r="I228" s="64" t="s">
        <v>43</v>
      </c>
      <c r="J228" s="65" t="s">
        <v>47</v>
      </c>
      <c r="K228" s="66" t="s">
        <v>43</v>
      </c>
      <c r="L228" s="40">
        <v>1</v>
      </c>
      <c r="M228" s="40">
        <v>1</v>
      </c>
      <c r="N228" s="40">
        <v>2</v>
      </c>
      <c r="O228" s="40">
        <v>4</v>
      </c>
      <c r="P228" s="41">
        <v>1</v>
      </c>
      <c r="Q228" s="40">
        <v>3</v>
      </c>
      <c r="R228" s="40">
        <v>2</v>
      </c>
      <c r="S228" s="40">
        <v>4</v>
      </c>
      <c r="T228" s="40">
        <v>6</v>
      </c>
      <c r="U228" s="41">
        <v>2</v>
      </c>
      <c r="V228" s="40">
        <v>3</v>
      </c>
      <c r="W228" s="40">
        <v>6</v>
      </c>
      <c r="X228" s="40">
        <v>1</v>
      </c>
      <c r="Y228" s="41">
        <v>1</v>
      </c>
      <c r="Z228" s="40" t="s">
        <v>45</v>
      </c>
      <c r="AA228" s="40" t="s">
        <v>45</v>
      </c>
      <c r="AB228" s="40" t="s">
        <v>45</v>
      </c>
      <c r="AC228" s="40" t="s">
        <v>45</v>
      </c>
      <c r="AD228" s="40" t="s">
        <v>45</v>
      </c>
      <c r="AE228" s="40">
        <v>6</v>
      </c>
      <c r="AF228" s="40">
        <v>2</v>
      </c>
      <c r="AG228" s="41">
        <v>2</v>
      </c>
      <c r="AH228" s="40">
        <v>9</v>
      </c>
      <c r="AI228" s="40">
        <v>10</v>
      </c>
      <c r="AJ228" s="41">
        <v>10</v>
      </c>
      <c r="AK228" s="43" t="s">
        <v>45</v>
      </c>
      <c r="AL228" s="43" t="s">
        <v>103</v>
      </c>
      <c r="AM228" s="44">
        <f t="shared" si="26"/>
        <v>-1.7321532057749276</v>
      </c>
      <c r="AN228" s="44">
        <f t="shared" si="27"/>
        <v>-0.65042322586682599</v>
      </c>
      <c r="AO228" s="45">
        <f t="shared" si="28"/>
        <v>6</v>
      </c>
      <c r="AP228" s="46">
        <f t="shared" si="29"/>
        <v>0</v>
      </c>
      <c r="AQ228" s="44">
        <f>($AM$3*AM228+$AN$3*AN228+$AO$3*AO228+$AP$3*AP228)+$I$3*VLOOKUP(I228,COND!$A$2:$E$7,4,FALSE)+$J$3*VLOOKUP(J228,COND!$A$2:$C$7,2,FALSE)+$K$3*VLOOKUP(K228,COND!$A$2:$C$7,3,FALSE)+IF(AND($B$2&gt;0,$E228&lt;20),$B$2*25,0)</f>
        <v>38.321705969020599</v>
      </c>
      <c r="AR228" s="47">
        <f t="shared" si="32"/>
        <v>-0.71477438986831388</v>
      </c>
      <c r="AS228" s="45" t="str">
        <f t="shared" si="30"/>
        <v>LF</v>
      </c>
      <c r="AT228" s="45">
        <v>900</v>
      </c>
      <c r="AU228" s="45">
        <v>224</v>
      </c>
      <c r="AV228" s="45"/>
      <c r="AW228" s="45" t="str">
        <f t="shared" si="31"/>
        <v>Unlikely</v>
      </c>
      <c r="AX228" s="45"/>
      <c r="AY228" s="63">
        <f>INDEX(Table5[[#All],[Ovr]],MATCH(Batters[[#This Row],[PID]],Table5[[#All],[PID]],0))</f>
        <v>371</v>
      </c>
      <c r="AZ228" s="63" t="str">
        <f>INDEX(Table5[[#All],[Rnd]],MATCH(Batters[[#This Row],[PID]],Table5[[#All],[PID]],0))</f>
        <v>12</v>
      </c>
      <c r="BA228" s="63">
        <f>INDEX(Table5[[#All],[Pick]],MATCH(Batters[[#This Row],[PID]],Table5[[#All],[PID]],0))</f>
        <v>6</v>
      </c>
      <c r="BB228" s="63" t="str">
        <f>INDEX(Table5[[#All],[Team]],MATCH(Batters[[#This Row],[PID]],Table5[[#All],[PID]],0))</f>
        <v>New Orleans Trendsetters</v>
      </c>
    </row>
    <row r="229" spans="1:54" ht="15" customHeight="1" x14ac:dyDescent="0.3">
      <c r="A229" s="40">
        <v>5484</v>
      </c>
      <c r="B229" s="40" t="s">
        <v>74</v>
      </c>
      <c r="C229" s="40" t="s">
        <v>789</v>
      </c>
      <c r="D229" s="40" t="s">
        <v>486</v>
      </c>
      <c r="E229" s="40">
        <v>21</v>
      </c>
      <c r="F229" s="40" t="s">
        <v>42</v>
      </c>
      <c r="G229" s="40" t="s">
        <v>42</v>
      </c>
      <c r="H229" s="41" t="s">
        <v>550</v>
      </c>
      <c r="I229" s="64" t="s">
        <v>43</v>
      </c>
      <c r="J229" s="65" t="s">
        <v>43</v>
      </c>
      <c r="K229" s="66" t="s">
        <v>43</v>
      </c>
      <c r="L229" s="40">
        <v>2</v>
      </c>
      <c r="M229" s="40">
        <v>2</v>
      </c>
      <c r="N229" s="40">
        <v>2</v>
      </c>
      <c r="O229" s="40">
        <v>4</v>
      </c>
      <c r="P229" s="41">
        <v>1</v>
      </c>
      <c r="Q229" s="40">
        <v>3</v>
      </c>
      <c r="R229" s="40">
        <v>3</v>
      </c>
      <c r="S229" s="40">
        <v>4</v>
      </c>
      <c r="T229" s="40">
        <v>5</v>
      </c>
      <c r="U229" s="41">
        <v>3</v>
      </c>
      <c r="V229" s="40">
        <v>3</v>
      </c>
      <c r="W229" s="40">
        <v>6</v>
      </c>
      <c r="X229" s="40">
        <v>1</v>
      </c>
      <c r="Y229" s="41">
        <v>1</v>
      </c>
      <c r="Z229" s="40" t="s">
        <v>45</v>
      </c>
      <c r="AA229" s="40" t="s">
        <v>45</v>
      </c>
      <c r="AB229" s="40">
        <v>1</v>
      </c>
      <c r="AC229" s="40" t="s">
        <v>45</v>
      </c>
      <c r="AD229" s="40" t="s">
        <v>45</v>
      </c>
      <c r="AE229" s="40" t="s">
        <v>45</v>
      </c>
      <c r="AF229" s="40">
        <v>7</v>
      </c>
      <c r="AG229" s="41">
        <v>4</v>
      </c>
      <c r="AH229" s="40">
        <v>10</v>
      </c>
      <c r="AI229" s="40">
        <v>9</v>
      </c>
      <c r="AJ229" s="41">
        <v>10</v>
      </c>
      <c r="AK229" s="43" t="s">
        <v>504</v>
      </c>
      <c r="AL229" s="43" t="s">
        <v>103</v>
      </c>
      <c r="AM229" s="44">
        <f t="shared" si="26"/>
        <v>-1.3585374899535492</v>
      </c>
      <c r="AN229" s="44">
        <f t="shared" si="27"/>
        <v>-0.64905655644061999</v>
      </c>
      <c r="AO229" s="45">
        <f t="shared" si="28"/>
        <v>6</v>
      </c>
      <c r="AP229" s="46">
        <f t="shared" si="29"/>
        <v>0.75</v>
      </c>
      <c r="AQ229" s="44">
        <f>($AM$3*AM229+$AN$3*AN229+$AO$3*AO229+$AP$3*AP229)+$I$3*VLOOKUP(I229,COND!$A$2:$E$7,4,FALSE)+$J$3*VLOOKUP(J229,COND!$A$2:$C$7,2,FALSE)+$K$3*VLOOKUP(K229,COND!$A$2:$C$7,3,FALSE)+IF(AND($B$2&gt;0,$E229&lt;20),$B$2*25,0)</f>
        <v>38.825467573717205</v>
      </c>
      <c r="AR229" s="47">
        <f t="shared" si="32"/>
        <v>-0.6412412607179343</v>
      </c>
      <c r="AS229" s="45" t="str">
        <f t="shared" si="30"/>
        <v>2B</v>
      </c>
      <c r="AT229" s="45">
        <v>900</v>
      </c>
      <c r="AU229" s="45">
        <v>225</v>
      </c>
      <c r="AV229" s="45"/>
      <c r="AW229" s="45" t="str">
        <f t="shared" si="31"/>
        <v>Unlikely</v>
      </c>
      <c r="AX229" s="45"/>
      <c r="AY229" s="45">
        <f>INDEX(Table5[[#All],[Ovr]],MATCH(Batters[[#This Row],[PID]],Table5[[#All],[PID]],0))</f>
        <v>183</v>
      </c>
      <c r="AZ229" s="45" t="str">
        <f>INDEX(Table5[[#All],[Rnd]],MATCH(Batters[[#This Row],[PID]],Table5[[#All],[PID]],0))</f>
        <v>6</v>
      </c>
      <c r="BA229" s="45">
        <f>INDEX(Table5[[#All],[Pick]],MATCH(Batters[[#This Row],[PID]],Table5[[#All],[PID]],0))</f>
        <v>14</v>
      </c>
      <c r="BB229" s="45" t="str">
        <f>INDEX(Table5[[#All],[Team]],MATCH(Batters[[#This Row],[PID]],Table5[[#All],[PID]],0))</f>
        <v>San Antonio Calzones of Laredo</v>
      </c>
    </row>
    <row r="230" spans="1:54" ht="15" customHeight="1" x14ac:dyDescent="0.3">
      <c r="A230" s="40">
        <v>12637</v>
      </c>
      <c r="B230" s="40" t="s">
        <v>87</v>
      </c>
      <c r="C230" s="40" t="s">
        <v>201</v>
      </c>
      <c r="D230" s="40" t="s">
        <v>1312</v>
      </c>
      <c r="E230" s="40">
        <v>17</v>
      </c>
      <c r="F230" s="40" t="s">
        <v>53</v>
      </c>
      <c r="G230" s="40" t="s">
        <v>53</v>
      </c>
      <c r="H230" s="41" t="s">
        <v>561</v>
      </c>
      <c r="I230" s="64" t="s">
        <v>43</v>
      </c>
      <c r="J230" s="65" t="s">
        <v>47</v>
      </c>
      <c r="K230" s="66" t="s">
        <v>43</v>
      </c>
      <c r="L230" s="40">
        <v>1</v>
      </c>
      <c r="M230" s="40">
        <v>3</v>
      </c>
      <c r="N230" s="40">
        <v>2</v>
      </c>
      <c r="O230" s="40">
        <v>2</v>
      </c>
      <c r="P230" s="41">
        <v>1</v>
      </c>
      <c r="Q230" s="40">
        <v>3</v>
      </c>
      <c r="R230" s="40">
        <v>3</v>
      </c>
      <c r="S230" s="40">
        <v>3</v>
      </c>
      <c r="T230" s="40">
        <v>2</v>
      </c>
      <c r="U230" s="41">
        <v>3</v>
      </c>
      <c r="V230" s="40">
        <v>7</v>
      </c>
      <c r="W230" s="40">
        <v>3</v>
      </c>
      <c r="X230" s="40">
        <v>1</v>
      </c>
      <c r="Y230" s="41">
        <v>1</v>
      </c>
      <c r="Z230" s="40" t="s">
        <v>45</v>
      </c>
      <c r="AA230" s="40">
        <v>1</v>
      </c>
      <c r="AB230" s="40" t="s">
        <v>45</v>
      </c>
      <c r="AC230" s="40" t="s">
        <v>45</v>
      </c>
      <c r="AD230" s="40" t="s">
        <v>45</v>
      </c>
      <c r="AE230" s="40" t="s">
        <v>45</v>
      </c>
      <c r="AF230" s="40" t="s">
        <v>45</v>
      </c>
      <c r="AG230" s="41" t="s">
        <v>45</v>
      </c>
      <c r="AH230" s="40">
        <v>1</v>
      </c>
      <c r="AI230" s="40">
        <v>1</v>
      </c>
      <c r="AJ230" s="41">
        <v>1</v>
      </c>
      <c r="AK230" s="43" t="s">
        <v>558</v>
      </c>
      <c r="AL230" s="43" t="s">
        <v>103</v>
      </c>
      <c r="AM230" s="44">
        <f t="shared" si="26"/>
        <v>-1.8094525465566824</v>
      </c>
      <c r="AN230" s="44">
        <f t="shared" si="27"/>
        <v>-1.0012467004932646</v>
      </c>
      <c r="AO230" s="45">
        <f t="shared" si="28"/>
        <v>0</v>
      </c>
      <c r="AP230" s="46">
        <f t="shared" si="29"/>
        <v>0</v>
      </c>
      <c r="AQ230" s="44">
        <f>($AM$3*AM230+$AN$3*AN230+$AO$3*AO230+$AP$3*AP230)+$I$3*VLOOKUP(I230,COND!$A$2:$E$7,4,FALSE)+$J$3*VLOOKUP(J230,COND!$A$2:$C$7,2,FALSE)+$K$3*VLOOKUP(K230,COND!$A$2:$C$7,3,FALSE)+IF(AND($B$2&gt;0,$E230&lt;20),$B$2*25,0)</f>
        <v>38.10409433942516</v>
      </c>
      <c r="AR230" s="47">
        <f t="shared" si="32"/>
        <v>-0.74653874807759624</v>
      </c>
      <c r="AS230" s="45" t="str">
        <f t="shared" si="30"/>
        <v>1B</v>
      </c>
      <c r="AT230" s="45">
        <v>900</v>
      </c>
      <c r="AU230" s="45">
        <v>226</v>
      </c>
      <c r="AV230" s="45"/>
      <c r="AW230" s="45" t="str">
        <f t="shared" si="31"/>
        <v>Unlikely</v>
      </c>
      <c r="AX230" s="45"/>
      <c r="AY230" s="45" t="str">
        <f>INDEX(Table5[[#All],[Ovr]],MATCH(Batters[[#This Row],[PID]],Table5[[#All],[PID]],0))</f>
        <v/>
      </c>
      <c r="AZ230" s="45" t="str">
        <f>INDEX(Table5[[#All],[Rnd]],MATCH(Batters[[#This Row],[PID]],Table5[[#All],[PID]],0))</f>
        <v/>
      </c>
      <c r="BA230" s="45" t="str">
        <f>INDEX(Table5[[#All],[Pick]],MATCH(Batters[[#This Row],[PID]],Table5[[#All],[PID]],0))</f>
        <v/>
      </c>
      <c r="BB230" s="45" t="str">
        <f>INDEX(Table5[[#All],[Team]],MATCH(Batters[[#This Row],[PID]],Table5[[#All],[PID]],0))</f>
        <v/>
      </c>
    </row>
    <row r="231" spans="1:54" ht="15" customHeight="1" x14ac:dyDescent="0.3">
      <c r="A231" s="40">
        <v>16929</v>
      </c>
      <c r="B231" s="40" t="s">
        <v>69</v>
      </c>
      <c r="C231" s="40" t="s">
        <v>201</v>
      </c>
      <c r="D231" s="40" t="s">
        <v>686</v>
      </c>
      <c r="E231" s="40">
        <v>22</v>
      </c>
      <c r="F231" s="40" t="s">
        <v>42</v>
      </c>
      <c r="G231" s="40" t="s">
        <v>42</v>
      </c>
      <c r="H231" s="41" t="s">
        <v>552</v>
      </c>
      <c r="I231" s="64" t="s">
        <v>44</v>
      </c>
      <c r="J231" s="65" t="s">
        <v>47</v>
      </c>
      <c r="K231" s="66" t="s">
        <v>43</v>
      </c>
      <c r="L231" s="40">
        <v>2</v>
      </c>
      <c r="M231" s="40">
        <v>3</v>
      </c>
      <c r="N231" s="40">
        <v>2</v>
      </c>
      <c r="O231" s="40">
        <v>3</v>
      </c>
      <c r="P231" s="41">
        <v>2</v>
      </c>
      <c r="Q231" s="40">
        <v>3</v>
      </c>
      <c r="R231" s="40">
        <v>4</v>
      </c>
      <c r="S231" s="40">
        <v>2</v>
      </c>
      <c r="T231" s="40">
        <v>5</v>
      </c>
      <c r="U231" s="41">
        <v>3</v>
      </c>
      <c r="V231" s="40">
        <v>10</v>
      </c>
      <c r="W231" s="40">
        <v>9</v>
      </c>
      <c r="X231" s="40">
        <v>1</v>
      </c>
      <c r="Y231" s="41">
        <v>1</v>
      </c>
      <c r="Z231" s="40" t="s">
        <v>45</v>
      </c>
      <c r="AA231" s="40" t="s">
        <v>45</v>
      </c>
      <c r="AB231" s="40">
        <v>2</v>
      </c>
      <c r="AC231" s="40">
        <v>8</v>
      </c>
      <c r="AD231" s="40">
        <v>2</v>
      </c>
      <c r="AE231" s="40" t="s">
        <v>45</v>
      </c>
      <c r="AF231" s="40" t="s">
        <v>45</v>
      </c>
      <c r="AG231" s="41" t="s">
        <v>45</v>
      </c>
      <c r="AH231" s="40">
        <v>9</v>
      </c>
      <c r="AI231" s="40">
        <v>10</v>
      </c>
      <c r="AJ231" s="41">
        <v>10</v>
      </c>
      <c r="AK231" s="43" t="s">
        <v>557</v>
      </c>
      <c r="AL231" s="43" t="s">
        <v>103</v>
      </c>
      <c r="AM231" s="44">
        <f t="shared" si="26"/>
        <v>-1.3571708205273432</v>
      </c>
      <c r="AN231" s="44">
        <f t="shared" si="27"/>
        <v>-0.76411966486971961</v>
      </c>
      <c r="AO231" s="45">
        <f t="shared" si="28"/>
        <v>6</v>
      </c>
      <c r="AP231" s="46">
        <f t="shared" si="29"/>
        <v>1.25</v>
      </c>
      <c r="AQ231" s="44">
        <f>($AM$3*AM231+$AN$3*AN231+$AO$3*AO231+$AP$3*AP231)+$I$3*VLOOKUP(I231,COND!$A$2:$E$7,4,FALSE)+$J$3*VLOOKUP(J231,COND!$A$2:$C$7,2,FALSE)+$K$3*VLOOKUP(K231,COND!$A$2:$C$7,3,FALSE)+IF(AND($B$2&gt;0,$E231&lt;20),$B$2*25,0)</f>
        <v>38.094846939510632</v>
      </c>
      <c r="AR231" s="47">
        <f t="shared" si="32"/>
        <v>-0.74788857356227123</v>
      </c>
      <c r="AS231" s="45" t="str">
        <f t="shared" si="30"/>
        <v>3B</v>
      </c>
      <c r="AT231" s="45">
        <v>900</v>
      </c>
      <c r="AU231" s="45">
        <v>227</v>
      </c>
      <c r="AV231" s="45"/>
      <c r="AW231" s="45" t="str">
        <f t="shared" si="31"/>
        <v>Unlikely</v>
      </c>
      <c r="AX231" s="45"/>
      <c r="AY231" s="63">
        <f>INDEX(Table5[[#All],[Ovr]],MATCH(Batters[[#This Row],[PID]],Table5[[#All],[PID]],0))</f>
        <v>253</v>
      </c>
      <c r="AZ231" s="63" t="str">
        <f>INDEX(Table5[[#All],[Rnd]],MATCH(Batters[[#This Row],[PID]],Table5[[#All],[PID]],0))</f>
        <v>8</v>
      </c>
      <c r="BA231" s="63">
        <f>INDEX(Table5[[#All],[Pick]],MATCH(Batters[[#This Row],[PID]],Table5[[#All],[PID]],0))</f>
        <v>20</v>
      </c>
      <c r="BB231" s="63" t="str">
        <f>INDEX(Table5[[#All],[Team]],MATCH(Batters[[#This Row],[PID]],Table5[[#All],[PID]],0))</f>
        <v>Crystal Lake Sandgnats</v>
      </c>
    </row>
    <row r="232" spans="1:54" ht="15" customHeight="1" x14ac:dyDescent="0.3">
      <c r="A232" s="40">
        <v>12827</v>
      </c>
      <c r="B232" s="40" t="s">
        <v>50</v>
      </c>
      <c r="C232" s="40" t="s">
        <v>739</v>
      </c>
      <c r="D232" s="40" t="s">
        <v>821</v>
      </c>
      <c r="E232" s="40">
        <v>22</v>
      </c>
      <c r="F232" s="40" t="s">
        <v>53</v>
      </c>
      <c r="G232" s="40" t="s">
        <v>42</v>
      </c>
      <c r="H232" s="41" t="s">
        <v>552</v>
      </c>
      <c r="I232" s="64" t="s">
        <v>43</v>
      </c>
      <c r="J232" s="65" t="s">
        <v>43</v>
      </c>
      <c r="K232" s="66" t="s">
        <v>43</v>
      </c>
      <c r="L232" s="40">
        <v>2</v>
      </c>
      <c r="M232" s="40">
        <v>3</v>
      </c>
      <c r="N232" s="40">
        <v>3</v>
      </c>
      <c r="O232" s="40">
        <v>3</v>
      </c>
      <c r="P232" s="41">
        <v>2</v>
      </c>
      <c r="Q232" s="40">
        <v>3</v>
      </c>
      <c r="R232" s="40">
        <v>5</v>
      </c>
      <c r="S232" s="40">
        <v>4</v>
      </c>
      <c r="T232" s="40">
        <v>5</v>
      </c>
      <c r="U232" s="41">
        <v>4</v>
      </c>
      <c r="V232" s="40">
        <v>4</v>
      </c>
      <c r="W232" s="40">
        <v>7</v>
      </c>
      <c r="X232" s="40">
        <v>1</v>
      </c>
      <c r="Y232" s="41">
        <v>1</v>
      </c>
      <c r="Z232" s="40" t="s">
        <v>45</v>
      </c>
      <c r="AA232" s="40">
        <v>2</v>
      </c>
      <c r="AB232" s="40" t="s">
        <v>45</v>
      </c>
      <c r="AC232" s="40" t="s">
        <v>45</v>
      </c>
      <c r="AD232" s="40" t="s">
        <v>45</v>
      </c>
      <c r="AE232" s="40">
        <v>3</v>
      </c>
      <c r="AF232" s="40" t="s">
        <v>45</v>
      </c>
      <c r="AG232" s="41" t="s">
        <v>45</v>
      </c>
      <c r="AH232" s="40">
        <v>4</v>
      </c>
      <c r="AI232" s="40">
        <v>4</v>
      </c>
      <c r="AJ232" s="41">
        <v>3</v>
      </c>
      <c r="AK232" s="43" t="s">
        <v>557</v>
      </c>
      <c r="AL232" s="43" t="s">
        <v>103</v>
      </c>
      <c r="AM232" s="44">
        <f t="shared" si="26"/>
        <v>-1.2741093265034418</v>
      </c>
      <c r="AN232" s="44">
        <f t="shared" si="27"/>
        <v>-0.50692045738612956</v>
      </c>
      <c r="AO232" s="45">
        <f t="shared" si="28"/>
        <v>0</v>
      </c>
      <c r="AP232" s="46">
        <f t="shared" si="29"/>
        <v>0</v>
      </c>
      <c r="AQ232" s="44">
        <f>($AM$3*AM232+$AN$3*AN232+$AO$3*AO232+$AP$3*AP232)+$I$3*VLOOKUP(I232,COND!$A$2:$E$7,4,FALSE)+$J$3*VLOOKUP(J232,COND!$A$2:$C$7,2,FALSE)+$K$3*VLOOKUP(K232,COND!$A$2:$C$7,3,FALSE)+IF(AND($B$2&gt;0,$E232&lt;20),$B$2*25,0)</f>
        <v>38.789543578716099</v>
      </c>
      <c r="AR232" s="47">
        <f t="shared" si="32"/>
        <v>-0.64648501835921957</v>
      </c>
      <c r="AS232" s="45" t="str">
        <f t="shared" si="30"/>
        <v>LF</v>
      </c>
      <c r="AT232" s="45">
        <v>900</v>
      </c>
      <c r="AU232" s="45">
        <v>228</v>
      </c>
      <c r="AV232" s="45"/>
      <c r="AW232" s="45" t="str">
        <f t="shared" si="31"/>
        <v>Unlikely</v>
      </c>
      <c r="AX232" s="45"/>
      <c r="AY232" s="45">
        <f>INDEX(Table5[[#All],[Ovr]],MATCH(Batters[[#This Row],[PID]],Table5[[#All],[PID]],0))</f>
        <v>357</v>
      </c>
      <c r="AZ232" s="45" t="str">
        <f>INDEX(Table5[[#All],[Rnd]],MATCH(Batters[[#This Row],[PID]],Table5[[#All],[PID]],0))</f>
        <v>11</v>
      </c>
      <c r="BA232" s="45">
        <f>INDEX(Table5[[#All],[Pick]],MATCH(Batters[[#This Row],[PID]],Table5[[#All],[PID]],0))</f>
        <v>26</v>
      </c>
      <c r="BB232" s="45" t="str">
        <f>INDEX(Table5[[#All],[Team]],MATCH(Batters[[#This Row],[PID]],Table5[[#All],[PID]],0))</f>
        <v>Aurora Borealis</v>
      </c>
    </row>
    <row r="233" spans="1:54" ht="15" customHeight="1" x14ac:dyDescent="0.3">
      <c r="A233" s="40">
        <v>20352</v>
      </c>
      <c r="B233" s="40" t="s">
        <v>87</v>
      </c>
      <c r="C233" s="40" t="s">
        <v>386</v>
      </c>
      <c r="D233" s="40" t="s">
        <v>738</v>
      </c>
      <c r="E233" s="40">
        <v>17</v>
      </c>
      <c r="F233" s="40" t="s">
        <v>42</v>
      </c>
      <c r="G233" s="40" t="s">
        <v>42</v>
      </c>
      <c r="H233" s="41" t="s">
        <v>561</v>
      </c>
      <c r="I233" s="64" t="s">
        <v>43</v>
      </c>
      <c r="J233" s="65" t="s">
        <v>47</v>
      </c>
      <c r="K233" s="66" t="s">
        <v>43</v>
      </c>
      <c r="L233" s="40">
        <v>1</v>
      </c>
      <c r="M233" s="40">
        <v>1</v>
      </c>
      <c r="N233" s="40">
        <v>2</v>
      </c>
      <c r="O233" s="40">
        <v>1</v>
      </c>
      <c r="P233" s="41">
        <v>1</v>
      </c>
      <c r="Q233" s="40">
        <v>3</v>
      </c>
      <c r="R233" s="40">
        <v>2</v>
      </c>
      <c r="S233" s="40">
        <v>2</v>
      </c>
      <c r="T233" s="40">
        <v>3</v>
      </c>
      <c r="U233" s="41">
        <v>4</v>
      </c>
      <c r="V233" s="40">
        <v>6</v>
      </c>
      <c r="W233" s="40">
        <v>2</v>
      </c>
      <c r="X233" s="40">
        <v>1</v>
      </c>
      <c r="Y233" s="41">
        <v>1</v>
      </c>
      <c r="Z233" s="40" t="s">
        <v>45</v>
      </c>
      <c r="AA233" s="40" t="s">
        <v>45</v>
      </c>
      <c r="AB233" s="40" t="s">
        <v>45</v>
      </c>
      <c r="AC233" s="40" t="s">
        <v>45</v>
      </c>
      <c r="AD233" s="40" t="s">
        <v>45</v>
      </c>
      <c r="AE233" s="40" t="s">
        <v>45</v>
      </c>
      <c r="AF233" s="40" t="s">
        <v>45</v>
      </c>
      <c r="AG233" s="41" t="s">
        <v>45</v>
      </c>
      <c r="AH233" s="40">
        <v>1</v>
      </c>
      <c r="AI233" s="40">
        <v>1</v>
      </c>
      <c r="AJ233" s="41">
        <v>1</v>
      </c>
      <c r="AK233" s="43" t="s">
        <v>583</v>
      </c>
      <c r="AL233" s="43" t="s">
        <v>103</v>
      </c>
      <c r="AM233" s="44">
        <f t="shared" si="26"/>
        <v>-2.0012818558036707</v>
      </c>
      <c r="AN233" s="44">
        <f t="shared" si="27"/>
        <v>-1.0056421843092052</v>
      </c>
      <c r="AO233" s="45">
        <f t="shared" si="28"/>
        <v>0</v>
      </c>
      <c r="AP233" s="46">
        <f t="shared" si="29"/>
        <v>0</v>
      </c>
      <c r="AQ233" s="44">
        <f>($AM$3*AM233+$AN$3*AN233+$AO$3*AO233+$AP$3*AP233)+$I$3*VLOOKUP(I233,COND!$A$2:$E$7,4,FALSE)+$J$3*VLOOKUP(J233,COND!$A$2:$C$7,2,FALSE)+$K$3*VLOOKUP(K233,COND!$A$2:$C$7,3,FALSE)+IF(AND($B$2&gt;0,$E233&lt;20),$B$2*25,0)</f>
        <v>38.032165602709171</v>
      </c>
      <c r="AR233" s="47">
        <f t="shared" si="32"/>
        <v>-0.75703804980533684</v>
      </c>
      <c r="AS233" s="45" t="str">
        <f t="shared" si="30"/>
        <v>DH</v>
      </c>
      <c r="AT233" s="45">
        <v>900</v>
      </c>
      <c r="AU233" s="45">
        <v>229</v>
      </c>
      <c r="AV233" s="45"/>
      <c r="AW233" s="45" t="str">
        <f t="shared" si="31"/>
        <v>Unlikely</v>
      </c>
      <c r="AX233" s="45"/>
      <c r="AY233" s="63">
        <f>INDEX(Table5[[#All],[Ovr]],MATCH(Batters[[#This Row],[PID]],Table5[[#All],[PID]],0))</f>
        <v>337</v>
      </c>
      <c r="AZ233" s="63" t="str">
        <f>INDEX(Table5[[#All],[Rnd]],MATCH(Batters[[#This Row],[PID]],Table5[[#All],[PID]],0))</f>
        <v>11</v>
      </c>
      <c r="BA233" s="63">
        <f>INDEX(Table5[[#All],[Pick]],MATCH(Batters[[#This Row],[PID]],Table5[[#All],[PID]],0))</f>
        <v>6</v>
      </c>
      <c r="BB233" s="63" t="str">
        <f>INDEX(Table5[[#All],[Team]],MATCH(Batters[[#This Row],[PID]],Table5[[#All],[PID]],0))</f>
        <v>New Orleans Trendsetters</v>
      </c>
    </row>
    <row r="234" spans="1:54" ht="15" customHeight="1" x14ac:dyDescent="0.3">
      <c r="A234" s="40">
        <v>6173</v>
      </c>
      <c r="B234" s="40" t="s">
        <v>87</v>
      </c>
      <c r="C234" s="40" t="s">
        <v>1188</v>
      </c>
      <c r="D234" s="40" t="s">
        <v>1189</v>
      </c>
      <c r="E234" s="40">
        <v>21</v>
      </c>
      <c r="F234" s="40" t="s">
        <v>53</v>
      </c>
      <c r="G234" s="40" t="s">
        <v>42</v>
      </c>
      <c r="H234" s="41" t="s">
        <v>552</v>
      </c>
      <c r="I234" s="64" t="s">
        <v>43</v>
      </c>
      <c r="J234" s="65" t="s">
        <v>47</v>
      </c>
      <c r="K234" s="66" t="s">
        <v>43</v>
      </c>
      <c r="L234" s="40">
        <v>3</v>
      </c>
      <c r="M234" s="40">
        <v>4</v>
      </c>
      <c r="N234" s="40">
        <v>3</v>
      </c>
      <c r="O234" s="40">
        <v>3</v>
      </c>
      <c r="P234" s="41">
        <v>1</v>
      </c>
      <c r="Q234" s="40">
        <v>3</v>
      </c>
      <c r="R234" s="40">
        <v>4</v>
      </c>
      <c r="S234" s="40">
        <v>4</v>
      </c>
      <c r="T234" s="40">
        <v>5</v>
      </c>
      <c r="U234" s="41">
        <v>3</v>
      </c>
      <c r="V234" s="40">
        <v>3</v>
      </c>
      <c r="W234" s="40">
        <v>2</v>
      </c>
      <c r="X234" s="40">
        <v>3</v>
      </c>
      <c r="Y234" s="41">
        <v>3</v>
      </c>
      <c r="Z234" s="40" t="s">
        <v>45</v>
      </c>
      <c r="AA234" s="40">
        <v>4</v>
      </c>
      <c r="AB234" s="40" t="s">
        <v>45</v>
      </c>
      <c r="AC234" s="40" t="s">
        <v>45</v>
      </c>
      <c r="AD234" s="40" t="s">
        <v>45</v>
      </c>
      <c r="AE234" s="40" t="s">
        <v>45</v>
      </c>
      <c r="AF234" s="40" t="s">
        <v>45</v>
      </c>
      <c r="AG234" s="41" t="s">
        <v>45</v>
      </c>
      <c r="AH234" s="40">
        <v>4</v>
      </c>
      <c r="AI234" s="40">
        <v>4</v>
      </c>
      <c r="AJ234" s="41">
        <v>1</v>
      </c>
      <c r="AK234" s="43" t="s">
        <v>45</v>
      </c>
      <c r="AL234" s="43" t="s">
        <v>103</v>
      </c>
      <c r="AM234" s="44">
        <f t="shared" si="26"/>
        <v>-0.9405099504991471</v>
      </c>
      <c r="AN234" s="44">
        <f t="shared" si="27"/>
        <v>-0.59799667682191648</v>
      </c>
      <c r="AO234" s="45">
        <f t="shared" si="28"/>
        <v>0</v>
      </c>
      <c r="AP234" s="46">
        <f t="shared" si="29"/>
        <v>0</v>
      </c>
      <c r="AQ234" s="44">
        <f>($AM$3*AM234+$AN$3*AN234+$AO$3*AO234+$AP$3*AP234)+$I$3*VLOOKUP(I234,COND!$A$2:$E$7,4,FALSE)+$J$3*VLOOKUP(J234,COND!$A$2:$C$7,2,FALSE)+$K$3*VLOOKUP(K234,COND!$A$2:$C$7,3,FALSE)+IF(AND($B$2&gt;0,$E234&lt;20),$B$2*25,0)</f>
        <v>38.029988883087086</v>
      </c>
      <c r="AR234" s="47">
        <f t="shared" ref="AR234:AR265" si="33">STANDARDIZE(AQ234,AVERAGE($AQ$5:$AQ$442),STDEVP($AQ$5:$AQ$442))</f>
        <v>-0.75735578145380444</v>
      </c>
      <c r="AS234" s="45" t="str">
        <f t="shared" si="30"/>
        <v>1B</v>
      </c>
      <c r="AT234" s="45">
        <v>900</v>
      </c>
      <c r="AU234" s="45">
        <v>230</v>
      </c>
      <c r="AV234" s="45"/>
      <c r="AW234" s="45" t="str">
        <f t="shared" si="31"/>
        <v>Unlikely</v>
      </c>
      <c r="AX234" s="45"/>
      <c r="AY234" s="45">
        <f>INDEX(Table5[[#All],[Ovr]],MATCH(Batters[[#This Row],[PID]],Table5[[#All],[PID]],0))</f>
        <v>405</v>
      </c>
      <c r="AZ234" s="45" t="str">
        <f>INDEX(Table5[[#All],[Rnd]],MATCH(Batters[[#This Row],[PID]],Table5[[#All],[PID]],0))</f>
        <v>13</v>
      </c>
      <c r="BA234" s="45">
        <f>INDEX(Table5[[#All],[Pick]],MATCH(Batters[[#This Row],[PID]],Table5[[#All],[PID]],0))</f>
        <v>6</v>
      </c>
      <c r="BB234" s="45" t="str">
        <f>INDEX(Table5[[#All],[Team]],MATCH(Batters[[#This Row],[PID]],Table5[[#All],[PID]],0))</f>
        <v>New Orleans Trendsetters</v>
      </c>
    </row>
    <row r="235" spans="1:54" ht="15" customHeight="1" x14ac:dyDescent="0.3">
      <c r="A235" s="40">
        <v>14529</v>
      </c>
      <c r="B235" s="40" t="s">
        <v>66</v>
      </c>
      <c r="C235" s="40" t="s">
        <v>628</v>
      </c>
      <c r="D235" s="40" t="s">
        <v>406</v>
      </c>
      <c r="E235" s="40">
        <v>21</v>
      </c>
      <c r="F235" s="40" t="s">
        <v>62</v>
      </c>
      <c r="G235" s="40" t="s">
        <v>42</v>
      </c>
      <c r="H235" s="41" t="s">
        <v>552</v>
      </c>
      <c r="I235" s="64" t="s">
        <v>43</v>
      </c>
      <c r="J235" s="65" t="s">
        <v>43</v>
      </c>
      <c r="K235" s="66" t="s">
        <v>43</v>
      </c>
      <c r="L235" s="40">
        <v>2</v>
      </c>
      <c r="M235" s="40">
        <v>3</v>
      </c>
      <c r="N235" s="40">
        <v>4</v>
      </c>
      <c r="O235" s="40">
        <v>3</v>
      </c>
      <c r="P235" s="41">
        <v>1</v>
      </c>
      <c r="Q235" s="40">
        <v>3</v>
      </c>
      <c r="R235" s="40">
        <v>4</v>
      </c>
      <c r="S235" s="40">
        <v>5</v>
      </c>
      <c r="T235" s="40">
        <v>5</v>
      </c>
      <c r="U235" s="41">
        <v>3</v>
      </c>
      <c r="V235" s="40">
        <v>3</v>
      </c>
      <c r="W235" s="40">
        <v>6</v>
      </c>
      <c r="X235" s="40">
        <v>1</v>
      </c>
      <c r="Y235" s="41">
        <v>1</v>
      </c>
      <c r="Z235" s="40" t="s">
        <v>45</v>
      </c>
      <c r="AA235" s="40" t="s">
        <v>45</v>
      </c>
      <c r="AB235" s="40" t="s">
        <v>45</v>
      </c>
      <c r="AC235" s="40" t="s">
        <v>45</v>
      </c>
      <c r="AD235" s="40" t="s">
        <v>45</v>
      </c>
      <c r="AE235" s="40">
        <v>2</v>
      </c>
      <c r="AF235" s="40" t="s">
        <v>45</v>
      </c>
      <c r="AG235" s="41">
        <v>4</v>
      </c>
      <c r="AH235" s="40">
        <v>7</v>
      </c>
      <c r="AI235" s="40">
        <v>1</v>
      </c>
      <c r="AJ235" s="41">
        <v>1</v>
      </c>
      <c r="AK235" s="43" t="s">
        <v>1264</v>
      </c>
      <c r="AL235" s="43" t="s">
        <v>103</v>
      </c>
      <c r="AM235" s="44">
        <f t="shared" si="26"/>
        <v>-1.2310641722966238</v>
      </c>
      <c r="AN235" s="44">
        <f t="shared" si="27"/>
        <v>-0.51493518279801498</v>
      </c>
      <c r="AO235" s="45">
        <f t="shared" si="28"/>
        <v>0</v>
      </c>
      <c r="AP235" s="46">
        <f t="shared" si="29"/>
        <v>0</v>
      </c>
      <c r="AQ235" s="44">
        <f>($AM$3*AM235+$AN$3*AN235+$AO$3*AO235+$AP$3*AP235)+$I$3*VLOOKUP(I235,COND!$A$2:$E$7,4,FALSE)+$J$3*VLOOKUP(J235,COND!$A$2:$C$7,2,FALSE)+$K$3*VLOOKUP(K235,COND!$A$2:$C$7,3,FALSE)+IF(AND($B$2&gt;0,$E235&lt;20),$B$2*25,0)</f>
        <v>38.697671389194156</v>
      </c>
      <c r="AR235" s="47">
        <f t="shared" si="33"/>
        <v>-0.65989542819288249</v>
      </c>
      <c r="AS235" s="45" t="str">
        <f t="shared" si="30"/>
        <v>RF</v>
      </c>
      <c r="AT235" s="45">
        <v>900</v>
      </c>
      <c r="AU235" s="45">
        <v>231</v>
      </c>
      <c r="AV235" s="45"/>
      <c r="AW235" s="45" t="str">
        <f t="shared" si="31"/>
        <v>Unlikely</v>
      </c>
      <c r="AX235" s="45"/>
      <c r="AY235" s="45">
        <f>INDEX(Table5[[#All],[Ovr]],MATCH(Batters[[#This Row],[PID]],Table5[[#All],[PID]],0))</f>
        <v>196</v>
      </c>
      <c r="AZ235" s="45" t="str">
        <f>INDEX(Table5[[#All],[Rnd]],MATCH(Batters[[#This Row],[PID]],Table5[[#All],[PID]],0))</f>
        <v>6</v>
      </c>
      <c r="BA235" s="45">
        <f>INDEX(Table5[[#All],[Pick]],MATCH(Batters[[#This Row],[PID]],Table5[[#All],[PID]],0))</f>
        <v>27</v>
      </c>
      <c r="BB235" s="45" t="str">
        <f>INDEX(Table5[[#All],[Team]],MATCH(Batters[[#This Row],[PID]],Table5[[#All],[PID]],0))</f>
        <v>Havana Leones</v>
      </c>
    </row>
    <row r="236" spans="1:54" ht="15" customHeight="1" x14ac:dyDescent="0.3">
      <c r="A236" s="40">
        <v>5230</v>
      </c>
      <c r="B236" s="40" t="s">
        <v>69</v>
      </c>
      <c r="C236" s="40" t="s">
        <v>189</v>
      </c>
      <c r="D236" s="40" t="s">
        <v>1168</v>
      </c>
      <c r="E236" s="40">
        <v>21</v>
      </c>
      <c r="F236" s="40" t="s">
        <v>62</v>
      </c>
      <c r="G236" s="40" t="s">
        <v>42</v>
      </c>
      <c r="H236" s="41" t="s">
        <v>552</v>
      </c>
      <c r="I236" s="64" t="s">
        <v>43</v>
      </c>
      <c r="J236" s="65" t="s">
        <v>43</v>
      </c>
      <c r="K236" s="66" t="s">
        <v>43</v>
      </c>
      <c r="L236" s="40">
        <v>1</v>
      </c>
      <c r="M236" s="40">
        <v>3</v>
      </c>
      <c r="N236" s="40">
        <v>2</v>
      </c>
      <c r="O236" s="40">
        <v>3</v>
      </c>
      <c r="P236" s="41">
        <v>1</v>
      </c>
      <c r="Q236" s="40">
        <v>3</v>
      </c>
      <c r="R236" s="40">
        <v>4</v>
      </c>
      <c r="S236" s="40">
        <v>3</v>
      </c>
      <c r="T236" s="40">
        <v>6</v>
      </c>
      <c r="U236" s="41">
        <v>2</v>
      </c>
      <c r="V236" s="40">
        <v>10</v>
      </c>
      <c r="W236" s="40">
        <v>9</v>
      </c>
      <c r="X236" s="40">
        <v>1</v>
      </c>
      <c r="Y236" s="41">
        <v>1</v>
      </c>
      <c r="Z236" s="40" t="s">
        <v>45</v>
      </c>
      <c r="AA236" s="40" t="s">
        <v>45</v>
      </c>
      <c r="AB236" s="40" t="s">
        <v>45</v>
      </c>
      <c r="AC236" s="40">
        <v>7</v>
      </c>
      <c r="AD236" s="40">
        <v>2</v>
      </c>
      <c r="AE236" s="40" t="s">
        <v>45</v>
      </c>
      <c r="AF236" s="40" t="s">
        <v>45</v>
      </c>
      <c r="AG236" s="41" t="s">
        <v>45</v>
      </c>
      <c r="AH236" s="40">
        <v>5</v>
      </c>
      <c r="AI236" s="40">
        <v>10</v>
      </c>
      <c r="AJ236" s="41">
        <v>10</v>
      </c>
      <c r="AK236" s="43" t="s">
        <v>571</v>
      </c>
      <c r="AL236" s="43" t="s">
        <v>103</v>
      </c>
      <c r="AM236" s="44">
        <f t="shared" si="26"/>
        <v>-1.7197429965471014</v>
      </c>
      <c r="AN236" s="44">
        <f t="shared" si="27"/>
        <v>-0.63136496065332037</v>
      </c>
      <c r="AO236" s="45">
        <f t="shared" si="28"/>
        <v>4</v>
      </c>
      <c r="AP236" s="46">
        <f t="shared" si="29"/>
        <v>0.75</v>
      </c>
      <c r="AQ236" s="44">
        <f>($AM$3*AM236+$AN$3*AN236+$AO$3*AO236+$AP$3*AP236)+$I$3*VLOOKUP(I236,COND!$A$2:$E$7,4,FALSE)+$J$3*VLOOKUP(J236,COND!$A$2:$C$7,2,FALSE)+$K$3*VLOOKUP(K236,COND!$A$2:$C$7,3,FALSE)+IF(AND($B$2&gt;0,$E236&lt;20),$B$2*25,0)</f>
        <v>38.668312839172117</v>
      </c>
      <c r="AR236" s="47">
        <f t="shared" si="33"/>
        <v>-0.66418084024158086</v>
      </c>
      <c r="AS236" s="45" t="str">
        <f t="shared" si="30"/>
        <v>3B</v>
      </c>
      <c r="AT236" s="45">
        <v>900</v>
      </c>
      <c r="AU236" s="45">
        <v>232</v>
      </c>
      <c r="AV236" s="45"/>
      <c r="AW236" s="45" t="str">
        <f t="shared" si="31"/>
        <v>Unlikely</v>
      </c>
      <c r="AX236" s="45"/>
      <c r="AY236" s="45">
        <f>INDEX(Table5[[#All],[Ovr]],MATCH(Batters[[#This Row],[PID]],Table5[[#All],[PID]],0))</f>
        <v>187</v>
      </c>
      <c r="AZ236" s="45" t="str">
        <f>INDEX(Table5[[#All],[Rnd]],MATCH(Batters[[#This Row],[PID]],Table5[[#All],[PID]],0))</f>
        <v>6</v>
      </c>
      <c r="BA236" s="45">
        <f>INDEX(Table5[[#All],[Pick]],MATCH(Batters[[#This Row],[PID]],Table5[[#All],[PID]],0))</f>
        <v>18</v>
      </c>
      <c r="BB236" s="45" t="str">
        <f>INDEX(Table5[[#All],[Team]],MATCH(Batters[[#This Row],[PID]],Table5[[#All],[PID]],0))</f>
        <v>San Juan Coqui</v>
      </c>
    </row>
    <row r="237" spans="1:54" ht="15" customHeight="1" x14ac:dyDescent="0.3">
      <c r="A237" s="40">
        <v>7564</v>
      </c>
      <c r="B237" s="40" t="s">
        <v>69</v>
      </c>
      <c r="C237" s="40" t="s">
        <v>618</v>
      </c>
      <c r="D237" s="40" t="s">
        <v>1240</v>
      </c>
      <c r="E237" s="40">
        <v>21</v>
      </c>
      <c r="F237" s="40" t="s">
        <v>42</v>
      </c>
      <c r="G237" s="40" t="s">
        <v>42</v>
      </c>
      <c r="H237" s="41" t="s">
        <v>552</v>
      </c>
      <c r="I237" s="64" t="s">
        <v>43</v>
      </c>
      <c r="J237" s="65" t="s">
        <v>43</v>
      </c>
      <c r="K237" s="66" t="s">
        <v>43</v>
      </c>
      <c r="L237" s="40">
        <v>1</v>
      </c>
      <c r="M237" s="40">
        <v>3</v>
      </c>
      <c r="N237" s="40">
        <v>3</v>
      </c>
      <c r="O237" s="40">
        <v>3</v>
      </c>
      <c r="P237" s="41">
        <v>1</v>
      </c>
      <c r="Q237" s="40">
        <v>3</v>
      </c>
      <c r="R237" s="40">
        <v>4</v>
      </c>
      <c r="S237" s="40">
        <v>5</v>
      </c>
      <c r="T237" s="40">
        <v>5</v>
      </c>
      <c r="U237" s="41">
        <v>3</v>
      </c>
      <c r="V237" s="40">
        <v>8</v>
      </c>
      <c r="W237" s="40">
        <v>9</v>
      </c>
      <c r="X237" s="40">
        <v>2</v>
      </c>
      <c r="Y237" s="41">
        <v>1</v>
      </c>
      <c r="Z237" s="40" t="s">
        <v>45</v>
      </c>
      <c r="AA237" s="40" t="s">
        <v>45</v>
      </c>
      <c r="AB237" s="40" t="s">
        <v>45</v>
      </c>
      <c r="AC237" s="40">
        <v>1</v>
      </c>
      <c r="AD237" s="40" t="s">
        <v>45</v>
      </c>
      <c r="AE237" s="40" t="s">
        <v>45</v>
      </c>
      <c r="AF237" s="40" t="s">
        <v>45</v>
      </c>
      <c r="AG237" s="41" t="s">
        <v>45</v>
      </c>
      <c r="AH237" s="40">
        <v>5</v>
      </c>
      <c r="AI237" s="40">
        <v>1</v>
      </c>
      <c r="AJ237" s="41">
        <v>5</v>
      </c>
      <c r="AK237" s="43" t="s">
        <v>45</v>
      </c>
      <c r="AL237" s="43" t="s">
        <v>103</v>
      </c>
      <c r="AM237" s="44">
        <f t="shared" si="26"/>
        <v>-1.6366815025231998</v>
      </c>
      <c r="AN237" s="44">
        <f t="shared" si="27"/>
        <v>-0.51493518279801498</v>
      </c>
      <c r="AO237" s="45">
        <f t="shared" si="28"/>
        <v>0</v>
      </c>
      <c r="AP237" s="46">
        <f t="shared" si="29"/>
        <v>0</v>
      </c>
      <c r="AQ237" s="44">
        <f>($AM$3*AM237+$AN$3*AN237+$AO$3*AO237+$AP$3*AP237)+$I$3*VLOOKUP(I237,COND!$A$2:$E$7,4,FALSE)+$J$3*VLOOKUP(J237,COND!$A$2:$C$7,2,FALSE)+$K$3*VLOOKUP(K237,COND!$A$2:$C$7,3,FALSE)+IF(AND($B$2&gt;0,$E237&lt;20),$B$2*25,0)</f>
        <v>38.6571096561715</v>
      </c>
      <c r="AR237" s="47">
        <f t="shared" si="33"/>
        <v>-0.66581614768621211</v>
      </c>
      <c r="AS237" s="45" t="str">
        <f t="shared" si="30"/>
        <v>3B</v>
      </c>
      <c r="AT237" s="45">
        <v>900</v>
      </c>
      <c r="AU237" s="45">
        <v>233</v>
      </c>
      <c r="AV237" s="45"/>
      <c r="AW237" s="45" t="str">
        <f t="shared" si="31"/>
        <v>Unlikely</v>
      </c>
      <c r="AX237" s="45"/>
      <c r="AY237" s="45" t="str">
        <f>INDEX(Table5[[#All],[Ovr]],MATCH(Batters[[#This Row],[PID]],Table5[[#All],[PID]],0))</f>
        <v/>
      </c>
      <c r="AZ237" s="45" t="str">
        <f>INDEX(Table5[[#All],[Rnd]],MATCH(Batters[[#This Row],[PID]],Table5[[#All],[PID]],0))</f>
        <v/>
      </c>
      <c r="BA237" s="45" t="str">
        <f>INDEX(Table5[[#All],[Pick]],MATCH(Batters[[#This Row],[PID]],Table5[[#All],[PID]],0))</f>
        <v/>
      </c>
      <c r="BB237" s="45" t="str">
        <f>INDEX(Table5[[#All],[Team]],MATCH(Batters[[#This Row],[PID]],Table5[[#All],[PID]],0))</f>
        <v/>
      </c>
    </row>
    <row r="238" spans="1:54" ht="15" customHeight="1" x14ac:dyDescent="0.3">
      <c r="A238" s="40">
        <v>15983</v>
      </c>
      <c r="B238" s="40" t="s">
        <v>72</v>
      </c>
      <c r="C238" s="40" t="s">
        <v>837</v>
      </c>
      <c r="D238" s="40" t="s">
        <v>711</v>
      </c>
      <c r="E238" s="40">
        <v>22</v>
      </c>
      <c r="F238" s="40" t="s">
        <v>53</v>
      </c>
      <c r="G238" s="40" t="s">
        <v>42</v>
      </c>
      <c r="H238" s="41" t="s">
        <v>550</v>
      </c>
      <c r="I238" s="64" t="s">
        <v>43</v>
      </c>
      <c r="J238" s="65" t="s">
        <v>43</v>
      </c>
      <c r="K238" s="66" t="s">
        <v>43</v>
      </c>
      <c r="L238" s="40">
        <v>2</v>
      </c>
      <c r="M238" s="40">
        <v>3</v>
      </c>
      <c r="N238" s="40">
        <v>3</v>
      </c>
      <c r="O238" s="40">
        <v>2</v>
      </c>
      <c r="P238" s="41">
        <v>1</v>
      </c>
      <c r="Q238" s="40">
        <v>3</v>
      </c>
      <c r="R238" s="40">
        <v>4</v>
      </c>
      <c r="S238" s="40">
        <v>4</v>
      </c>
      <c r="T238" s="40">
        <v>5</v>
      </c>
      <c r="U238" s="41">
        <v>2</v>
      </c>
      <c r="V238" s="40">
        <v>6</v>
      </c>
      <c r="W238" s="40">
        <v>4</v>
      </c>
      <c r="X238" s="40">
        <v>1</v>
      </c>
      <c r="Y238" s="41">
        <v>1</v>
      </c>
      <c r="Z238" s="40" t="s">
        <v>45</v>
      </c>
      <c r="AA238" s="40" t="s">
        <v>45</v>
      </c>
      <c r="AB238" s="40" t="s">
        <v>45</v>
      </c>
      <c r="AC238" s="40" t="s">
        <v>45</v>
      </c>
      <c r="AD238" s="40">
        <v>7</v>
      </c>
      <c r="AE238" s="40" t="s">
        <v>45</v>
      </c>
      <c r="AF238" s="40" t="s">
        <v>45</v>
      </c>
      <c r="AG238" s="41" t="s">
        <v>45</v>
      </c>
      <c r="AH238" s="40">
        <v>9</v>
      </c>
      <c r="AI238" s="40">
        <v>5</v>
      </c>
      <c r="AJ238" s="41">
        <v>4</v>
      </c>
      <c r="AK238" s="43" t="s">
        <v>557</v>
      </c>
      <c r="AL238" s="43" t="s">
        <v>103</v>
      </c>
      <c r="AM238" s="44">
        <f t="shared" si="26"/>
        <v>-1.4038352163301062</v>
      </c>
      <c r="AN238" s="44">
        <f t="shared" si="27"/>
        <v>-0.6380130166389999</v>
      </c>
      <c r="AO238" s="45">
        <f t="shared" si="28"/>
        <v>1</v>
      </c>
      <c r="AP238" s="46">
        <f t="shared" si="29"/>
        <v>1</v>
      </c>
      <c r="AQ238" s="44">
        <f>($AM$3*AM238+$AN$3*AN238+$AO$3*AO238+$AP$3*AP238)+$I$3*VLOOKUP(I238,COND!$A$2:$E$7,4,FALSE)+$J$3*VLOOKUP(J238,COND!$A$2:$C$7,2,FALSE)+$K$3*VLOOKUP(K238,COND!$A$2:$C$7,3,FALSE)+IF(AND($B$2&gt;0,$E238&lt;20),$B$2*25,0)</f>
        <v>38.370126945365655</v>
      </c>
      <c r="AR238" s="47">
        <f t="shared" si="33"/>
        <v>-0.70770647148395649</v>
      </c>
      <c r="AS238" s="45" t="str">
        <f t="shared" si="30"/>
        <v>SS</v>
      </c>
      <c r="AT238" s="45">
        <v>900</v>
      </c>
      <c r="AU238" s="45">
        <v>234</v>
      </c>
      <c r="AV238" s="45"/>
      <c r="AW238" s="45" t="str">
        <f t="shared" si="31"/>
        <v>Unlikely</v>
      </c>
      <c r="AX238" s="45"/>
      <c r="AY238" s="45">
        <f>INDEX(Table5[[#All],[Ovr]],MATCH(Batters[[#This Row],[PID]],Table5[[#All],[PID]],0))</f>
        <v>252</v>
      </c>
      <c r="AZ238" s="45" t="str">
        <f>INDEX(Table5[[#All],[Rnd]],MATCH(Batters[[#This Row],[PID]],Table5[[#All],[PID]],0))</f>
        <v>8</v>
      </c>
      <c r="BA238" s="45">
        <f>INDEX(Table5[[#All],[Pick]],MATCH(Batters[[#This Row],[PID]],Table5[[#All],[PID]],0))</f>
        <v>19</v>
      </c>
      <c r="BB238" s="45" t="str">
        <f>INDEX(Table5[[#All],[Team]],MATCH(Batters[[#This Row],[PID]],Table5[[#All],[PID]],0))</f>
        <v>Fargo Dinosaurs</v>
      </c>
    </row>
    <row r="239" spans="1:54" ht="15" customHeight="1" x14ac:dyDescent="0.3">
      <c r="A239" s="40">
        <v>10306</v>
      </c>
      <c r="B239" s="40" t="s">
        <v>66</v>
      </c>
      <c r="C239" s="40" t="s">
        <v>147</v>
      </c>
      <c r="D239" s="40" t="s">
        <v>702</v>
      </c>
      <c r="E239" s="40">
        <v>22</v>
      </c>
      <c r="F239" s="40" t="s">
        <v>42</v>
      </c>
      <c r="G239" s="40" t="s">
        <v>42</v>
      </c>
      <c r="H239" s="41" t="s">
        <v>553</v>
      </c>
      <c r="I239" s="64" t="s">
        <v>43</v>
      </c>
      <c r="J239" s="65" t="s">
        <v>43</v>
      </c>
      <c r="K239" s="66" t="s">
        <v>47</v>
      </c>
      <c r="L239" s="40">
        <v>2</v>
      </c>
      <c r="M239" s="40">
        <v>3</v>
      </c>
      <c r="N239" s="40">
        <v>3</v>
      </c>
      <c r="O239" s="40">
        <v>3</v>
      </c>
      <c r="P239" s="41">
        <v>2</v>
      </c>
      <c r="Q239" s="40">
        <v>3</v>
      </c>
      <c r="R239" s="40">
        <v>3</v>
      </c>
      <c r="S239" s="40">
        <v>4</v>
      </c>
      <c r="T239" s="40">
        <v>4</v>
      </c>
      <c r="U239" s="41">
        <v>5</v>
      </c>
      <c r="V239" s="40">
        <v>4</v>
      </c>
      <c r="W239" s="40">
        <v>7</v>
      </c>
      <c r="X239" s="40">
        <v>1</v>
      </c>
      <c r="Y239" s="41">
        <v>1</v>
      </c>
      <c r="Z239" s="40" t="s">
        <v>45</v>
      </c>
      <c r="AA239" s="40" t="s">
        <v>45</v>
      </c>
      <c r="AB239" s="40" t="s">
        <v>45</v>
      </c>
      <c r="AC239" s="40" t="s">
        <v>45</v>
      </c>
      <c r="AD239" s="40" t="s">
        <v>45</v>
      </c>
      <c r="AE239" s="40" t="s">
        <v>45</v>
      </c>
      <c r="AF239" s="40" t="s">
        <v>45</v>
      </c>
      <c r="AG239" s="41">
        <v>2</v>
      </c>
      <c r="AH239" s="40">
        <v>9</v>
      </c>
      <c r="AI239" s="40">
        <v>7</v>
      </c>
      <c r="AJ239" s="41">
        <v>4</v>
      </c>
      <c r="AK239" s="43" t="s">
        <v>45</v>
      </c>
      <c r="AL239" s="43" t="s">
        <v>103</v>
      </c>
      <c r="AM239" s="44">
        <f t="shared" si="26"/>
        <v>-1.2741093265034418</v>
      </c>
      <c r="AN239" s="44">
        <f t="shared" si="27"/>
        <v>-0.65873342681603408</v>
      </c>
      <c r="AO239" s="45">
        <f t="shared" si="28"/>
        <v>2</v>
      </c>
      <c r="AP239" s="46">
        <f t="shared" si="29"/>
        <v>0</v>
      </c>
      <c r="AQ239" s="44">
        <f>($AM$3*AM239+$AN$3*AN239+$AO$3*AO239+$AP$3*AP239)+$I$3*VLOOKUP(I239,COND!$A$2:$E$7,4,FALSE)+$J$3*VLOOKUP(J239,COND!$A$2:$C$7,2,FALSE)+$K$3*VLOOKUP(K239,COND!$A$2:$C$7,3,FALSE)+IF(AND($B$2&gt;0,$E239&lt;20),$B$2*25,0)</f>
        <v>37.601121278890581</v>
      </c>
      <c r="AR239" s="47">
        <f t="shared" si="33"/>
        <v>-0.81995677492727126</v>
      </c>
      <c r="AS239" s="45" t="str">
        <f t="shared" si="30"/>
        <v>RF</v>
      </c>
      <c r="AT239" s="45">
        <v>900</v>
      </c>
      <c r="AU239" s="45">
        <v>235</v>
      </c>
      <c r="AV239" s="45"/>
      <c r="AW239" s="45" t="str">
        <f t="shared" si="31"/>
        <v>Unlikely</v>
      </c>
      <c r="AX239" s="45"/>
      <c r="AY239" s="45">
        <f>INDEX(Table5[[#All],[Ovr]],MATCH(Batters[[#This Row],[PID]],Table5[[#All],[PID]],0))</f>
        <v>598</v>
      </c>
      <c r="AZ239" s="45" t="str">
        <f>INDEX(Table5[[#All],[Rnd]],MATCH(Batters[[#This Row],[PID]],Table5[[#All],[PID]],0))</f>
        <v>18</v>
      </c>
      <c r="BA239" s="45">
        <f>INDEX(Table5[[#All],[Pick]],MATCH(Batters[[#This Row],[PID]],Table5[[#All],[PID]],0))</f>
        <v>29</v>
      </c>
      <c r="BB239" s="45" t="str">
        <f>INDEX(Table5[[#All],[Team]],MATCH(Batters[[#This Row],[PID]],Table5[[#All],[PID]],0))</f>
        <v>Shin Seiki Evas</v>
      </c>
    </row>
    <row r="240" spans="1:54" ht="15" customHeight="1" x14ac:dyDescent="0.3">
      <c r="A240" s="40">
        <v>11922</v>
      </c>
      <c r="B240" s="40" t="s">
        <v>66</v>
      </c>
      <c r="C240" s="40" t="s">
        <v>123</v>
      </c>
      <c r="D240" s="40" t="s">
        <v>889</v>
      </c>
      <c r="E240" s="40">
        <v>22</v>
      </c>
      <c r="F240" s="40" t="s">
        <v>42</v>
      </c>
      <c r="G240" s="40" t="s">
        <v>42</v>
      </c>
      <c r="H240" s="41" t="s">
        <v>553</v>
      </c>
      <c r="I240" s="64" t="s">
        <v>43</v>
      </c>
      <c r="J240" s="65" t="s">
        <v>43</v>
      </c>
      <c r="K240" s="66" t="s">
        <v>43</v>
      </c>
      <c r="L240" s="40">
        <v>1</v>
      </c>
      <c r="M240" s="40">
        <v>4</v>
      </c>
      <c r="N240" s="40">
        <v>3</v>
      </c>
      <c r="O240" s="40">
        <v>3</v>
      </c>
      <c r="P240" s="41">
        <v>1</v>
      </c>
      <c r="Q240" s="40">
        <v>3</v>
      </c>
      <c r="R240" s="40">
        <v>4</v>
      </c>
      <c r="S240" s="40">
        <v>4</v>
      </c>
      <c r="T240" s="40">
        <v>6</v>
      </c>
      <c r="U240" s="41">
        <v>2</v>
      </c>
      <c r="V240" s="40">
        <v>5</v>
      </c>
      <c r="W240" s="40">
        <v>5</v>
      </c>
      <c r="X240" s="40">
        <v>4</v>
      </c>
      <c r="Y240" s="41">
        <v>6</v>
      </c>
      <c r="Z240" s="40" t="s">
        <v>45</v>
      </c>
      <c r="AA240" s="40" t="s">
        <v>45</v>
      </c>
      <c r="AB240" s="40" t="s">
        <v>45</v>
      </c>
      <c r="AC240" s="40" t="s">
        <v>45</v>
      </c>
      <c r="AD240" s="40" t="s">
        <v>45</v>
      </c>
      <c r="AE240" s="40" t="s">
        <v>45</v>
      </c>
      <c r="AF240" s="40" t="s">
        <v>45</v>
      </c>
      <c r="AG240" s="41" t="s">
        <v>45</v>
      </c>
      <c r="AH240" s="40">
        <v>4</v>
      </c>
      <c r="AI240" s="40">
        <v>1</v>
      </c>
      <c r="AJ240" s="41">
        <v>1</v>
      </c>
      <c r="AK240" s="43" t="s">
        <v>45</v>
      </c>
      <c r="AL240" s="43" t="s">
        <v>103</v>
      </c>
      <c r="AM240" s="44">
        <f t="shared" si="26"/>
        <v>-1.5856216229044964</v>
      </c>
      <c r="AN240" s="44">
        <f t="shared" si="27"/>
        <v>-0.54830346662941898</v>
      </c>
      <c r="AO240" s="45">
        <f t="shared" si="28"/>
        <v>0</v>
      </c>
      <c r="AP240" s="46">
        <f t="shared" si="29"/>
        <v>0</v>
      </c>
      <c r="AQ240" s="44">
        <f>($AM$3*AM240+$AN$3*AN240+$AO$3*AO240+$AP$3*AP240)+$I$3*VLOOKUP(I240,COND!$A$2:$E$7,4,FALSE)+$J$3*VLOOKUP(J240,COND!$A$2:$C$7,2,FALSE)+$K$3*VLOOKUP(K240,COND!$A$2:$C$7,3,FALSE)+IF(AND($B$2&gt;0,$E240&lt;20),$B$2*25,0)</f>
        <v>38.261796238156521</v>
      </c>
      <c r="AR240" s="47">
        <f t="shared" si="33"/>
        <v>-0.72351930003201292</v>
      </c>
      <c r="AS240" s="45" t="str">
        <f t="shared" si="30"/>
        <v>DH</v>
      </c>
      <c r="AT240" s="45">
        <v>900</v>
      </c>
      <c r="AU240" s="45">
        <v>236</v>
      </c>
      <c r="AV240" s="45"/>
      <c r="AW240" s="45" t="str">
        <f t="shared" si="31"/>
        <v>Unlikely</v>
      </c>
      <c r="AX240" s="45"/>
      <c r="AY240" s="45">
        <f>INDEX(Table5[[#All],[Ovr]],MATCH(Batters[[#This Row],[PID]],Table5[[#All],[PID]],0))</f>
        <v>587</v>
      </c>
      <c r="AZ240" s="45" t="str">
        <f>INDEX(Table5[[#All],[Rnd]],MATCH(Batters[[#This Row],[PID]],Table5[[#All],[PID]],0))</f>
        <v>18</v>
      </c>
      <c r="BA240" s="45">
        <f>INDEX(Table5[[#All],[Pick]],MATCH(Batters[[#This Row],[PID]],Table5[[#All],[PID]],0))</f>
        <v>18</v>
      </c>
      <c r="BB240" s="45" t="str">
        <f>INDEX(Table5[[#All],[Team]],MATCH(Batters[[#This Row],[PID]],Table5[[#All],[PID]],0))</f>
        <v>San Juan Coqui</v>
      </c>
    </row>
    <row r="241" spans="1:54" ht="15" customHeight="1" x14ac:dyDescent="0.3">
      <c r="A241" s="40">
        <v>12897</v>
      </c>
      <c r="B241" s="40" t="s">
        <v>50</v>
      </c>
      <c r="C241" s="40" t="s">
        <v>729</v>
      </c>
      <c r="D241" s="40" t="s">
        <v>317</v>
      </c>
      <c r="E241" s="40">
        <v>22</v>
      </c>
      <c r="F241" s="40" t="s">
        <v>42</v>
      </c>
      <c r="G241" s="40" t="s">
        <v>42</v>
      </c>
      <c r="H241" s="41" t="s">
        <v>553</v>
      </c>
      <c r="I241" s="64" t="s">
        <v>43</v>
      </c>
      <c r="J241" s="65" t="s">
        <v>47</v>
      </c>
      <c r="K241" s="66" t="s">
        <v>47</v>
      </c>
      <c r="L241" s="40">
        <v>2</v>
      </c>
      <c r="M241" s="40">
        <v>3</v>
      </c>
      <c r="N241" s="40">
        <v>3</v>
      </c>
      <c r="O241" s="40">
        <v>3</v>
      </c>
      <c r="P241" s="41">
        <v>1</v>
      </c>
      <c r="Q241" s="40">
        <v>3</v>
      </c>
      <c r="R241" s="40">
        <v>3</v>
      </c>
      <c r="S241" s="40">
        <v>3</v>
      </c>
      <c r="T241" s="40">
        <v>5</v>
      </c>
      <c r="U241" s="41">
        <v>3</v>
      </c>
      <c r="V241" s="40">
        <v>4</v>
      </c>
      <c r="W241" s="40">
        <v>2</v>
      </c>
      <c r="X241" s="40">
        <v>1</v>
      </c>
      <c r="Y241" s="41">
        <v>1</v>
      </c>
      <c r="Z241" s="40" t="s">
        <v>45</v>
      </c>
      <c r="AA241" s="40" t="s">
        <v>45</v>
      </c>
      <c r="AB241" s="40">
        <v>4</v>
      </c>
      <c r="AC241" s="40" t="s">
        <v>45</v>
      </c>
      <c r="AD241" s="40" t="s">
        <v>45</v>
      </c>
      <c r="AE241" s="40">
        <v>4</v>
      </c>
      <c r="AF241" s="40" t="s">
        <v>45</v>
      </c>
      <c r="AG241" s="41" t="s">
        <v>45</v>
      </c>
      <c r="AH241" s="40">
        <v>8</v>
      </c>
      <c r="AI241" s="40">
        <v>6</v>
      </c>
      <c r="AJ241" s="41">
        <v>6</v>
      </c>
      <c r="AK241" s="43" t="s">
        <v>45</v>
      </c>
      <c r="AL241" s="43" t="s">
        <v>103</v>
      </c>
      <c r="AM241" s="44">
        <f t="shared" si="26"/>
        <v>-1.3141256663205254</v>
      </c>
      <c r="AN241" s="44">
        <f t="shared" si="27"/>
        <v>-0.73211805046452161</v>
      </c>
      <c r="AO241" s="45">
        <f t="shared" si="28"/>
        <v>1</v>
      </c>
      <c r="AP241" s="46">
        <f t="shared" si="29"/>
        <v>0</v>
      </c>
      <c r="AQ241" s="44">
        <f>($AM$3*AM241+$AN$3*AN241+$AO$3*AO241+$AP$3*AP241)+$I$3*VLOOKUP(I241,COND!$A$2:$E$7,4,FALSE)+$J$3*VLOOKUP(J241,COND!$A$2:$C$7,2,FALSE)+$K$3*VLOOKUP(K241,COND!$A$2:$C$7,3,FALSE)+IF(AND($B$2&gt;0,$E241&lt;20),$B$2*25,0)</f>
        <v>36.84983749446036</v>
      </c>
      <c r="AR241" s="47">
        <f t="shared" si="33"/>
        <v>-0.92962024874910909</v>
      </c>
      <c r="AS241" s="45" t="str">
        <f t="shared" si="30"/>
        <v>2B</v>
      </c>
      <c r="AT241" s="45">
        <v>900</v>
      </c>
      <c r="AU241" s="45">
        <v>237</v>
      </c>
      <c r="AV241" s="45"/>
      <c r="AW241" s="45" t="str">
        <f t="shared" si="31"/>
        <v>Unlikely</v>
      </c>
      <c r="AX241" s="45"/>
      <c r="AY241" s="45">
        <f>INDEX(Table5[[#All],[Ovr]],MATCH(Batters[[#This Row],[PID]],Table5[[#All],[PID]],0))</f>
        <v>467</v>
      </c>
      <c r="AZ241" s="45" t="str">
        <f>INDEX(Table5[[#All],[Rnd]],MATCH(Batters[[#This Row],[PID]],Table5[[#All],[PID]],0))</f>
        <v>14</v>
      </c>
      <c r="BA241" s="45">
        <f>INDEX(Table5[[#All],[Pick]],MATCH(Batters[[#This Row],[PID]],Table5[[#All],[PID]],0))</f>
        <v>34</v>
      </c>
      <c r="BB241" s="45" t="str">
        <f>INDEX(Table5[[#All],[Team]],MATCH(Batters[[#This Row],[PID]],Table5[[#All],[PID]],0))</f>
        <v>Gloucester Fishermen</v>
      </c>
    </row>
    <row r="242" spans="1:54" ht="15" customHeight="1" x14ac:dyDescent="0.3">
      <c r="A242" s="40">
        <v>9573</v>
      </c>
      <c r="B242" s="40" t="s">
        <v>86</v>
      </c>
      <c r="C242" s="40" t="s">
        <v>569</v>
      </c>
      <c r="D242" s="40" t="s">
        <v>800</v>
      </c>
      <c r="E242" s="40">
        <v>22</v>
      </c>
      <c r="F242" s="40" t="s">
        <v>42</v>
      </c>
      <c r="G242" s="40" t="s">
        <v>42</v>
      </c>
      <c r="H242" s="41" t="s">
        <v>552</v>
      </c>
      <c r="I242" s="64" t="s">
        <v>43</v>
      </c>
      <c r="J242" s="65" t="s">
        <v>43</v>
      </c>
      <c r="K242" s="66" t="s">
        <v>47</v>
      </c>
      <c r="L242" s="40">
        <v>2</v>
      </c>
      <c r="M242" s="40">
        <v>1</v>
      </c>
      <c r="N242" s="40">
        <v>3</v>
      </c>
      <c r="O242" s="40">
        <v>2</v>
      </c>
      <c r="P242" s="41">
        <v>1</v>
      </c>
      <c r="Q242" s="40">
        <v>3</v>
      </c>
      <c r="R242" s="40">
        <v>3</v>
      </c>
      <c r="S242" s="40">
        <v>4</v>
      </c>
      <c r="T242" s="40">
        <v>5</v>
      </c>
      <c r="U242" s="41">
        <v>3</v>
      </c>
      <c r="V242" s="40">
        <v>3</v>
      </c>
      <c r="W242" s="40">
        <v>1</v>
      </c>
      <c r="X242" s="40">
        <v>4</v>
      </c>
      <c r="Y242" s="41">
        <v>7</v>
      </c>
      <c r="Z242" s="40" t="s">
        <v>45</v>
      </c>
      <c r="AA242" s="40" t="s">
        <v>45</v>
      </c>
      <c r="AB242" s="40" t="s">
        <v>45</v>
      </c>
      <c r="AC242" s="40" t="s">
        <v>45</v>
      </c>
      <c r="AD242" s="40" t="s">
        <v>45</v>
      </c>
      <c r="AE242" s="40" t="s">
        <v>45</v>
      </c>
      <c r="AF242" s="40" t="s">
        <v>45</v>
      </c>
      <c r="AG242" s="41" t="s">
        <v>45</v>
      </c>
      <c r="AH242" s="40">
        <v>5</v>
      </c>
      <c r="AI242" s="40">
        <v>5</v>
      </c>
      <c r="AJ242" s="41">
        <v>7</v>
      </c>
      <c r="AK242" s="43" t="s">
        <v>557</v>
      </c>
      <c r="AL242" s="43" t="s">
        <v>103</v>
      </c>
      <c r="AM242" s="44">
        <f t="shared" si="26"/>
        <v>-1.505954975567513</v>
      </c>
      <c r="AN242" s="44">
        <f t="shared" si="27"/>
        <v>-0.64905655644061999</v>
      </c>
      <c r="AO242" s="45">
        <f t="shared" si="28"/>
        <v>1</v>
      </c>
      <c r="AP242" s="46">
        <f t="shared" si="29"/>
        <v>0</v>
      </c>
      <c r="AQ242" s="44">
        <f>($AM$3*AM242+$AN$3*AN242+$AO$3*AO242+$AP$3*AP242)+$I$3*VLOOKUP(I242,COND!$A$2:$E$7,4,FALSE)+$J$3*VLOOKUP(J242,COND!$A$2:$C$7,2,FALSE)+$K$3*VLOOKUP(K242,COND!$A$2:$C$7,3,FALSE)+IF(AND($B$2&gt;0,$E242&lt;20),$B$2*25,0)</f>
        <v>37.527392491822482</v>
      </c>
      <c r="AR242" s="47">
        <f t="shared" si="33"/>
        <v>-0.83071882660217899</v>
      </c>
      <c r="AS242" s="45" t="str">
        <f t="shared" si="30"/>
        <v>DH</v>
      </c>
      <c r="AT242" s="45">
        <v>900</v>
      </c>
      <c r="AU242" s="45">
        <v>238</v>
      </c>
      <c r="AV242" s="45"/>
      <c r="AW242" s="45" t="str">
        <f t="shared" si="31"/>
        <v>Unlikely</v>
      </c>
      <c r="AX242" s="45"/>
      <c r="AY242" s="45" t="str">
        <f>INDEX(Table5[[#All],[Ovr]],MATCH(Batters[[#This Row],[PID]],Table5[[#All],[PID]],0))</f>
        <v/>
      </c>
      <c r="AZ242" s="45" t="str">
        <f>INDEX(Table5[[#All],[Rnd]],MATCH(Batters[[#This Row],[PID]],Table5[[#All],[PID]],0))</f>
        <v/>
      </c>
      <c r="BA242" s="45" t="str">
        <f>INDEX(Table5[[#All],[Pick]],MATCH(Batters[[#This Row],[PID]],Table5[[#All],[PID]],0))</f>
        <v/>
      </c>
      <c r="BB242" s="45" t="str">
        <f>INDEX(Table5[[#All],[Team]],MATCH(Batters[[#This Row],[PID]],Table5[[#All],[PID]],0))</f>
        <v/>
      </c>
    </row>
    <row r="243" spans="1:54" ht="15" customHeight="1" x14ac:dyDescent="0.3">
      <c r="A243" s="40">
        <v>9236</v>
      </c>
      <c r="B243" s="40" t="s">
        <v>86</v>
      </c>
      <c r="C243" s="40" t="s">
        <v>201</v>
      </c>
      <c r="D243" s="40" t="s">
        <v>904</v>
      </c>
      <c r="E243" s="40">
        <v>17</v>
      </c>
      <c r="F243" s="40" t="s">
        <v>42</v>
      </c>
      <c r="G243" s="40" t="s">
        <v>42</v>
      </c>
      <c r="H243" s="41" t="s">
        <v>552</v>
      </c>
      <c r="I243" s="64" t="s">
        <v>47</v>
      </c>
      <c r="J243" s="65" t="s">
        <v>43</v>
      </c>
      <c r="K243" s="66" t="s">
        <v>43</v>
      </c>
      <c r="L243" s="40">
        <v>1</v>
      </c>
      <c r="M243" s="40">
        <v>2</v>
      </c>
      <c r="N243" s="40">
        <v>2</v>
      </c>
      <c r="O243" s="40">
        <v>2</v>
      </c>
      <c r="P243" s="41">
        <v>1</v>
      </c>
      <c r="Q243" s="40">
        <v>2</v>
      </c>
      <c r="R243" s="40">
        <v>6</v>
      </c>
      <c r="S243" s="40">
        <v>2</v>
      </c>
      <c r="T243" s="40">
        <v>5</v>
      </c>
      <c r="U243" s="41">
        <v>3</v>
      </c>
      <c r="V243" s="40">
        <v>2</v>
      </c>
      <c r="W243" s="40">
        <v>2</v>
      </c>
      <c r="X243" s="40">
        <v>4</v>
      </c>
      <c r="Y243" s="41">
        <v>6</v>
      </c>
      <c r="Z243" s="40" t="s">
        <v>45</v>
      </c>
      <c r="AA243" s="40" t="s">
        <v>45</v>
      </c>
      <c r="AB243" s="40" t="s">
        <v>45</v>
      </c>
      <c r="AC243" s="40" t="s">
        <v>45</v>
      </c>
      <c r="AD243" s="40" t="s">
        <v>45</v>
      </c>
      <c r="AE243" s="40" t="s">
        <v>45</v>
      </c>
      <c r="AF243" s="40" t="s">
        <v>45</v>
      </c>
      <c r="AG243" s="41" t="s">
        <v>45</v>
      </c>
      <c r="AH243" s="40">
        <v>1</v>
      </c>
      <c r="AI243" s="40">
        <v>1</v>
      </c>
      <c r="AJ243" s="41">
        <v>1</v>
      </c>
      <c r="AK243" s="43" t="s">
        <v>583</v>
      </c>
      <c r="AL243" s="43" t="s">
        <v>103</v>
      </c>
      <c r="AM243" s="44">
        <f t="shared" si="26"/>
        <v>-1.8605124261753858</v>
      </c>
      <c r="AN243" s="44">
        <f t="shared" si="27"/>
        <v>-0.9845557418349874</v>
      </c>
      <c r="AO243" s="45">
        <f t="shared" si="28"/>
        <v>0</v>
      </c>
      <c r="AP243" s="46">
        <f t="shared" si="29"/>
        <v>0</v>
      </c>
      <c r="AQ243" s="44">
        <f>($AM$3*AM243+$AN$3*AN243+$AO$3*AO243+$AP$3*AP243)+$I$3*VLOOKUP(I243,COND!$A$2:$E$7,4,FALSE)+$J$3*VLOOKUP(J243,COND!$A$2:$C$7,2,FALSE)+$K$3*VLOOKUP(K243,COND!$A$2:$C$7,3,FALSE)+IF(AND($B$2&gt;0,$E243&lt;20),$B$2*25,0)</f>
        <v>38.22427985536261</v>
      </c>
      <c r="AR243" s="47">
        <f t="shared" si="33"/>
        <v>-0.72899549550923892</v>
      </c>
      <c r="AS243" s="45" t="str">
        <f t="shared" si="30"/>
        <v>DH</v>
      </c>
      <c r="AT243" s="45">
        <v>900</v>
      </c>
      <c r="AU243" s="45">
        <v>239</v>
      </c>
      <c r="AV243" s="45"/>
      <c r="AW243" s="45" t="str">
        <f t="shared" si="31"/>
        <v>Unlikely</v>
      </c>
      <c r="AX243" s="45"/>
      <c r="AY243" s="45" t="str">
        <f>INDEX(Table5[[#All],[Ovr]],MATCH(Batters[[#This Row],[PID]],Table5[[#All],[PID]],0))</f>
        <v/>
      </c>
      <c r="AZ243" s="45" t="str">
        <f>INDEX(Table5[[#All],[Rnd]],MATCH(Batters[[#This Row],[PID]],Table5[[#All],[PID]],0))</f>
        <v/>
      </c>
      <c r="BA243" s="45" t="str">
        <f>INDEX(Table5[[#All],[Pick]],MATCH(Batters[[#This Row],[PID]],Table5[[#All],[PID]],0))</f>
        <v/>
      </c>
      <c r="BB243" s="45" t="str">
        <f>INDEX(Table5[[#All],[Team]],MATCH(Batters[[#This Row],[PID]],Table5[[#All],[PID]],0))</f>
        <v/>
      </c>
    </row>
    <row r="244" spans="1:54" ht="15" customHeight="1" x14ac:dyDescent="0.3">
      <c r="A244" s="40">
        <v>7219</v>
      </c>
      <c r="B244" s="40" t="s">
        <v>50</v>
      </c>
      <c r="C244" s="40" t="s">
        <v>320</v>
      </c>
      <c r="D244" s="40" t="s">
        <v>1136</v>
      </c>
      <c r="E244" s="40">
        <v>21</v>
      </c>
      <c r="F244" s="40" t="s">
        <v>53</v>
      </c>
      <c r="G244" s="40" t="s">
        <v>53</v>
      </c>
      <c r="H244" s="41" t="s">
        <v>552</v>
      </c>
      <c r="I244" s="64" t="s">
        <v>43</v>
      </c>
      <c r="J244" s="65" t="s">
        <v>47</v>
      </c>
      <c r="K244" s="66" t="s">
        <v>43</v>
      </c>
      <c r="L244" s="40">
        <v>1</v>
      </c>
      <c r="M244" s="40">
        <v>3</v>
      </c>
      <c r="N244" s="40">
        <v>2</v>
      </c>
      <c r="O244" s="40">
        <v>2</v>
      </c>
      <c r="P244" s="41">
        <v>1</v>
      </c>
      <c r="Q244" s="40">
        <v>3</v>
      </c>
      <c r="R244" s="40">
        <v>4</v>
      </c>
      <c r="S244" s="40">
        <v>4</v>
      </c>
      <c r="T244" s="40">
        <v>5</v>
      </c>
      <c r="U244" s="41">
        <v>2</v>
      </c>
      <c r="V244" s="40">
        <v>6</v>
      </c>
      <c r="W244" s="40">
        <v>10</v>
      </c>
      <c r="X244" s="40">
        <v>1</v>
      </c>
      <c r="Y244" s="41">
        <v>1</v>
      </c>
      <c r="Z244" s="40" t="s">
        <v>45</v>
      </c>
      <c r="AA244" s="40" t="s">
        <v>45</v>
      </c>
      <c r="AB244" s="40" t="s">
        <v>45</v>
      </c>
      <c r="AC244" s="40" t="s">
        <v>45</v>
      </c>
      <c r="AD244" s="40" t="s">
        <v>45</v>
      </c>
      <c r="AE244" s="40">
        <v>2</v>
      </c>
      <c r="AF244" s="40" t="s">
        <v>45</v>
      </c>
      <c r="AG244" s="41" t="s">
        <v>45</v>
      </c>
      <c r="AH244" s="40">
        <v>5</v>
      </c>
      <c r="AI244" s="40">
        <v>4</v>
      </c>
      <c r="AJ244" s="41">
        <v>1</v>
      </c>
      <c r="AK244" s="43" t="s">
        <v>557</v>
      </c>
      <c r="AL244" s="43" t="s">
        <v>103</v>
      </c>
      <c r="AM244" s="44">
        <f t="shared" si="26"/>
        <v>-1.8094525465566824</v>
      </c>
      <c r="AN244" s="44">
        <f t="shared" si="27"/>
        <v>-0.6380130166389999</v>
      </c>
      <c r="AO244" s="45">
        <f t="shared" si="28"/>
        <v>0</v>
      </c>
      <c r="AP244" s="46">
        <f t="shared" si="29"/>
        <v>0</v>
      </c>
      <c r="AQ244" s="44">
        <f>($AM$3*AM244+$AN$3*AN244+$AO$3*AO244+$AP$3*AP244)+$I$3*VLOOKUP(I244,COND!$A$2:$E$7,4,FALSE)+$J$3*VLOOKUP(J244,COND!$A$2:$C$7,2,FALSE)+$K$3*VLOOKUP(K244,COND!$A$2:$C$7,3,FALSE)+IF(AND($B$2&gt;0,$E244&lt;20),$B$2*25,0)</f>
        <v>37.462898545676332</v>
      </c>
      <c r="AR244" s="47">
        <f t="shared" si="33"/>
        <v>-0.84013288600481784</v>
      </c>
      <c r="AS244" s="45" t="str">
        <f t="shared" si="30"/>
        <v>LF</v>
      </c>
      <c r="AT244" s="45">
        <v>900</v>
      </c>
      <c r="AU244" s="45">
        <v>240</v>
      </c>
      <c r="AV244" s="45"/>
      <c r="AW244" s="45" t="str">
        <f t="shared" si="31"/>
        <v>Unlikely</v>
      </c>
      <c r="AX244" s="45"/>
      <c r="AY244" s="45">
        <f>INDEX(Table5[[#All],[Ovr]],MATCH(Batters[[#This Row],[PID]],Table5[[#All],[PID]],0))</f>
        <v>575</v>
      </c>
      <c r="AZ244" s="45" t="str">
        <f>INDEX(Table5[[#All],[Rnd]],MATCH(Batters[[#This Row],[PID]],Table5[[#All],[PID]],0))</f>
        <v>18</v>
      </c>
      <c r="BA244" s="45">
        <f>INDEX(Table5[[#All],[Pick]],MATCH(Batters[[#This Row],[PID]],Table5[[#All],[PID]],0))</f>
        <v>6</v>
      </c>
      <c r="BB244" s="45" t="str">
        <f>INDEX(Table5[[#All],[Team]],MATCH(Batters[[#This Row],[PID]],Table5[[#All],[PID]],0))</f>
        <v>New Orleans Trendsetters</v>
      </c>
    </row>
    <row r="245" spans="1:54" ht="15" customHeight="1" x14ac:dyDescent="0.3">
      <c r="A245" s="40">
        <v>6850</v>
      </c>
      <c r="B245" s="40" t="s">
        <v>87</v>
      </c>
      <c r="C245" s="40" t="s">
        <v>127</v>
      </c>
      <c r="D245" s="40" t="s">
        <v>1242</v>
      </c>
      <c r="E245" s="40">
        <v>21</v>
      </c>
      <c r="F245" s="40" t="s">
        <v>53</v>
      </c>
      <c r="G245" s="40" t="s">
        <v>53</v>
      </c>
      <c r="H245" s="41" t="s">
        <v>552</v>
      </c>
      <c r="I245" s="64" t="s">
        <v>43</v>
      </c>
      <c r="J245" s="65" t="s">
        <v>47</v>
      </c>
      <c r="K245" s="66" t="s">
        <v>43</v>
      </c>
      <c r="L245" s="40">
        <v>1</v>
      </c>
      <c r="M245" s="40">
        <v>2</v>
      </c>
      <c r="N245" s="40">
        <v>2</v>
      </c>
      <c r="O245" s="40">
        <v>3</v>
      </c>
      <c r="P245" s="41">
        <v>1</v>
      </c>
      <c r="Q245" s="40">
        <v>3</v>
      </c>
      <c r="R245" s="40">
        <v>4</v>
      </c>
      <c r="S245" s="40">
        <v>4</v>
      </c>
      <c r="T245" s="40">
        <v>4</v>
      </c>
      <c r="U245" s="41">
        <v>3</v>
      </c>
      <c r="V245" s="40">
        <v>7</v>
      </c>
      <c r="W245" s="40">
        <v>10</v>
      </c>
      <c r="X245" s="40">
        <v>1</v>
      </c>
      <c r="Y245" s="41">
        <v>1</v>
      </c>
      <c r="Z245" s="40" t="s">
        <v>45</v>
      </c>
      <c r="AA245" s="40">
        <v>1</v>
      </c>
      <c r="AB245" s="40" t="s">
        <v>45</v>
      </c>
      <c r="AC245" s="40" t="s">
        <v>45</v>
      </c>
      <c r="AD245" s="40" t="s">
        <v>45</v>
      </c>
      <c r="AE245" s="40" t="s">
        <v>45</v>
      </c>
      <c r="AF245" s="40" t="s">
        <v>45</v>
      </c>
      <c r="AG245" s="41" t="s">
        <v>45</v>
      </c>
      <c r="AH245" s="40">
        <v>2</v>
      </c>
      <c r="AI245" s="40">
        <v>9</v>
      </c>
      <c r="AJ245" s="41">
        <v>9</v>
      </c>
      <c r="AK245" s="43" t="s">
        <v>45</v>
      </c>
      <c r="AL245" s="43" t="s">
        <v>103</v>
      </c>
      <c r="AM245" s="44">
        <f t="shared" si="26"/>
        <v>-1.7708028761658048</v>
      </c>
      <c r="AN245" s="44">
        <f t="shared" si="27"/>
        <v>-0.68770622683149762</v>
      </c>
      <c r="AO245" s="45">
        <f t="shared" si="28"/>
        <v>3</v>
      </c>
      <c r="AP245" s="46">
        <f t="shared" si="29"/>
        <v>0</v>
      </c>
      <c r="AQ245" s="44">
        <f>($AM$3*AM245+$AN$3*AN245+$AO$3*AO245+$AP$3*AP245)+$I$3*VLOOKUP(I245,COND!$A$2:$E$7,4,FALSE)+$J$3*VLOOKUP(J245,COND!$A$2:$C$7,2,FALSE)+$K$3*VLOOKUP(K245,COND!$A$2:$C$7,3,FALSE)+IF(AND($B$2&gt;0,$E245&lt;20),$B$2*25,0)</f>
        <v>37.370444990405446</v>
      </c>
      <c r="AR245" s="47">
        <f t="shared" si="33"/>
        <v>-0.85362815669786751</v>
      </c>
      <c r="AS245" s="45" t="str">
        <f t="shared" si="30"/>
        <v>1B</v>
      </c>
      <c r="AT245" s="45">
        <v>900</v>
      </c>
      <c r="AU245" s="45">
        <v>241</v>
      </c>
      <c r="AV245" s="45"/>
      <c r="AW245" s="45" t="str">
        <f t="shared" si="31"/>
        <v>Unlikely</v>
      </c>
      <c r="AX245" s="45"/>
      <c r="AY245" s="45">
        <f>INDEX(Table5[[#All],[Ovr]],MATCH(Batters[[#This Row],[PID]],Table5[[#All],[PID]],0))</f>
        <v>506</v>
      </c>
      <c r="AZ245" s="45" t="str">
        <f>INDEX(Table5[[#All],[Rnd]],MATCH(Batters[[#This Row],[PID]],Table5[[#All],[PID]],0))</f>
        <v>16</v>
      </c>
      <c r="BA245" s="45">
        <f>INDEX(Table5[[#All],[Pick]],MATCH(Batters[[#This Row],[PID]],Table5[[#All],[PID]],0))</f>
        <v>5</v>
      </c>
      <c r="BB245" s="45" t="str">
        <f>INDEX(Table5[[#All],[Team]],MATCH(Batters[[#This Row],[PID]],Table5[[#All],[PID]],0))</f>
        <v>Tempe Knights</v>
      </c>
    </row>
    <row r="246" spans="1:54" ht="15" customHeight="1" x14ac:dyDescent="0.3">
      <c r="A246" s="40">
        <v>6194</v>
      </c>
      <c r="B246" s="40" t="s">
        <v>50</v>
      </c>
      <c r="C246" s="40" t="s">
        <v>1319</v>
      </c>
      <c r="D246" s="40" t="s">
        <v>632</v>
      </c>
      <c r="E246" s="40">
        <v>21</v>
      </c>
      <c r="F246" s="40" t="s">
        <v>53</v>
      </c>
      <c r="G246" s="40" t="s">
        <v>42</v>
      </c>
      <c r="H246" s="41" t="s">
        <v>561</v>
      </c>
      <c r="I246" s="64" t="s">
        <v>43</v>
      </c>
      <c r="J246" s="65" t="s">
        <v>47</v>
      </c>
      <c r="K246" s="66" t="s">
        <v>47</v>
      </c>
      <c r="L246" s="40">
        <v>2</v>
      </c>
      <c r="M246" s="40">
        <v>3</v>
      </c>
      <c r="N246" s="40">
        <v>2</v>
      </c>
      <c r="O246" s="40">
        <v>4</v>
      </c>
      <c r="P246" s="41">
        <v>1</v>
      </c>
      <c r="Q246" s="40">
        <v>3</v>
      </c>
      <c r="R246" s="40">
        <v>3</v>
      </c>
      <c r="S246" s="40">
        <v>2</v>
      </c>
      <c r="T246" s="40">
        <v>5</v>
      </c>
      <c r="U246" s="41">
        <v>4</v>
      </c>
      <c r="V246" s="40">
        <v>4</v>
      </c>
      <c r="W246" s="40">
        <v>5</v>
      </c>
      <c r="X246" s="40">
        <v>1</v>
      </c>
      <c r="Y246" s="41">
        <v>1</v>
      </c>
      <c r="Z246" s="40" t="s">
        <v>45</v>
      </c>
      <c r="AA246" s="40" t="s">
        <v>45</v>
      </c>
      <c r="AB246" s="40" t="s">
        <v>45</v>
      </c>
      <c r="AC246" s="40" t="s">
        <v>45</v>
      </c>
      <c r="AD246" s="40" t="s">
        <v>45</v>
      </c>
      <c r="AE246" s="40">
        <v>2</v>
      </c>
      <c r="AF246" s="40" t="s">
        <v>45</v>
      </c>
      <c r="AG246" s="41" t="s">
        <v>45</v>
      </c>
      <c r="AH246" s="40">
        <v>3</v>
      </c>
      <c r="AI246" s="40">
        <v>8</v>
      </c>
      <c r="AJ246" s="41">
        <v>10</v>
      </c>
      <c r="AK246" s="43" t="s">
        <v>45</v>
      </c>
      <c r="AL246" s="43" t="s">
        <v>103</v>
      </c>
      <c r="AM246" s="44">
        <f t="shared" si="26"/>
        <v>-1.3074776103348458</v>
      </c>
      <c r="AN246" s="44">
        <f t="shared" si="27"/>
        <v>-0.77516320467133948</v>
      </c>
      <c r="AO246" s="45">
        <f t="shared" si="28"/>
        <v>3</v>
      </c>
      <c r="AP246" s="46">
        <f t="shared" si="29"/>
        <v>0</v>
      </c>
      <c r="AQ246" s="44">
        <f>($AM$3*AM246+$AN$3*AN246+$AO$3*AO246+$AP$3*AP246)+$I$3*VLOOKUP(I246,COND!$A$2:$E$7,4,FALSE)+$J$3*VLOOKUP(J246,COND!$A$2:$C$7,2,FALSE)+$K$3*VLOOKUP(K246,COND!$A$2:$C$7,3,FALSE)+IF(AND($B$2&gt;0,$E246&lt;20),$B$2*25,0)</f>
        <v>36.667293782910448</v>
      </c>
      <c r="AR246" s="47">
        <f t="shared" si="33"/>
        <v>-0.95626580925202465</v>
      </c>
      <c r="AS246" s="45" t="str">
        <f t="shared" si="30"/>
        <v>LF</v>
      </c>
      <c r="AT246" s="45">
        <v>900</v>
      </c>
      <c r="AU246" s="45">
        <v>242</v>
      </c>
      <c r="AV246" s="45"/>
      <c r="AW246" s="45" t="str">
        <f t="shared" si="31"/>
        <v>Unlikely</v>
      </c>
      <c r="AX246" s="45"/>
      <c r="AY246" s="45">
        <f>INDEX(Table5[[#All],[Ovr]],MATCH(Batters[[#This Row],[PID]],Table5[[#All],[PID]],0))</f>
        <v>609</v>
      </c>
      <c r="AZ246" s="45" t="str">
        <f>INDEX(Table5[[#All],[Rnd]],MATCH(Batters[[#This Row],[PID]],Table5[[#All],[PID]],0))</f>
        <v>19</v>
      </c>
      <c r="BA246" s="45">
        <f>INDEX(Table5[[#All],[Pick]],MATCH(Batters[[#This Row],[PID]],Table5[[#All],[PID]],0))</f>
        <v>6</v>
      </c>
      <c r="BB246" s="45" t="str">
        <f>INDEX(Table5[[#All],[Team]],MATCH(Batters[[#This Row],[PID]],Table5[[#All],[PID]],0))</f>
        <v>New Orleans Trendsetters</v>
      </c>
    </row>
    <row r="247" spans="1:54" ht="15" customHeight="1" x14ac:dyDescent="0.3">
      <c r="A247" s="40">
        <v>20250</v>
      </c>
      <c r="B247" s="40" t="s">
        <v>86</v>
      </c>
      <c r="C247" s="40" t="s">
        <v>159</v>
      </c>
      <c r="D247" s="40" t="s">
        <v>911</v>
      </c>
      <c r="E247" s="40">
        <v>21</v>
      </c>
      <c r="F247" s="40" t="s">
        <v>42</v>
      </c>
      <c r="G247" s="40" t="s">
        <v>42</v>
      </c>
      <c r="H247" s="41" t="s">
        <v>552</v>
      </c>
      <c r="I247" s="64" t="s">
        <v>44</v>
      </c>
      <c r="J247" s="65" t="s">
        <v>43</v>
      </c>
      <c r="K247" s="66" t="s">
        <v>43</v>
      </c>
      <c r="L247" s="40">
        <v>2</v>
      </c>
      <c r="M247" s="40">
        <v>2</v>
      </c>
      <c r="N247" s="40">
        <v>2</v>
      </c>
      <c r="O247" s="40">
        <v>5</v>
      </c>
      <c r="P247" s="41">
        <v>1</v>
      </c>
      <c r="Q247" s="40">
        <v>3</v>
      </c>
      <c r="R247" s="40">
        <v>3</v>
      </c>
      <c r="S247" s="40">
        <v>2</v>
      </c>
      <c r="T247" s="40">
        <v>6</v>
      </c>
      <c r="U247" s="41">
        <v>3</v>
      </c>
      <c r="V247" s="40">
        <v>8</v>
      </c>
      <c r="W247" s="40">
        <v>8</v>
      </c>
      <c r="X247" s="40">
        <v>8</v>
      </c>
      <c r="Y247" s="41">
        <v>8</v>
      </c>
      <c r="Z247" s="40">
        <v>5</v>
      </c>
      <c r="AA247" s="40" t="s">
        <v>45</v>
      </c>
      <c r="AB247" s="40">
        <v>1</v>
      </c>
      <c r="AC247" s="40" t="s">
        <v>45</v>
      </c>
      <c r="AD247" s="40" t="s">
        <v>45</v>
      </c>
      <c r="AE247" s="40" t="s">
        <v>45</v>
      </c>
      <c r="AF247" s="40" t="s">
        <v>45</v>
      </c>
      <c r="AG247" s="41" t="s">
        <v>45</v>
      </c>
      <c r="AH247" s="40">
        <v>2</v>
      </c>
      <c r="AI247" s="40">
        <v>5</v>
      </c>
      <c r="AJ247" s="41">
        <v>1</v>
      </c>
      <c r="AK247" s="43" t="s">
        <v>45</v>
      </c>
      <c r="AL247" s="43" t="s">
        <v>103</v>
      </c>
      <c r="AM247" s="44">
        <f t="shared" si="26"/>
        <v>-1.2688279399439681</v>
      </c>
      <c r="AN247" s="44">
        <f t="shared" si="27"/>
        <v>-0.72546999447884186</v>
      </c>
      <c r="AO247" s="45">
        <f t="shared" si="28"/>
        <v>0</v>
      </c>
      <c r="AP247" s="46">
        <f t="shared" si="29"/>
        <v>2</v>
      </c>
      <c r="AQ247" s="44">
        <f>($AM$3*AM247+$AN$3*AN247+$AO$3*AO247+$AP$3*AP247)+$I$3*VLOOKUP(I247,COND!$A$2:$E$7,4,FALSE)+$J$3*VLOOKUP(J247,COND!$A$2:$C$7,2,FALSE)+$K$3*VLOOKUP(K247,COND!$A$2:$C$7,3,FALSE)+IF(AND($B$2&gt;0,$E247&lt;20),$B$2*25,0)</f>
        <v>38.017477272259498</v>
      </c>
      <c r="AR247" s="47">
        <f t="shared" si="33"/>
        <v>-0.75918207763494827</v>
      </c>
      <c r="AS247" s="45" t="str">
        <f t="shared" si="30"/>
        <v>C</v>
      </c>
      <c r="AT247" s="45">
        <v>900</v>
      </c>
      <c r="AU247" s="45">
        <v>243</v>
      </c>
      <c r="AV247" s="45"/>
      <c r="AW247" s="45" t="str">
        <f t="shared" si="31"/>
        <v>Unlikely</v>
      </c>
      <c r="AX247" s="45"/>
      <c r="AY247" s="45">
        <f>INDEX(Table5[[#All],[Ovr]],MATCH(Batters[[#This Row],[PID]],Table5[[#All],[PID]],0))</f>
        <v>279</v>
      </c>
      <c r="AZ247" s="45" t="str">
        <f>INDEX(Table5[[#All],[Rnd]],MATCH(Batters[[#This Row],[PID]],Table5[[#All],[PID]],0))</f>
        <v>9</v>
      </c>
      <c r="BA247" s="45">
        <f>INDEX(Table5[[#All],[Pick]],MATCH(Batters[[#This Row],[PID]],Table5[[#All],[PID]],0))</f>
        <v>14</v>
      </c>
      <c r="BB247" s="45" t="str">
        <f>INDEX(Table5[[#All],[Team]],MATCH(Batters[[#This Row],[PID]],Table5[[#All],[PID]],0))</f>
        <v>San Antonio Calzones of Laredo</v>
      </c>
    </row>
    <row r="248" spans="1:54" ht="15" customHeight="1" x14ac:dyDescent="0.3">
      <c r="A248" s="40">
        <v>12180</v>
      </c>
      <c r="B248" s="40" t="s">
        <v>87</v>
      </c>
      <c r="C248" s="40" t="s">
        <v>334</v>
      </c>
      <c r="D248" s="40" t="s">
        <v>627</v>
      </c>
      <c r="E248" s="40">
        <v>21</v>
      </c>
      <c r="F248" s="40" t="s">
        <v>42</v>
      </c>
      <c r="G248" s="40" t="s">
        <v>53</v>
      </c>
      <c r="H248" s="41" t="s">
        <v>552</v>
      </c>
      <c r="I248" s="64" t="s">
        <v>43</v>
      </c>
      <c r="J248" s="65" t="s">
        <v>43</v>
      </c>
      <c r="K248" s="66" t="s">
        <v>43</v>
      </c>
      <c r="L248" s="40">
        <v>1</v>
      </c>
      <c r="M248" s="40">
        <v>1</v>
      </c>
      <c r="N248" s="40">
        <v>2</v>
      </c>
      <c r="O248" s="40">
        <v>2</v>
      </c>
      <c r="P248" s="41">
        <v>1</v>
      </c>
      <c r="Q248" s="40">
        <v>3</v>
      </c>
      <c r="R248" s="40">
        <v>3</v>
      </c>
      <c r="S248" s="40">
        <v>5</v>
      </c>
      <c r="T248" s="40">
        <v>5</v>
      </c>
      <c r="U248" s="41">
        <v>3</v>
      </c>
      <c r="V248" s="40">
        <v>2</v>
      </c>
      <c r="W248" s="40">
        <v>1</v>
      </c>
      <c r="X248" s="40">
        <v>1</v>
      </c>
      <c r="Y248" s="41">
        <v>1</v>
      </c>
      <c r="Z248" s="40" t="s">
        <v>45</v>
      </c>
      <c r="AA248" s="40">
        <v>3</v>
      </c>
      <c r="AB248" s="40" t="s">
        <v>45</v>
      </c>
      <c r="AC248" s="40" t="s">
        <v>45</v>
      </c>
      <c r="AD248" s="40" t="s">
        <v>45</v>
      </c>
      <c r="AE248" s="40" t="s">
        <v>45</v>
      </c>
      <c r="AF248" s="40" t="s">
        <v>45</v>
      </c>
      <c r="AG248" s="41" t="s">
        <v>45</v>
      </c>
      <c r="AH248" s="40">
        <v>2</v>
      </c>
      <c r="AI248" s="40">
        <v>6</v>
      </c>
      <c r="AJ248" s="41">
        <v>4</v>
      </c>
      <c r="AK248" s="43" t="s">
        <v>557</v>
      </c>
      <c r="AL248" s="43" t="s">
        <v>103</v>
      </c>
      <c r="AM248" s="44">
        <f t="shared" si="26"/>
        <v>-1.9115723057940897</v>
      </c>
      <c r="AN248" s="44">
        <f t="shared" si="27"/>
        <v>-0.56599506241671849</v>
      </c>
      <c r="AO248" s="45">
        <f t="shared" si="28"/>
        <v>0</v>
      </c>
      <c r="AP248" s="46">
        <f t="shared" si="29"/>
        <v>0</v>
      </c>
      <c r="AQ248" s="44">
        <f>($AM$3*AM248+$AN$3*AN248+$AO$3*AO248+$AP$3*AP248)+$I$3*VLOOKUP(I248,COND!$A$2:$E$7,4,FALSE)+$J$3*VLOOKUP(J248,COND!$A$2:$C$7,2,FALSE)+$K$3*VLOOKUP(K248,COND!$A$2:$C$7,3,FALSE)+IF(AND($B$2&gt;0,$E248&lt;20),$B$2*25,0)</f>
        <v>38.01690202041997</v>
      </c>
      <c r="AR248" s="47">
        <f t="shared" si="33"/>
        <v>-0.75926604605853532</v>
      </c>
      <c r="AS248" s="45" t="str">
        <f t="shared" si="30"/>
        <v>1B</v>
      </c>
      <c r="AT248" s="45">
        <v>900</v>
      </c>
      <c r="AU248" s="45">
        <v>244</v>
      </c>
      <c r="AV248" s="45"/>
      <c r="AW248" s="45" t="str">
        <f t="shared" si="31"/>
        <v>Unlikely</v>
      </c>
      <c r="AX248" s="45"/>
      <c r="AY248" s="45">
        <f>INDEX(Table5[[#All],[Ovr]],MATCH(Batters[[#This Row],[PID]],Table5[[#All],[PID]],0))</f>
        <v>565</v>
      </c>
      <c r="AZ248" s="45" t="str">
        <f>INDEX(Table5[[#All],[Rnd]],MATCH(Batters[[#This Row],[PID]],Table5[[#All],[PID]],0))</f>
        <v>17</v>
      </c>
      <c r="BA248" s="45">
        <f>INDEX(Table5[[#All],[Pick]],MATCH(Batters[[#This Row],[PID]],Table5[[#All],[PID]],0))</f>
        <v>30</v>
      </c>
      <c r="BB248" s="45" t="str">
        <f>INDEX(Table5[[#All],[Team]],MATCH(Batters[[#This Row],[PID]],Table5[[#All],[PID]],0))</f>
        <v>Toyama Wind Dancers</v>
      </c>
    </row>
    <row r="249" spans="1:54" ht="15" customHeight="1" x14ac:dyDescent="0.3">
      <c r="A249" s="40">
        <v>20864</v>
      </c>
      <c r="B249" s="40" t="s">
        <v>86</v>
      </c>
      <c r="C249" s="40" t="s">
        <v>140</v>
      </c>
      <c r="D249" s="40" t="s">
        <v>856</v>
      </c>
      <c r="E249" s="40">
        <v>17</v>
      </c>
      <c r="F249" s="40" t="s">
        <v>53</v>
      </c>
      <c r="G249" s="40" t="s">
        <v>42</v>
      </c>
      <c r="H249" s="41" t="s">
        <v>553</v>
      </c>
      <c r="I249" s="64" t="s">
        <v>43</v>
      </c>
      <c r="J249" s="65" t="s">
        <v>43</v>
      </c>
      <c r="K249" s="66" t="s">
        <v>43</v>
      </c>
      <c r="L249" s="40">
        <v>1</v>
      </c>
      <c r="M249" s="40">
        <v>1</v>
      </c>
      <c r="N249" s="40">
        <v>2</v>
      </c>
      <c r="O249" s="40">
        <v>3</v>
      </c>
      <c r="P249" s="41">
        <v>1</v>
      </c>
      <c r="Q249" s="40">
        <v>2</v>
      </c>
      <c r="R249" s="40">
        <v>3</v>
      </c>
      <c r="S249" s="40">
        <v>3</v>
      </c>
      <c r="T249" s="40">
        <v>6</v>
      </c>
      <c r="U249" s="41">
        <v>2</v>
      </c>
      <c r="V249" s="40">
        <v>2</v>
      </c>
      <c r="W249" s="40">
        <v>2</v>
      </c>
      <c r="X249" s="40">
        <v>3</v>
      </c>
      <c r="Y249" s="41">
        <v>3</v>
      </c>
      <c r="Z249" s="40" t="s">
        <v>45</v>
      </c>
      <c r="AA249" s="40" t="s">
        <v>45</v>
      </c>
      <c r="AB249" s="40" t="s">
        <v>45</v>
      </c>
      <c r="AC249" s="40" t="s">
        <v>45</v>
      </c>
      <c r="AD249" s="40" t="s">
        <v>45</v>
      </c>
      <c r="AE249" s="40" t="s">
        <v>45</v>
      </c>
      <c r="AF249" s="40" t="s">
        <v>45</v>
      </c>
      <c r="AG249" s="41" t="s">
        <v>45</v>
      </c>
      <c r="AH249" s="40">
        <v>2</v>
      </c>
      <c r="AI249" s="40">
        <v>6</v>
      </c>
      <c r="AJ249" s="41">
        <v>3</v>
      </c>
      <c r="AK249" s="43" t="s">
        <v>583</v>
      </c>
      <c r="AL249" s="43" t="s">
        <v>103</v>
      </c>
      <c r="AM249" s="44">
        <f t="shared" si="26"/>
        <v>-1.8218627557845084</v>
      </c>
      <c r="AN249" s="44">
        <f t="shared" si="27"/>
        <v>-1.0049806764746987</v>
      </c>
      <c r="AO249" s="45">
        <f t="shared" si="28"/>
        <v>0</v>
      </c>
      <c r="AP249" s="46">
        <f t="shared" si="29"/>
        <v>0</v>
      </c>
      <c r="AQ249" s="44">
        <f>($AM$3*AM249+$AN$3*AN249+$AO$3*AO249+$AP$3*AP249)+$I$3*VLOOKUP(I249,COND!$A$2:$E$7,4,FALSE)+$J$3*VLOOKUP(J249,COND!$A$2:$C$7,2,FALSE)+$K$3*VLOOKUP(K249,COND!$A$2:$C$7,3,FALSE)+IF(AND($B$2&gt;0,$E249&lt;20),$B$2*25,0)</f>
        <v>37.758045606725162</v>
      </c>
      <c r="AR249" s="47">
        <f>STANDARDIZE(AQ249,AVERAGE($AQ$5:$AQ$459),STDEVP($AQ$5:$AQ$459))</f>
        <v>-0.77844986214036282</v>
      </c>
      <c r="AS249" s="45" t="str">
        <f t="shared" si="30"/>
        <v>DH</v>
      </c>
      <c r="AT249" s="45">
        <v>900</v>
      </c>
      <c r="AU249" s="45">
        <v>245</v>
      </c>
      <c r="AV249" s="45"/>
      <c r="AW249" s="45" t="str">
        <f t="shared" si="31"/>
        <v>Unlikely</v>
      </c>
      <c r="AX249" s="45"/>
      <c r="AY249" s="63" t="str">
        <f>INDEX(Table5[[#All],[Ovr]],MATCH(Batters[[#This Row],[PID]],Table5[[#All],[PID]],0))</f>
        <v/>
      </c>
      <c r="AZ249" s="63" t="str">
        <f>INDEX(Table5[[#All],[Rnd]],MATCH(Batters[[#This Row],[PID]],Table5[[#All],[PID]],0))</f>
        <v/>
      </c>
      <c r="BA249" s="63" t="str">
        <f>INDEX(Table5[[#All],[Pick]],MATCH(Batters[[#This Row],[PID]],Table5[[#All],[PID]],0))</f>
        <v/>
      </c>
      <c r="BB249" s="63" t="str">
        <f>INDEX(Table5[[#All],[Team]],MATCH(Batters[[#This Row],[PID]],Table5[[#All],[PID]],0))</f>
        <v/>
      </c>
    </row>
    <row r="250" spans="1:54" ht="15" customHeight="1" x14ac:dyDescent="0.3">
      <c r="A250" s="40">
        <v>20226</v>
      </c>
      <c r="B250" s="40" t="s">
        <v>71</v>
      </c>
      <c r="C250" s="40" t="s">
        <v>1255</v>
      </c>
      <c r="D250" s="40" t="s">
        <v>356</v>
      </c>
      <c r="E250" s="40">
        <v>21</v>
      </c>
      <c r="F250" s="40" t="s">
        <v>42</v>
      </c>
      <c r="G250" s="40" t="s">
        <v>42</v>
      </c>
      <c r="H250" s="41" t="s">
        <v>552</v>
      </c>
      <c r="I250" s="64" t="s">
        <v>43</v>
      </c>
      <c r="J250" s="65" t="s">
        <v>43</v>
      </c>
      <c r="K250" s="66" t="s">
        <v>43</v>
      </c>
      <c r="L250" s="40">
        <v>2</v>
      </c>
      <c r="M250" s="40">
        <v>4</v>
      </c>
      <c r="N250" s="40">
        <v>2</v>
      </c>
      <c r="O250" s="40">
        <v>4</v>
      </c>
      <c r="P250" s="41">
        <v>2</v>
      </c>
      <c r="Q250" s="40">
        <v>3</v>
      </c>
      <c r="R250" s="40">
        <v>4</v>
      </c>
      <c r="S250" s="40">
        <v>2</v>
      </c>
      <c r="T250" s="40">
        <v>6</v>
      </c>
      <c r="U250" s="41">
        <v>4</v>
      </c>
      <c r="V250" s="40">
        <v>5</v>
      </c>
      <c r="W250" s="40">
        <v>3</v>
      </c>
      <c r="X250" s="40">
        <v>1</v>
      </c>
      <c r="Y250" s="41">
        <v>1</v>
      </c>
      <c r="Z250" s="40" t="s">
        <v>45</v>
      </c>
      <c r="AA250" s="40" t="s">
        <v>45</v>
      </c>
      <c r="AB250" s="40">
        <v>5</v>
      </c>
      <c r="AC250" s="40" t="s">
        <v>45</v>
      </c>
      <c r="AD250" s="40">
        <v>1</v>
      </c>
      <c r="AE250" s="40" t="s">
        <v>45</v>
      </c>
      <c r="AF250" s="40" t="s">
        <v>45</v>
      </c>
      <c r="AG250" s="41" t="s">
        <v>45</v>
      </c>
      <c r="AH250" s="40">
        <v>3</v>
      </c>
      <c r="AI250" s="40">
        <v>4</v>
      </c>
      <c r="AJ250" s="41">
        <v>4</v>
      </c>
      <c r="AK250" s="43" t="s">
        <v>504</v>
      </c>
      <c r="AL250" s="43" t="s">
        <v>103</v>
      </c>
      <c r="AM250" s="44">
        <f t="shared" si="26"/>
        <v>-1.2164013908990587</v>
      </c>
      <c r="AN250" s="44">
        <f t="shared" si="27"/>
        <v>-0.63439377504305494</v>
      </c>
      <c r="AO250" s="45">
        <f t="shared" si="28"/>
        <v>0</v>
      </c>
      <c r="AP250" s="46">
        <f t="shared" si="29"/>
        <v>0.6</v>
      </c>
      <c r="AQ250" s="44">
        <f>($AM$3*AM250+$AN$3*AN250+$AO$3*AO250+$AP$3*AP250)+$I$3*VLOOKUP(I250,COND!$A$2:$E$7,4,FALSE)+$J$3*VLOOKUP(J250,COND!$A$2:$C$7,2,FALSE)+$K$3*VLOOKUP(K250,COND!$A$2:$C$7,3,FALSE)+IF(AND($B$2&gt;0,$E250&lt;20),$B$2*25,0)</f>
        <v>37.865634560393431</v>
      </c>
      <c r="AR250" s="47">
        <f t="shared" ref="AR250:AR258" si="34">STANDARDIZE(AQ250,AVERAGE($AQ$5:$AQ$442),STDEVP($AQ$5:$AQ$442))</f>
        <v>-0.78134627124973521</v>
      </c>
      <c r="AS250" s="45" t="str">
        <f t="shared" si="30"/>
        <v>2B</v>
      </c>
      <c r="AT250" s="45">
        <v>900</v>
      </c>
      <c r="AU250" s="45">
        <v>246</v>
      </c>
      <c r="AV250" s="45"/>
      <c r="AW250" s="45" t="str">
        <f t="shared" si="31"/>
        <v>Unlikely</v>
      </c>
      <c r="AX250" s="45"/>
      <c r="AY250" s="63">
        <f>INDEX(Table5[[#All],[Ovr]],MATCH(Batters[[#This Row],[PID]],Table5[[#All],[PID]],0))</f>
        <v>611</v>
      </c>
      <c r="AZ250" s="63" t="str">
        <f>INDEX(Table5[[#All],[Rnd]],MATCH(Batters[[#This Row],[PID]],Table5[[#All],[PID]],0))</f>
        <v>19</v>
      </c>
      <c r="BA250" s="63">
        <f>INDEX(Table5[[#All],[Pick]],MATCH(Batters[[#This Row],[PID]],Table5[[#All],[PID]],0))</f>
        <v>8</v>
      </c>
      <c r="BB250" s="63" t="str">
        <f>INDEX(Table5[[#All],[Team]],MATCH(Batters[[#This Row],[PID]],Table5[[#All],[PID]],0))</f>
        <v>Gloucester Fishermen</v>
      </c>
    </row>
    <row r="251" spans="1:54" ht="15" customHeight="1" x14ac:dyDescent="0.3">
      <c r="A251" s="40">
        <v>8594</v>
      </c>
      <c r="B251" s="40" t="s">
        <v>66</v>
      </c>
      <c r="C251" s="40" t="s">
        <v>1126</v>
      </c>
      <c r="D251" s="40" t="s">
        <v>1127</v>
      </c>
      <c r="E251" s="40">
        <v>21</v>
      </c>
      <c r="F251" s="40" t="s">
        <v>53</v>
      </c>
      <c r="G251" s="40" t="s">
        <v>42</v>
      </c>
      <c r="H251" s="41" t="s">
        <v>552</v>
      </c>
      <c r="I251" s="64" t="s">
        <v>43</v>
      </c>
      <c r="J251" s="65" t="s">
        <v>43</v>
      </c>
      <c r="K251" s="66" t="s">
        <v>43</v>
      </c>
      <c r="L251" s="40">
        <v>1</v>
      </c>
      <c r="M251" s="40">
        <v>3</v>
      </c>
      <c r="N251" s="40">
        <v>2</v>
      </c>
      <c r="O251" s="40">
        <v>3</v>
      </c>
      <c r="P251" s="41">
        <v>1</v>
      </c>
      <c r="Q251" s="40">
        <v>3</v>
      </c>
      <c r="R251" s="40">
        <v>3</v>
      </c>
      <c r="S251" s="40">
        <v>4</v>
      </c>
      <c r="T251" s="40">
        <v>5</v>
      </c>
      <c r="U251" s="41">
        <v>3</v>
      </c>
      <c r="V251" s="40">
        <v>6</v>
      </c>
      <c r="W251" s="40">
        <v>8</v>
      </c>
      <c r="X251" s="40">
        <v>1</v>
      </c>
      <c r="Y251" s="41">
        <v>1</v>
      </c>
      <c r="Z251" s="40" t="s">
        <v>45</v>
      </c>
      <c r="AA251" s="40">
        <v>3</v>
      </c>
      <c r="AB251" s="40" t="s">
        <v>45</v>
      </c>
      <c r="AC251" s="40" t="s">
        <v>45</v>
      </c>
      <c r="AD251" s="40" t="s">
        <v>45</v>
      </c>
      <c r="AE251" s="40" t="s">
        <v>45</v>
      </c>
      <c r="AF251" s="40" t="s">
        <v>45</v>
      </c>
      <c r="AG251" s="41">
        <v>4</v>
      </c>
      <c r="AH251" s="40">
        <v>9</v>
      </c>
      <c r="AI251" s="40">
        <v>9</v>
      </c>
      <c r="AJ251" s="41">
        <v>7</v>
      </c>
      <c r="AK251" s="43" t="s">
        <v>493</v>
      </c>
      <c r="AL251" s="43" t="s">
        <v>103</v>
      </c>
      <c r="AM251" s="44">
        <f t="shared" si="26"/>
        <v>-1.7197429965471014</v>
      </c>
      <c r="AN251" s="44">
        <f t="shared" si="27"/>
        <v>-0.64905655644061999</v>
      </c>
      <c r="AO251" s="45">
        <f t="shared" si="28"/>
        <v>4</v>
      </c>
      <c r="AP251" s="46">
        <f t="shared" si="29"/>
        <v>0</v>
      </c>
      <c r="AQ251" s="44">
        <f>($AM$3*AM251+$AN$3*AN251+$AO$3*AO251+$AP$3*AP251)+$I$3*VLOOKUP(I251,COND!$A$2:$E$7,4,FALSE)+$J$3*VLOOKUP(J251,COND!$A$2:$C$7,2,FALSE)+$K$3*VLOOKUP(K251,COND!$A$2:$C$7,3,FALSE)+IF(AND($B$2&gt;0,$E251&lt;20),$B$2*25,0)</f>
        <v>37.706013689724514</v>
      </c>
      <c r="AR251" s="47">
        <f t="shared" si="34"/>
        <v>-0.80464582800150952</v>
      </c>
      <c r="AS251" s="45" t="str">
        <f t="shared" si="30"/>
        <v>RF</v>
      </c>
      <c r="AT251" s="45">
        <v>900</v>
      </c>
      <c r="AU251" s="45">
        <v>247</v>
      </c>
      <c r="AV251" s="45"/>
      <c r="AW251" s="45" t="str">
        <f t="shared" si="31"/>
        <v>Unlikely</v>
      </c>
      <c r="AX251" s="45"/>
      <c r="AY251" s="45">
        <f>INDEX(Table5[[#All],[Ovr]],MATCH(Batters[[#This Row],[PID]],Table5[[#All],[PID]],0))</f>
        <v>241</v>
      </c>
      <c r="AZ251" s="45" t="str">
        <f>INDEX(Table5[[#All],[Rnd]],MATCH(Batters[[#This Row],[PID]],Table5[[#All],[PID]],0))</f>
        <v>8</v>
      </c>
      <c r="BA251" s="45">
        <f>INDEX(Table5[[#All],[Pick]],MATCH(Batters[[#This Row],[PID]],Table5[[#All],[PID]],0))</f>
        <v>8</v>
      </c>
      <c r="BB251" s="45" t="str">
        <f>INDEX(Table5[[#All],[Team]],MATCH(Batters[[#This Row],[PID]],Table5[[#All],[PID]],0))</f>
        <v>Gloucester Fishermen</v>
      </c>
    </row>
    <row r="252" spans="1:54" ht="15" customHeight="1" x14ac:dyDescent="0.3">
      <c r="A252" s="40">
        <v>12268</v>
      </c>
      <c r="B252" s="40" t="s">
        <v>74</v>
      </c>
      <c r="C252" s="40" t="s">
        <v>151</v>
      </c>
      <c r="D252" s="40" t="s">
        <v>1272</v>
      </c>
      <c r="E252" s="40">
        <v>21</v>
      </c>
      <c r="F252" s="40" t="s">
        <v>42</v>
      </c>
      <c r="G252" s="40" t="s">
        <v>42</v>
      </c>
      <c r="H252" s="41" t="s">
        <v>552</v>
      </c>
      <c r="I252" s="64" t="s">
        <v>47</v>
      </c>
      <c r="J252" s="65" t="s">
        <v>47</v>
      </c>
      <c r="K252" s="66" t="s">
        <v>43</v>
      </c>
      <c r="L252" s="40">
        <v>2</v>
      </c>
      <c r="M252" s="40">
        <v>1</v>
      </c>
      <c r="N252" s="40">
        <v>2</v>
      </c>
      <c r="O252" s="40">
        <v>2</v>
      </c>
      <c r="P252" s="41">
        <v>2</v>
      </c>
      <c r="Q252" s="40">
        <v>3</v>
      </c>
      <c r="R252" s="40">
        <v>3</v>
      </c>
      <c r="S252" s="40">
        <v>2</v>
      </c>
      <c r="T252" s="40">
        <v>5</v>
      </c>
      <c r="U252" s="41">
        <v>3</v>
      </c>
      <c r="V252" s="40">
        <v>8</v>
      </c>
      <c r="W252" s="40">
        <v>10</v>
      </c>
      <c r="X252" s="40">
        <v>1</v>
      </c>
      <c r="Y252" s="41">
        <v>1</v>
      </c>
      <c r="Z252" s="40" t="s">
        <v>45</v>
      </c>
      <c r="AA252" s="40" t="s">
        <v>45</v>
      </c>
      <c r="AB252" s="40" t="s">
        <v>45</v>
      </c>
      <c r="AC252" s="40" t="s">
        <v>45</v>
      </c>
      <c r="AD252" s="40" t="s">
        <v>45</v>
      </c>
      <c r="AE252" s="40">
        <v>5</v>
      </c>
      <c r="AF252" s="40">
        <v>7</v>
      </c>
      <c r="AG252" s="41" t="s">
        <v>45</v>
      </c>
      <c r="AH252" s="40">
        <v>10</v>
      </c>
      <c r="AI252" s="40">
        <v>7</v>
      </c>
      <c r="AJ252" s="41">
        <v>10</v>
      </c>
      <c r="AK252" s="43" t="s">
        <v>500</v>
      </c>
      <c r="AL252" s="43" t="s">
        <v>103</v>
      </c>
      <c r="AM252" s="44">
        <f t="shared" si="26"/>
        <v>-1.5490001297743312</v>
      </c>
      <c r="AN252" s="44">
        <f t="shared" si="27"/>
        <v>-0.815179544488423</v>
      </c>
      <c r="AO252" s="45">
        <f t="shared" si="28"/>
        <v>4</v>
      </c>
      <c r="AP252" s="46">
        <f t="shared" si="29"/>
        <v>0.75</v>
      </c>
      <c r="AQ252" s="44">
        <f>($AM$3*AM252+$AN$3*AN252+$AO$3*AO252+$AP$3*AP252)+$I$3*VLOOKUP(I252,COND!$A$2:$E$7,4,FALSE)+$J$3*VLOOKUP(J252,COND!$A$2:$C$7,2,FALSE)+$K$3*VLOOKUP(K252,COND!$A$2:$C$7,3,FALSE)+IF(AND($B$2&gt;0,$E252&lt;20),$B$2*25,0)</f>
        <v>37.004612119828153</v>
      </c>
      <c r="AR252" s="47">
        <f t="shared" si="34"/>
        <v>-0.90702808926282619</v>
      </c>
      <c r="AS252" s="45" t="str">
        <f t="shared" si="30"/>
        <v>CF</v>
      </c>
      <c r="AT252" s="45">
        <v>900</v>
      </c>
      <c r="AU252" s="45">
        <v>248</v>
      </c>
      <c r="AV252" s="45"/>
      <c r="AW252" s="45" t="str">
        <f t="shared" si="31"/>
        <v>Unlikely</v>
      </c>
      <c r="AX252" s="45"/>
      <c r="AY252" s="63">
        <f>INDEX(Table5[[#All],[Ovr]],MATCH(Batters[[#This Row],[PID]],Table5[[#All],[PID]],0))</f>
        <v>175</v>
      </c>
      <c r="AZ252" s="63" t="str">
        <f>INDEX(Table5[[#All],[Rnd]],MATCH(Batters[[#This Row],[PID]],Table5[[#All],[PID]],0))</f>
        <v>6</v>
      </c>
      <c r="BA252" s="63">
        <f>INDEX(Table5[[#All],[Pick]],MATCH(Batters[[#This Row],[PID]],Table5[[#All],[PID]],0))</f>
        <v>6</v>
      </c>
      <c r="BB252" s="63" t="str">
        <f>INDEX(Table5[[#All],[Team]],MATCH(Batters[[#This Row],[PID]],Table5[[#All],[PID]],0))</f>
        <v>New Orleans Trendsetters</v>
      </c>
    </row>
    <row r="253" spans="1:54" ht="15" customHeight="1" x14ac:dyDescent="0.3">
      <c r="A253" s="40">
        <v>11889</v>
      </c>
      <c r="B253" s="40" t="s">
        <v>50</v>
      </c>
      <c r="C253" s="40" t="s">
        <v>1201</v>
      </c>
      <c r="D253" s="40" t="s">
        <v>1202</v>
      </c>
      <c r="E253" s="40">
        <v>21</v>
      </c>
      <c r="F253" s="40" t="s">
        <v>53</v>
      </c>
      <c r="G253" s="40" t="s">
        <v>53</v>
      </c>
      <c r="H253" s="41" t="s">
        <v>552</v>
      </c>
      <c r="I253" s="64" t="s">
        <v>43</v>
      </c>
      <c r="J253" s="65" t="s">
        <v>43</v>
      </c>
      <c r="K253" s="66" t="s">
        <v>43</v>
      </c>
      <c r="L253" s="40">
        <v>1</v>
      </c>
      <c r="M253" s="40">
        <v>3</v>
      </c>
      <c r="N253" s="40">
        <v>3</v>
      </c>
      <c r="O253" s="40">
        <v>3</v>
      </c>
      <c r="P253" s="41">
        <v>1</v>
      </c>
      <c r="Q253" s="40">
        <v>3</v>
      </c>
      <c r="R253" s="40">
        <v>4</v>
      </c>
      <c r="S253" s="40">
        <v>4</v>
      </c>
      <c r="T253" s="40">
        <v>5</v>
      </c>
      <c r="U253" s="41">
        <v>2</v>
      </c>
      <c r="V253" s="40">
        <v>3</v>
      </c>
      <c r="W253" s="40">
        <v>5</v>
      </c>
      <c r="X253" s="40">
        <v>1</v>
      </c>
      <c r="Y253" s="41">
        <v>1</v>
      </c>
      <c r="Z253" s="40" t="s">
        <v>45</v>
      </c>
      <c r="AA253" s="40" t="s">
        <v>45</v>
      </c>
      <c r="AB253" s="40" t="s">
        <v>45</v>
      </c>
      <c r="AC253" s="40" t="s">
        <v>45</v>
      </c>
      <c r="AD253" s="40" t="s">
        <v>45</v>
      </c>
      <c r="AE253" s="40">
        <v>6</v>
      </c>
      <c r="AF253" s="40">
        <v>2</v>
      </c>
      <c r="AG253" s="41" t="s">
        <v>45</v>
      </c>
      <c r="AH253" s="40">
        <v>9</v>
      </c>
      <c r="AI253" s="40">
        <v>7</v>
      </c>
      <c r="AJ253" s="41">
        <v>7</v>
      </c>
      <c r="AK253" s="43" t="s">
        <v>45</v>
      </c>
      <c r="AL253" s="43" t="s">
        <v>103</v>
      </c>
      <c r="AM253" s="44">
        <f t="shared" si="26"/>
        <v>-1.6366815025231998</v>
      </c>
      <c r="AN253" s="44">
        <f t="shared" si="27"/>
        <v>-0.6380130166389999</v>
      </c>
      <c r="AO253" s="45">
        <f t="shared" si="28"/>
        <v>3</v>
      </c>
      <c r="AP253" s="46">
        <f t="shared" si="29"/>
        <v>0</v>
      </c>
      <c r="AQ253" s="44">
        <f>($AM$3*AM253+$AN$3*AN253+$AO$3*AO253+$AP$3*AP253)+$I$3*VLOOKUP(I253,COND!$A$2:$E$7,4,FALSE)+$J$3*VLOOKUP(J253,COND!$A$2:$C$7,2,FALSE)+$K$3*VLOOKUP(K253,COND!$A$2:$C$7,3,FALSE)+IF(AND($B$2&gt;0,$E253&lt;20),$B$2*25,0)</f>
        <v>37.680175650079683</v>
      </c>
      <c r="AR253" s="47">
        <f t="shared" si="34"/>
        <v>-0.80841735780545376</v>
      </c>
      <c r="AS253" s="45" t="str">
        <f t="shared" si="30"/>
        <v>LF</v>
      </c>
      <c r="AT253" s="45">
        <v>900</v>
      </c>
      <c r="AU253" s="45">
        <v>249</v>
      </c>
      <c r="AV253" s="45"/>
      <c r="AW253" s="45" t="str">
        <f t="shared" si="31"/>
        <v>Unlikely</v>
      </c>
      <c r="AX253" s="45"/>
      <c r="AY253" s="45">
        <f>INDEX(Table5[[#All],[Ovr]],MATCH(Batters[[#This Row],[PID]],Table5[[#All],[PID]],0))</f>
        <v>545</v>
      </c>
      <c r="AZ253" s="45" t="str">
        <f>INDEX(Table5[[#All],[Rnd]],MATCH(Batters[[#This Row],[PID]],Table5[[#All],[PID]],0))</f>
        <v>17</v>
      </c>
      <c r="BA253" s="45">
        <f>INDEX(Table5[[#All],[Pick]],MATCH(Batters[[#This Row],[PID]],Table5[[#All],[PID]],0))</f>
        <v>10</v>
      </c>
      <c r="BB253" s="45" t="str">
        <f>INDEX(Table5[[#All],[Team]],MATCH(Batters[[#This Row],[PID]],Table5[[#All],[PID]],0))</f>
        <v>London Underground</v>
      </c>
    </row>
    <row r="254" spans="1:54" ht="15" customHeight="1" x14ac:dyDescent="0.3">
      <c r="A254" s="40">
        <v>16427</v>
      </c>
      <c r="B254" s="40" t="s">
        <v>50</v>
      </c>
      <c r="C254" s="40" t="s">
        <v>162</v>
      </c>
      <c r="D254" s="40" t="s">
        <v>959</v>
      </c>
      <c r="E254" s="40">
        <v>21</v>
      </c>
      <c r="F254" s="40" t="s">
        <v>62</v>
      </c>
      <c r="G254" s="40" t="s">
        <v>42</v>
      </c>
      <c r="H254" s="41" t="s">
        <v>553</v>
      </c>
      <c r="I254" s="64" t="s">
        <v>43</v>
      </c>
      <c r="J254" s="65" t="s">
        <v>43</v>
      </c>
      <c r="K254" s="66" t="s">
        <v>47</v>
      </c>
      <c r="L254" s="40">
        <v>1</v>
      </c>
      <c r="M254" s="40">
        <v>3</v>
      </c>
      <c r="N254" s="40">
        <v>2</v>
      </c>
      <c r="O254" s="40">
        <v>3</v>
      </c>
      <c r="P254" s="41">
        <v>1</v>
      </c>
      <c r="Q254" s="40">
        <v>3</v>
      </c>
      <c r="R254" s="40">
        <v>4</v>
      </c>
      <c r="S254" s="40">
        <v>3</v>
      </c>
      <c r="T254" s="40">
        <v>5</v>
      </c>
      <c r="U254" s="41">
        <v>3</v>
      </c>
      <c r="V254" s="40">
        <v>2</v>
      </c>
      <c r="W254" s="40">
        <v>4</v>
      </c>
      <c r="X254" s="40">
        <v>1</v>
      </c>
      <c r="Y254" s="41">
        <v>1</v>
      </c>
      <c r="Z254" s="40" t="s">
        <v>45</v>
      </c>
      <c r="AA254" s="40" t="s">
        <v>45</v>
      </c>
      <c r="AB254" s="40" t="s">
        <v>45</v>
      </c>
      <c r="AC254" s="40" t="s">
        <v>45</v>
      </c>
      <c r="AD254" s="40" t="s">
        <v>45</v>
      </c>
      <c r="AE254" s="40">
        <v>1</v>
      </c>
      <c r="AF254" s="40" t="s">
        <v>45</v>
      </c>
      <c r="AG254" s="41">
        <v>1</v>
      </c>
      <c r="AH254" s="40">
        <v>2</v>
      </c>
      <c r="AI254" s="40">
        <v>1</v>
      </c>
      <c r="AJ254" s="41">
        <v>1</v>
      </c>
      <c r="AK254" s="43" t="s">
        <v>557</v>
      </c>
      <c r="AL254" s="43" t="s">
        <v>103</v>
      </c>
      <c r="AM254" s="44">
        <f t="shared" si="26"/>
        <v>-1.7197429965471014</v>
      </c>
      <c r="AN254" s="44">
        <f t="shared" si="27"/>
        <v>-0.6810581708458181</v>
      </c>
      <c r="AO254" s="45">
        <f t="shared" si="28"/>
        <v>0</v>
      </c>
      <c r="AP254" s="46">
        <f t="shared" si="29"/>
        <v>0</v>
      </c>
      <c r="AQ254" s="44">
        <f>($AM$3*AM254+$AN$3*AN254+$AO$3*AO254+$AP$3*AP254)+$I$3*VLOOKUP(I254,COND!$A$2:$E$7,4,FALSE)+$J$3*VLOOKUP(J254,COND!$A$2:$C$7,2,FALSE)+$K$3*VLOOKUP(K254,COND!$A$2:$C$7,3,FALSE)+IF(AND($B$2&gt;0,$E254&lt;20),$B$2*25,0)</f>
        <v>36.955327650195471</v>
      </c>
      <c r="AR254" s="47">
        <f t="shared" si="34"/>
        <v>-0.91422205013007118</v>
      </c>
      <c r="AS254" s="45" t="str">
        <f t="shared" si="30"/>
        <v>LF</v>
      </c>
      <c r="AT254" s="45">
        <v>900</v>
      </c>
      <c r="AU254" s="45">
        <v>250</v>
      </c>
      <c r="AV254" s="45"/>
      <c r="AW254" s="45" t="str">
        <f t="shared" si="31"/>
        <v>Unlikely</v>
      </c>
      <c r="AX254" s="45"/>
      <c r="AY254" s="45">
        <f>INDEX(Table5[[#All],[Ovr]],MATCH(Batters[[#This Row],[PID]],Table5[[#All],[PID]],0))</f>
        <v>599</v>
      </c>
      <c r="AZ254" s="45" t="str">
        <f>INDEX(Table5[[#All],[Rnd]],MATCH(Batters[[#This Row],[PID]],Table5[[#All],[PID]],0))</f>
        <v>18</v>
      </c>
      <c r="BA254" s="45">
        <f>INDEX(Table5[[#All],[Pick]],MATCH(Batters[[#This Row],[PID]],Table5[[#All],[PID]],0))</f>
        <v>30</v>
      </c>
      <c r="BB254" s="45" t="str">
        <f>INDEX(Table5[[#All],[Team]],MATCH(Batters[[#This Row],[PID]],Table5[[#All],[PID]],0))</f>
        <v>Toyama Wind Dancers</v>
      </c>
    </row>
    <row r="255" spans="1:54" ht="15" customHeight="1" x14ac:dyDescent="0.3">
      <c r="A255" s="40">
        <v>11960</v>
      </c>
      <c r="B255" s="40" t="s">
        <v>71</v>
      </c>
      <c r="C255" s="40" t="s">
        <v>847</v>
      </c>
      <c r="D255" s="40" t="s">
        <v>578</v>
      </c>
      <c r="E255" s="40">
        <v>22</v>
      </c>
      <c r="F255" s="40" t="s">
        <v>62</v>
      </c>
      <c r="G255" s="40" t="s">
        <v>42</v>
      </c>
      <c r="H255" s="41" t="s">
        <v>553</v>
      </c>
      <c r="I255" s="64" t="s">
        <v>43</v>
      </c>
      <c r="J255" s="65" t="s">
        <v>43</v>
      </c>
      <c r="K255" s="66" t="s">
        <v>43</v>
      </c>
      <c r="L255" s="40">
        <v>2</v>
      </c>
      <c r="M255" s="40">
        <v>4</v>
      </c>
      <c r="N255" s="40">
        <v>2</v>
      </c>
      <c r="O255" s="40">
        <v>3</v>
      </c>
      <c r="P255" s="41">
        <v>1</v>
      </c>
      <c r="Q255" s="40">
        <v>3</v>
      </c>
      <c r="R255" s="40">
        <v>5</v>
      </c>
      <c r="S255" s="40">
        <v>3</v>
      </c>
      <c r="T255" s="40">
        <v>5</v>
      </c>
      <c r="U255" s="41">
        <v>3</v>
      </c>
      <c r="V255" s="40">
        <v>2</v>
      </c>
      <c r="W255" s="40">
        <v>1</v>
      </c>
      <c r="X255" s="40">
        <v>1</v>
      </c>
      <c r="Y255" s="41">
        <v>1</v>
      </c>
      <c r="Z255" s="40" t="s">
        <v>45</v>
      </c>
      <c r="AA255" s="40" t="s">
        <v>45</v>
      </c>
      <c r="AB255" s="40">
        <v>2</v>
      </c>
      <c r="AC255" s="40" t="s">
        <v>45</v>
      </c>
      <c r="AD255" s="40" t="s">
        <v>45</v>
      </c>
      <c r="AE255" s="40" t="s">
        <v>45</v>
      </c>
      <c r="AF255" s="40" t="s">
        <v>45</v>
      </c>
      <c r="AG255" s="41" t="s">
        <v>45</v>
      </c>
      <c r="AH255" s="40">
        <v>5</v>
      </c>
      <c r="AI255" s="40">
        <v>9</v>
      </c>
      <c r="AJ255" s="41">
        <v>7</v>
      </c>
      <c r="AK255" s="43" t="s">
        <v>45</v>
      </c>
      <c r="AL255" s="43" t="s">
        <v>103</v>
      </c>
      <c r="AM255" s="44">
        <f t="shared" si="26"/>
        <v>-1.3461272807257232</v>
      </c>
      <c r="AN255" s="44">
        <f t="shared" si="27"/>
        <v>-0.62999829122711448</v>
      </c>
      <c r="AO255" s="45">
        <f t="shared" si="28"/>
        <v>2</v>
      </c>
      <c r="AP255" s="46">
        <f t="shared" si="29"/>
        <v>0</v>
      </c>
      <c r="AQ255" s="44">
        <f>($AM$3*AM255+$AN$3*AN255+$AO$3*AO255+$AP$3*AP255)+$I$3*VLOOKUP(I255,COND!$A$2:$E$7,4,FALSE)+$J$3*VLOOKUP(J255,COND!$A$2:$C$7,2,FALSE)+$K$3*VLOOKUP(K255,COND!$A$2:$C$7,3,FALSE)+IF(AND($B$2&gt;0,$E255&lt;20),$B$2*25,0)</f>
        <v>37.638741110535385</v>
      </c>
      <c r="AR255" s="47">
        <f t="shared" si="34"/>
        <v>-0.8144654792168351</v>
      </c>
      <c r="AS255" s="45" t="str">
        <f t="shared" si="30"/>
        <v>2B</v>
      </c>
      <c r="AT255" s="45">
        <v>900</v>
      </c>
      <c r="AU255" s="45">
        <v>251</v>
      </c>
      <c r="AV255" s="45"/>
      <c r="AW255" s="45" t="str">
        <f t="shared" si="31"/>
        <v>Unlikely</v>
      </c>
      <c r="AX255" s="45"/>
      <c r="AY255" s="45" t="str">
        <f>INDEX(Table5[[#All],[Ovr]],MATCH(Batters[[#This Row],[PID]],Table5[[#All],[PID]],0))</f>
        <v/>
      </c>
      <c r="AZ255" s="45" t="str">
        <f>INDEX(Table5[[#All],[Rnd]],MATCH(Batters[[#This Row],[PID]],Table5[[#All],[PID]],0))</f>
        <v/>
      </c>
      <c r="BA255" s="45" t="str">
        <f>INDEX(Table5[[#All],[Pick]],MATCH(Batters[[#This Row],[PID]],Table5[[#All],[PID]],0))</f>
        <v/>
      </c>
      <c r="BB255" s="45" t="str">
        <f>INDEX(Table5[[#All],[Team]],MATCH(Batters[[#This Row],[PID]],Table5[[#All],[PID]],0))</f>
        <v/>
      </c>
    </row>
    <row r="256" spans="1:54" ht="15" customHeight="1" x14ac:dyDescent="0.3">
      <c r="A256" s="40">
        <v>20281</v>
      </c>
      <c r="B256" s="40" t="s">
        <v>87</v>
      </c>
      <c r="C256" s="40" t="s">
        <v>173</v>
      </c>
      <c r="D256" s="40" t="s">
        <v>875</v>
      </c>
      <c r="E256" s="40">
        <v>22</v>
      </c>
      <c r="F256" s="40" t="s">
        <v>42</v>
      </c>
      <c r="G256" s="40" t="s">
        <v>42</v>
      </c>
      <c r="H256" s="41" t="s">
        <v>552</v>
      </c>
      <c r="I256" s="64" t="s">
        <v>44</v>
      </c>
      <c r="J256" s="65" t="s">
        <v>43</v>
      </c>
      <c r="K256" s="66" t="s">
        <v>43</v>
      </c>
      <c r="L256" s="40">
        <v>1</v>
      </c>
      <c r="M256" s="40">
        <v>4</v>
      </c>
      <c r="N256" s="40">
        <v>3</v>
      </c>
      <c r="O256" s="40">
        <v>4</v>
      </c>
      <c r="P256" s="41">
        <v>2</v>
      </c>
      <c r="Q256" s="40">
        <v>3</v>
      </c>
      <c r="R256" s="40">
        <v>4</v>
      </c>
      <c r="S256" s="40">
        <v>4</v>
      </c>
      <c r="T256" s="40">
        <v>5</v>
      </c>
      <c r="U256" s="41">
        <v>3</v>
      </c>
      <c r="V256" s="40">
        <v>2</v>
      </c>
      <c r="W256" s="40">
        <v>2</v>
      </c>
      <c r="X256" s="40">
        <v>1</v>
      </c>
      <c r="Y256" s="41">
        <v>1</v>
      </c>
      <c r="Z256" s="40" t="s">
        <v>45</v>
      </c>
      <c r="AA256" s="40">
        <v>4</v>
      </c>
      <c r="AB256" s="40" t="s">
        <v>45</v>
      </c>
      <c r="AC256" s="40" t="s">
        <v>45</v>
      </c>
      <c r="AD256" s="40" t="s">
        <v>45</v>
      </c>
      <c r="AE256" s="40" t="s">
        <v>45</v>
      </c>
      <c r="AF256" s="40" t="s">
        <v>45</v>
      </c>
      <c r="AG256" s="41" t="s">
        <v>45</v>
      </c>
      <c r="AH256" s="40">
        <v>4</v>
      </c>
      <c r="AI256" s="40">
        <v>1</v>
      </c>
      <c r="AJ256" s="41">
        <v>1</v>
      </c>
      <c r="AK256" s="43" t="s">
        <v>45</v>
      </c>
      <c r="AL256" s="43" t="s">
        <v>103</v>
      </c>
      <c r="AM256" s="44">
        <f t="shared" si="26"/>
        <v>-1.4558957330778319</v>
      </c>
      <c r="AN256" s="44">
        <f t="shared" si="27"/>
        <v>-0.59799667682191648</v>
      </c>
      <c r="AO256" s="45">
        <f t="shared" si="28"/>
        <v>0</v>
      </c>
      <c r="AP256" s="46">
        <f t="shared" si="29"/>
        <v>0</v>
      </c>
      <c r="AQ256" s="44">
        <f>($AM$3*AM256+$AN$3*AN256+$AO$3*AO256+$AP$3*AP256)+$I$3*VLOOKUP(I256,COND!$A$2:$E$7,4,FALSE)+$J$3*VLOOKUP(J256,COND!$A$2:$C$7,2,FALSE)+$K$3*VLOOKUP(K256,COND!$A$2:$C$7,3,FALSE)+IF(AND($B$2&gt;0,$E256&lt;20),$B$2*25,0)</f>
        <v>37.528450304829221</v>
      </c>
      <c r="AR256" s="47">
        <f t="shared" si="34"/>
        <v>-0.83056441963722516</v>
      </c>
      <c r="AS256" s="45" t="str">
        <f t="shared" si="30"/>
        <v>1B</v>
      </c>
      <c r="AT256" s="45">
        <v>900</v>
      </c>
      <c r="AU256" s="45">
        <v>252</v>
      </c>
      <c r="AV256" s="45"/>
      <c r="AW256" s="45" t="str">
        <f t="shared" si="31"/>
        <v>Unlikely</v>
      </c>
      <c r="AX256" s="45"/>
      <c r="AY256" s="63" t="str">
        <f>INDEX(Table5[[#All],[Ovr]],MATCH(Batters[[#This Row],[PID]],Table5[[#All],[PID]],0))</f>
        <v/>
      </c>
      <c r="AZ256" s="63" t="str">
        <f>INDEX(Table5[[#All],[Rnd]],MATCH(Batters[[#This Row],[PID]],Table5[[#All],[PID]],0))</f>
        <v/>
      </c>
      <c r="BA256" s="63" t="str">
        <f>INDEX(Table5[[#All],[Pick]],MATCH(Batters[[#This Row],[PID]],Table5[[#All],[PID]],0))</f>
        <v/>
      </c>
      <c r="BB256" s="63" t="str">
        <f>INDEX(Table5[[#All],[Team]],MATCH(Batters[[#This Row],[PID]],Table5[[#All],[PID]],0))</f>
        <v/>
      </c>
    </row>
    <row r="257" spans="1:54" ht="15" customHeight="1" x14ac:dyDescent="0.3">
      <c r="A257" s="40">
        <v>15914</v>
      </c>
      <c r="B257" s="40" t="s">
        <v>86</v>
      </c>
      <c r="C257" s="40" t="s">
        <v>140</v>
      </c>
      <c r="D257" s="40" t="s">
        <v>831</v>
      </c>
      <c r="E257" s="40">
        <v>22</v>
      </c>
      <c r="F257" s="40" t="s">
        <v>42</v>
      </c>
      <c r="G257" s="40" t="s">
        <v>42</v>
      </c>
      <c r="H257" s="41" t="s">
        <v>552</v>
      </c>
      <c r="I257" s="64" t="s">
        <v>43</v>
      </c>
      <c r="J257" s="65" t="s">
        <v>43</v>
      </c>
      <c r="K257" s="66" t="s">
        <v>43</v>
      </c>
      <c r="L257" s="40">
        <v>2</v>
      </c>
      <c r="M257" s="40">
        <v>2</v>
      </c>
      <c r="N257" s="40">
        <v>2</v>
      </c>
      <c r="O257" s="40">
        <v>3</v>
      </c>
      <c r="P257" s="41">
        <v>2</v>
      </c>
      <c r="Q257" s="40">
        <v>3</v>
      </c>
      <c r="R257" s="40">
        <v>3</v>
      </c>
      <c r="S257" s="40">
        <v>3</v>
      </c>
      <c r="T257" s="40">
        <v>5</v>
      </c>
      <c r="U257" s="41">
        <v>3</v>
      </c>
      <c r="V257" s="40">
        <v>3</v>
      </c>
      <c r="W257" s="40">
        <v>2</v>
      </c>
      <c r="X257" s="40">
        <v>5</v>
      </c>
      <c r="Y257" s="41">
        <v>9</v>
      </c>
      <c r="Z257" s="40">
        <v>2</v>
      </c>
      <c r="AA257" s="40" t="s">
        <v>45</v>
      </c>
      <c r="AB257" s="40" t="s">
        <v>45</v>
      </c>
      <c r="AC257" s="40" t="s">
        <v>45</v>
      </c>
      <c r="AD257" s="40" t="s">
        <v>45</v>
      </c>
      <c r="AE257" s="40" t="s">
        <v>45</v>
      </c>
      <c r="AF257" s="40" t="s">
        <v>45</v>
      </c>
      <c r="AG257" s="41" t="s">
        <v>45</v>
      </c>
      <c r="AH257" s="40">
        <v>1</v>
      </c>
      <c r="AI257" s="40">
        <v>3</v>
      </c>
      <c r="AJ257" s="41">
        <v>4</v>
      </c>
      <c r="AK257" s="43" t="s">
        <v>45</v>
      </c>
      <c r="AL257" s="43" t="s">
        <v>103</v>
      </c>
      <c r="AM257" s="44">
        <f t="shared" si="26"/>
        <v>-1.4082307001460468</v>
      </c>
      <c r="AN257" s="44">
        <f t="shared" si="27"/>
        <v>-0.73211805046452161</v>
      </c>
      <c r="AO257" s="45">
        <f t="shared" si="28"/>
        <v>0</v>
      </c>
      <c r="AP257" s="46">
        <f t="shared" si="29"/>
        <v>1.35</v>
      </c>
      <c r="AQ257" s="44">
        <f>($AM$3*AM257+$AN$3*AN257+$AO$3*AO257+$AP$3*AP257)+$I$3*VLOOKUP(I257,COND!$A$2:$E$7,4,FALSE)+$J$3*VLOOKUP(J257,COND!$A$2:$C$7,2,FALSE)+$K$3*VLOOKUP(K257,COND!$A$2:$C$7,3,FALSE)+IF(AND($B$2&gt;0,$E257&lt;20),$B$2*25,0)</f>
        <v>37.423760324411134</v>
      </c>
      <c r="AR257" s="47">
        <f t="shared" si="34"/>
        <v>-0.84584581817785065</v>
      </c>
      <c r="AS257" s="45" t="str">
        <f t="shared" si="30"/>
        <v>C</v>
      </c>
      <c r="AT257" s="45">
        <v>900</v>
      </c>
      <c r="AU257" s="45">
        <v>253</v>
      </c>
      <c r="AV257" s="45"/>
      <c r="AW257" s="45" t="str">
        <f t="shared" si="31"/>
        <v>Unlikely</v>
      </c>
      <c r="AX257" s="45"/>
      <c r="AY257" s="45" t="str">
        <f>INDEX(Table5[[#All],[Ovr]],MATCH(Batters[[#This Row],[PID]],Table5[[#All],[PID]],0))</f>
        <v/>
      </c>
      <c r="AZ257" s="45" t="str">
        <f>INDEX(Table5[[#All],[Rnd]],MATCH(Batters[[#This Row],[PID]],Table5[[#All],[PID]],0))</f>
        <v/>
      </c>
      <c r="BA257" s="45" t="str">
        <f>INDEX(Table5[[#All],[Pick]],MATCH(Batters[[#This Row],[PID]],Table5[[#All],[PID]],0))</f>
        <v/>
      </c>
      <c r="BB257" s="45" t="str">
        <f>INDEX(Table5[[#All],[Team]],MATCH(Batters[[#This Row],[PID]],Table5[[#All],[PID]],0))</f>
        <v/>
      </c>
    </row>
    <row r="258" spans="1:54" ht="15" customHeight="1" x14ac:dyDescent="0.3">
      <c r="A258" s="40">
        <v>7335</v>
      </c>
      <c r="B258" s="40" t="s">
        <v>86</v>
      </c>
      <c r="C258" s="40" t="s">
        <v>364</v>
      </c>
      <c r="D258" s="40" t="s">
        <v>1257</v>
      </c>
      <c r="E258" s="40">
        <v>21</v>
      </c>
      <c r="F258" s="40" t="s">
        <v>42</v>
      </c>
      <c r="G258" s="40" t="s">
        <v>42</v>
      </c>
      <c r="H258" s="41" t="s">
        <v>552</v>
      </c>
      <c r="I258" s="64" t="s">
        <v>47</v>
      </c>
      <c r="J258" s="65" t="s">
        <v>43</v>
      </c>
      <c r="K258" s="66" t="s">
        <v>43</v>
      </c>
      <c r="L258" s="40">
        <v>1</v>
      </c>
      <c r="M258" s="40">
        <v>3</v>
      </c>
      <c r="N258" s="40">
        <v>3</v>
      </c>
      <c r="O258" s="40">
        <v>2</v>
      </c>
      <c r="P258" s="41">
        <v>1</v>
      </c>
      <c r="Q258" s="40">
        <v>3</v>
      </c>
      <c r="R258" s="40">
        <v>3</v>
      </c>
      <c r="S258" s="40">
        <v>4</v>
      </c>
      <c r="T258" s="40">
        <v>4</v>
      </c>
      <c r="U258" s="41">
        <v>3</v>
      </c>
      <c r="V258" s="40">
        <v>1</v>
      </c>
      <c r="W258" s="40">
        <v>2</v>
      </c>
      <c r="X258" s="40">
        <v>7</v>
      </c>
      <c r="Y258" s="41">
        <v>6</v>
      </c>
      <c r="Z258" s="40">
        <v>2</v>
      </c>
      <c r="AA258" s="40" t="s">
        <v>45</v>
      </c>
      <c r="AB258" s="40" t="s">
        <v>45</v>
      </c>
      <c r="AC258" s="40" t="s">
        <v>45</v>
      </c>
      <c r="AD258" s="40" t="s">
        <v>45</v>
      </c>
      <c r="AE258" s="40" t="s">
        <v>45</v>
      </c>
      <c r="AF258" s="40" t="s">
        <v>45</v>
      </c>
      <c r="AG258" s="41" t="s">
        <v>45</v>
      </c>
      <c r="AH258" s="40">
        <v>1</v>
      </c>
      <c r="AI258" s="40">
        <v>3</v>
      </c>
      <c r="AJ258" s="41">
        <v>2</v>
      </c>
      <c r="AK258" s="43" t="s">
        <v>45</v>
      </c>
      <c r="AL258" s="43" t="s">
        <v>103</v>
      </c>
      <c r="AM258" s="44">
        <f t="shared" si="26"/>
        <v>-1.726391052532781</v>
      </c>
      <c r="AN258" s="44">
        <f t="shared" si="27"/>
        <v>-0.73876610645020102</v>
      </c>
      <c r="AO258" s="45">
        <f t="shared" si="28"/>
        <v>0</v>
      </c>
      <c r="AP258" s="46">
        <f t="shared" si="29"/>
        <v>1.1000000000000001</v>
      </c>
      <c r="AQ258" s="44">
        <f>($AM$3*AM258+$AN$3*AN258+$AO$3*AO258+$AP$3*AP258)+$I$3*VLOOKUP(I258,COND!$A$2:$E$7,4,FALSE)+$J$3*VLOOKUP(J258,COND!$A$2:$C$7,2,FALSE)+$K$3*VLOOKUP(K258,COND!$A$2:$C$7,3,FALSE)+IF(AND($B$2&gt;0,$E258&lt;20),$B$2*25,0)</f>
        <v>37.287167617344309</v>
      </c>
      <c r="AR258" s="47">
        <f t="shared" si="34"/>
        <v>-0.86578399741998224</v>
      </c>
      <c r="AS258" s="45" t="str">
        <f t="shared" si="30"/>
        <v>C</v>
      </c>
      <c r="AT258" s="45">
        <v>900</v>
      </c>
      <c r="AU258" s="45">
        <v>254</v>
      </c>
      <c r="AV258" s="45"/>
      <c r="AW258" s="45" t="str">
        <f t="shared" si="31"/>
        <v>Unlikely</v>
      </c>
      <c r="AX258" s="45"/>
      <c r="AY258" s="45" t="str">
        <f>INDEX(Table5[[#All],[Ovr]],MATCH(Batters[[#This Row],[PID]],Table5[[#All],[PID]],0))</f>
        <v/>
      </c>
      <c r="AZ258" s="45" t="str">
        <f>INDEX(Table5[[#All],[Rnd]],MATCH(Batters[[#This Row],[PID]],Table5[[#All],[PID]],0))</f>
        <v/>
      </c>
      <c r="BA258" s="45" t="str">
        <f>INDEX(Table5[[#All],[Pick]],MATCH(Batters[[#This Row],[PID]],Table5[[#All],[PID]],0))</f>
        <v/>
      </c>
      <c r="BB258" s="45" t="str">
        <f>INDEX(Table5[[#All],[Team]],MATCH(Batters[[#This Row],[PID]],Table5[[#All],[PID]],0))</f>
        <v/>
      </c>
    </row>
    <row r="259" spans="1:54" ht="15" customHeight="1" x14ac:dyDescent="0.3">
      <c r="A259" s="40">
        <v>8854</v>
      </c>
      <c r="B259" s="40" t="s">
        <v>50</v>
      </c>
      <c r="C259" s="40" t="s">
        <v>1253</v>
      </c>
      <c r="D259" s="40" t="s">
        <v>1254</v>
      </c>
      <c r="E259" s="40">
        <v>21</v>
      </c>
      <c r="F259" s="40" t="s">
        <v>53</v>
      </c>
      <c r="G259" s="40" t="s">
        <v>53</v>
      </c>
      <c r="H259" s="41" t="s">
        <v>552</v>
      </c>
      <c r="I259" s="64" t="s">
        <v>43</v>
      </c>
      <c r="J259" s="65" t="s">
        <v>43</v>
      </c>
      <c r="K259" s="66" t="s">
        <v>43</v>
      </c>
      <c r="L259" s="40">
        <v>2</v>
      </c>
      <c r="M259" s="40">
        <v>2</v>
      </c>
      <c r="N259" s="40">
        <v>3</v>
      </c>
      <c r="O259" s="40">
        <v>4</v>
      </c>
      <c r="P259" s="41">
        <v>2</v>
      </c>
      <c r="Q259" s="40">
        <v>3</v>
      </c>
      <c r="R259" s="40">
        <v>2</v>
      </c>
      <c r="S259" s="40">
        <v>3</v>
      </c>
      <c r="T259" s="40">
        <v>6</v>
      </c>
      <c r="U259" s="41">
        <v>4</v>
      </c>
      <c r="V259" s="40">
        <v>5</v>
      </c>
      <c r="W259" s="40">
        <v>6</v>
      </c>
      <c r="X259" s="40">
        <v>1</v>
      </c>
      <c r="Y259" s="41">
        <v>1</v>
      </c>
      <c r="Z259" s="40" t="s">
        <v>45</v>
      </c>
      <c r="AA259" s="40" t="s">
        <v>45</v>
      </c>
      <c r="AB259" s="40" t="s">
        <v>45</v>
      </c>
      <c r="AC259" s="40" t="s">
        <v>45</v>
      </c>
      <c r="AD259" s="40" t="s">
        <v>45</v>
      </c>
      <c r="AE259" s="40">
        <v>4</v>
      </c>
      <c r="AF259" s="40">
        <v>1</v>
      </c>
      <c r="AG259" s="41">
        <v>1</v>
      </c>
      <c r="AH259" s="40">
        <v>6</v>
      </c>
      <c r="AI259" s="40">
        <v>5</v>
      </c>
      <c r="AJ259" s="41">
        <v>6</v>
      </c>
      <c r="AK259" s="43" t="s">
        <v>45</v>
      </c>
      <c r="AL259" s="43" t="s">
        <v>103</v>
      </c>
      <c r="AM259" s="44">
        <f t="shared" si="26"/>
        <v>-1.2354596561125644</v>
      </c>
      <c r="AN259" s="44">
        <f t="shared" si="27"/>
        <v>-0.65345204025656045</v>
      </c>
      <c r="AO259" s="45">
        <f t="shared" si="28"/>
        <v>0</v>
      </c>
      <c r="AP259" s="46">
        <f t="shared" si="29"/>
        <v>0</v>
      </c>
      <c r="AQ259" s="44">
        <f>($AM$3*AM259+$AN$3*AN259+$AO$3*AO259+$AP$3*AP259)+$I$3*VLOOKUP(I259,COND!$A$2:$E$7,4,FALSE)+$J$3*VLOOKUP(J259,COND!$A$2:$C$7,2,FALSE)+$K$3*VLOOKUP(K259,COND!$A$2:$C$7,3,FALSE)+IF(AND($B$2&gt;0,$E259&lt;20),$B$2*25,0)</f>
        <v>37.035029551310018</v>
      </c>
      <c r="AR259" s="47">
        <f>STANDARDIZE(AQ259,AVERAGE($AQ$5:$AQ$459),STDEVP($AQ$5:$AQ$459))</f>
        <v>-0.88312720428418656</v>
      </c>
      <c r="AS259" s="45" t="str">
        <f t="shared" si="30"/>
        <v>LF</v>
      </c>
      <c r="AT259" s="45">
        <v>900</v>
      </c>
      <c r="AU259" s="45">
        <v>255</v>
      </c>
      <c r="AV259" s="45"/>
      <c r="AW259" s="45" t="str">
        <f t="shared" si="31"/>
        <v>Unlikely</v>
      </c>
      <c r="AX259" s="45"/>
      <c r="AY259" s="63">
        <f>INDEX(Table5[[#All],[Ovr]],MATCH(Batters[[#This Row],[PID]],Table5[[#All],[PID]],0))</f>
        <v>629</v>
      </c>
      <c r="AZ259" s="63" t="str">
        <f>INDEX(Table5[[#All],[Rnd]],MATCH(Batters[[#This Row],[PID]],Table5[[#All],[PID]],0))</f>
        <v>19</v>
      </c>
      <c r="BA259" s="63">
        <f>INDEX(Table5[[#All],[Pick]],MATCH(Batters[[#This Row],[PID]],Table5[[#All],[PID]],0))</f>
        <v>26</v>
      </c>
      <c r="BB259" s="63" t="str">
        <f>INDEX(Table5[[#All],[Team]],MATCH(Batters[[#This Row],[PID]],Table5[[#All],[PID]],0))</f>
        <v>Aurora Borealis</v>
      </c>
    </row>
    <row r="260" spans="1:54" ht="15" customHeight="1" x14ac:dyDescent="0.3">
      <c r="A260" s="40">
        <v>20282</v>
      </c>
      <c r="B260" s="40" t="s">
        <v>71</v>
      </c>
      <c r="C260" s="40" t="s">
        <v>803</v>
      </c>
      <c r="D260" s="40" t="s">
        <v>804</v>
      </c>
      <c r="E260" s="40">
        <v>22</v>
      </c>
      <c r="F260" s="40" t="s">
        <v>62</v>
      </c>
      <c r="G260" s="40" t="s">
        <v>42</v>
      </c>
      <c r="H260" s="41" t="s">
        <v>552</v>
      </c>
      <c r="I260" s="64" t="s">
        <v>43</v>
      </c>
      <c r="J260" s="65" t="s">
        <v>43</v>
      </c>
      <c r="K260" s="66" t="s">
        <v>43</v>
      </c>
      <c r="L260" s="40">
        <v>2</v>
      </c>
      <c r="M260" s="40">
        <v>4</v>
      </c>
      <c r="N260" s="40">
        <v>3</v>
      </c>
      <c r="O260" s="40">
        <v>3</v>
      </c>
      <c r="P260" s="41">
        <v>2</v>
      </c>
      <c r="Q260" s="40">
        <v>3</v>
      </c>
      <c r="R260" s="40">
        <v>4</v>
      </c>
      <c r="S260" s="40">
        <v>3</v>
      </c>
      <c r="T260" s="40">
        <v>4</v>
      </c>
      <c r="U260" s="41">
        <v>4</v>
      </c>
      <c r="V260" s="40">
        <v>4</v>
      </c>
      <c r="W260" s="40">
        <v>3</v>
      </c>
      <c r="X260" s="40">
        <v>1</v>
      </c>
      <c r="Y260" s="41">
        <v>1</v>
      </c>
      <c r="Z260" s="40" t="s">
        <v>45</v>
      </c>
      <c r="AA260" s="40" t="s">
        <v>45</v>
      </c>
      <c r="AB260" s="40">
        <v>6</v>
      </c>
      <c r="AC260" s="40" t="s">
        <v>45</v>
      </c>
      <c r="AD260" s="40" t="s">
        <v>45</v>
      </c>
      <c r="AE260" s="40">
        <v>1</v>
      </c>
      <c r="AF260" s="40">
        <v>1</v>
      </c>
      <c r="AG260" s="41" t="s">
        <v>45</v>
      </c>
      <c r="AH260" s="40">
        <v>8</v>
      </c>
      <c r="AI260" s="40">
        <v>7</v>
      </c>
      <c r="AJ260" s="41">
        <v>7</v>
      </c>
      <c r="AK260" s="43" t="s">
        <v>557</v>
      </c>
      <c r="AL260" s="43" t="s">
        <v>103</v>
      </c>
      <c r="AM260" s="44">
        <f t="shared" si="26"/>
        <v>-1.2230494468847384</v>
      </c>
      <c r="AN260" s="44">
        <f t="shared" si="27"/>
        <v>-0.7307513810383155</v>
      </c>
      <c r="AO260" s="45">
        <f t="shared" si="28"/>
        <v>3</v>
      </c>
      <c r="AP260" s="46">
        <f t="shared" si="29"/>
        <v>0.6</v>
      </c>
      <c r="AQ260" s="44">
        <f>($AM$3*AM260+$AN$3*AN260+$AO$3*AO260+$AP$3*AP260)+$I$3*VLOOKUP(I260,COND!$A$2:$E$7,4,FALSE)+$J$3*VLOOKUP(J260,COND!$A$2:$C$7,2,FALSE)+$K$3*VLOOKUP(K260,COND!$A$2:$C$7,3,FALSE)+IF(AND($B$2&gt;0,$E260&lt;20),$B$2*25,0)</f>
        <v>37.208678482851738</v>
      </c>
      <c r="AR260" s="47">
        <f t="shared" ref="AR260:AR266" si="35">STANDARDIZE(AQ260,AVERAGE($AQ$5:$AQ$442),STDEVP($AQ$5:$AQ$442))</f>
        <v>-0.877240908009704</v>
      </c>
      <c r="AS260" s="45" t="str">
        <f t="shared" si="30"/>
        <v>2B</v>
      </c>
      <c r="AT260" s="45">
        <v>900</v>
      </c>
      <c r="AU260" s="45">
        <v>256</v>
      </c>
      <c r="AV260" s="45"/>
      <c r="AW260" s="45" t="str">
        <f t="shared" si="31"/>
        <v>Unlikely</v>
      </c>
      <c r="AX260" s="45"/>
      <c r="AY260" s="63">
        <f>INDEX(Table5[[#All],[Ovr]],MATCH(Batters[[#This Row],[PID]],Table5[[#All],[PID]],0))</f>
        <v>463</v>
      </c>
      <c r="AZ260" s="63" t="str">
        <f>INDEX(Table5[[#All],[Rnd]],MATCH(Batters[[#This Row],[PID]],Table5[[#All],[PID]],0))</f>
        <v>14</v>
      </c>
      <c r="BA260" s="63">
        <f>INDEX(Table5[[#All],[Pick]],MATCH(Batters[[#This Row],[PID]],Table5[[#All],[PID]],0))</f>
        <v>30</v>
      </c>
      <c r="BB260" s="63" t="str">
        <f>INDEX(Table5[[#All],[Team]],MATCH(Batters[[#This Row],[PID]],Table5[[#All],[PID]],0))</f>
        <v>Toyama Wind Dancers</v>
      </c>
    </row>
    <row r="261" spans="1:54" ht="15" customHeight="1" x14ac:dyDescent="0.3">
      <c r="A261" s="40">
        <v>15667</v>
      </c>
      <c r="B261" s="40" t="s">
        <v>86</v>
      </c>
      <c r="C261" s="40" t="s">
        <v>680</v>
      </c>
      <c r="D261" s="40" t="s">
        <v>581</v>
      </c>
      <c r="E261" s="40">
        <v>22</v>
      </c>
      <c r="F261" s="40" t="s">
        <v>53</v>
      </c>
      <c r="G261" s="40" t="s">
        <v>42</v>
      </c>
      <c r="H261" s="41" t="s">
        <v>552</v>
      </c>
      <c r="I261" s="64" t="s">
        <v>43</v>
      </c>
      <c r="J261" s="65" t="s">
        <v>43</v>
      </c>
      <c r="K261" s="66" t="s">
        <v>43</v>
      </c>
      <c r="L261" s="40">
        <v>2</v>
      </c>
      <c r="M261" s="40">
        <v>3</v>
      </c>
      <c r="N261" s="40">
        <v>2</v>
      </c>
      <c r="O261" s="40">
        <v>4</v>
      </c>
      <c r="P261" s="41">
        <v>1</v>
      </c>
      <c r="Q261" s="40">
        <v>3</v>
      </c>
      <c r="R261" s="40">
        <v>3</v>
      </c>
      <c r="S261" s="40">
        <v>3</v>
      </c>
      <c r="T261" s="40">
        <v>6</v>
      </c>
      <c r="U261" s="41">
        <v>3</v>
      </c>
      <c r="V261" s="40">
        <v>1</v>
      </c>
      <c r="W261" s="40">
        <v>1</v>
      </c>
      <c r="X261" s="40">
        <v>4</v>
      </c>
      <c r="Y261" s="41">
        <v>8</v>
      </c>
      <c r="Z261" s="40">
        <v>2</v>
      </c>
      <c r="AA261" s="40" t="s">
        <v>45</v>
      </c>
      <c r="AB261" s="40" t="s">
        <v>45</v>
      </c>
      <c r="AC261" s="40" t="s">
        <v>45</v>
      </c>
      <c r="AD261" s="40" t="s">
        <v>45</v>
      </c>
      <c r="AE261" s="40" t="s">
        <v>45</v>
      </c>
      <c r="AF261" s="40" t="s">
        <v>45</v>
      </c>
      <c r="AG261" s="41" t="s">
        <v>45</v>
      </c>
      <c r="AH261" s="40">
        <v>1</v>
      </c>
      <c r="AI261" s="40">
        <v>4</v>
      </c>
      <c r="AJ261" s="41">
        <v>6</v>
      </c>
      <c r="AK261" s="43" t="s">
        <v>45</v>
      </c>
      <c r="AL261" s="43" t="s">
        <v>103</v>
      </c>
      <c r="AM261" s="44">
        <f t="shared" ref="AM261:AM324" si="36">($L$3*(L261-$Q$1)/$Q$2+$M$3*(M261-$R$1)/$R$2+$N$3*(N261-$S$1)/$S$2+$O$3*(O261-$T$1)/$T$2+$P$3*(P261-$U$1)/$U$2)/(SUM($L$3:$P$3))</f>
        <v>-1.3074776103348458</v>
      </c>
      <c r="AN261" s="44">
        <f t="shared" ref="AN261:AN324" si="37">($L$3*(Q261-$Q$1)/$Q$2+$M$3*(R261-$R$1)/$R$2+$N$3*(S261-$S$1)/$S$2+$O$3*(T261-$T$1)/$T$2+$P$3*(U261-$U$1)/$U$2)/(SUM($L$3:$P$3))</f>
        <v>-0.64240850045494047</v>
      </c>
      <c r="AO261" s="45">
        <f t="shared" ref="AO261:AO324" si="38">IF(AVERAGE(AH261:AI261)&gt;9,1,0)+IF(AVERAGE(AH261:AI261)&gt;7,1,0)+IF(AH261&gt;7,1,0)+IF(AI261&gt;7,1,0)+IF(AJ261&gt;8,1,0)+IF(AJ261&gt;6,1,0)</f>
        <v>0</v>
      </c>
      <c r="AP261" s="46">
        <f t="shared" ref="AP261:AP324" si="39">MIN(2,IF(OR(Z261="-",X261&lt;5),0,1+IF(Y261&gt;7,0.35,IF(Y261&gt;5,0.1,0))+IF(Z261&gt;7,1+IF(X261&gt;7,0.25,0),IF(Z261&gt;4,0.5+IF(X261&gt;7,0.25,0),0+IF(X261&gt;7,0.25))))+IF(AA261="-",0,IF(AA261&gt;9,0.5,IF(AA261&gt;7,0.25,0)))+IF(AB261="-",0,IF(AB261&gt;7,1.1,IF(AB261&gt;4,0.6,0)))+IF(OR(AC261="-",V261&lt;5),0,IF(AC261&gt;7,1+IF(V261&gt;7,0.25,0),IF(AC261&gt;4,0.5+IF(V261&gt;7,0.25,0),0)))+IF(AD261="-",0,IF(AD261&gt;7,1.5,IF(AD261&gt;4,1,0)))+IF(AE261="-",0,IF(AE261&gt;9,0.5,IF(AE261&gt;7,0.25,0)))+IF(AF261="-",0,IF(AF261&gt;7,1.25,IF(AF261&gt;4,0.75,0)))+IF(OR(AG261="-",W261&lt;4),0,IF(AG261&gt;7,1+IF(W261&gt;7,0.15,0),IF(AG261&gt;4,0.5+IF(W261&gt;7,0.15,0),0))))</f>
        <v>0</v>
      </c>
      <c r="AQ261" s="44">
        <f>($AM$3*AM261+$AN$3*AN261+$AO$3*AO261+$AP$3*AP261)+$I$3*VLOOKUP(I261,COND!$A$2:$E$7,4,FALSE)+$J$3*VLOOKUP(J261,COND!$A$2:$C$7,2,FALSE)+$K$3*VLOOKUP(K261,COND!$A$2:$C$7,3,FALSE)+IF(AND($B$2&gt;0,$E261&lt;20),$B$2*25,0)</f>
        <v>37.160350233507231</v>
      </c>
      <c r="AR261" s="47">
        <f t="shared" si="35"/>
        <v>-0.8842952912090779</v>
      </c>
      <c r="AS261" s="45" t="str">
        <f t="shared" ref="AS261:AS324" si="40">IF(AND(Z261&lt;&gt;"-",Y261&gt;1),"C",IF(AB261=MAX(AB261:AD261),"2B",IF(AD261=MAX(AB261:AD261),"SS",IF(OR(AC261=MAX(AA261:AD261),AND(AC261&lt;&gt;"-",AC261&gt;4,V261&gt;5)),"3B",IF(AF261=MAX(AE261:AG261),"CF",IF(AND(AG261=MAX(AE261,AG261),AND(W261&gt;5,AG261&lt;&gt;"-")),"RF",IF(AE261&lt;&gt;"-","LF",IF(AA261&lt;&gt;"-","1B","DH"))))))))</f>
        <v>C</v>
      </c>
      <c r="AT261" s="45">
        <v>900</v>
      </c>
      <c r="AU261" s="45">
        <v>257</v>
      </c>
      <c r="AV261" s="45"/>
      <c r="AW261" s="45" t="str">
        <f t="shared" ref="AW261:AW324" si="41">IF(AND($Q261&gt;=6,AVERAGE($S261:$T261)&gt;=6),"Likely",IF(OR($Q261&gt;6,AND($Q261=6,AVERAGE($S261:$T261)&gt;=3),AND($Q261&gt;=5,AVERAGE($S261:$T261)&gt;=5),AVERAGE($Q261,$S261:$T261)&gt;5),"Possible","Unlikely"))</f>
        <v>Unlikely</v>
      </c>
      <c r="AX261" s="45"/>
      <c r="AY261" s="45">
        <f>INDEX(Table5[[#All],[Ovr]],MATCH(Batters[[#This Row],[PID]],Table5[[#All],[PID]],0))</f>
        <v>608</v>
      </c>
      <c r="AZ261" s="45" t="str">
        <f>INDEX(Table5[[#All],[Rnd]],MATCH(Batters[[#This Row],[PID]],Table5[[#All],[PID]],0))</f>
        <v>19</v>
      </c>
      <c r="BA261" s="45">
        <f>INDEX(Table5[[#All],[Pick]],MATCH(Batters[[#This Row],[PID]],Table5[[#All],[PID]],0))</f>
        <v>5</v>
      </c>
      <c r="BB261" s="45" t="str">
        <f>INDEX(Table5[[#All],[Team]],MATCH(Batters[[#This Row],[PID]],Table5[[#All],[PID]],0))</f>
        <v>Tempe Knights</v>
      </c>
    </row>
    <row r="262" spans="1:54" ht="15" customHeight="1" x14ac:dyDescent="0.3">
      <c r="A262" s="40">
        <v>16489</v>
      </c>
      <c r="B262" s="40" t="s">
        <v>72</v>
      </c>
      <c r="C262" s="40" t="s">
        <v>138</v>
      </c>
      <c r="D262" s="40" t="s">
        <v>819</v>
      </c>
      <c r="E262" s="40">
        <v>22</v>
      </c>
      <c r="F262" s="40" t="s">
        <v>42</v>
      </c>
      <c r="G262" s="40" t="s">
        <v>42</v>
      </c>
      <c r="H262" s="41" t="s">
        <v>552</v>
      </c>
      <c r="I262" s="64" t="s">
        <v>43</v>
      </c>
      <c r="J262" s="65" t="s">
        <v>47</v>
      </c>
      <c r="K262" s="66" t="s">
        <v>43</v>
      </c>
      <c r="L262" s="40">
        <v>1</v>
      </c>
      <c r="M262" s="40">
        <v>3</v>
      </c>
      <c r="N262" s="40">
        <v>3</v>
      </c>
      <c r="O262" s="40">
        <v>2</v>
      </c>
      <c r="P262" s="41">
        <v>1</v>
      </c>
      <c r="Q262" s="40">
        <v>3</v>
      </c>
      <c r="R262" s="40">
        <v>3</v>
      </c>
      <c r="S262" s="40">
        <v>3</v>
      </c>
      <c r="T262" s="40">
        <v>4</v>
      </c>
      <c r="U262" s="41">
        <v>3</v>
      </c>
      <c r="V262" s="40">
        <v>8</v>
      </c>
      <c r="W262" s="40">
        <v>7</v>
      </c>
      <c r="X262" s="40">
        <v>1</v>
      </c>
      <c r="Y262" s="41">
        <v>1</v>
      </c>
      <c r="Z262" s="40" t="s">
        <v>45</v>
      </c>
      <c r="AA262" s="40" t="s">
        <v>45</v>
      </c>
      <c r="AB262" s="40" t="s">
        <v>45</v>
      </c>
      <c r="AC262" s="40">
        <v>3</v>
      </c>
      <c r="AD262" s="40">
        <v>7</v>
      </c>
      <c r="AE262" s="40" t="s">
        <v>45</v>
      </c>
      <c r="AF262" s="40" t="s">
        <v>45</v>
      </c>
      <c r="AG262" s="41" t="s">
        <v>45</v>
      </c>
      <c r="AH262" s="40">
        <v>9</v>
      </c>
      <c r="AI262" s="40">
        <v>3</v>
      </c>
      <c r="AJ262" s="41">
        <v>1</v>
      </c>
      <c r="AK262" s="43" t="s">
        <v>45</v>
      </c>
      <c r="AL262" s="43" t="s">
        <v>103</v>
      </c>
      <c r="AM262" s="44">
        <f t="shared" si="36"/>
        <v>-1.726391052532781</v>
      </c>
      <c r="AN262" s="44">
        <f t="shared" si="37"/>
        <v>-0.82182760047410253</v>
      </c>
      <c r="AO262" s="45">
        <f t="shared" si="38"/>
        <v>1</v>
      </c>
      <c r="AP262" s="46">
        <f t="shared" si="39"/>
        <v>1</v>
      </c>
      <c r="AQ262" s="44">
        <f>($AM$3*AM262+$AN$3*AN262+$AO$3*AO262+$AP$3*AP262)+$I$3*VLOOKUP(I262,COND!$A$2:$E$7,4,FALSE)+$J$3*VLOOKUP(J262,COND!$A$2:$C$7,2,FALSE)+$K$3*VLOOKUP(K262,COND!$A$2:$C$7,3,FALSE)+IF(AND($B$2&gt;0,$E262&lt;20),$B$2*25,0)</f>
        <v>36.432096355724156</v>
      </c>
      <c r="AR262" s="47">
        <f t="shared" si="35"/>
        <v>-0.99059713309228148</v>
      </c>
      <c r="AS262" s="45" t="str">
        <f t="shared" si="40"/>
        <v>SS</v>
      </c>
      <c r="AT262" s="45">
        <v>900</v>
      </c>
      <c r="AU262" s="45">
        <v>258</v>
      </c>
      <c r="AV262" s="45"/>
      <c r="AW262" s="45" t="str">
        <f t="shared" si="41"/>
        <v>Unlikely</v>
      </c>
      <c r="AX262" s="45"/>
      <c r="AY262" s="45">
        <f>INDEX(Table5[[#All],[Ovr]],MATCH(Batters[[#This Row],[PID]],Table5[[#All],[PID]],0))</f>
        <v>364</v>
      </c>
      <c r="AZ262" s="45" t="str">
        <f>INDEX(Table5[[#All],[Rnd]],MATCH(Batters[[#This Row],[PID]],Table5[[#All],[PID]],0))</f>
        <v>11</v>
      </c>
      <c r="BA262" s="45">
        <f>INDEX(Table5[[#All],[Pick]],MATCH(Batters[[#This Row],[PID]],Table5[[#All],[PID]],0))</f>
        <v>33</v>
      </c>
      <c r="BB262" s="45" t="str">
        <f>INDEX(Table5[[#All],[Team]],MATCH(Batters[[#This Row],[PID]],Table5[[#All],[PID]],0))</f>
        <v>Gloucester Fishermen</v>
      </c>
    </row>
    <row r="263" spans="1:54" ht="15" customHeight="1" x14ac:dyDescent="0.3">
      <c r="A263" s="40">
        <v>14017</v>
      </c>
      <c r="B263" s="40" t="s">
        <v>87</v>
      </c>
      <c r="C263" s="40" t="s">
        <v>1328</v>
      </c>
      <c r="D263" s="40" t="s">
        <v>1329</v>
      </c>
      <c r="E263" s="40">
        <v>21</v>
      </c>
      <c r="F263" s="40" t="s">
        <v>53</v>
      </c>
      <c r="G263" s="40" t="s">
        <v>53</v>
      </c>
      <c r="H263" s="41" t="s">
        <v>561</v>
      </c>
      <c r="I263" s="64" t="s">
        <v>44</v>
      </c>
      <c r="J263" s="65" t="s">
        <v>47</v>
      </c>
      <c r="K263" s="66" t="s">
        <v>43</v>
      </c>
      <c r="L263" s="40">
        <v>3</v>
      </c>
      <c r="M263" s="40">
        <v>3</v>
      </c>
      <c r="N263" s="40">
        <v>2</v>
      </c>
      <c r="O263" s="40">
        <v>1</v>
      </c>
      <c r="P263" s="41">
        <v>3</v>
      </c>
      <c r="Q263" s="40">
        <v>4</v>
      </c>
      <c r="R263" s="40">
        <v>3</v>
      </c>
      <c r="S263" s="40">
        <v>2</v>
      </c>
      <c r="T263" s="40">
        <v>2</v>
      </c>
      <c r="U263" s="41">
        <v>4</v>
      </c>
      <c r="V263" s="40">
        <v>7</v>
      </c>
      <c r="W263" s="40">
        <v>2</v>
      </c>
      <c r="X263" s="40">
        <v>1</v>
      </c>
      <c r="Y263" s="41">
        <v>1</v>
      </c>
      <c r="Z263" s="40" t="s">
        <v>45</v>
      </c>
      <c r="AA263" s="40">
        <v>2</v>
      </c>
      <c r="AB263" s="40" t="s">
        <v>45</v>
      </c>
      <c r="AC263" s="40" t="s">
        <v>45</v>
      </c>
      <c r="AD263" s="40" t="s">
        <v>45</v>
      </c>
      <c r="AE263" s="40" t="s">
        <v>45</v>
      </c>
      <c r="AF263" s="40" t="s">
        <v>45</v>
      </c>
      <c r="AG263" s="41" t="s">
        <v>45</v>
      </c>
      <c r="AH263" s="40">
        <v>1</v>
      </c>
      <c r="AI263" s="40">
        <v>1</v>
      </c>
      <c r="AJ263" s="41">
        <v>3</v>
      </c>
      <c r="AK263" s="43" t="s">
        <v>45</v>
      </c>
      <c r="AL263" s="43" t="s">
        <v>117</v>
      </c>
      <c r="AM263" s="44">
        <f t="shared" si="36"/>
        <v>-1.1740177445267472</v>
      </c>
      <c r="AN263" s="44">
        <f t="shared" si="37"/>
        <v>-0.72173601849740776</v>
      </c>
      <c r="AO263" s="45">
        <f t="shared" si="38"/>
        <v>0</v>
      </c>
      <c r="AP263" s="46">
        <f t="shared" si="39"/>
        <v>0</v>
      </c>
      <c r="AQ263" s="44">
        <f>($AM$3*AM263+$AN$3*AN263+$AO$3*AO263+$AP$3*AP263)+$I$3*VLOOKUP(I263,COND!$A$2:$E$7,4,FALSE)+$J$3*VLOOKUP(J263,COND!$A$2:$C$7,2,FALSE)+$K$3*VLOOKUP(K263,COND!$A$2:$C$7,3,FALSE)+IF(AND($B$2&gt;0,$E263&lt;20),$B$2*25,0)</f>
        <v>36.371766003578429</v>
      </c>
      <c r="AR263" s="47">
        <f t="shared" si="35"/>
        <v>-0.99940344054934016</v>
      </c>
      <c r="AS263" s="45" t="str">
        <f t="shared" si="40"/>
        <v>1B</v>
      </c>
      <c r="AT263" s="45">
        <v>900</v>
      </c>
      <c r="AU263" s="45">
        <v>259</v>
      </c>
      <c r="AV263" s="45"/>
      <c r="AW263" s="45" t="str">
        <f t="shared" si="41"/>
        <v>Unlikely</v>
      </c>
      <c r="AX263" s="45"/>
      <c r="AY263" s="45" t="str">
        <f>INDEX(Table5[[#All],[Ovr]],MATCH(Batters[[#This Row],[PID]],Table5[[#All],[PID]],0))</f>
        <v/>
      </c>
      <c r="AZ263" s="45" t="str">
        <f>INDEX(Table5[[#All],[Rnd]],MATCH(Batters[[#This Row],[PID]],Table5[[#All],[PID]],0))</f>
        <v/>
      </c>
      <c r="BA263" s="45" t="str">
        <f>INDEX(Table5[[#All],[Pick]],MATCH(Batters[[#This Row],[PID]],Table5[[#All],[PID]],0))</f>
        <v/>
      </c>
      <c r="BB263" s="45" t="str">
        <f>INDEX(Table5[[#All],[Team]],MATCH(Batters[[#This Row],[PID]],Table5[[#All],[PID]],0))</f>
        <v/>
      </c>
    </row>
    <row r="264" spans="1:54" ht="15" customHeight="1" x14ac:dyDescent="0.3">
      <c r="A264" s="40">
        <v>7227</v>
      </c>
      <c r="B264" s="40" t="s">
        <v>72</v>
      </c>
      <c r="C264" s="40" t="s">
        <v>371</v>
      </c>
      <c r="D264" s="40" t="s">
        <v>715</v>
      </c>
      <c r="E264" s="40">
        <v>22</v>
      </c>
      <c r="F264" s="40" t="s">
        <v>42</v>
      </c>
      <c r="G264" s="40" t="s">
        <v>42</v>
      </c>
      <c r="H264" s="41" t="s">
        <v>552</v>
      </c>
      <c r="I264" s="64" t="s">
        <v>43</v>
      </c>
      <c r="J264" s="65" t="s">
        <v>47</v>
      </c>
      <c r="K264" s="66" t="s">
        <v>43</v>
      </c>
      <c r="L264" s="40">
        <v>1</v>
      </c>
      <c r="M264" s="40">
        <v>2</v>
      </c>
      <c r="N264" s="40">
        <v>2</v>
      </c>
      <c r="O264" s="40">
        <v>3</v>
      </c>
      <c r="P264" s="41">
        <v>1</v>
      </c>
      <c r="Q264" s="40">
        <v>3</v>
      </c>
      <c r="R264" s="40">
        <v>3</v>
      </c>
      <c r="S264" s="40">
        <v>2</v>
      </c>
      <c r="T264" s="40">
        <v>5</v>
      </c>
      <c r="U264" s="41">
        <v>4</v>
      </c>
      <c r="V264" s="40">
        <v>6</v>
      </c>
      <c r="W264" s="40">
        <v>5</v>
      </c>
      <c r="X264" s="40">
        <v>1</v>
      </c>
      <c r="Y264" s="41">
        <v>1</v>
      </c>
      <c r="Z264" s="40" t="s">
        <v>45</v>
      </c>
      <c r="AA264" s="40" t="s">
        <v>45</v>
      </c>
      <c r="AB264" s="40" t="s">
        <v>45</v>
      </c>
      <c r="AC264" s="40" t="s">
        <v>45</v>
      </c>
      <c r="AD264" s="40">
        <v>4</v>
      </c>
      <c r="AE264" s="40" t="s">
        <v>45</v>
      </c>
      <c r="AF264" s="40" t="s">
        <v>45</v>
      </c>
      <c r="AG264" s="41" t="s">
        <v>45</v>
      </c>
      <c r="AH264" s="40">
        <v>8</v>
      </c>
      <c r="AI264" s="40">
        <v>9</v>
      </c>
      <c r="AJ264" s="41">
        <v>6</v>
      </c>
      <c r="AK264" s="43" t="s">
        <v>45</v>
      </c>
      <c r="AL264" s="43" t="s">
        <v>103</v>
      </c>
      <c r="AM264" s="44">
        <f t="shared" si="36"/>
        <v>-1.7708028761658048</v>
      </c>
      <c r="AN264" s="44">
        <f t="shared" si="37"/>
        <v>-0.77516320467133948</v>
      </c>
      <c r="AO264" s="45">
        <f t="shared" si="38"/>
        <v>3</v>
      </c>
      <c r="AP264" s="46">
        <f t="shared" si="39"/>
        <v>0</v>
      </c>
      <c r="AQ264" s="44">
        <f>($AM$3*AM264+$AN$3*AN264+$AO$3*AO264+$AP$3*AP264)+$I$3*VLOOKUP(I264,COND!$A$2:$E$7,4,FALSE)+$J$3*VLOOKUP(J264,COND!$A$2:$C$7,2,FALSE)+$K$3*VLOOKUP(K264,COND!$A$2:$C$7,3,FALSE)+IF(AND($B$2&gt;0,$E264&lt;20),$B$2*25,0)</f>
        <v>36.320961256327344</v>
      </c>
      <c r="AR264" s="47">
        <f t="shared" si="35"/>
        <v>-1.0068193134666823</v>
      </c>
      <c r="AS264" s="45" t="str">
        <f t="shared" si="40"/>
        <v>SS</v>
      </c>
      <c r="AT264" s="45">
        <v>900</v>
      </c>
      <c r="AU264" s="45">
        <v>260</v>
      </c>
      <c r="AV264" s="45"/>
      <c r="AW264" s="45" t="str">
        <f t="shared" si="41"/>
        <v>Unlikely</v>
      </c>
      <c r="AX264" s="45"/>
      <c r="AY264" s="45">
        <f>INDEX(Table5[[#All],[Ovr]],MATCH(Batters[[#This Row],[PID]],Table5[[#All],[PID]],0))</f>
        <v>285</v>
      </c>
      <c r="AZ264" s="45" t="str">
        <f>INDEX(Table5[[#All],[Rnd]],MATCH(Batters[[#This Row],[PID]],Table5[[#All],[PID]],0))</f>
        <v>9</v>
      </c>
      <c r="BA264" s="45">
        <f>INDEX(Table5[[#All],[Pick]],MATCH(Batters[[#This Row],[PID]],Table5[[#All],[PID]],0))</f>
        <v>20</v>
      </c>
      <c r="BB264" s="45" t="str">
        <f>INDEX(Table5[[#All],[Team]],MATCH(Batters[[#This Row],[PID]],Table5[[#All],[PID]],0))</f>
        <v>Crystal Lake Sandgnats</v>
      </c>
    </row>
    <row r="265" spans="1:54" ht="15" customHeight="1" x14ac:dyDescent="0.3">
      <c r="A265" s="40">
        <v>6152</v>
      </c>
      <c r="B265" s="40" t="s">
        <v>50</v>
      </c>
      <c r="C265" s="40" t="s">
        <v>193</v>
      </c>
      <c r="D265" s="40" t="s">
        <v>1227</v>
      </c>
      <c r="E265" s="40">
        <v>21</v>
      </c>
      <c r="F265" s="40" t="s">
        <v>42</v>
      </c>
      <c r="G265" s="40" t="s">
        <v>42</v>
      </c>
      <c r="H265" s="41" t="s">
        <v>552</v>
      </c>
      <c r="I265" s="64" t="s">
        <v>43</v>
      </c>
      <c r="J265" s="65" t="s">
        <v>43</v>
      </c>
      <c r="K265" s="66" t="s">
        <v>43</v>
      </c>
      <c r="L265" s="40">
        <v>2</v>
      </c>
      <c r="M265" s="40">
        <v>4</v>
      </c>
      <c r="N265" s="40">
        <v>3</v>
      </c>
      <c r="O265" s="40">
        <v>2</v>
      </c>
      <c r="P265" s="41">
        <v>1</v>
      </c>
      <c r="Q265" s="40">
        <v>3</v>
      </c>
      <c r="R265" s="40">
        <v>4</v>
      </c>
      <c r="S265" s="40">
        <v>4</v>
      </c>
      <c r="T265" s="40">
        <v>4</v>
      </c>
      <c r="U265" s="41">
        <v>3</v>
      </c>
      <c r="V265" s="40">
        <v>7</v>
      </c>
      <c r="W265" s="40">
        <v>9</v>
      </c>
      <c r="X265" s="40">
        <v>1</v>
      </c>
      <c r="Y265" s="41">
        <v>1</v>
      </c>
      <c r="Z265" s="40" t="s">
        <v>45</v>
      </c>
      <c r="AA265" s="40" t="s">
        <v>45</v>
      </c>
      <c r="AB265" s="40" t="s">
        <v>45</v>
      </c>
      <c r="AC265" s="40" t="s">
        <v>45</v>
      </c>
      <c r="AD265" s="40" t="s">
        <v>45</v>
      </c>
      <c r="AE265" s="40">
        <v>3</v>
      </c>
      <c r="AF265" s="40">
        <v>1</v>
      </c>
      <c r="AG265" s="41" t="s">
        <v>45</v>
      </c>
      <c r="AH265" s="40">
        <v>2</v>
      </c>
      <c r="AI265" s="40">
        <v>10</v>
      </c>
      <c r="AJ265" s="41">
        <v>8</v>
      </c>
      <c r="AK265" s="43" t="s">
        <v>45</v>
      </c>
      <c r="AL265" s="43" t="s">
        <v>103</v>
      </c>
      <c r="AM265" s="44">
        <f t="shared" si="36"/>
        <v>-1.3527753367114028</v>
      </c>
      <c r="AN265" s="44">
        <f t="shared" si="37"/>
        <v>-0.68770622683149762</v>
      </c>
      <c r="AO265" s="45">
        <f t="shared" si="38"/>
        <v>2</v>
      </c>
      <c r="AP265" s="46">
        <f t="shared" si="39"/>
        <v>0</v>
      </c>
      <c r="AQ265" s="44">
        <f>($AM$3*AM265+$AN$3*AN265+$AO$3*AO265+$AP$3*AP265)+$I$3*VLOOKUP(I265,COND!$A$2:$E$7,4,FALSE)+$J$3*VLOOKUP(J265,COND!$A$2:$C$7,2,FALSE)+$K$3*VLOOKUP(K265,COND!$A$2:$C$7,3,FALSE)+IF(AND($B$2&gt;0,$E265&lt;20),$B$2*25,0)</f>
        <v>36.945581077684224</v>
      </c>
      <c r="AR265" s="47">
        <f t="shared" si="35"/>
        <v>-0.9156447388950768</v>
      </c>
      <c r="AS265" s="45" t="str">
        <f t="shared" si="40"/>
        <v>LF</v>
      </c>
      <c r="AT265" s="45">
        <v>900</v>
      </c>
      <c r="AU265" s="45">
        <v>261</v>
      </c>
      <c r="AV265" s="45"/>
      <c r="AW265" s="45" t="str">
        <f t="shared" si="41"/>
        <v>Unlikely</v>
      </c>
      <c r="AX265" s="45"/>
      <c r="AY265" s="45">
        <f>INDEX(Table5[[#All],[Ovr]],MATCH(Batters[[#This Row],[PID]],Table5[[#All],[PID]],0))</f>
        <v>670</v>
      </c>
      <c r="AZ265" s="45" t="str">
        <f>INDEX(Table5[[#All],[Rnd]],MATCH(Batters[[#This Row],[PID]],Table5[[#All],[PID]],0))</f>
        <v>20</v>
      </c>
      <c r="BA265" s="45">
        <f>INDEX(Table5[[#All],[Pick]],MATCH(Batters[[#This Row],[PID]],Table5[[#All],[PID]],0))</f>
        <v>33</v>
      </c>
      <c r="BB265" s="45" t="str">
        <f>INDEX(Table5[[#All],[Team]],MATCH(Batters[[#This Row],[PID]],Table5[[#All],[PID]],0))</f>
        <v>New Jersey Hitmen</v>
      </c>
    </row>
    <row r="266" spans="1:54" ht="15" customHeight="1" x14ac:dyDescent="0.3">
      <c r="A266" s="40">
        <v>16126</v>
      </c>
      <c r="B266" s="40" t="s">
        <v>86</v>
      </c>
      <c r="C266" s="40" t="s">
        <v>1250</v>
      </c>
      <c r="D266" s="40" t="s">
        <v>634</v>
      </c>
      <c r="E266" s="40">
        <v>21</v>
      </c>
      <c r="F266" s="40" t="s">
        <v>42</v>
      </c>
      <c r="G266" s="40" t="s">
        <v>42</v>
      </c>
      <c r="H266" s="41" t="s">
        <v>552</v>
      </c>
      <c r="I266" s="64" t="s">
        <v>47</v>
      </c>
      <c r="J266" s="65" t="s">
        <v>43</v>
      </c>
      <c r="K266" s="66" t="s">
        <v>43</v>
      </c>
      <c r="L266" s="40">
        <v>1</v>
      </c>
      <c r="M266" s="40">
        <v>2</v>
      </c>
      <c r="N266" s="40">
        <v>3</v>
      </c>
      <c r="O266" s="40">
        <v>2</v>
      </c>
      <c r="P266" s="41">
        <v>1</v>
      </c>
      <c r="Q266" s="40">
        <v>3</v>
      </c>
      <c r="R266" s="40">
        <v>3</v>
      </c>
      <c r="S266" s="40">
        <v>3</v>
      </c>
      <c r="T266" s="40">
        <v>6</v>
      </c>
      <c r="U266" s="41">
        <v>2</v>
      </c>
      <c r="V266" s="40">
        <v>1</v>
      </c>
      <c r="W266" s="40">
        <v>1</v>
      </c>
      <c r="X266" s="40">
        <v>3</v>
      </c>
      <c r="Y266" s="41">
        <v>6</v>
      </c>
      <c r="Z266" s="40" t="s">
        <v>45</v>
      </c>
      <c r="AA266" s="40" t="s">
        <v>45</v>
      </c>
      <c r="AB266" s="40" t="s">
        <v>45</v>
      </c>
      <c r="AC266" s="40" t="s">
        <v>45</v>
      </c>
      <c r="AD266" s="40" t="s">
        <v>45</v>
      </c>
      <c r="AE266" s="40" t="s">
        <v>45</v>
      </c>
      <c r="AF266" s="40" t="s">
        <v>45</v>
      </c>
      <c r="AG266" s="41" t="s">
        <v>45</v>
      </c>
      <c r="AH266" s="40">
        <v>3</v>
      </c>
      <c r="AI266" s="40">
        <v>2</v>
      </c>
      <c r="AJ266" s="41">
        <v>1</v>
      </c>
      <c r="AK266" s="43" t="s">
        <v>45</v>
      </c>
      <c r="AL266" s="43" t="s">
        <v>103</v>
      </c>
      <c r="AM266" s="44">
        <f t="shared" si="36"/>
        <v>-1.7774509321514844</v>
      </c>
      <c r="AN266" s="44">
        <f t="shared" si="37"/>
        <v>-0.68242484027202388</v>
      </c>
      <c r="AO266" s="45">
        <f t="shared" si="38"/>
        <v>0</v>
      </c>
      <c r="AP266" s="46">
        <f t="shared" si="39"/>
        <v>0</v>
      </c>
      <c r="AQ266" s="44">
        <f>($AM$3*AM266+$AN$3*AN266+$AO$3*AO266+$AP$3*AP266)+$I$3*VLOOKUP(I266,COND!$A$2:$E$7,4,FALSE)+$J$3*VLOOKUP(J266,COND!$A$2:$C$7,2,FALSE)+$K$3*VLOOKUP(K266,COND!$A$2:$C$7,3,FALSE)+IF(AND($B$2&gt;0,$E266&lt;20),$B$2*25,0)</f>
        <v>36.858156823520559</v>
      </c>
      <c r="AR266" s="47">
        <f t="shared" si="35"/>
        <v>-0.92840589201265911</v>
      </c>
      <c r="AS266" s="45" t="str">
        <f t="shared" si="40"/>
        <v>DH</v>
      </c>
      <c r="AT266" s="45">
        <v>900</v>
      </c>
      <c r="AU266" s="45">
        <v>262</v>
      </c>
      <c r="AV266" s="45"/>
      <c r="AW266" s="45" t="str">
        <f t="shared" si="41"/>
        <v>Unlikely</v>
      </c>
      <c r="AX266" s="45"/>
      <c r="AY266" s="45" t="str">
        <f>INDEX(Table5[[#All],[Ovr]],MATCH(Batters[[#This Row],[PID]],Table5[[#All],[PID]],0))</f>
        <v/>
      </c>
      <c r="AZ266" s="45" t="str">
        <f>INDEX(Table5[[#All],[Rnd]],MATCH(Batters[[#This Row],[PID]],Table5[[#All],[PID]],0))</f>
        <v/>
      </c>
      <c r="BA266" s="45" t="str">
        <f>INDEX(Table5[[#All],[Pick]],MATCH(Batters[[#This Row],[PID]],Table5[[#All],[PID]],0))</f>
        <v/>
      </c>
      <c r="BB266" s="45" t="str">
        <f>INDEX(Table5[[#All],[Team]],MATCH(Batters[[#This Row],[PID]],Table5[[#All],[PID]],0))</f>
        <v/>
      </c>
    </row>
    <row r="267" spans="1:54" ht="15" customHeight="1" x14ac:dyDescent="0.3">
      <c r="A267" s="40">
        <v>14413</v>
      </c>
      <c r="B267" s="40" t="s">
        <v>74</v>
      </c>
      <c r="C267" s="40" t="s">
        <v>163</v>
      </c>
      <c r="D267" s="40" t="s">
        <v>1251</v>
      </c>
      <c r="E267" s="40">
        <v>21</v>
      </c>
      <c r="F267" s="40" t="s">
        <v>42</v>
      </c>
      <c r="G267" s="40" t="s">
        <v>42</v>
      </c>
      <c r="H267" s="41" t="s">
        <v>552</v>
      </c>
      <c r="I267" s="64" t="s">
        <v>43</v>
      </c>
      <c r="J267" s="65" t="s">
        <v>43</v>
      </c>
      <c r="K267" s="66" t="s">
        <v>43</v>
      </c>
      <c r="L267" s="40">
        <v>1</v>
      </c>
      <c r="M267" s="40">
        <v>3</v>
      </c>
      <c r="N267" s="40">
        <v>3</v>
      </c>
      <c r="O267" s="40">
        <v>4</v>
      </c>
      <c r="P267" s="41">
        <v>1</v>
      </c>
      <c r="Q267" s="40">
        <v>2</v>
      </c>
      <c r="R267" s="40">
        <v>6</v>
      </c>
      <c r="S267" s="40">
        <v>5</v>
      </c>
      <c r="T267" s="40">
        <v>5</v>
      </c>
      <c r="U267" s="41">
        <v>2</v>
      </c>
      <c r="V267" s="40">
        <v>2</v>
      </c>
      <c r="W267" s="40">
        <v>5</v>
      </c>
      <c r="X267" s="40">
        <v>1</v>
      </c>
      <c r="Y267" s="41">
        <v>1</v>
      </c>
      <c r="Z267" s="40" t="s">
        <v>45</v>
      </c>
      <c r="AA267" s="40" t="s">
        <v>45</v>
      </c>
      <c r="AB267" s="40" t="s">
        <v>45</v>
      </c>
      <c r="AC267" s="40" t="s">
        <v>45</v>
      </c>
      <c r="AD267" s="40" t="s">
        <v>45</v>
      </c>
      <c r="AE267" s="40" t="s">
        <v>45</v>
      </c>
      <c r="AF267" s="40">
        <v>5</v>
      </c>
      <c r="AG267" s="41" t="s">
        <v>45</v>
      </c>
      <c r="AH267" s="40">
        <v>9</v>
      </c>
      <c r="AI267" s="40">
        <v>5</v>
      </c>
      <c r="AJ267" s="41">
        <v>5</v>
      </c>
      <c r="AK267" s="43" t="s">
        <v>45</v>
      </c>
      <c r="AL267" s="43" t="s">
        <v>103</v>
      </c>
      <c r="AM267" s="44">
        <f t="shared" si="36"/>
        <v>-1.546971952513619</v>
      </c>
      <c r="AN267" s="44">
        <f t="shared" si="37"/>
        <v>-0.7753875995803664</v>
      </c>
      <c r="AO267" s="45">
        <f t="shared" si="38"/>
        <v>1</v>
      </c>
      <c r="AP267" s="46">
        <f t="shared" si="39"/>
        <v>0.75</v>
      </c>
      <c r="AQ267" s="44">
        <f>($AM$3*AM267+$AN$3*AN267+$AO$3*AO267+$AP$3*AP267)+$I$3*VLOOKUP(I267,COND!$A$2:$E$7,4,FALSE)+$J$3*VLOOKUP(J267,COND!$A$2:$C$7,2,FALSE)+$K$3*VLOOKUP(K267,COND!$A$2:$C$7,3,FALSE)+IF(AND($B$2&gt;0,$E267&lt;20),$B$2*25,0)</f>
        <v>36.457318276450906</v>
      </c>
      <c r="AR267" s="47">
        <f>STANDARDIZE(AQ267,AVERAGE($AQ$5:$AQ$459),STDEVP($AQ$5:$AQ$459))</f>
        <v>-0.96676750566594383</v>
      </c>
      <c r="AS267" s="45" t="str">
        <f t="shared" si="40"/>
        <v>CF</v>
      </c>
      <c r="AT267" s="45">
        <v>900</v>
      </c>
      <c r="AU267" s="45">
        <v>263</v>
      </c>
      <c r="AV267" s="45"/>
      <c r="AW267" s="45" t="str">
        <f t="shared" si="41"/>
        <v>Unlikely</v>
      </c>
      <c r="AX267" s="45"/>
      <c r="AY267" s="63">
        <f>INDEX(Table5[[#All],[Ovr]],MATCH(Batters[[#This Row],[PID]],Table5[[#All],[PID]],0))</f>
        <v>304</v>
      </c>
      <c r="AZ267" s="63" t="str">
        <f>INDEX(Table5[[#All],[Rnd]],MATCH(Batters[[#This Row],[PID]],Table5[[#All],[PID]],0))</f>
        <v>10</v>
      </c>
      <c r="BA267" s="63">
        <f>INDEX(Table5[[#All],[Pick]],MATCH(Batters[[#This Row],[PID]],Table5[[#All],[PID]],0))</f>
        <v>7</v>
      </c>
      <c r="BB267" s="63" t="str">
        <f>INDEX(Table5[[#All],[Team]],MATCH(Batters[[#This Row],[PID]],Table5[[#All],[PID]],0))</f>
        <v>Hartford Harpoon</v>
      </c>
    </row>
    <row r="268" spans="1:54" ht="15" customHeight="1" x14ac:dyDescent="0.3">
      <c r="A268" s="40">
        <v>16917</v>
      </c>
      <c r="B268" s="40" t="s">
        <v>69</v>
      </c>
      <c r="C268" s="40" t="s">
        <v>182</v>
      </c>
      <c r="D268" s="40" t="s">
        <v>874</v>
      </c>
      <c r="E268" s="40">
        <v>22</v>
      </c>
      <c r="F268" s="40" t="s">
        <v>42</v>
      </c>
      <c r="G268" s="40" t="s">
        <v>42</v>
      </c>
      <c r="H268" s="41" t="s">
        <v>553</v>
      </c>
      <c r="I268" s="64" t="s">
        <v>43</v>
      </c>
      <c r="J268" s="65" t="s">
        <v>43</v>
      </c>
      <c r="K268" s="66" t="s">
        <v>43</v>
      </c>
      <c r="L268" s="40">
        <v>2</v>
      </c>
      <c r="M268" s="40">
        <v>3</v>
      </c>
      <c r="N268" s="40">
        <v>2</v>
      </c>
      <c r="O268" s="40">
        <v>1</v>
      </c>
      <c r="P268" s="41">
        <v>1</v>
      </c>
      <c r="Q268" s="40">
        <v>3</v>
      </c>
      <c r="R268" s="40">
        <v>4</v>
      </c>
      <c r="S268" s="40">
        <v>4</v>
      </c>
      <c r="T268" s="40">
        <v>4</v>
      </c>
      <c r="U268" s="41">
        <v>3</v>
      </c>
      <c r="V268" s="40">
        <v>7</v>
      </c>
      <c r="W268" s="40">
        <v>5</v>
      </c>
      <c r="X268" s="40">
        <v>1</v>
      </c>
      <c r="Y268" s="41">
        <v>1</v>
      </c>
      <c r="Z268" s="40" t="s">
        <v>45</v>
      </c>
      <c r="AA268" s="40" t="s">
        <v>45</v>
      </c>
      <c r="AB268" s="40" t="s">
        <v>45</v>
      </c>
      <c r="AC268" s="40" t="s">
        <v>45</v>
      </c>
      <c r="AD268" s="40" t="s">
        <v>45</v>
      </c>
      <c r="AE268" s="40" t="s">
        <v>45</v>
      </c>
      <c r="AF268" s="40" t="s">
        <v>45</v>
      </c>
      <c r="AG268" s="41" t="s">
        <v>45</v>
      </c>
      <c r="AH268" s="40">
        <v>3</v>
      </c>
      <c r="AI268" s="40">
        <v>3</v>
      </c>
      <c r="AJ268" s="41">
        <v>4</v>
      </c>
      <c r="AK268" s="43" t="s">
        <v>45</v>
      </c>
      <c r="AL268" s="43" t="s">
        <v>103</v>
      </c>
      <c r="AM268" s="44">
        <f t="shared" si="36"/>
        <v>-1.5766062603635889</v>
      </c>
      <c r="AN268" s="44">
        <f t="shared" si="37"/>
        <v>-0.68770622683149762</v>
      </c>
      <c r="AO268" s="45">
        <f t="shared" si="38"/>
        <v>0</v>
      </c>
      <c r="AP268" s="46">
        <f t="shared" si="39"/>
        <v>0</v>
      </c>
      <c r="AQ268" s="44">
        <f>($AM$3*AM268+$AN$3*AN268+$AO$3*AO268+$AP$3*AP268)+$I$3*VLOOKUP(I268,COND!$A$2:$E$7,4,FALSE)+$J$3*VLOOKUP(J268,COND!$A$2:$C$7,2,FALSE)+$K$3*VLOOKUP(K268,COND!$A$2:$C$7,3,FALSE)+IF(AND($B$2&gt;0,$E268&lt;20),$B$2*25,0)</f>
        <v>36.589864651985671</v>
      </c>
      <c r="AR268" s="47">
        <f t="shared" ref="AR268:AR276" si="42">STANDARDIZE(AQ268,AVERAGE($AQ$5:$AQ$442),STDEVP($AQ$5:$AQ$442))</f>
        <v>-0.96756799312473618</v>
      </c>
      <c r="AS268" s="45" t="str">
        <f t="shared" si="40"/>
        <v>DH</v>
      </c>
      <c r="AT268" s="45">
        <v>900</v>
      </c>
      <c r="AU268" s="45">
        <v>264</v>
      </c>
      <c r="AV268" s="45"/>
      <c r="AW268" s="45" t="str">
        <f t="shared" si="41"/>
        <v>Unlikely</v>
      </c>
      <c r="AX268" s="45"/>
      <c r="AY268" s="45">
        <f>INDEX(Table5[[#All],[Ovr]],MATCH(Batters[[#This Row],[PID]],Table5[[#All],[PID]],0))</f>
        <v>655</v>
      </c>
      <c r="AZ268" s="45" t="str">
        <f>INDEX(Table5[[#All],[Rnd]],MATCH(Batters[[#This Row],[PID]],Table5[[#All],[PID]],0))</f>
        <v>20</v>
      </c>
      <c r="BA268" s="45">
        <f>INDEX(Table5[[#All],[Pick]],MATCH(Batters[[#This Row],[PID]],Table5[[#All],[PID]],0))</f>
        <v>18</v>
      </c>
      <c r="BB268" s="45" t="str">
        <f>INDEX(Table5[[#All],[Team]],MATCH(Batters[[#This Row],[PID]],Table5[[#All],[PID]],0))</f>
        <v>San Juan Coqui</v>
      </c>
    </row>
    <row r="269" spans="1:54" ht="15" customHeight="1" x14ac:dyDescent="0.3">
      <c r="A269" s="40">
        <v>10018</v>
      </c>
      <c r="B269" s="40" t="s">
        <v>86</v>
      </c>
      <c r="C269" s="40" t="s">
        <v>133</v>
      </c>
      <c r="D269" s="40" t="s">
        <v>855</v>
      </c>
      <c r="E269" s="40">
        <v>22</v>
      </c>
      <c r="F269" s="40" t="s">
        <v>42</v>
      </c>
      <c r="G269" s="40" t="s">
        <v>42</v>
      </c>
      <c r="H269" s="41" t="s">
        <v>552</v>
      </c>
      <c r="I269" s="64" t="s">
        <v>43</v>
      </c>
      <c r="J269" s="65" t="s">
        <v>47</v>
      </c>
      <c r="K269" s="66" t="s">
        <v>43</v>
      </c>
      <c r="L269" s="40">
        <v>1</v>
      </c>
      <c r="M269" s="40">
        <v>2</v>
      </c>
      <c r="N269" s="40">
        <v>2</v>
      </c>
      <c r="O269" s="40">
        <v>1</v>
      </c>
      <c r="P269" s="41">
        <v>1</v>
      </c>
      <c r="Q269" s="40">
        <v>3</v>
      </c>
      <c r="R269" s="40">
        <v>4</v>
      </c>
      <c r="S269" s="40">
        <v>3</v>
      </c>
      <c r="T269" s="40">
        <v>4</v>
      </c>
      <c r="U269" s="41">
        <v>3</v>
      </c>
      <c r="V269" s="40">
        <v>1</v>
      </c>
      <c r="W269" s="40">
        <v>1</v>
      </c>
      <c r="X269" s="40">
        <v>4</v>
      </c>
      <c r="Y269" s="41">
        <v>9</v>
      </c>
      <c r="Z269" s="40" t="s">
        <v>45</v>
      </c>
      <c r="AA269" s="40" t="s">
        <v>45</v>
      </c>
      <c r="AB269" s="40" t="s">
        <v>45</v>
      </c>
      <c r="AC269" s="40" t="s">
        <v>45</v>
      </c>
      <c r="AD269" s="40" t="s">
        <v>45</v>
      </c>
      <c r="AE269" s="40" t="s">
        <v>45</v>
      </c>
      <c r="AF269" s="40" t="s">
        <v>45</v>
      </c>
      <c r="AG269" s="41" t="s">
        <v>45</v>
      </c>
      <c r="AH269" s="40">
        <v>1</v>
      </c>
      <c r="AI269" s="40">
        <v>4</v>
      </c>
      <c r="AJ269" s="41">
        <v>4</v>
      </c>
      <c r="AK269" s="43" t="s">
        <v>45</v>
      </c>
      <c r="AL269" s="43" t="s">
        <v>103</v>
      </c>
      <c r="AM269" s="44">
        <f t="shared" si="36"/>
        <v>-1.9502219761849671</v>
      </c>
      <c r="AN269" s="44">
        <f t="shared" si="37"/>
        <v>-0.77076772085539913</v>
      </c>
      <c r="AO269" s="45">
        <f t="shared" si="38"/>
        <v>0</v>
      </c>
      <c r="AP269" s="46">
        <f t="shared" si="39"/>
        <v>0</v>
      </c>
      <c r="AQ269" s="44">
        <f>($AM$3*AM269+$AN$3*AN269+$AO$3*AO269+$AP$3*AP269)+$I$3*VLOOKUP(I269,COND!$A$2:$E$7,4,FALSE)+$J$3*VLOOKUP(J269,COND!$A$2:$C$7,2,FALSE)+$K$3*VLOOKUP(K269,COND!$A$2:$C$7,3,FALSE)+IF(AND($B$2&gt;0,$E269&lt;20),$B$2*25,0)</f>
        <v>35.855765152116717</v>
      </c>
      <c r="AR269" s="47">
        <f t="shared" si="42"/>
        <v>-1.074723109413527</v>
      </c>
      <c r="AS269" s="45" t="str">
        <f t="shared" si="40"/>
        <v>DH</v>
      </c>
      <c r="AT269" s="45">
        <v>900</v>
      </c>
      <c r="AU269" s="45">
        <v>265</v>
      </c>
      <c r="AV269" s="45"/>
      <c r="AW269" s="45" t="str">
        <f t="shared" si="41"/>
        <v>Unlikely</v>
      </c>
      <c r="AX269" s="45"/>
      <c r="AY269" s="45" t="str">
        <f>INDEX(Table5[[#All],[Ovr]],MATCH(Batters[[#This Row],[PID]],Table5[[#All],[PID]],0))</f>
        <v/>
      </c>
      <c r="AZ269" s="45" t="str">
        <f>INDEX(Table5[[#All],[Rnd]],MATCH(Batters[[#This Row],[PID]],Table5[[#All],[PID]],0))</f>
        <v/>
      </c>
      <c r="BA269" s="45" t="str">
        <f>INDEX(Table5[[#All],[Pick]],MATCH(Batters[[#This Row],[PID]],Table5[[#All],[PID]],0))</f>
        <v/>
      </c>
      <c r="BB269" s="45" t="str">
        <f>INDEX(Table5[[#All],[Team]],MATCH(Batters[[#This Row],[PID]],Table5[[#All],[PID]],0))</f>
        <v/>
      </c>
    </row>
    <row r="270" spans="1:54" ht="15" customHeight="1" x14ac:dyDescent="0.3">
      <c r="A270" s="40">
        <v>10954</v>
      </c>
      <c r="B270" s="40" t="s">
        <v>87</v>
      </c>
      <c r="C270" s="40" t="s">
        <v>1310</v>
      </c>
      <c r="D270" s="40" t="s">
        <v>141</v>
      </c>
      <c r="E270" s="40">
        <v>18</v>
      </c>
      <c r="F270" s="40" t="s">
        <v>53</v>
      </c>
      <c r="G270" s="40" t="s">
        <v>53</v>
      </c>
      <c r="H270" s="41" t="s">
        <v>561</v>
      </c>
      <c r="I270" s="64" t="s">
        <v>43</v>
      </c>
      <c r="J270" s="65" t="s">
        <v>43</v>
      </c>
      <c r="K270" s="66" t="s">
        <v>43</v>
      </c>
      <c r="L270" s="40">
        <v>1</v>
      </c>
      <c r="M270" s="40">
        <v>1</v>
      </c>
      <c r="N270" s="40">
        <v>2</v>
      </c>
      <c r="O270" s="40">
        <v>2</v>
      </c>
      <c r="P270" s="41">
        <v>1</v>
      </c>
      <c r="Q270" s="40">
        <v>2</v>
      </c>
      <c r="R270" s="40">
        <v>2</v>
      </c>
      <c r="S270" s="40">
        <v>2</v>
      </c>
      <c r="T270" s="40">
        <v>5</v>
      </c>
      <c r="U270" s="41">
        <v>3</v>
      </c>
      <c r="V270" s="40">
        <v>2</v>
      </c>
      <c r="W270" s="40">
        <v>5</v>
      </c>
      <c r="X270" s="40">
        <v>1</v>
      </c>
      <c r="Y270" s="41">
        <v>1</v>
      </c>
      <c r="Z270" s="40" t="s">
        <v>45</v>
      </c>
      <c r="AA270" s="40">
        <v>5</v>
      </c>
      <c r="AB270" s="40" t="s">
        <v>45</v>
      </c>
      <c r="AC270" s="40" t="s">
        <v>45</v>
      </c>
      <c r="AD270" s="40" t="s">
        <v>45</v>
      </c>
      <c r="AE270" s="40" t="s">
        <v>45</v>
      </c>
      <c r="AF270" s="40">
        <v>1</v>
      </c>
      <c r="AG270" s="41" t="s">
        <v>45</v>
      </c>
      <c r="AH270" s="40">
        <v>9</v>
      </c>
      <c r="AI270" s="40">
        <v>8</v>
      </c>
      <c r="AJ270" s="41">
        <v>9</v>
      </c>
      <c r="AK270" s="43" t="s">
        <v>511</v>
      </c>
      <c r="AL270" s="43" t="s">
        <v>103</v>
      </c>
      <c r="AM270" s="44">
        <f t="shared" si="36"/>
        <v>-1.9115723057940897</v>
      </c>
      <c r="AN270" s="44">
        <f t="shared" si="37"/>
        <v>-1.1887952603098013</v>
      </c>
      <c r="AO270" s="45">
        <f t="shared" si="38"/>
        <v>5</v>
      </c>
      <c r="AP270" s="46">
        <f t="shared" si="39"/>
        <v>0</v>
      </c>
      <c r="AQ270" s="44">
        <f>($AM$3*AM270+$AN$3*AN270+$AO$3*AO270+$AP$3*AP270)+$I$3*VLOOKUP(I270,COND!$A$2:$E$7,4,FALSE)+$J$3*VLOOKUP(J270,COND!$A$2:$C$7,2,FALSE)+$K$3*VLOOKUP(K270,COND!$A$2:$C$7,3,FALSE)+IF(AND($B$2&gt;0,$E270&lt;20),$B$2*25,0)</f>
        <v>36.376632979036309</v>
      </c>
      <c r="AR270" s="47">
        <f t="shared" si="42"/>
        <v>-0.99869301734205429</v>
      </c>
      <c r="AS270" s="45" t="str">
        <f t="shared" si="40"/>
        <v>CF</v>
      </c>
      <c r="AT270" s="45">
        <v>900</v>
      </c>
      <c r="AU270" s="45">
        <v>266</v>
      </c>
      <c r="AV270" s="45"/>
      <c r="AW270" s="45" t="str">
        <f t="shared" si="41"/>
        <v>Unlikely</v>
      </c>
      <c r="AX270" s="45"/>
      <c r="AY270" s="45">
        <f>INDEX(Table5[[#All],[Ovr]],MATCH(Batters[[#This Row],[PID]],Table5[[#All],[PID]],0))</f>
        <v>585</v>
      </c>
      <c r="AZ270" s="45" t="str">
        <f>INDEX(Table5[[#All],[Rnd]],MATCH(Batters[[#This Row],[PID]],Table5[[#All],[PID]],0))</f>
        <v>18</v>
      </c>
      <c r="BA270" s="45">
        <f>INDEX(Table5[[#All],[Pick]],MATCH(Batters[[#This Row],[PID]],Table5[[#All],[PID]],0))</f>
        <v>16</v>
      </c>
      <c r="BB270" s="45" t="str">
        <f>INDEX(Table5[[#All],[Team]],MATCH(Batters[[#This Row],[PID]],Table5[[#All],[PID]],0))</f>
        <v>Madison Malts</v>
      </c>
    </row>
    <row r="271" spans="1:54" ht="15" customHeight="1" x14ac:dyDescent="0.3">
      <c r="A271" s="40">
        <v>16938</v>
      </c>
      <c r="B271" s="40" t="s">
        <v>87</v>
      </c>
      <c r="C271" s="40" t="s">
        <v>201</v>
      </c>
      <c r="D271" s="40" t="s">
        <v>878</v>
      </c>
      <c r="E271" s="40">
        <v>22</v>
      </c>
      <c r="F271" s="40" t="s">
        <v>53</v>
      </c>
      <c r="G271" s="40" t="s">
        <v>53</v>
      </c>
      <c r="H271" s="41" t="s">
        <v>553</v>
      </c>
      <c r="I271" s="64" t="s">
        <v>43</v>
      </c>
      <c r="J271" s="65" t="s">
        <v>43</v>
      </c>
      <c r="K271" s="66" t="s">
        <v>43</v>
      </c>
      <c r="L271" s="40">
        <v>2</v>
      </c>
      <c r="M271" s="40">
        <v>3</v>
      </c>
      <c r="N271" s="40">
        <v>2</v>
      </c>
      <c r="O271" s="40">
        <v>3</v>
      </c>
      <c r="P271" s="41">
        <v>3</v>
      </c>
      <c r="Q271" s="40">
        <v>3</v>
      </c>
      <c r="R271" s="40">
        <v>4</v>
      </c>
      <c r="S271" s="40">
        <v>2</v>
      </c>
      <c r="T271" s="40">
        <v>5</v>
      </c>
      <c r="U271" s="41">
        <v>4</v>
      </c>
      <c r="V271" s="40">
        <v>3</v>
      </c>
      <c r="W271" s="40">
        <v>4</v>
      </c>
      <c r="X271" s="40">
        <v>1</v>
      </c>
      <c r="Y271" s="41">
        <v>1</v>
      </c>
      <c r="Z271" s="40" t="s">
        <v>45</v>
      </c>
      <c r="AA271" s="40">
        <v>4</v>
      </c>
      <c r="AB271" s="40" t="s">
        <v>45</v>
      </c>
      <c r="AC271" s="40" t="s">
        <v>45</v>
      </c>
      <c r="AD271" s="40" t="s">
        <v>45</v>
      </c>
      <c r="AE271" s="40" t="s">
        <v>45</v>
      </c>
      <c r="AF271" s="40" t="s">
        <v>45</v>
      </c>
      <c r="AG271" s="41" t="s">
        <v>45</v>
      </c>
      <c r="AH271" s="40">
        <v>1</v>
      </c>
      <c r="AI271" s="40">
        <v>5</v>
      </c>
      <c r="AJ271" s="41">
        <v>3</v>
      </c>
      <c r="AK271" s="43" t="s">
        <v>45</v>
      </c>
      <c r="AL271" s="43" t="s">
        <v>103</v>
      </c>
      <c r="AM271" s="44">
        <f t="shared" si="36"/>
        <v>-1.31715448071026</v>
      </c>
      <c r="AN271" s="44">
        <f t="shared" si="37"/>
        <v>-0.72410332505263597</v>
      </c>
      <c r="AO271" s="45">
        <f t="shared" si="38"/>
        <v>0</v>
      </c>
      <c r="AP271" s="46">
        <f t="shared" si="39"/>
        <v>0</v>
      </c>
      <c r="AQ271" s="44">
        <f>($AM$3*AM271+$AN$3*AN271+$AO$3*AO271+$AP$3*AP271)+$I$3*VLOOKUP(I271,COND!$A$2:$E$7,4,FALSE)+$J$3*VLOOKUP(J271,COND!$A$2:$C$7,2,FALSE)+$K$3*VLOOKUP(K271,COND!$A$2:$C$7,3,FALSE)+IF(AND($B$2&gt;0,$E271&lt;20),$B$2*25,0)</f>
        <v>36.179044651297346</v>
      </c>
      <c r="AR271" s="47">
        <f t="shared" si="42"/>
        <v>-1.0275346120304527</v>
      </c>
      <c r="AS271" s="45" t="str">
        <f t="shared" si="40"/>
        <v>1B</v>
      </c>
      <c r="AT271" s="45">
        <v>900</v>
      </c>
      <c r="AU271" s="45">
        <v>267</v>
      </c>
      <c r="AV271" s="45"/>
      <c r="AW271" s="45" t="str">
        <f t="shared" si="41"/>
        <v>Unlikely</v>
      </c>
      <c r="AX271" s="45"/>
      <c r="AY271" s="45">
        <f>INDEX(Table5[[#All],[Ovr]],MATCH(Batters[[#This Row],[PID]],Table5[[#All],[PID]],0))</f>
        <v>610</v>
      </c>
      <c r="AZ271" s="45" t="str">
        <f>INDEX(Table5[[#All],[Rnd]],MATCH(Batters[[#This Row],[PID]],Table5[[#All],[PID]],0))</f>
        <v>19</v>
      </c>
      <c r="BA271" s="45">
        <f>INDEX(Table5[[#All],[Pick]],MATCH(Batters[[#This Row],[PID]],Table5[[#All],[PID]],0))</f>
        <v>7</v>
      </c>
      <c r="BB271" s="45" t="str">
        <f>INDEX(Table5[[#All],[Team]],MATCH(Batters[[#This Row],[PID]],Table5[[#All],[PID]],0))</f>
        <v>Hartford Harpoon</v>
      </c>
    </row>
    <row r="272" spans="1:54" ht="15" customHeight="1" x14ac:dyDescent="0.3">
      <c r="A272" s="40">
        <v>14387</v>
      </c>
      <c r="B272" s="40" t="s">
        <v>66</v>
      </c>
      <c r="C272" s="40" t="s">
        <v>836</v>
      </c>
      <c r="D272" s="40" t="s">
        <v>711</v>
      </c>
      <c r="E272" s="40">
        <v>22</v>
      </c>
      <c r="F272" s="40" t="s">
        <v>42</v>
      </c>
      <c r="G272" s="40" t="s">
        <v>42</v>
      </c>
      <c r="H272" s="41" t="s">
        <v>561</v>
      </c>
      <c r="I272" s="64" t="s">
        <v>43</v>
      </c>
      <c r="J272" s="65" t="s">
        <v>43</v>
      </c>
      <c r="K272" s="66" t="s">
        <v>43</v>
      </c>
      <c r="L272" s="40">
        <v>2</v>
      </c>
      <c r="M272" s="40">
        <v>2</v>
      </c>
      <c r="N272" s="40">
        <v>3</v>
      </c>
      <c r="O272" s="40">
        <v>3</v>
      </c>
      <c r="P272" s="41">
        <v>1</v>
      </c>
      <c r="Q272" s="40">
        <v>3</v>
      </c>
      <c r="R272" s="40">
        <v>3</v>
      </c>
      <c r="S272" s="40">
        <v>3</v>
      </c>
      <c r="T272" s="40">
        <v>5</v>
      </c>
      <c r="U272" s="41">
        <v>3</v>
      </c>
      <c r="V272" s="40">
        <v>4</v>
      </c>
      <c r="W272" s="40">
        <v>4</v>
      </c>
      <c r="X272" s="40">
        <v>4</v>
      </c>
      <c r="Y272" s="41">
        <v>7</v>
      </c>
      <c r="Z272" s="40" t="s">
        <v>45</v>
      </c>
      <c r="AA272" s="40" t="s">
        <v>45</v>
      </c>
      <c r="AB272" s="40" t="s">
        <v>45</v>
      </c>
      <c r="AC272" s="40" t="s">
        <v>45</v>
      </c>
      <c r="AD272" s="40" t="s">
        <v>45</v>
      </c>
      <c r="AE272" s="40" t="s">
        <v>45</v>
      </c>
      <c r="AF272" s="40" t="s">
        <v>45</v>
      </c>
      <c r="AG272" s="41">
        <v>1</v>
      </c>
      <c r="AH272" s="40">
        <v>3</v>
      </c>
      <c r="AI272" s="40">
        <v>1</v>
      </c>
      <c r="AJ272" s="41">
        <v>2</v>
      </c>
      <c r="AK272" s="43" t="s">
        <v>45</v>
      </c>
      <c r="AL272" s="43" t="s">
        <v>103</v>
      </c>
      <c r="AM272" s="44">
        <f t="shared" si="36"/>
        <v>-1.3651855459392288</v>
      </c>
      <c r="AN272" s="44">
        <f t="shared" si="37"/>
        <v>-0.73211805046452161</v>
      </c>
      <c r="AO272" s="45">
        <f t="shared" si="38"/>
        <v>0</v>
      </c>
      <c r="AP272" s="46">
        <f t="shared" si="39"/>
        <v>0</v>
      </c>
      <c r="AQ272" s="44">
        <f>($AM$3*AM272+$AN$3*AN272+$AO$3*AO272+$AP$3*AP272)+$I$3*VLOOKUP(I272,COND!$A$2:$E$7,4,FALSE)+$J$3*VLOOKUP(J272,COND!$A$2:$C$7,2,FALSE)+$K$3*VLOOKUP(K272,COND!$A$2:$C$7,3,FALSE)+IF(AND($B$2&gt;0,$E272&lt;20),$B$2*25,0)</f>
        <v>36.078064839831818</v>
      </c>
      <c r="AR272" s="47">
        <f t="shared" si="42"/>
        <v>-1.0422744442226015</v>
      </c>
      <c r="AS272" s="45" t="str">
        <f t="shared" si="40"/>
        <v>DH</v>
      </c>
      <c r="AT272" s="45">
        <v>900</v>
      </c>
      <c r="AU272" s="45">
        <v>268</v>
      </c>
      <c r="AV272" s="45"/>
      <c r="AW272" s="45" t="str">
        <f t="shared" si="41"/>
        <v>Unlikely</v>
      </c>
      <c r="AX272" s="45"/>
      <c r="AY272" s="45" t="str">
        <f>INDEX(Table5[[#All],[Ovr]],MATCH(Batters[[#This Row],[PID]],Table5[[#All],[PID]],0))</f>
        <v/>
      </c>
      <c r="AZ272" s="45" t="str">
        <f>INDEX(Table5[[#All],[Rnd]],MATCH(Batters[[#This Row],[PID]],Table5[[#All],[PID]],0))</f>
        <v/>
      </c>
      <c r="BA272" s="45" t="str">
        <f>INDEX(Table5[[#All],[Pick]],MATCH(Batters[[#This Row],[PID]],Table5[[#All],[PID]],0))</f>
        <v/>
      </c>
      <c r="BB272" s="45" t="str">
        <f>INDEX(Table5[[#All],[Team]],MATCH(Batters[[#This Row],[PID]],Table5[[#All],[PID]],0))</f>
        <v/>
      </c>
    </row>
    <row r="273" spans="1:54" ht="15" customHeight="1" x14ac:dyDescent="0.3">
      <c r="A273" s="40">
        <v>8073</v>
      </c>
      <c r="B273" s="40" t="s">
        <v>87</v>
      </c>
      <c r="C273" s="40" t="s">
        <v>190</v>
      </c>
      <c r="D273" s="40" t="s">
        <v>1289</v>
      </c>
      <c r="E273" s="40">
        <v>21</v>
      </c>
      <c r="F273" s="40" t="s">
        <v>42</v>
      </c>
      <c r="G273" s="40" t="s">
        <v>42</v>
      </c>
      <c r="H273" s="41" t="s">
        <v>553</v>
      </c>
      <c r="I273" s="64" t="s">
        <v>43</v>
      </c>
      <c r="J273" s="65" t="s">
        <v>43</v>
      </c>
      <c r="K273" s="66" t="s">
        <v>43</v>
      </c>
      <c r="L273" s="40">
        <v>1</v>
      </c>
      <c r="M273" s="40">
        <v>1</v>
      </c>
      <c r="N273" s="40">
        <v>2</v>
      </c>
      <c r="O273" s="40">
        <v>2</v>
      </c>
      <c r="P273" s="41">
        <v>1</v>
      </c>
      <c r="Q273" s="40">
        <v>3</v>
      </c>
      <c r="R273" s="40">
        <v>3</v>
      </c>
      <c r="S273" s="40">
        <v>3</v>
      </c>
      <c r="T273" s="40">
        <v>5</v>
      </c>
      <c r="U273" s="41">
        <v>3</v>
      </c>
      <c r="V273" s="40">
        <v>3</v>
      </c>
      <c r="W273" s="40">
        <v>2</v>
      </c>
      <c r="X273" s="40">
        <v>1</v>
      </c>
      <c r="Y273" s="41">
        <v>1</v>
      </c>
      <c r="Z273" s="40" t="s">
        <v>45</v>
      </c>
      <c r="AA273" s="40">
        <v>4</v>
      </c>
      <c r="AB273" s="40">
        <v>3</v>
      </c>
      <c r="AC273" s="40" t="s">
        <v>45</v>
      </c>
      <c r="AD273" s="40" t="s">
        <v>45</v>
      </c>
      <c r="AE273" s="40" t="s">
        <v>45</v>
      </c>
      <c r="AF273" s="40" t="s">
        <v>45</v>
      </c>
      <c r="AG273" s="41" t="s">
        <v>45</v>
      </c>
      <c r="AH273" s="40">
        <v>6</v>
      </c>
      <c r="AI273" s="40">
        <v>6</v>
      </c>
      <c r="AJ273" s="41">
        <v>5</v>
      </c>
      <c r="AK273" s="43" t="s">
        <v>45</v>
      </c>
      <c r="AL273" s="43" t="s">
        <v>103</v>
      </c>
      <c r="AM273" s="44">
        <f t="shared" si="36"/>
        <v>-1.9115723057940897</v>
      </c>
      <c r="AN273" s="44">
        <f t="shared" si="37"/>
        <v>-0.73211805046452161</v>
      </c>
      <c r="AO273" s="45">
        <f t="shared" si="38"/>
        <v>0</v>
      </c>
      <c r="AP273" s="46">
        <f t="shared" si="39"/>
        <v>0</v>
      </c>
      <c r="AQ273" s="44">
        <f>($AM$3*AM273+$AN$3*AN273+$AO$3*AO273+$AP$3*AP273)+$I$3*VLOOKUP(I273,COND!$A$2:$E$7,4,FALSE)+$J$3*VLOOKUP(J273,COND!$A$2:$C$7,2,FALSE)+$K$3*VLOOKUP(K273,COND!$A$2:$C$7,3,FALSE)+IF(AND($B$2&gt;0,$E273&lt;20),$B$2*25,0)</f>
        <v>36.023426163846331</v>
      </c>
      <c r="AR273" s="47">
        <f t="shared" si="42"/>
        <v>-1.0502499484698264</v>
      </c>
      <c r="AS273" s="45" t="str">
        <f t="shared" si="40"/>
        <v>2B</v>
      </c>
      <c r="AT273" s="45">
        <v>900</v>
      </c>
      <c r="AU273" s="45">
        <v>269</v>
      </c>
      <c r="AV273" s="45"/>
      <c r="AW273" s="45" t="str">
        <f t="shared" si="41"/>
        <v>Unlikely</v>
      </c>
      <c r="AX273" s="45"/>
      <c r="AY273" s="45" t="str">
        <f>INDEX(Table5[[#All],[Ovr]],MATCH(Batters[[#This Row],[PID]],Table5[[#All],[PID]],0))</f>
        <v/>
      </c>
      <c r="AZ273" s="45" t="str">
        <f>INDEX(Table5[[#All],[Rnd]],MATCH(Batters[[#This Row],[PID]],Table5[[#All],[PID]],0))</f>
        <v/>
      </c>
      <c r="BA273" s="45" t="str">
        <f>INDEX(Table5[[#All],[Pick]],MATCH(Batters[[#This Row],[PID]],Table5[[#All],[PID]],0))</f>
        <v/>
      </c>
      <c r="BB273" s="45" t="str">
        <f>INDEX(Table5[[#All],[Team]],MATCH(Batters[[#This Row],[PID]],Table5[[#All],[PID]],0))</f>
        <v/>
      </c>
    </row>
    <row r="274" spans="1:54" ht="15" customHeight="1" x14ac:dyDescent="0.3">
      <c r="A274" s="40">
        <v>9551</v>
      </c>
      <c r="B274" s="40" t="s">
        <v>66</v>
      </c>
      <c r="C274" s="40" t="s">
        <v>894</v>
      </c>
      <c r="D274" s="40" t="s">
        <v>507</v>
      </c>
      <c r="E274" s="40">
        <v>22</v>
      </c>
      <c r="F274" s="40" t="s">
        <v>42</v>
      </c>
      <c r="G274" s="40" t="s">
        <v>42</v>
      </c>
      <c r="H274" s="41" t="s">
        <v>553</v>
      </c>
      <c r="I274" s="64" t="s">
        <v>43</v>
      </c>
      <c r="J274" s="65" t="s">
        <v>43</v>
      </c>
      <c r="K274" s="66" t="s">
        <v>43</v>
      </c>
      <c r="L274" s="40">
        <v>2</v>
      </c>
      <c r="M274" s="40">
        <v>2</v>
      </c>
      <c r="N274" s="40">
        <v>2</v>
      </c>
      <c r="O274" s="40">
        <v>2</v>
      </c>
      <c r="P274" s="41">
        <v>2</v>
      </c>
      <c r="Q274" s="40">
        <v>3</v>
      </c>
      <c r="R274" s="40">
        <v>3</v>
      </c>
      <c r="S274" s="40">
        <v>4</v>
      </c>
      <c r="T274" s="40">
        <v>4</v>
      </c>
      <c r="U274" s="41">
        <v>3</v>
      </c>
      <c r="V274" s="40">
        <v>3</v>
      </c>
      <c r="W274" s="40">
        <v>8</v>
      </c>
      <c r="X274" s="40">
        <v>1</v>
      </c>
      <c r="Y274" s="41">
        <v>1</v>
      </c>
      <c r="Z274" s="40" t="s">
        <v>45</v>
      </c>
      <c r="AA274" s="40" t="s">
        <v>45</v>
      </c>
      <c r="AB274" s="40" t="s">
        <v>45</v>
      </c>
      <c r="AC274" s="40" t="s">
        <v>45</v>
      </c>
      <c r="AD274" s="40" t="s">
        <v>45</v>
      </c>
      <c r="AE274" s="40" t="s">
        <v>45</v>
      </c>
      <c r="AF274" s="40" t="s">
        <v>45</v>
      </c>
      <c r="AG274" s="41">
        <v>3</v>
      </c>
      <c r="AH274" s="40">
        <v>4</v>
      </c>
      <c r="AI274" s="40">
        <v>6</v>
      </c>
      <c r="AJ274" s="41">
        <v>5</v>
      </c>
      <c r="AK274" s="43" t="s">
        <v>45</v>
      </c>
      <c r="AL274" s="43" t="s">
        <v>103</v>
      </c>
      <c r="AM274" s="44">
        <f t="shared" si="36"/>
        <v>-1.4979402501556278</v>
      </c>
      <c r="AN274" s="44">
        <f t="shared" si="37"/>
        <v>-0.73876610645020102</v>
      </c>
      <c r="AO274" s="45">
        <f t="shared" si="38"/>
        <v>0</v>
      </c>
      <c r="AP274" s="46">
        <f t="shared" si="39"/>
        <v>0</v>
      </c>
      <c r="AQ274" s="44">
        <f>($AM$3*AM274+$AN$3*AN274+$AO$3*AO274+$AP$3*AP274)+$I$3*VLOOKUP(I274,COND!$A$2:$E$7,4,FALSE)+$J$3*VLOOKUP(J274,COND!$A$2:$C$7,2,FALSE)+$K$3*VLOOKUP(K274,COND!$A$2:$C$7,3,FALSE)+IF(AND($B$2&gt;0,$E274&lt;20),$B$2*25,0)</f>
        <v>35.985012697582022</v>
      </c>
      <c r="AR274" s="47">
        <f t="shared" si="42"/>
        <v>-1.0558570895254222</v>
      </c>
      <c r="AS274" s="45" t="str">
        <f t="shared" si="40"/>
        <v>RF</v>
      </c>
      <c r="AT274" s="45">
        <v>900</v>
      </c>
      <c r="AU274" s="45">
        <v>270</v>
      </c>
      <c r="AV274" s="45"/>
      <c r="AW274" s="45" t="str">
        <f t="shared" si="41"/>
        <v>Unlikely</v>
      </c>
      <c r="AX274" s="45"/>
      <c r="AY274" s="45" t="str">
        <f>INDEX(Table5[[#All],[Ovr]],MATCH(Batters[[#This Row],[PID]],Table5[[#All],[PID]],0))</f>
        <v/>
      </c>
      <c r="AZ274" s="45" t="str">
        <f>INDEX(Table5[[#All],[Rnd]],MATCH(Batters[[#This Row],[PID]],Table5[[#All],[PID]],0))</f>
        <v/>
      </c>
      <c r="BA274" s="45" t="str">
        <f>INDEX(Table5[[#All],[Pick]],MATCH(Batters[[#This Row],[PID]],Table5[[#All],[PID]],0))</f>
        <v/>
      </c>
      <c r="BB274" s="45" t="str">
        <f>INDEX(Table5[[#All],[Team]],MATCH(Batters[[#This Row],[PID]],Table5[[#All],[PID]],0))</f>
        <v/>
      </c>
    </row>
    <row r="275" spans="1:54" ht="15" customHeight="1" x14ac:dyDescent="0.3">
      <c r="A275" s="40">
        <v>12224</v>
      </c>
      <c r="B275" s="40" t="s">
        <v>86</v>
      </c>
      <c r="C275" s="40" t="s">
        <v>765</v>
      </c>
      <c r="D275" s="40" t="s">
        <v>1283</v>
      </c>
      <c r="E275" s="40">
        <v>17</v>
      </c>
      <c r="F275" s="40" t="s">
        <v>42</v>
      </c>
      <c r="G275" s="40" t="s">
        <v>42</v>
      </c>
      <c r="H275" s="41" t="s">
        <v>553</v>
      </c>
      <c r="I275" s="64" t="s">
        <v>44</v>
      </c>
      <c r="J275" s="65" t="s">
        <v>43</v>
      </c>
      <c r="K275" s="66" t="s">
        <v>43</v>
      </c>
      <c r="L275" s="40">
        <v>1</v>
      </c>
      <c r="M275" s="40">
        <v>2</v>
      </c>
      <c r="N275" s="40">
        <v>2</v>
      </c>
      <c r="O275" s="40">
        <v>2</v>
      </c>
      <c r="P275" s="41">
        <v>3</v>
      </c>
      <c r="Q275" s="40">
        <v>2</v>
      </c>
      <c r="R275" s="40">
        <v>3</v>
      </c>
      <c r="S275" s="40">
        <v>2</v>
      </c>
      <c r="T275" s="40">
        <v>4</v>
      </c>
      <c r="U275" s="41">
        <v>5</v>
      </c>
      <c r="V275" s="40">
        <v>6</v>
      </c>
      <c r="W275" s="40">
        <v>6</v>
      </c>
      <c r="X275" s="40">
        <v>6</v>
      </c>
      <c r="Y275" s="41">
        <v>3</v>
      </c>
      <c r="Z275" s="40" t="s">
        <v>45</v>
      </c>
      <c r="AA275" s="40" t="s">
        <v>45</v>
      </c>
      <c r="AB275" s="40" t="s">
        <v>45</v>
      </c>
      <c r="AC275" s="40" t="s">
        <v>45</v>
      </c>
      <c r="AD275" s="40" t="s">
        <v>45</v>
      </c>
      <c r="AE275" s="40" t="s">
        <v>45</v>
      </c>
      <c r="AF275" s="40" t="s">
        <v>45</v>
      </c>
      <c r="AG275" s="41" t="s">
        <v>45</v>
      </c>
      <c r="AH275" s="40">
        <v>1</v>
      </c>
      <c r="AI275" s="40">
        <v>6</v>
      </c>
      <c r="AJ275" s="41">
        <v>4</v>
      </c>
      <c r="AK275" s="43" t="s">
        <v>572</v>
      </c>
      <c r="AL275" s="43" t="s">
        <v>103</v>
      </c>
      <c r="AM275" s="44">
        <f t="shared" si="36"/>
        <v>-1.780479746541219</v>
      </c>
      <c r="AN275" s="44">
        <f t="shared" si="37"/>
        <v>-1.1474122510665119</v>
      </c>
      <c r="AO275" s="45">
        <f t="shared" si="38"/>
        <v>0</v>
      </c>
      <c r="AP275" s="46">
        <f t="shared" si="39"/>
        <v>0</v>
      </c>
      <c r="AQ275" s="44">
        <f>($AM$3*AM275+$AN$3*AN275+$AO$3*AO275+$AP$3*AP275)+$I$3*VLOOKUP(I275,COND!$A$2:$E$7,4,FALSE)+$J$3*VLOOKUP(J275,COND!$A$2:$C$7,2,FALSE)+$K$3*VLOOKUP(K275,COND!$A$2:$C$7,3,FALSE)+IF(AND($B$2&gt;0,$E275&lt;20),$B$2*25,0)</f>
        <v>35.903005012547737</v>
      </c>
      <c r="AR275" s="47">
        <f t="shared" si="42"/>
        <v>-1.0678275962864157</v>
      </c>
      <c r="AS275" s="45" t="str">
        <f t="shared" si="40"/>
        <v>DH</v>
      </c>
      <c r="AT275" s="45">
        <v>900</v>
      </c>
      <c r="AU275" s="45">
        <v>271</v>
      </c>
      <c r="AV275" s="45"/>
      <c r="AW275" s="45" t="str">
        <f t="shared" si="41"/>
        <v>Unlikely</v>
      </c>
      <c r="AX275" s="45"/>
      <c r="AY275" s="45" t="str">
        <f>INDEX(Table5[[#All],[Ovr]],MATCH(Batters[[#This Row],[PID]],Table5[[#All],[PID]],0))</f>
        <v/>
      </c>
      <c r="AZ275" s="45" t="str">
        <f>INDEX(Table5[[#All],[Rnd]],MATCH(Batters[[#This Row],[PID]],Table5[[#All],[PID]],0))</f>
        <v/>
      </c>
      <c r="BA275" s="45" t="str">
        <f>INDEX(Table5[[#All],[Pick]],MATCH(Batters[[#This Row],[PID]],Table5[[#All],[PID]],0))</f>
        <v/>
      </c>
      <c r="BB275" s="45" t="str">
        <f>INDEX(Table5[[#All],[Team]],MATCH(Batters[[#This Row],[PID]],Table5[[#All],[PID]],0))</f>
        <v/>
      </c>
    </row>
    <row r="276" spans="1:54" ht="15" customHeight="1" x14ac:dyDescent="0.3">
      <c r="A276" s="40">
        <v>9504</v>
      </c>
      <c r="B276" s="40" t="s">
        <v>66</v>
      </c>
      <c r="C276" s="40" t="s">
        <v>865</v>
      </c>
      <c r="D276" s="40" t="s">
        <v>762</v>
      </c>
      <c r="E276" s="40">
        <v>22</v>
      </c>
      <c r="F276" s="40" t="s">
        <v>42</v>
      </c>
      <c r="G276" s="40" t="s">
        <v>42</v>
      </c>
      <c r="H276" s="41" t="s">
        <v>553</v>
      </c>
      <c r="I276" s="64" t="s">
        <v>43</v>
      </c>
      <c r="J276" s="65" t="s">
        <v>47</v>
      </c>
      <c r="K276" s="66" t="s">
        <v>43</v>
      </c>
      <c r="L276" s="40">
        <v>1</v>
      </c>
      <c r="M276" s="40">
        <v>1</v>
      </c>
      <c r="N276" s="40">
        <v>2</v>
      </c>
      <c r="O276" s="40">
        <v>2</v>
      </c>
      <c r="P276" s="41">
        <v>1</v>
      </c>
      <c r="Q276" s="40">
        <v>3</v>
      </c>
      <c r="R276" s="40">
        <v>3</v>
      </c>
      <c r="S276" s="40">
        <v>2</v>
      </c>
      <c r="T276" s="40">
        <v>4</v>
      </c>
      <c r="U276" s="41">
        <v>3</v>
      </c>
      <c r="V276" s="40">
        <v>5</v>
      </c>
      <c r="W276" s="40">
        <v>6</v>
      </c>
      <c r="X276" s="40">
        <v>1</v>
      </c>
      <c r="Y276" s="41">
        <v>1</v>
      </c>
      <c r="Z276" s="40" t="s">
        <v>45</v>
      </c>
      <c r="AA276" s="40" t="s">
        <v>45</v>
      </c>
      <c r="AB276" s="40" t="s">
        <v>45</v>
      </c>
      <c r="AC276" s="40">
        <v>2</v>
      </c>
      <c r="AD276" s="40">
        <v>1</v>
      </c>
      <c r="AE276" s="40" t="s">
        <v>45</v>
      </c>
      <c r="AF276" s="40">
        <v>1</v>
      </c>
      <c r="AG276" s="41">
        <v>5</v>
      </c>
      <c r="AH276" s="40">
        <v>6</v>
      </c>
      <c r="AI276" s="40">
        <v>8</v>
      </c>
      <c r="AJ276" s="41">
        <v>7</v>
      </c>
      <c r="AK276" s="43" t="s">
        <v>45</v>
      </c>
      <c r="AL276" s="43" t="s">
        <v>103</v>
      </c>
      <c r="AM276" s="44">
        <f t="shared" si="36"/>
        <v>-1.9115723057940897</v>
      </c>
      <c r="AN276" s="44">
        <f t="shared" si="37"/>
        <v>-0.90488909449800403</v>
      </c>
      <c r="AO276" s="45">
        <f t="shared" si="38"/>
        <v>2</v>
      </c>
      <c r="AP276" s="46">
        <f t="shared" si="39"/>
        <v>0.5</v>
      </c>
      <c r="AQ276" s="44">
        <f>($AM$3*AM276+$AN$3*AN276+$AO$3*AO276+$AP$3*AP276)+$I$3*VLOOKUP(I276,COND!$A$2:$E$7,4,FALSE)+$J$3*VLOOKUP(J276,COND!$A$2:$C$7,2,FALSE)+$K$3*VLOOKUP(K276,COND!$A$2:$C$7,3,FALSE)+IF(AND($B$2&gt;0,$E276&lt;20),$B$2*25,0)</f>
        <v>35.083506968777876</v>
      </c>
      <c r="AR276" s="47">
        <f t="shared" si="42"/>
        <v>-1.1874481765950415</v>
      </c>
      <c r="AS276" s="45" t="str">
        <f t="shared" si="40"/>
        <v>3B</v>
      </c>
      <c r="AT276" s="45">
        <v>900</v>
      </c>
      <c r="AU276" s="45">
        <v>272</v>
      </c>
      <c r="AV276" s="45"/>
      <c r="AW276" s="45" t="str">
        <f t="shared" si="41"/>
        <v>Unlikely</v>
      </c>
      <c r="AX276" s="45"/>
      <c r="AY276" s="45">
        <f>INDEX(Table5[[#All],[Ovr]],MATCH(Batters[[#This Row],[PID]],Table5[[#All],[PID]],0))</f>
        <v>497</v>
      </c>
      <c r="AZ276" s="45" t="str">
        <f>INDEX(Table5[[#All],[Rnd]],MATCH(Batters[[#This Row],[PID]],Table5[[#All],[PID]],0))</f>
        <v>15</v>
      </c>
      <c r="BA276" s="45">
        <f>INDEX(Table5[[#All],[Pick]],MATCH(Batters[[#This Row],[PID]],Table5[[#All],[PID]],0))</f>
        <v>30</v>
      </c>
      <c r="BB276" s="45" t="str">
        <f>INDEX(Table5[[#All],[Team]],MATCH(Batters[[#This Row],[PID]],Table5[[#All],[PID]],0))</f>
        <v>Toyama Wind Dancers</v>
      </c>
    </row>
    <row r="277" spans="1:54" ht="15" customHeight="1" x14ac:dyDescent="0.3">
      <c r="A277" s="40">
        <v>14026</v>
      </c>
      <c r="B277" s="40" t="s">
        <v>71</v>
      </c>
      <c r="C277" s="40" t="s">
        <v>173</v>
      </c>
      <c r="D277" s="40" t="s">
        <v>907</v>
      </c>
      <c r="E277" s="40">
        <v>21</v>
      </c>
      <c r="F277" s="40" t="s">
        <v>42</v>
      </c>
      <c r="G277" s="40" t="s">
        <v>42</v>
      </c>
      <c r="H277" s="41" t="s">
        <v>552</v>
      </c>
      <c r="I277" s="64" t="s">
        <v>43</v>
      </c>
      <c r="J277" s="65" t="s">
        <v>43</v>
      </c>
      <c r="K277" s="66" t="s">
        <v>43</v>
      </c>
      <c r="L277" s="40">
        <v>1</v>
      </c>
      <c r="M277" s="40">
        <v>3</v>
      </c>
      <c r="N277" s="40">
        <v>2</v>
      </c>
      <c r="O277" s="40">
        <v>2</v>
      </c>
      <c r="P277" s="41">
        <v>2</v>
      </c>
      <c r="Q277" s="40">
        <v>3</v>
      </c>
      <c r="R277" s="40">
        <v>4</v>
      </c>
      <c r="S277" s="40">
        <v>2</v>
      </c>
      <c r="T277" s="40">
        <v>4</v>
      </c>
      <c r="U277" s="41">
        <v>5</v>
      </c>
      <c r="V277" s="40">
        <v>7</v>
      </c>
      <c r="W277" s="40">
        <v>7</v>
      </c>
      <c r="X277" s="40">
        <v>1</v>
      </c>
      <c r="Y277" s="41">
        <v>1</v>
      </c>
      <c r="Z277" s="40" t="s">
        <v>45</v>
      </c>
      <c r="AA277" s="40" t="s">
        <v>45</v>
      </c>
      <c r="AB277" s="40">
        <v>3</v>
      </c>
      <c r="AC277" s="40">
        <v>1</v>
      </c>
      <c r="AD277" s="40">
        <v>1</v>
      </c>
      <c r="AE277" s="40" t="s">
        <v>45</v>
      </c>
      <c r="AF277" s="40" t="s">
        <v>45</v>
      </c>
      <c r="AG277" s="41" t="s">
        <v>45</v>
      </c>
      <c r="AH277" s="40">
        <v>4</v>
      </c>
      <c r="AI277" s="40">
        <v>4</v>
      </c>
      <c r="AJ277" s="41">
        <v>2</v>
      </c>
      <c r="AK277" s="43" t="s">
        <v>45</v>
      </c>
      <c r="AL277" s="43" t="s">
        <v>103</v>
      </c>
      <c r="AM277" s="44">
        <f t="shared" si="36"/>
        <v>-1.7694362067395988</v>
      </c>
      <c r="AN277" s="44">
        <f t="shared" si="37"/>
        <v>-0.77379653524513359</v>
      </c>
      <c r="AO277" s="45">
        <f t="shared" si="38"/>
        <v>0</v>
      </c>
      <c r="AP277" s="46">
        <f t="shared" si="39"/>
        <v>0</v>
      </c>
      <c r="AQ277" s="44">
        <f>($AM$3*AM277+$AN$3*AN277+$AO$3*AO277+$AP$3*AP277)+$I$3*VLOOKUP(I277,COND!$A$2:$E$7,4,FALSE)+$J$3*VLOOKUP(J277,COND!$A$2:$C$7,2,FALSE)+$K$3*VLOOKUP(K277,COND!$A$2:$C$7,3,FALSE)+IF(AND($B$2&gt;0,$E277&lt;20),$B$2*25,0)</f>
        <v>35.537497956384435</v>
      </c>
      <c r="AR277" s="47">
        <f>STANDARDIZE(AQ277,AVERAGE($AQ$5:$AQ$459),STDEVP($AQ$5:$AQ$459))</f>
        <v>-1.0999379181807178</v>
      </c>
      <c r="AS277" s="45" t="str">
        <f t="shared" si="40"/>
        <v>2B</v>
      </c>
      <c r="AT277" s="45">
        <v>900</v>
      </c>
      <c r="AU277" s="45">
        <v>273</v>
      </c>
      <c r="AV277" s="45"/>
      <c r="AW277" s="45" t="str">
        <f t="shared" si="41"/>
        <v>Unlikely</v>
      </c>
      <c r="AX277" s="45"/>
      <c r="AY277" s="63" t="str">
        <f>INDEX(Table5[[#All],[Ovr]],MATCH(Batters[[#This Row],[PID]],Table5[[#All],[PID]],0))</f>
        <v/>
      </c>
      <c r="AZ277" s="63" t="str">
        <f>INDEX(Table5[[#All],[Rnd]],MATCH(Batters[[#This Row],[PID]],Table5[[#All],[PID]],0))</f>
        <v/>
      </c>
      <c r="BA277" s="63" t="str">
        <f>INDEX(Table5[[#All],[Pick]],MATCH(Batters[[#This Row],[PID]],Table5[[#All],[PID]],0))</f>
        <v/>
      </c>
      <c r="BB277" s="63" t="str">
        <f>INDEX(Table5[[#All],[Team]],MATCH(Batters[[#This Row],[PID]],Table5[[#All],[PID]],0))</f>
        <v/>
      </c>
    </row>
    <row r="278" spans="1:54" ht="15" customHeight="1" x14ac:dyDescent="0.3">
      <c r="A278" s="40">
        <v>17022</v>
      </c>
      <c r="B278" s="40" t="s">
        <v>87</v>
      </c>
      <c r="C278" s="40" t="s">
        <v>895</v>
      </c>
      <c r="D278" s="40" t="s">
        <v>896</v>
      </c>
      <c r="E278" s="40">
        <v>22</v>
      </c>
      <c r="F278" s="40" t="s">
        <v>53</v>
      </c>
      <c r="G278" s="40" t="s">
        <v>53</v>
      </c>
      <c r="H278" s="41" t="s">
        <v>561</v>
      </c>
      <c r="I278" s="64" t="s">
        <v>43</v>
      </c>
      <c r="J278" s="65" t="s">
        <v>43</v>
      </c>
      <c r="K278" s="66" t="s">
        <v>43</v>
      </c>
      <c r="L278" s="40">
        <v>3</v>
      </c>
      <c r="M278" s="40">
        <v>2</v>
      </c>
      <c r="N278" s="40">
        <v>2</v>
      </c>
      <c r="O278" s="40">
        <v>1</v>
      </c>
      <c r="P278" s="41">
        <v>3</v>
      </c>
      <c r="Q278" s="40">
        <v>4</v>
      </c>
      <c r="R278" s="40">
        <v>2</v>
      </c>
      <c r="S278" s="40">
        <v>3</v>
      </c>
      <c r="T278" s="40">
        <v>1</v>
      </c>
      <c r="U278" s="41">
        <v>4</v>
      </c>
      <c r="V278" s="40">
        <v>6</v>
      </c>
      <c r="W278" s="40">
        <v>1</v>
      </c>
      <c r="X278" s="40">
        <v>1</v>
      </c>
      <c r="Y278" s="41">
        <v>1</v>
      </c>
      <c r="Z278" s="40" t="s">
        <v>45</v>
      </c>
      <c r="AA278" s="40">
        <v>1</v>
      </c>
      <c r="AB278" s="40" t="s">
        <v>45</v>
      </c>
      <c r="AC278" s="40" t="s">
        <v>45</v>
      </c>
      <c r="AD278" s="40" t="s">
        <v>45</v>
      </c>
      <c r="AE278" s="40" t="s">
        <v>45</v>
      </c>
      <c r="AF278" s="40" t="s">
        <v>45</v>
      </c>
      <c r="AG278" s="41" t="s">
        <v>45</v>
      </c>
      <c r="AH278" s="40">
        <v>1</v>
      </c>
      <c r="AI278" s="40">
        <v>1</v>
      </c>
      <c r="AJ278" s="41">
        <v>3</v>
      </c>
      <c r="AK278" s="43" t="s">
        <v>45</v>
      </c>
      <c r="AL278" s="43" t="s">
        <v>103</v>
      </c>
      <c r="AM278" s="44">
        <f t="shared" si="36"/>
        <v>-1.2250776241454506</v>
      </c>
      <c r="AN278" s="44">
        <f t="shared" si="37"/>
        <v>-0.7794439541017909</v>
      </c>
      <c r="AO278" s="45">
        <f t="shared" si="38"/>
        <v>0</v>
      </c>
      <c r="AP278" s="46">
        <f t="shared" si="39"/>
        <v>0</v>
      </c>
      <c r="AQ278" s="44">
        <f>($AM$3*AM278+$AN$3*AN278+$AO$3*AO278+$AP$3*AP278)+$I$3*VLOOKUP(I278,COND!$A$2:$E$7,4,FALSE)+$J$3*VLOOKUP(J278,COND!$A$2:$C$7,2,FALSE)+$K$3*VLOOKUP(K278,COND!$A$2:$C$7,3,FALSE)+IF(AND($B$2&gt;0,$E278&lt;20),$B$2*25,0)</f>
        <v>35.524164788363962</v>
      </c>
      <c r="AR278" s="47">
        <f>STANDARDIZE(AQ278,AVERAGE($AQ$5:$AQ$442),STDEVP($AQ$5:$AQ$442))</f>
        <v>-1.1231261876688248</v>
      </c>
      <c r="AS278" s="45" t="str">
        <f t="shared" si="40"/>
        <v>1B</v>
      </c>
      <c r="AT278" s="45">
        <v>900</v>
      </c>
      <c r="AU278" s="45">
        <v>274</v>
      </c>
      <c r="AV278" s="45"/>
      <c r="AW278" s="45" t="str">
        <f t="shared" si="41"/>
        <v>Unlikely</v>
      </c>
      <c r="AX278" s="45"/>
      <c r="AY278" s="45" t="str">
        <f>INDEX(Table5[[#All],[Ovr]],MATCH(Batters[[#This Row],[PID]],Table5[[#All],[PID]],0))</f>
        <v/>
      </c>
      <c r="AZ278" s="45" t="str">
        <f>INDEX(Table5[[#All],[Rnd]],MATCH(Batters[[#This Row],[PID]],Table5[[#All],[PID]],0))</f>
        <v/>
      </c>
      <c r="BA278" s="45" t="str">
        <f>INDEX(Table5[[#All],[Pick]],MATCH(Batters[[#This Row],[PID]],Table5[[#All],[PID]],0))</f>
        <v/>
      </c>
      <c r="BB278" s="45" t="str">
        <f>INDEX(Table5[[#All],[Team]],MATCH(Batters[[#This Row],[PID]],Table5[[#All],[PID]],0))</f>
        <v/>
      </c>
    </row>
    <row r="279" spans="1:54" ht="15" customHeight="1" x14ac:dyDescent="0.3">
      <c r="A279" s="40">
        <v>20578</v>
      </c>
      <c r="B279" s="40" t="s">
        <v>87</v>
      </c>
      <c r="C279" s="40" t="s">
        <v>966</v>
      </c>
      <c r="D279" s="40" t="s">
        <v>682</v>
      </c>
      <c r="E279" s="40">
        <v>17</v>
      </c>
      <c r="F279" s="40" t="s">
        <v>42</v>
      </c>
      <c r="G279" s="40" t="s">
        <v>42</v>
      </c>
      <c r="H279" s="41" t="s">
        <v>561</v>
      </c>
      <c r="I279" s="64" t="s">
        <v>43</v>
      </c>
      <c r="J279" s="65" t="s">
        <v>43</v>
      </c>
      <c r="K279" s="66" t="s">
        <v>43</v>
      </c>
      <c r="L279" s="40">
        <v>1</v>
      </c>
      <c r="M279" s="40">
        <v>2</v>
      </c>
      <c r="N279" s="40">
        <v>2</v>
      </c>
      <c r="O279" s="40">
        <v>3</v>
      </c>
      <c r="P279" s="41">
        <v>1</v>
      </c>
      <c r="Q279" s="40">
        <v>2</v>
      </c>
      <c r="R279" s="40">
        <v>3</v>
      </c>
      <c r="S279" s="40">
        <v>2</v>
      </c>
      <c r="T279" s="40">
        <v>4</v>
      </c>
      <c r="U279" s="41">
        <v>3</v>
      </c>
      <c r="V279" s="40">
        <v>4</v>
      </c>
      <c r="W279" s="40">
        <v>2</v>
      </c>
      <c r="X279" s="40">
        <v>1</v>
      </c>
      <c r="Y279" s="41">
        <v>1</v>
      </c>
      <c r="Z279" s="40" t="s">
        <v>45</v>
      </c>
      <c r="AA279" s="40">
        <v>1</v>
      </c>
      <c r="AB279" s="40" t="s">
        <v>45</v>
      </c>
      <c r="AC279" s="40" t="s">
        <v>45</v>
      </c>
      <c r="AD279" s="40" t="s">
        <v>45</v>
      </c>
      <c r="AE279" s="40" t="s">
        <v>45</v>
      </c>
      <c r="AF279" s="40" t="s">
        <v>45</v>
      </c>
      <c r="AG279" s="41" t="s">
        <v>45</v>
      </c>
      <c r="AH279" s="40">
        <v>4</v>
      </c>
      <c r="AI279" s="40">
        <v>4</v>
      </c>
      <c r="AJ279" s="41">
        <v>6</v>
      </c>
      <c r="AK279" s="43" t="s">
        <v>583</v>
      </c>
      <c r="AL279" s="43" t="s">
        <v>103</v>
      </c>
      <c r="AM279" s="44">
        <f t="shared" si="36"/>
        <v>-1.7708028761658048</v>
      </c>
      <c r="AN279" s="44">
        <f t="shared" si="37"/>
        <v>-1.2274449307006789</v>
      </c>
      <c r="AO279" s="45">
        <f t="shared" si="38"/>
        <v>0</v>
      </c>
      <c r="AP279" s="46">
        <f t="shared" si="39"/>
        <v>0</v>
      </c>
      <c r="AQ279" s="44">
        <f>($AM$3*AM279+$AN$3*AN279+$AO$3*AO279+$AP$3*AP279)+$I$3*VLOOKUP(I279,COND!$A$2:$E$7,4,FALSE)+$J$3*VLOOKUP(J279,COND!$A$2:$C$7,2,FALSE)+$K$3*VLOOKUP(K279,COND!$A$2:$C$7,3,FALSE)+IF(AND($B$2&gt;0,$E279&lt;20),$B$2*25,0)</f>
        <v>35.093580543975271</v>
      </c>
      <c r="AR279" s="47">
        <f>STANDARDIZE(AQ279,AVERAGE($AQ$5:$AQ$442),STDEVP($AQ$5:$AQ$442))</f>
        <v>-1.1859777558660891</v>
      </c>
      <c r="AS279" s="45" t="str">
        <f t="shared" si="40"/>
        <v>1B</v>
      </c>
      <c r="AT279" s="45">
        <v>900</v>
      </c>
      <c r="AU279" s="45">
        <v>275</v>
      </c>
      <c r="AV279" s="45"/>
      <c r="AW279" s="45" t="str">
        <f t="shared" si="41"/>
        <v>Unlikely</v>
      </c>
      <c r="AX279" s="45"/>
      <c r="AY279" s="45" t="str">
        <f>INDEX(Table5[[#All],[Ovr]],MATCH(Batters[[#This Row],[PID]],Table5[[#All],[PID]],0))</f>
        <v/>
      </c>
      <c r="AZ279" s="45" t="str">
        <f>INDEX(Table5[[#All],[Rnd]],MATCH(Batters[[#This Row],[PID]],Table5[[#All],[PID]],0))</f>
        <v/>
      </c>
      <c r="BA279" s="45" t="str">
        <f>INDEX(Table5[[#All],[Pick]],MATCH(Batters[[#This Row],[PID]],Table5[[#All],[PID]],0))</f>
        <v/>
      </c>
      <c r="BB279" s="45" t="str">
        <f>INDEX(Table5[[#All],[Team]],MATCH(Batters[[#This Row],[PID]],Table5[[#All],[PID]],0))</f>
        <v/>
      </c>
    </row>
    <row r="280" spans="1:54" ht="15" customHeight="1" x14ac:dyDescent="0.3">
      <c r="A280" s="40">
        <v>6993</v>
      </c>
      <c r="B280" s="40" t="s">
        <v>87</v>
      </c>
      <c r="C280" s="40" t="s">
        <v>482</v>
      </c>
      <c r="D280" s="40" t="s">
        <v>312</v>
      </c>
      <c r="E280" s="40">
        <v>21</v>
      </c>
      <c r="F280" s="40" t="s">
        <v>42</v>
      </c>
      <c r="G280" s="40" t="s">
        <v>42</v>
      </c>
      <c r="H280" s="41" t="s">
        <v>553</v>
      </c>
      <c r="I280" s="64" t="s">
        <v>43</v>
      </c>
      <c r="J280" s="65" t="s">
        <v>43</v>
      </c>
      <c r="K280" s="66" t="s">
        <v>43</v>
      </c>
      <c r="L280" s="40">
        <v>2</v>
      </c>
      <c r="M280" s="40">
        <v>2</v>
      </c>
      <c r="N280" s="40">
        <v>2</v>
      </c>
      <c r="O280" s="40">
        <v>2</v>
      </c>
      <c r="P280" s="41">
        <v>2</v>
      </c>
      <c r="Q280" s="40">
        <v>3</v>
      </c>
      <c r="R280" s="40">
        <v>4</v>
      </c>
      <c r="S280" s="40">
        <v>2</v>
      </c>
      <c r="T280" s="40">
        <v>4</v>
      </c>
      <c r="U280" s="41">
        <v>4</v>
      </c>
      <c r="V280" s="40">
        <v>3</v>
      </c>
      <c r="W280" s="40">
        <v>3</v>
      </c>
      <c r="X280" s="40">
        <v>1</v>
      </c>
      <c r="Y280" s="41">
        <v>1</v>
      </c>
      <c r="Z280" s="40" t="s">
        <v>45</v>
      </c>
      <c r="AA280" s="40">
        <v>2</v>
      </c>
      <c r="AB280" s="40" t="s">
        <v>45</v>
      </c>
      <c r="AC280" s="40" t="s">
        <v>45</v>
      </c>
      <c r="AD280" s="40" t="s">
        <v>45</v>
      </c>
      <c r="AE280" s="40" t="s">
        <v>45</v>
      </c>
      <c r="AF280" s="40" t="s">
        <v>45</v>
      </c>
      <c r="AG280" s="41" t="s">
        <v>45</v>
      </c>
      <c r="AH280" s="40">
        <v>3</v>
      </c>
      <c r="AI280" s="40">
        <v>4</v>
      </c>
      <c r="AJ280" s="41">
        <v>2</v>
      </c>
      <c r="AK280" s="43" t="s">
        <v>45</v>
      </c>
      <c r="AL280" s="43" t="s">
        <v>103</v>
      </c>
      <c r="AM280" s="44">
        <f t="shared" si="36"/>
        <v>-1.4979402501556278</v>
      </c>
      <c r="AN280" s="44">
        <f t="shared" si="37"/>
        <v>-0.813812875062217</v>
      </c>
      <c r="AO280" s="45">
        <f t="shared" si="38"/>
        <v>0</v>
      </c>
      <c r="AP280" s="46">
        <f t="shared" si="39"/>
        <v>0</v>
      </c>
      <c r="AQ280" s="44">
        <f>($AM$3*AM280+$AN$3*AN280+$AO$3*AO280+$AP$3*AP280)+$I$3*VLOOKUP(I280,COND!$A$2:$E$7,4,FALSE)+$J$3*VLOOKUP(J280,COND!$A$2:$C$7,2,FALSE)+$K$3*VLOOKUP(K280,COND!$A$2:$C$7,3,FALSE)+IF(AND($B$2&gt;0,$E280&lt;20),$B$2*25,0)</f>
        <v>35.084451474237831</v>
      </c>
      <c r="AR280" s="47">
        <f>STANDARDIZE(AQ280,AVERAGE($AQ$5:$AQ$442),STDEVP($AQ$5:$AQ$442))</f>
        <v>-1.1873103089185004</v>
      </c>
      <c r="AS280" s="45" t="str">
        <f t="shared" si="40"/>
        <v>1B</v>
      </c>
      <c r="AT280" s="45">
        <v>900</v>
      </c>
      <c r="AU280" s="45">
        <v>276</v>
      </c>
      <c r="AV280" s="45"/>
      <c r="AW280" s="45" t="str">
        <f t="shared" si="41"/>
        <v>Unlikely</v>
      </c>
      <c r="AX280" s="45"/>
      <c r="AY280" s="45" t="str">
        <f>INDEX(Table5[[#All],[Ovr]],MATCH(Batters[[#This Row],[PID]],Table5[[#All],[PID]],0))</f>
        <v/>
      </c>
      <c r="AZ280" s="45" t="str">
        <f>INDEX(Table5[[#All],[Rnd]],MATCH(Batters[[#This Row],[PID]],Table5[[#All],[PID]],0))</f>
        <v/>
      </c>
      <c r="BA280" s="45" t="str">
        <f>INDEX(Table5[[#All],[Pick]],MATCH(Batters[[#This Row],[PID]],Table5[[#All],[PID]],0))</f>
        <v/>
      </c>
      <c r="BB280" s="45" t="str">
        <f>INDEX(Table5[[#All],[Team]],MATCH(Batters[[#This Row],[PID]],Table5[[#All],[PID]],0))</f>
        <v/>
      </c>
    </row>
    <row r="281" spans="1:54" ht="15" customHeight="1" x14ac:dyDescent="0.3">
      <c r="A281" s="40">
        <v>14797</v>
      </c>
      <c r="B281" s="40" t="s">
        <v>66</v>
      </c>
      <c r="C281" s="40" t="s">
        <v>321</v>
      </c>
      <c r="D281" s="40" t="s">
        <v>1314</v>
      </c>
      <c r="E281" s="40">
        <v>21</v>
      </c>
      <c r="F281" s="40" t="s">
        <v>42</v>
      </c>
      <c r="G281" s="40" t="s">
        <v>42</v>
      </c>
      <c r="H281" s="41" t="s">
        <v>561</v>
      </c>
      <c r="I281" s="64" t="s">
        <v>43</v>
      </c>
      <c r="J281" s="65" t="s">
        <v>43</v>
      </c>
      <c r="K281" s="66" t="s">
        <v>43</v>
      </c>
      <c r="L281" s="40">
        <v>1</v>
      </c>
      <c r="M281" s="40">
        <v>2</v>
      </c>
      <c r="N281" s="40">
        <v>2</v>
      </c>
      <c r="O281" s="40">
        <v>2</v>
      </c>
      <c r="P281" s="41">
        <v>1</v>
      </c>
      <c r="Q281" s="40">
        <v>3</v>
      </c>
      <c r="R281" s="40">
        <v>4</v>
      </c>
      <c r="S281" s="40">
        <v>2</v>
      </c>
      <c r="T281" s="40">
        <v>4</v>
      </c>
      <c r="U281" s="41">
        <v>4</v>
      </c>
      <c r="V281" s="40">
        <v>3</v>
      </c>
      <c r="W281" s="40">
        <v>4</v>
      </c>
      <c r="X281" s="40">
        <v>5</v>
      </c>
      <c r="Y281" s="41">
        <v>5</v>
      </c>
      <c r="Z281" s="40" t="s">
        <v>45</v>
      </c>
      <c r="AA281" s="40" t="s">
        <v>45</v>
      </c>
      <c r="AB281" s="40" t="s">
        <v>45</v>
      </c>
      <c r="AC281" s="40" t="s">
        <v>45</v>
      </c>
      <c r="AD281" s="40" t="s">
        <v>45</v>
      </c>
      <c r="AE281" s="40" t="s">
        <v>45</v>
      </c>
      <c r="AF281" s="40" t="s">
        <v>45</v>
      </c>
      <c r="AG281" s="41">
        <v>1</v>
      </c>
      <c r="AH281" s="40">
        <v>1</v>
      </c>
      <c r="AI281" s="40">
        <v>1</v>
      </c>
      <c r="AJ281" s="41">
        <v>1</v>
      </c>
      <c r="AK281" s="43" t="s">
        <v>45</v>
      </c>
      <c r="AL281" s="43" t="s">
        <v>103</v>
      </c>
      <c r="AM281" s="44">
        <f t="shared" si="36"/>
        <v>-1.8605124261753858</v>
      </c>
      <c r="AN281" s="44">
        <f t="shared" si="37"/>
        <v>-0.813812875062217</v>
      </c>
      <c r="AO281" s="45">
        <f t="shared" si="38"/>
        <v>0</v>
      </c>
      <c r="AP281" s="46">
        <f t="shared" si="39"/>
        <v>0</v>
      </c>
      <c r="AQ281" s="44">
        <f>($AM$3*AM281+$AN$3*AN281+$AO$3*AO281+$AP$3*AP281)+$I$3*VLOOKUP(I281,COND!$A$2:$E$7,4,FALSE)+$J$3*VLOOKUP(J281,COND!$A$2:$C$7,2,FALSE)+$K$3*VLOOKUP(K281,COND!$A$2:$C$7,3,FALSE)+IF(AND($B$2&gt;0,$E281&lt;20),$B$2*25,0)</f>
        <v>35.048194256635853</v>
      </c>
      <c r="AR281" s="47">
        <f>STANDARDIZE(AQ281,AVERAGE($AQ$5:$AQ$442),STDEVP($AQ$5:$AQ$442))</f>
        <v>-1.1926027064329265</v>
      </c>
      <c r="AS281" s="45" t="str">
        <f t="shared" si="40"/>
        <v>DH</v>
      </c>
      <c r="AT281" s="45">
        <v>900</v>
      </c>
      <c r="AU281" s="45">
        <v>277</v>
      </c>
      <c r="AV281" s="45"/>
      <c r="AW281" s="45" t="str">
        <f t="shared" si="41"/>
        <v>Unlikely</v>
      </c>
      <c r="AX281" s="45"/>
      <c r="AY281" s="45" t="str">
        <f>INDEX(Table5[[#All],[Ovr]],MATCH(Batters[[#This Row],[PID]],Table5[[#All],[PID]],0))</f>
        <v/>
      </c>
      <c r="AZ281" s="45" t="str">
        <f>INDEX(Table5[[#All],[Rnd]],MATCH(Batters[[#This Row],[PID]],Table5[[#All],[PID]],0))</f>
        <v/>
      </c>
      <c r="BA281" s="45" t="str">
        <f>INDEX(Table5[[#All],[Pick]],MATCH(Batters[[#This Row],[PID]],Table5[[#All],[PID]],0))</f>
        <v/>
      </c>
      <c r="BB281" s="45" t="str">
        <f>INDEX(Table5[[#All],[Team]],MATCH(Batters[[#This Row],[PID]],Table5[[#All],[PID]],0))</f>
        <v/>
      </c>
    </row>
    <row r="282" spans="1:54" ht="15" customHeight="1" x14ac:dyDescent="0.3">
      <c r="A282" s="40">
        <v>12553</v>
      </c>
      <c r="B282" s="40" t="s">
        <v>71</v>
      </c>
      <c r="C282" s="40" t="s">
        <v>370</v>
      </c>
      <c r="D282" s="40" t="s">
        <v>814</v>
      </c>
      <c r="E282" s="40">
        <v>21</v>
      </c>
      <c r="F282" s="40" t="s">
        <v>42</v>
      </c>
      <c r="G282" s="40" t="s">
        <v>42</v>
      </c>
      <c r="H282" s="41" t="s">
        <v>561</v>
      </c>
      <c r="I282" s="64" t="s">
        <v>43</v>
      </c>
      <c r="J282" s="65" t="s">
        <v>47</v>
      </c>
      <c r="K282" s="66" t="s">
        <v>43</v>
      </c>
      <c r="L282" s="40">
        <v>1</v>
      </c>
      <c r="M282" s="40">
        <v>3</v>
      </c>
      <c r="N282" s="40">
        <v>2</v>
      </c>
      <c r="O282" s="40">
        <v>2</v>
      </c>
      <c r="P282" s="41">
        <v>2</v>
      </c>
      <c r="Q282" s="40">
        <v>2</v>
      </c>
      <c r="R282" s="40">
        <v>5</v>
      </c>
      <c r="S282" s="40">
        <v>3</v>
      </c>
      <c r="T282" s="40">
        <v>5</v>
      </c>
      <c r="U282" s="41">
        <v>3</v>
      </c>
      <c r="V282" s="40">
        <v>3</v>
      </c>
      <c r="W282" s="40">
        <v>2</v>
      </c>
      <c r="X282" s="40">
        <v>1</v>
      </c>
      <c r="Y282" s="41">
        <v>1</v>
      </c>
      <c r="Z282" s="40" t="s">
        <v>45</v>
      </c>
      <c r="AA282" s="40" t="s">
        <v>45</v>
      </c>
      <c r="AB282" s="40">
        <v>1</v>
      </c>
      <c r="AC282" s="40" t="s">
        <v>45</v>
      </c>
      <c r="AD282" s="40" t="s">
        <v>45</v>
      </c>
      <c r="AE282" s="40" t="s">
        <v>45</v>
      </c>
      <c r="AF282" s="40" t="s">
        <v>45</v>
      </c>
      <c r="AG282" s="41" t="s">
        <v>45</v>
      </c>
      <c r="AH282" s="40">
        <v>2</v>
      </c>
      <c r="AI282" s="40">
        <v>5</v>
      </c>
      <c r="AJ282" s="41">
        <v>2</v>
      </c>
      <c r="AK282" s="43" t="s">
        <v>45</v>
      </c>
      <c r="AL282" s="43" t="s">
        <v>103</v>
      </c>
      <c r="AM282" s="44">
        <f t="shared" si="36"/>
        <v>-1.7694362067395988</v>
      </c>
      <c r="AN282" s="44">
        <f t="shared" si="37"/>
        <v>-0.9525541274297894</v>
      </c>
      <c r="AO282" s="45">
        <f t="shared" si="38"/>
        <v>0</v>
      </c>
      <c r="AP282" s="46">
        <f t="shared" si="39"/>
        <v>0</v>
      </c>
      <c r="AQ282" s="44">
        <f>($AM$3*AM282+$AN$3*AN282+$AO$3*AO282+$AP$3*AP282)+$I$3*VLOOKUP(I282,COND!$A$2:$E$7,4,FALSE)+$J$3*VLOOKUP(J282,COND!$A$2:$C$7,2,FALSE)+$K$3*VLOOKUP(K282,COND!$A$2:$C$7,3,FALSE)+IF(AND($B$2&gt;0,$E282&lt;20),$B$2*25,0)</f>
        <v>33.692406850168567</v>
      </c>
      <c r="AR282" s="47">
        <f>STANDARDIZE(AQ282,AVERAGE($AQ$5:$AQ$442),STDEVP($AQ$5:$AQ$442))</f>
        <v>-1.3905044312383712</v>
      </c>
      <c r="AS282" s="45" t="str">
        <f t="shared" si="40"/>
        <v>2B</v>
      </c>
      <c r="AT282" s="45">
        <v>900</v>
      </c>
      <c r="AU282" s="45">
        <v>278</v>
      </c>
      <c r="AV282" s="45"/>
      <c r="AW282" s="45" t="str">
        <f t="shared" si="41"/>
        <v>Unlikely</v>
      </c>
      <c r="AX282" s="45"/>
      <c r="AY282" s="45" t="str">
        <f>INDEX(Table5[[#All],[Ovr]],MATCH(Batters[[#This Row],[PID]],Table5[[#All],[PID]],0))</f>
        <v/>
      </c>
      <c r="AZ282" s="45" t="str">
        <f>INDEX(Table5[[#All],[Rnd]],MATCH(Batters[[#This Row],[PID]],Table5[[#All],[PID]],0))</f>
        <v/>
      </c>
      <c r="BA282" s="45" t="str">
        <f>INDEX(Table5[[#All],[Pick]],MATCH(Batters[[#This Row],[PID]],Table5[[#All],[PID]],0))</f>
        <v/>
      </c>
      <c r="BB282" s="45" t="str">
        <f>INDEX(Table5[[#All],[Team]],MATCH(Batters[[#This Row],[PID]],Table5[[#All],[PID]],0))</f>
        <v/>
      </c>
    </row>
    <row r="283" spans="1:54" ht="15" customHeight="1" x14ac:dyDescent="0.3">
      <c r="A283" s="40">
        <v>9555</v>
      </c>
      <c r="B283" s="40" t="s">
        <v>71</v>
      </c>
      <c r="C283" s="40" t="s">
        <v>759</v>
      </c>
      <c r="D283" s="40" t="s">
        <v>784</v>
      </c>
      <c r="E283" s="40">
        <v>21</v>
      </c>
      <c r="F283" s="40" t="s">
        <v>42</v>
      </c>
      <c r="G283" s="40" t="s">
        <v>42</v>
      </c>
      <c r="H283" s="41" t="s">
        <v>553</v>
      </c>
      <c r="I283" s="64" t="s">
        <v>47</v>
      </c>
      <c r="J283" s="65" t="s">
        <v>47</v>
      </c>
      <c r="K283" s="66" t="s">
        <v>43</v>
      </c>
      <c r="L283" s="40">
        <v>1</v>
      </c>
      <c r="M283" s="40">
        <v>2</v>
      </c>
      <c r="N283" s="40">
        <v>2</v>
      </c>
      <c r="O283" s="40">
        <v>3</v>
      </c>
      <c r="P283" s="41">
        <v>1</v>
      </c>
      <c r="Q283" s="40">
        <v>2</v>
      </c>
      <c r="R283" s="40">
        <v>3</v>
      </c>
      <c r="S283" s="40">
        <v>3</v>
      </c>
      <c r="T283" s="40">
        <v>6</v>
      </c>
      <c r="U283" s="41">
        <v>2</v>
      </c>
      <c r="V283" s="40">
        <v>4</v>
      </c>
      <c r="W283" s="40">
        <v>2</v>
      </c>
      <c r="X283" s="40">
        <v>1</v>
      </c>
      <c r="Y283" s="41">
        <v>1</v>
      </c>
      <c r="Z283" s="40" t="s">
        <v>45</v>
      </c>
      <c r="AA283" s="40" t="s">
        <v>45</v>
      </c>
      <c r="AB283" s="40">
        <v>1</v>
      </c>
      <c r="AC283" s="40" t="s">
        <v>45</v>
      </c>
      <c r="AD283" s="40" t="s">
        <v>45</v>
      </c>
      <c r="AE283" s="40" t="s">
        <v>45</v>
      </c>
      <c r="AF283" s="40" t="s">
        <v>45</v>
      </c>
      <c r="AG283" s="41" t="s">
        <v>45</v>
      </c>
      <c r="AH283" s="40">
        <v>8</v>
      </c>
      <c r="AI283" s="40">
        <v>2</v>
      </c>
      <c r="AJ283" s="41">
        <v>5</v>
      </c>
      <c r="AK283" s="43" t="s">
        <v>45</v>
      </c>
      <c r="AL283" s="43" t="s">
        <v>103</v>
      </c>
      <c r="AM283" s="44">
        <f t="shared" si="36"/>
        <v>-1.7708028761658048</v>
      </c>
      <c r="AN283" s="44">
        <f t="shared" si="37"/>
        <v>-1.0049806764746987</v>
      </c>
      <c r="AO283" s="45">
        <f t="shared" si="38"/>
        <v>1</v>
      </c>
      <c r="AP283" s="46">
        <f t="shared" si="39"/>
        <v>0</v>
      </c>
      <c r="AQ283" s="44">
        <f>($AM$3*AM283+$AN$3*AN283+$AO$3*AO283+$AP$3*AP283)+$I$3*VLOOKUP(I283,COND!$A$2:$E$7,4,FALSE)+$J$3*VLOOKUP(J283,COND!$A$2:$C$7,2,FALSE)+$K$3*VLOOKUP(K283,COND!$A$2:$C$7,3,FALSE)+IF(AND($B$2&gt;0,$E283&lt;20),$B$2*25,0)</f>
        <v>33.454818261353701</v>
      </c>
      <c r="AR283" s="47">
        <f>STANDARDIZE(AQ283,AVERAGE($AQ$5:$AQ$459),STDEVP($AQ$5:$AQ$459))</f>
        <v>-1.4014656275308917</v>
      </c>
      <c r="AS283" s="45" t="str">
        <f t="shared" si="40"/>
        <v>2B</v>
      </c>
      <c r="AT283" s="45">
        <v>900</v>
      </c>
      <c r="AU283" s="45">
        <v>279</v>
      </c>
      <c r="AV283" s="45"/>
      <c r="AW283" s="45" t="str">
        <f t="shared" si="41"/>
        <v>Unlikely</v>
      </c>
      <c r="AX283" s="45"/>
      <c r="AY283" s="63" t="str">
        <f>INDEX(Table5[[#All],[Ovr]],MATCH(Batters[[#This Row],[PID]],Table5[[#All],[PID]],0))</f>
        <v/>
      </c>
      <c r="AZ283" s="63" t="str">
        <f>INDEX(Table5[[#All],[Rnd]],MATCH(Batters[[#This Row],[PID]],Table5[[#All],[PID]],0))</f>
        <v/>
      </c>
      <c r="BA283" s="63" t="str">
        <f>INDEX(Table5[[#All],[Pick]],MATCH(Batters[[#This Row],[PID]],Table5[[#All],[PID]],0))</f>
        <v/>
      </c>
      <c r="BB283" s="63" t="str">
        <f>INDEX(Table5[[#All],[Team]],MATCH(Batters[[#This Row],[PID]],Table5[[#All],[PID]],0))</f>
        <v/>
      </c>
    </row>
    <row r="284" spans="1:54" ht="15" customHeight="1" x14ac:dyDescent="0.3">
      <c r="A284" s="40">
        <v>5505</v>
      </c>
      <c r="B284" s="40" t="s">
        <v>86</v>
      </c>
      <c r="C284" s="40" t="s">
        <v>870</v>
      </c>
      <c r="D284" s="40" t="s">
        <v>810</v>
      </c>
      <c r="E284" s="40">
        <v>22</v>
      </c>
      <c r="F284" s="40" t="s">
        <v>62</v>
      </c>
      <c r="G284" s="40" t="s">
        <v>42</v>
      </c>
      <c r="H284" s="41" t="s">
        <v>552</v>
      </c>
      <c r="I284" s="64" t="s">
        <v>43</v>
      </c>
      <c r="J284" s="65" t="s">
        <v>47</v>
      </c>
      <c r="K284" s="66" t="s">
        <v>43</v>
      </c>
      <c r="L284" s="40">
        <v>1</v>
      </c>
      <c r="M284" s="40">
        <v>2</v>
      </c>
      <c r="N284" s="40">
        <v>2</v>
      </c>
      <c r="O284" s="40">
        <v>2</v>
      </c>
      <c r="P284" s="41">
        <v>1</v>
      </c>
      <c r="Q284" s="40">
        <v>2</v>
      </c>
      <c r="R284" s="40">
        <v>4</v>
      </c>
      <c r="S284" s="40">
        <v>3</v>
      </c>
      <c r="T284" s="40">
        <v>4</v>
      </c>
      <c r="U284" s="41">
        <v>3</v>
      </c>
      <c r="V284" s="40">
        <v>4</v>
      </c>
      <c r="W284" s="40">
        <v>4</v>
      </c>
      <c r="X284" s="40">
        <v>7</v>
      </c>
      <c r="Y284" s="41">
        <v>8</v>
      </c>
      <c r="Z284" s="40">
        <v>3</v>
      </c>
      <c r="AA284" s="40" t="s">
        <v>45</v>
      </c>
      <c r="AB284" s="40" t="s">
        <v>45</v>
      </c>
      <c r="AC284" s="40" t="s">
        <v>45</v>
      </c>
      <c r="AD284" s="40" t="s">
        <v>45</v>
      </c>
      <c r="AE284" s="40" t="s">
        <v>45</v>
      </c>
      <c r="AF284" s="40" t="s">
        <v>45</v>
      </c>
      <c r="AG284" s="41" t="s">
        <v>45</v>
      </c>
      <c r="AH284" s="40">
        <v>4</v>
      </c>
      <c r="AI284" s="40">
        <v>5</v>
      </c>
      <c r="AJ284" s="41">
        <v>7</v>
      </c>
      <c r="AK284" s="43" t="s">
        <v>45</v>
      </c>
      <c r="AL284" s="43" t="s">
        <v>103</v>
      </c>
      <c r="AM284" s="44">
        <f t="shared" si="36"/>
        <v>-1.8605124261753858</v>
      </c>
      <c r="AN284" s="44">
        <f t="shared" si="37"/>
        <v>-1.0933235570580737</v>
      </c>
      <c r="AO284" s="45">
        <f t="shared" si="38"/>
        <v>1</v>
      </c>
      <c r="AP284" s="46">
        <f t="shared" si="39"/>
        <v>1.35</v>
      </c>
      <c r="AQ284" s="44">
        <f>($AM$3*AM284+$AN$3*AN284+$AO$3*AO284+$AP$3*AP284)+$I$3*VLOOKUP(I284,COND!$A$2:$E$7,4,FALSE)+$J$3*VLOOKUP(J284,COND!$A$2:$C$7,2,FALSE)+$K$3*VLOOKUP(K284,COND!$A$2:$C$7,3,FALSE)+IF(AND($B$2&gt;0,$E284&lt;20),$B$2*25,0)</f>
        <v>33.510732739352243</v>
      </c>
      <c r="AR284" s="47">
        <f>STANDARDIZE(AQ284,AVERAGE($AQ$5:$AQ$442),STDEVP($AQ$5:$AQ$442))</f>
        <v>-1.4170230577660572</v>
      </c>
      <c r="AS284" s="45" t="str">
        <f t="shared" si="40"/>
        <v>C</v>
      </c>
      <c r="AT284" s="45">
        <v>900</v>
      </c>
      <c r="AU284" s="45">
        <v>280</v>
      </c>
      <c r="AV284" s="45"/>
      <c r="AW284" s="45" t="str">
        <f t="shared" si="41"/>
        <v>Unlikely</v>
      </c>
      <c r="AX284" s="45"/>
      <c r="AY284" s="45" t="str">
        <f>INDEX(Table5[[#All],[Ovr]],MATCH(Batters[[#This Row],[PID]],Table5[[#All],[PID]],0))</f>
        <v/>
      </c>
      <c r="AZ284" s="45" t="str">
        <f>INDEX(Table5[[#All],[Rnd]],MATCH(Batters[[#This Row],[PID]],Table5[[#All],[PID]],0))</f>
        <v/>
      </c>
      <c r="BA284" s="45" t="str">
        <f>INDEX(Table5[[#All],[Pick]],MATCH(Batters[[#This Row],[PID]],Table5[[#All],[PID]],0))</f>
        <v/>
      </c>
      <c r="BB284" s="45" t="str">
        <f>INDEX(Table5[[#All],[Team]],MATCH(Batters[[#This Row],[PID]],Table5[[#All],[PID]],0))</f>
        <v/>
      </c>
    </row>
    <row r="285" spans="1:54" ht="15" customHeight="1" x14ac:dyDescent="0.3">
      <c r="A285" s="40">
        <v>16936</v>
      </c>
      <c r="B285" s="40" t="s">
        <v>87</v>
      </c>
      <c r="C285" s="40" t="s">
        <v>165</v>
      </c>
      <c r="D285" s="40" t="s">
        <v>738</v>
      </c>
      <c r="E285" s="40">
        <v>22</v>
      </c>
      <c r="F285" s="40" t="s">
        <v>42</v>
      </c>
      <c r="G285" s="40" t="s">
        <v>42</v>
      </c>
      <c r="H285" s="41" t="s">
        <v>561</v>
      </c>
      <c r="I285" s="64" t="s">
        <v>43</v>
      </c>
      <c r="J285" s="65" t="s">
        <v>47</v>
      </c>
      <c r="K285" s="66" t="s">
        <v>43</v>
      </c>
      <c r="L285" s="40">
        <v>2</v>
      </c>
      <c r="M285" s="40">
        <v>2</v>
      </c>
      <c r="N285" s="40">
        <v>2</v>
      </c>
      <c r="O285" s="40">
        <v>3</v>
      </c>
      <c r="P285" s="41">
        <v>1</v>
      </c>
      <c r="Q285" s="40">
        <v>2</v>
      </c>
      <c r="R285" s="40">
        <v>4</v>
      </c>
      <c r="S285" s="40">
        <v>3</v>
      </c>
      <c r="T285" s="40">
        <v>5</v>
      </c>
      <c r="U285" s="41">
        <v>3</v>
      </c>
      <c r="V285" s="40">
        <v>3</v>
      </c>
      <c r="W285" s="40">
        <v>3</v>
      </c>
      <c r="X285" s="40">
        <v>5</v>
      </c>
      <c r="Y285" s="41">
        <v>4</v>
      </c>
      <c r="Z285" s="40" t="s">
        <v>45</v>
      </c>
      <c r="AA285" s="40">
        <v>1</v>
      </c>
      <c r="AB285" s="40" t="s">
        <v>45</v>
      </c>
      <c r="AC285" s="40" t="s">
        <v>45</v>
      </c>
      <c r="AD285" s="40" t="s">
        <v>45</v>
      </c>
      <c r="AE285" s="40" t="s">
        <v>45</v>
      </c>
      <c r="AF285" s="40" t="s">
        <v>45</v>
      </c>
      <c r="AG285" s="41" t="s">
        <v>45</v>
      </c>
      <c r="AH285" s="40">
        <v>1</v>
      </c>
      <c r="AI285" s="40">
        <v>2</v>
      </c>
      <c r="AJ285" s="41">
        <v>5</v>
      </c>
      <c r="AK285" s="43" t="s">
        <v>45</v>
      </c>
      <c r="AL285" s="43" t="s">
        <v>103</v>
      </c>
      <c r="AM285" s="44">
        <f t="shared" si="36"/>
        <v>-1.4482470399631302</v>
      </c>
      <c r="AN285" s="44">
        <f t="shared" si="37"/>
        <v>-1.0036140070484929</v>
      </c>
      <c r="AO285" s="45">
        <f t="shared" si="38"/>
        <v>0</v>
      </c>
      <c r="AP285" s="46">
        <f t="shared" si="39"/>
        <v>0</v>
      </c>
      <c r="AQ285" s="44">
        <f>($AM$3*AM285+$AN$3*AN285+$AO$3*AO285+$AP$3*AP285)+$I$3*VLOOKUP(I285,COND!$A$2:$E$7,4,FALSE)+$J$3*VLOOKUP(J285,COND!$A$2:$C$7,2,FALSE)+$K$3*VLOOKUP(K285,COND!$A$2:$C$7,3,FALSE)+IF(AND($B$2&gt;0,$E285&lt;20),$B$2*25,0)</f>
        <v>33.111807211421777</v>
      </c>
      <c r="AR285" s="47">
        <f>STANDARDIZE(AQ285,AVERAGE($AQ$5:$AQ$442),STDEVP($AQ$5:$AQ$442))</f>
        <v>-1.4752534629680594</v>
      </c>
      <c r="AS285" s="45" t="str">
        <f t="shared" si="40"/>
        <v>1B</v>
      </c>
      <c r="AT285" s="45">
        <v>900</v>
      </c>
      <c r="AU285" s="45">
        <v>281</v>
      </c>
      <c r="AV285" s="45"/>
      <c r="AW285" s="45" t="str">
        <f t="shared" si="41"/>
        <v>Unlikely</v>
      </c>
      <c r="AX285" s="45"/>
      <c r="AY285" s="45" t="str">
        <f>INDEX(Table5[[#All],[Ovr]],MATCH(Batters[[#This Row],[PID]],Table5[[#All],[PID]],0))</f>
        <v/>
      </c>
      <c r="AZ285" s="45" t="str">
        <f>INDEX(Table5[[#All],[Rnd]],MATCH(Batters[[#This Row],[PID]],Table5[[#All],[PID]],0))</f>
        <v/>
      </c>
      <c r="BA285" s="45" t="str">
        <f>INDEX(Table5[[#All],[Pick]],MATCH(Batters[[#This Row],[PID]],Table5[[#All],[PID]],0))</f>
        <v/>
      </c>
      <c r="BB285" s="45" t="str">
        <f>INDEX(Table5[[#All],[Team]],MATCH(Batters[[#This Row],[PID]],Table5[[#All],[PID]],0))</f>
        <v/>
      </c>
    </row>
    <row r="286" spans="1:54" ht="15" customHeight="1" x14ac:dyDescent="0.3">
      <c r="A286" s="40">
        <v>15228</v>
      </c>
      <c r="B286" s="40" t="s">
        <v>87</v>
      </c>
      <c r="C286" s="40" t="s">
        <v>944</v>
      </c>
      <c r="D286" s="40" t="s">
        <v>603</v>
      </c>
      <c r="E286" s="40">
        <v>21</v>
      </c>
      <c r="F286" s="40" t="s">
        <v>42</v>
      </c>
      <c r="G286" s="40" t="s">
        <v>42</v>
      </c>
      <c r="H286" s="41" t="s">
        <v>561</v>
      </c>
      <c r="I286" s="64" t="s">
        <v>43</v>
      </c>
      <c r="J286" s="65" t="s">
        <v>43</v>
      </c>
      <c r="K286" s="66" t="s">
        <v>43</v>
      </c>
      <c r="L286" s="40">
        <v>1</v>
      </c>
      <c r="M286" s="40">
        <v>2</v>
      </c>
      <c r="N286" s="40">
        <v>2</v>
      </c>
      <c r="O286" s="40">
        <v>2</v>
      </c>
      <c r="P286" s="41">
        <v>1</v>
      </c>
      <c r="Q286" s="40">
        <v>3</v>
      </c>
      <c r="R286" s="40">
        <v>2</v>
      </c>
      <c r="S286" s="40">
        <v>2</v>
      </c>
      <c r="T286" s="40">
        <v>4</v>
      </c>
      <c r="U286" s="41">
        <v>3</v>
      </c>
      <c r="V286" s="40">
        <v>6</v>
      </c>
      <c r="W286" s="40">
        <v>3</v>
      </c>
      <c r="X286" s="40">
        <v>1</v>
      </c>
      <c r="Y286" s="41">
        <v>1</v>
      </c>
      <c r="Z286" s="40" t="s">
        <v>45</v>
      </c>
      <c r="AA286" s="40">
        <v>1</v>
      </c>
      <c r="AB286" s="40" t="s">
        <v>45</v>
      </c>
      <c r="AC286" s="40" t="s">
        <v>45</v>
      </c>
      <c r="AD286" s="40" t="s">
        <v>45</v>
      </c>
      <c r="AE286" s="40" t="s">
        <v>45</v>
      </c>
      <c r="AF286" s="40" t="s">
        <v>45</v>
      </c>
      <c r="AG286" s="41" t="s">
        <v>45</v>
      </c>
      <c r="AH286" s="40">
        <v>5</v>
      </c>
      <c r="AI286" s="40">
        <v>4</v>
      </c>
      <c r="AJ286" s="41">
        <v>5</v>
      </c>
      <c r="AK286" s="43" t="s">
        <v>45</v>
      </c>
      <c r="AL286" s="43" t="s">
        <v>103</v>
      </c>
      <c r="AM286" s="44">
        <f t="shared" si="36"/>
        <v>-1.8605124261753858</v>
      </c>
      <c r="AN286" s="44">
        <f t="shared" si="37"/>
        <v>-0.95594897411670754</v>
      </c>
      <c r="AO286" s="45">
        <f t="shared" si="38"/>
        <v>0</v>
      </c>
      <c r="AP286" s="46">
        <f t="shared" si="39"/>
        <v>0</v>
      </c>
      <c r="AQ286" s="44">
        <f>($AM$3*AM286+$AN$3*AN286+$AO$3*AO286+$AP$3*AP286)+$I$3*VLOOKUP(I286,COND!$A$2:$E$7,4,FALSE)+$J$3*VLOOKUP(J286,COND!$A$2:$C$7,2,FALSE)+$K$3*VLOOKUP(K286,COND!$A$2:$C$7,3,FALSE)+IF(AND($B$2&gt;0,$E286&lt;20),$B$2*25,0)</f>
        <v>33.342561067981968</v>
      </c>
      <c r="AR286" s="47">
        <f>STANDARDIZE(AQ286,AVERAGE($AQ$5:$AQ$442),STDEVP($AQ$5:$AQ$442))</f>
        <v>-1.4415707587321782</v>
      </c>
      <c r="AS286" s="45" t="str">
        <f t="shared" si="40"/>
        <v>1B</v>
      </c>
      <c r="AT286" s="45">
        <v>900</v>
      </c>
      <c r="AU286" s="45">
        <v>282</v>
      </c>
      <c r="AV286" s="45"/>
      <c r="AW286" s="45" t="str">
        <f t="shared" si="41"/>
        <v>Unlikely</v>
      </c>
      <c r="AX286" s="45"/>
      <c r="AY286" s="45" t="str">
        <f>INDEX(Table5[[#All],[Ovr]],MATCH(Batters[[#This Row],[PID]],Table5[[#All],[PID]],0))</f>
        <v/>
      </c>
      <c r="AZ286" s="45" t="str">
        <f>INDEX(Table5[[#All],[Rnd]],MATCH(Batters[[#This Row],[PID]],Table5[[#All],[PID]],0))</f>
        <v/>
      </c>
      <c r="BA286" s="45" t="str">
        <f>INDEX(Table5[[#All],[Pick]],MATCH(Batters[[#This Row],[PID]],Table5[[#All],[PID]],0))</f>
        <v/>
      </c>
      <c r="BB286" s="45" t="str">
        <f>INDEX(Table5[[#All],[Team]],MATCH(Batters[[#This Row],[PID]],Table5[[#All],[PID]],0))</f>
        <v/>
      </c>
    </row>
    <row r="287" spans="1:54" ht="15" customHeight="1" x14ac:dyDescent="0.3">
      <c r="A287" s="40">
        <v>14367</v>
      </c>
      <c r="B287" s="40" t="s">
        <v>86</v>
      </c>
      <c r="C287" s="40" t="s">
        <v>857</v>
      </c>
      <c r="D287" s="40" t="s">
        <v>858</v>
      </c>
      <c r="E287" s="40">
        <v>22</v>
      </c>
      <c r="F287" s="40" t="s">
        <v>62</v>
      </c>
      <c r="G287" s="40" t="s">
        <v>42</v>
      </c>
      <c r="H287" s="41" t="s">
        <v>552</v>
      </c>
      <c r="I287" s="64" t="s">
        <v>44</v>
      </c>
      <c r="J287" s="65" t="s">
        <v>43</v>
      </c>
      <c r="K287" s="66" t="s">
        <v>43</v>
      </c>
      <c r="L287" s="40">
        <v>1</v>
      </c>
      <c r="M287" s="40">
        <v>4</v>
      </c>
      <c r="N287" s="40">
        <v>3</v>
      </c>
      <c r="O287" s="40">
        <v>3</v>
      </c>
      <c r="P287" s="41">
        <v>1</v>
      </c>
      <c r="Q287" s="40">
        <v>2</v>
      </c>
      <c r="R287" s="40">
        <v>4</v>
      </c>
      <c r="S287" s="40">
        <v>3</v>
      </c>
      <c r="T287" s="40">
        <v>5</v>
      </c>
      <c r="U287" s="41">
        <v>1</v>
      </c>
      <c r="V287" s="40">
        <v>3</v>
      </c>
      <c r="W287" s="40">
        <v>2</v>
      </c>
      <c r="X287" s="40">
        <v>5</v>
      </c>
      <c r="Y287" s="41">
        <v>9</v>
      </c>
      <c r="Z287" s="40">
        <v>3</v>
      </c>
      <c r="AA287" s="40" t="s">
        <v>45</v>
      </c>
      <c r="AB287" s="40" t="s">
        <v>45</v>
      </c>
      <c r="AC287" s="40" t="s">
        <v>45</v>
      </c>
      <c r="AD287" s="40" t="s">
        <v>45</v>
      </c>
      <c r="AE287" s="40" t="s">
        <v>45</v>
      </c>
      <c r="AF287" s="40" t="s">
        <v>45</v>
      </c>
      <c r="AG287" s="41" t="s">
        <v>45</v>
      </c>
      <c r="AH287" s="40">
        <v>2</v>
      </c>
      <c r="AI287" s="40">
        <v>1</v>
      </c>
      <c r="AJ287" s="41">
        <v>2</v>
      </c>
      <c r="AK287" s="43" t="s">
        <v>45</v>
      </c>
      <c r="AL287" s="43" t="s">
        <v>103</v>
      </c>
      <c r="AM287" s="44">
        <f t="shared" si="36"/>
        <v>-1.5856216229044964</v>
      </c>
      <c r="AN287" s="44">
        <f t="shared" si="37"/>
        <v>-1.0836466866826597</v>
      </c>
      <c r="AO287" s="45">
        <f t="shared" si="38"/>
        <v>0</v>
      </c>
      <c r="AP287" s="46">
        <f t="shared" si="39"/>
        <v>1.35</v>
      </c>
      <c r="AQ287" s="44">
        <f>($AM$3*AM287+$AN$3*AN287+$AO$3*AO287+$AP$3*AP287)+$I$3*VLOOKUP(I287,COND!$A$2:$E$7,4,FALSE)+$J$3*VLOOKUP(J287,COND!$A$2:$C$7,2,FALSE)+$K$3*VLOOKUP(K287,COND!$A$2:$C$7,3,FALSE)+IF(AND($B$2&gt;0,$E287&lt;20),$B$2*25,0)</f>
        <v>33.037677597517636</v>
      </c>
      <c r="AR287" s="47">
        <f>STANDARDIZE(AQ287,AVERAGE($AQ$5:$AQ$459),STDEVP($AQ$5:$AQ$459))</f>
        <v>-1.4618587206903482</v>
      </c>
      <c r="AS287" s="45" t="str">
        <f t="shared" si="40"/>
        <v>C</v>
      </c>
      <c r="AT287" s="45">
        <v>900</v>
      </c>
      <c r="AU287" s="45">
        <v>283</v>
      </c>
      <c r="AV287" s="45"/>
      <c r="AW287" s="45" t="str">
        <f t="shared" si="41"/>
        <v>Unlikely</v>
      </c>
      <c r="AX287" s="45"/>
      <c r="AY287" s="63" t="str">
        <f>INDEX(Table5[[#All],[Ovr]],MATCH(Batters[[#This Row],[PID]],Table5[[#All],[PID]],0))</f>
        <v/>
      </c>
      <c r="AZ287" s="63" t="str">
        <f>INDEX(Table5[[#All],[Rnd]],MATCH(Batters[[#This Row],[PID]],Table5[[#All],[PID]],0))</f>
        <v/>
      </c>
      <c r="BA287" s="63" t="str">
        <f>INDEX(Table5[[#All],[Pick]],MATCH(Batters[[#This Row],[PID]],Table5[[#All],[PID]],0))</f>
        <v/>
      </c>
      <c r="BB287" s="63" t="str">
        <f>INDEX(Table5[[#All],[Team]],MATCH(Batters[[#This Row],[PID]],Table5[[#All],[PID]],0))</f>
        <v/>
      </c>
    </row>
    <row r="288" spans="1:54" ht="15" customHeight="1" x14ac:dyDescent="0.3">
      <c r="A288" s="40">
        <v>17031</v>
      </c>
      <c r="B288" s="40" t="s">
        <v>86</v>
      </c>
      <c r="C288" s="40" t="s">
        <v>771</v>
      </c>
      <c r="D288" s="40" t="s">
        <v>824</v>
      </c>
      <c r="E288" s="40">
        <v>22</v>
      </c>
      <c r="F288" s="40" t="s">
        <v>42</v>
      </c>
      <c r="G288" s="40" t="s">
        <v>42</v>
      </c>
      <c r="H288" s="41" t="s">
        <v>552</v>
      </c>
      <c r="I288" s="64" t="s">
        <v>43</v>
      </c>
      <c r="J288" s="65" t="s">
        <v>47</v>
      </c>
      <c r="K288" s="66" t="s">
        <v>43</v>
      </c>
      <c r="L288" s="40">
        <v>2</v>
      </c>
      <c r="M288" s="40">
        <v>3</v>
      </c>
      <c r="N288" s="40">
        <v>2</v>
      </c>
      <c r="O288" s="40">
        <v>2</v>
      </c>
      <c r="P288" s="41">
        <v>1</v>
      </c>
      <c r="Q288" s="40">
        <v>2</v>
      </c>
      <c r="R288" s="40">
        <v>3</v>
      </c>
      <c r="S288" s="40">
        <v>3</v>
      </c>
      <c r="T288" s="40">
        <v>5</v>
      </c>
      <c r="U288" s="41">
        <v>3</v>
      </c>
      <c r="V288" s="40">
        <v>2</v>
      </c>
      <c r="W288" s="40">
        <v>1</v>
      </c>
      <c r="X288" s="40">
        <v>5</v>
      </c>
      <c r="Y288" s="41">
        <v>8</v>
      </c>
      <c r="Z288" s="40" t="s">
        <v>45</v>
      </c>
      <c r="AA288" s="40" t="s">
        <v>45</v>
      </c>
      <c r="AB288" s="40" t="s">
        <v>45</v>
      </c>
      <c r="AC288" s="40" t="s">
        <v>45</v>
      </c>
      <c r="AD288" s="40" t="s">
        <v>45</v>
      </c>
      <c r="AE288" s="40" t="s">
        <v>45</v>
      </c>
      <c r="AF288" s="40" t="s">
        <v>45</v>
      </c>
      <c r="AG288" s="41" t="s">
        <v>45</v>
      </c>
      <c r="AH288" s="40">
        <v>1</v>
      </c>
      <c r="AI288" s="40">
        <v>1</v>
      </c>
      <c r="AJ288" s="41">
        <v>1</v>
      </c>
      <c r="AK288" s="43" t="s">
        <v>45</v>
      </c>
      <c r="AL288" s="43" t="s">
        <v>103</v>
      </c>
      <c r="AM288" s="44">
        <f t="shared" si="36"/>
        <v>-1.4868967103540081</v>
      </c>
      <c r="AN288" s="44">
        <f t="shared" si="37"/>
        <v>-1.0546738866671965</v>
      </c>
      <c r="AO288" s="45">
        <f t="shared" si="38"/>
        <v>0</v>
      </c>
      <c r="AP288" s="46">
        <f t="shared" si="39"/>
        <v>0</v>
      </c>
      <c r="AQ288" s="44">
        <f>($AM$3*AM288+$AN$3*AN288+$AO$3*AO288+$AP$3*AP288)+$I$3*VLOOKUP(I288,COND!$A$2:$E$7,4,FALSE)+$J$3*VLOOKUP(J288,COND!$A$2:$C$7,2,FALSE)+$K$3*VLOOKUP(K288,COND!$A$2:$C$7,3,FALSE)+IF(AND($B$2&gt;0,$E288&lt;20),$B$2*25,0)</f>
        <v>32.495223688958241</v>
      </c>
      <c r="AR288" s="47">
        <f>STANDARDIZE(AQ288,AVERAGE($AQ$5:$AQ$442),STDEVP($AQ$5:$AQ$442))</f>
        <v>-1.565254994181644</v>
      </c>
      <c r="AS288" s="45" t="str">
        <f t="shared" si="40"/>
        <v>DH</v>
      </c>
      <c r="AT288" s="45">
        <v>900</v>
      </c>
      <c r="AU288" s="45">
        <v>284</v>
      </c>
      <c r="AV288" s="45"/>
      <c r="AW288" s="45" t="str">
        <f t="shared" si="41"/>
        <v>Unlikely</v>
      </c>
      <c r="AX288" s="45"/>
      <c r="AY288" s="63" t="str">
        <f>INDEX(Table5[[#All],[Ovr]],MATCH(Batters[[#This Row],[PID]],Table5[[#All],[PID]],0))</f>
        <v/>
      </c>
      <c r="AZ288" s="63" t="str">
        <f>INDEX(Table5[[#All],[Rnd]],MATCH(Batters[[#This Row],[PID]],Table5[[#All],[PID]],0))</f>
        <v/>
      </c>
      <c r="BA288" s="63" t="str">
        <f>INDEX(Table5[[#All],[Pick]],MATCH(Batters[[#This Row],[PID]],Table5[[#All],[PID]],0))</f>
        <v/>
      </c>
      <c r="BB288" s="63" t="str">
        <f>INDEX(Table5[[#All],[Team]],MATCH(Batters[[#This Row],[PID]],Table5[[#All],[PID]],0))</f>
        <v/>
      </c>
    </row>
    <row r="289" spans="1:54" ht="15" customHeight="1" x14ac:dyDescent="0.3">
      <c r="A289" s="40">
        <v>16908</v>
      </c>
      <c r="B289" s="40" t="s">
        <v>86</v>
      </c>
      <c r="C289" s="40" t="s">
        <v>866</v>
      </c>
      <c r="D289" s="40" t="s">
        <v>663</v>
      </c>
      <c r="E289" s="40">
        <v>22</v>
      </c>
      <c r="F289" s="40" t="s">
        <v>42</v>
      </c>
      <c r="G289" s="40" t="s">
        <v>42</v>
      </c>
      <c r="H289" s="41" t="s">
        <v>552</v>
      </c>
      <c r="I289" s="64" t="s">
        <v>47</v>
      </c>
      <c r="J289" s="65" t="s">
        <v>43</v>
      </c>
      <c r="K289" s="66" t="s">
        <v>43</v>
      </c>
      <c r="L289" s="40">
        <v>1</v>
      </c>
      <c r="M289" s="40">
        <v>2</v>
      </c>
      <c r="N289" s="40">
        <v>2</v>
      </c>
      <c r="O289" s="40">
        <v>2</v>
      </c>
      <c r="P289" s="41">
        <v>1</v>
      </c>
      <c r="Q289" s="40">
        <v>2</v>
      </c>
      <c r="R289" s="40">
        <v>3</v>
      </c>
      <c r="S289" s="40">
        <v>3</v>
      </c>
      <c r="T289" s="40">
        <v>4</v>
      </c>
      <c r="U289" s="41">
        <v>3</v>
      </c>
      <c r="V289" s="40">
        <v>3</v>
      </c>
      <c r="W289" s="40">
        <v>4</v>
      </c>
      <c r="X289" s="40">
        <v>6</v>
      </c>
      <c r="Y289" s="41">
        <v>8</v>
      </c>
      <c r="Z289" s="40">
        <v>3</v>
      </c>
      <c r="AA289" s="40" t="s">
        <v>45</v>
      </c>
      <c r="AB289" s="40" t="s">
        <v>45</v>
      </c>
      <c r="AC289" s="40" t="s">
        <v>45</v>
      </c>
      <c r="AD289" s="40" t="s">
        <v>45</v>
      </c>
      <c r="AE289" s="40" t="s">
        <v>45</v>
      </c>
      <c r="AF289" s="40" t="s">
        <v>45</v>
      </c>
      <c r="AG289" s="41" t="s">
        <v>45</v>
      </c>
      <c r="AH289" s="40">
        <v>1</v>
      </c>
      <c r="AI289" s="40">
        <v>10</v>
      </c>
      <c r="AJ289" s="41">
        <v>9</v>
      </c>
      <c r="AK289" s="43" t="s">
        <v>45</v>
      </c>
      <c r="AL289" s="43" t="s">
        <v>103</v>
      </c>
      <c r="AM289" s="44">
        <f t="shared" si="36"/>
        <v>-1.8605124261753858</v>
      </c>
      <c r="AN289" s="44">
        <f t="shared" si="37"/>
        <v>-1.1443834366767773</v>
      </c>
      <c r="AO289" s="45">
        <f t="shared" si="38"/>
        <v>3</v>
      </c>
      <c r="AP289" s="46">
        <f t="shared" si="39"/>
        <v>1.35</v>
      </c>
      <c r="AQ289" s="44">
        <f>($AM$3*AM289+$AN$3*AN289+$AO$3*AO289+$AP$3*AP289)+$I$3*VLOOKUP(I289,COND!$A$2:$E$7,4,FALSE)+$J$3*VLOOKUP(J289,COND!$A$2:$C$7,2,FALSE)+$K$3*VLOOKUP(K289,COND!$A$2:$C$7,3,FALSE)+IF(AND($B$2&gt;0,$E289&lt;20),$B$2*25,0)</f>
        <v>33.156347517261132</v>
      </c>
      <c r="AR289" s="47">
        <f>STANDARDIZE(AQ289,AVERAGE($AQ$5:$AQ$442),STDEVP($AQ$5:$AQ$442))</f>
        <v>-1.4687519987215827</v>
      </c>
      <c r="AS289" s="45" t="str">
        <f t="shared" si="40"/>
        <v>C</v>
      </c>
      <c r="AT289" s="45">
        <v>900</v>
      </c>
      <c r="AU289" s="45">
        <v>285</v>
      </c>
      <c r="AV289" s="45"/>
      <c r="AW289" s="45" t="str">
        <f t="shared" si="41"/>
        <v>Unlikely</v>
      </c>
      <c r="AX289" s="45"/>
      <c r="AY289" s="45" t="str">
        <f>INDEX(Table5[[#All],[Ovr]],MATCH(Batters[[#This Row],[PID]],Table5[[#All],[PID]],0))</f>
        <v/>
      </c>
      <c r="AZ289" s="45" t="str">
        <f>INDEX(Table5[[#All],[Rnd]],MATCH(Batters[[#This Row],[PID]],Table5[[#All],[PID]],0))</f>
        <v/>
      </c>
      <c r="BA289" s="45" t="str">
        <f>INDEX(Table5[[#All],[Pick]],MATCH(Batters[[#This Row],[PID]],Table5[[#All],[PID]],0))</f>
        <v/>
      </c>
      <c r="BB289" s="45" t="str">
        <f>INDEX(Table5[[#All],[Team]],MATCH(Batters[[#This Row],[PID]],Table5[[#All],[PID]],0))</f>
        <v/>
      </c>
    </row>
    <row r="290" spans="1:54" ht="15" customHeight="1" x14ac:dyDescent="0.3">
      <c r="A290" s="40">
        <v>7310</v>
      </c>
      <c r="B290" s="40" t="s">
        <v>87</v>
      </c>
      <c r="C290" s="40" t="s">
        <v>564</v>
      </c>
      <c r="D290" s="40" t="s">
        <v>522</v>
      </c>
      <c r="E290" s="40">
        <v>21</v>
      </c>
      <c r="F290" s="40" t="s">
        <v>62</v>
      </c>
      <c r="G290" s="40" t="s">
        <v>42</v>
      </c>
      <c r="H290" s="41" t="s">
        <v>553</v>
      </c>
      <c r="I290" s="64" t="s">
        <v>43</v>
      </c>
      <c r="J290" s="65" t="s">
        <v>47</v>
      </c>
      <c r="K290" s="66" t="s">
        <v>43</v>
      </c>
      <c r="L290" s="40">
        <v>1</v>
      </c>
      <c r="M290" s="40">
        <v>1</v>
      </c>
      <c r="N290" s="40">
        <v>2</v>
      </c>
      <c r="O290" s="40">
        <v>2</v>
      </c>
      <c r="P290" s="41">
        <v>1</v>
      </c>
      <c r="Q290" s="40">
        <v>2</v>
      </c>
      <c r="R290" s="40">
        <v>4</v>
      </c>
      <c r="S290" s="40">
        <v>3</v>
      </c>
      <c r="T290" s="40">
        <v>5</v>
      </c>
      <c r="U290" s="41">
        <v>1</v>
      </c>
      <c r="V290" s="40">
        <v>3</v>
      </c>
      <c r="W290" s="40">
        <v>3</v>
      </c>
      <c r="X290" s="40">
        <v>4</v>
      </c>
      <c r="Y290" s="41">
        <v>3</v>
      </c>
      <c r="Z290" s="40" t="s">
        <v>45</v>
      </c>
      <c r="AA290" s="40">
        <v>1</v>
      </c>
      <c r="AB290" s="40" t="s">
        <v>45</v>
      </c>
      <c r="AC290" s="40" t="s">
        <v>45</v>
      </c>
      <c r="AD290" s="40" t="s">
        <v>45</v>
      </c>
      <c r="AE290" s="40" t="s">
        <v>45</v>
      </c>
      <c r="AF290" s="40" t="s">
        <v>45</v>
      </c>
      <c r="AG290" s="41" t="s">
        <v>45</v>
      </c>
      <c r="AH290" s="40">
        <v>1</v>
      </c>
      <c r="AI290" s="40">
        <v>4</v>
      </c>
      <c r="AJ290" s="41">
        <v>5</v>
      </c>
      <c r="AK290" s="43" t="s">
        <v>557</v>
      </c>
      <c r="AL290" s="43" t="s">
        <v>103</v>
      </c>
      <c r="AM290" s="44">
        <f t="shared" si="36"/>
        <v>-1.9115723057940897</v>
      </c>
      <c r="AN290" s="44">
        <f t="shared" si="37"/>
        <v>-1.0836466866826597</v>
      </c>
      <c r="AO290" s="45">
        <f t="shared" si="38"/>
        <v>0</v>
      </c>
      <c r="AP290" s="46">
        <f t="shared" si="39"/>
        <v>0</v>
      </c>
      <c r="AQ290" s="44">
        <f>($AM$3*AM290+$AN$3*AN290+$AO$3*AO290+$AP$3*AP290)+$I$3*VLOOKUP(I290,COND!$A$2:$E$7,4,FALSE)+$J$3*VLOOKUP(J290,COND!$A$2:$C$7,2,FALSE)+$K$3*VLOOKUP(K290,COND!$A$2:$C$7,3,FALSE)+IF(AND($B$2&gt;0,$E290&lt;20),$B$2*25,0)</f>
        <v>32.105082529228675</v>
      </c>
      <c r="AR290" s="47">
        <f>STANDARDIZE(AQ290,AVERAGE($AQ$5:$AQ$459),STDEVP($AQ$5:$AQ$459))</f>
        <v>-1.596878644955894</v>
      </c>
      <c r="AS290" s="45" t="str">
        <f t="shared" si="40"/>
        <v>1B</v>
      </c>
      <c r="AT290" s="45">
        <v>900</v>
      </c>
      <c r="AU290" s="45">
        <v>286</v>
      </c>
      <c r="AV290" s="45"/>
      <c r="AW290" s="45" t="str">
        <f t="shared" si="41"/>
        <v>Unlikely</v>
      </c>
      <c r="AX290" s="45"/>
      <c r="AY290" s="63" t="str">
        <f>INDEX(Table5[[#All],[Ovr]],MATCH(Batters[[#This Row],[PID]],Table5[[#All],[PID]],0))</f>
        <v/>
      </c>
      <c r="AZ290" s="63" t="str">
        <f>INDEX(Table5[[#All],[Rnd]],MATCH(Batters[[#This Row],[PID]],Table5[[#All],[PID]],0))</f>
        <v/>
      </c>
      <c r="BA290" s="63" t="str">
        <f>INDEX(Table5[[#All],[Pick]],MATCH(Batters[[#This Row],[PID]],Table5[[#All],[PID]],0))</f>
        <v/>
      </c>
      <c r="BB290" s="63" t="str">
        <f>INDEX(Table5[[#All],[Team]],MATCH(Batters[[#This Row],[PID]],Table5[[#All],[PID]],0))</f>
        <v/>
      </c>
    </row>
    <row r="291" spans="1:54" ht="15" customHeight="1" x14ac:dyDescent="0.3">
      <c r="A291" s="40">
        <v>8711</v>
      </c>
      <c r="B291" s="40" t="s">
        <v>86</v>
      </c>
      <c r="C291" s="40" t="s">
        <v>625</v>
      </c>
      <c r="D291" s="40" t="s">
        <v>928</v>
      </c>
      <c r="E291" s="40">
        <v>21</v>
      </c>
      <c r="F291" s="40" t="s">
        <v>42</v>
      </c>
      <c r="G291" s="40" t="s">
        <v>42</v>
      </c>
      <c r="H291" s="41" t="s">
        <v>552</v>
      </c>
      <c r="I291" s="64" t="s">
        <v>43</v>
      </c>
      <c r="J291" s="65" t="s">
        <v>43</v>
      </c>
      <c r="K291" s="66" t="s">
        <v>43</v>
      </c>
      <c r="L291" s="40">
        <v>1</v>
      </c>
      <c r="M291" s="40">
        <v>1</v>
      </c>
      <c r="N291" s="40">
        <v>2</v>
      </c>
      <c r="O291" s="40">
        <v>2</v>
      </c>
      <c r="P291" s="41">
        <v>1</v>
      </c>
      <c r="Q291" s="40">
        <v>2</v>
      </c>
      <c r="R291" s="40">
        <v>3</v>
      </c>
      <c r="S291" s="40">
        <v>4</v>
      </c>
      <c r="T291" s="40">
        <v>4</v>
      </c>
      <c r="U291" s="41">
        <v>2</v>
      </c>
      <c r="V291" s="40">
        <v>3</v>
      </c>
      <c r="W291" s="40">
        <v>3</v>
      </c>
      <c r="X291" s="40">
        <v>5</v>
      </c>
      <c r="Y291" s="41">
        <v>9</v>
      </c>
      <c r="Z291" s="40">
        <v>3</v>
      </c>
      <c r="AA291" s="40" t="s">
        <v>45</v>
      </c>
      <c r="AB291" s="40" t="s">
        <v>45</v>
      </c>
      <c r="AC291" s="40" t="s">
        <v>45</v>
      </c>
      <c r="AD291" s="40" t="s">
        <v>45</v>
      </c>
      <c r="AE291" s="40" t="s">
        <v>45</v>
      </c>
      <c r="AF291" s="40" t="s">
        <v>45</v>
      </c>
      <c r="AG291" s="41" t="s">
        <v>45</v>
      </c>
      <c r="AH291" s="40">
        <v>1</v>
      </c>
      <c r="AI291" s="40">
        <v>1</v>
      </c>
      <c r="AJ291" s="41">
        <v>2</v>
      </c>
      <c r="AK291" s="43" t="s">
        <v>557</v>
      </c>
      <c r="AL291" s="43" t="s">
        <v>103</v>
      </c>
      <c r="AM291" s="44">
        <f t="shared" si="36"/>
        <v>-1.9115723057940897</v>
      </c>
      <c r="AN291" s="44">
        <f t="shared" si="37"/>
        <v>-1.1013382824699594</v>
      </c>
      <c r="AO291" s="45">
        <f t="shared" si="38"/>
        <v>0</v>
      </c>
      <c r="AP291" s="46">
        <f t="shared" si="39"/>
        <v>1.35</v>
      </c>
      <c r="AQ291" s="44">
        <f>($AM$3*AM291+$AN$3*AN291+$AO$3*AO291+$AP$3*AP291)+$I$3*VLOOKUP(I291,COND!$A$2:$E$7,4,FALSE)+$J$3*VLOOKUP(J291,COND!$A$2:$C$7,2,FALSE)+$K$3*VLOOKUP(K291,COND!$A$2:$C$7,3,FALSE)+IF(AND($B$2&gt;0,$E291&lt;20),$B$2*25,0)</f>
        <v>32.942783379781076</v>
      </c>
      <c r="AR291" s="47">
        <f>STANDARDIZE(AQ291,AVERAGE($AQ$5:$AQ$442),STDEVP($AQ$5:$AQ$442))</f>
        <v>-1.4999255521579709</v>
      </c>
      <c r="AS291" s="45" t="str">
        <f t="shared" si="40"/>
        <v>C</v>
      </c>
      <c r="AT291" s="45">
        <v>900</v>
      </c>
      <c r="AU291" s="45">
        <v>287</v>
      </c>
      <c r="AV291" s="45"/>
      <c r="AW291" s="45" t="str">
        <f t="shared" si="41"/>
        <v>Unlikely</v>
      </c>
      <c r="AX291" s="45"/>
      <c r="AY291" s="45" t="str">
        <f>INDEX(Table5[[#All],[Ovr]],MATCH(Batters[[#This Row],[PID]],Table5[[#All],[PID]],0))</f>
        <v/>
      </c>
      <c r="AZ291" s="45" t="str">
        <f>INDEX(Table5[[#All],[Rnd]],MATCH(Batters[[#This Row],[PID]],Table5[[#All],[PID]],0))</f>
        <v/>
      </c>
      <c r="BA291" s="45" t="str">
        <f>INDEX(Table5[[#All],[Pick]],MATCH(Batters[[#This Row],[PID]],Table5[[#All],[PID]],0))</f>
        <v/>
      </c>
      <c r="BB291" s="45" t="str">
        <f>INDEX(Table5[[#All],[Team]],MATCH(Batters[[#This Row],[PID]],Table5[[#All],[PID]],0))</f>
        <v/>
      </c>
    </row>
    <row r="292" spans="1:54" ht="15" customHeight="1" x14ac:dyDescent="0.3">
      <c r="A292" s="40">
        <v>16930</v>
      </c>
      <c r="B292" s="40" t="s">
        <v>71</v>
      </c>
      <c r="C292" s="40" t="s">
        <v>136</v>
      </c>
      <c r="D292" s="40" t="s">
        <v>184</v>
      </c>
      <c r="E292" s="40">
        <v>22</v>
      </c>
      <c r="F292" s="40" t="s">
        <v>42</v>
      </c>
      <c r="G292" s="40" t="s">
        <v>42</v>
      </c>
      <c r="H292" s="41" t="s">
        <v>561</v>
      </c>
      <c r="I292" s="64" t="s">
        <v>43</v>
      </c>
      <c r="J292" s="65" t="s">
        <v>47</v>
      </c>
      <c r="K292" s="66" t="s">
        <v>43</v>
      </c>
      <c r="L292" s="40">
        <v>2</v>
      </c>
      <c r="M292" s="40">
        <v>2</v>
      </c>
      <c r="N292" s="40">
        <v>2</v>
      </c>
      <c r="O292" s="40">
        <v>3</v>
      </c>
      <c r="P292" s="41">
        <v>1</v>
      </c>
      <c r="Q292" s="40">
        <v>2</v>
      </c>
      <c r="R292" s="40">
        <v>3</v>
      </c>
      <c r="S292" s="40">
        <v>3</v>
      </c>
      <c r="T292" s="40">
        <v>4</v>
      </c>
      <c r="U292" s="41">
        <v>3</v>
      </c>
      <c r="V292" s="40">
        <v>2</v>
      </c>
      <c r="W292" s="40">
        <v>1</v>
      </c>
      <c r="X292" s="40">
        <v>1</v>
      </c>
      <c r="Y292" s="41">
        <v>1</v>
      </c>
      <c r="Z292" s="40" t="s">
        <v>45</v>
      </c>
      <c r="AA292" s="40" t="s">
        <v>45</v>
      </c>
      <c r="AB292" s="40">
        <v>2</v>
      </c>
      <c r="AC292" s="40" t="s">
        <v>45</v>
      </c>
      <c r="AD292" s="40" t="s">
        <v>45</v>
      </c>
      <c r="AE292" s="40" t="s">
        <v>45</v>
      </c>
      <c r="AF292" s="40" t="s">
        <v>45</v>
      </c>
      <c r="AG292" s="41" t="s">
        <v>45</v>
      </c>
      <c r="AH292" s="40">
        <v>6</v>
      </c>
      <c r="AI292" s="40">
        <v>10</v>
      </c>
      <c r="AJ292" s="41">
        <v>10</v>
      </c>
      <c r="AK292" s="43" t="s">
        <v>45</v>
      </c>
      <c r="AL292" s="43" t="s">
        <v>103</v>
      </c>
      <c r="AM292" s="44">
        <f t="shared" si="36"/>
        <v>-1.4482470399631302</v>
      </c>
      <c r="AN292" s="44">
        <f t="shared" si="37"/>
        <v>-1.1443834366767773</v>
      </c>
      <c r="AO292" s="45">
        <f t="shared" si="38"/>
        <v>4</v>
      </c>
      <c r="AP292" s="46">
        <f t="shared" si="39"/>
        <v>0</v>
      </c>
      <c r="AQ292" s="44">
        <f>($AM$3*AM292+$AN$3*AN292+$AO$3*AO292+$AP$3*AP292)+$I$3*VLOOKUP(I292,COND!$A$2:$E$7,4,FALSE)+$J$3*VLOOKUP(J292,COND!$A$2:$C$7,2,FALSE)+$K$3*VLOOKUP(K292,COND!$A$2:$C$7,3,FALSE)+IF(AND($B$2&gt;0,$E292&lt;20),$B$2*25,0)</f>
        <v>32.089240722549022</v>
      </c>
      <c r="AR292" s="47">
        <f>STANDARDIZE(AQ292,AVERAGE($AQ$5:$AQ$442),STDEVP($AQ$5:$AQ$442))</f>
        <v>-1.6245155603373409</v>
      </c>
      <c r="AS292" s="45" t="str">
        <f t="shared" si="40"/>
        <v>2B</v>
      </c>
      <c r="AT292" s="45">
        <v>900</v>
      </c>
      <c r="AU292" s="45">
        <v>288</v>
      </c>
      <c r="AV292" s="45"/>
      <c r="AW292" s="45" t="str">
        <f t="shared" si="41"/>
        <v>Unlikely</v>
      </c>
      <c r="AX292" s="45"/>
      <c r="AY292" s="45" t="str">
        <f>INDEX(Table5[[#All],[Ovr]],MATCH(Batters[[#This Row],[PID]],Table5[[#All],[PID]],0))</f>
        <v/>
      </c>
      <c r="AZ292" s="45" t="str">
        <f>INDEX(Table5[[#All],[Rnd]],MATCH(Batters[[#This Row],[PID]],Table5[[#All],[PID]],0))</f>
        <v/>
      </c>
      <c r="BA292" s="45" t="str">
        <f>INDEX(Table5[[#All],[Pick]],MATCH(Batters[[#This Row],[PID]],Table5[[#All],[PID]],0))</f>
        <v/>
      </c>
      <c r="BB292" s="45" t="str">
        <f>INDEX(Table5[[#All],[Team]],MATCH(Batters[[#This Row],[PID]],Table5[[#All],[PID]],0))</f>
        <v/>
      </c>
    </row>
    <row r="293" spans="1:54" ht="15" customHeight="1" x14ac:dyDescent="0.3">
      <c r="A293" s="40">
        <v>5364</v>
      </c>
      <c r="B293" s="40" t="s">
        <v>87</v>
      </c>
      <c r="C293" s="40" t="s">
        <v>677</v>
      </c>
      <c r="D293" s="40" t="s">
        <v>360</v>
      </c>
      <c r="E293" s="40">
        <v>21</v>
      </c>
      <c r="F293" s="40" t="s">
        <v>53</v>
      </c>
      <c r="G293" s="40" t="s">
        <v>53</v>
      </c>
      <c r="H293" s="41" t="s">
        <v>561</v>
      </c>
      <c r="I293" s="64" t="s">
        <v>43</v>
      </c>
      <c r="J293" s="65" t="s">
        <v>43</v>
      </c>
      <c r="K293" s="66" t="s">
        <v>47</v>
      </c>
      <c r="L293" s="40">
        <v>2</v>
      </c>
      <c r="M293" s="40">
        <v>2</v>
      </c>
      <c r="N293" s="40">
        <v>2</v>
      </c>
      <c r="O293" s="40">
        <v>1</v>
      </c>
      <c r="P293" s="41">
        <v>2</v>
      </c>
      <c r="Q293" s="40">
        <v>3</v>
      </c>
      <c r="R293" s="40">
        <v>2</v>
      </c>
      <c r="S293" s="40">
        <v>2</v>
      </c>
      <c r="T293" s="40">
        <v>2</v>
      </c>
      <c r="U293" s="41">
        <v>4</v>
      </c>
      <c r="V293" s="40">
        <v>7</v>
      </c>
      <c r="W293" s="40">
        <v>1</v>
      </c>
      <c r="X293" s="40">
        <v>1</v>
      </c>
      <c r="Y293" s="41">
        <v>1</v>
      </c>
      <c r="Z293" s="40" t="s">
        <v>45</v>
      </c>
      <c r="AA293" s="40">
        <v>5</v>
      </c>
      <c r="AB293" s="40" t="s">
        <v>45</v>
      </c>
      <c r="AC293" s="40" t="s">
        <v>45</v>
      </c>
      <c r="AD293" s="40" t="s">
        <v>45</v>
      </c>
      <c r="AE293" s="40" t="s">
        <v>45</v>
      </c>
      <c r="AF293" s="40" t="s">
        <v>45</v>
      </c>
      <c r="AG293" s="41" t="s">
        <v>45</v>
      </c>
      <c r="AH293" s="40">
        <v>1</v>
      </c>
      <c r="AI293" s="40">
        <v>3</v>
      </c>
      <c r="AJ293" s="41">
        <v>5</v>
      </c>
      <c r="AK293" s="43" t="s">
        <v>45</v>
      </c>
      <c r="AL293" s="43" t="s">
        <v>103</v>
      </c>
      <c r="AM293" s="44">
        <f t="shared" si="36"/>
        <v>-1.5876498001652086</v>
      </c>
      <c r="AN293" s="44">
        <f t="shared" si="37"/>
        <v>-1.0953517343187862</v>
      </c>
      <c r="AO293" s="45">
        <f t="shared" si="38"/>
        <v>0</v>
      </c>
      <c r="AP293" s="46">
        <f t="shared" si="39"/>
        <v>0</v>
      </c>
      <c r="AQ293" s="44">
        <f>($AM$3*AM293+$AN$3*AN293+$AO$3*AO293+$AP$3*AP293)+$I$3*VLOOKUP(I293,COND!$A$2:$E$7,4,FALSE)+$J$3*VLOOKUP(J293,COND!$A$2:$C$7,2,FALSE)+$K$3*VLOOKUP(K293,COND!$A$2:$C$7,3,FALSE)+IF(AND($B$2&gt;0,$E293&lt;20),$B$2*25,0)</f>
        <v>31.997014208158046</v>
      </c>
      <c r="AR293" s="47">
        <f>STANDARDIZE(AQ293,AVERAGE($AQ$5:$AQ$442),STDEVP($AQ$5:$AQ$442))</f>
        <v>-1.6379776903023375</v>
      </c>
      <c r="AS293" s="45" t="str">
        <f t="shared" si="40"/>
        <v>1B</v>
      </c>
      <c r="AT293" s="45">
        <v>900</v>
      </c>
      <c r="AU293" s="45">
        <v>289</v>
      </c>
      <c r="AV293" s="45"/>
      <c r="AW293" s="45" t="str">
        <f t="shared" si="41"/>
        <v>Unlikely</v>
      </c>
      <c r="AX293" s="45"/>
      <c r="AY293" s="63">
        <f>INDEX(Table5[[#All],[Ovr]],MATCH(Batters[[#This Row],[PID]],Table5[[#All],[PID]],0))</f>
        <v>239</v>
      </c>
      <c r="AZ293" s="63" t="str">
        <f>INDEX(Table5[[#All],[Rnd]],MATCH(Batters[[#This Row],[PID]],Table5[[#All],[PID]],0))</f>
        <v>8</v>
      </c>
      <c r="BA293" s="63">
        <f>INDEX(Table5[[#All],[Pick]],MATCH(Batters[[#This Row],[PID]],Table5[[#All],[PID]],0))</f>
        <v>6</v>
      </c>
      <c r="BB293" s="63" t="str">
        <f>INDEX(Table5[[#All],[Team]],MATCH(Batters[[#This Row],[PID]],Table5[[#All],[PID]],0))</f>
        <v>New Orleans Trendsetters</v>
      </c>
    </row>
    <row r="294" spans="1:54" ht="15" customHeight="1" x14ac:dyDescent="0.3">
      <c r="A294" s="40">
        <v>13754</v>
      </c>
      <c r="B294" s="40" t="s">
        <v>86</v>
      </c>
      <c r="C294" s="40" t="s">
        <v>405</v>
      </c>
      <c r="D294" s="40" t="s">
        <v>1220</v>
      </c>
      <c r="E294" s="40">
        <v>21</v>
      </c>
      <c r="F294" s="40" t="s">
        <v>42</v>
      </c>
      <c r="G294" s="40" t="s">
        <v>42</v>
      </c>
      <c r="H294" s="41" t="s">
        <v>552</v>
      </c>
      <c r="I294" s="64" t="s">
        <v>43</v>
      </c>
      <c r="J294" s="65" t="s">
        <v>43</v>
      </c>
      <c r="K294" s="66" t="s">
        <v>43</v>
      </c>
      <c r="L294" s="40">
        <v>1</v>
      </c>
      <c r="M294" s="40">
        <v>2</v>
      </c>
      <c r="N294" s="40">
        <v>3</v>
      </c>
      <c r="O294" s="40">
        <v>2</v>
      </c>
      <c r="P294" s="41">
        <v>1</v>
      </c>
      <c r="Q294" s="40">
        <v>2</v>
      </c>
      <c r="R294" s="40">
        <v>3</v>
      </c>
      <c r="S294" s="40">
        <v>3</v>
      </c>
      <c r="T294" s="40">
        <v>5</v>
      </c>
      <c r="U294" s="41">
        <v>2</v>
      </c>
      <c r="V294" s="40">
        <v>5</v>
      </c>
      <c r="W294" s="40">
        <v>7</v>
      </c>
      <c r="X294" s="40">
        <v>7</v>
      </c>
      <c r="Y294" s="41">
        <v>5</v>
      </c>
      <c r="Z294" s="40">
        <v>2</v>
      </c>
      <c r="AA294" s="40" t="s">
        <v>45</v>
      </c>
      <c r="AB294" s="40" t="s">
        <v>45</v>
      </c>
      <c r="AC294" s="40" t="s">
        <v>45</v>
      </c>
      <c r="AD294" s="40" t="s">
        <v>45</v>
      </c>
      <c r="AE294" s="40" t="s">
        <v>45</v>
      </c>
      <c r="AF294" s="40" t="s">
        <v>45</v>
      </c>
      <c r="AG294" s="41" t="s">
        <v>45</v>
      </c>
      <c r="AH294" s="40">
        <v>4</v>
      </c>
      <c r="AI294" s="40">
        <v>6</v>
      </c>
      <c r="AJ294" s="41">
        <v>3</v>
      </c>
      <c r="AK294" s="43" t="s">
        <v>45</v>
      </c>
      <c r="AL294" s="43" t="s">
        <v>103</v>
      </c>
      <c r="AM294" s="44">
        <f t="shared" si="36"/>
        <v>-1.7774509321514844</v>
      </c>
      <c r="AN294" s="44">
        <f t="shared" si="37"/>
        <v>-1.0946902264842799</v>
      </c>
      <c r="AO294" s="45">
        <f t="shared" si="38"/>
        <v>0</v>
      </c>
      <c r="AP294" s="46">
        <f t="shared" si="39"/>
        <v>1</v>
      </c>
      <c r="AQ294" s="44">
        <f>($AM$3*AM294+$AN$3*AN294+$AO$3*AO294+$AP$3*AP294)+$I$3*VLOOKUP(I294,COND!$A$2:$E$7,4,FALSE)+$J$3*VLOOKUP(J294,COND!$A$2:$C$7,2,FALSE)+$K$3*VLOOKUP(K294,COND!$A$2:$C$7,3,FALSE)+IF(AND($B$2&gt;0,$E294&lt;20),$B$2*25,0)</f>
        <v>32.685972188973494</v>
      </c>
      <c r="AR294" s="47">
        <f>STANDARDIZE(AQ294,AVERAGE($AQ$5:$AQ$442),STDEVP($AQ$5:$AQ$442))</f>
        <v>-1.5374117962163878</v>
      </c>
      <c r="AS294" s="45" t="str">
        <f t="shared" si="40"/>
        <v>C</v>
      </c>
      <c r="AT294" s="45">
        <v>900</v>
      </c>
      <c r="AU294" s="45">
        <v>290</v>
      </c>
      <c r="AV294" s="45"/>
      <c r="AW294" s="45" t="str">
        <f t="shared" si="41"/>
        <v>Unlikely</v>
      </c>
      <c r="AX294" s="45"/>
      <c r="AY294" s="45" t="str">
        <f>INDEX(Table5[[#All],[Ovr]],MATCH(Batters[[#This Row],[PID]],Table5[[#All],[PID]],0))</f>
        <v/>
      </c>
      <c r="AZ294" s="45" t="str">
        <f>INDEX(Table5[[#All],[Rnd]],MATCH(Batters[[#This Row],[PID]],Table5[[#All],[PID]],0))</f>
        <v/>
      </c>
      <c r="BA294" s="45" t="str">
        <f>INDEX(Table5[[#All],[Pick]],MATCH(Batters[[#This Row],[PID]],Table5[[#All],[PID]],0))</f>
        <v/>
      </c>
      <c r="BB294" s="45" t="str">
        <f>INDEX(Table5[[#All],[Team]],MATCH(Batters[[#This Row],[PID]],Table5[[#All],[PID]],0))</f>
        <v/>
      </c>
    </row>
    <row r="295" spans="1:54" ht="15" customHeight="1" x14ac:dyDescent="0.3">
      <c r="A295" s="40">
        <v>12216</v>
      </c>
      <c r="B295" s="40" t="s">
        <v>86</v>
      </c>
      <c r="C295" s="40" t="s">
        <v>777</v>
      </c>
      <c r="D295" s="40" t="s">
        <v>1193</v>
      </c>
      <c r="E295" s="40">
        <v>21</v>
      </c>
      <c r="F295" s="40" t="s">
        <v>53</v>
      </c>
      <c r="G295" s="40" t="s">
        <v>42</v>
      </c>
      <c r="H295" s="41" t="s">
        <v>552</v>
      </c>
      <c r="I295" s="64" t="s">
        <v>43</v>
      </c>
      <c r="J295" s="65" t="s">
        <v>43</v>
      </c>
      <c r="K295" s="66" t="s">
        <v>43</v>
      </c>
      <c r="L295" s="40">
        <v>1</v>
      </c>
      <c r="M295" s="40">
        <v>2</v>
      </c>
      <c r="N295" s="40">
        <v>2</v>
      </c>
      <c r="O295" s="40">
        <v>1</v>
      </c>
      <c r="P295" s="41">
        <v>1</v>
      </c>
      <c r="Q295" s="40">
        <v>2</v>
      </c>
      <c r="R295" s="40">
        <v>4</v>
      </c>
      <c r="S295" s="40">
        <v>3</v>
      </c>
      <c r="T295" s="40">
        <v>5</v>
      </c>
      <c r="U295" s="41">
        <v>2</v>
      </c>
      <c r="V295" s="40">
        <v>4</v>
      </c>
      <c r="W295" s="40">
        <v>4</v>
      </c>
      <c r="X295" s="40">
        <v>7</v>
      </c>
      <c r="Y295" s="41">
        <v>6</v>
      </c>
      <c r="Z295" s="40" t="s">
        <v>45</v>
      </c>
      <c r="AA295" s="40" t="s">
        <v>45</v>
      </c>
      <c r="AB295" s="40" t="s">
        <v>45</v>
      </c>
      <c r="AC295" s="40" t="s">
        <v>45</v>
      </c>
      <c r="AD295" s="40" t="s">
        <v>45</v>
      </c>
      <c r="AE295" s="40" t="s">
        <v>45</v>
      </c>
      <c r="AF295" s="40" t="s">
        <v>45</v>
      </c>
      <c r="AG295" s="41" t="s">
        <v>45</v>
      </c>
      <c r="AH295" s="40">
        <v>4</v>
      </c>
      <c r="AI295" s="40">
        <v>4</v>
      </c>
      <c r="AJ295" s="41">
        <v>4</v>
      </c>
      <c r="AK295" s="43" t="s">
        <v>557</v>
      </c>
      <c r="AL295" s="43" t="s">
        <v>103</v>
      </c>
      <c r="AM295" s="44">
        <f t="shared" si="36"/>
        <v>-1.9502219761849671</v>
      </c>
      <c r="AN295" s="44">
        <f t="shared" si="37"/>
        <v>-1.0436303468655763</v>
      </c>
      <c r="AO295" s="45">
        <f t="shared" si="38"/>
        <v>0</v>
      </c>
      <c r="AP295" s="46">
        <f t="shared" si="39"/>
        <v>0</v>
      </c>
      <c r="AQ295" s="44">
        <f>($AM$3*AM295+$AN$3*AN295+$AO$3*AO295+$AP$3*AP295)+$I$3*VLOOKUP(I295,COND!$A$2:$E$7,4,FALSE)+$J$3*VLOOKUP(J295,COND!$A$2:$C$7,2,FALSE)+$K$3*VLOOKUP(K295,COND!$A$2:$C$7,3,FALSE)+IF(AND($B$2&gt;0,$E295&lt;20),$B$2*25,0)</f>
        <v>32.281413639994589</v>
      </c>
      <c r="AR295" s="47">
        <f>STANDARDIZE(AQ295,AVERAGE($AQ$5:$AQ$459),STDEVP($AQ$5:$AQ$459))</f>
        <v>-1.5713496516866561</v>
      </c>
      <c r="AS295" s="45" t="str">
        <f t="shared" si="40"/>
        <v>DH</v>
      </c>
      <c r="AT295" s="45">
        <v>900</v>
      </c>
      <c r="AU295" s="45">
        <v>291</v>
      </c>
      <c r="AV295" s="45"/>
      <c r="AW295" s="45" t="str">
        <f t="shared" si="41"/>
        <v>Unlikely</v>
      </c>
      <c r="AX295" s="45"/>
      <c r="AY295" s="63" t="str">
        <f>INDEX(Table5[[#All],[Ovr]],MATCH(Batters[[#This Row],[PID]],Table5[[#All],[PID]],0))</f>
        <v/>
      </c>
      <c r="AZ295" s="63" t="str">
        <f>INDEX(Table5[[#All],[Rnd]],MATCH(Batters[[#This Row],[PID]],Table5[[#All],[PID]],0))</f>
        <v/>
      </c>
      <c r="BA295" s="63" t="str">
        <f>INDEX(Table5[[#All],[Pick]],MATCH(Batters[[#This Row],[PID]],Table5[[#All],[PID]],0))</f>
        <v/>
      </c>
      <c r="BB295" s="63" t="str">
        <f>INDEX(Table5[[#All],[Team]],MATCH(Batters[[#This Row],[PID]],Table5[[#All],[PID]],0))</f>
        <v/>
      </c>
    </row>
    <row r="296" spans="1:54" ht="15" customHeight="1" x14ac:dyDescent="0.3">
      <c r="A296" s="40">
        <v>14878</v>
      </c>
      <c r="B296" s="40" t="s">
        <v>87</v>
      </c>
      <c r="C296" s="40" t="s">
        <v>689</v>
      </c>
      <c r="D296" s="40" t="s">
        <v>674</v>
      </c>
      <c r="E296" s="40">
        <v>21</v>
      </c>
      <c r="F296" s="40" t="s">
        <v>42</v>
      </c>
      <c r="G296" s="40" t="s">
        <v>42</v>
      </c>
      <c r="H296" s="41" t="s">
        <v>561</v>
      </c>
      <c r="I296" s="64" t="s">
        <v>43</v>
      </c>
      <c r="J296" s="65" t="s">
        <v>43</v>
      </c>
      <c r="K296" s="66" t="s">
        <v>43</v>
      </c>
      <c r="L296" s="40">
        <v>1</v>
      </c>
      <c r="M296" s="40">
        <v>2</v>
      </c>
      <c r="N296" s="40">
        <v>2</v>
      </c>
      <c r="O296" s="40">
        <v>3</v>
      </c>
      <c r="P296" s="41">
        <v>1</v>
      </c>
      <c r="Q296" s="40">
        <v>2</v>
      </c>
      <c r="R296" s="40">
        <v>4</v>
      </c>
      <c r="S296" s="40">
        <v>2</v>
      </c>
      <c r="T296" s="40">
        <v>5</v>
      </c>
      <c r="U296" s="41">
        <v>4</v>
      </c>
      <c r="V296" s="40">
        <v>2</v>
      </c>
      <c r="W296" s="40">
        <v>2</v>
      </c>
      <c r="X296" s="40">
        <v>2</v>
      </c>
      <c r="Y296" s="41">
        <v>4</v>
      </c>
      <c r="Z296" s="40" t="s">
        <v>45</v>
      </c>
      <c r="AA296" s="40">
        <v>1</v>
      </c>
      <c r="AB296" s="40" t="s">
        <v>45</v>
      </c>
      <c r="AC296" s="40" t="s">
        <v>45</v>
      </c>
      <c r="AD296" s="40" t="s">
        <v>45</v>
      </c>
      <c r="AE296" s="40" t="s">
        <v>45</v>
      </c>
      <c r="AF296" s="40" t="s">
        <v>45</v>
      </c>
      <c r="AG296" s="41" t="s">
        <v>45</v>
      </c>
      <c r="AH296" s="40">
        <v>1</v>
      </c>
      <c r="AI296" s="40">
        <v>1</v>
      </c>
      <c r="AJ296" s="41">
        <v>1</v>
      </c>
      <c r="AK296" s="43" t="s">
        <v>45</v>
      </c>
      <c r="AL296" s="43" t="s">
        <v>103</v>
      </c>
      <c r="AM296" s="44">
        <f t="shared" si="36"/>
        <v>-1.7708028761658048</v>
      </c>
      <c r="AN296" s="44">
        <f t="shared" si="37"/>
        <v>-1.0466591612553107</v>
      </c>
      <c r="AO296" s="45">
        <f t="shared" si="38"/>
        <v>0</v>
      </c>
      <c r="AP296" s="46">
        <f t="shared" si="39"/>
        <v>0</v>
      </c>
      <c r="AQ296" s="44">
        <f>($AM$3*AM296+$AN$3*AN296+$AO$3*AO296+$AP$3*AP296)+$I$3*VLOOKUP(I296,COND!$A$2:$E$7,4,FALSE)+$J$3*VLOOKUP(J296,COND!$A$2:$C$7,2,FALSE)+$K$3*VLOOKUP(K296,COND!$A$2:$C$7,3,FALSE)+IF(AND($B$2&gt;0,$E296&lt;20),$B$2*25,0)</f>
        <v>32.263009777319688</v>
      </c>
      <c r="AR296" s="47">
        <f>STANDARDIZE(AQ296,AVERAGE($AQ$5:$AQ$442),STDEVP($AQ$5:$AQ$442))</f>
        <v>-1.5991508198972944</v>
      </c>
      <c r="AS296" s="45" t="str">
        <f t="shared" si="40"/>
        <v>1B</v>
      </c>
      <c r="AT296" s="45">
        <v>900</v>
      </c>
      <c r="AU296" s="45">
        <v>292</v>
      </c>
      <c r="AV296" s="45"/>
      <c r="AW296" s="45" t="str">
        <f t="shared" si="41"/>
        <v>Unlikely</v>
      </c>
      <c r="AX296" s="45"/>
      <c r="AY296" s="45" t="str">
        <f>INDEX(Table5[[#All],[Ovr]],MATCH(Batters[[#This Row],[PID]],Table5[[#All],[PID]],0))</f>
        <v/>
      </c>
      <c r="AZ296" s="45" t="str">
        <f>INDEX(Table5[[#All],[Rnd]],MATCH(Batters[[#This Row],[PID]],Table5[[#All],[PID]],0))</f>
        <v/>
      </c>
      <c r="BA296" s="45" t="str">
        <f>INDEX(Table5[[#All],[Pick]],MATCH(Batters[[#This Row],[PID]],Table5[[#All],[PID]],0))</f>
        <v/>
      </c>
      <c r="BB296" s="45" t="str">
        <f>INDEX(Table5[[#All],[Team]],MATCH(Batters[[#This Row],[PID]],Table5[[#All],[PID]],0))</f>
        <v/>
      </c>
    </row>
    <row r="297" spans="1:54" ht="15" customHeight="1" x14ac:dyDescent="0.3">
      <c r="A297" s="40">
        <v>12535</v>
      </c>
      <c r="B297" s="40" t="s">
        <v>86</v>
      </c>
      <c r="C297" s="40" t="s">
        <v>891</v>
      </c>
      <c r="D297" s="40" t="s">
        <v>1239</v>
      </c>
      <c r="E297" s="40">
        <v>21</v>
      </c>
      <c r="F297" s="40" t="s">
        <v>42</v>
      </c>
      <c r="G297" s="40" t="s">
        <v>42</v>
      </c>
      <c r="H297" s="41" t="s">
        <v>552</v>
      </c>
      <c r="I297" s="64" t="s">
        <v>43</v>
      </c>
      <c r="J297" s="65" t="s">
        <v>47</v>
      </c>
      <c r="K297" s="66" t="s">
        <v>44</v>
      </c>
      <c r="L297" s="40">
        <v>1</v>
      </c>
      <c r="M297" s="40">
        <v>2</v>
      </c>
      <c r="N297" s="40">
        <v>2</v>
      </c>
      <c r="O297" s="40">
        <v>1</v>
      </c>
      <c r="P297" s="41">
        <v>1</v>
      </c>
      <c r="Q297" s="40">
        <v>2</v>
      </c>
      <c r="R297" s="40">
        <v>3</v>
      </c>
      <c r="S297" s="40">
        <v>4</v>
      </c>
      <c r="T297" s="40">
        <v>4</v>
      </c>
      <c r="U297" s="41">
        <v>2</v>
      </c>
      <c r="V297" s="40">
        <v>3</v>
      </c>
      <c r="W297" s="40">
        <v>3</v>
      </c>
      <c r="X297" s="40">
        <v>6</v>
      </c>
      <c r="Y297" s="41">
        <v>4</v>
      </c>
      <c r="Z297" s="40" t="s">
        <v>45</v>
      </c>
      <c r="AA297" s="40" t="s">
        <v>45</v>
      </c>
      <c r="AB297" s="40" t="s">
        <v>45</v>
      </c>
      <c r="AC297" s="40" t="s">
        <v>45</v>
      </c>
      <c r="AD297" s="40" t="s">
        <v>45</v>
      </c>
      <c r="AE297" s="40" t="s">
        <v>45</v>
      </c>
      <c r="AF297" s="40" t="s">
        <v>45</v>
      </c>
      <c r="AG297" s="41" t="s">
        <v>45</v>
      </c>
      <c r="AH297" s="40">
        <v>1</v>
      </c>
      <c r="AI297" s="40">
        <v>1</v>
      </c>
      <c r="AJ297" s="41">
        <v>2</v>
      </c>
      <c r="AK297" s="43" t="s">
        <v>45</v>
      </c>
      <c r="AL297" s="43" t="s">
        <v>103</v>
      </c>
      <c r="AM297" s="44">
        <f t="shared" si="36"/>
        <v>-1.9502219761849671</v>
      </c>
      <c r="AN297" s="44">
        <f t="shared" si="37"/>
        <v>-1.1013382824699594</v>
      </c>
      <c r="AO297" s="45">
        <f t="shared" si="38"/>
        <v>0</v>
      </c>
      <c r="AP297" s="46">
        <f t="shared" si="39"/>
        <v>0</v>
      </c>
      <c r="AQ297" s="44">
        <f>($AM$3*AM297+$AN$3*AN297+$AO$3*AO297+$AP$3*AP297)+$I$3*VLOOKUP(I297,COND!$A$2:$E$7,4,FALSE)+$J$3*VLOOKUP(J297,COND!$A$2:$C$7,2,FALSE)+$K$3*VLOOKUP(K297,COND!$A$2:$C$7,3,FALSE)+IF(AND($B$2&gt;0,$E297&lt;20),$B$2*25,0)</f>
        <v>31.588918412741993</v>
      </c>
      <c r="AR297" s="47">
        <f>STANDARDIZE(AQ297,AVERAGE($AQ$5:$AQ$459),STDEVP($AQ$5:$AQ$459))</f>
        <v>-1.6716082272648474</v>
      </c>
      <c r="AS297" s="45" t="str">
        <f t="shared" si="40"/>
        <v>DH</v>
      </c>
      <c r="AT297" s="45">
        <v>900</v>
      </c>
      <c r="AU297" s="45">
        <v>293</v>
      </c>
      <c r="AV297" s="45"/>
      <c r="AW297" s="45" t="str">
        <f t="shared" si="41"/>
        <v>Unlikely</v>
      </c>
      <c r="AX297" s="45"/>
      <c r="AY297" s="63" t="str">
        <f>INDEX(Table5[[#All],[Ovr]],MATCH(Batters[[#This Row],[PID]],Table5[[#All],[PID]],0))</f>
        <v/>
      </c>
      <c r="AZ297" s="63" t="str">
        <f>INDEX(Table5[[#All],[Rnd]],MATCH(Batters[[#This Row],[PID]],Table5[[#All],[PID]],0))</f>
        <v/>
      </c>
      <c r="BA297" s="63" t="str">
        <f>INDEX(Table5[[#All],[Pick]],MATCH(Batters[[#This Row],[PID]],Table5[[#All],[PID]],0))</f>
        <v/>
      </c>
      <c r="BB297" s="63" t="str">
        <f>INDEX(Table5[[#All],[Team]],MATCH(Batters[[#This Row],[PID]],Table5[[#All],[PID]],0))</f>
        <v/>
      </c>
    </row>
    <row r="298" spans="1:54" ht="15" customHeight="1" x14ac:dyDescent="0.3">
      <c r="A298" s="40">
        <v>17015</v>
      </c>
      <c r="B298" s="40" t="s">
        <v>72</v>
      </c>
      <c r="C298" s="40" t="s">
        <v>839</v>
      </c>
      <c r="D298" s="40" t="s">
        <v>838</v>
      </c>
      <c r="E298" s="40">
        <v>22</v>
      </c>
      <c r="F298" s="40" t="s">
        <v>62</v>
      </c>
      <c r="G298" s="40" t="s">
        <v>42</v>
      </c>
      <c r="H298" s="41" t="s">
        <v>552</v>
      </c>
      <c r="I298" s="64" t="s">
        <v>44</v>
      </c>
      <c r="J298" s="65" t="s">
        <v>43</v>
      </c>
      <c r="K298" s="66" t="s">
        <v>43</v>
      </c>
      <c r="L298" s="40">
        <v>1</v>
      </c>
      <c r="M298" s="40">
        <v>3</v>
      </c>
      <c r="N298" s="40">
        <v>2</v>
      </c>
      <c r="O298" s="40">
        <v>2</v>
      </c>
      <c r="P298" s="41">
        <v>1</v>
      </c>
      <c r="Q298" s="40">
        <v>2</v>
      </c>
      <c r="R298" s="40">
        <v>4</v>
      </c>
      <c r="S298" s="40">
        <v>2</v>
      </c>
      <c r="T298" s="40">
        <v>4</v>
      </c>
      <c r="U298" s="41">
        <v>3</v>
      </c>
      <c r="V298" s="40">
        <v>8</v>
      </c>
      <c r="W298" s="40">
        <v>7</v>
      </c>
      <c r="X298" s="40">
        <v>1</v>
      </c>
      <c r="Y298" s="41">
        <v>1</v>
      </c>
      <c r="Z298" s="40" t="s">
        <v>45</v>
      </c>
      <c r="AA298" s="40" t="s">
        <v>45</v>
      </c>
      <c r="AB298" s="40" t="s">
        <v>45</v>
      </c>
      <c r="AC298" s="40">
        <v>4</v>
      </c>
      <c r="AD298" s="40">
        <v>6</v>
      </c>
      <c r="AE298" s="40" t="s">
        <v>45</v>
      </c>
      <c r="AF298" s="40" t="s">
        <v>45</v>
      </c>
      <c r="AG298" s="41" t="s">
        <v>45</v>
      </c>
      <c r="AH298" s="40">
        <v>3</v>
      </c>
      <c r="AI298" s="40">
        <v>2</v>
      </c>
      <c r="AJ298" s="41">
        <v>4</v>
      </c>
      <c r="AK298" s="43" t="s">
        <v>557</v>
      </c>
      <c r="AL298" s="43" t="s">
        <v>103</v>
      </c>
      <c r="AM298" s="44">
        <f t="shared" si="36"/>
        <v>-1.8094525465566824</v>
      </c>
      <c r="AN298" s="44">
        <f t="shared" si="37"/>
        <v>-1.1763850510819753</v>
      </c>
      <c r="AO298" s="45">
        <f t="shared" si="38"/>
        <v>0</v>
      </c>
      <c r="AP298" s="46">
        <f t="shared" si="39"/>
        <v>1</v>
      </c>
      <c r="AQ298" s="44">
        <f>($AM$3*AM298+$AN$3*AN298+$AO$3*AO298+$AP$3*AP298)+$I$3*VLOOKUP(I298,COND!$A$2:$E$7,4,FALSE)+$J$3*VLOOKUP(J298,COND!$A$2:$C$7,2,FALSE)+$K$3*VLOOKUP(K298,COND!$A$2:$C$7,3,FALSE)+IF(AND($B$2&gt;0,$E298&lt;20),$B$2*25,0)</f>
        <v>31.552434132360627</v>
      </c>
      <c r="AR298" s="47">
        <f>STANDARDIZE(AQ298,AVERAGE($AQ$5:$AQ$459),STDEVP($AQ$5:$AQ$459))</f>
        <v>-1.6768903748350816</v>
      </c>
      <c r="AS298" s="45" t="str">
        <f t="shared" si="40"/>
        <v>SS</v>
      </c>
      <c r="AT298" s="45">
        <v>900</v>
      </c>
      <c r="AU298" s="45">
        <v>294</v>
      </c>
      <c r="AV298" s="45"/>
      <c r="AW298" s="45" t="str">
        <f t="shared" si="41"/>
        <v>Unlikely</v>
      </c>
      <c r="AX298" s="45"/>
      <c r="AY298" s="63" t="str">
        <f>INDEX(Table5[[#All],[Ovr]],MATCH(Batters[[#This Row],[PID]],Table5[[#All],[PID]],0))</f>
        <v/>
      </c>
      <c r="AZ298" s="63" t="str">
        <f>INDEX(Table5[[#All],[Rnd]],MATCH(Batters[[#This Row],[PID]],Table5[[#All],[PID]],0))</f>
        <v/>
      </c>
      <c r="BA298" s="63" t="str">
        <f>INDEX(Table5[[#All],[Pick]],MATCH(Batters[[#This Row],[PID]],Table5[[#All],[PID]],0))</f>
        <v/>
      </c>
      <c r="BB298" s="63" t="str">
        <f>INDEX(Table5[[#All],[Team]],MATCH(Batters[[#This Row],[PID]],Table5[[#All],[PID]],0))</f>
        <v/>
      </c>
    </row>
    <row r="299" spans="1:54" ht="15" customHeight="1" x14ac:dyDescent="0.3">
      <c r="A299" s="40">
        <v>14072</v>
      </c>
      <c r="B299" s="40" t="s">
        <v>87</v>
      </c>
      <c r="C299" s="40" t="s">
        <v>151</v>
      </c>
      <c r="D299" s="40" t="s">
        <v>815</v>
      </c>
      <c r="E299" s="40">
        <v>21</v>
      </c>
      <c r="F299" s="40" t="s">
        <v>42</v>
      </c>
      <c r="G299" s="40" t="s">
        <v>42</v>
      </c>
      <c r="H299" s="41" t="s">
        <v>561</v>
      </c>
      <c r="I299" s="64" t="s">
        <v>43</v>
      </c>
      <c r="J299" s="65" t="s">
        <v>43</v>
      </c>
      <c r="K299" s="66" t="s">
        <v>43</v>
      </c>
      <c r="L299" s="40">
        <v>1</v>
      </c>
      <c r="M299" s="40">
        <v>1</v>
      </c>
      <c r="N299" s="40">
        <v>2</v>
      </c>
      <c r="O299" s="40">
        <v>1</v>
      </c>
      <c r="P299" s="41">
        <v>2</v>
      </c>
      <c r="Q299" s="40">
        <v>3</v>
      </c>
      <c r="R299" s="40">
        <v>2</v>
      </c>
      <c r="S299" s="40">
        <v>2</v>
      </c>
      <c r="T299" s="40">
        <v>2</v>
      </c>
      <c r="U299" s="41">
        <v>4</v>
      </c>
      <c r="V299" s="40">
        <v>7</v>
      </c>
      <c r="W299" s="40">
        <v>2</v>
      </c>
      <c r="X299" s="40">
        <v>1</v>
      </c>
      <c r="Y299" s="41">
        <v>1</v>
      </c>
      <c r="Z299" s="40" t="s">
        <v>45</v>
      </c>
      <c r="AA299" s="40">
        <v>1</v>
      </c>
      <c r="AB299" s="40" t="s">
        <v>45</v>
      </c>
      <c r="AC299" s="40" t="s">
        <v>45</v>
      </c>
      <c r="AD299" s="40" t="s">
        <v>45</v>
      </c>
      <c r="AE299" s="40" t="s">
        <v>45</v>
      </c>
      <c r="AF299" s="40" t="s">
        <v>45</v>
      </c>
      <c r="AG299" s="41" t="s">
        <v>45</v>
      </c>
      <c r="AH299" s="40">
        <v>2</v>
      </c>
      <c r="AI299" s="40">
        <v>1</v>
      </c>
      <c r="AJ299" s="41">
        <v>2</v>
      </c>
      <c r="AK299" s="43" t="s">
        <v>45</v>
      </c>
      <c r="AL299" s="43" t="s">
        <v>103</v>
      </c>
      <c r="AM299" s="44">
        <f t="shared" si="36"/>
        <v>-1.961265515986587</v>
      </c>
      <c r="AN299" s="44">
        <f t="shared" si="37"/>
        <v>-1.0953517343187862</v>
      </c>
      <c r="AO299" s="45">
        <f t="shared" si="38"/>
        <v>0</v>
      </c>
      <c r="AP299" s="46">
        <f t="shared" si="39"/>
        <v>0</v>
      </c>
      <c r="AQ299" s="44">
        <f>($AM$3*AM299+$AN$3*AN299+$AO$3*AO299+$AP$3*AP299)+$I$3*VLOOKUP(I299,COND!$A$2:$E$7,4,FALSE)+$J$3*VLOOKUP(J299,COND!$A$2:$C$7,2,FALSE)+$K$3*VLOOKUP(K299,COND!$A$2:$C$7,3,FALSE)+IF(AND($B$2&gt;0,$E299&lt;20),$B$2*25,0)</f>
        <v>31.659652636575906</v>
      </c>
      <c r="AR299" s="47">
        <f>STANDARDIZE(AQ299,AVERAGE($AQ$5:$AQ$442),STDEVP($AQ$5:$AQ$442))</f>
        <v>-1.6872217211737748</v>
      </c>
      <c r="AS299" s="45" t="str">
        <f t="shared" si="40"/>
        <v>1B</v>
      </c>
      <c r="AT299" s="45">
        <v>900</v>
      </c>
      <c r="AU299" s="45">
        <v>295</v>
      </c>
      <c r="AV299" s="45"/>
      <c r="AW299" s="45" t="str">
        <f t="shared" si="41"/>
        <v>Unlikely</v>
      </c>
      <c r="AX299" s="45"/>
      <c r="AY299" s="45" t="str">
        <f>INDEX(Table5[[#All],[Ovr]],MATCH(Batters[[#This Row],[PID]],Table5[[#All],[PID]],0))</f>
        <v/>
      </c>
      <c r="AZ299" s="45" t="str">
        <f>INDEX(Table5[[#All],[Rnd]],MATCH(Batters[[#This Row],[PID]],Table5[[#All],[PID]],0))</f>
        <v/>
      </c>
      <c r="BA299" s="45" t="str">
        <f>INDEX(Table5[[#All],[Pick]],MATCH(Batters[[#This Row],[PID]],Table5[[#All],[PID]],0))</f>
        <v/>
      </c>
      <c r="BB299" s="45" t="str">
        <f>INDEX(Table5[[#All],[Team]],MATCH(Batters[[#This Row],[PID]],Table5[[#All],[PID]],0))</f>
        <v/>
      </c>
    </row>
    <row r="300" spans="1:54" ht="15" customHeight="1" x14ac:dyDescent="0.3">
      <c r="A300" s="40">
        <v>11923</v>
      </c>
      <c r="B300" s="40" t="s">
        <v>87</v>
      </c>
      <c r="C300" s="40" t="s">
        <v>617</v>
      </c>
      <c r="D300" s="40" t="s">
        <v>882</v>
      </c>
      <c r="E300" s="40">
        <v>22</v>
      </c>
      <c r="F300" s="40" t="s">
        <v>42</v>
      </c>
      <c r="G300" s="40" t="s">
        <v>53</v>
      </c>
      <c r="H300" s="41" t="s">
        <v>561</v>
      </c>
      <c r="I300" s="64" t="s">
        <v>43</v>
      </c>
      <c r="J300" s="65" t="s">
        <v>43</v>
      </c>
      <c r="K300" s="66" t="s">
        <v>43</v>
      </c>
      <c r="L300" s="40">
        <v>1</v>
      </c>
      <c r="M300" s="40">
        <v>1</v>
      </c>
      <c r="N300" s="40">
        <v>2</v>
      </c>
      <c r="O300" s="40">
        <v>1</v>
      </c>
      <c r="P300" s="41">
        <v>1</v>
      </c>
      <c r="Q300" s="40">
        <v>3</v>
      </c>
      <c r="R300" s="40">
        <v>2</v>
      </c>
      <c r="S300" s="40">
        <v>2</v>
      </c>
      <c r="T300" s="40">
        <v>2</v>
      </c>
      <c r="U300" s="41">
        <v>4</v>
      </c>
      <c r="V300" s="40">
        <v>6</v>
      </c>
      <c r="W300" s="40">
        <v>2</v>
      </c>
      <c r="X300" s="40">
        <v>1</v>
      </c>
      <c r="Y300" s="41">
        <v>1</v>
      </c>
      <c r="Z300" s="40" t="s">
        <v>45</v>
      </c>
      <c r="AA300" s="40" t="s">
        <v>45</v>
      </c>
      <c r="AB300" s="40" t="s">
        <v>45</v>
      </c>
      <c r="AC300" s="40" t="s">
        <v>45</v>
      </c>
      <c r="AD300" s="40" t="s">
        <v>45</v>
      </c>
      <c r="AE300" s="40" t="s">
        <v>45</v>
      </c>
      <c r="AF300" s="40" t="s">
        <v>45</v>
      </c>
      <c r="AG300" s="41" t="s">
        <v>45</v>
      </c>
      <c r="AH300" s="40">
        <v>1</v>
      </c>
      <c r="AI300" s="40">
        <v>1</v>
      </c>
      <c r="AJ300" s="41">
        <v>1</v>
      </c>
      <c r="AK300" s="43" t="s">
        <v>45</v>
      </c>
      <c r="AL300" s="43" t="s">
        <v>103</v>
      </c>
      <c r="AM300" s="44">
        <f t="shared" si="36"/>
        <v>-2.0012818558036707</v>
      </c>
      <c r="AN300" s="44">
        <f t="shared" si="37"/>
        <v>-1.0953517343187862</v>
      </c>
      <c r="AO300" s="45">
        <f t="shared" si="38"/>
        <v>0</v>
      </c>
      <c r="AP300" s="46">
        <f t="shared" si="39"/>
        <v>0</v>
      </c>
      <c r="AQ300" s="44">
        <f>($AM$3*AM300+$AN$3*AN300+$AO$3*AO300+$AP$3*AP300)+$I$3*VLOOKUP(I300,COND!$A$2:$E$7,4,FALSE)+$J$3*VLOOKUP(J300,COND!$A$2:$C$7,2,FALSE)+$K$3*VLOOKUP(K300,COND!$A$2:$C$7,3,FALSE)+IF(AND($B$2&gt;0,$E300&lt;20),$B$2*25,0)</f>
        <v>31.655651002594198</v>
      </c>
      <c r="AR300" s="47">
        <f>STANDARDIZE(AQ300,AVERAGE($AQ$5:$AQ$442),STDEVP($AQ$5:$AQ$442))</f>
        <v>-1.6878058321215845</v>
      </c>
      <c r="AS300" s="45" t="str">
        <f t="shared" si="40"/>
        <v>DH</v>
      </c>
      <c r="AT300" s="45">
        <v>900</v>
      </c>
      <c r="AU300" s="45">
        <v>296</v>
      </c>
      <c r="AV300" s="45"/>
      <c r="AW300" s="45" t="str">
        <f t="shared" si="41"/>
        <v>Unlikely</v>
      </c>
      <c r="AX300" s="45"/>
      <c r="AY300" s="45">
        <f>INDEX(Table5[[#All],[Ovr]],MATCH(Batters[[#This Row],[PID]],Table5[[#All],[PID]],0))</f>
        <v>581</v>
      </c>
      <c r="AZ300" s="45" t="str">
        <f>INDEX(Table5[[#All],[Rnd]],MATCH(Batters[[#This Row],[PID]],Table5[[#All],[PID]],0))</f>
        <v>18</v>
      </c>
      <c r="BA300" s="45">
        <f>INDEX(Table5[[#All],[Pick]],MATCH(Batters[[#This Row],[PID]],Table5[[#All],[PID]],0))</f>
        <v>12</v>
      </c>
      <c r="BB300" s="45" t="str">
        <f>INDEX(Table5[[#All],[Team]],MATCH(Batters[[#This Row],[PID]],Table5[[#All],[PID]],0))</f>
        <v>Manchester Maulers</v>
      </c>
    </row>
    <row r="301" spans="1:54" ht="15" customHeight="1" x14ac:dyDescent="0.3">
      <c r="A301" s="40">
        <v>5249</v>
      </c>
      <c r="B301" s="40" t="s">
        <v>87</v>
      </c>
      <c r="C301" s="40" t="s">
        <v>1322</v>
      </c>
      <c r="D301" s="40" t="s">
        <v>537</v>
      </c>
      <c r="E301" s="40">
        <v>21</v>
      </c>
      <c r="F301" s="40" t="s">
        <v>42</v>
      </c>
      <c r="G301" s="40" t="s">
        <v>42</v>
      </c>
      <c r="H301" s="41" t="s">
        <v>561</v>
      </c>
      <c r="I301" s="64" t="s">
        <v>43</v>
      </c>
      <c r="J301" s="65" t="s">
        <v>43</v>
      </c>
      <c r="K301" s="66" t="s">
        <v>43</v>
      </c>
      <c r="L301" s="40">
        <v>1</v>
      </c>
      <c r="M301" s="40">
        <v>1</v>
      </c>
      <c r="N301" s="40">
        <v>2</v>
      </c>
      <c r="O301" s="40">
        <v>1</v>
      </c>
      <c r="P301" s="41">
        <v>1</v>
      </c>
      <c r="Q301" s="40">
        <v>3</v>
      </c>
      <c r="R301" s="40">
        <v>2</v>
      </c>
      <c r="S301" s="40">
        <v>2</v>
      </c>
      <c r="T301" s="40">
        <v>2</v>
      </c>
      <c r="U301" s="41">
        <v>4</v>
      </c>
      <c r="V301" s="40">
        <v>6</v>
      </c>
      <c r="W301" s="40">
        <v>3</v>
      </c>
      <c r="X301" s="40">
        <v>1</v>
      </c>
      <c r="Y301" s="41">
        <v>1</v>
      </c>
      <c r="Z301" s="40" t="s">
        <v>45</v>
      </c>
      <c r="AA301" s="40" t="s">
        <v>45</v>
      </c>
      <c r="AB301" s="40" t="s">
        <v>45</v>
      </c>
      <c r="AC301" s="40" t="s">
        <v>45</v>
      </c>
      <c r="AD301" s="40" t="s">
        <v>45</v>
      </c>
      <c r="AE301" s="40" t="s">
        <v>45</v>
      </c>
      <c r="AF301" s="40" t="s">
        <v>45</v>
      </c>
      <c r="AG301" s="41" t="s">
        <v>45</v>
      </c>
      <c r="AH301" s="40">
        <v>1</v>
      </c>
      <c r="AI301" s="40">
        <v>2</v>
      </c>
      <c r="AJ301" s="41">
        <v>1</v>
      </c>
      <c r="AK301" s="43" t="s">
        <v>557</v>
      </c>
      <c r="AL301" s="43" t="s">
        <v>103</v>
      </c>
      <c r="AM301" s="44">
        <f t="shared" si="36"/>
        <v>-2.0012818558036707</v>
      </c>
      <c r="AN301" s="44">
        <f t="shared" si="37"/>
        <v>-1.0953517343187862</v>
      </c>
      <c r="AO301" s="45">
        <f t="shared" si="38"/>
        <v>0</v>
      </c>
      <c r="AP301" s="46">
        <f t="shared" si="39"/>
        <v>0</v>
      </c>
      <c r="AQ301" s="44">
        <f>($AM$3*AM301+$AN$3*AN301+$AO$3*AO301+$AP$3*AP301)+$I$3*VLOOKUP(I301,COND!$A$2:$E$7,4,FALSE)+$J$3*VLOOKUP(J301,COND!$A$2:$C$7,2,FALSE)+$K$3*VLOOKUP(K301,COND!$A$2:$C$7,3,FALSE)+IF(AND($B$2&gt;0,$E301&lt;20),$B$2*25,0)</f>
        <v>31.655651002594198</v>
      </c>
      <c r="AR301" s="47">
        <f>STANDARDIZE(AQ301,AVERAGE($AQ$5:$AQ$442),STDEVP($AQ$5:$AQ$442))</f>
        <v>-1.6878058321215845</v>
      </c>
      <c r="AS301" s="45" t="str">
        <f t="shared" si="40"/>
        <v>DH</v>
      </c>
      <c r="AT301" s="45">
        <v>900</v>
      </c>
      <c r="AU301" s="45">
        <v>297</v>
      </c>
      <c r="AV301" s="45"/>
      <c r="AW301" s="45" t="str">
        <f t="shared" si="41"/>
        <v>Unlikely</v>
      </c>
      <c r="AX301" s="45"/>
      <c r="AY301" s="45" t="str">
        <f>INDEX(Table5[[#All],[Ovr]],MATCH(Batters[[#This Row],[PID]],Table5[[#All],[PID]],0))</f>
        <v/>
      </c>
      <c r="AZ301" s="45" t="str">
        <f>INDEX(Table5[[#All],[Rnd]],MATCH(Batters[[#This Row],[PID]],Table5[[#All],[PID]],0))</f>
        <v/>
      </c>
      <c r="BA301" s="45" t="str">
        <f>INDEX(Table5[[#All],[Pick]],MATCH(Batters[[#This Row],[PID]],Table5[[#All],[PID]],0))</f>
        <v/>
      </c>
      <c r="BB301" s="45" t="str">
        <f>INDEX(Table5[[#All],[Team]],MATCH(Batters[[#This Row],[PID]],Table5[[#All],[PID]],0))</f>
        <v/>
      </c>
    </row>
    <row r="302" spans="1:54" ht="15" customHeight="1" x14ac:dyDescent="0.3">
      <c r="A302" s="40">
        <v>6215</v>
      </c>
      <c r="B302" s="40" t="s">
        <v>87</v>
      </c>
      <c r="C302" s="40" t="s">
        <v>633</v>
      </c>
      <c r="D302" s="40" t="s">
        <v>622</v>
      </c>
      <c r="E302" s="40">
        <v>21</v>
      </c>
      <c r="F302" s="40" t="s">
        <v>42</v>
      </c>
      <c r="G302" s="40" t="s">
        <v>42</v>
      </c>
      <c r="H302" s="41" t="s">
        <v>561</v>
      </c>
      <c r="I302" s="64" t="s">
        <v>43</v>
      </c>
      <c r="J302" s="65" t="s">
        <v>43</v>
      </c>
      <c r="K302" s="66" t="s">
        <v>43</v>
      </c>
      <c r="L302" s="40">
        <v>1</v>
      </c>
      <c r="M302" s="40">
        <v>2</v>
      </c>
      <c r="N302" s="40">
        <v>3</v>
      </c>
      <c r="O302" s="40">
        <v>3</v>
      </c>
      <c r="P302" s="41">
        <v>1</v>
      </c>
      <c r="Q302" s="40">
        <v>2</v>
      </c>
      <c r="R302" s="40">
        <v>3</v>
      </c>
      <c r="S302" s="40">
        <v>3</v>
      </c>
      <c r="T302" s="40">
        <v>5</v>
      </c>
      <c r="U302" s="41">
        <v>1</v>
      </c>
      <c r="V302" s="40">
        <v>10</v>
      </c>
      <c r="W302" s="40">
        <v>9</v>
      </c>
      <c r="X302" s="40">
        <v>7</v>
      </c>
      <c r="Y302" s="41">
        <v>3</v>
      </c>
      <c r="Z302" s="40" t="s">
        <v>45</v>
      </c>
      <c r="AA302" s="40">
        <v>1</v>
      </c>
      <c r="AB302" s="40" t="s">
        <v>45</v>
      </c>
      <c r="AC302" s="40" t="s">
        <v>45</v>
      </c>
      <c r="AD302" s="40" t="s">
        <v>45</v>
      </c>
      <c r="AE302" s="40" t="s">
        <v>45</v>
      </c>
      <c r="AF302" s="40" t="s">
        <v>45</v>
      </c>
      <c r="AG302" s="41" t="s">
        <v>45</v>
      </c>
      <c r="AH302" s="40">
        <v>1</v>
      </c>
      <c r="AI302" s="40">
        <v>5</v>
      </c>
      <c r="AJ302" s="41">
        <v>5</v>
      </c>
      <c r="AK302" s="43" t="s">
        <v>45</v>
      </c>
      <c r="AL302" s="43" t="s">
        <v>103</v>
      </c>
      <c r="AM302" s="44">
        <f t="shared" si="36"/>
        <v>-1.6877413821419032</v>
      </c>
      <c r="AN302" s="44">
        <f t="shared" si="37"/>
        <v>-1.1347065663013634</v>
      </c>
      <c r="AO302" s="45">
        <f t="shared" si="38"/>
        <v>0</v>
      </c>
      <c r="AP302" s="46">
        <f t="shared" si="39"/>
        <v>0</v>
      </c>
      <c r="AQ302" s="44">
        <f>($AM$3*AM302+$AN$3*AN302+$AO$3*AO302+$AP$3*AP302)+$I$3*VLOOKUP(I302,COND!$A$2:$E$7,4,FALSE)+$J$3*VLOOKUP(J302,COND!$A$2:$C$7,2,FALSE)+$K$3*VLOOKUP(K302,COND!$A$2:$C$7,3,FALSE)+IF(AND($B$2&gt;0,$E302&lt;20),$B$2*25,0)</f>
        <v>31.214747066169451</v>
      </c>
      <c r="AR302" s="47">
        <f>STANDARDIZE(AQ302,AVERAGE($AQ$5:$AQ$459),STDEVP($AQ$5:$AQ$459))</f>
        <v>-1.7257802774873008</v>
      </c>
      <c r="AS302" s="45" t="str">
        <f t="shared" si="40"/>
        <v>1B</v>
      </c>
      <c r="AT302" s="45">
        <v>900</v>
      </c>
      <c r="AU302" s="45">
        <v>298</v>
      </c>
      <c r="AV302" s="45"/>
      <c r="AW302" s="45" t="str">
        <f t="shared" si="41"/>
        <v>Unlikely</v>
      </c>
      <c r="AX302" s="45"/>
      <c r="AY302" s="63">
        <f>INDEX(Table5[[#All],[Ovr]],MATCH(Batters[[#This Row],[PID]],Table5[[#All],[PID]],0))</f>
        <v>439</v>
      </c>
      <c r="AZ302" s="63" t="str">
        <f>INDEX(Table5[[#All],[Rnd]],MATCH(Batters[[#This Row],[PID]],Table5[[#All],[PID]],0))</f>
        <v>14</v>
      </c>
      <c r="BA302" s="63">
        <f>INDEX(Table5[[#All],[Pick]],MATCH(Batters[[#This Row],[PID]],Table5[[#All],[PID]],0))</f>
        <v>6</v>
      </c>
      <c r="BB302" s="63" t="str">
        <f>INDEX(Table5[[#All],[Team]],MATCH(Batters[[#This Row],[PID]],Table5[[#All],[PID]],0))</f>
        <v>New Orleans Trendsetters</v>
      </c>
    </row>
    <row r="303" spans="1:54" ht="15" customHeight="1" x14ac:dyDescent="0.3">
      <c r="A303" s="40">
        <v>9660</v>
      </c>
      <c r="B303" s="40" t="s">
        <v>87</v>
      </c>
      <c r="C303" s="40" t="s">
        <v>1325</v>
      </c>
      <c r="D303" s="40" t="s">
        <v>607</v>
      </c>
      <c r="E303" s="40">
        <v>21</v>
      </c>
      <c r="F303" s="40" t="s">
        <v>42</v>
      </c>
      <c r="G303" s="40" t="s">
        <v>42</v>
      </c>
      <c r="H303" s="41" t="s">
        <v>561</v>
      </c>
      <c r="I303" s="64" t="s">
        <v>43</v>
      </c>
      <c r="J303" s="65" t="s">
        <v>47</v>
      </c>
      <c r="K303" s="66" t="s">
        <v>43</v>
      </c>
      <c r="L303" s="40">
        <v>1</v>
      </c>
      <c r="M303" s="40">
        <v>2</v>
      </c>
      <c r="N303" s="40">
        <v>2</v>
      </c>
      <c r="O303" s="40">
        <v>2</v>
      </c>
      <c r="P303" s="41">
        <v>1</v>
      </c>
      <c r="Q303" s="40">
        <v>2</v>
      </c>
      <c r="R303" s="40">
        <v>2</v>
      </c>
      <c r="S303" s="40">
        <v>2</v>
      </c>
      <c r="T303" s="40">
        <v>5</v>
      </c>
      <c r="U303" s="41">
        <v>2</v>
      </c>
      <c r="V303" s="40">
        <v>5</v>
      </c>
      <c r="W303" s="40">
        <v>3</v>
      </c>
      <c r="X303" s="40">
        <v>1</v>
      </c>
      <c r="Y303" s="41">
        <v>1</v>
      </c>
      <c r="Z303" s="40" t="s">
        <v>45</v>
      </c>
      <c r="AA303" s="40">
        <v>1</v>
      </c>
      <c r="AB303" s="40" t="s">
        <v>45</v>
      </c>
      <c r="AC303" s="40" t="s">
        <v>45</v>
      </c>
      <c r="AD303" s="40" t="s">
        <v>45</v>
      </c>
      <c r="AE303" s="40" t="s">
        <v>45</v>
      </c>
      <c r="AF303" s="40" t="s">
        <v>45</v>
      </c>
      <c r="AG303" s="41" t="s">
        <v>45</v>
      </c>
      <c r="AH303" s="40">
        <v>1</v>
      </c>
      <c r="AI303" s="40">
        <v>4</v>
      </c>
      <c r="AJ303" s="41">
        <v>6</v>
      </c>
      <c r="AK303" s="43" t="s">
        <v>557</v>
      </c>
      <c r="AL303" s="43" t="s">
        <v>103</v>
      </c>
      <c r="AM303" s="44">
        <f t="shared" si="36"/>
        <v>-1.8605124261753858</v>
      </c>
      <c r="AN303" s="44">
        <f t="shared" si="37"/>
        <v>-1.2288116001268847</v>
      </c>
      <c r="AO303" s="45">
        <f t="shared" si="38"/>
        <v>0</v>
      </c>
      <c r="AP303" s="46">
        <f t="shared" si="39"/>
        <v>0</v>
      </c>
      <c r="AQ303" s="44">
        <f>($AM$3*AM303+$AN$3*AN303+$AO$3*AO303+$AP$3*AP303)+$I$3*VLOOKUP(I303,COND!$A$2:$E$7,4,FALSE)+$J$3*VLOOKUP(J303,COND!$A$2:$C$7,2,FALSE)+$K$3*VLOOKUP(K303,COND!$A$2:$C$7,3,FALSE)+IF(AND($B$2&gt;0,$E303&lt;20),$B$2*25,0)</f>
        <v>30.368209555859842</v>
      </c>
      <c r="AR303" s="47">
        <f t="shared" ref="AR303:AR334" si="43">STANDARDIZE(AQ303,AVERAGE($AQ$5:$AQ$442),STDEVP($AQ$5:$AQ$442))</f>
        <v>-1.875731226382793</v>
      </c>
      <c r="AS303" s="45" t="str">
        <f t="shared" si="40"/>
        <v>1B</v>
      </c>
      <c r="AT303" s="45">
        <v>900</v>
      </c>
      <c r="AU303" s="45">
        <v>299</v>
      </c>
      <c r="AV303" s="45"/>
      <c r="AW303" s="45" t="str">
        <f t="shared" si="41"/>
        <v>Unlikely</v>
      </c>
      <c r="AX303" s="45"/>
      <c r="AY303" s="45" t="str">
        <f>INDEX(Table5[[#All],[Ovr]],MATCH(Batters[[#This Row],[PID]],Table5[[#All],[PID]],0))</f>
        <v/>
      </c>
      <c r="AZ303" s="45" t="str">
        <f>INDEX(Table5[[#All],[Rnd]],MATCH(Batters[[#This Row],[PID]],Table5[[#All],[PID]],0))</f>
        <v/>
      </c>
      <c r="BA303" s="45" t="str">
        <f>INDEX(Table5[[#All],[Pick]],MATCH(Batters[[#This Row],[PID]],Table5[[#All],[PID]],0))</f>
        <v/>
      </c>
      <c r="BB303" s="45" t="str">
        <f>INDEX(Table5[[#All],[Team]],MATCH(Batters[[#This Row],[PID]],Table5[[#All],[PID]],0))</f>
        <v/>
      </c>
    </row>
    <row r="304" spans="1:54" ht="15" customHeight="1" x14ac:dyDescent="0.3">
      <c r="A304" s="40">
        <v>13472</v>
      </c>
      <c r="B304" s="40" t="s">
        <v>87</v>
      </c>
      <c r="C304" s="40" t="s">
        <v>1326</v>
      </c>
      <c r="D304" s="40" t="s">
        <v>978</v>
      </c>
      <c r="E304" s="40">
        <v>21</v>
      </c>
      <c r="F304" s="40" t="s">
        <v>42</v>
      </c>
      <c r="G304" s="40" t="s">
        <v>42</v>
      </c>
      <c r="H304" s="41" t="s">
        <v>561</v>
      </c>
      <c r="I304" s="64" t="s">
        <v>43</v>
      </c>
      <c r="J304" s="65" t="s">
        <v>47</v>
      </c>
      <c r="K304" s="66" t="s">
        <v>43</v>
      </c>
      <c r="L304" s="40">
        <v>1</v>
      </c>
      <c r="M304" s="40">
        <v>2</v>
      </c>
      <c r="N304" s="40">
        <v>2</v>
      </c>
      <c r="O304" s="40">
        <v>1</v>
      </c>
      <c r="P304" s="41">
        <v>2</v>
      </c>
      <c r="Q304" s="40">
        <v>2</v>
      </c>
      <c r="R304" s="40">
        <v>2</v>
      </c>
      <c r="S304" s="40">
        <v>2</v>
      </c>
      <c r="T304" s="40">
        <v>1</v>
      </c>
      <c r="U304" s="41">
        <v>4</v>
      </c>
      <c r="V304" s="40">
        <v>5</v>
      </c>
      <c r="W304" s="40">
        <v>3</v>
      </c>
      <c r="X304" s="40">
        <v>1</v>
      </c>
      <c r="Y304" s="41">
        <v>1</v>
      </c>
      <c r="Z304" s="40" t="s">
        <v>45</v>
      </c>
      <c r="AA304" s="40">
        <v>1</v>
      </c>
      <c r="AB304" s="40" t="s">
        <v>45</v>
      </c>
      <c r="AC304" s="40" t="s">
        <v>45</v>
      </c>
      <c r="AD304" s="40" t="s">
        <v>45</v>
      </c>
      <c r="AE304" s="40" t="s">
        <v>45</v>
      </c>
      <c r="AF304" s="40" t="s">
        <v>45</v>
      </c>
      <c r="AG304" s="41" t="s">
        <v>45</v>
      </c>
      <c r="AH304" s="40">
        <v>6</v>
      </c>
      <c r="AI304" s="40">
        <v>4</v>
      </c>
      <c r="AJ304" s="41">
        <v>2</v>
      </c>
      <c r="AK304" s="43" t="s">
        <v>557</v>
      </c>
      <c r="AL304" s="43" t="s">
        <v>103</v>
      </c>
      <c r="AM304" s="44">
        <f t="shared" si="36"/>
        <v>-1.9102056363678834</v>
      </c>
      <c r="AN304" s="44">
        <f t="shared" si="37"/>
        <v>-1.5076171205310418</v>
      </c>
      <c r="AO304" s="45">
        <f t="shared" si="38"/>
        <v>0</v>
      </c>
      <c r="AP304" s="46">
        <f t="shared" si="39"/>
        <v>0</v>
      </c>
      <c r="AQ304" s="44">
        <f>($AM$3*AM304+$AN$3*AN304+$AO$3*AO304+$AP$3*AP304)+$I$3*VLOOKUP(I304,COND!$A$2:$E$7,4,FALSE)+$J$3*VLOOKUP(J304,COND!$A$2:$C$7,2,FALSE)+$K$3*VLOOKUP(K304,COND!$A$2:$C$7,3,FALSE)+IF(AND($B$2&gt;0,$E304&lt;20),$B$2*25,0)</f>
        <v>27.017573989990712</v>
      </c>
      <c r="AR304" s="47">
        <f t="shared" si="43"/>
        <v>-2.364817166049225</v>
      </c>
      <c r="AS304" s="45" t="str">
        <f t="shared" si="40"/>
        <v>1B</v>
      </c>
      <c r="AT304" s="45">
        <v>900</v>
      </c>
      <c r="AU304" s="45">
        <v>300</v>
      </c>
      <c r="AV304" s="45"/>
      <c r="AW304" s="45" t="str">
        <f t="shared" si="41"/>
        <v>Unlikely</v>
      </c>
      <c r="AX304" s="45"/>
      <c r="AY304" s="45" t="str">
        <f>INDEX(Table5[[#All],[Ovr]],MATCH(Batters[[#This Row],[PID]],Table5[[#All],[PID]],0))</f>
        <v/>
      </c>
      <c r="AZ304" s="45" t="str">
        <f>INDEX(Table5[[#All],[Rnd]],MATCH(Batters[[#This Row],[PID]],Table5[[#All],[PID]],0))</f>
        <v/>
      </c>
      <c r="BA304" s="45" t="str">
        <f>INDEX(Table5[[#All],[Pick]],MATCH(Batters[[#This Row],[PID]],Table5[[#All],[PID]],0))</f>
        <v/>
      </c>
      <c r="BB304" s="45" t="str">
        <f>INDEX(Table5[[#All],[Team]],MATCH(Batters[[#This Row],[PID]],Table5[[#All],[PID]],0))</f>
        <v/>
      </c>
    </row>
    <row r="305" spans="1:54" ht="15" customHeight="1" x14ac:dyDescent="0.3">
      <c r="A305" s="40">
        <v>20615</v>
      </c>
      <c r="B305" s="40" t="s">
        <v>87</v>
      </c>
      <c r="C305" s="40" t="s">
        <v>1165</v>
      </c>
      <c r="D305" s="40" t="s">
        <v>1166</v>
      </c>
      <c r="E305" s="40">
        <v>17</v>
      </c>
      <c r="F305" s="40" t="s">
        <v>53</v>
      </c>
      <c r="G305" s="40" t="s">
        <v>53</v>
      </c>
      <c r="H305" s="41" t="s">
        <v>552</v>
      </c>
      <c r="I305" s="64" t="s">
        <v>43</v>
      </c>
      <c r="J305" s="65" t="s">
        <v>44</v>
      </c>
      <c r="K305" s="66" t="s">
        <v>47</v>
      </c>
      <c r="L305" s="40">
        <v>1</v>
      </c>
      <c r="M305" s="40">
        <v>3</v>
      </c>
      <c r="N305" s="40">
        <v>2</v>
      </c>
      <c r="O305" s="40">
        <v>3</v>
      </c>
      <c r="P305" s="41">
        <v>1</v>
      </c>
      <c r="Q305" s="40">
        <v>4</v>
      </c>
      <c r="R305" s="40">
        <v>5</v>
      </c>
      <c r="S305" s="40">
        <v>4</v>
      </c>
      <c r="T305" s="40">
        <v>5</v>
      </c>
      <c r="U305" s="41">
        <v>5</v>
      </c>
      <c r="V305" s="40">
        <v>3</v>
      </c>
      <c r="W305" s="40">
        <v>3</v>
      </c>
      <c r="X305" s="40">
        <v>1</v>
      </c>
      <c r="Y305" s="41">
        <v>1</v>
      </c>
      <c r="Z305" s="40" t="s">
        <v>45</v>
      </c>
      <c r="AA305" s="40">
        <v>2</v>
      </c>
      <c r="AB305" s="40" t="s">
        <v>45</v>
      </c>
      <c r="AC305" s="40" t="s">
        <v>45</v>
      </c>
      <c r="AD305" s="40" t="s">
        <v>45</v>
      </c>
      <c r="AE305" s="40" t="s">
        <v>45</v>
      </c>
      <c r="AF305" s="40" t="s">
        <v>45</v>
      </c>
      <c r="AG305" s="41" t="s">
        <v>45</v>
      </c>
      <c r="AH305" s="40">
        <v>3</v>
      </c>
      <c r="AI305" s="40">
        <v>5</v>
      </c>
      <c r="AJ305" s="41">
        <v>5</v>
      </c>
      <c r="AK305" s="43" t="s">
        <v>497</v>
      </c>
      <c r="AL305" s="43" t="s">
        <v>103</v>
      </c>
      <c r="AM305" s="44">
        <f t="shared" si="36"/>
        <v>-1.7197429965471014</v>
      </c>
      <c r="AN305" s="44">
        <f t="shared" si="37"/>
        <v>-0.1443482813663714</v>
      </c>
      <c r="AO305" s="45">
        <f t="shared" si="38"/>
        <v>0</v>
      </c>
      <c r="AP305" s="46">
        <f t="shared" si="39"/>
        <v>0</v>
      </c>
      <c r="AQ305" s="44">
        <f>($AM$3*AM305+$AN$3*AN305+$AO$3*AO305+$AP$3*AP305)+$I$3*VLOOKUP(I305,COND!$A$2:$E$7,4,FALSE)+$J$3*VLOOKUP(J305,COND!$A$2:$C$7,2,FALSE)+$K$3*VLOOKUP(K305,COND!$A$2:$C$7,3,FALSE)+IF(AND($B$2&gt;0,$E305&lt;20),$B$2*25,0)</f>
        <v>48.095846323948834</v>
      </c>
      <c r="AR305" s="47">
        <f t="shared" si="43"/>
        <v>0.71193840116650353</v>
      </c>
      <c r="AS305" s="45" t="str">
        <f t="shared" si="40"/>
        <v>1B</v>
      </c>
      <c r="AT305" s="45">
        <v>930</v>
      </c>
      <c r="AU305" s="45">
        <v>301</v>
      </c>
      <c r="AV305" s="45"/>
      <c r="AW305" s="45" t="str">
        <f t="shared" si="41"/>
        <v>Unlikely</v>
      </c>
      <c r="AX305" s="45"/>
      <c r="AY305" s="45">
        <f>INDEX(Table5[[#All],[Ovr]],MATCH(Batters[[#This Row],[PID]],Table5[[#All],[PID]],0))</f>
        <v>308</v>
      </c>
      <c r="AZ305" s="45" t="str">
        <f>INDEX(Table5[[#All],[Rnd]],MATCH(Batters[[#This Row],[PID]],Table5[[#All],[PID]],0))</f>
        <v>10</v>
      </c>
      <c r="BA305" s="45">
        <f>INDEX(Table5[[#All],[Pick]],MATCH(Batters[[#This Row],[PID]],Table5[[#All],[PID]],0))</f>
        <v>11</v>
      </c>
      <c r="BB305" s="45" t="str">
        <f>INDEX(Table5[[#All],[Team]],MATCH(Batters[[#This Row],[PID]],Table5[[#All],[PID]],0))</f>
        <v>Arlington Bureaucrats</v>
      </c>
    </row>
    <row r="306" spans="1:54" ht="15" customHeight="1" x14ac:dyDescent="0.3">
      <c r="A306" s="40">
        <v>20668</v>
      </c>
      <c r="B306" s="40" t="s">
        <v>72</v>
      </c>
      <c r="C306" s="40" t="s">
        <v>1041</v>
      </c>
      <c r="D306" s="40" t="s">
        <v>1042</v>
      </c>
      <c r="E306" s="40">
        <v>17</v>
      </c>
      <c r="F306" s="40" t="s">
        <v>42</v>
      </c>
      <c r="G306" s="40" t="s">
        <v>42</v>
      </c>
      <c r="H306" s="41" t="s">
        <v>550</v>
      </c>
      <c r="I306" s="64" t="s">
        <v>43</v>
      </c>
      <c r="J306" s="65" t="s">
        <v>44</v>
      </c>
      <c r="K306" s="66" t="s">
        <v>43</v>
      </c>
      <c r="L306" s="40">
        <v>1</v>
      </c>
      <c r="M306" s="40">
        <v>4</v>
      </c>
      <c r="N306" s="40">
        <v>4</v>
      </c>
      <c r="O306" s="40">
        <v>3</v>
      </c>
      <c r="P306" s="41">
        <v>1</v>
      </c>
      <c r="Q306" s="40">
        <v>3</v>
      </c>
      <c r="R306" s="40">
        <v>6</v>
      </c>
      <c r="S306" s="40">
        <v>6</v>
      </c>
      <c r="T306" s="40">
        <v>6</v>
      </c>
      <c r="U306" s="41">
        <v>4</v>
      </c>
      <c r="V306" s="40">
        <v>8</v>
      </c>
      <c r="W306" s="40">
        <v>8</v>
      </c>
      <c r="X306" s="40">
        <v>1</v>
      </c>
      <c r="Y306" s="41">
        <v>1</v>
      </c>
      <c r="Z306" s="40" t="s">
        <v>45</v>
      </c>
      <c r="AA306" s="40" t="s">
        <v>45</v>
      </c>
      <c r="AB306" s="40" t="s">
        <v>45</v>
      </c>
      <c r="AC306" s="40" t="s">
        <v>45</v>
      </c>
      <c r="AD306" s="40">
        <v>2</v>
      </c>
      <c r="AE306" s="40" t="s">
        <v>45</v>
      </c>
      <c r="AF306" s="40" t="s">
        <v>45</v>
      </c>
      <c r="AG306" s="41" t="s">
        <v>45</v>
      </c>
      <c r="AH306" s="40">
        <v>9</v>
      </c>
      <c r="AI306" s="40">
        <v>9</v>
      </c>
      <c r="AJ306" s="41">
        <v>10</v>
      </c>
      <c r="AK306" s="43" t="s">
        <v>497</v>
      </c>
      <c r="AL306" s="43" t="s">
        <v>103</v>
      </c>
      <c r="AM306" s="44">
        <f t="shared" si="36"/>
        <v>-1.5025601288805945</v>
      </c>
      <c r="AN306" s="44">
        <f t="shared" si="37"/>
        <v>-0.20002803971004207</v>
      </c>
      <c r="AO306" s="45">
        <f t="shared" si="38"/>
        <v>5</v>
      </c>
      <c r="AP306" s="46">
        <f t="shared" si="39"/>
        <v>0</v>
      </c>
      <c r="AQ306" s="44">
        <f>($AM$3*AM306+$AN$3*AN306+$AO$3*AO306+$AP$3*AP306)+$I$3*VLOOKUP(I306,COND!$A$2:$E$7,4,FALSE)+$J$3*VLOOKUP(J306,COND!$A$2:$C$7,2,FALSE)+$K$3*VLOOKUP(K306,COND!$A$2:$C$7,3,FALSE)+IF(AND($B$2&gt;0,$E306&lt;20),$B$2*25,0)</f>
        <v>47.982740843924766</v>
      </c>
      <c r="AR306" s="47">
        <f t="shared" si="43"/>
        <v>0.69542860805665674</v>
      </c>
      <c r="AS306" s="45" t="str">
        <f t="shared" si="40"/>
        <v>SS</v>
      </c>
      <c r="AT306" s="45">
        <v>930</v>
      </c>
      <c r="AU306" s="45">
        <v>302</v>
      </c>
      <c r="AV306" s="45"/>
      <c r="AW306" s="45" t="str">
        <f t="shared" si="41"/>
        <v>Unlikely</v>
      </c>
      <c r="AX306" s="45"/>
      <c r="AY306" s="45">
        <f>INDEX(Table5[[#All],[Ovr]],MATCH(Batters[[#This Row],[PID]],Table5[[#All],[PID]],0))</f>
        <v>164</v>
      </c>
      <c r="AZ306" s="45" t="str">
        <f>INDEX(Table5[[#All],[Rnd]],MATCH(Batters[[#This Row],[PID]],Table5[[#All],[PID]],0))</f>
        <v>5</v>
      </c>
      <c r="BA306" s="45">
        <f>INDEX(Table5[[#All],[Pick]],MATCH(Batters[[#This Row],[PID]],Table5[[#All],[PID]],0))</f>
        <v>27</v>
      </c>
      <c r="BB306" s="45" t="str">
        <f>INDEX(Table5[[#All],[Team]],MATCH(Batters[[#This Row],[PID]],Table5[[#All],[PID]],0))</f>
        <v>Havana Leones</v>
      </c>
    </row>
    <row r="307" spans="1:54" ht="15" customHeight="1" x14ac:dyDescent="0.3">
      <c r="A307" s="40">
        <v>20764</v>
      </c>
      <c r="B307" s="40" t="s">
        <v>86</v>
      </c>
      <c r="C307" s="40" t="s">
        <v>165</v>
      </c>
      <c r="D307" s="40" t="s">
        <v>790</v>
      </c>
      <c r="E307" s="40">
        <v>17</v>
      </c>
      <c r="F307" s="40" t="s">
        <v>42</v>
      </c>
      <c r="G307" s="40" t="s">
        <v>42</v>
      </c>
      <c r="H307" s="41" t="s">
        <v>550</v>
      </c>
      <c r="I307" s="64" t="s">
        <v>43</v>
      </c>
      <c r="J307" s="65" t="s">
        <v>44</v>
      </c>
      <c r="K307" s="66" t="s">
        <v>43</v>
      </c>
      <c r="L307" s="40">
        <v>1</v>
      </c>
      <c r="M307" s="40">
        <v>3</v>
      </c>
      <c r="N307" s="40">
        <v>3</v>
      </c>
      <c r="O307" s="40">
        <v>2</v>
      </c>
      <c r="P307" s="41">
        <v>1</v>
      </c>
      <c r="Q307" s="40">
        <v>3</v>
      </c>
      <c r="R307" s="40">
        <v>8</v>
      </c>
      <c r="S307" s="40">
        <v>6</v>
      </c>
      <c r="T307" s="40">
        <v>5</v>
      </c>
      <c r="U307" s="41">
        <v>3</v>
      </c>
      <c r="V307" s="40">
        <v>3</v>
      </c>
      <c r="W307" s="40">
        <v>3</v>
      </c>
      <c r="X307" s="40">
        <v>4</v>
      </c>
      <c r="Y307" s="41">
        <v>6</v>
      </c>
      <c r="Z307" s="40" t="s">
        <v>45</v>
      </c>
      <c r="AA307" s="40" t="s">
        <v>45</v>
      </c>
      <c r="AB307" s="40" t="s">
        <v>45</v>
      </c>
      <c r="AC307" s="40" t="s">
        <v>45</v>
      </c>
      <c r="AD307" s="40" t="s">
        <v>45</v>
      </c>
      <c r="AE307" s="40" t="s">
        <v>45</v>
      </c>
      <c r="AF307" s="40" t="s">
        <v>45</v>
      </c>
      <c r="AG307" s="41" t="s">
        <v>45</v>
      </c>
      <c r="AH307" s="40">
        <v>1</v>
      </c>
      <c r="AI307" s="40">
        <v>1</v>
      </c>
      <c r="AJ307" s="41">
        <v>1</v>
      </c>
      <c r="AK307" s="43" t="s">
        <v>495</v>
      </c>
      <c r="AL307" s="43" t="s">
        <v>103</v>
      </c>
      <c r="AM307" s="44">
        <f t="shared" si="36"/>
        <v>-1.726391052532781</v>
      </c>
      <c r="AN307" s="44">
        <f t="shared" si="37"/>
        <v>-0.22763417029929947</v>
      </c>
      <c r="AO307" s="45">
        <f t="shared" si="38"/>
        <v>0</v>
      </c>
      <c r="AP307" s="46">
        <f t="shared" si="39"/>
        <v>0</v>
      </c>
      <c r="AQ307" s="44">
        <f>($AM$3*AM307+$AN$3*AN307+$AO$3*AO307+$AP$3*AP307)+$I$3*VLOOKUP(I307,COND!$A$2:$E$7,4,FALSE)+$J$3*VLOOKUP(J307,COND!$A$2:$C$7,2,FALSE)+$K$3*VLOOKUP(K307,COND!$A$2:$C$7,3,FALSE)+IF(AND($B$2&gt;0,$E307&lt;20),$B$2*25,0)</f>
        <v>46.795750851155127</v>
      </c>
      <c r="AR307" s="47">
        <f t="shared" si="43"/>
        <v>0.52216592264198591</v>
      </c>
      <c r="AS307" s="45" t="str">
        <f t="shared" si="40"/>
        <v>DH</v>
      </c>
      <c r="AT307" s="45">
        <v>930</v>
      </c>
      <c r="AU307" s="45">
        <v>303</v>
      </c>
      <c r="AV307" s="45"/>
      <c r="AW307" s="45" t="str">
        <f t="shared" si="41"/>
        <v>Unlikely</v>
      </c>
      <c r="AX307" s="45"/>
      <c r="AY307" s="45">
        <f>INDEX(Table5[[#All],[Ovr]],MATCH(Batters[[#This Row],[PID]],Table5[[#All],[PID]],0))</f>
        <v>268</v>
      </c>
      <c r="AZ307" s="45" t="str">
        <f>INDEX(Table5[[#All],[Rnd]],MATCH(Batters[[#This Row],[PID]],Table5[[#All],[PID]],0))</f>
        <v>9</v>
      </c>
      <c r="BA307" s="45">
        <f>INDEX(Table5[[#All],[Pick]],MATCH(Batters[[#This Row],[PID]],Table5[[#All],[PID]],0))</f>
        <v>3</v>
      </c>
      <c r="BB307" s="45" t="str">
        <f>INDEX(Table5[[#All],[Team]],MATCH(Batters[[#This Row],[PID]],Table5[[#All],[PID]],0))</f>
        <v>Okinawa Shisa</v>
      </c>
    </row>
    <row r="308" spans="1:54" ht="15" customHeight="1" x14ac:dyDescent="0.3">
      <c r="A308" s="40">
        <v>9955</v>
      </c>
      <c r="B308" s="40" t="s">
        <v>50</v>
      </c>
      <c r="C308" s="40" t="s">
        <v>126</v>
      </c>
      <c r="D308" s="40" t="s">
        <v>1217</v>
      </c>
      <c r="E308" s="40">
        <v>17</v>
      </c>
      <c r="F308" s="40" t="s">
        <v>42</v>
      </c>
      <c r="G308" s="40" t="s">
        <v>42</v>
      </c>
      <c r="H308" s="41" t="s">
        <v>552</v>
      </c>
      <c r="I308" s="64" t="s">
        <v>43</v>
      </c>
      <c r="J308" s="65" t="s">
        <v>44</v>
      </c>
      <c r="K308" s="66" t="s">
        <v>43</v>
      </c>
      <c r="L308" s="40">
        <v>1</v>
      </c>
      <c r="M308" s="40">
        <v>2</v>
      </c>
      <c r="N308" s="40">
        <v>2</v>
      </c>
      <c r="O308" s="40">
        <v>2</v>
      </c>
      <c r="P308" s="41">
        <v>1</v>
      </c>
      <c r="Q308" s="40">
        <v>4</v>
      </c>
      <c r="R308" s="40">
        <v>3</v>
      </c>
      <c r="S308" s="40">
        <v>4</v>
      </c>
      <c r="T308" s="40">
        <v>5</v>
      </c>
      <c r="U308" s="41">
        <v>5</v>
      </c>
      <c r="V308" s="40">
        <v>3</v>
      </c>
      <c r="W308" s="40">
        <v>6</v>
      </c>
      <c r="X308" s="40">
        <v>1</v>
      </c>
      <c r="Y308" s="41">
        <v>1</v>
      </c>
      <c r="Z308" s="40" t="s">
        <v>45</v>
      </c>
      <c r="AA308" s="40" t="s">
        <v>45</v>
      </c>
      <c r="AB308" s="40" t="s">
        <v>45</v>
      </c>
      <c r="AC308" s="40" t="s">
        <v>45</v>
      </c>
      <c r="AD308" s="40" t="s">
        <v>45</v>
      </c>
      <c r="AE308" s="40">
        <v>4</v>
      </c>
      <c r="AF308" s="40">
        <v>1</v>
      </c>
      <c r="AG308" s="41" t="s">
        <v>45</v>
      </c>
      <c r="AH308" s="40">
        <v>6</v>
      </c>
      <c r="AI308" s="40">
        <v>6</v>
      </c>
      <c r="AJ308" s="41">
        <v>7</v>
      </c>
      <c r="AK308" s="43" t="s">
        <v>497</v>
      </c>
      <c r="AL308" s="43" t="s">
        <v>103</v>
      </c>
      <c r="AM308" s="44">
        <f t="shared" si="36"/>
        <v>-1.8605124261753858</v>
      </c>
      <c r="AN308" s="44">
        <f t="shared" si="37"/>
        <v>-0.24646804060377836</v>
      </c>
      <c r="AO308" s="45">
        <f t="shared" si="38"/>
        <v>1</v>
      </c>
      <c r="AP308" s="46">
        <f t="shared" si="39"/>
        <v>0</v>
      </c>
      <c r="AQ308" s="44">
        <f>($AM$3*AM308+$AN$3*AN308+$AO$3*AO308+$AP$3*AP308)+$I$3*VLOOKUP(I308,COND!$A$2:$E$7,4,FALSE)+$J$3*VLOOKUP(J308,COND!$A$2:$C$7,2,FALSE)+$K$3*VLOOKUP(K308,COND!$A$2:$C$7,3,FALSE)+IF(AND($B$2&gt;0,$E308&lt;20),$B$2*25,0)</f>
        <v>46.722998936803791</v>
      </c>
      <c r="AR308" s="47">
        <f t="shared" si="43"/>
        <v>0.5115464632309098</v>
      </c>
      <c r="AS308" s="45" t="str">
        <f t="shared" si="40"/>
        <v>LF</v>
      </c>
      <c r="AT308" s="45">
        <v>930</v>
      </c>
      <c r="AU308" s="45">
        <v>304</v>
      </c>
      <c r="AV308" s="45"/>
      <c r="AW308" s="45" t="str">
        <f t="shared" si="41"/>
        <v>Unlikely</v>
      </c>
      <c r="AX308" s="45"/>
      <c r="AY308" s="45">
        <f>INDEX(Table5[[#All],[Ovr]],MATCH(Batters[[#This Row],[PID]],Table5[[#All],[PID]],0))</f>
        <v>315</v>
      </c>
      <c r="AZ308" s="45" t="str">
        <f>INDEX(Table5[[#All],[Rnd]],MATCH(Batters[[#This Row],[PID]],Table5[[#All],[PID]],0))</f>
        <v>10</v>
      </c>
      <c r="BA308" s="45">
        <f>INDEX(Table5[[#All],[Pick]],MATCH(Batters[[#This Row],[PID]],Table5[[#All],[PID]],0))</f>
        <v>18</v>
      </c>
      <c r="BB308" s="45" t="str">
        <f>INDEX(Table5[[#All],[Team]],MATCH(Batters[[#This Row],[PID]],Table5[[#All],[PID]],0))</f>
        <v>San Juan Coqui</v>
      </c>
    </row>
    <row r="309" spans="1:54" ht="15" customHeight="1" x14ac:dyDescent="0.3">
      <c r="A309" s="40">
        <v>12498</v>
      </c>
      <c r="B309" s="40" t="s">
        <v>66</v>
      </c>
      <c r="C309" s="40" t="s">
        <v>903</v>
      </c>
      <c r="D309" s="40" t="s">
        <v>131</v>
      </c>
      <c r="E309" s="40">
        <v>18</v>
      </c>
      <c r="F309" s="40" t="s">
        <v>42</v>
      </c>
      <c r="G309" s="40" t="s">
        <v>42</v>
      </c>
      <c r="H309" s="41" t="s">
        <v>552</v>
      </c>
      <c r="I309" s="64" t="s">
        <v>43</v>
      </c>
      <c r="J309" s="65" t="s">
        <v>44</v>
      </c>
      <c r="K309" s="66" t="s">
        <v>43</v>
      </c>
      <c r="L309" s="40">
        <v>2</v>
      </c>
      <c r="M309" s="40">
        <v>2</v>
      </c>
      <c r="N309" s="40">
        <v>2</v>
      </c>
      <c r="O309" s="40">
        <v>4</v>
      </c>
      <c r="P309" s="41">
        <v>2</v>
      </c>
      <c r="Q309" s="40">
        <v>4</v>
      </c>
      <c r="R309" s="40">
        <v>4</v>
      </c>
      <c r="S309" s="40">
        <v>2</v>
      </c>
      <c r="T309" s="40">
        <v>6</v>
      </c>
      <c r="U309" s="41">
        <v>5</v>
      </c>
      <c r="V309" s="40">
        <v>8</v>
      </c>
      <c r="W309" s="40">
        <v>10</v>
      </c>
      <c r="X309" s="40">
        <v>1</v>
      </c>
      <c r="Y309" s="41">
        <v>1</v>
      </c>
      <c r="Z309" s="40" t="s">
        <v>45</v>
      </c>
      <c r="AA309" s="40">
        <v>3</v>
      </c>
      <c r="AB309" s="40">
        <v>2</v>
      </c>
      <c r="AC309" s="40" t="s">
        <v>45</v>
      </c>
      <c r="AD309" s="40" t="s">
        <v>45</v>
      </c>
      <c r="AE309" s="40">
        <v>2</v>
      </c>
      <c r="AF309" s="40" t="s">
        <v>45</v>
      </c>
      <c r="AG309" s="41">
        <v>2</v>
      </c>
      <c r="AH309" s="40">
        <v>3</v>
      </c>
      <c r="AI309" s="40">
        <v>6</v>
      </c>
      <c r="AJ309" s="41">
        <v>5</v>
      </c>
      <c r="AK309" s="43" t="s">
        <v>558</v>
      </c>
      <c r="AL309" s="43" t="s">
        <v>103</v>
      </c>
      <c r="AM309" s="44">
        <f t="shared" si="36"/>
        <v>-1.3185211501364655</v>
      </c>
      <c r="AN309" s="44">
        <f t="shared" si="37"/>
        <v>-0.27182159902329689</v>
      </c>
      <c r="AO309" s="45">
        <f t="shared" si="38"/>
        <v>0</v>
      </c>
      <c r="AP309" s="46">
        <f t="shared" si="39"/>
        <v>0</v>
      </c>
      <c r="AQ309" s="44">
        <f>($AM$3*AM309+$AN$3*AN309+$AO$3*AO309+$AP$3*AP309)+$I$3*VLOOKUP(I309,COND!$A$2:$E$7,4,FALSE)+$J$3*VLOOKUP(J309,COND!$A$2:$C$7,2,FALSE)+$K$3*VLOOKUP(K309,COND!$A$2:$C$7,3,FALSE)+IF(AND($B$2&gt;0,$E309&lt;20),$B$2*25,0)</f>
        <v>46.306288696706787</v>
      </c>
      <c r="AR309" s="47">
        <f t="shared" si="43"/>
        <v>0.45072005721333935</v>
      </c>
      <c r="AS309" s="45" t="str">
        <f t="shared" si="40"/>
        <v>2B</v>
      </c>
      <c r="AT309" s="45">
        <v>930</v>
      </c>
      <c r="AU309" s="45">
        <v>305</v>
      </c>
      <c r="AV309" s="45"/>
      <c r="AW309" s="45" t="str">
        <f t="shared" si="41"/>
        <v>Unlikely</v>
      </c>
      <c r="AX309" s="45"/>
      <c r="AY309" s="45">
        <f>INDEX(Table5[[#All],[Ovr]],MATCH(Batters[[#This Row],[PID]],Table5[[#All],[PID]],0))</f>
        <v>527</v>
      </c>
      <c r="AZ309" s="45" t="str">
        <f>INDEX(Table5[[#All],[Rnd]],MATCH(Batters[[#This Row],[PID]],Table5[[#All],[PID]],0))</f>
        <v>16</v>
      </c>
      <c r="BA309" s="45">
        <f>INDEX(Table5[[#All],[Pick]],MATCH(Batters[[#This Row],[PID]],Table5[[#All],[PID]],0))</f>
        <v>26</v>
      </c>
      <c r="BB309" s="45" t="str">
        <f>INDEX(Table5[[#All],[Team]],MATCH(Batters[[#This Row],[PID]],Table5[[#All],[PID]],0))</f>
        <v>Aurora Borealis</v>
      </c>
    </row>
    <row r="310" spans="1:54" ht="15" customHeight="1" x14ac:dyDescent="0.3">
      <c r="A310" s="40">
        <v>12894</v>
      </c>
      <c r="B310" s="40" t="s">
        <v>66</v>
      </c>
      <c r="C310" s="40" t="s">
        <v>1145</v>
      </c>
      <c r="D310" s="40" t="s">
        <v>1146</v>
      </c>
      <c r="E310" s="40">
        <v>18</v>
      </c>
      <c r="F310" s="40" t="s">
        <v>62</v>
      </c>
      <c r="G310" s="40" t="s">
        <v>53</v>
      </c>
      <c r="H310" s="41" t="s">
        <v>552</v>
      </c>
      <c r="I310" s="64" t="s">
        <v>43</v>
      </c>
      <c r="J310" s="65" t="s">
        <v>44</v>
      </c>
      <c r="K310" s="66" t="s">
        <v>43</v>
      </c>
      <c r="L310" s="40">
        <v>2</v>
      </c>
      <c r="M310" s="40">
        <v>3</v>
      </c>
      <c r="N310" s="40">
        <v>3</v>
      </c>
      <c r="O310" s="40">
        <v>3</v>
      </c>
      <c r="P310" s="41">
        <v>2</v>
      </c>
      <c r="Q310" s="40">
        <v>4</v>
      </c>
      <c r="R310" s="40">
        <v>3</v>
      </c>
      <c r="S310" s="40">
        <v>4</v>
      </c>
      <c r="T310" s="40">
        <v>5</v>
      </c>
      <c r="U310" s="41">
        <v>4</v>
      </c>
      <c r="V310" s="40">
        <v>4</v>
      </c>
      <c r="W310" s="40">
        <v>7</v>
      </c>
      <c r="X310" s="40">
        <v>1</v>
      </c>
      <c r="Y310" s="41">
        <v>1</v>
      </c>
      <c r="Z310" s="40" t="s">
        <v>45</v>
      </c>
      <c r="AA310" s="40" t="s">
        <v>45</v>
      </c>
      <c r="AB310" s="40" t="s">
        <v>45</v>
      </c>
      <c r="AC310" s="40" t="s">
        <v>45</v>
      </c>
      <c r="AD310" s="40" t="s">
        <v>45</v>
      </c>
      <c r="AE310" s="40">
        <v>1</v>
      </c>
      <c r="AF310" s="40" t="s">
        <v>45</v>
      </c>
      <c r="AG310" s="41">
        <v>1</v>
      </c>
      <c r="AH310" s="40">
        <v>7</v>
      </c>
      <c r="AI310" s="40">
        <v>7</v>
      </c>
      <c r="AJ310" s="41">
        <v>5</v>
      </c>
      <c r="AK310" s="43" t="s">
        <v>511</v>
      </c>
      <c r="AL310" s="43" t="s">
        <v>103</v>
      </c>
      <c r="AM310" s="44">
        <f t="shared" si="36"/>
        <v>-1.2741093265034418</v>
      </c>
      <c r="AN310" s="44">
        <f t="shared" si="37"/>
        <v>-0.28648438042086183</v>
      </c>
      <c r="AO310" s="45">
        <f t="shared" si="38"/>
        <v>0</v>
      </c>
      <c r="AP310" s="46">
        <f t="shared" si="39"/>
        <v>0</v>
      </c>
      <c r="AQ310" s="44">
        <f>($AM$3*AM310+$AN$3*AN310+$AO$3*AO310+$AP$3*AP310)+$I$3*VLOOKUP(I310,COND!$A$2:$E$7,4,FALSE)+$J$3*VLOOKUP(J310,COND!$A$2:$C$7,2,FALSE)+$K$3*VLOOKUP(K310,COND!$A$2:$C$7,3,FALSE)+IF(AND($B$2&gt;0,$E310&lt;20),$B$2*25,0)</f>
        <v>46.134776502299317</v>
      </c>
      <c r="AR310" s="47">
        <f t="shared" si="43"/>
        <v>0.4256847464142462</v>
      </c>
      <c r="AS310" s="45" t="str">
        <f t="shared" si="40"/>
        <v>RF</v>
      </c>
      <c r="AT310" s="45">
        <v>930</v>
      </c>
      <c r="AU310" s="45">
        <v>306</v>
      </c>
      <c r="AV310" s="45"/>
      <c r="AW310" s="45" t="str">
        <f t="shared" si="41"/>
        <v>Unlikely</v>
      </c>
      <c r="AX310" s="45"/>
      <c r="AY310" s="45">
        <f>INDEX(Table5[[#All],[Ovr]],MATCH(Batters[[#This Row],[PID]],Table5[[#All],[PID]],0))</f>
        <v>530</v>
      </c>
      <c r="AZ310" s="45" t="str">
        <f>INDEX(Table5[[#All],[Rnd]],MATCH(Batters[[#This Row],[PID]],Table5[[#All],[PID]],0))</f>
        <v>16</v>
      </c>
      <c r="BA310" s="45">
        <f>INDEX(Table5[[#All],[Pick]],MATCH(Batters[[#This Row],[PID]],Table5[[#All],[PID]],0))</f>
        <v>29</v>
      </c>
      <c r="BB310" s="45" t="str">
        <f>INDEX(Table5[[#All],[Team]],MATCH(Batters[[#This Row],[PID]],Table5[[#All],[PID]],0))</f>
        <v>Shin Seiki Evas</v>
      </c>
    </row>
    <row r="311" spans="1:54" ht="15" customHeight="1" x14ac:dyDescent="0.3">
      <c r="A311" s="40">
        <v>13635</v>
      </c>
      <c r="B311" s="40" t="s">
        <v>50</v>
      </c>
      <c r="C311" s="40" t="s">
        <v>723</v>
      </c>
      <c r="D311" s="40" t="s">
        <v>1003</v>
      </c>
      <c r="E311" s="40">
        <v>21</v>
      </c>
      <c r="F311" s="40" t="s">
        <v>53</v>
      </c>
      <c r="G311" s="40" t="s">
        <v>42</v>
      </c>
      <c r="H311" s="41" t="s">
        <v>549</v>
      </c>
      <c r="I311" s="64" t="s">
        <v>44</v>
      </c>
      <c r="J311" s="65" t="s">
        <v>44</v>
      </c>
      <c r="K311" s="66" t="s">
        <v>43</v>
      </c>
      <c r="L311" s="40">
        <v>2</v>
      </c>
      <c r="M311" s="40">
        <v>2</v>
      </c>
      <c r="N311" s="40">
        <v>5</v>
      </c>
      <c r="O311" s="40">
        <v>3</v>
      </c>
      <c r="P311" s="41">
        <v>1</v>
      </c>
      <c r="Q311" s="40">
        <v>4</v>
      </c>
      <c r="R311" s="40">
        <v>5</v>
      </c>
      <c r="S311" s="40">
        <v>8</v>
      </c>
      <c r="T311" s="40">
        <v>5</v>
      </c>
      <c r="U311" s="41">
        <v>3</v>
      </c>
      <c r="V311" s="40">
        <v>4</v>
      </c>
      <c r="W311" s="40">
        <v>7</v>
      </c>
      <c r="X311" s="40">
        <v>1</v>
      </c>
      <c r="Y311" s="41">
        <v>1</v>
      </c>
      <c r="Z311" s="40" t="s">
        <v>45</v>
      </c>
      <c r="AA311" s="40" t="s">
        <v>45</v>
      </c>
      <c r="AB311" s="40" t="s">
        <v>45</v>
      </c>
      <c r="AC311" s="40" t="s">
        <v>45</v>
      </c>
      <c r="AD311" s="40" t="s">
        <v>45</v>
      </c>
      <c r="AE311" s="40">
        <v>4</v>
      </c>
      <c r="AF311" s="40">
        <v>1</v>
      </c>
      <c r="AG311" s="41" t="s">
        <v>45</v>
      </c>
      <c r="AH311" s="40">
        <v>2</v>
      </c>
      <c r="AI311" s="40">
        <v>6</v>
      </c>
      <c r="AJ311" s="41">
        <v>7</v>
      </c>
      <c r="AK311" s="43" t="s">
        <v>758</v>
      </c>
      <c r="AL311" s="43" t="s">
        <v>103</v>
      </c>
      <c r="AM311" s="44">
        <f t="shared" si="36"/>
        <v>-1.1990625578914258</v>
      </c>
      <c r="AN311" s="44">
        <f t="shared" si="37"/>
        <v>0.10786501509506774</v>
      </c>
      <c r="AO311" s="45">
        <f t="shared" si="38"/>
        <v>1</v>
      </c>
      <c r="AP311" s="46">
        <f t="shared" si="39"/>
        <v>0</v>
      </c>
      <c r="AQ311" s="44">
        <f>($AM$3*AM311+$AN$3*AN311+$AO$3*AO311+$AP$3*AP311)+$I$3*VLOOKUP(I311,COND!$A$2:$E$7,4,FALSE)+$J$3*VLOOKUP(J311,COND!$A$2:$C$7,2,FALSE)+$K$3*VLOOKUP(K311,COND!$A$2:$C$7,3,FALSE)+IF(AND($B$2&gt;0,$E311&lt;20),$B$2*25,0)</f>
        <v>45.891140592018331</v>
      </c>
      <c r="AR311" s="47">
        <f t="shared" si="43"/>
        <v>0.39012167314836754</v>
      </c>
      <c r="AS311" s="45" t="str">
        <f t="shared" si="40"/>
        <v>LF</v>
      </c>
      <c r="AT311" s="45">
        <v>930</v>
      </c>
      <c r="AU311" s="45">
        <v>307</v>
      </c>
      <c r="AV311" s="45"/>
      <c r="AW311" s="45" t="str">
        <f t="shared" si="41"/>
        <v>Possible</v>
      </c>
      <c r="AX311" s="45"/>
      <c r="AY311" s="45">
        <f>INDEX(Table5[[#All],[Ovr]],MATCH(Batters[[#This Row],[PID]],Table5[[#All],[PID]],0))</f>
        <v>50</v>
      </c>
      <c r="AZ311" s="45" t="str">
        <f>INDEX(Table5[[#All],[Rnd]],MATCH(Batters[[#This Row],[PID]],Table5[[#All],[PID]],0))</f>
        <v>2</v>
      </c>
      <c r="BA311" s="45">
        <f>INDEX(Table5[[#All],[Pick]],MATCH(Batters[[#This Row],[PID]],Table5[[#All],[PID]],0))</f>
        <v>14</v>
      </c>
      <c r="BB311" s="45" t="str">
        <f>INDEX(Table5[[#All],[Team]],MATCH(Batters[[#This Row],[PID]],Table5[[#All],[PID]],0))</f>
        <v>Manchester Maulers</v>
      </c>
    </row>
    <row r="312" spans="1:54" ht="15" customHeight="1" x14ac:dyDescent="0.3">
      <c r="A312" s="40">
        <v>20996</v>
      </c>
      <c r="B312" s="40" t="s">
        <v>66</v>
      </c>
      <c r="C312" s="40" t="s">
        <v>1167</v>
      </c>
      <c r="D312" s="40" t="s">
        <v>554</v>
      </c>
      <c r="E312" s="40">
        <v>17</v>
      </c>
      <c r="F312" s="40" t="s">
        <v>42</v>
      </c>
      <c r="G312" s="40" t="s">
        <v>42</v>
      </c>
      <c r="H312" s="41" t="s">
        <v>552</v>
      </c>
      <c r="I312" s="64" t="s">
        <v>43</v>
      </c>
      <c r="J312" s="65" t="s">
        <v>44</v>
      </c>
      <c r="K312" s="66" t="s">
        <v>47</v>
      </c>
      <c r="L312" s="40">
        <v>1</v>
      </c>
      <c r="M312" s="40">
        <v>2</v>
      </c>
      <c r="N312" s="40">
        <v>3</v>
      </c>
      <c r="O312" s="40">
        <v>2</v>
      </c>
      <c r="P312" s="41">
        <v>1</v>
      </c>
      <c r="Q312" s="40">
        <v>3</v>
      </c>
      <c r="R312" s="40">
        <v>5</v>
      </c>
      <c r="S312" s="40">
        <v>6</v>
      </c>
      <c r="T312" s="40">
        <v>5</v>
      </c>
      <c r="U312" s="41">
        <v>2</v>
      </c>
      <c r="V312" s="40">
        <v>5</v>
      </c>
      <c r="W312" s="40">
        <v>6</v>
      </c>
      <c r="X312" s="40">
        <v>1</v>
      </c>
      <c r="Y312" s="41">
        <v>1</v>
      </c>
      <c r="Z312" s="40" t="s">
        <v>45</v>
      </c>
      <c r="AA312" s="40" t="s">
        <v>45</v>
      </c>
      <c r="AB312" s="40" t="s">
        <v>45</v>
      </c>
      <c r="AC312" s="40" t="s">
        <v>45</v>
      </c>
      <c r="AD312" s="40" t="s">
        <v>45</v>
      </c>
      <c r="AE312" s="40" t="s">
        <v>45</v>
      </c>
      <c r="AF312" s="40" t="s">
        <v>45</v>
      </c>
      <c r="AG312" s="41">
        <v>3</v>
      </c>
      <c r="AH312" s="40">
        <v>9</v>
      </c>
      <c r="AI312" s="40">
        <v>5</v>
      </c>
      <c r="AJ312" s="41">
        <v>7</v>
      </c>
      <c r="AK312" s="43" t="s">
        <v>558</v>
      </c>
      <c r="AL312" s="43" t="s">
        <v>103</v>
      </c>
      <c r="AM312" s="44">
        <f t="shared" si="36"/>
        <v>-1.7774509321514844</v>
      </c>
      <c r="AN312" s="44">
        <f t="shared" si="37"/>
        <v>-0.42083014897249338</v>
      </c>
      <c r="AO312" s="45">
        <f t="shared" si="38"/>
        <v>2</v>
      </c>
      <c r="AP312" s="46">
        <f t="shared" si="39"/>
        <v>0</v>
      </c>
      <c r="AQ312" s="44">
        <f>($AM$3*AM312+$AN$3*AN312+$AO$3*AO312+$AP$3*AP312)+$I$3*VLOOKUP(I312,COND!$A$2:$E$7,4,FALSE)+$J$3*VLOOKUP(J312,COND!$A$2:$C$7,2,FALSE)+$K$3*VLOOKUP(K312,COND!$A$2:$C$7,3,FALSE)+IF(AND($B$2&gt;0,$E312&lt;20),$B$2*25,0)</f>
        <v>45.105626452448263</v>
      </c>
      <c r="AR312" s="47">
        <f t="shared" si="43"/>
        <v>0.27546165909421561</v>
      </c>
      <c r="AS312" s="45" t="str">
        <f t="shared" si="40"/>
        <v>RF</v>
      </c>
      <c r="AT312" s="45">
        <v>930</v>
      </c>
      <c r="AU312" s="45">
        <v>308</v>
      </c>
      <c r="AV312" s="45"/>
      <c r="AW312" s="45" t="str">
        <f t="shared" si="41"/>
        <v>Unlikely</v>
      </c>
      <c r="AX312" s="45"/>
      <c r="AY312" s="45">
        <f>INDEX(Table5[[#All],[Ovr]],MATCH(Batters[[#This Row],[PID]],Table5[[#All],[PID]],0))</f>
        <v>375</v>
      </c>
      <c r="AZ312" s="45" t="str">
        <f>INDEX(Table5[[#All],[Rnd]],MATCH(Batters[[#This Row],[PID]],Table5[[#All],[PID]],0))</f>
        <v>12</v>
      </c>
      <c r="BA312" s="45">
        <f>INDEX(Table5[[#All],[Pick]],MATCH(Batters[[#This Row],[PID]],Table5[[#All],[PID]],0))</f>
        <v>10</v>
      </c>
      <c r="BB312" s="45" t="str">
        <f>INDEX(Table5[[#All],[Team]],MATCH(Batters[[#This Row],[PID]],Table5[[#All],[PID]],0))</f>
        <v>London Underground</v>
      </c>
    </row>
    <row r="313" spans="1:54" ht="15" customHeight="1" x14ac:dyDescent="0.3">
      <c r="A313" s="40">
        <v>13325</v>
      </c>
      <c r="B313" s="40" t="s">
        <v>72</v>
      </c>
      <c r="C313" s="40" t="s">
        <v>1195</v>
      </c>
      <c r="D313" s="40" t="s">
        <v>1196</v>
      </c>
      <c r="E313" s="40">
        <v>17</v>
      </c>
      <c r="F313" s="40" t="s">
        <v>42</v>
      </c>
      <c r="G313" s="40" t="s">
        <v>42</v>
      </c>
      <c r="H313" s="41" t="s">
        <v>552</v>
      </c>
      <c r="I313" s="64" t="s">
        <v>44</v>
      </c>
      <c r="J313" s="65" t="s">
        <v>44</v>
      </c>
      <c r="K313" s="66" t="s">
        <v>43</v>
      </c>
      <c r="L313" s="40">
        <v>1</v>
      </c>
      <c r="M313" s="40">
        <v>2</v>
      </c>
      <c r="N313" s="40">
        <v>2</v>
      </c>
      <c r="O313" s="40">
        <v>3</v>
      </c>
      <c r="P313" s="41">
        <v>2</v>
      </c>
      <c r="Q313" s="40">
        <v>4</v>
      </c>
      <c r="R313" s="40">
        <v>4</v>
      </c>
      <c r="S313" s="40">
        <v>2</v>
      </c>
      <c r="T313" s="40">
        <v>6</v>
      </c>
      <c r="U313" s="41">
        <v>4</v>
      </c>
      <c r="V313" s="40">
        <v>5</v>
      </c>
      <c r="W313" s="40">
        <v>5</v>
      </c>
      <c r="X313" s="40">
        <v>1</v>
      </c>
      <c r="Y313" s="41">
        <v>1</v>
      </c>
      <c r="Z313" s="40" t="s">
        <v>45</v>
      </c>
      <c r="AA313" s="40" t="s">
        <v>45</v>
      </c>
      <c r="AB313" s="40" t="s">
        <v>45</v>
      </c>
      <c r="AC313" s="40" t="s">
        <v>45</v>
      </c>
      <c r="AD313" s="40">
        <v>1</v>
      </c>
      <c r="AE313" s="40" t="s">
        <v>45</v>
      </c>
      <c r="AF313" s="40" t="s">
        <v>45</v>
      </c>
      <c r="AG313" s="41" t="s">
        <v>45</v>
      </c>
      <c r="AH313" s="40">
        <v>2</v>
      </c>
      <c r="AI313" s="40">
        <v>7</v>
      </c>
      <c r="AJ313" s="41">
        <v>5</v>
      </c>
      <c r="AK313" s="43" t="s">
        <v>504</v>
      </c>
      <c r="AL313" s="43" t="s">
        <v>103</v>
      </c>
      <c r="AM313" s="44">
        <f t="shared" si="36"/>
        <v>-1.7307865363487211</v>
      </c>
      <c r="AN313" s="44">
        <f t="shared" si="37"/>
        <v>-0.31183793884038036</v>
      </c>
      <c r="AO313" s="45">
        <f t="shared" si="38"/>
        <v>0</v>
      </c>
      <c r="AP313" s="46">
        <f t="shared" si="39"/>
        <v>0</v>
      </c>
      <c r="AQ313" s="44">
        <f>($AM$3*AM313+$AN$3*AN313+$AO$3*AO313+$AP$3*AP313)+$I$3*VLOOKUP(I313,COND!$A$2:$E$7,4,FALSE)+$J$3*VLOOKUP(J313,COND!$A$2:$C$7,2,FALSE)+$K$3*VLOOKUP(K313,COND!$A$2:$C$7,3,FALSE)+IF(AND($B$2&gt;0,$E313&lt;20),$B$2*25,0)</f>
        <v>45.63486608028056</v>
      </c>
      <c r="AR313" s="47">
        <f t="shared" si="43"/>
        <v>0.35271376711925817</v>
      </c>
      <c r="AS313" s="45" t="str">
        <f t="shared" si="40"/>
        <v>SS</v>
      </c>
      <c r="AT313" s="45">
        <v>930</v>
      </c>
      <c r="AU313" s="45">
        <v>309</v>
      </c>
      <c r="AV313" s="45"/>
      <c r="AW313" s="45" t="str">
        <f t="shared" si="41"/>
        <v>Unlikely</v>
      </c>
      <c r="AX313" s="45"/>
      <c r="AY313" s="45">
        <f>INDEX(Table5[[#All],[Ovr]],MATCH(Batters[[#This Row],[PID]],Table5[[#All],[PID]],0))</f>
        <v>367</v>
      </c>
      <c r="AZ313" s="45" t="str">
        <f>INDEX(Table5[[#All],[Rnd]],MATCH(Batters[[#This Row],[PID]],Table5[[#All],[PID]],0))</f>
        <v>12</v>
      </c>
      <c r="BA313" s="45">
        <f>INDEX(Table5[[#All],[Pick]],MATCH(Batters[[#This Row],[PID]],Table5[[#All],[PID]],0))</f>
        <v>2</v>
      </c>
      <c r="BB313" s="45" t="str">
        <f>INDEX(Table5[[#All],[Team]],MATCH(Batters[[#This Row],[PID]],Table5[[#All],[PID]],0))</f>
        <v>Charleston Statesmen</v>
      </c>
    </row>
    <row r="314" spans="1:54" ht="15" customHeight="1" x14ac:dyDescent="0.3">
      <c r="A314" s="40">
        <v>20622</v>
      </c>
      <c r="B314" s="40" t="s">
        <v>69</v>
      </c>
      <c r="C314" s="40" t="s">
        <v>898</v>
      </c>
      <c r="D314" s="40" t="s">
        <v>1153</v>
      </c>
      <c r="E314" s="40">
        <v>17</v>
      </c>
      <c r="F314" s="40" t="s">
        <v>42</v>
      </c>
      <c r="G314" s="40" t="s">
        <v>42</v>
      </c>
      <c r="H314" s="41" t="s">
        <v>552</v>
      </c>
      <c r="I314" s="64" t="s">
        <v>44</v>
      </c>
      <c r="J314" s="65" t="s">
        <v>44</v>
      </c>
      <c r="K314" s="66" t="s">
        <v>43</v>
      </c>
      <c r="L314" s="40">
        <v>1</v>
      </c>
      <c r="M314" s="40">
        <v>3</v>
      </c>
      <c r="N314" s="40">
        <v>2</v>
      </c>
      <c r="O314" s="40">
        <v>2</v>
      </c>
      <c r="P314" s="41">
        <v>1</v>
      </c>
      <c r="Q314" s="40">
        <v>4</v>
      </c>
      <c r="R314" s="40">
        <v>4</v>
      </c>
      <c r="S314" s="40">
        <v>3</v>
      </c>
      <c r="T314" s="40">
        <v>5</v>
      </c>
      <c r="U314" s="41">
        <v>4</v>
      </c>
      <c r="V314" s="40">
        <v>7</v>
      </c>
      <c r="W314" s="40">
        <v>6</v>
      </c>
      <c r="X314" s="40">
        <v>1</v>
      </c>
      <c r="Y314" s="41">
        <v>1</v>
      </c>
      <c r="Z314" s="40" t="s">
        <v>45</v>
      </c>
      <c r="AA314" s="40" t="s">
        <v>45</v>
      </c>
      <c r="AB314" s="40" t="s">
        <v>45</v>
      </c>
      <c r="AC314" s="40">
        <v>1</v>
      </c>
      <c r="AD314" s="40" t="s">
        <v>45</v>
      </c>
      <c r="AE314" s="40" t="s">
        <v>45</v>
      </c>
      <c r="AF314" s="40" t="s">
        <v>45</v>
      </c>
      <c r="AG314" s="41" t="s">
        <v>45</v>
      </c>
      <c r="AH314" s="40">
        <v>2</v>
      </c>
      <c r="AI314" s="40">
        <v>3</v>
      </c>
      <c r="AJ314" s="41">
        <v>1</v>
      </c>
      <c r="AK314" s="43" t="s">
        <v>576</v>
      </c>
      <c r="AL314" s="43" t="s">
        <v>103</v>
      </c>
      <c r="AM314" s="44">
        <f t="shared" si="36"/>
        <v>-1.8094525465566824</v>
      </c>
      <c r="AN314" s="44">
        <f t="shared" si="37"/>
        <v>-0.31848599482605983</v>
      </c>
      <c r="AO314" s="45">
        <f t="shared" si="38"/>
        <v>0</v>
      </c>
      <c r="AP314" s="46">
        <f t="shared" si="39"/>
        <v>0</v>
      </c>
      <c r="AQ314" s="44">
        <f>($AM$3*AM314+$AN$3*AN314+$AO$3*AO314+$AP$3*AP314)+$I$3*VLOOKUP(I314,COND!$A$2:$E$7,4,FALSE)+$J$3*VLOOKUP(J314,COND!$A$2:$C$7,2,FALSE)+$K$3*VLOOKUP(K314,COND!$A$2:$C$7,3,FALSE)+IF(AND($B$2&gt;0,$E314&lt;20),$B$2*25,0)</f>
        <v>45.547222807431609</v>
      </c>
      <c r="AR314" s="47">
        <f t="shared" si="43"/>
        <v>0.33992064425820734</v>
      </c>
      <c r="AS314" s="45" t="str">
        <f t="shared" si="40"/>
        <v>3B</v>
      </c>
      <c r="AT314" s="45">
        <v>930</v>
      </c>
      <c r="AU314" s="45">
        <v>310</v>
      </c>
      <c r="AV314" s="45"/>
      <c r="AW314" s="45" t="str">
        <f t="shared" si="41"/>
        <v>Unlikely</v>
      </c>
      <c r="AX314" s="45"/>
      <c r="AY314" s="45">
        <f>INDEX(Table5[[#All],[Ovr]],MATCH(Batters[[#This Row],[PID]],Table5[[#All],[PID]],0))</f>
        <v>571</v>
      </c>
      <c r="AZ314" s="45" t="str">
        <f>INDEX(Table5[[#All],[Rnd]],MATCH(Batters[[#This Row],[PID]],Table5[[#All],[PID]],0))</f>
        <v>18</v>
      </c>
      <c r="BA314" s="45">
        <f>INDEX(Table5[[#All],[Pick]],MATCH(Batters[[#This Row],[PID]],Table5[[#All],[PID]],0))</f>
        <v>2</v>
      </c>
      <c r="BB314" s="45" t="str">
        <f>INDEX(Table5[[#All],[Team]],MATCH(Batters[[#This Row],[PID]],Table5[[#All],[PID]],0))</f>
        <v>Charleston Statesmen</v>
      </c>
    </row>
    <row r="315" spans="1:54" ht="15" customHeight="1" x14ac:dyDescent="0.3">
      <c r="A315" s="40">
        <v>20447</v>
      </c>
      <c r="B315" s="40" t="s">
        <v>87</v>
      </c>
      <c r="C315" s="40" t="s">
        <v>1225</v>
      </c>
      <c r="D315" s="40" t="s">
        <v>1226</v>
      </c>
      <c r="E315" s="40">
        <v>17</v>
      </c>
      <c r="F315" s="40" t="s">
        <v>62</v>
      </c>
      <c r="G315" s="40" t="s">
        <v>42</v>
      </c>
      <c r="H315" s="41" t="s">
        <v>552</v>
      </c>
      <c r="I315" s="64" t="s">
        <v>43</v>
      </c>
      <c r="J315" s="65" t="s">
        <v>44</v>
      </c>
      <c r="K315" s="66" t="s">
        <v>47</v>
      </c>
      <c r="L315" s="40">
        <v>1</v>
      </c>
      <c r="M315" s="40">
        <v>4</v>
      </c>
      <c r="N315" s="40">
        <v>3</v>
      </c>
      <c r="O315" s="40">
        <v>3</v>
      </c>
      <c r="P315" s="41">
        <v>1</v>
      </c>
      <c r="Q315" s="40">
        <v>3</v>
      </c>
      <c r="R315" s="40">
        <v>5</v>
      </c>
      <c r="S315" s="40">
        <v>6</v>
      </c>
      <c r="T315" s="40">
        <v>5</v>
      </c>
      <c r="U315" s="41">
        <v>2</v>
      </c>
      <c r="V315" s="40">
        <v>3</v>
      </c>
      <c r="W315" s="40">
        <v>4</v>
      </c>
      <c r="X315" s="40">
        <v>1</v>
      </c>
      <c r="Y315" s="41">
        <v>1</v>
      </c>
      <c r="Z315" s="40" t="s">
        <v>45</v>
      </c>
      <c r="AA315" s="40">
        <v>2</v>
      </c>
      <c r="AB315" s="40" t="s">
        <v>45</v>
      </c>
      <c r="AC315" s="40" t="s">
        <v>45</v>
      </c>
      <c r="AD315" s="40" t="s">
        <v>45</v>
      </c>
      <c r="AE315" s="40" t="s">
        <v>45</v>
      </c>
      <c r="AF315" s="40" t="s">
        <v>45</v>
      </c>
      <c r="AG315" s="41" t="s">
        <v>45</v>
      </c>
      <c r="AH315" s="40">
        <v>2</v>
      </c>
      <c r="AI315" s="40">
        <v>1</v>
      </c>
      <c r="AJ315" s="41">
        <v>1</v>
      </c>
      <c r="AK315" s="43" t="s">
        <v>497</v>
      </c>
      <c r="AL315" s="43" t="s">
        <v>103</v>
      </c>
      <c r="AM315" s="44">
        <f t="shared" si="36"/>
        <v>-1.5856216229044964</v>
      </c>
      <c r="AN315" s="44">
        <f t="shared" si="37"/>
        <v>-0.42083014897249338</v>
      </c>
      <c r="AO315" s="45">
        <f t="shared" si="38"/>
        <v>0</v>
      </c>
      <c r="AP315" s="46">
        <f t="shared" si="39"/>
        <v>0</v>
      </c>
      <c r="AQ315" s="44">
        <f>($AM$3*AM315+$AN$3*AN315+$AO$3*AO315+$AP$3*AP315)+$I$3*VLOOKUP(I315,COND!$A$2:$E$7,4,FALSE)+$J$3*VLOOKUP(J315,COND!$A$2:$C$7,2,FALSE)+$K$3*VLOOKUP(K315,COND!$A$2:$C$7,3,FALSE)+IF(AND($B$2&gt;0,$E315&lt;20),$B$2*25,0)</f>
        <v>44.791476050039634</v>
      </c>
      <c r="AR315" s="47">
        <f t="shared" si="43"/>
        <v>0.22960571870973595</v>
      </c>
      <c r="AS315" s="45" t="str">
        <f t="shared" si="40"/>
        <v>1B</v>
      </c>
      <c r="AT315" s="45">
        <v>930</v>
      </c>
      <c r="AU315" s="45">
        <v>311</v>
      </c>
      <c r="AV315" s="45"/>
      <c r="AW315" s="45" t="str">
        <f t="shared" si="41"/>
        <v>Unlikely</v>
      </c>
      <c r="AX315" s="45"/>
      <c r="AY315" s="45">
        <f>INDEX(Table5[[#All],[Ovr]],MATCH(Batters[[#This Row],[PID]],Table5[[#All],[PID]],0))</f>
        <v>352</v>
      </c>
      <c r="AZ315" s="45" t="str">
        <f>INDEX(Table5[[#All],[Rnd]],MATCH(Batters[[#This Row],[PID]],Table5[[#All],[PID]],0))</f>
        <v>11</v>
      </c>
      <c r="BA315" s="45">
        <f>INDEX(Table5[[#All],[Pick]],MATCH(Batters[[#This Row],[PID]],Table5[[#All],[PID]],0))</f>
        <v>21</v>
      </c>
      <c r="BB315" s="45" t="str">
        <f>INDEX(Table5[[#All],[Team]],MATCH(Batters[[#This Row],[PID]],Table5[[#All],[PID]],0))</f>
        <v>Neo-Tokyo Akira</v>
      </c>
    </row>
    <row r="316" spans="1:54" ht="15" customHeight="1" x14ac:dyDescent="0.3">
      <c r="A316" s="40">
        <v>11384</v>
      </c>
      <c r="B316" s="40" t="s">
        <v>87</v>
      </c>
      <c r="C316" s="40" t="s">
        <v>564</v>
      </c>
      <c r="D316" s="40" t="s">
        <v>191</v>
      </c>
      <c r="E316" s="40">
        <v>17</v>
      </c>
      <c r="F316" s="40" t="s">
        <v>53</v>
      </c>
      <c r="G316" s="40" t="s">
        <v>53</v>
      </c>
      <c r="H316" s="41" t="s">
        <v>552</v>
      </c>
      <c r="I316" s="64" t="s">
        <v>43</v>
      </c>
      <c r="J316" s="65" t="s">
        <v>44</v>
      </c>
      <c r="K316" s="66" t="s">
        <v>43</v>
      </c>
      <c r="L316" s="40">
        <v>1</v>
      </c>
      <c r="M316" s="40">
        <v>3</v>
      </c>
      <c r="N316" s="40">
        <v>2</v>
      </c>
      <c r="O316" s="40">
        <v>2</v>
      </c>
      <c r="P316" s="41">
        <v>3</v>
      </c>
      <c r="Q316" s="40">
        <v>4</v>
      </c>
      <c r="R316" s="40">
        <v>4</v>
      </c>
      <c r="S316" s="40">
        <v>3</v>
      </c>
      <c r="T316" s="40">
        <v>4</v>
      </c>
      <c r="U316" s="41">
        <v>5</v>
      </c>
      <c r="V316" s="40">
        <v>4</v>
      </c>
      <c r="W316" s="40">
        <v>5</v>
      </c>
      <c r="X316" s="40">
        <v>1</v>
      </c>
      <c r="Y316" s="41">
        <v>1</v>
      </c>
      <c r="Z316" s="40" t="s">
        <v>45</v>
      </c>
      <c r="AA316" s="40">
        <v>4</v>
      </c>
      <c r="AB316" s="40" t="s">
        <v>45</v>
      </c>
      <c r="AC316" s="40" t="s">
        <v>45</v>
      </c>
      <c r="AD316" s="40" t="s">
        <v>45</v>
      </c>
      <c r="AE316" s="40" t="s">
        <v>45</v>
      </c>
      <c r="AF316" s="40" t="s">
        <v>45</v>
      </c>
      <c r="AG316" s="41">
        <v>1</v>
      </c>
      <c r="AH316" s="40">
        <v>7</v>
      </c>
      <c r="AI316" s="40">
        <v>5</v>
      </c>
      <c r="AJ316" s="41">
        <v>7</v>
      </c>
      <c r="AK316" s="43" t="s">
        <v>583</v>
      </c>
      <c r="AL316" s="43" t="s">
        <v>103</v>
      </c>
      <c r="AM316" s="44">
        <f t="shared" si="36"/>
        <v>-1.7294198669225156</v>
      </c>
      <c r="AN316" s="44">
        <f t="shared" si="37"/>
        <v>-0.36817920501855744</v>
      </c>
      <c r="AO316" s="45">
        <f t="shared" si="38"/>
        <v>1</v>
      </c>
      <c r="AP316" s="46">
        <f t="shared" si="39"/>
        <v>0</v>
      </c>
      <c r="AQ316" s="44">
        <f>($AM$3*AM316+$AN$3*AN316+$AO$3*AO316+$AP$3*AP316)+$I$3*VLOOKUP(I316,COND!$A$2:$E$7,4,FALSE)+$J$3*VLOOKUP(J316,COND!$A$2:$C$7,2,FALSE)+$K$3*VLOOKUP(K316,COND!$A$2:$C$7,3,FALSE)+IF(AND($B$2&gt;0,$E316&lt;20),$B$2*25,0)</f>
        <v>45.275574219751725</v>
      </c>
      <c r="AR316" s="47">
        <f t="shared" si="43"/>
        <v>0.30026861342625605</v>
      </c>
      <c r="AS316" s="45" t="str">
        <f t="shared" si="40"/>
        <v>1B</v>
      </c>
      <c r="AT316" s="45">
        <v>930</v>
      </c>
      <c r="AU316" s="45">
        <v>312</v>
      </c>
      <c r="AV316" s="45"/>
      <c r="AW316" s="45" t="str">
        <f t="shared" si="41"/>
        <v>Unlikely</v>
      </c>
      <c r="AX316" s="45"/>
      <c r="AY316" s="45">
        <f>INDEX(Table5[[#All],[Ovr]],MATCH(Batters[[#This Row],[PID]],Table5[[#All],[PID]],0))</f>
        <v>665</v>
      </c>
      <c r="AZ316" s="45" t="str">
        <f>INDEX(Table5[[#All],[Rnd]],MATCH(Batters[[#This Row],[PID]],Table5[[#All],[PID]],0))</f>
        <v>20</v>
      </c>
      <c r="BA316" s="45">
        <f>INDEX(Table5[[#All],[Pick]],MATCH(Batters[[#This Row],[PID]],Table5[[#All],[PID]],0))</f>
        <v>28</v>
      </c>
      <c r="BB316" s="45" t="str">
        <f>INDEX(Table5[[#All],[Team]],MATCH(Batters[[#This Row],[PID]],Table5[[#All],[PID]],0))</f>
        <v>Amsterdam Lions</v>
      </c>
    </row>
    <row r="317" spans="1:54" ht="15" customHeight="1" x14ac:dyDescent="0.3">
      <c r="A317" s="40">
        <v>8130</v>
      </c>
      <c r="B317" s="40" t="s">
        <v>71</v>
      </c>
      <c r="C317" s="40" t="s">
        <v>1072</v>
      </c>
      <c r="D317" s="40" t="s">
        <v>948</v>
      </c>
      <c r="E317" s="40">
        <v>21</v>
      </c>
      <c r="F317" s="40" t="s">
        <v>42</v>
      </c>
      <c r="G317" s="40" t="s">
        <v>42</v>
      </c>
      <c r="H317" s="41" t="s">
        <v>550</v>
      </c>
      <c r="I317" s="64" t="s">
        <v>43</v>
      </c>
      <c r="J317" s="65" t="s">
        <v>44</v>
      </c>
      <c r="K317" s="66" t="s">
        <v>43</v>
      </c>
      <c r="L317" s="40">
        <v>2</v>
      </c>
      <c r="M317" s="40">
        <v>5</v>
      </c>
      <c r="N317" s="40">
        <v>4</v>
      </c>
      <c r="O317" s="40">
        <v>4</v>
      </c>
      <c r="P317" s="41">
        <v>3</v>
      </c>
      <c r="Q317" s="40">
        <v>4</v>
      </c>
      <c r="R317" s="40">
        <v>6</v>
      </c>
      <c r="S317" s="40">
        <v>5</v>
      </c>
      <c r="T317" s="40">
        <v>6</v>
      </c>
      <c r="U317" s="41">
        <v>4</v>
      </c>
      <c r="V317" s="40">
        <v>5</v>
      </c>
      <c r="W317" s="40">
        <v>2</v>
      </c>
      <c r="X317" s="40">
        <v>1</v>
      </c>
      <c r="Y317" s="41">
        <v>1</v>
      </c>
      <c r="Z317" s="40" t="s">
        <v>45</v>
      </c>
      <c r="AA317" s="40" t="s">
        <v>45</v>
      </c>
      <c r="AB317" s="40">
        <v>4</v>
      </c>
      <c r="AC317" s="40" t="s">
        <v>45</v>
      </c>
      <c r="AD317" s="40" t="s">
        <v>45</v>
      </c>
      <c r="AE317" s="40" t="s">
        <v>45</v>
      </c>
      <c r="AF317" s="40" t="s">
        <v>45</v>
      </c>
      <c r="AG317" s="41" t="s">
        <v>45</v>
      </c>
      <c r="AH317" s="40">
        <v>4</v>
      </c>
      <c r="AI317" s="40">
        <v>4</v>
      </c>
      <c r="AJ317" s="41">
        <v>5</v>
      </c>
      <c r="AK317" s="43" t="s">
        <v>774</v>
      </c>
      <c r="AL317" s="43" t="s">
        <v>103</v>
      </c>
      <c r="AM317" s="44">
        <f t="shared" si="36"/>
        <v>-0.95920218341546892</v>
      </c>
      <c r="AN317" s="44">
        <f t="shared" si="37"/>
        <v>3.9466302468731194E-2</v>
      </c>
      <c r="AO317" s="45">
        <f t="shared" si="38"/>
        <v>0</v>
      </c>
      <c r="AP317" s="46">
        <f t="shared" si="39"/>
        <v>0</v>
      </c>
      <c r="AQ317" s="44">
        <f>($AM$3*AM317+$AN$3*AN317+$AO$3*AO317+$AP$3*AP317)+$I$3*VLOOKUP(I317,COND!$A$2:$E$7,4,FALSE)+$J$3*VLOOKUP(J317,COND!$A$2:$C$7,2,FALSE)+$K$3*VLOOKUP(K317,COND!$A$2:$C$7,3,FALSE)+IF(AND($B$2&gt;0,$E317&lt;20),$B$2*25,0)</f>
        <v>45.077675411283224</v>
      </c>
      <c r="AR317" s="47">
        <f t="shared" si="43"/>
        <v>0.27138169845268506</v>
      </c>
      <c r="AS317" s="45" t="str">
        <f t="shared" si="40"/>
        <v>2B</v>
      </c>
      <c r="AT317" s="45">
        <v>930</v>
      </c>
      <c r="AU317" s="45">
        <v>313</v>
      </c>
      <c r="AV317" s="45"/>
      <c r="AW317" s="45" t="str">
        <f t="shared" si="41"/>
        <v>Unlikely</v>
      </c>
      <c r="AX317" s="45"/>
      <c r="AY317" s="45">
        <f>INDEX(Table5[[#All],[Ovr]],MATCH(Batters[[#This Row],[PID]],Table5[[#All],[PID]],0))</f>
        <v>218</v>
      </c>
      <c r="AZ317" s="45" t="str">
        <f>INDEX(Table5[[#All],[Rnd]],MATCH(Batters[[#This Row],[PID]],Table5[[#All],[PID]],0))</f>
        <v>7</v>
      </c>
      <c r="BA317" s="45">
        <f>INDEX(Table5[[#All],[Pick]],MATCH(Batters[[#This Row],[PID]],Table5[[#All],[PID]],0))</f>
        <v>17</v>
      </c>
      <c r="BB317" s="45" t="str">
        <f>INDEX(Table5[[#All],[Team]],MATCH(Batters[[#This Row],[PID]],Table5[[#All],[PID]],0))</f>
        <v>Duluth Warriors</v>
      </c>
    </row>
    <row r="318" spans="1:54" ht="15" customHeight="1" x14ac:dyDescent="0.3">
      <c r="A318" s="40">
        <v>20545</v>
      </c>
      <c r="B318" s="40" t="s">
        <v>50</v>
      </c>
      <c r="C318" s="40" t="s">
        <v>309</v>
      </c>
      <c r="D318" s="40" t="s">
        <v>1093</v>
      </c>
      <c r="E318" s="40">
        <v>17</v>
      </c>
      <c r="F318" s="40" t="s">
        <v>42</v>
      </c>
      <c r="G318" s="40" t="s">
        <v>42</v>
      </c>
      <c r="H318" s="41" t="s">
        <v>550</v>
      </c>
      <c r="I318" s="64" t="s">
        <v>43</v>
      </c>
      <c r="J318" s="65" t="s">
        <v>44</v>
      </c>
      <c r="K318" s="66" t="s">
        <v>43</v>
      </c>
      <c r="L318" s="40">
        <v>1</v>
      </c>
      <c r="M318" s="40">
        <v>2</v>
      </c>
      <c r="N318" s="40">
        <v>5</v>
      </c>
      <c r="O318" s="40">
        <v>3</v>
      </c>
      <c r="P318" s="41">
        <v>1</v>
      </c>
      <c r="Q318" s="40">
        <v>3</v>
      </c>
      <c r="R318" s="40">
        <v>4</v>
      </c>
      <c r="S318" s="40">
        <v>7</v>
      </c>
      <c r="T318" s="40">
        <v>5</v>
      </c>
      <c r="U318" s="41">
        <v>2</v>
      </c>
      <c r="V318" s="40">
        <v>3</v>
      </c>
      <c r="W318" s="40">
        <v>5</v>
      </c>
      <c r="X318" s="40">
        <v>1</v>
      </c>
      <c r="Y318" s="41">
        <v>1</v>
      </c>
      <c r="Z318" s="40" t="s">
        <v>45</v>
      </c>
      <c r="AA318" s="40" t="s">
        <v>45</v>
      </c>
      <c r="AB318" s="40" t="s">
        <v>45</v>
      </c>
      <c r="AC318" s="40" t="s">
        <v>45</v>
      </c>
      <c r="AD318" s="40" t="s">
        <v>45</v>
      </c>
      <c r="AE318" s="40">
        <v>1</v>
      </c>
      <c r="AF318" s="40" t="s">
        <v>45</v>
      </c>
      <c r="AG318" s="41" t="s">
        <v>45</v>
      </c>
      <c r="AH318" s="40">
        <v>5</v>
      </c>
      <c r="AI318" s="40">
        <v>5</v>
      </c>
      <c r="AJ318" s="41">
        <v>7</v>
      </c>
      <c r="AK318" s="43" t="s">
        <v>498</v>
      </c>
      <c r="AL318" s="43" t="s">
        <v>103</v>
      </c>
      <c r="AM318" s="44">
        <f t="shared" si="36"/>
        <v>-1.5216183940940999</v>
      </c>
      <c r="AN318" s="44">
        <f t="shared" si="37"/>
        <v>-0.38882853456729549</v>
      </c>
      <c r="AO318" s="45">
        <f t="shared" si="38"/>
        <v>1</v>
      </c>
      <c r="AP318" s="46">
        <f t="shared" si="39"/>
        <v>0</v>
      </c>
      <c r="AQ318" s="44">
        <f>($AM$3*AM318+$AN$3*AN318+$AO$3*AO318+$AP$3*AP318)+$I$3*VLOOKUP(I318,COND!$A$2:$E$7,4,FALSE)+$J$3*VLOOKUP(J318,COND!$A$2:$C$7,2,FALSE)+$K$3*VLOOKUP(K318,COND!$A$2:$C$7,3,FALSE)+IF(AND($B$2&gt;0,$E318&lt;20),$B$2*25,0)</f>
        <v>45.048562412449712</v>
      </c>
      <c r="AR318" s="47">
        <f t="shared" si="43"/>
        <v>0.26713212904679767</v>
      </c>
      <c r="AS318" s="45" t="str">
        <f t="shared" si="40"/>
        <v>LF</v>
      </c>
      <c r="AT318" s="45">
        <v>930</v>
      </c>
      <c r="AU318" s="45">
        <v>314</v>
      </c>
      <c r="AV318" s="45"/>
      <c r="AW318" s="45" t="str">
        <f t="shared" si="41"/>
        <v>Unlikely</v>
      </c>
      <c r="AX318" s="45"/>
      <c r="AY318" s="63">
        <f>INDEX(Table5[[#All],[Ovr]],MATCH(Batters[[#This Row],[PID]],Table5[[#All],[PID]],0))</f>
        <v>312</v>
      </c>
      <c r="AZ318" s="63" t="str">
        <f>INDEX(Table5[[#All],[Rnd]],MATCH(Batters[[#This Row],[PID]],Table5[[#All],[PID]],0))</f>
        <v>10</v>
      </c>
      <c r="BA318" s="63">
        <f>INDEX(Table5[[#All],[Pick]],MATCH(Batters[[#This Row],[PID]],Table5[[#All],[PID]],0))</f>
        <v>15</v>
      </c>
      <c r="BB318" s="63" t="str">
        <f>INDEX(Table5[[#All],[Team]],MATCH(Batters[[#This Row],[PID]],Table5[[#All],[PID]],0))</f>
        <v>Niihama-shi Ghosts</v>
      </c>
    </row>
    <row r="319" spans="1:54" ht="15" customHeight="1" x14ac:dyDescent="0.3">
      <c r="A319" s="40">
        <v>20568</v>
      </c>
      <c r="B319" s="40" t="s">
        <v>72</v>
      </c>
      <c r="C319" s="40" t="s">
        <v>317</v>
      </c>
      <c r="D319" s="40" t="s">
        <v>751</v>
      </c>
      <c r="E319" s="40">
        <v>17</v>
      </c>
      <c r="F319" s="40" t="s">
        <v>42</v>
      </c>
      <c r="G319" s="40" t="s">
        <v>42</v>
      </c>
      <c r="H319" s="41" t="s">
        <v>550</v>
      </c>
      <c r="I319" s="64" t="s">
        <v>43</v>
      </c>
      <c r="J319" s="65" t="s">
        <v>44</v>
      </c>
      <c r="K319" s="66" t="s">
        <v>43</v>
      </c>
      <c r="L319" s="40">
        <v>1</v>
      </c>
      <c r="M319" s="40">
        <v>3</v>
      </c>
      <c r="N319" s="40">
        <v>4</v>
      </c>
      <c r="O319" s="40">
        <v>3</v>
      </c>
      <c r="P319" s="41">
        <v>1</v>
      </c>
      <c r="Q319" s="40">
        <v>3</v>
      </c>
      <c r="R319" s="40">
        <v>5</v>
      </c>
      <c r="S319" s="40">
        <v>6</v>
      </c>
      <c r="T319" s="40">
        <v>5</v>
      </c>
      <c r="U319" s="41">
        <v>3</v>
      </c>
      <c r="V319" s="40">
        <v>8</v>
      </c>
      <c r="W319" s="40">
        <v>6</v>
      </c>
      <c r="X319" s="40">
        <v>1</v>
      </c>
      <c r="Y319" s="41">
        <v>1</v>
      </c>
      <c r="Z319" s="40" t="s">
        <v>45</v>
      </c>
      <c r="AA319" s="40" t="s">
        <v>45</v>
      </c>
      <c r="AB319" s="40" t="s">
        <v>45</v>
      </c>
      <c r="AC319" s="40" t="s">
        <v>45</v>
      </c>
      <c r="AD319" s="40">
        <v>2</v>
      </c>
      <c r="AE319" s="40" t="s">
        <v>45</v>
      </c>
      <c r="AF319" s="40" t="s">
        <v>45</v>
      </c>
      <c r="AG319" s="41" t="s">
        <v>45</v>
      </c>
      <c r="AH319" s="40">
        <v>3</v>
      </c>
      <c r="AI319" s="40">
        <v>5</v>
      </c>
      <c r="AJ319" s="41">
        <v>4</v>
      </c>
      <c r="AK319" s="43" t="s">
        <v>528</v>
      </c>
      <c r="AL319" s="43" t="s">
        <v>103</v>
      </c>
      <c r="AM319" s="44">
        <f t="shared" si="36"/>
        <v>-1.5536200084992982</v>
      </c>
      <c r="AN319" s="44">
        <f t="shared" si="37"/>
        <v>-0.38081380915540997</v>
      </c>
      <c r="AO319" s="45">
        <f t="shared" si="38"/>
        <v>0</v>
      </c>
      <c r="AP319" s="46">
        <f t="shared" si="39"/>
        <v>0</v>
      </c>
      <c r="AQ319" s="44">
        <f>($AM$3*AM319+$AN$3*AN319+$AO$3*AO319+$AP$3*AP319)+$I$3*VLOOKUP(I319,COND!$A$2:$E$7,4,FALSE)+$J$3*VLOOKUP(J319,COND!$A$2:$C$7,2,FALSE)+$K$3*VLOOKUP(K319,COND!$A$2:$C$7,3,FALSE)+IF(AND($B$2&gt;0,$E319&lt;20),$B$2*25,0)</f>
        <v>44.974872289285152</v>
      </c>
      <c r="AR319" s="47">
        <f t="shared" si="43"/>
        <v>0.25637572106880102</v>
      </c>
      <c r="AS319" s="45" t="str">
        <f t="shared" si="40"/>
        <v>SS</v>
      </c>
      <c r="AT319" s="45">
        <v>930</v>
      </c>
      <c r="AU319" s="45">
        <v>315</v>
      </c>
      <c r="AV319" s="45"/>
      <c r="AW319" s="45" t="str">
        <f t="shared" si="41"/>
        <v>Unlikely</v>
      </c>
      <c r="AX319" s="45"/>
      <c r="AY319" s="45">
        <f>INDEX(Table5[[#All],[Ovr]],MATCH(Batters[[#This Row],[PID]],Table5[[#All],[PID]],0))</f>
        <v>83</v>
      </c>
      <c r="AZ319" s="45" t="str">
        <f>INDEX(Table5[[#All],[Rnd]],MATCH(Batters[[#This Row],[PID]],Table5[[#All],[PID]],0))</f>
        <v>3</v>
      </c>
      <c r="BA319" s="45">
        <f>INDEX(Table5[[#All],[Pick]],MATCH(Batters[[#This Row],[PID]],Table5[[#All],[PID]],0))</f>
        <v>11</v>
      </c>
      <c r="BB319" s="45" t="str">
        <f>INDEX(Table5[[#All],[Team]],MATCH(Batters[[#This Row],[PID]],Table5[[#All],[PID]],0))</f>
        <v>Kalamazoo Badgers</v>
      </c>
    </row>
    <row r="320" spans="1:54" ht="15" customHeight="1" x14ac:dyDescent="0.3">
      <c r="A320" s="40">
        <v>20795</v>
      </c>
      <c r="B320" s="40" t="s">
        <v>71</v>
      </c>
      <c r="C320" s="40" t="s">
        <v>280</v>
      </c>
      <c r="D320" s="40" t="s">
        <v>591</v>
      </c>
      <c r="E320" s="40">
        <v>17</v>
      </c>
      <c r="F320" s="40" t="s">
        <v>62</v>
      </c>
      <c r="G320" s="40" t="s">
        <v>42</v>
      </c>
      <c r="H320" s="41" t="s">
        <v>550</v>
      </c>
      <c r="I320" s="64" t="s">
        <v>44</v>
      </c>
      <c r="J320" s="65" t="s">
        <v>44</v>
      </c>
      <c r="K320" s="66" t="s">
        <v>43</v>
      </c>
      <c r="L320" s="40">
        <v>1</v>
      </c>
      <c r="M320" s="40">
        <v>3</v>
      </c>
      <c r="N320" s="40">
        <v>2</v>
      </c>
      <c r="O320" s="40">
        <v>2</v>
      </c>
      <c r="P320" s="41">
        <v>1</v>
      </c>
      <c r="Q320" s="40">
        <v>3</v>
      </c>
      <c r="R320" s="40">
        <v>6</v>
      </c>
      <c r="S320" s="40">
        <v>4</v>
      </c>
      <c r="T320" s="40">
        <v>5</v>
      </c>
      <c r="U320" s="41">
        <v>4</v>
      </c>
      <c r="V320" s="40">
        <v>2</v>
      </c>
      <c r="W320" s="40">
        <v>4</v>
      </c>
      <c r="X320" s="40">
        <v>1</v>
      </c>
      <c r="Y320" s="41">
        <v>1</v>
      </c>
      <c r="Z320" s="40" t="s">
        <v>45</v>
      </c>
      <c r="AA320" s="40" t="s">
        <v>45</v>
      </c>
      <c r="AB320" s="40">
        <v>2</v>
      </c>
      <c r="AC320" s="40" t="s">
        <v>45</v>
      </c>
      <c r="AD320" s="40" t="s">
        <v>45</v>
      </c>
      <c r="AE320" s="40">
        <v>2</v>
      </c>
      <c r="AF320" s="40">
        <v>1</v>
      </c>
      <c r="AG320" s="41">
        <v>1</v>
      </c>
      <c r="AH320" s="40">
        <v>8</v>
      </c>
      <c r="AI320" s="40">
        <v>9</v>
      </c>
      <c r="AJ320" s="41">
        <v>10</v>
      </c>
      <c r="AK320" s="43" t="s">
        <v>497</v>
      </c>
      <c r="AL320" s="43" t="s">
        <v>103</v>
      </c>
      <c r="AM320" s="44">
        <f t="shared" si="36"/>
        <v>-1.8094525465566824</v>
      </c>
      <c r="AN320" s="44">
        <f t="shared" si="37"/>
        <v>-0.45586057776742606</v>
      </c>
      <c r="AO320" s="45">
        <f t="shared" si="38"/>
        <v>5</v>
      </c>
      <c r="AP320" s="46">
        <f t="shared" si="39"/>
        <v>0</v>
      </c>
      <c r="AQ320" s="44">
        <f>($AM$3*AM320+$AN$3*AN320+$AO$3*AO320+$AP$3*AP320)+$I$3*VLOOKUP(I320,COND!$A$2:$E$7,4,FALSE)+$J$3*VLOOKUP(J320,COND!$A$2:$C$7,2,FALSE)+$K$3*VLOOKUP(K320,COND!$A$2:$C$7,3,FALSE)+IF(AND($B$2&gt;0,$E320&lt;20),$B$2*25,0)</f>
        <v>44.732061145468549</v>
      </c>
      <c r="AR320" s="47">
        <f t="shared" si="43"/>
        <v>0.22093303740462875</v>
      </c>
      <c r="AS320" s="45" t="str">
        <f t="shared" si="40"/>
        <v>2B</v>
      </c>
      <c r="AT320" s="45">
        <v>930</v>
      </c>
      <c r="AU320" s="45">
        <v>316</v>
      </c>
      <c r="AV320" s="45"/>
      <c r="AW320" s="45" t="str">
        <f t="shared" si="41"/>
        <v>Unlikely</v>
      </c>
      <c r="AX320" s="45"/>
      <c r="AY320" s="45">
        <f>INDEX(Table5[[#All],[Ovr]],MATCH(Batters[[#This Row],[PID]],Table5[[#All],[PID]],0))</f>
        <v>314</v>
      </c>
      <c r="AZ320" s="45" t="str">
        <f>INDEX(Table5[[#All],[Rnd]],MATCH(Batters[[#This Row],[PID]],Table5[[#All],[PID]],0))</f>
        <v>10</v>
      </c>
      <c r="BA320" s="45">
        <f>INDEX(Table5[[#All],[Pick]],MATCH(Batters[[#This Row],[PID]],Table5[[#All],[PID]],0))</f>
        <v>17</v>
      </c>
      <c r="BB320" s="45" t="str">
        <f>INDEX(Table5[[#All],[Team]],MATCH(Batters[[#This Row],[PID]],Table5[[#All],[PID]],0))</f>
        <v>Duluth Warriors</v>
      </c>
    </row>
    <row r="321" spans="1:54" ht="15" customHeight="1" x14ac:dyDescent="0.3">
      <c r="A321" s="40">
        <v>11931</v>
      </c>
      <c r="B321" s="40" t="s">
        <v>66</v>
      </c>
      <c r="C321" s="40" t="s">
        <v>127</v>
      </c>
      <c r="D321" s="40" t="s">
        <v>562</v>
      </c>
      <c r="E321" s="40">
        <v>18</v>
      </c>
      <c r="F321" s="40" t="s">
        <v>42</v>
      </c>
      <c r="G321" s="40" t="s">
        <v>53</v>
      </c>
      <c r="H321" s="41" t="s">
        <v>552</v>
      </c>
      <c r="I321" s="64" t="s">
        <v>43</v>
      </c>
      <c r="J321" s="65" t="s">
        <v>44</v>
      </c>
      <c r="K321" s="66" t="s">
        <v>43</v>
      </c>
      <c r="L321" s="40">
        <v>1</v>
      </c>
      <c r="M321" s="40">
        <v>3</v>
      </c>
      <c r="N321" s="40">
        <v>2</v>
      </c>
      <c r="O321" s="40">
        <v>3</v>
      </c>
      <c r="P321" s="41">
        <v>3</v>
      </c>
      <c r="Q321" s="40">
        <v>4</v>
      </c>
      <c r="R321" s="40">
        <v>4</v>
      </c>
      <c r="S321" s="40">
        <v>2</v>
      </c>
      <c r="T321" s="40">
        <v>5</v>
      </c>
      <c r="U321" s="41">
        <v>4</v>
      </c>
      <c r="V321" s="40">
        <v>4</v>
      </c>
      <c r="W321" s="40">
        <v>8</v>
      </c>
      <c r="X321" s="40">
        <v>1</v>
      </c>
      <c r="Y321" s="41">
        <v>1</v>
      </c>
      <c r="Z321" s="40" t="s">
        <v>45</v>
      </c>
      <c r="AA321" s="40" t="s">
        <v>45</v>
      </c>
      <c r="AB321" s="40" t="s">
        <v>45</v>
      </c>
      <c r="AC321" s="40" t="s">
        <v>45</v>
      </c>
      <c r="AD321" s="40" t="s">
        <v>45</v>
      </c>
      <c r="AE321" s="40" t="s">
        <v>45</v>
      </c>
      <c r="AF321" s="40" t="s">
        <v>45</v>
      </c>
      <c r="AG321" s="41">
        <v>3</v>
      </c>
      <c r="AH321" s="40">
        <v>7</v>
      </c>
      <c r="AI321" s="40">
        <v>4</v>
      </c>
      <c r="AJ321" s="41">
        <v>6</v>
      </c>
      <c r="AK321" s="43" t="s">
        <v>558</v>
      </c>
      <c r="AL321" s="43" t="s">
        <v>103</v>
      </c>
      <c r="AM321" s="44">
        <f t="shared" si="36"/>
        <v>-1.6397103169129343</v>
      </c>
      <c r="AN321" s="44">
        <f t="shared" si="37"/>
        <v>-0.40154748884996139</v>
      </c>
      <c r="AO321" s="45">
        <f t="shared" si="38"/>
        <v>0</v>
      </c>
      <c r="AP321" s="46">
        <f t="shared" si="39"/>
        <v>0</v>
      </c>
      <c r="AQ321" s="44">
        <f>($AM$3*AM321+$AN$3*AN321+$AO$3*AO321+$AP$3*AP321)+$I$3*VLOOKUP(I321,COND!$A$2:$E$7,4,FALSE)+$J$3*VLOOKUP(J321,COND!$A$2:$C$7,2,FALSE)+$K$3*VLOOKUP(K321,COND!$A$2:$C$7,3,FALSE)+IF(AND($B$2&gt;0,$E321&lt;20),$B$2*25,0)</f>
        <v>44.717459102109167</v>
      </c>
      <c r="AR321" s="47">
        <f t="shared" si="43"/>
        <v>0.21880160473847401</v>
      </c>
      <c r="AS321" s="45" t="str">
        <f t="shared" si="40"/>
        <v>RF</v>
      </c>
      <c r="AT321" s="45">
        <v>930</v>
      </c>
      <c r="AU321" s="45">
        <v>317</v>
      </c>
      <c r="AV321" s="45"/>
      <c r="AW321" s="45" t="str">
        <f t="shared" si="41"/>
        <v>Unlikely</v>
      </c>
      <c r="AX321" s="45"/>
      <c r="AY321" s="45">
        <f>INDEX(Table5[[#All],[Ovr]],MATCH(Batters[[#This Row],[PID]],Table5[[#All],[PID]],0))</f>
        <v>658</v>
      </c>
      <c r="AZ321" s="45" t="str">
        <f>INDEX(Table5[[#All],[Rnd]],MATCH(Batters[[#This Row],[PID]],Table5[[#All],[PID]],0))</f>
        <v>20</v>
      </c>
      <c r="BA321" s="45">
        <f>INDEX(Table5[[#All],[Pick]],MATCH(Batters[[#This Row],[PID]],Table5[[#All],[PID]],0))</f>
        <v>21</v>
      </c>
      <c r="BB321" s="45" t="str">
        <f>INDEX(Table5[[#All],[Team]],MATCH(Batters[[#This Row],[PID]],Table5[[#All],[PID]],0))</f>
        <v>Neo-Tokyo Akira</v>
      </c>
    </row>
    <row r="322" spans="1:54" ht="15" customHeight="1" x14ac:dyDescent="0.3">
      <c r="A322" s="40">
        <v>20370</v>
      </c>
      <c r="B322" s="40" t="s">
        <v>50</v>
      </c>
      <c r="C322" s="40" t="s">
        <v>140</v>
      </c>
      <c r="D322" s="40" t="s">
        <v>700</v>
      </c>
      <c r="E322" s="40">
        <v>17</v>
      </c>
      <c r="F322" s="40" t="s">
        <v>53</v>
      </c>
      <c r="G322" s="40" t="s">
        <v>42</v>
      </c>
      <c r="H322" s="41" t="s">
        <v>552</v>
      </c>
      <c r="I322" s="64" t="s">
        <v>43</v>
      </c>
      <c r="J322" s="65" t="s">
        <v>44</v>
      </c>
      <c r="K322" s="66" t="s">
        <v>43</v>
      </c>
      <c r="L322" s="40">
        <v>1</v>
      </c>
      <c r="M322" s="40">
        <v>2</v>
      </c>
      <c r="N322" s="40">
        <v>2</v>
      </c>
      <c r="O322" s="40">
        <v>3</v>
      </c>
      <c r="P322" s="41">
        <v>2</v>
      </c>
      <c r="Q322" s="40">
        <v>4</v>
      </c>
      <c r="R322" s="40">
        <v>4</v>
      </c>
      <c r="S322" s="40">
        <v>2</v>
      </c>
      <c r="T322" s="40">
        <v>5</v>
      </c>
      <c r="U322" s="41">
        <v>4</v>
      </c>
      <c r="V322" s="40">
        <v>5</v>
      </c>
      <c r="W322" s="40">
        <v>8</v>
      </c>
      <c r="X322" s="40">
        <v>1</v>
      </c>
      <c r="Y322" s="41">
        <v>1</v>
      </c>
      <c r="Z322" s="40" t="s">
        <v>45</v>
      </c>
      <c r="AA322" s="40" t="s">
        <v>45</v>
      </c>
      <c r="AB322" s="40" t="s">
        <v>45</v>
      </c>
      <c r="AC322" s="40" t="s">
        <v>45</v>
      </c>
      <c r="AD322" s="40" t="s">
        <v>45</v>
      </c>
      <c r="AE322" s="40">
        <v>3</v>
      </c>
      <c r="AF322" s="40" t="s">
        <v>45</v>
      </c>
      <c r="AG322" s="41" t="s">
        <v>45</v>
      </c>
      <c r="AH322" s="40">
        <v>6</v>
      </c>
      <c r="AI322" s="40">
        <v>5</v>
      </c>
      <c r="AJ322" s="41">
        <v>4</v>
      </c>
      <c r="AK322" s="43" t="s">
        <v>568</v>
      </c>
      <c r="AL322" s="43" t="s">
        <v>103</v>
      </c>
      <c r="AM322" s="44">
        <f t="shared" si="36"/>
        <v>-1.7307865363487211</v>
      </c>
      <c r="AN322" s="44">
        <f t="shared" si="37"/>
        <v>-0.40154748884996139</v>
      </c>
      <c r="AO322" s="45">
        <f t="shared" si="38"/>
        <v>0</v>
      </c>
      <c r="AP322" s="46">
        <f t="shared" si="39"/>
        <v>0</v>
      </c>
      <c r="AQ322" s="44">
        <f>($AM$3*AM322+$AN$3*AN322+$AO$3*AO322+$AP$3*AP322)+$I$3*VLOOKUP(I322,COND!$A$2:$E$7,4,FALSE)+$J$3*VLOOKUP(J322,COND!$A$2:$C$7,2,FALSE)+$K$3*VLOOKUP(K322,COND!$A$2:$C$7,3,FALSE)+IF(AND($B$2&gt;0,$E322&lt;20),$B$2*25,0)</f>
        <v>44.708351480165589</v>
      </c>
      <c r="AR322" s="47">
        <f t="shared" si="43"/>
        <v>0.21747218237998905</v>
      </c>
      <c r="AS322" s="45" t="str">
        <f t="shared" si="40"/>
        <v>LF</v>
      </c>
      <c r="AT322" s="45">
        <v>930</v>
      </c>
      <c r="AU322" s="45">
        <v>318</v>
      </c>
      <c r="AV322" s="45"/>
      <c r="AW322" s="45" t="str">
        <f t="shared" si="41"/>
        <v>Unlikely</v>
      </c>
      <c r="AX322" s="45"/>
      <c r="AY322" s="45">
        <f>INDEX(Table5[[#All],[Ovr]],MATCH(Batters[[#This Row],[PID]],Table5[[#All],[PID]],0))</f>
        <v>498</v>
      </c>
      <c r="AZ322" s="45" t="str">
        <f>INDEX(Table5[[#All],[Rnd]],MATCH(Batters[[#This Row],[PID]],Table5[[#All],[PID]],0))</f>
        <v>15</v>
      </c>
      <c r="BA322" s="45">
        <f>INDEX(Table5[[#All],[Pick]],MATCH(Batters[[#This Row],[PID]],Table5[[#All],[PID]],0))</f>
        <v>31</v>
      </c>
      <c r="BB322" s="45" t="str">
        <f>INDEX(Table5[[#All],[Team]],MATCH(Batters[[#This Row],[PID]],Table5[[#All],[PID]],0))</f>
        <v>West Virginia Alleghenies</v>
      </c>
    </row>
    <row r="323" spans="1:54" ht="15" customHeight="1" x14ac:dyDescent="0.3">
      <c r="A323" s="40">
        <v>11307</v>
      </c>
      <c r="B323" s="40" t="s">
        <v>69</v>
      </c>
      <c r="C323" s="40" t="s">
        <v>740</v>
      </c>
      <c r="D323" s="40" t="s">
        <v>843</v>
      </c>
      <c r="E323" s="40">
        <v>17</v>
      </c>
      <c r="F323" s="40" t="s">
        <v>42</v>
      </c>
      <c r="G323" s="40" t="s">
        <v>42</v>
      </c>
      <c r="H323" s="41" t="s">
        <v>550</v>
      </c>
      <c r="I323" s="64" t="s">
        <v>43</v>
      </c>
      <c r="J323" s="65" t="s">
        <v>44</v>
      </c>
      <c r="K323" s="66" t="s">
        <v>43</v>
      </c>
      <c r="L323" s="40">
        <v>1</v>
      </c>
      <c r="M323" s="40">
        <v>2</v>
      </c>
      <c r="N323" s="40">
        <v>3</v>
      </c>
      <c r="O323" s="40">
        <v>2</v>
      </c>
      <c r="P323" s="41">
        <v>1</v>
      </c>
      <c r="Q323" s="40">
        <v>3</v>
      </c>
      <c r="R323" s="40">
        <v>6</v>
      </c>
      <c r="S323" s="40">
        <v>6</v>
      </c>
      <c r="T323" s="40">
        <v>5</v>
      </c>
      <c r="U323" s="41">
        <v>1</v>
      </c>
      <c r="V323" s="40">
        <v>9</v>
      </c>
      <c r="W323" s="40">
        <v>8</v>
      </c>
      <c r="X323" s="40">
        <v>1</v>
      </c>
      <c r="Y323" s="41">
        <v>1</v>
      </c>
      <c r="Z323" s="40" t="s">
        <v>45</v>
      </c>
      <c r="AA323" s="40" t="s">
        <v>45</v>
      </c>
      <c r="AB323" s="40" t="s">
        <v>45</v>
      </c>
      <c r="AC323" s="40">
        <v>2</v>
      </c>
      <c r="AD323" s="40" t="s">
        <v>45</v>
      </c>
      <c r="AE323" s="40" t="s">
        <v>45</v>
      </c>
      <c r="AF323" s="40" t="s">
        <v>45</v>
      </c>
      <c r="AG323" s="41" t="s">
        <v>45</v>
      </c>
      <c r="AH323" s="40">
        <v>4</v>
      </c>
      <c r="AI323" s="40">
        <v>2</v>
      </c>
      <c r="AJ323" s="41">
        <v>1</v>
      </c>
      <c r="AK323" s="43" t="s">
        <v>531</v>
      </c>
      <c r="AL323" s="43" t="s">
        <v>103</v>
      </c>
      <c r="AM323" s="44">
        <f t="shared" si="36"/>
        <v>-1.7774509321514844</v>
      </c>
      <c r="AN323" s="44">
        <f t="shared" si="37"/>
        <v>-0.40978660917087345</v>
      </c>
      <c r="AO323" s="45">
        <f t="shared" si="38"/>
        <v>0</v>
      </c>
      <c r="AP323" s="46">
        <f t="shared" si="39"/>
        <v>0</v>
      </c>
      <c r="AQ323" s="44">
        <f>($AM$3*AM323+$AN$3*AN323+$AO$3*AO323+$AP$3*AP323)+$I$3*VLOOKUP(I323,COND!$A$2:$E$7,4,FALSE)+$J$3*VLOOKUP(J323,COND!$A$2:$C$7,2,FALSE)+$K$3*VLOOKUP(K323,COND!$A$2:$C$7,3,FALSE)+IF(AND($B$2&gt;0,$E323&lt;20),$B$2*25,0)</f>
        <v>44.604815596734369</v>
      </c>
      <c r="AR323" s="47">
        <f t="shared" si="43"/>
        <v>0.20235924519488591</v>
      </c>
      <c r="AS323" s="45" t="str">
        <f t="shared" si="40"/>
        <v>3B</v>
      </c>
      <c r="AT323" s="45">
        <v>930</v>
      </c>
      <c r="AU323" s="45">
        <v>319</v>
      </c>
      <c r="AV323" s="45"/>
      <c r="AW323" s="45" t="str">
        <f t="shared" si="41"/>
        <v>Unlikely</v>
      </c>
      <c r="AX323" s="45"/>
      <c r="AY323" s="45">
        <f>INDEX(Table5[[#All],[Ovr]],MATCH(Batters[[#This Row],[PID]],Table5[[#All],[PID]],0))</f>
        <v>302</v>
      </c>
      <c r="AZ323" s="45" t="str">
        <f>INDEX(Table5[[#All],[Rnd]],MATCH(Batters[[#This Row],[PID]],Table5[[#All],[PID]],0))</f>
        <v>10</v>
      </c>
      <c r="BA323" s="45">
        <f>INDEX(Table5[[#All],[Pick]],MATCH(Batters[[#This Row],[PID]],Table5[[#All],[PID]],0))</f>
        <v>5</v>
      </c>
      <c r="BB323" s="45" t="str">
        <f>INDEX(Table5[[#All],[Team]],MATCH(Batters[[#This Row],[PID]],Table5[[#All],[PID]],0))</f>
        <v>Tempe Knights</v>
      </c>
    </row>
    <row r="324" spans="1:54" ht="15" customHeight="1" x14ac:dyDescent="0.3">
      <c r="A324" s="40">
        <v>13509</v>
      </c>
      <c r="B324" s="40" t="s">
        <v>86</v>
      </c>
      <c r="C324" s="40" t="s">
        <v>698</v>
      </c>
      <c r="D324" s="40" t="s">
        <v>581</v>
      </c>
      <c r="E324" s="40">
        <v>18</v>
      </c>
      <c r="F324" s="40" t="s">
        <v>53</v>
      </c>
      <c r="G324" s="40" t="s">
        <v>42</v>
      </c>
      <c r="H324" s="41" t="s">
        <v>550</v>
      </c>
      <c r="I324" s="64" t="s">
        <v>43</v>
      </c>
      <c r="J324" s="65" t="s">
        <v>44</v>
      </c>
      <c r="K324" s="66" t="s">
        <v>43</v>
      </c>
      <c r="L324" s="40">
        <v>1</v>
      </c>
      <c r="M324" s="40">
        <v>3</v>
      </c>
      <c r="N324" s="40">
        <v>3</v>
      </c>
      <c r="O324" s="40">
        <v>4</v>
      </c>
      <c r="P324" s="41">
        <v>2</v>
      </c>
      <c r="Q324" s="40">
        <v>3</v>
      </c>
      <c r="R324" s="40">
        <v>4</v>
      </c>
      <c r="S324" s="40">
        <v>4</v>
      </c>
      <c r="T324" s="40">
        <v>7</v>
      </c>
      <c r="U324" s="41">
        <v>3</v>
      </c>
      <c r="V324" s="40">
        <v>4</v>
      </c>
      <c r="W324" s="40">
        <v>4</v>
      </c>
      <c r="X324" s="40">
        <v>4</v>
      </c>
      <c r="Y324" s="41">
        <v>5</v>
      </c>
      <c r="Z324" s="40" t="s">
        <v>45</v>
      </c>
      <c r="AA324" s="40" t="s">
        <v>45</v>
      </c>
      <c r="AB324" s="40" t="s">
        <v>45</v>
      </c>
      <c r="AC324" s="40" t="s">
        <v>45</v>
      </c>
      <c r="AD324" s="40" t="s">
        <v>45</v>
      </c>
      <c r="AE324" s="40" t="s">
        <v>45</v>
      </c>
      <c r="AF324" s="40" t="s">
        <v>45</v>
      </c>
      <c r="AG324" s="41" t="s">
        <v>45</v>
      </c>
      <c r="AH324" s="40">
        <v>1</v>
      </c>
      <c r="AI324" s="40">
        <v>1</v>
      </c>
      <c r="AJ324" s="41">
        <v>1</v>
      </c>
      <c r="AK324" s="43" t="s">
        <v>576</v>
      </c>
      <c r="AL324" s="43" t="s">
        <v>103</v>
      </c>
      <c r="AM324" s="44">
        <f t="shared" si="36"/>
        <v>-1.5069556126965353</v>
      </c>
      <c r="AN324" s="44">
        <f t="shared" si="37"/>
        <v>-0.41857757680275448</v>
      </c>
      <c r="AO324" s="45">
        <f t="shared" si="38"/>
        <v>0</v>
      </c>
      <c r="AP324" s="46">
        <f t="shared" si="39"/>
        <v>0</v>
      </c>
      <c r="AQ324" s="44">
        <f>($AM$3*AM324+$AN$3*AN324+$AO$3*AO324+$AP$3*AP324)+$I$3*VLOOKUP(I324,COND!$A$2:$E$7,4,FALSE)+$J$3*VLOOKUP(J324,COND!$A$2:$C$7,2,FALSE)+$K$3*VLOOKUP(K324,COND!$A$2:$C$7,3,FALSE)+IF(AND($B$2&gt;0,$E324&lt;20),$B$2*25,0)</f>
        <v>44.526373517097291</v>
      </c>
      <c r="AR324" s="47">
        <f t="shared" si="43"/>
        <v>0.19090920311347026</v>
      </c>
      <c r="AS324" s="45" t="str">
        <f t="shared" si="40"/>
        <v>DH</v>
      </c>
      <c r="AT324" s="45">
        <v>930</v>
      </c>
      <c r="AU324" s="45">
        <v>320</v>
      </c>
      <c r="AV324" s="45"/>
      <c r="AW324" s="45" t="str">
        <f t="shared" si="41"/>
        <v>Unlikely</v>
      </c>
      <c r="AX324" s="45"/>
      <c r="AY324" s="45" t="str">
        <f>INDEX(Table5[[#All],[Ovr]],MATCH(Batters[[#This Row],[PID]],Table5[[#All],[PID]],0))</f>
        <v/>
      </c>
      <c r="AZ324" s="45" t="str">
        <f>INDEX(Table5[[#All],[Rnd]],MATCH(Batters[[#This Row],[PID]],Table5[[#All],[PID]],0))</f>
        <v/>
      </c>
      <c r="BA324" s="45" t="str">
        <f>INDEX(Table5[[#All],[Pick]],MATCH(Batters[[#This Row],[PID]],Table5[[#All],[PID]],0))</f>
        <v/>
      </c>
      <c r="BB324" s="45" t="str">
        <f>INDEX(Table5[[#All],[Team]],MATCH(Batters[[#This Row],[PID]],Table5[[#All],[PID]],0))</f>
        <v/>
      </c>
    </row>
    <row r="325" spans="1:54" ht="15" customHeight="1" x14ac:dyDescent="0.3">
      <c r="A325" s="40">
        <v>20600</v>
      </c>
      <c r="B325" s="40" t="s">
        <v>87</v>
      </c>
      <c r="C325" s="40" t="s">
        <v>1262</v>
      </c>
      <c r="D325" s="40" t="s">
        <v>1263</v>
      </c>
      <c r="E325" s="40">
        <v>17</v>
      </c>
      <c r="F325" s="40" t="s">
        <v>53</v>
      </c>
      <c r="G325" s="40" t="s">
        <v>42</v>
      </c>
      <c r="H325" s="41" t="s">
        <v>552</v>
      </c>
      <c r="I325" s="64" t="s">
        <v>43</v>
      </c>
      <c r="J325" s="65" t="s">
        <v>44</v>
      </c>
      <c r="K325" s="66" t="s">
        <v>43</v>
      </c>
      <c r="L325" s="40">
        <v>2</v>
      </c>
      <c r="M325" s="40">
        <v>2</v>
      </c>
      <c r="N325" s="40">
        <v>2</v>
      </c>
      <c r="O325" s="40">
        <v>1</v>
      </c>
      <c r="P325" s="41">
        <v>5</v>
      </c>
      <c r="Q325" s="40">
        <v>5</v>
      </c>
      <c r="R325" s="40">
        <v>2</v>
      </c>
      <c r="S325" s="40">
        <v>2</v>
      </c>
      <c r="T325" s="40">
        <v>1</v>
      </c>
      <c r="U325" s="41">
        <v>7</v>
      </c>
      <c r="V325" s="40">
        <v>3</v>
      </c>
      <c r="W325" s="40">
        <v>2</v>
      </c>
      <c r="X325" s="40">
        <v>1</v>
      </c>
      <c r="Y325" s="41">
        <v>1</v>
      </c>
      <c r="Z325" s="40" t="s">
        <v>45</v>
      </c>
      <c r="AA325" s="40">
        <v>1</v>
      </c>
      <c r="AB325" s="40" t="s">
        <v>45</v>
      </c>
      <c r="AC325" s="40" t="s">
        <v>45</v>
      </c>
      <c r="AD325" s="40" t="s">
        <v>45</v>
      </c>
      <c r="AE325" s="40" t="s">
        <v>45</v>
      </c>
      <c r="AF325" s="40" t="s">
        <v>45</v>
      </c>
      <c r="AG325" s="41" t="s">
        <v>45</v>
      </c>
      <c r="AH325" s="40">
        <v>3</v>
      </c>
      <c r="AI325" s="40">
        <v>1</v>
      </c>
      <c r="AJ325" s="41">
        <v>2</v>
      </c>
      <c r="AK325" s="43" t="s">
        <v>558</v>
      </c>
      <c r="AL325" s="43" t="s">
        <v>103</v>
      </c>
      <c r="AM325" s="44">
        <f t="shared" ref="AM325:AM388" si="44">($L$3*(L325-$Q$1)/$Q$2+$M$3*(M325-$R$1)/$R$2+$N$3*(N325-$S$1)/$S$2+$O$3*(O325-$T$1)/$T$2+$P$3*(P325-$U$1)/$U$2)/(SUM($L$3:$P$3))</f>
        <v>-1.4676007807139586</v>
      </c>
      <c r="AN325" s="44">
        <f t="shared" ref="AN325:AN388" si="45">($L$3*(Q325-$Q$1)/$Q$2+$M$3*(R325-$R$1)/$R$2+$N$3*(S325-$S$1)/$S$2+$O$3*(T325-$T$1)/$T$2+$P$3*(U325-$U$1)/$U$2)/(SUM($L$3:$P$3))</f>
        <v>-0.41990059247176742</v>
      </c>
      <c r="AO325" s="45">
        <f t="shared" ref="AO325:AO388" si="46">IF(AVERAGE(AH325:AI325)&gt;9,1,0)+IF(AVERAGE(AH325:AI325)&gt;7,1,0)+IF(AH325&gt;7,1,0)+IF(AI325&gt;7,1,0)+IF(AJ325&gt;8,1,0)+IF(AJ325&gt;6,1,0)</f>
        <v>0</v>
      </c>
      <c r="AP325" s="46">
        <f t="shared" ref="AP325:AP388" si="47">MIN(2,IF(OR(Z325="-",X325&lt;5),0,1+IF(Y325&gt;7,0.35,IF(Y325&gt;5,0.1,0))+IF(Z325&gt;7,1+IF(X325&gt;7,0.25,0),IF(Z325&gt;4,0.5+IF(X325&gt;7,0.25,0),0+IF(X325&gt;7,0.25))))+IF(AA325="-",0,IF(AA325&gt;9,0.5,IF(AA325&gt;7,0.25,0)))+IF(AB325="-",0,IF(AB325&gt;7,1.1,IF(AB325&gt;4,0.6,0)))+IF(OR(AC325="-",V325&lt;5),0,IF(AC325&gt;7,1+IF(V325&gt;7,0.25,0),IF(AC325&gt;4,0.5+IF(V325&gt;7,0.25,0),0)))+IF(AD325="-",0,IF(AD325&gt;7,1.5,IF(AD325&gt;4,1,0)))+IF(AE325="-",0,IF(AE325&gt;9,0.5,IF(AE325&gt;7,0.25,0)))+IF(AF325="-",0,IF(AF325&gt;7,1.25,IF(AF325&gt;4,0.75,0)))+IF(OR(AG325="-",W325&lt;4),0,IF(AG325&gt;7,1+IF(W325&gt;7,0.15,0),IF(AG325&gt;4,0.5+IF(W325&gt;7,0.15,0),0))))</f>
        <v>0</v>
      </c>
      <c r="AQ325" s="44">
        <f>($AM$3*AM325+$AN$3*AN325+$AO$3*AO325+$AP$3*AP325)+$I$3*VLOOKUP(I325,COND!$A$2:$E$7,4,FALSE)+$J$3*VLOOKUP(J325,COND!$A$2:$C$7,2,FALSE)+$K$3*VLOOKUP(K325,COND!$A$2:$C$7,3,FALSE)+IF(AND($B$2&gt;0,$E325&lt;20),$B$2*25,0)</f>
        <v>44.514432812267394</v>
      </c>
      <c r="AR325" s="47">
        <f t="shared" si="43"/>
        <v>0.18916624100159563</v>
      </c>
      <c r="AS325" s="45" t="str">
        <f t="shared" ref="AS325:AS388" si="48">IF(AND(Z325&lt;&gt;"-",Y325&gt;1),"C",IF(AB325=MAX(AB325:AD325),"2B",IF(AD325=MAX(AB325:AD325),"SS",IF(OR(AC325=MAX(AA325:AD325),AND(AC325&lt;&gt;"-",AC325&gt;4,V325&gt;5)),"3B",IF(AF325=MAX(AE325:AG325),"CF",IF(AND(AG325=MAX(AE325,AG325),AND(W325&gt;5,AG325&lt;&gt;"-")),"RF",IF(AE325&lt;&gt;"-","LF",IF(AA325&lt;&gt;"-","1B","DH"))))))))</f>
        <v>1B</v>
      </c>
      <c r="AT325" s="45">
        <v>930</v>
      </c>
      <c r="AU325" s="45">
        <v>321</v>
      </c>
      <c r="AV325" s="45"/>
      <c r="AW325" s="45" t="str">
        <f t="shared" ref="AW325:AW388" si="49">IF(AND($Q325&gt;=6,AVERAGE($S325:$T325)&gt;=6),"Likely",IF(OR($Q325&gt;6,AND($Q325=6,AVERAGE($S325:$T325)&gt;=3),AND($Q325&gt;=5,AVERAGE($S325:$T325)&gt;=5),AVERAGE($Q325,$S325:$T325)&gt;5),"Possible","Unlikely"))</f>
        <v>Unlikely</v>
      </c>
      <c r="AX325" s="45"/>
      <c r="AY325" s="45">
        <f>INDEX(Table5[[#All],[Ovr]],MATCH(Batters[[#This Row],[PID]],Table5[[#All],[PID]],0))</f>
        <v>193</v>
      </c>
      <c r="AZ325" s="45" t="str">
        <f>INDEX(Table5[[#All],[Rnd]],MATCH(Batters[[#This Row],[PID]],Table5[[#All],[PID]],0))</f>
        <v>6</v>
      </c>
      <c r="BA325" s="45">
        <f>INDEX(Table5[[#All],[Pick]],MATCH(Batters[[#This Row],[PID]],Table5[[#All],[PID]],0))</f>
        <v>24</v>
      </c>
      <c r="BB325" s="45" t="str">
        <f>INDEX(Table5[[#All],[Team]],MATCH(Batters[[#This Row],[PID]],Table5[[#All],[PID]],0))</f>
        <v>Reno Zephyrs</v>
      </c>
    </row>
    <row r="326" spans="1:54" ht="15" customHeight="1" x14ac:dyDescent="0.3">
      <c r="A326" s="40">
        <v>11232</v>
      </c>
      <c r="B326" s="40" t="s">
        <v>50</v>
      </c>
      <c r="C326" s="40" t="s">
        <v>180</v>
      </c>
      <c r="D326" s="40" t="s">
        <v>1208</v>
      </c>
      <c r="E326" s="40">
        <v>17</v>
      </c>
      <c r="F326" s="40" t="s">
        <v>42</v>
      </c>
      <c r="G326" s="40" t="s">
        <v>42</v>
      </c>
      <c r="H326" s="41" t="s">
        <v>552</v>
      </c>
      <c r="I326" s="64" t="s">
        <v>44</v>
      </c>
      <c r="J326" s="65" t="s">
        <v>44</v>
      </c>
      <c r="K326" s="66" t="s">
        <v>43</v>
      </c>
      <c r="L326" s="40">
        <v>1</v>
      </c>
      <c r="M326" s="40">
        <v>2</v>
      </c>
      <c r="N326" s="40">
        <v>3</v>
      </c>
      <c r="O326" s="40">
        <v>3</v>
      </c>
      <c r="P326" s="41">
        <v>1</v>
      </c>
      <c r="Q326" s="40">
        <v>3</v>
      </c>
      <c r="R326" s="40">
        <v>5</v>
      </c>
      <c r="S326" s="40">
        <v>5</v>
      </c>
      <c r="T326" s="40">
        <v>6</v>
      </c>
      <c r="U326" s="41">
        <v>2</v>
      </c>
      <c r="V326" s="40">
        <v>3</v>
      </c>
      <c r="W326" s="40">
        <v>6</v>
      </c>
      <c r="X326" s="40">
        <v>1</v>
      </c>
      <c r="Y326" s="41">
        <v>1</v>
      </c>
      <c r="Z326" s="40" t="s">
        <v>45</v>
      </c>
      <c r="AA326" s="40" t="s">
        <v>45</v>
      </c>
      <c r="AB326" s="40">
        <v>1</v>
      </c>
      <c r="AC326" s="40" t="s">
        <v>45</v>
      </c>
      <c r="AD326" s="40" t="s">
        <v>45</v>
      </c>
      <c r="AE326" s="40">
        <v>3</v>
      </c>
      <c r="AF326" s="40" t="s">
        <v>45</v>
      </c>
      <c r="AG326" s="41" t="s">
        <v>45</v>
      </c>
      <c r="AH326" s="40">
        <v>4</v>
      </c>
      <c r="AI326" s="40">
        <v>7</v>
      </c>
      <c r="AJ326" s="41">
        <v>5</v>
      </c>
      <c r="AK326" s="43" t="s">
        <v>572</v>
      </c>
      <c r="AL326" s="43" t="s">
        <v>103</v>
      </c>
      <c r="AM326" s="44">
        <f t="shared" si="44"/>
        <v>-1.6877413821419032</v>
      </c>
      <c r="AN326" s="44">
        <f t="shared" si="45"/>
        <v>-0.41418209298681402</v>
      </c>
      <c r="AO326" s="45">
        <f t="shared" si="46"/>
        <v>0</v>
      </c>
      <c r="AP326" s="46">
        <f t="shared" si="47"/>
        <v>0</v>
      </c>
      <c r="AQ326" s="44">
        <f>($AM$3*AM326+$AN$3*AN326+$AO$3*AO326+$AP$3*AP326)+$I$3*VLOOKUP(I326,COND!$A$2:$E$7,4,FALSE)+$J$3*VLOOKUP(J326,COND!$A$2:$C$7,2,FALSE)+$K$3*VLOOKUP(K326,COND!$A$2:$C$7,3,FALSE)+IF(AND($B$2&gt;0,$E326&lt;20),$B$2*25,0)</f>
        <v>44.411040745944042</v>
      </c>
      <c r="AR326" s="47">
        <f t="shared" si="43"/>
        <v>0.17407429652786302</v>
      </c>
      <c r="AS326" s="45" t="str">
        <f t="shared" si="48"/>
        <v>2B</v>
      </c>
      <c r="AT326" s="45">
        <v>930</v>
      </c>
      <c r="AU326" s="45">
        <v>322</v>
      </c>
      <c r="AV326" s="45"/>
      <c r="AW326" s="45" t="str">
        <f t="shared" si="49"/>
        <v>Unlikely</v>
      </c>
      <c r="AX326" s="45"/>
      <c r="AY326" s="63">
        <f>INDEX(Table5[[#All],[Ovr]],MATCH(Batters[[#This Row],[PID]],Table5[[#All],[PID]],0))</f>
        <v>511</v>
      </c>
      <c r="AZ326" s="63" t="str">
        <f>INDEX(Table5[[#All],[Rnd]],MATCH(Batters[[#This Row],[PID]],Table5[[#All],[PID]],0))</f>
        <v>16</v>
      </c>
      <c r="BA326" s="63">
        <f>INDEX(Table5[[#All],[Pick]],MATCH(Batters[[#This Row],[PID]],Table5[[#All],[PID]],0))</f>
        <v>10</v>
      </c>
      <c r="BB326" s="63" t="str">
        <f>INDEX(Table5[[#All],[Team]],MATCH(Batters[[#This Row],[PID]],Table5[[#All],[PID]],0))</f>
        <v>London Underground</v>
      </c>
    </row>
    <row r="327" spans="1:54" ht="15" customHeight="1" x14ac:dyDescent="0.3">
      <c r="A327" s="40">
        <v>12987</v>
      </c>
      <c r="B327" s="40" t="s">
        <v>71</v>
      </c>
      <c r="C327" s="40" t="s">
        <v>606</v>
      </c>
      <c r="D327" s="40" t="s">
        <v>1279</v>
      </c>
      <c r="E327" s="40">
        <v>18</v>
      </c>
      <c r="F327" s="40" t="s">
        <v>53</v>
      </c>
      <c r="G327" s="40" t="s">
        <v>42</v>
      </c>
      <c r="H327" s="41" t="s">
        <v>553</v>
      </c>
      <c r="I327" s="64" t="s">
        <v>44</v>
      </c>
      <c r="J327" s="65" t="s">
        <v>44</v>
      </c>
      <c r="K327" s="66" t="s">
        <v>47</v>
      </c>
      <c r="L327" s="40">
        <v>1</v>
      </c>
      <c r="M327" s="40">
        <v>4</v>
      </c>
      <c r="N327" s="40">
        <v>2</v>
      </c>
      <c r="O327" s="40">
        <v>3</v>
      </c>
      <c r="P327" s="41">
        <v>2</v>
      </c>
      <c r="Q327" s="40">
        <v>3</v>
      </c>
      <c r="R327" s="40">
        <v>4</v>
      </c>
      <c r="S327" s="40">
        <v>3</v>
      </c>
      <c r="T327" s="40">
        <v>6</v>
      </c>
      <c r="U327" s="41">
        <v>4</v>
      </c>
      <c r="V327" s="40">
        <v>3</v>
      </c>
      <c r="W327" s="40">
        <v>1</v>
      </c>
      <c r="X327" s="40">
        <v>1</v>
      </c>
      <c r="Y327" s="41">
        <v>1</v>
      </c>
      <c r="Z327" s="40" t="s">
        <v>45</v>
      </c>
      <c r="AA327" s="40" t="s">
        <v>45</v>
      </c>
      <c r="AB327" s="40">
        <v>2</v>
      </c>
      <c r="AC327" s="40" t="s">
        <v>45</v>
      </c>
      <c r="AD327" s="40" t="s">
        <v>45</v>
      </c>
      <c r="AE327" s="40" t="s">
        <v>45</v>
      </c>
      <c r="AF327" s="40" t="s">
        <v>45</v>
      </c>
      <c r="AG327" s="41" t="s">
        <v>45</v>
      </c>
      <c r="AH327" s="40">
        <v>7</v>
      </c>
      <c r="AI327" s="40">
        <v>9</v>
      </c>
      <c r="AJ327" s="41">
        <v>7</v>
      </c>
      <c r="AK327" s="43" t="s">
        <v>558</v>
      </c>
      <c r="AL327" s="43" t="s">
        <v>103</v>
      </c>
      <c r="AM327" s="44">
        <f t="shared" si="44"/>
        <v>-1.6286667771113144</v>
      </c>
      <c r="AN327" s="44">
        <f t="shared" si="45"/>
        <v>-0.55133228101915355</v>
      </c>
      <c r="AO327" s="45">
        <f t="shared" si="46"/>
        <v>3</v>
      </c>
      <c r="AP327" s="46">
        <f t="shared" si="47"/>
        <v>0</v>
      </c>
      <c r="AQ327" s="44">
        <f>($AM$3*AM327+$AN$3*AN327+$AO$3*AO327+$AP$3*AP327)+$I$3*VLOOKUP(I327,COND!$A$2:$E$7,4,FALSE)+$J$3*VLOOKUP(J327,COND!$A$2:$C$7,2,FALSE)+$K$3*VLOOKUP(K327,COND!$A$2:$C$7,3,FALSE)+IF(AND($B$2&gt;0,$E327&lt;20),$B$2*25,0)</f>
        <v>43.571145950059027</v>
      </c>
      <c r="AR327" s="47">
        <f t="shared" si="43"/>
        <v>5.1476440870046727E-2</v>
      </c>
      <c r="AS327" s="45" t="str">
        <f t="shared" si="48"/>
        <v>2B</v>
      </c>
      <c r="AT327" s="45">
        <v>930</v>
      </c>
      <c r="AU327" s="45">
        <v>323</v>
      </c>
      <c r="AV327" s="45"/>
      <c r="AW327" s="45" t="str">
        <f t="shared" si="49"/>
        <v>Unlikely</v>
      </c>
      <c r="AX327" s="45"/>
      <c r="AY327" s="45" t="str">
        <f>INDEX(Table5[[#All],[Ovr]],MATCH(Batters[[#This Row],[PID]],Table5[[#All],[PID]],0))</f>
        <v/>
      </c>
      <c r="AZ327" s="45" t="str">
        <f>INDEX(Table5[[#All],[Rnd]],MATCH(Batters[[#This Row],[PID]],Table5[[#All],[PID]],0))</f>
        <v/>
      </c>
      <c r="BA327" s="45" t="str">
        <f>INDEX(Table5[[#All],[Pick]],MATCH(Batters[[#This Row],[PID]],Table5[[#All],[PID]],0))</f>
        <v/>
      </c>
      <c r="BB327" s="45" t="str">
        <f>INDEX(Table5[[#All],[Team]],MATCH(Batters[[#This Row],[PID]],Table5[[#All],[PID]],0))</f>
        <v/>
      </c>
    </row>
    <row r="328" spans="1:54" ht="15" customHeight="1" x14ac:dyDescent="0.3">
      <c r="A328" s="40">
        <v>8242</v>
      </c>
      <c r="B328" s="40" t="s">
        <v>87</v>
      </c>
      <c r="C328" s="40" t="s">
        <v>648</v>
      </c>
      <c r="D328" s="40" t="s">
        <v>1082</v>
      </c>
      <c r="E328" s="40">
        <v>21</v>
      </c>
      <c r="F328" s="40" t="s">
        <v>53</v>
      </c>
      <c r="G328" s="40" t="s">
        <v>42</v>
      </c>
      <c r="H328" s="41" t="s">
        <v>550</v>
      </c>
      <c r="I328" s="64" t="s">
        <v>43</v>
      </c>
      <c r="J328" s="65" t="s">
        <v>44</v>
      </c>
      <c r="K328" s="66" t="s">
        <v>43</v>
      </c>
      <c r="L328" s="40">
        <v>2</v>
      </c>
      <c r="M328" s="40">
        <v>5</v>
      </c>
      <c r="N328" s="40">
        <v>4</v>
      </c>
      <c r="O328" s="40">
        <v>4</v>
      </c>
      <c r="P328" s="41">
        <v>4</v>
      </c>
      <c r="Q328" s="40">
        <v>4</v>
      </c>
      <c r="R328" s="40">
        <v>5</v>
      </c>
      <c r="S328" s="40">
        <v>5</v>
      </c>
      <c r="T328" s="40">
        <v>5</v>
      </c>
      <c r="U328" s="41">
        <v>5</v>
      </c>
      <c r="V328" s="40">
        <v>7</v>
      </c>
      <c r="W328" s="40">
        <v>5</v>
      </c>
      <c r="X328" s="40">
        <v>1</v>
      </c>
      <c r="Y328" s="41">
        <v>1</v>
      </c>
      <c r="Z328" s="40" t="s">
        <v>45</v>
      </c>
      <c r="AA328" s="40">
        <v>2</v>
      </c>
      <c r="AB328" s="40" t="s">
        <v>45</v>
      </c>
      <c r="AC328" s="40" t="s">
        <v>45</v>
      </c>
      <c r="AD328" s="40" t="s">
        <v>45</v>
      </c>
      <c r="AE328" s="40">
        <v>1</v>
      </c>
      <c r="AF328" s="40">
        <v>1</v>
      </c>
      <c r="AG328" s="41" t="s">
        <v>45</v>
      </c>
      <c r="AH328" s="40">
        <v>9</v>
      </c>
      <c r="AI328" s="40">
        <v>6</v>
      </c>
      <c r="AJ328" s="41">
        <v>5</v>
      </c>
      <c r="AK328" s="43" t="s">
        <v>580</v>
      </c>
      <c r="AL328" s="43" t="s">
        <v>103</v>
      </c>
      <c r="AM328" s="44">
        <f t="shared" si="44"/>
        <v>-0.91918584359838529</v>
      </c>
      <c r="AN328" s="44">
        <f t="shared" si="45"/>
        <v>-6.1286787342469937E-2</v>
      </c>
      <c r="AO328" s="45">
        <f t="shared" si="46"/>
        <v>2</v>
      </c>
      <c r="AP328" s="46">
        <f t="shared" si="47"/>
        <v>0</v>
      </c>
      <c r="AQ328" s="44">
        <f>($AM$3*AM328+$AN$3*AN328+$AO$3*AO328+$AP$3*AP328)+$I$3*VLOOKUP(I328,COND!$A$2:$E$7,4,FALSE)+$J$3*VLOOKUP(J328,COND!$A$2:$C$7,2,FALSE)+$K$3*VLOOKUP(K328,COND!$A$2:$C$7,3,FALSE)+IF(AND($B$2&gt;0,$E328&lt;20),$B$2*25,0)</f>
        <v>44.205973300863853</v>
      </c>
      <c r="AR328" s="47">
        <f t="shared" si="43"/>
        <v>0.14414098921933666</v>
      </c>
      <c r="AS328" s="45" t="str">
        <f t="shared" si="48"/>
        <v>CF</v>
      </c>
      <c r="AT328" s="45">
        <v>930</v>
      </c>
      <c r="AU328" s="45">
        <v>324</v>
      </c>
      <c r="AV328" s="45"/>
      <c r="AW328" s="45" t="str">
        <f t="shared" si="49"/>
        <v>Unlikely</v>
      </c>
      <c r="AX328" s="45"/>
      <c r="AY328" s="45">
        <f>INDEX(Table5[[#All],[Ovr]],MATCH(Batters[[#This Row],[PID]],Table5[[#All],[PID]],0))</f>
        <v>177</v>
      </c>
      <c r="AZ328" s="45" t="str">
        <f>INDEX(Table5[[#All],[Rnd]],MATCH(Batters[[#This Row],[PID]],Table5[[#All],[PID]],0))</f>
        <v>6</v>
      </c>
      <c r="BA328" s="45">
        <f>INDEX(Table5[[#All],[Pick]],MATCH(Batters[[#This Row],[PID]],Table5[[#All],[PID]],0))</f>
        <v>8</v>
      </c>
      <c r="BB328" s="45" t="str">
        <f>INDEX(Table5[[#All],[Team]],MATCH(Batters[[#This Row],[PID]],Table5[[#All],[PID]],0))</f>
        <v>Gloucester Fishermen</v>
      </c>
    </row>
    <row r="329" spans="1:54" ht="15" customHeight="1" x14ac:dyDescent="0.3">
      <c r="A329" s="40">
        <v>20562</v>
      </c>
      <c r="B329" s="40" t="s">
        <v>86</v>
      </c>
      <c r="C329" s="40" t="s">
        <v>1125</v>
      </c>
      <c r="D329" s="40" t="s">
        <v>796</v>
      </c>
      <c r="E329" s="40">
        <v>17</v>
      </c>
      <c r="F329" s="40" t="s">
        <v>42</v>
      </c>
      <c r="G329" s="40" t="s">
        <v>42</v>
      </c>
      <c r="H329" s="41" t="s">
        <v>550</v>
      </c>
      <c r="I329" s="64" t="s">
        <v>43</v>
      </c>
      <c r="J329" s="65" t="s">
        <v>44</v>
      </c>
      <c r="K329" s="66" t="s">
        <v>43</v>
      </c>
      <c r="L329" s="40">
        <v>1</v>
      </c>
      <c r="M329" s="40">
        <v>4</v>
      </c>
      <c r="N329" s="40">
        <v>3</v>
      </c>
      <c r="O329" s="40">
        <v>4</v>
      </c>
      <c r="P329" s="41">
        <v>1</v>
      </c>
      <c r="Q329" s="40">
        <v>3</v>
      </c>
      <c r="R329" s="40">
        <v>6</v>
      </c>
      <c r="S329" s="40">
        <v>4</v>
      </c>
      <c r="T329" s="40">
        <v>6</v>
      </c>
      <c r="U329" s="41">
        <v>2</v>
      </c>
      <c r="V329" s="40">
        <v>4</v>
      </c>
      <c r="W329" s="40">
        <v>3</v>
      </c>
      <c r="X329" s="40">
        <v>4</v>
      </c>
      <c r="Y329" s="41">
        <v>5</v>
      </c>
      <c r="Z329" s="40" t="s">
        <v>45</v>
      </c>
      <c r="AA329" s="40" t="s">
        <v>45</v>
      </c>
      <c r="AB329" s="40" t="s">
        <v>45</v>
      </c>
      <c r="AC329" s="40" t="s">
        <v>45</v>
      </c>
      <c r="AD329" s="40" t="s">
        <v>45</v>
      </c>
      <c r="AE329" s="40" t="s">
        <v>45</v>
      </c>
      <c r="AF329" s="40" t="s">
        <v>45</v>
      </c>
      <c r="AG329" s="41" t="s">
        <v>45</v>
      </c>
      <c r="AH329" s="40">
        <v>1</v>
      </c>
      <c r="AI329" s="40">
        <v>3</v>
      </c>
      <c r="AJ329" s="41">
        <v>1</v>
      </c>
      <c r="AK329" s="43" t="s">
        <v>493</v>
      </c>
      <c r="AL329" s="43" t="s">
        <v>103</v>
      </c>
      <c r="AM329" s="44">
        <f t="shared" si="44"/>
        <v>-1.4959120728949156</v>
      </c>
      <c r="AN329" s="44">
        <f t="shared" si="45"/>
        <v>-0.44618370739201191</v>
      </c>
      <c r="AO329" s="45">
        <f t="shared" si="46"/>
        <v>0</v>
      </c>
      <c r="AP329" s="46">
        <f t="shared" si="47"/>
        <v>0</v>
      </c>
      <c r="AQ329" s="44">
        <f>($AM$3*AM329+$AN$3*AN329+$AO$3*AO329+$AP$3*AP329)+$I$3*VLOOKUP(I329,COND!$A$2:$E$7,4,FALSE)+$J$3*VLOOKUP(J329,COND!$A$2:$C$7,2,FALSE)+$K$3*VLOOKUP(K329,COND!$A$2:$C$7,3,FALSE)+IF(AND($B$2&gt;0,$E329&lt;20),$B$2*25,0)</f>
        <v>44.196204304006365</v>
      </c>
      <c r="AR329" s="47">
        <f t="shared" si="43"/>
        <v>0.14271502721490012</v>
      </c>
      <c r="AS329" s="45" t="str">
        <f t="shared" si="48"/>
        <v>DH</v>
      </c>
      <c r="AT329" s="45">
        <v>930</v>
      </c>
      <c r="AU329" s="45">
        <v>325</v>
      </c>
      <c r="AV329" s="45"/>
      <c r="AW329" s="45" t="str">
        <f t="shared" si="49"/>
        <v>Unlikely</v>
      </c>
      <c r="AX329" s="45"/>
      <c r="AY329" s="63" t="str">
        <f>INDEX(Table5[[#All],[Ovr]],MATCH(Batters[[#This Row],[PID]],Table5[[#All],[PID]],0))</f>
        <v/>
      </c>
      <c r="AZ329" s="63" t="str">
        <f>INDEX(Table5[[#All],[Rnd]],MATCH(Batters[[#This Row],[PID]],Table5[[#All],[PID]],0))</f>
        <v/>
      </c>
      <c r="BA329" s="63" t="str">
        <f>INDEX(Table5[[#All],[Pick]],MATCH(Batters[[#This Row],[PID]],Table5[[#All],[PID]],0))</f>
        <v/>
      </c>
      <c r="BB329" s="63" t="str">
        <f>INDEX(Table5[[#All],[Team]],MATCH(Batters[[#This Row],[PID]],Table5[[#All],[PID]],0))</f>
        <v/>
      </c>
    </row>
    <row r="330" spans="1:54" ht="15" customHeight="1" x14ac:dyDescent="0.3">
      <c r="A330" s="40">
        <v>20991</v>
      </c>
      <c r="B330" s="40" t="s">
        <v>71</v>
      </c>
      <c r="C330" s="40" t="s">
        <v>176</v>
      </c>
      <c r="D330" s="40" t="s">
        <v>950</v>
      </c>
      <c r="E330" s="40">
        <v>16</v>
      </c>
      <c r="F330" s="40" t="s">
        <v>42</v>
      </c>
      <c r="G330" s="40" t="s">
        <v>42</v>
      </c>
      <c r="H330" s="41" t="s">
        <v>552</v>
      </c>
      <c r="I330" s="64" t="s">
        <v>43</v>
      </c>
      <c r="J330" s="65" t="s">
        <v>44</v>
      </c>
      <c r="K330" s="66" t="s">
        <v>43</v>
      </c>
      <c r="L330" s="40">
        <v>1</v>
      </c>
      <c r="M330" s="40">
        <v>2</v>
      </c>
      <c r="N330" s="40">
        <v>2</v>
      </c>
      <c r="O330" s="40">
        <v>1</v>
      </c>
      <c r="P330" s="41">
        <v>2</v>
      </c>
      <c r="Q330" s="40">
        <v>4</v>
      </c>
      <c r="R330" s="40">
        <v>4</v>
      </c>
      <c r="S330" s="40">
        <v>2</v>
      </c>
      <c r="T330" s="40">
        <v>4</v>
      </c>
      <c r="U330" s="41">
        <v>5</v>
      </c>
      <c r="V330" s="40">
        <v>4</v>
      </c>
      <c r="W330" s="40">
        <v>3</v>
      </c>
      <c r="X330" s="40">
        <v>1</v>
      </c>
      <c r="Y330" s="41">
        <v>1</v>
      </c>
      <c r="Z330" s="40" t="s">
        <v>45</v>
      </c>
      <c r="AA330" s="40" t="s">
        <v>45</v>
      </c>
      <c r="AB330" s="40">
        <v>1</v>
      </c>
      <c r="AC330" s="40">
        <v>1</v>
      </c>
      <c r="AD330" s="40" t="s">
        <v>45</v>
      </c>
      <c r="AE330" s="40" t="s">
        <v>45</v>
      </c>
      <c r="AF330" s="40" t="s">
        <v>45</v>
      </c>
      <c r="AG330" s="41" t="s">
        <v>45</v>
      </c>
      <c r="AH330" s="40">
        <v>4</v>
      </c>
      <c r="AI330" s="40">
        <v>3</v>
      </c>
      <c r="AJ330" s="41">
        <v>6</v>
      </c>
      <c r="AK330" s="43" t="s">
        <v>583</v>
      </c>
      <c r="AL330" s="43" t="s">
        <v>103</v>
      </c>
      <c r="AM330" s="44">
        <f t="shared" si="44"/>
        <v>-1.9102056363678834</v>
      </c>
      <c r="AN330" s="44">
        <f t="shared" si="45"/>
        <v>-0.451240699042459</v>
      </c>
      <c r="AO330" s="45">
        <f t="shared" si="46"/>
        <v>0</v>
      </c>
      <c r="AP330" s="46">
        <f t="shared" si="47"/>
        <v>0</v>
      </c>
      <c r="AQ330" s="44">
        <f>($AM$3*AM330+$AN$3*AN330+$AO$3*AO330+$AP$3*AP330)+$I$3*VLOOKUP(I330,COND!$A$2:$E$7,4,FALSE)+$J$3*VLOOKUP(J330,COND!$A$2:$C$7,2,FALSE)+$K$3*VLOOKUP(K330,COND!$A$2:$C$7,3,FALSE)+IF(AND($B$2&gt;0,$E330&lt;20),$B$2*25,0)</f>
        <v>44.094091047853702</v>
      </c>
      <c r="AR330" s="47">
        <f t="shared" si="43"/>
        <v>0.12780974824438052</v>
      </c>
      <c r="AS330" s="45" t="str">
        <f t="shared" si="48"/>
        <v>2B</v>
      </c>
      <c r="AT330" s="45">
        <v>930</v>
      </c>
      <c r="AU330" s="45">
        <v>326</v>
      </c>
      <c r="AV330" s="45"/>
      <c r="AW330" s="45" t="str">
        <f t="shared" si="49"/>
        <v>Unlikely</v>
      </c>
      <c r="AX330" s="45"/>
      <c r="AY330" s="63">
        <f>INDEX(Table5[[#All],[Ovr]],MATCH(Batters[[#This Row],[PID]],Table5[[#All],[PID]],0))</f>
        <v>469</v>
      </c>
      <c r="AZ330" s="63" t="str">
        <f>INDEX(Table5[[#All],[Rnd]],MATCH(Batters[[#This Row],[PID]],Table5[[#All],[PID]],0))</f>
        <v>15</v>
      </c>
      <c r="BA330" s="63">
        <f>INDEX(Table5[[#All],[Pick]],MATCH(Batters[[#This Row],[PID]],Table5[[#All],[PID]],0))</f>
        <v>2</v>
      </c>
      <c r="BB330" s="63" t="str">
        <f>INDEX(Table5[[#All],[Team]],MATCH(Batters[[#This Row],[PID]],Table5[[#All],[PID]],0))</f>
        <v>Charleston Statesmen</v>
      </c>
    </row>
    <row r="331" spans="1:54" ht="15" customHeight="1" x14ac:dyDescent="0.3">
      <c r="A331" s="40">
        <v>11321</v>
      </c>
      <c r="B331" s="40" t="s">
        <v>86</v>
      </c>
      <c r="C331" s="40" t="s">
        <v>137</v>
      </c>
      <c r="D331" s="40" t="s">
        <v>1275</v>
      </c>
      <c r="E331" s="40">
        <v>17</v>
      </c>
      <c r="F331" s="40" t="s">
        <v>42</v>
      </c>
      <c r="G331" s="40" t="s">
        <v>42</v>
      </c>
      <c r="H331" s="41" t="s">
        <v>552</v>
      </c>
      <c r="I331" s="64" t="s">
        <v>43</v>
      </c>
      <c r="J331" s="65" t="s">
        <v>44</v>
      </c>
      <c r="K331" s="66" t="s">
        <v>43</v>
      </c>
      <c r="L331" s="40">
        <v>1</v>
      </c>
      <c r="M331" s="40">
        <v>3</v>
      </c>
      <c r="N331" s="40">
        <v>2</v>
      </c>
      <c r="O331" s="40">
        <v>3</v>
      </c>
      <c r="P331" s="41">
        <v>1</v>
      </c>
      <c r="Q331" s="40">
        <v>3</v>
      </c>
      <c r="R331" s="40">
        <v>4</v>
      </c>
      <c r="S331" s="40">
        <v>5</v>
      </c>
      <c r="T331" s="40">
        <v>6</v>
      </c>
      <c r="U331" s="41">
        <v>2</v>
      </c>
      <c r="V331" s="40">
        <v>2</v>
      </c>
      <c r="W331" s="40">
        <v>3</v>
      </c>
      <c r="X331" s="40">
        <v>5</v>
      </c>
      <c r="Y331" s="41">
        <v>5</v>
      </c>
      <c r="Z331" s="40" t="s">
        <v>45</v>
      </c>
      <c r="AA331" s="40" t="s">
        <v>45</v>
      </c>
      <c r="AB331" s="40" t="s">
        <v>45</v>
      </c>
      <c r="AC331" s="40" t="s">
        <v>45</v>
      </c>
      <c r="AD331" s="40" t="s">
        <v>45</v>
      </c>
      <c r="AE331" s="40" t="s">
        <v>45</v>
      </c>
      <c r="AF331" s="40" t="s">
        <v>45</v>
      </c>
      <c r="AG331" s="41" t="s">
        <v>45</v>
      </c>
      <c r="AH331" s="40">
        <v>2</v>
      </c>
      <c r="AI331" s="40">
        <v>2</v>
      </c>
      <c r="AJ331" s="41">
        <v>4</v>
      </c>
      <c r="AK331" s="43" t="s">
        <v>497</v>
      </c>
      <c r="AL331" s="43" t="s">
        <v>103</v>
      </c>
      <c r="AM331" s="44">
        <f t="shared" si="44"/>
        <v>-1.7197429965471014</v>
      </c>
      <c r="AN331" s="44">
        <f t="shared" si="45"/>
        <v>-0.46524197260551747</v>
      </c>
      <c r="AO331" s="45">
        <f t="shared" si="46"/>
        <v>0</v>
      </c>
      <c r="AP331" s="46">
        <f t="shared" si="47"/>
        <v>0</v>
      </c>
      <c r="AQ331" s="44">
        <f>($AM$3*AM331+$AN$3*AN331+$AO$3*AO331+$AP$3*AP331)+$I$3*VLOOKUP(I331,COND!$A$2:$E$7,4,FALSE)+$J$3*VLOOKUP(J331,COND!$A$2:$C$7,2,FALSE)+$K$3*VLOOKUP(K331,COND!$A$2:$C$7,3,FALSE)+IF(AND($B$2&gt;0,$E331&lt;20),$B$2*25,0)</f>
        <v>43.94512202907908</v>
      </c>
      <c r="AR331" s="47">
        <f t="shared" si="43"/>
        <v>0.10606502217785786</v>
      </c>
      <c r="AS331" s="45" t="str">
        <f t="shared" si="48"/>
        <v>DH</v>
      </c>
      <c r="AT331" s="45">
        <v>930</v>
      </c>
      <c r="AU331" s="45">
        <v>327</v>
      </c>
      <c r="AV331" s="45"/>
      <c r="AW331" s="45" t="str">
        <f t="shared" si="49"/>
        <v>Unlikely</v>
      </c>
      <c r="AX331" s="45"/>
      <c r="AY331" s="45" t="str">
        <f>INDEX(Table5[[#All],[Ovr]],MATCH(Batters[[#This Row],[PID]],Table5[[#All],[PID]],0))</f>
        <v/>
      </c>
      <c r="AZ331" s="45" t="str">
        <f>INDEX(Table5[[#All],[Rnd]],MATCH(Batters[[#This Row],[PID]],Table5[[#All],[PID]],0))</f>
        <v/>
      </c>
      <c r="BA331" s="45" t="str">
        <f>INDEX(Table5[[#All],[Pick]],MATCH(Batters[[#This Row],[PID]],Table5[[#All],[PID]],0))</f>
        <v/>
      </c>
      <c r="BB331" s="45" t="str">
        <f>INDEX(Table5[[#All],[Team]],MATCH(Batters[[#This Row],[PID]],Table5[[#All],[PID]],0))</f>
        <v/>
      </c>
    </row>
    <row r="332" spans="1:54" ht="15" customHeight="1" x14ac:dyDescent="0.3">
      <c r="A332" s="40">
        <v>13185</v>
      </c>
      <c r="B332" s="40" t="s">
        <v>86</v>
      </c>
      <c r="C332" s="40" t="s">
        <v>1211</v>
      </c>
      <c r="D332" s="40" t="s">
        <v>1212</v>
      </c>
      <c r="E332" s="40">
        <v>17</v>
      </c>
      <c r="F332" s="40" t="s">
        <v>42</v>
      </c>
      <c r="G332" s="40" t="s">
        <v>42</v>
      </c>
      <c r="H332" s="41" t="s">
        <v>552</v>
      </c>
      <c r="I332" s="64" t="s">
        <v>44</v>
      </c>
      <c r="J332" s="65" t="s">
        <v>44</v>
      </c>
      <c r="K332" s="66" t="s">
        <v>43</v>
      </c>
      <c r="L332" s="40">
        <v>1</v>
      </c>
      <c r="M332" s="40">
        <v>2</v>
      </c>
      <c r="N332" s="40">
        <v>3</v>
      </c>
      <c r="O332" s="40">
        <v>3</v>
      </c>
      <c r="P332" s="41">
        <v>1</v>
      </c>
      <c r="Q332" s="40">
        <v>3</v>
      </c>
      <c r="R332" s="40">
        <v>5</v>
      </c>
      <c r="S332" s="40">
        <v>4</v>
      </c>
      <c r="T332" s="40">
        <v>5</v>
      </c>
      <c r="U332" s="41">
        <v>3</v>
      </c>
      <c r="V332" s="40">
        <v>6</v>
      </c>
      <c r="W332" s="40">
        <v>5</v>
      </c>
      <c r="X332" s="40">
        <v>6</v>
      </c>
      <c r="Y332" s="41">
        <v>6</v>
      </c>
      <c r="Z332" s="40">
        <v>2</v>
      </c>
      <c r="AA332" s="40" t="s">
        <v>45</v>
      </c>
      <c r="AB332" s="40" t="s">
        <v>45</v>
      </c>
      <c r="AC332" s="40" t="s">
        <v>45</v>
      </c>
      <c r="AD332" s="40" t="s">
        <v>45</v>
      </c>
      <c r="AE332" s="40" t="s">
        <v>45</v>
      </c>
      <c r="AF332" s="40" t="s">
        <v>45</v>
      </c>
      <c r="AG332" s="41" t="s">
        <v>45</v>
      </c>
      <c r="AH332" s="40">
        <v>1</v>
      </c>
      <c r="AI332" s="40">
        <v>2</v>
      </c>
      <c r="AJ332" s="41">
        <v>1</v>
      </c>
      <c r="AK332" s="43" t="s">
        <v>568</v>
      </c>
      <c r="AL332" s="43" t="s">
        <v>103</v>
      </c>
      <c r="AM332" s="44">
        <f t="shared" si="44"/>
        <v>-1.6877413821419032</v>
      </c>
      <c r="AN332" s="44">
        <f t="shared" si="45"/>
        <v>-0.54693679720321298</v>
      </c>
      <c r="AO332" s="45">
        <f t="shared" si="46"/>
        <v>0</v>
      </c>
      <c r="AP332" s="46">
        <f t="shared" si="47"/>
        <v>1.1000000000000001</v>
      </c>
      <c r="AQ332" s="44">
        <f>($AM$3*AM332+$AN$3*AN332+$AO$3*AO332+$AP$3*AP332)+$I$3*VLOOKUP(I332,COND!$A$2:$E$7,4,FALSE)+$J$3*VLOOKUP(J332,COND!$A$2:$C$7,2,FALSE)+$K$3*VLOOKUP(K332,COND!$A$2:$C$7,3,FALSE)+IF(AND($B$2&gt;0,$E332&lt;20),$B$2*25,0)</f>
        <v>43.917984295347253</v>
      </c>
      <c r="AR332" s="47">
        <f t="shared" si="43"/>
        <v>0.10210377848491531</v>
      </c>
      <c r="AS332" s="45" t="str">
        <f t="shared" si="48"/>
        <v>C</v>
      </c>
      <c r="AT332" s="45">
        <v>930</v>
      </c>
      <c r="AU332" s="45">
        <v>328</v>
      </c>
      <c r="AV332" s="45"/>
      <c r="AW332" s="45" t="str">
        <f t="shared" si="49"/>
        <v>Unlikely</v>
      </c>
      <c r="AX332" s="45"/>
      <c r="AY332" s="45" t="str">
        <f>INDEX(Table5[[#All],[Ovr]],MATCH(Batters[[#This Row],[PID]],Table5[[#All],[PID]],0))</f>
        <v/>
      </c>
      <c r="AZ332" s="45" t="str">
        <f>INDEX(Table5[[#All],[Rnd]],MATCH(Batters[[#This Row],[PID]],Table5[[#All],[PID]],0))</f>
        <v/>
      </c>
      <c r="BA332" s="45" t="str">
        <f>INDEX(Table5[[#All],[Pick]],MATCH(Batters[[#This Row],[PID]],Table5[[#All],[PID]],0))</f>
        <v/>
      </c>
      <c r="BB332" s="45" t="str">
        <f>INDEX(Table5[[#All],[Team]],MATCH(Batters[[#This Row],[PID]],Table5[[#All],[PID]],0))</f>
        <v/>
      </c>
    </row>
    <row r="333" spans="1:54" ht="15" customHeight="1" x14ac:dyDescent="0.3">
      <c r="A333" s="40">
        <v>12586</v>
      </c>
      <c r="B333" s="40" t="s">
        <v>66</v>
      </c>
      <c r="C333" s="40" t="s">
        <v>130</v>
      </c>
      <c r="D333" s="40" t="s">
        <v>1135</v>
      </c>
      <c r="E333" s="40">
        <v>18</v>
      </c>
      <c r="F333" s="40" t="s">
        <v>42</v>
      </c>
      <c r="G333" s="40" t="s">
        <v>42</v>
      </c>
      <c r="H333" s="41" t="s">
        <v>552</v>
      </c>
      <c r="I333" s="64" t="s">
        <v>43</v>
      </c>
      <c r="J333" s="65" t="s">
        <v>44</v>
      </c>
      <c r="K333" s="66" t="s">
        <v>43</v>
      </c>
      <c r="L333" s="40">
        <v>2</v>
      </c>
      <c r="M333" s="40">
        <v>2</v>
      </c>
      <c r="N333" s="40">
        <v>2</v>
      </c>
      <c r="O333" s="40">
        <v>1</v>
      </c>
      <c r="P333" s="41">
        <v>6</v>
      </c>
      <c r="Q333" s="40">
        <v>4</v>
      </c>
      <c r="R333" s="40">
        <v>3</v>
      </c>
      <c r="S333" s="40">
        <v>2</v>
      </c>
      <c r="T333" s="40">
        <v>3</v>
      </c>
      <c r="U333" s="41">
        <v>7</v>
      </c>
      <c r="V333" s="40">
        <v>3</v>
      </c>
      <c r="W333" s="40">
        <v>6</v>
      </c>
      <c r="X333" s="40">
        <v>1</v>
      </c>
      <c r="Y333" s="41">
        <v>1</v>
      </c>
      <c r="Z333" s="40" t="s">
        <v>45</v>
      </c>
      <c r="AA333" s="40" t="s">
        <v>45</v>
      </c>
      <c r="AB333" s="40" t="s">
        <v>45</v>
      </c>
      <c r="AC333" s="40" t="s">
        <v>45</v>
      </c>
      <c r="AD333" s="40" t="s">
        <v>45</v>
      </c>
      <c r="AE333" s="40" t="s">
        <v>45</v>
      </c>
      <c r="AF333" s="40">
        <v>1</v>
      </c>
      <c r="AG333" s="41">
        <v>2</v>
      </c>
      <c r="AH333" s="40">
        <v>6</v>
      </c>
      <c r="AI333" s="40">
        <v>8</v>
      </c>
      <c r="AJ333" s="41">
        <v>7</v>
      </c>
      <c r="AK333" s="43" t="s">
        <v>511</v>
      </c>
      <c r="AL333" s="43" t="s">
        <v>103</v>
      </c>
      <c r="AM333" s="44">
        <f t="shared" si="44"/>
        <v>-1.427584440896875</v>
      </c>
      <c r="AN333" s="44">
        <f t="shared" si="45"/>
        <v>-0.51197744903657649</v>
      </c>
      <c r="AO333" s="45">
        <f t="shared" si="46"/>
        <v>2</v>
      </c>
      <c r="AP333" s="46">
        <f t="shared" si="47"/>
        <v>0</v>
      </c>
      <c r="AQ333" s="44">
        <f>($AM$3*AM333+$AN$3*AN333+$AO$3*AO333+$AP$3*AP333)+$I$3*VLOOKUP(I333,COND!$A$2:$E$7,4,FALSE)+$J$3*VLOOKUP(J333,COND!$A$2:$C$7,2,FALSE)+$K$3*VLOOKUP(K333,COND!$A$2:$C$7,3,FALSE)+IF(AND($B$2&gt;0,$E333&lt;20),$B$2*25,0)</f>
        <v>43.746845500804724</v>
      </c>
      <c r="AR333" s="47">
        <f t="shared" si="43"/>
        <v>7.7122972158250078E-2</v>
      </c>
      <c r="AS333" s="45" t="str">
        <f t="shared" si="48"/>
        <v>RF</v>
      </c>
      <c r="AT333" s="45">
        <v>930</v>
      </c>
      <c r="AU333" s="45">
        <v>329</v>
      </c>
      <c r="AV333" s="45"/>
      <c r="AW333" s="45" t="str">
        <f t="shared" si="49"/>
        <v>Unlikely</v>
      </c>
      <c r="AX333" s="45"/>
      <c r="AY333" s="45">
        <f>INDEX(Table5[[#All],[Ovr]],MATCH(Batters[[#This Row],[PID]],Table5[[#All],[PID]],0))</f>
        <v>259</v>
      </c>
      <c r="AZ333" s="45" t="str">
        <f>INDEX(Table5[[#All],[Rnd]],MATCH(Batters[[#This Row],[PID]],Table5[[#All],[PID]],0))</f>
        <v>8</v>
      </c>
      <c r="BA333" s="45">
        <f>INDEX(Table5[[#All],[Pick]],MATCH(Batters[[#This Row],[PID]],Table5[[#All],[PID]],0))</f>
        <v>26</v>
      </c>
      <c r="BB333" s="45" t="str">
        <f>INDEX(Table5[[#All],[Team]],MATCH(Batters[[#This Row],[PID]],Table5[[#All],[PID]],0))</f>
        <v>Aurora Borealis</v>
      </c>
    </row>
    <row r="334" spans="1:54" ht="15" customHeight="1" x14ac:dyDescent="0.3">
      <c r="A334" s="40">
        <v>12591</v>
      </c>
      <c r="B334" s="40" t="s">
        <v>69</v>
      </c>
      <c r="C334" s="40" t="s">
        <v>124</v>
      </c>
      <c r="D334" s="40" t="s">
        <v>1141</v>
      </c>
      <c r="E334" s="40">
        <v>17</v>
      </c>
      <c r="F334" s="40" t="s">
        <v>42</v>
      </c>
      <c r="G334" s="40" t="s">
        <v>42</v>
      </c>
      <c r="H334" s="41" t="s">
        <v>552</v>
      </c>
      <c r="I334" s="64" t="s">
        <v>43</v>
      </c>
      <c r="J334" s="65" t="s">
        <v>44</v>
      </c>
      <c r="K334" s="66" t="s">
        <v>43</v>
      </c>
      <c r="L334" s="40">
        <v>1</v>
      </c>
      <c r="M334" s="40">
        <v>3</v>
      </c>
      <c r="N334" s="40">
        <v>2</v>
      </c>
      <c r="O334" s="40">
        <v>3</v>
      </c>
      <c r="P334" s="41">
        <v>2</v>
      </c>
      <c r="Q334" s="40">
        <v>3</v>
      </c>
      <c r="R334" s="40">
        <v>4</v>
      </c>
      <c r="S334" s="40">
        <v>3</v>
      </c>
      <c r="T334" s="40">
        <v>6</v>
      </c>
      <c r="U334" s="41">
        <v>5</v>
      </c>
      <c r="V334" s="40">
        <v>8</v>
      </c>
      <c r="W334" s="40">
        <v>7</v>
      </c>
      <c r="X334" s="40">
        <v>1</v>
      </c>
      <c r="Y334" s="41">
        <v>1</v>
      </c>
      <c r="Z334" s="40" t="s">
        <v>45</v>
      </c>
      <c r="AA334" s="40" t="s">
        <v>45</v>
      </c>
      <c r="AB334" s="40">
        <v>2</v>
      </c>
      <c r="AC334" s="40">
        <v>2</v>
      </c>
      <c r="AD334" s="40">
        <v>1</v>
      </c>
      <c r="AE334" s="40" t="s">
        <v>45</v>
      </c>
      <c r="AF334" s="40" t="s">
        <v>45</v>
      </c>
      <c r="AG334" s="41" t="s">
        <v>45</v>
      </c>
      <c r="AH334" s="40">
        <v>6</v>
      </c>
      <c r="AI334" s="40">
        <v>4</v>
      </c>
      <c r="AJ334" s="41">
        <v>3</v>
      </c>
      <c r="AK334" s="43" t="s">
        <v>498</v>
      </c>
      <c r="AL334" s="43" t="s">
        <v>103</v>
      </c>
      <c r="AM334" s="44">
        <f t="shared" si="44"/>
        <v>-1.6797266567300178</v>
      </c>
      <c r="AN334" s="44">
        <f t="shared" si="45"/>
        <v>-0.51131594120207002</v>
      </c>
      <c r="AO334" s="45">
        <f t="shared" si="46"/>
        <v>0</v>
      </c>
      <c r="AP334" s="46">
        <f t="shared" si="47"/>
        <v>0</v>
      </c>
      <c r="AQ334" s="44">
        <f>($AM$3*AM334+$AN$3*AN334+$AO$3*AO334+$AP$3*AP334)+$I$3*VLOOKUP(I334,COND!$A$2:$E$7,4,FALSE)+$J$3*VLOOKUP(J334,COND!$A$2:$C$7,2,FALSE)+$K$3*VLOOKUP(K334,COND!$A$2:$C$7,3,FALSE)+IF(AND($B$2&gt;0,$E334&lt;20),$B$2*25,0)</f>
        <v>43.396236039902156</v>
      </c>
      <c r="AR334" s="47">
        <f t="shared" si="43"/>
        <v>2.5945171925895186E-2</v>
      </c>
      <c r="AS334" s="45" t="str">
        <f t="shared" si="48"/>
        <v>2B</v>
      </c>
      <c r="AT334" s="45">
        <v>930</v>
      </c>
      <c r="AU334" s="45">
        <v>330</v>
      </c>
      <c r="AV334" s="45"/>
      <c r="AW334" s="45" t="str">
        <f t="shared" si="49"/>
        <v>Unlikely</v>
      </c>
      <c r="AX334" s="45"/>
      <c r="AY334" s="45">
        <f>INDEX(Table5[[#All],[Ovr]],MATCH(Batters[[#This Row],[PID]],Table5[[#All],[PID]],0))</f>
        <v>358</v>
      </c>
      <c r="AZ334" s="45" t="str">
        <f>INDEX(Table5[[#All],[Rnd]],MATCH(Batters[[#This Row],[PID]],Table5[[#All],[PID]],0))</f>
        <v>11</v>
      </c>
      <c r="BA334" s="45">
        <f>INDEX(Table5[[#All],[Pick]],MATCH(Batters[[#This Row],[PID]],Table5[[#All],[PID]],0))</f>
        <v>27</v>
      </c>
      <c r="BB334" s="45" t="str">
        <f>INDEX(Table5[[#All],[Team]],MATCH(Batters[[#This Row],[PID]],Table5[[#All],[PID]],0))</f>
        <v>Havana Leones</v>
      </c>
    </row>
    <row r="335" spans="1:54" ht="15" customHeight="1" x14ac:dyDescent="0.3">
      <c r="A335" s="40">
        <v>20839</v>
      </c>
      <c r="B335" s="40" t="s">
        <v>86</v>
      </c>
      <c r="C335" s="40" t="s">
        <v>142</v>
      </c>
      <c r="D335" s="40" t="s">
        <v>1246</v>
      </c>
      <c r="E335" s="40">
        <v>17</v>
      </c>
      <c r="F335" s="40" t="s">
        <v>42</v>
      </c>
      <c r="G335" s="40" t="s">
        <v>42</v>
      </c>
      <c r="H335" s="41" t="s">
        <v>552</v>
      </c>
      <c r="I335" s="64" t="s">
        <v>43</v>
      </c>
      <c r="J335" s="65" t="s">
        <v>44</v>
      </c>
      <c r="K335" s="66" t="s">
        <v>43</v>
      </c>
      <c r="L335" s="40">
        <v>1</v>
      </c>
      <c r="M335" s="40">
        <v>2</v>
      </c>
      <c r="N335" s="40">
        <v>2</v>
      </c>
      <c r="O335" s="40">
        <v>2</v>
      </c>
      <c r="P335" s="41">
        <v>1</v>
      </c>
      <c r="Q335" s="40">
        <v>3</v>
      </c>
      <c r="R335" s="40">
        <v>5</v>
      </c>
      <c r="S335" s="40">
        <v>3</v>
      </c>
      <c r="T335" s="40">
        <v>5</v>
      </c>
      <c r="U335" s="41">
        <v>3</v>
      </c>
      <c r="V335" s="40">
        <v>5</v>
      </c>
      <c r="W335" s="40">
        <v>4</v>
      </c>
      <c r="X335" s="40">
        <v>5</v>
      </c>
      <c r="Y335" s="41">
        <v>6</v>
      </c>
      <c r="Z335" s="40">
        <v>2</v>
      </c>
      <c r="AA335" s="40" t="s">
        <v>45</v>
      </c>
      <c r="AB335" s="40" t="s">
        <v>45</v>
      </c>
      <c r="AC335" s="40" t="s">
        <v>45</v>
      </c>
      <c r="AD335" s="40" t="s">
        <v>45</v>
      </c>
      <c r="AE335" s="40" t="s">
        <v>45</v>
      </c>
      <c r="AF335" s="40" t="s">
        <v>45</v>
      </c>
      <c r="AG335" s="41" t="s">
        <v>45</v>
      </c>
      <c r="AH335" s="40">
        <v>1</v>
      </c>
      <c r="AI335" s="40">
        <v>2</v>
      </c>
      <c r="AJ335" s="41">
        <v>1</v>
      </c>
      <c r="AK335" s="43" t="s">
        <v>558</v>
      </c>
      <c r="AL335" s="43" t="s">
        <v>103</v>
      </c>
      <c r="AM335" s="44">
        <f t="shared" si="44"/>
        <v>-1.8605124261753858</v>
      </c>
      <c r="AN335" s="44">
        <f t="shared" si="45"/>
        <v>-0.62999829122711448</v>
      </c>
      <c r="AO335" s="45">
        <f t="shared" si="46"/>
        <v>0</v>
      </c>
      <c r="AP335" s="46">
        <f t="shared" si="47"/>
        <v>1.1000000000000001</v>
      </c>
      <c r="AQ335" s="44">
        <f>($AM$3*AM335+$AN$3*AN335+$AO$3*AO335+$AP$3*AP335)+$I$3*VLOOKUP(I335,COND!$A$2:$E$7,4,FALSE)+$J$3*VLOOKUP(J335,COND!$A$2:$C$7,2,FALSE)+$K$3*VLOOKUP(K335,COND!$A$2:$C$7,3,FALSE)+IF(AND($B$2&gt;0,$E335&lt;20),$B$2*25,0)</f>
        <v>43.053969262657091</v>
      </c>
      <c r="AR335" s="47">
        <f t="shared" ref="AR335:AR366" si="50">STANDARDIZE(AQ335,AVERAGE($AQ$5:$AQ$442),STDEVP($AQ$5:$AQ$442))</f>
        <v>-2.401486254358982E-2</v>
      </c>
      <c r="AS335" s="45" t="str">
        <f t="shared" si="48"/>
        <v>C</v>
      </c>
      <c r="AT335" s="45">
        <v>930</v>
      </c>
      <c r="AU335" s="45">
        <v>331</v>
      </c>
      <c r="AV335" s="45"/>
      <c r="AW335" s="45" t="str">
        <f t="shared" si="49"/>
        <v>Unlikely</v>
      </c>
      <c r="AX335" s="45"/>
      <c r="AY335" s="45" t="str">
        <f>INDEX(Table5[[#All],[Ovr]],MATCH(Batters[[#This Row],[PID]],Table5[[#All],[PID]],0))</f>
        <v/>
      </c>
      <c r="AZ335" s="45" t="str">
        <f>INDEX(Table5[[#All],[Rnd]],MATCH(Batters[[#This Row],[PID]],Table5[[#All],[PID]],0))</f>
        <v/>
      </c>
      <c r="BA335" s="45" t="str">
        <f>INDEX(Table5[[#All],[Pick]],MATCH(Batters[[#This Row],[PID]],Table5[[#All],[PID]],0))</f>
        <v/>
      </c>
      <c r="BB335" s="45" t="str">
        <f>INDEX(Table5[[#All],[Team]],MATCH(Batters[[#This Row],[PID]],Table5[[#All],[PID]],0))</f>
        <v/>
      </c>
    </row>
    <row r="336" spans="1:54" ht="15" customHeight="1" x14ac:dyDescent="0.3">
      <c r="A336" s="40">
        <v>20997</v>
      </c>
      <c r="B336" s="40" t="s">
        <v>71</v>
      </c>
      <c r="C336" s="40" t="s">
        <v>684</v>
      </c>
      <c r="D336" s="40" t="s">
        <v>135</v>
      </c>
      <c r="E336" s="40">
        <v>16</v>
      </c>
      <c r="F336" s="40" t="s">
        <v>42</v>
      </c>
      <c r="G336" s="40" t="s">
        <v>42</v>
      </c>
      <c r="H336" s="41" t="s">
        <v>552</v>
      </c>
      <c r="I336" s="64" t="s">
        <v>43</v>
      </c>
      <c r="J336" s="65" t="s">
        <v>44</v>
      </c>
      <c r="K336" s="66" t="s">
        <v>43</v>
      </c>
      <c r="L336" s="40">
        <v>1</v>
      </c>
      <c r="M336" s="40">
        <v>2</v>
      </c>
      <c r="N336" s="40">
        <v>2</v>
      </c>
      <c r="O336" s="40">
        <v>2</v>
      </c>
      <c r="P336" s="41">
        <v>1</v>
      </c>
      <c r="Q336" s="40">
        <v>3</v>
      </c>
      <c r="R336" s="40">
        <v>5</v>
      </c>
      <c r="S336" s="40">
        <v>3</v>
      </c>
      <c r="T336" s="40">
        <v>6</v>
      </c>
      <c r="U336" s="41">
        <v>3</v>
      </c>
      <c r="V336" s="40">
        <v>4</v>
      </c>
      <c r="W336" s="40">
        <v>3</v>
      </c>
      <c r="X336" s="40">
        <v>1</v>
      </c>
      <c r="Y336" s="41">
        <v>1</v>
      </c>
      <c r="Z336" s="40" t="s">
        <v>45</v>
      </c>
      <c r="AA336" s="40" t="s">
        <v>45</v>
      </c>
      <c r="AB336" s="40">
        <v>1</v>
      </c>
      <c r="AC336" s="40" t="s">
        <v>45</v>
      </c>
      <c r="AD336" s="40" t="s">
        <v>45</v>
      </c>
      <c r="AE336" s="40" t="s">
        <v>45</v>
      </c>
      <c r="AF336" s="40" t="s">
        <v>45</v>
      </c>
      <c r="AG336" s="41" t="s">
        <v>45</v>
      </c>
      <c r="AH336" s="40">
        <v>3</v>
      </c>
      <c r="AI336" s="40">
        <v>5</v>
      </c>
      <c r="AJ336" s="41">
        <v>6</v>
      </c>
      <c r="AK336" s="43" t="s">
        <v>576</v>
      </c>
      <c r="AL336" s="43" t="s">
        <v>103</v>
      </c>
      <c r="AM336" s="44">
        <f t="shared" si="44"/>
        <v>-1.8605124261753858</v>
      </c>
      <c r="AN336" s="44">
        <f t="shared" si="45"/>
        <v>-0.54028874121753345</v>
      </c>
      <c r="AO336" s="45">
        <f t="shared" si="46"/>
        <v>0</v>
      </c>
      <c r="AP336" s="46">
        <f t="shared" si="47"/>
        <v>0</v>
      </c>
      <c r="AQ336" s="44">
        <f>($AM$3*AM336+$AN$3*AN336+$AO$3*AO336+$AP$3*AP336)+$I$3*VLOOKUP(I336,COND!$A$2:$E$7,4,FALSE)+$J$3*VLOOKUP(J336,COND!$A$2:$C$7,2,FALSE)+$K$3*VLOOKUP(K336,COND!$A$2:$C$7,3,FALSE)+IF(AND($B$2&gt;0,$E336&lt;20),$B$2*25,0)</f>
        <v>43.030483862772059</v>
      </c>
      <c r="AR336" s="47">
        <f t="shared" si="50"/>
        <v>-2.744298196911547E-2</v>
      </c>
      <c r="AS336" s="45" t="str">
        <f t="shared" si="48"/>
        <v>2B</v>
      </c>
      <c r="AT336" s="45">
        <v>930</v>
      </c>
      <c r="AU336" s="45">
        <v>332</v>
      </c>
      <c r="AV336" s="45"/>
      <c r="AW336" s="45" t="str">
        <f t="shared" si="49"/>
        <v>Unlikely</v>
      </c>
      <c r="AX336" s="45"/>
      <c r="AY336" s="45">
        <f>INDEX(Table5[[#All],[Ovr]],MATCH(Batters[[#This Row],[PID]],Table5[[#All],[PID]],0))</f>
        <v>446</v>
      </c>
      <c r="AZ336" s="45" t="str">
        <f>INDEX(Table5[[#All],[Rnd]],MATCH(Batters[[#This Row],[PID]],Table5[[#All],[PID]],0))</f>
        <v>14</v>
      </c>
      <c r="BA336" s="45">
        <f>INDEX(Table5[[#All],[Pick]],MATCH(Batters[[#This Row],[PID]],Table5[[#All],[PID]],0))</f>
        <v>13</v>
      </c>
      <c r="BB336" s="45" t="str">
        <f>INDEX(Table5[[#All],[Team]],MATCH(Batters[[#This Row],[PID]],Table5[[#All],[PID]],0))</f>
        <v>Scottish Claymores</v>
      </c>
    </row>
    <row r="337" spans="1:54" ht="15" customHeight="1" x14ac:dyDescent="0.3">
      <c r="A337" s="40">
        <v>11128</v>
      </c>
      <c r="B337" s="40" t="s">
        <v>69</v>
      </c>
      <c r="C337" s="40" t="s">
        <v>133</v>
      </c>
      <c r="D337" s="40" t="s">
        <v>194</v>
      </c>
      <c r="E337" s="40">
        <v>17</v>
      </c>
      <c r="F337" s="40" t="s">
        <v>53</v>
      </c>
      <c r="G337" s="40" t="s">
        <v>42</v>
      </c>
      <c r="H337" s="41" t="s">
        <v>552</v>
      </c>
      <c r="I337" s="64" t="s">
        <v>43</v>
      </c>
      <c r="J337" s="65" t="s">
        <v>44</v>
      </c>
      <c r="K337" s="66" t="s">
        <v>43</v>
      </c>
      <c r="L337" s="40">
        <v>1</v>
      </c>
      <c r="M337" s="40">
        <v>2</v>
      </c>
      <c r="N337" s="40">
        <v>2</v>
      </c>
      <c r="O337" s="40">
        <v>2</v>
      </c>
      <c r="P337" s="41">
        <v>1</v>
      </c>
      <c r="Q337" s="40">
        <v>3</v>
      </c>
      <c r="R337" s="40">
        <v>5</v>
      </c>
      <c r="S337" s="40">
        <v>4</v>
      </c>
      <c r="T337" s="40">
        <v>4</v>
      </c>
      <c r="U337" s="41">
        <v>4</v>
      </c>
      <c r="V337" s="40">
        <v>8</v>
      </c>
      <c r="W337" s="40">
        <v>8</v>
      </c>
      <c r="X337" s="40">
        <v>1</v>
      </c>
      <c r="Y337" s="41">
        <v>1</v>
      </c>
      <c r="Z337" s="40" t="s">
        <v>45</v>
      </c>
      <c r="AA337" s="40" t="s">
        <v>45</v>
      </c>
      <c r="AB337" s="40">
        <v>2</v>
      </c>
      <c r="AC337" s="40">
        <v>4</v>
      </c>
      <c r="AD337" s="40">
        <v>1</v>
      </c>
      <c r="AE337" s="40" t="s">
        <v>45</v>
      </c>
      <c r="AF337" s="40" t="s">
        <v>45</v>
      </c>
      <c r="AG337" s="41" t="s">
        <v>45</v>
      </c>
      <c r="AH337" s="40">
        <v>9</v>
      </c>
      <c r="AI337" s="40">
        <v>8</v>
      </c>
      <c r="AJ337" s="41">
        <v>6</v>
      </c>
      <c r="AK337" s="43" t="s">
        <v>498</v>
      </c>
      <c r="AL337" s="43" t="s">
        <v>103</v>
      </c>
      <c r="AM337" s="44">
        <f t="shared" si="44"/>
        <v>-1.8605124261753858</v>
      </c>
      <c r="AN337" s="44">
        <f t="shared" si="45"/>
        <v>-0.59663000739571059</v>
      </c>
      <c r="AO337" s="45">
        <f t="shared" si="46"/>
        <v>3</v>
      </c>
      <c r="AP337" s="46">
        <f t="shared" si="47"/>
        <v>0</v>
      </c>
      <c r="AQ337" s="44">
        <f>($AM$3*AM337+$AN$3*AN337+$AO$3*AO337+$AP$3*AP337)+$I$3*VLOOKUP(I337,COND!$A$2:$E$7,4,FALSE)+$J$3*VLOOKUP(J337,COND!$A$2:$C$7,2,FALSE)+$K$3*VLOOKUP(K337,COND!$A$2:$C$7,3,FALSE)+IF(AND($B$2&gt;0,$E337&lt;20),$B$2*25,0)</f>
        <v>42.854388668633931</v>
      </c>
      <c r="AR337" s="47">
        <f t="shared" si="50"/>
        <v>-5.3147264575406236E-2</v>
      </c>
      <c r="AS337" s="45" t="str">
        <f t="shared" si="48"/>
        <v>3B</v>
      </c>
      <c r="AT337" s="45">
        <v>930</v>
      </c>
      <c r="AU337" s="45">
        <v>333</v>
      </c>
      <c r="AV337" s="45"/>
      <c r="AW337" s="45" t="str">
        <f t="shared" si="49"/>
        <v>Unlikely</v>
      </c>
      <c r="AX337" s="45"/>
      <c r="AY337" s="45">
        <f>INDEX(Table5[[#All],[Ovr]],MATCH(Batters[[#This Row],[PID]],Table5[[#All],[PID]],0))</f>
        <v>431</v>
      </c>
      <c r="AZ337" s="45" t="str">
        <f>INDEX(Table5[[#All],[Rnd]],MATCH(Batters[[#This Row],[PID]],Table5[[#All],[PID]],0))</f>
        <v>13</v>
      </c>
      <c r="BA337" s="45">
        <f>INDEX(Table5[[#All],[Pick]],MATCH(Batters[[#This Row],[PID]],Table5[[#All],[PID]],0))</f>
        <v>32</v>
      </c>
      <c r="BB337" s="45" t="str">
        <f>INDEX(Table5[[#All],[Team]],MATCH(Batters[[#This Row],[PID]],Table5[[#All],[PID]],0))</f>
        <v>Florida Farstriders</v>
      </c>
    </row>
    <row r="338" spans="1:54" ht="15" customHeight="1" x14ac:dyDescent="0.3">
      <c r="A338" s="40">
        <v>12450</v>
      </c>
      <c r="B338" s="40" t="s">
        <v>86</v>
      </c>
      <c r="C338" s="40" t="s">
        <v>367</v>
      </c>
      <c r="D338" s="40" t="s">
        <v>1197</v>
      </c>
      <c r="E338" s="40">
        <v>18</v>
      </c>
      <c r="F338" s="40" t="s">
        <v>42</v>
      </c>
      <c r="G338" s="40" t="s">
        <v>42</v>
      </c>
      <c r="H338" s="41" t="s">
        <v>552</v>
      </c>
      <c r="I338" s="64" t="s">
        <v>43</v>
      </c>
      <c r="J338" s="65" t="s">
        <v>44</v>
      </c>
      <c r="K338" s="66" t="s">
        <v>47</v>
      </c>
      <c r="L338" s="40">
        <v>1</v>
      </c>
      <c r="M338" s="40">
        <v>2</v>
      </c>
      <c r="N338" s="40">
        <v>3</v>
      </c>
      <c r="O338" s="40">
        <v>3</v>
      </c>
      <c r="P338" s="41">
        <v>1</v>
      </c>
      <c r="Q338" s="40">
        <v>3</v>
      </c>
      <c r="R338" s="40">
        <v>4</v>
      </c>
      <c r="S338" s="40">
        <v>3</v>
      </c>
      <c r="T338" s="40">
        <v>5</v>
      </c>
      <c r="U338" s="41">
        <v>3</v>
      </c>
      <c r="V338" s="40">
        <v>2</v>
      </c>
      <c r="W338" s="40">
        <v>3</v>
      </c>
      <c r="X338" s="40">
        <v>4</v>
      </c>
      <c r="Y338" s="41">
        <v>6</v>
      </c>
      <c r="Z338" s="40" t="s">
        <v>45</v>
      </c>
      <c r="AA338" s="40" t="s">
        <v>45</v>
      </c>
      <c r="AB338" s="40" t="s">
        <v>45</v>
      </c>
      <c r="AC338" s="40" t="s">
        <v>45</v>
      </c>
      <c r="AD338" s="40" t="s">
        <v>45</v>
      </c>
      <c r="AE338" s="40" t="s">
        <v>45</v>
      </c>
      <c r="AF338" s="40" t="s">
        <v>45</v>
      </c>
      <c r="AG338" s="41" t="s">
        <v>45</v>
      </c>
      <c r="AH338" s="40">
        <v>4</v>
      </c>
      <c r="AI338" s="40">
        <v>1</v>
      </c>
      <c r="AJ338" s="41">
        <v>1</v>
      </c>
      <c r="AK338" s="43" t="s">
        <v>511</v>
      </c>
      <c r="AL338" s="43" t="s">
        <v>103</v>
      </c>
      <c r="AM338" s="44">
        <f t="shared" si="44"/>
        <v>-1.6877413821419032</v>
      </c>
      <c r="AN338" s="44">
        <f t="shared" si="45"/>
        <v>-0.6810581708458181</v>
      </c>
      <c r="AO338" s="45">
        <f t="shared" si="46"/>
        <v>0</v>
      </c>
      <c r="AP338" s="46">
        <f t="shared" si="47"/>
        <v>0</v>
      </c>
      <c r="AQ338" s="44">
        <f>($AM$3*AM338+$AN$3*AN338+$AO$3*AO338+$AP$3*AP338)+$I$3*VLOOKUP(I338,COND!$A$2:$E$7,4,FALSE)+$J$3*VLOOKUP(J338,COND!$A$2:$C$7,2,FALSE)+$K$3*VLOOKUP(K338,COND!$A$2:$C$7,3,FALSE)+IF(AND($B$2&gt;0,$E338&lt;20),$B$2*25,0)</f>
        <v>41.658527811635992</v>
      </c>
      <c r="AR338" s="47">
        <f t="shared" si="50"/>
        <v>-0.22770481327241851</v>
      </c>
      <c r="AS338" s="45" t="str">
        <f t="shared" si="48"/>
        <v>DH</v>
      </c>
      <c r="AT338" s="45">
        <v>930</v>
      </c>
      <c r="AU338" s="45">
        <v>334</v>
      </c>
      <c r="AV338" s="45"/>
      <c r="AW338" s="45" t="str">
        <f t="shared" si="49"/>
        <v>Unlikely</v>
      </c>
      <c r="AX338" s="45"/>
      <c r="AY338" s="63" t="str">
        <f>INDEX(Table5[[#All],[Ovr]],MATCH(Batters[[#This Row],[PID]],Table5[[#All],[PID]],0))</f>
        <v/>
      </c>
      <c r="AZ338" s="63" t="str">
        <f>INDEX(Table5[[#All],[Rnd]],MATCH(Batters[[#This Row],[PID]],Table5[[#All],[PID]],0))</f>
        <v/>
      </c>
      <c r="BA338" s="63" t="str">
        <f>INDEX(Table5[[#All],[Pick]],MATCH(Batters[[#This Row],[PID]],Table5[[#All],[PID]],0))</f>
        <v/>
      </c>
      <c r="BB338" s="63" t="str">
        <f>INDEX(Table5[[#All],[Team]],MATCH(Batters[[#This Row],[PID]],Table5[[#All],[PID]],0))</f>
        <v/>
      </c>
    </row>
    <row r="339" spans="1:54" ht="15" customHeight="1" x14ac:dyDescent="0.3">
      <c r="A339" s="40">
        <v>21032</v>
      </c>
      <c r="B339" s="40" t="s">
        <v>87</v>
      </c>
      <c r="C339" s="40" t="s">
        <v>381</v>
      </c>
      <c r="D339" s="40" t="s">
        <v>185</v>
      </c>
      <c r="E339" s="40">
        <v>17</v>
      </c>
      <c r="F339" s="40" t="s">
        <v>53</v>
      </c>
      <c r="G339" s="40" t="s">
        <v>53</v>
      </c>
      <c r="H339" s="41" t="s">
        <v>553</v>
      </c>
      <c r="I339" s="64" t="s">
        <v>44</v>
      </c>
      <c r="J339" s="65" t="s">
        <v>44</v>
      </c>
      <c r="K339" s="66" t="s">
        <v>43</v>
      </c>
      <c r="L339" s="40">
        <v>1</v>
      </c>
      <c r="M339" s="40">
        <v>1</v>
      </c>
      <c r="N339" s="40">
        <v>2</v>
      </c>
      <c r="O339" s="40">
        <v>2</v>
      </c>
      <c r="P339" s="41">
        <v>1</v>
      </c>
      <c r="Q339" s="40">
        <v>4</v>
      </c>
      <c r="R339" s="40">
        <v>2</v>
      </c>
      <c r="S339" s="40">
        <v>2</v>
      </c>
      <c r="T339" s="40">
        <v>4</v>
      </c>
      <c r="U339" s="41">
        <v>4</v>
      </c>
      <c r="V339" s="40">
        <v>6</v>
      </c>
      <c r="W339" s="40">
        <v>1</v>
      </c>
      <c r="X339" s="40">
        <v>1</v>
      </c>
      <c r="Y339" s="41">
        <v>1</v>
      </c>
      <c r="Z339" s="40" t="s">
        <v>45</v>
      </c>
      <c r="AA339" s="40">
        <v>1</v>
      </c>
      <c r="AB339" s="40" t="s">
        <v>45</v>
      </c>
      <c r="AC339" s="40" t="s">
        <v>45</v>
      </c>
      <c r="AD339" s="40" t="s">
        <v>45</v>
      </c>
      <c r="AE339" s="40" t="s">
        <v>45</v>
      </c>
      <c r="AF339" s="40" t="s">
        <v>45</v>
      </c>
      <c r="AG339" s="41" t="s">
        <v>45</v>
      </c>
      <c r="AH339" s="40">
        <v>4</v>
      </c>
      <c r="AI339" s="40">
        <v>2</v>
      </c>
      <c r="AJ339" s="41">
        <v>3</v>
      </c>
      <c r="AK339" s="43" t="s">
        <v>558</v>
      </c>
      <c r="AL339" s="43" t="s">
        <v>103</v>
      </c>
      <c r="AM339" s="44">
        <f t="shared" si="44"/>
        <v>-1.9115723057940897</v>
      </c>
      <c r="AN339" s="44">
        <f t="shared" si="45"/>
        <v>-0.59337679809694932</v>
      </c>
      <c r="AO339" s="45">
        <f t="shared" si="46"/>
        <v>0</v>
      </c>
      <c r="AP339" s="46">
        <f t="shared" si="47"/>
        <v>0</v>
      </c>
      <c r="AQ339" s="44">
        <f>($AM$3*AM339+$AN$3*AN339+$AO$3*AO339+$AP$3*AP339)+$I$3*VLOOKUP(I339,COND!$A$2:$E$7,4,FALSE)+$J$3*VLOOKUP(J339,COND!$A$2:$C$7,2,FALSE)+$K$3*VLOOKUP(K339,COND!$A$2:$C$7,3,FALSE)+IF(AND($B$2&gt;0,$E339&lt;20),$B$2*25,0)</f>
        <v>42.238321192257196</v>
      </c>
      <c r="AR339" s="47">
        <f t="shared" si="50"/>
        <v>-0.14307346951720964</v>
      </c>
      <c r="AS339" s="45" t="str">
        <f t="shared" si="48"/>
        <v>1B</v>
      </c>
      <c r="AT339" s="45">
        <v>930</v>
      </c>
      <c r="AU339" s="45">
        <v>335</v>
      </c>
      <c r="AV339" s="45"/>
      <c r="AW339" s="45" t="str">
        <f t="shared" si="49"/>
        <v>Unlikely</v>
      </c>
      <c r="AX339" s="45"/>
      <c r="AY339" s="45" t="str">
        <f>INDEX(Table5[[#All],[Ovr]],MATCH(Batters[[#This Row],[PID]],Table5[[#All],[PID]],0))</f>
        <v/>
      </c>
      <c r="AZ339" s="45" t="str">
        <f>INDEX(Table5[[#All],[Rnd]],MATCH(Batters[[#This Row],[PID]],Table5[[#All],[PID]],0))</f>
        <v/>
      </c>
      <c r="BA339" s="45" t="str">
        <f>INDEX(Table5[[#All],[Pick]],MATCH(Batters[[#This Row],[PID]],Table5[[#All],[PID]],0))</f>
        <v/>
      </c>
      <c r="BB339" s="45" t="str">
        <f>INDEX(Table5[[#All],[Team]],MATCH(Batters[[#This Row],[PID]],Table5[[#All],[PID]],0))</f>
        <v/>
      </c>
    </row>
    <row r="340" spans="1:54" ht="15" customHeight="1" x14ac:dyDescent="0.3">
      <c r="A340" s="40">
        <v>20723</v>
      </c>
      <c r="B340" s="40" t="s">
        <v>72</v>
      </c>
      <c r="C340" s="40" t="s">
        <v>352</v>
      </c>
      <c r="D340" s="40" t="s">
        <v>170</v>
      </c>
      <c r="E340" s="40">
        <v>17</v>
      </c>
      <c r="F340" s="40" t="s">
        <v>42</v>
      </c>
      <c r="G340" s="40" t="s">
        <v>42</v>
      </c>
      <c r="H340" s="41" t="s">
        <v>552</v>
      </c>
      <c r="I340" s="64" t="s">
        <v>43</v>
      </c>
      <c r="J340" s="65" t="s">
        <v>44</v>
      </c>
      <c r="K340" s="66" t="s">
        <v>43</v>
      </c>
      <c r="L340" s="40">
        <v>1</v>
      </c>
      <c r="M340" s="40">
        <v>2</v>
      </c>
      <c r="N340" s="40">
        <v>2</v>
      </c>
      <c r="O340" s="40">
        <v>2</v>
      </c>
      <c r="P340" s="41">
        <v>1</v>
      </c>
      <c r="Q340" s="40">
        <v>3</v>
      </c>
      <c r="R340" s="40">
        <v>4</v>
      </c>
      <c r="S340" s="40">
        <v>2</v>
      </c>
      <c r="T340" s="40">
        <v>6</v>
      </c>
      <c r="U340" s="41">
        <v>4</v>
      </c>
      <c r="V340" s="40">
        <v>6</v>
      </c>
      <c r="W340" s="40">
        <v>5</v>
      </c>
      <c r="X340" s="40">
        <v>1</v>
      </c>
      <c r="Y340" s="41">
        <v>1</v>
      </c>
      <c r="Z340" s="40" t="s">
        <v>45</v>
      </c>
      <c r="AA340" s="40" t="s">
        <v>45</v>
      </c>
      <c r="AB340" s="40" t="s">
        <v>45</v>
      </c>
      <c r="AC340" s="40" t="s">
        <v>45</v>
      </c>
      <c r="AD340" s="40">
        <v>2</v>
      </c>
      <c r="AE340" s="40" t="s">
        <v>45</v>
      </c>
      <c r="AF340" s="40" t="s">
        <v>45</v>
      </c>
      <c r="AG340" s="41" t="s">
        <v>45</v>
      </c>
      <c r="AH340" s="40">
        <v>4</v>
      </c>
      <c r="AI340" s="40">
        <v>7</v>
      </c>
      <c r="AJ340" s="41">
        <v>8</v>
      </c>
      <c r="AK340" s="43" t="s">
        <v>583</v>
      </c>
      <c r="AL340" s="43" t="s">
        <v>103</v>
      </c>
      <c r="AM340" s="44">
        <f t="shared" si="44"/>
        <v>-1.8605124261753858</v>
      </c>
      <c r="AN340" s="44">
        <f t="shared" si="45"/>
        <v>-0.63439377504305494</v>
      </c>
      <c r="AO340" s="45">
        <f t="shared" si="46"/>
        <v>1</v>
      </c>
      <c r="AP340" s="46">
        <f t="shared" si="47"/>
        <v>0</v>
      </c>
      <c r="AQ340" s="44">
        <f>($AM$3*AM340+$AN$3*AN340+$AO$3*AO340+$AP$3*AP340)+$I$3*VLOOKUP(I340,COND!$A$2:$E$7,4,FALSE)+$J$3*VLOOKUP(J340,COND!$A$2:$C$7,2,FALSE)+$K$3*VLOOKUP(K340,COND!$A$2:$C$7,3,FALSE)+IF(AND($B$2&gt;0,$E340&lt;20),$B$2*25,0)</f>
        <v>42.067890123532464</v>
      </c>
      <c r="AR340" s="47">
        <f t="shared" si="50"/>
        <v>-0.16795097044410254</v>
      </c>
      <c r="AS340" s="45" t="str">
        <f t="shared" si="48"/>
        <v>SS</v>
      </c>
      <c r="AT340" s="45">
        <v>930</v>
      </c>
      <c r="AU340" s="45">
        <v>336</v>
      </c>
      <c r="AV340" s="45"/>
      <c r="AW340" s="45" t="str">
        <f t="shared" si="49"/>
        <v>Unlikely</v>
      </c>
      <c r="AX340" s="45"/>
      <c r="AY340" s="45" t="str">
        <f>INDEX(Table5[[#All],[Ovr]],MATCH(Batters[[#This Row],[PID]],Table5[[#All],[PID]],0))</f>
        <v/>
      </c>
      <c r="AZ340" s="45" t="str">
        <f>INDEX(Table5[[#All],[Rnd]],MATCH(Batters[[#This Row],[PID]],Table5[[#All],[PID]],0))</f>
        <v/>
      </c>
      <c r="BA340" s="45" t="str">
        <f>INDEX(Table5[[#All],[Pick]],MATCH(Batters[[#This Row],[PID]],Table5[[#All],[PID]],0))</f>
        <v/>
      </c>
      <c r="BB340" s="45" t="str">
        <f>INDEX(Table5[[#All],[Team]],MATCH(Batters[[#This Row],[PID]],Table5[[#All],[PID]],0))</f>
        <v/>
      </c>
    </row>
    <row r="341" spans="1:54" ht="15" customHeight="1" x14ac:dyDescent="0.3">
      <c r="A341" s="40">
        <v>13711</v>
      </c>
      <c r="B341" s="40" t="s">
        <v>86</v>
      </c>
      <c r="C341" s="40" t="s">
        <v>138</v>
      </c>
      <c r="D341" s="40" t="s">
        <v>554</v>
      </c>
      <c r="E341" s="40">
        <v>21</v>
      </c>
      <c r="F341" s="40" t="s">
        <v>42</v>
      </c>
      <c r="G341" s="40" t="s">
        <v>42</v>
      </c>
      <c r="H341" s="41" t="s">
        <v>550</v>
      </c>
      <c r="I341" s="64" t="s">
        <v>44</v>
      </c>
      <c r="J341" s="65" t="s">
        <v>44</v>
      </c>
      <c r="K341" s="66" t="s">
        <v>47</v>
      </c>
      <c r="L341" s="40">
        <v>1</v>
      </c>
      <c r="M341" s="40">
        <v>2</v>
      </c>
      <c r="N341" s="40">
        <v>3</v>
      </c>
      <c r="O341" s="40">
        <v>2</v>
      </c>
      <c r="P341" s="41">
        <v>1</v>
      </c>
      <c r="Q341" s="40">
        <v>3</v>
      </c>
      <c r="R341" s="40">
        <v>7</v>
      </c>
      <c r="S341" s="40">
        <v>5</v>
      </c>
      <c r="T341" s="40">
        <v>5</v>
      </c>
      <c r="U341" s="41">
        <v>3</v>
      </c>
      <c r="V341" s="40">
        <v>4</v>
      </c>
      <c r="W341" s="40">
        <v>5</v>
      </c>
      <c r="X341" s="40">
        <v>6</v>
      </c>
      <c r="Y341" s="41">
        <v>5</v>
      </c>
      <c r="Z341" s="40" t="s">
        <v>45</v>
      </c>
      <c r="AA341" s="40" t="s">
        <v>45</v>
      </c>
      <c r="AB341" s="40" t="s">
        <v>45</v>
      </c>
      <c r="AC341" s="40" t="s">
        <v>45</v>
      </c>
      <c r="AD341" s="40" t="s">
        <v>45</v>
      </c>
      <c r="AE341" s="40" t="s">
        <v>45</v>
      </c>
      <c r="AF341" s="40" t="s">
        <v>45</v>
      </c>
      <c r="AG341" s="41" t="s">
        <v>45</v>
      </c>
      <c r="AH341" s="40">
        <v>4</v>
      </c>
      <c r="AI341" s="40">
        <v>6</v>
      </c>
      <c r="AJ341" s="41">
        <v>7</v>
      </c>
      <c r="AK341" s="43" t="s">
        <v>557</v>
      </c>
      <c r="AL341" s="43" t="s">
        <v>103</v>
      </c>
      <c r="AM341" s="44">
        <f t="shared" si="44"/>
        <v>-1.7774509321514844</v>
      </c>
      <c r="AN341" s="44">
        <f t="shared" si="45"/>
        <v>-0.36175554394190457</v>
      </c>
      <c r="AO341" s="45">
        <f t="shared" si="46"/>
        <v>1</v>
      </c>
      <c r="AP341" s="46">
        <f t="shared" si="47"/>
        <v>0</v>
      </c>
      <c r="AQ341" s="44">
        <f>($AM$3*AM341+$AN$3*AN341+$AO$3*AO341+$AP$3*AP341)+$I$3*VLOOKUP(I341,COND!$A$2:$E$7,4,FALSE)+$J$3*VLOOKUP(J341,COND!$A$2:$C$7,2,FALSE)+$K$3*VLOOKUP(K341,COND!$A$2:$C$7,3,FALSE)+IF(AND($B$2&gt;0,$E341&lt;20),$B$2*25,0)</f>
        <v>40.497855046148658</v>
      </c>
      <c r="AR341" s="47">
        <f t="shared" si="50"/>
        <v>-0.39712602276953674</v>
      </c>
      <c r="AS341" s="45" t="str">
        <f t="shared" si="48"/>
        <v>DH</v>
      </c>
      <c r="AT341" s="45">
        <v>930</v>
      </c>
      <c r="AU341" s="45">
        <v>337</v>
      </c>
      <c r="AV341" s="45"/>
      <c r="AW341" s="45" t="str">
        <f t="shared" si="49"/>
        <v>Unlikely</v>
      </c>
      <c r="AX341" s="45"/>
      <c r="AY341" s="45">
        <f>INDEX(Table5[[#All],[Ovr]],MATCH(Batters[[#This Row],[PID]],Table5[[#All],[PID]],0))</f>
        <v>219</v>
      </c>
      <c r="AZ341" s="45" t="str">
        <f>INDEX(Table5[[#All],[Rnd]],MATCH(Batters[[#This Row],[PID]],Table5[[#All],[PID]],0))</f>
        <v>7</v>
      </c>
      <c r="BA341" s="45">
        <f>INDEX(Table5[[#All],[Pick]],MATCH(Batters[[#This Row],[PID]],Table5[[#All],[PID]],0))</f>
        <v>18</v>
      </c>
      <c r="BB341" s="45" t="str">
        <f>INDEX(Table5[[#All],[Team]],MATCH(Batters[[#This Row],[PID]],Table5[[#All],[PID]],0))</f>
        <v>San Juan Coqui</v>
      </c>
    </row>
    <row r="342" spans="1:54" ht="15" customHeight="1" x14ac:dyDescent="0.3">
      <c r="A342" s="40">
        <v>15619</v>
      </c>
      <c r="B342" s="40" t="s">
        <v>66</v>
      </c>
      <c r="C342" s="40" t="s">
        <v>491</v>
      </c>
      <c r="D342" s="40" t="s">
        <v>566</v>
      </c>
      <c r="E342" s="40">
        <v>22</v>
      </c>
      <c r="F342" s="40" t="s">
        <v>42</v>
      </c>
      <c r="G342" s="40" t="s">
        <v>42</v>
      </c>
      <c r="H342" s="41" t="s">
        <v>552</v>
      </c>
      <c r="I342" s="64" t="s">
        <v>43</v>
      </c>
      <c r="J342" s="65" t="s">
        <v>44</v>
      </c>
      <c r="K342" s="66" t="s">
        <v>47</v>
      </c>
      <c r="L342" s="40">
        <v>2</v>
      </c>
      <c r="M342" s="40">
        <v>3</v>
      </c>
      <c r="N342" s="40">
        <v>2</v>
      </c>
      <c r="O342" s="40">
        <v>3</v>
      </c>
      <c r="P342" s="41">
        <v>5</v>
      </c>
      <c r="Q342" s="40">
        <v>4</v>
      </c>
      <c r="R342" s="40">
        <v>4</v>
      </c>
      <c r="S342" s="40">
        <v>3</v>
      </c>
      <c r="T342" s="40">
        <v>4</v>
      </c>
      <c r="U342" s="41">
        <v>5</v>
      </c>
      <c r="V342" s="40">
        <v>7</v>
      </c>
      <c r="W342" s="40">
        <v>8</v>
      </c>
      <c r="X342" s="40">
        <v>1</v>
      </c>
      <c r="Y342" s="41">
        <v>1</v>
      </c>
      <c r="Z342" s="40" t="s">
        <v>45</v>
      </c>
      <c r="AA342" s="40" t="s">
        <v>45</v>
      </c>
      <c r="AB342" s="40" t="s">
        <v>45</v>
      </c>
      <c r="AC342" s="40" t="s">
        <v>45</v>
      </c>
      <c r="AD342" s="40" t="s">
        <v>45</v>
      </c>
      <c r="AE342" s="40" t="s">
        <v>45</v>
      </c>
      <c r="AF342" s="40" t="s">
        <v>45</v>
      </c>
      <c r="AG342" s="41">
        <v>2</v>
      </c>
      <c r="AH342" s="40">
        <v>2</v>
      </c>
      <c r="AI342" s="40">
        <v>3</v>
      </c>
      <c r="AJ342" s="41">
        <v>1</v>
      </c>
      <c r="AK342" s="43" t="s">
        <v>45</v>
      </c>
      <c r="AL342" s="43" t="s">
        <v>103</v>
      </c>
      <c r="AM342" s="44">
        <f t="shared" si="44"/>
        <v>-1.2371218010760929</v>
      </c>
      <c r="AN342" s="44">
        <f t="shared" si="45"/>
        <v>-0.36817920501855744</v>
      </c>
      <c r="AO342" s="45">
        <f t="shared" si="46"/>
        <v>0</v>
      </c>
      <c r="AP342" s="46">
        <f t="shared" si="47"/>
        <v>0</v>
      </c>
      <c r="AQ342" s="44">
        <f>($AM$3*AM342+$AN$3*AN342+$AO$3*AO342+$AP$3*AP342)+$I$3*VLOOKUP(I342,COND!$A$2:$E$7,4,FALSE)+$J$3*VLOOKUP(J342,COND!$A$2:$C$7,2,FALSE)+$K$3*VLOOKUP(K342,COND!$A$2:$C$7,3,FALSE)+IF(AND($B$2&gt;0,$E342&lt;20),$B$2*25,0)</f>
        <v>40.458137359669706</v>
      </c>
      <c r="AR342" s="47">
        <f t="shared" si="50"/>
        <v>-0.40292353838442752</v>
      </c>
      <c r="AS342" s="45" t="str">
        <f t="shared" si="48"/>
        <v>RF</v>
      </c>
      <c r="AT342" s="45">
        <v>930</v>
      </c>
      <c r="AU342" s="45">
        <v>338</v>
      </c>
      <c r="AV342" s="45"/>
      <c r="AW342" s="45" t="str">
        <f t="shared" si="49"/>
        <v>Unlikely</v>
      </c>
      <c r="AX342" s="45"/>
      <c r="AY342" s="45">
        <f>INDEX(Table5[[#All],[Ovr]],MATCH(Batters[[#This Row],[PID]],Table5[[#All],[PID]],0))</f>
        <v>566</v>
      </c>
      <c r="AZ342" s="45" t="str">
        <f>INDEX(Table5[[#All],[Rnd]],MATCH(Batters[[#This Row],[PID]],Table5[[#All],[PID]],0))</f>
        <v>17</v>
      </c>
      <c r="BA342" s="45">
        <f>INDEX(Table5[[#All],[Pick]],MATCH(Batters[[#This Row],[PID]],Table5[[#All],[PID]],0))</f>
        <v>31</v>
      </c>
      <c r="BB342" s="45" t="str">
        <f>INDEX(Table5[[#All],[Team]],MATCH(Batters[[#This Row],[PID]],Table5[[#All],[PID]],0))</f>
        <v>Manchester Maulers</v>
      </c>
    </row>
    <row r="343" spans="1:54" ht="15" customHeight="1" x14ac:dyDescent="0.3">
      <c r="A343" s="40">
        <v>9663</v>
      </c>
      <c r="B343" s="40" t="s">
        <v>72</v>
      </c>
      <c r="C343" s="40" t="s">
        <v>125</v>
      </c>
      <c r="D343" s="40" t="s">
        <v>1258</v>
      </c>
      <c r="E343" s="40">
        <v>18</v>
      </c>
      <c r="F343" s="40" t="s">
        <v>62</v>
      </c>
      <c r="G343" s="40" t="s">
        <v>42</v>
      </c>
      <c r="H343" s="41" t="s">
        <v>552</v>
      </c>
      <c r="I343" s="64" t="s">
        <v>43</v>
      </c>
      <c r="J343" s="65" t="s">
        <v>44</v>
      </c>
      <c r="K343" s="66" t="s">
        <v>43</v>
      </c>
      <c r="L343" s="40">
        <v>1</v>
      </c>
      <c r="M343" s="40">
        <v>2</v>
      </c>
      <c r="N343" s="40">
        <v>2</v>
      </c>
      <c r="O343" s="40">
        <v>3</v>
      </c>
      <c r="P343" s="41">
        <v>1</v>
      </c>
      <c r="Q343" s="40">
        <v>3</v>
      </c>
      <c r="R343" s="40">
        <v>3</v>
      </c>
      <c r="S343" s="40">
        <v>3</v>
      </c>
      <c r="T343" s="40">
        <v>5</v>
      </c>
      <c r="U343" s="41">
        <v>3</v>
      </c>
      <c r="V343" s="40">
        <v>7</v>
      </c>
      <c r="W343" s="40">
        <v>7</v>
      </c>
      <c r="X343" s="40">
        <v>1</v>
      </c>
      <c r="Y343" s="41">
        <v>1</v>
      </c>
      <c r="Z343" s="40" t="s">
        <v>45</v>
      </c>
      <c r="AA343" s="40" t="s">
        <v>45</v>
      </c>
      <c r="AB343" s="40">
        <v>3</v>
      </c>
      <c r="AC343" s="40" t="s">
        <v>45</v>
      </c>
      <c r="AD343" s="40">
        <v>3</v>
      </c>
      <c r="AE343" s="40" t="s">
        <v>45</v>
      </c>
      <c r="AF343" s="40" t="s">
        <v>45</v>
      </c>
      <c r="AG343" s="41" t="s">
        <v>45</v>
      </c>
      <c r="AH343" s="40">
        <v>9</v>
      </c>
      <c r="AI343" s="40">
        <v>3</v>
      </c>
      <c r="AJ343" s="41">
        <v>1</v>
      </c>
      <c r="AK343" s="43" t="s">
        <v>497</v>
      </c>
      <c r="AL343" s="43" t="s">
        <v>103</v>
      </c>
      <c r="AM343" s="44">
        <f t="shared" si="44"/>
        <v>-1.7708028761658048</v>
      </c>
      <c r="AN343" s="44">
        <f t="shared" si="45"/>
        <v>-0.73211805046452161</v>
      </c>
      <c r="AO343" s="45">
        <f t="shared" si="46"/>
        <v>1</v>
      </c>
      <c r="AP343" s="46">
        <f t="shared" si="47"/>
        <v>0</v>
      </c>
      <c r="AQ343" s="44">
        <f>($AM$3*AM343+$AN$3*AN343+$AO$3*AO343+$AP$3*AP343)+$I$3*VLOOKUP(I343,COND!$A$2:$E$7,4,FALSE)+$J$3*VLOOKUP(J343,COND!$A$2:$C$7,2,FALSE)+$K$3*VLOOKUP(K343,COND!$A$2:$C$7,3,FALSE)+IF(AND($B$2&gt;0,$E343&lt;20),$B$2*25,0)</f>
        <v>40.904169773475829</v>
      </c>
      <c r="AR343" s="47">
        <f t="shared" si="50"/>
        <v>-0.33781703009979158</v>
      </c>
      <c r="AS343" s="45" t="str">
        <f t="shared" si="48"/>
        <v>2B</v>
      </c>
      <c r="AT343" s="45">
        <v>930</v>
      </c>
      <c r="AU343" s="45">
        <v>339</v>
      </c>
      <c r="AV343" s="45"/>
      <c r="AW343" s="45" t="str">
        <f t="shared" si="49"/>
        <v>Unlikely</v>
      </c>
      <c r="AX343" s="45"/>
      <c r="AY343" s="45">
        <f>INDEX(Table5[[#All],[Ovr]],MATCH(Batters[[#This Row],[PID]],Table5[[#All],[PID]],0))</f>
        <v>451</v>
      </c>
      <c r="AZ343" s="45" t="str">
        <f>INDEX(Table5[[#All],[Rnd]],MATCH(Batters[[#This Row],[PID]],Table5[[#All],[PID]],0))</f>
        <v>14</v>
      </c>
      <c r="BA343" s="45">
        <f>INDEX(Table5[[#All],[Pick]],MATCH(Batters[[#This Row],[PID]],Table5[[#All],[PID]],0))</f>
        <v>18</v>
      </c>
      <c r="BB343" s="45" t="str">
        <f>INDEX(Table5[[#All],[Team]],MATCH(Batters[[#This Row],[PID]],Table5[[#All],[PID]],0))</f>
        <v>San Juan Coqui</v>
      </c>
    </row>
    <row r="344" spans="1:54" ht="15" customHeight="1" x14ac:dyDescent="0.3">
      <c r="A344" s="40">
        <v>20789</v>
      </c>
      <c r="B344" s="40" t="s">
        <v>86</v>
      </c>
      <c r="C344" s="40" t="s">
        <v>925</v>
      </c>
      <c r="D344" s="40" t="s">
        <v>1291</v>
      </c>
      <c r="E344" s="40">
        <v>17</v>
      </c>
      <c r="F344" s="40" t="s">
        <v>42</v>
      </c>
      <c r="G344" s="40" t="s">
        <v>42</v>
      </c>
      <c r="H344" s="41" t="s">
        <v>553</v>
      </c>
      <c r="I344" s="64" t="s">
        <v>44</v>
      </c>
      <c r="J344" s="65" t="s">
        <v>44</v>
      </c>
      <c r="K344" s="66" t="s">
        <v>43</v>
      </c>
      <c r="L344" s="40">
        <v>1</v>
      </c>
      <c r="M344" s="40">
        <v>2</v>
      </c>
      <c r="N344" s="40">
        <v>2</v>
      </c>
      <c r="O344" s="40">
        <v>2</v>
      </c>
      <c r="P344" s="41">
        <v>1</v>
      </c>
      <c r="Q344" s="40">
        <v>3</v>
      </c>
      <c r="R344" s="40">
        <v>5</v>
      </c>
      <c r="S344" s="40">
        <v>2</v>
      </c>
      <c r="T344" s="40">
        <v>5</v>
      </c>
      <c r="U344" s="41">
        <v>3</v>
      </c>
      <c r="V344" s="40">
        <v>1</v>
      </c>
      <c r="W344" s="40">
        <v>2</v>
      </c>
      <c r="X344" s="40">
        <v>3</v>
      </c>
      <c r="Y344" s="41">
        <v>3</v>
      </c>
      <c r="Z344" s="40" t="s">
        <v>45</v>
      </c>
      <c r="AA344" s="40" t="s">
        <v>45</v>
      </c>
      <c r="AB344" s="40" t="s">
        <v>45</v>
      </c>
      <c r="AC344" s="40" t="s">
        <v>45</v>
      </c>
      <c r="AD344" s="40" t="s">
        <v>45</v>
      </c>
      <c r="AE344" s="40" t="s">
        <v>45</v>
      </c>
      <c r="AF344" s="40" t="s">
        <v>45</v>
      </c>
      <c r="AG344" s="41" t="s">
        <v>45</v>
      </c>
      <c r="AH344" s="40">
        <v>1</v>
      </c>
      <c r="AI344" s="40">
        <v>1</v>
      </c>
      <c r="AJ344" s="41">
        <v>1</v>
      </c>
      <c r="AK344" s="43" t="s">
        <v>504</v>
      </c>
      <c r="AL344" s="43" t="s">
        <v>103</v>
      </c>
      <c r="AM344" s="44">
        <f t="shared" si="44"/>
        <v>-1.8605124261753858</v>
      </c>
      <c r="AN344" s="44">
        <f t="shared" si="45"/>
        <v>-0.7130597852510161</v>
      </c>
      <c r="AO344" s="45">
        <f t="shared" si="46"/>
        <v>0</v>
      </c>
      <c r="AP344" s="46">
        <f t="shared" si="47"/>
        <v>0</v>
      </c>
      <c r="AQ344" s="44">
        <f>($AM$3*AM344+$AN$3*AN344+$AO$3*AO344+$AP$3*AP344)+$I$3*VLOOKUP(I344,COND!$A$2:$E$7,4,FALSE)+$J$3*VLOOKUP(J344,COND!$A$2:$C$7,2,FALSE)+$K$3*VLOOKUP(K344,COND!$A$2:$C$7,3,FALSE)+IF(AND($B$2&gt;0,$E344&lt;20),$B$2*25,0)</f>
        <v>40.807231334370265</v>
      </c>
      <c r="AR344" s="47">
        <f t="shared" si="50"/>
        <v>-0.35196695080817636</v>
      </c>
      <c r="AS344" s="45" t="str">
        <f t="shared" si="48"/>
        <v>DH</v>
      </c>
      <c r="AT344" s="45">
        <v>930</v>
      </c>
      <c r="AU344" s="45">
        <v>340</v>
      </c>
      <c r="AV344" s="45"/>
      <c r="AW344" s="45" t="str">
        <f t="shared" si="49"/>
        <v>Unlikely</v>
      </c>
      <c r="AX344" s="45"/>
      <c r="AY344" s="45" t="str">
        <f>INDEX(Table5[[#All],[Ovr]],MATCH(Batters[[#This Row],[PID]],Table5[[#All],[PID]],0))</f>
        <v/>
      </c>
      <c r="AZ344" s="45" t="str">
        <f>INDEX(Table5[[#All],[Rnd]],MATCH(Batters[[#This Row],[PID]],Table5[[#All],[PID]],0))</f>
        <v/>
      </c>
      <c r="BA344" s="45" t="str">
        <f>INDEX(Table5[[#All],[Pick]],MATCH(Batters[[#This Row],[PID]],Table5[[#All],[PID]],0))</f>
        <v/>
      </c>
      <c r="BB344" s="45" t="str">
        <f>INDEX(Table5[[#All],[Team]],MATCH(Batters[[#This Row],[PID]],Table5[[#All],[PID]],0))</f>
        <v/>
      </c>
    </row>
    <row r="345" spans="1:54" ht="15" customHeight="1" x14ac:dyDescent="0.3">
      <c r="A345" s="40">
        <v>9383</v>
      </c>
      <c r="B345" s="40" t="s">
        <v>87</v>
      </c>
      <c r="C345" s="40" t="s">
        <v>169</v>
      </c>
      <c r="D345" s="40" t="s">
        <v>1132</v>
      </c>
      <c r="E345" s="40">
        <v>18</v>
      </c>
      <c r="F345" s="40" t="s">
        <v>62</v>
      </c>
      <c r="G345" s="40" t="s">
        <v>42</v>
      </c>
      <c r="H345" s="41" t="s">
        <v>552</v>
      </c>
      <c r="I345" s="64" t="s">
        <v>44</v>
      </c>
      <c r="J345" s="65" t="s">
        <v>44</v>
      </c>
      <c r="K345" s="66" t="s">
        <v>43</v>
      </c>
      <c r="L345" s="40">
        <v>1</v>
      </c>
      <c r="M345" s="40">
        <v>1</v>
      </c>
      <c r="N345" s="40">
        <v>3</v>
      </c>
      <c r="O345" s="40">
        <v>3</v>
      </c>
      <c r="P345" s="41">
        <v>1</v>
      </c>
      <c r="Q345" s="40">
        <v>2</v>
      </c>
      <c r="R345" s="40">
        <v>2</v>
      </c>
      <c r="S345" s="40">
        <v>7</v>
      </c>
      <c r="T345" s="40">
        <v>6</v>
      </c>
      <c r="U345" s="41">
        <v>2</v>
      </c>
      <c r="V345" s="40">
        <v>6</v>
      </c>
      <c r="W345" s="40">
        <v>8</v>
      </c>
      <c r="X345" s="40">
        <v>1</v>
      </c>
      <c r="Y345" s="41">
        <v>1</v>
      </c>
      <c r="Z345" s="40" t="s">
        <v>45</v>
      </c>
      <c r="AA345" s="40" t="s">
        <v>45</v>
      </c>
      <c r="AB345" s="40" t="s">
        <v>45</v>
      </c>
      <c r="AC345" s="40" t="s">
        <v>45</v>
      </c>
      <c r="AD345" s="40" t="s">
        <v>45</v>
      </c>
      <c r="AE345" s="40" t="s">
        <v>45</v>
      </c>
      <c r="AF345" s="40" t="s">
        <v>45</v>
      </c>
      <c r="AG345" s="41" t="s">
        <v>45</v>
      </c>
      <c r="AH345" s="40">
        <v>1</v>
      </c>
      <c r="AI345" s="40">
        <v>3</v>
      </c>
      <c r="AJ345" s="41">
        <v>3</v>
      </c>
      <c r="AK345" s="43" t="s">
        <v>568</v>
      </c>
      <c r="AL345" s="43" t="s">
        <v>103</v>
      </c>
      <c r="AM345" s="44">
        <f t="shared" si="44"/>
        <v>-1.738801261760607</v>
      </c>
      <c r="AN345" s="44">
        <f t="shared" si="45"/>
        <v>-0.72379457999779617</v>
      </c>
      <c r="AO345" s="45">
        <f t="shared" si="46"/>
        <v>0</v>
      </c>
      <c r="AP345" s="46">
        <f t="shared" si="47"/>
        <v>0</v>
      </c>
      <c r="AQ345" s="44">
        <f>($AM$3*AM345+$AN$3*AN345+$AO$3*AO345+$AP$3*AP345)+$I$3*VLOOKUP(I345,COND!$A$2:$E$7,4,FALSE)+$J$3*VLOOKUP(J345,COND!$A$2:$C$7,2,FALSE)+$K$3*VLOOKUP(K345,COND!$A$2:$C$7,3,FALSE)+IF(AND($B$2&gt;0,$E345&lt;20),$B$2*25,0)</f>
        <v>40.690584913850387</v>
      </c>
      <c r="AR345" s="47">
        <f t="shared" si="50"/>
        <v>-0.36899360830856964</v>
      </c>
      <c r="AS345" s="45" t="str">
        <f t="shared" si="48"/>
        <v>DH</v>
      </c>
      <c r="AT345" s="45">
        <v>930</v>
      </c>
      <c r="AU345" s="45">
        <v>341</v>
      </c>
      <c r="AV345" s="45"/>
      <c r="AW345" s="45" t="str">
        <f t="shared" si="49"/>
        <v>Unlikely</v>
      </c>
      <c r="AX345" s="45"/>
      <c r="AY345" s="45">
        <f>INDEX(Table5[[#All],[Ovr]],MATCH(Batters[[#This Row],[PID]],Table5[[#All],[PID]],0))</f>
        <v>316</v>
      </c>
      <c r="AZ345" s="45" t="str">
        <f>INDEX(Table5[[#All],[Rnd]],MATCH(Batters[[#This Row],[PID]],Table5[[#All],[PID]],0))</f>
        <v>10</v>
      </c>
      <c r="BA345" s="45">
        <f>INDEX(Table5[[#All],[Pick]],MATCH(Batters[[#This Row],[PID]],Table5[[#All],[PID]],0))</f>
        <v>19</v>
      </c>
      <c r="BB345" s="45" t="str">
        <f>INDEX(Table5[[#All],[Team]],MATCH(Batters[[#This Row],[PID]],Table5[[#All],[PID]],0))</f>
        <v>Fargo Dinosaurs</v>
      </c>
    </row>
    <row r="346" spans="1:54" ht="15" customHeight="1" x14ac:dyDescent="0.3">
      <c r="A346" s="40">
        <v>12807</v>
      </c>
      <c r="B346" s="40" t="s">
        <v>66</v>
      </c>
      <c r="C346" s="40" t="s">
        <v>1268</v>
      </c>
      <c r="D346" s="40" t="s">
        <v>1269</v>
      </c>
      <c r="E346" s="40">
        <v>21</v>
      </c>
      <c r="F346" s="40" t="s">
        <v>42</v>
      </c>
      <c r="G346" s="40" t="s">
        <v>42</v>
      </c>
      <c r="H346" s="41" t="s">
        <v>552</v>
      </c>
      <c r="I346" s="64" t="s">
        <v>43</v>
      </c>
      <c r="J346" s="65" t="s">
        <v>44</v>
      </c>
      <c r="K346" s="66" t="s">
        <v>43</v>
      </c>
      <c r="L346" s="40">
        <v>2</v>
      </c>
      <c r="M346" s="40">
        <v>2</v>
      </c>
      <c r="N346" s="40">
        <v>2</v>
      </c>
      <c r="O346" s="40">
        <v>3</v>
      </c>
      <c r="P346" s="41">
        <v>2</v>
      </c>
      <c r="Q346" s="40">
        <v>4</v>
      </c>
      <c r="R346" s="40">
        <v>3</v>
      </c>
      <c r="S346" s="40">
        <v>3</v>
      </c>
      <c r="T346" s="40">
        <v>5</v>
      </c>
      <c r="U346" s="41">
        <v>5</v>
      </c>
      <c r="V346" s="40">
        <v>3</v>
      </c>
      <c r="W346" s="40">
        <v>7</v>
      </c>
      <c r="X346" s="40">
        <v>1</v>
      </c>
      <c r="Y346" s="41">
        <v>1</v>
      </c>
      <c r="Z346" s="40" t="s">
        <v>45</v>
      </c>
      <c r="AA346" s="40" t="s">
        <v>45</v>
      </c>
      <c r="AB346" s="40" t="s">
        <v>45</v>
      </c>
      <c r="AC346" s="40" t="s">
        <v>45</v>
      </c>
      <c r="AD346" s="40" t="s">
        <v>45</v>
      </c>
      <c r="AE346" s="40" t="s">
        <v>45</v>
      </c>
      <c r="AF346" s="40" t="s">
        <v>45</v>
      </c>
      <c r="AG346" s="41">
        <v>3</v>
      </c>
      <c r="AH346" s="40">
        <v>4</v>
      </c>
      <c r="AI346" s="40">
        <v>4</v>
      </c>
      <c r="AJ346" s="41">
        <v>1</v>
      </c>
      <c r="AK346" s="43" t="s">
        <v>45</v>
      </c>
      <c r="AL346" s="43" t="s">
        <v>103</v>
      </c>
      <c r="AM346" s="44">
        <f t="shared" si="44"/>
        <v>-1.4082307001460468</v>
      </c>
      <c r="AN346" s="44">
        <f t="shared" si="45"/>
        <v>-0.32952953462767981</v>
      </c>
      <c r="AO346" s="45">
        <f t="shared" si="46"/>
        <v>0</v>
      </c>
      <c r="AP346" s="46">
        <f t="shared" si="47"/>
        <v>0</v>
      </c>
      <c r="AQ346" s="44">
        <f>($AM$3*AM346+$AN$3*AN346+$AO$3*AO346+$AP$3*AP346)+$I$3*VLOOKUP(I346,COND!$A$2:$E$7,4,FALSE)+$J$3*VLOOKUP(J346,COND!$A$2:$C$7,2,FALSE)+$K$3*VLOOKUP(K346,COND!$A$2:$C$7,3,FALSE)+IF(AND($B$2&gt;0,$E346&lt;20),$B$2*25,0)</f>
        <v>40.604822514453232</v>
      </c>
      <c r="AR346" s="47">
        <f t="shared" si="50"/>
        <v>-0.38151218362737632</v>
      </c>
      <c r="AS346" s="45" t="str">
        <f t="shared" si="48"/>
        <v>RF</v>
      </c>
      <c r="AT346" s="45">
        <v>930</v>
      </c>
      <c r="AU346" s="45">
        <v>342</v>
      </c>
      <c r="AV346" s="45"/>
      <c r="AW346" s="45" t="str">
        <f t="shared" si="49"/>
        <v>Unlikely</v>
      </c>
      <c r="AX346" s="45"/>
      <c r="AY346" s="45">
        <f>INDEX(Table5[[#All],[Ovr]],MATCH(Batters[[#This Row],[PID]],Table5[[#All],[PID]],0))</f>
        <v>494</v>
      </c>
      <c r="AZ346" s="45" t="str">
        <f>INDEX(Table5[[#All],[Rnd]],MATCH(Batters[[#This Row],[PID]],Table5[[#All],[PID]],0))</f>
        <v>15</v>
      </c>
      <c r="BA346" s="45">
        <f>INDEX(Table5[[#All],[Pick]],MATCH(Batters[[#This Row],[PID]],Table5[[#All],[PID]],0))</f>
        <v>27</v>
      </c>
      <c r="BB346" s="45" t="str">
        <f>INDEX(Table5[[#All],[Team]],MATCH(Batters[[#This Row],[PID]],Table5[[#All],[PID]],0))</f>
        <v>Havana Leones</v>
      </c>
    </row>
    <row r="347" spans="1:54" ht="15" customHeight="1" x14ac:dyDescent="0.3">
      <c r="A347" s="40">
        <v>5246</v>
      </c>
      <c r="B347" s="40" t="s">
        <v>69</v>
      </c>
      <c r="C347" s="40" t="s">
        <v>148</v>
      </c>
      <c r="D347" s="40" t="s">
        <v>306</v>
      </c>
      <c r="E347" s="40">
        <v>22</v>
      </c>
      <c r="F347" s="40" t="s">
        <v>42</v>
      </c>
      <c r="G347" s="40" t="s">
        <v>42</v>
      </c>
      <c r="H347" s="41" t="s">
        <v>552</v>
      </c>
      <c r="I347" s="64" t="s">
        <v>43</v>
      </c>
      <c r="J347" s="65" t="s">
        <v>44</v>
      </c>
      <c r="K347" s="66" t="s">
        <v>43</v>
      </c>
      <c r="L347" s="40">
        <v>2</v>
      </c>
      <c r="M347" s="40">
        <v>2</v>
      </c>
      <c r="N347" s="40">
        <v>2</v>
      </c>
      <c r="O347" s="40">
        <v>2</v>
      </c>
      <c r="P347" s="41">
        <v>1</v>
      </c>
      <c r="Q347" s="40">
        <v>4</v>
      </c>
      <c r="R347" s="40">
        <v>3</v>
      </c>
      <c r="S347" s="40">
        <v>2</v>
      </c>
      <c r="T347" s="40">
        <v>5</v>
      </c>
      <c r="U347" s="41">
        <v>5</v>
      </c>
      <c r="V347" s="40">
        <v>10</v>
      </c>
      <c r="W347" s="40">
        <v>9</v>
      </c>
      <c r="X347" s="40">
        <v>1</v>
      </c>
      <c r="Y347" s="41">
        <v>1</v>
      </c>
      <c r="Z347" s="40" t="s">
        <v>45</v>
      </c>
      <c r="AA347" s="40" t="s">
        <v>45</v>
      </c>
      <c r="AB347" s="40" t="s">
        <v>45</v>
      </c>
      <c r="AC347" s="40">
        <v>5</v>
      </c>
      <c r="AD347" s="40" t="s">
        <v>45</v>
      </c>
      <c r="AE347" s="40" t="s">
        <v>45</v>
      </c>
      <c r="AF347" s="40" t="s">
        <v>45</v>
      </c>
      <c r="AG347" s="41" t="s">
        <v>45</v>
      </c>
      <c r="AH347" s="40">
        <v>1</v>
      </c>
      <c r="AI347" s="40">
        <v>5</v>
      </c>
      <c r="AJ347" s="41">
        <v>7</v>
      </c>
      <c r="AK347" s="43" t="s">
        <v>557</v>
      </c>
      <c r="AL347" s="43" t="s">
        <v>103</v>
      </c>
      <c r="AM347" s="44">
        <f t="shared" si="44"/>
        <v>-1.5379565899727115</v>
      </c>
      <c r="AN347" s="44">
        <f t="shared" si="45"/>
        <v>-0.41259102865158137</v>
      </c>
      <c r="AO347" s="45">
        <f t="shared" si="46"/>
        <v>1</v>
      </c>
      <c r="AP347" s="46">
        <f t="shared" si="47"/>
        <v>0.75</v>
      </c>
      <c r="AQ347" s="44">
        <f>($AM$3*AM347+$AN$3*AN347+$AO$3*AO347+$AP$3*AP347)+$I$3*VLOOKUP(I347,COND!$A$2:$E$7,4,FALSE)+$J$3*VLOOKUP(J347,COND!$A$2:$C$7,2,FALSE)+$K$3*VLOOKUP(K347,COND!$A$2:$C$7,3,FALSE)+IF(AND($B$2&gt;0,$E347&lt;20),$B$2*25,0)</f>
        <v>40.511778663850421</v>
      </c>
      <c r="AR347" s="47">
        <f t="shared" si="50"/>
        <v>-0.3950936186141607</v>
      </c>
      <c r="AS347" s="45" t="str">
        <f t="shared" si="48"/>
        <v>3B</v>
      </c>
      <c r="AT347" s="45">
        <v>930</v>
      </c>
      <c r="AU347" s="45">
        <v>343</v>
      </c>
      <c r="AV347" s="45"/>
      <c r="AW347" s="45" t="str">
        <f t="shared" si="49"/>
        <v>Unlikely</v>
      </c>
      <c r="AX347" s="45"/>
      <c r="AY347" s="45">
        <f>INDEX(Table5[[#All],[Ovr]],MATCH(Batters[[#This Row],[PID]],Table5[[#All],[PID]],0))</f>
        <v>579</v>
      </c>
      <c r="AZ347" s="45" t="str">
        <f>INDEX(Table5[[#All],[Rnd]],MATCH(Batters[[#This Row],[PID]],Table5[[#All],[PID]],0))</f>
        <v>18</v>
      </c>
      <c r="BA347" s="45">
        <f>INDEX(Table5[[#All],[Pick]],MATCH(Batters[[#This Row],[PID]],Table5[[#All],[PID]],0))</f>
        <v>10</v>
      </c>
      <c r="BB347" s="45" t="str">
        <f>INDEX(Table5[[#All],[Team]],MATCH(Batters[[#This Row],[PID]],Table5[[#All],[PID]],0))</f>
        <v>London Underground</v>
      </c>
    </row>
    <row r="348" spans="1:54" ht="15" customHeight="1" x14ac:dyDescent="0.3">
      <c r="A348" s="40">
        <v>9084</v>
      </c>
      <c r="B348" s="40" t="s">
        <v>86</v>
      </c>
      <c r="C348" s="40" t="s">
        <v>176</v>
      </c>
      <c r="D348" s="40" t="s">
        <v>722</v>
      </c>
      <c r="E348" s="40">
        <v>17</v>
      </c>
      <c r="F348" s="40" t="s">
        <v>53</v>
      </c>
      <c r="G348" s="40" t="s">
        <v>42</v>
      </c>
      <c r="H348" s="41" t="s">
        <v>552</v>
      </c>
      <c r="I348" s="64" t="s">
        <v>43</v>
      </c>
      <c r="J348" s="65" t="s">
        <v>44</v>
      </c>
      <c r="K348" s="66" t="s">
        <v>43</v>
      </c>
      <c r="L348" s="40">
        <v>1</v>
      </c>
      <c r="M348" s="40">
        <v>2</v>
      </c>
      <c r="N348" s="40">
        <v>2</v>
      </c>
      <c r="O348" s="40">
        <v>2</v>
      </c>
      <c r="P348" s="41">
        <v>1</v>
      </c>
      <c r="Q348" s="40">
        <v>3</v>
      </c>
      <c r="R348" s="40">
        <v>3</v>
      </c>
      <c r="S348" s="40">
        <v>2</v>
      </c>
      <c r="T348" s="40">
        <v>5</v>
      </c>
      <c r="U348" s="41">
        <v>4</v>
      </c>
      <c r="V348" s="40">
        <v>4</v>
      </c>
      <c r="W348" s="40">
        <v>3</v>
      </c>
      <c r="X348" s="40">
        <v>5</v>
      </c>
      <c r="Y348" s="41">
        <v>6</v>
      </c>
      <c r="Z348" s="40" t="s">
        <v>45</v>
      </c>
      <c r="AA348" s="40" t="s">
        <v>45</v>
      </c>
      <c r="AB348" s="40" t="s">
        <v>45</v>
      </c>
      <c r="AC348" s="40" t="s">
        <v>45</v>
      </c>
      <c r="AD348" s="40" t="s">
        <v>45</v>
      </c>
      <c r="AE348" s="40" t="s">
        <v>45</v>
      </c>
      <c r="AF348" s="40" t="s">
        <v>45</v>
      </c>
      <c r="AG348" s="41" t="s">
        <v>45</v>
      </c>
      <c r="AH348" s="40">
        <v>1</v>
      </c>
      <c r="AI348" s="40">
        <v>3</v>
      </c>
      <c r="AJ348" s="41">
        <v>1</v>
      </c>
      <c r="AK348" s="43" t="s">
        <v>568</v>
      </c>
      <c r="AL348" s="43" t="s">
        <v>103</v>
      </c>
      <c r="AM348" s="44">
        <f t="shared" si="44"/>
        <v>-1.8605124261753858</v>
      </c>
      <c r="AN348" s="44">
        <f t="shared" si="45"/>
        <v>-0.77516320467133948</v>
      </c>
      <c r="AO348" s="45">
        <f t="shared" si="46"/>
        <v>0</v>
      </c>
      <c r="AP348" s="46">
        <f t="shared" si="47"/>
        <v>0</v>
      </c>
      <c r="AQ348" s="44">
        <f>($AM$3*AM348+$AN$3*AN348+$AO$3*AO348+$AP$3*AP348)+$I$3*VLOOKUP(I348,COND!$A$2:$E$7,4,FALSE)+$J$3*VLOOKUP(J348,COND!$A$2:$C$7,2,FALSE)+$K$3*VLOOKUP(K348,COND!$A$2:$C$7,3,FALSE)+IF(AND($B$2&gt;0,$E348&lt;20),$B$2*25,0)</f>
        <v>40.211990301326388</v>
      </c>
      <c r="AR348" s="47">
        <f t="shared" si="50"/>
        <v>-0.43885315918600892</v>
      </c>
      <c r="AS348" s="45" t="str">
        <f t="shared" si="48"/>
        <v>DH</v>
      </c>
      <c r="AT348" s="45">
        <v>930</v>
      </c>
      <c r="AU348" s="45">
        <v>344</v>
      </c>
      <c r="AV348" s="45"/>
      <c r="AW348" s="45" t="str">
        <f t="shared" si="49"/>
        <v>Unlikely</v>
      </c>
      <c r="AX348" s="45"/>
      <c r="AY348" s="63" t="str">
        <f>INDEX(Table5[[#All],[Ovr]],MATCH(Batters[[#This Row],[PID]],Table5[[#All],[PID]],0))</f>
        <v/>
      </c>
      <c r="AZ348" s="63" t="str">
        <f>INDEX(Table5[[#All],[Rnd]],MATCH(Batters[[#This Row],[PID]],Table5[[#All],[PID]],0))</f>
        <v/>
      </c>
      <c r="BA348" s="63" t="str">
        <f>INDEX(Table5[[#All],[Pick]],MATCH(Batters[[#This Row],[PID]],Table5[[#All],[PID]],0))</f>
        <v/>
      </c>
      <c r="BB348" s="63" t="str">
        <f>INDEX(Table5[[#All],[Team]],MATCH(Batters[[#This Row],[PID]],Table5[[#All],[PID]],0))</f>
        <v/>
      </c>
    </row>
    <row r="349" spans="1:54" ht="15" customHeight="1" x14ac:dyDescent="0.3">
      <c r="A349" s="40">
        <v>10096</v>
      </c>
      <c r="B349" s="40" t="s">
        <v>86</v>
      </c>
      <c r="C349" s="40" t="s">
        <v>1163</v>
      </c>
      <c r="D349" s="40" t="s">
        <v>814</v>
      </c>
      <c r="E349" s="40">
        <v>17</v>
      </c>
      <c r="F349" s="40" t="s">
        <v>42</v>
      </c>
      <c r="G349" s="40" t="s">
        <v>42</v>
      </c>
      <c r="H349" s="41" t="s">
        <v>552</v>
      </c>
      <c r="I349" s="64" t="s">
        <v>44</v>
      </c>
      <c r="J349" s="65" t="s">
        <v>44</v>
      </c>
      <c r="K349" s="66" t="s">
        <v>43</v>
      </c>
      <c r="L349" s="40">
        <v>1</v>
      </c>
      <c r="M349" s="40">
        <v>2</v>
      </c>
      <c r="N349" s="40">
        <v>2</v>
      </c>
      <c r="O349" s="40">
        <v>2</v>
      </c>
      <c r="P349" s="41">
        <v>1</v>
      </c>
      <c r="Q349" s="40">
        <v>3</v>
      </c>
      <c r="R349" s="40">
        <v>4</v>
      </c>
      <c r="S349" s="40">
        <v>2</v>
      </c>
      <c r="T349" s="40">
        <v>4</v>
      </c>
      <c r="U349" s="41">
        <v>5</v>
      </c>
      <c r="V349" s="40">
        <v>4</v>
      </c>
      <c r="W349" s="40">
        <v>4</v>
      </c>
      <c r="X349" s="40">
        <v>6</v>
      </c>
      <c r="Y349" s="41">
        <v>5</v>
      </c>
      <c r="Z349" s="40" t="s">
        <v>45</v>
      </c>
      <c r="AA349" s="40" t="s">
        <v>45</v>
      </c>
      <c r="AB349" s="40" t="s">
        <v>45</v>
      </c>
      <c r="AC349" s="40" t="s">
        <v>45</v>
      </c>
      <c r="AD349" s="40" t="s">
        <v>45</v>
      </c>
      <c r="AE349" s="40" t="s">
        <v>45</v>
      </c>
      <c r="AF349" s="40" t="s">
        <v>45</v>
      </c>
      <c r="AG349" s="41" t="s">
        <v>45</v>
      </c>
      <c r="AH349" s="40">
        <v>1</v>
      </c>
      <c r="AI349" s="40">
        <v>1</v>
      </c>
      <c r="AJ349" s="41">
        <v>2</v>
      </c>
      <c r="AK349" s="43" t="s">
        <v>493</v>
      </c>
      <c r="AL349" s="43" t="s">
        <v>103</v>
      </c>
      <c r="AM349" s="44">
        <f t="shared" si="44"/>
        <v>-1.8605124261753858</v>
      </c>
      <c r="AN349" s="44">
        <f t="shared" si="45"/>
        <v>-0.77379653524513359</v>
      </c>
      <c r="AO349" s="45">
        <f t="shared" si="46"/>
        <v>0</v>
      </c>
      <c r="AP349" s="46">
        <f t="shared" si="47"/>
        <v>0</v>
      </c>
      <c r="AQ349" s="44">
        <f>($AM$3*AM349+$AN$3*AN349+$AO$3*AO349+$AP$3*AP349)+$I$3*VLOOKUP(I349,COND!$A$2:$E$7,4,FALSE)+$J$3*VLOOKUP(J349,COND!$A$2:$C$7,2,FALSE)+$K$3*VLOOKUP(K349,COND!$A$2:$C$7,3,FALSE)+IF(AND($B$2&gt;0,$E349&lt;20),$B$2*25,0)</f>
        <v>40.078390334440854</v>
      </c>
      <c r="AR349" s="47">
        <f t="shared" si="50"/>
        <v>-0.4583544938012124</v>
      </c>
      <c r="AS349" s="45" t="str">
        <f t="shared" si="48"/>
        <v>DH</v>
      </c>
      <c r="AT349" s="45">
        <v>930</v>
      </c>
      <c r="AU349" s="45">
        <v>345</v>
      </c>
      <c r="AV349" s="45"/>
      <c r="AW349" s="45" t="str">
        <f t="shared" si="49"/>
        <v>Unlikely</v>
      </c>
      <c r="AX349" s="45"/>
      <c r="AY349" s="45" t="str">
        <f>INDEX(Table5[[#All],[Ovr]],MATCH(Batters[[#This Row],[PID]],Table5[[#All],[PID]],0))</f>
        <v/>
      </c>
      <c r="AZ349" s="45" t="str">
        <f>INDEX(Table5[[#All],[Rnd]],MATCH(Batters[[#This Row],[PID]],Table5[[#All],[PID]],0))</f>
        <v/>
      </c>
      <c r="BA349" s="45" t="str">
        <f>INDEX(Table5[[#All],[Pick]],MATCH(Batters[[#This Row],[PID]],Table5[[#All],[PID]],0))</f>
        <v/>
      </c>
      <c r="BB349" s="45" t="str">
        <f>INDEX(Table5[[#All],[Team]],MATCH(Batters[[#This Row],[PID]],Table5[[#All],[PID]],0))</f>
        <v/>
      </c>
    </row>
    <row r="350" spans="1:54" ht="15" customHeight="1" x14ac:dyDescent="0.3">
      <c r="A350" s="40">
        <v>11764</v>
      </c>
      <c r="B350" s="40" t="s">
        <v>87</v>
      </c>
      <c r="C350" s="40" t="s">
        <v>633</v>
      </c>
      <c r="D350" s="40" t="s">
        <v>910</v>
      </c>
      <c r="E350" s="40">
        <v>17</v>
      </c>
      <c r="F350" s="40" t="s">
        <v>42</v>
      </c>
      <c r="G350" s="40" t="s">
        <v>42</v>
      </c>
      <c r="H350" s="41" t="s">
        <v>561</v>
      </c>
      <c r="I350" s="64" t="s">
        <v>44</v>
      </c>
      <c r="J350" s="65" t="s">
        <v>44</v>
      </c>
      <c r="K350" s="66" t="s">
        <v>43</v>
      </c>
      <c r="L350" s="40">
        <v>1</v>
      </c>
      <c r="M350" s="40">
        <v>1</v>
      </c>
      <c r="N350" s="40">
        <v>2</v>
      </c>
      <c r="O350" s="40">
        <v>2</v>
      </c>
      <c r="P350" s="41">
        <v>2</v>
      </c>
      <c r="Q350" s="40">
        <v>3</v>
      </c>
      <c r="R350" s="40">
        <v>3</v>
      </c>
      <c r="S350" s="40">
        <v>2</v>
      </c>
      <c r="T350" s="40">
        <v>5</v>
      </c>
      <c r="U350" s="41">
        <v>4</v>
      </c>
      <c r="V350" s="40">
        <v>1</v>
      </c>
      <c r="W350" s="40">
        <v>3</v>
      </c>
      <c r="X350" s="40">
        <v>6</v>
      </c>
      <c r="Y350" s="41">
        <v>6</v>
      </c>
      <c r="Z350" s="40" t="s">
        <v>45</v>
      </c>
      <c r="AA350" s="40" t="s">
        <v>45</v>
      </c>
      <c r="AB350" s="40" t="s">
        <v>45</v>
      </c>
      <c r="AC350" s="40" t="s">
        <v>45</v>
      </c>
      <c r="AD350" s="40" t="s">
        <v>45</v>
      </c>
      <c r="AE350" s="40" t="s">
        <v>45</v>
      </c>
      <c r="AF350" s="40" t="s">
        <v>45</v>
      </c>
      <c r="AG350" s="41" t="s">
        <v>45</v>
      </c>
      <c r="AH350" s="40">
        <v>2</v>
      </c>
      <c r="AI350" s="40">
        <v>1</v>
      </c>
      <c r="AJ350" s="41">
        <v>1</v>
      </c>
      <c r="AK350" s="43" t="s">
        <v>504</v>
      </c>
      <c r="AL350" s="43" t="s">
        <v>103</v>
      </c>
      <c r="AM350" s="44">
        <f t="shared" si="44"/>
        <v>-1.871555965977006</v>
      </c>
      <c r="AN350" s="44">
        <f t="shared" si="45"/>
        <v>-0.77516320467133948</v>
      </c>
      <c r="AO350" s="45">
        <f t="shared" si="46"/>
        <v>0</v>
      </c>
      <c r="AP350" s="46">
        <f t="shared" si="47"/>
        <v>0</v>
      </c>
      <c r="AQ350" s="44">
        <f>($AM$3*AM350+$AN$3*AN350+$AO$3*AO350+$AP$3*AP350)+$I$3*VLOOKUP(I350,COND!$A$2:$E$7,4,FALSE)+$J$3*VLOOKUP(J350,COND!$A$2:$C$7,2,FALSE)+$K$3*VLOOKUP(K350,COND!$A$2:$C$7,3,FALSE)+IF(AND($B$2&gt;0,$E350&lt;20),$B$2*25,0)</f>
        <v>40.060885947346222</v>
      </c>
      <c r="AR350" s="47">
        <f t="shared" si="50"/>
        <v>-0.4609095760959479</v>
      </c>
      <c r="AS350" s="45" t="str">
        <f t="shared" si="48"/>
        <v>DH</v>
      </c>
      <c r="AT350" s="45">
        <v>930</v>
      </c>
      <c r="AU350" s="45">
        <v>346</v>
      </c>
      <c r="AV350" s="45"/>
      <c r="AW350" s="45" t="str">
        <f t="shared" si="49"/>
        <v>Unlikely</v>
      </c>
      <c r="AX350" s="45"/>
      <c r="AY350" s="45" t="str">
        <f>INDEX(Table5[[#All],[Ovr]],MATCH(Batters[[#This Row],[PID]],Table5[[#All],[PID]],0))</f>
        <v/>
      </c>
      <c r="AZ350" s="45" t="str">
        <f>INDEX(Table5[[#All],[Rnd]],MATCH(Batters[[#This Row],[PID]],Table5[[#All],[PID]],0))</f>
        <v/>
      </c>
      <c r="BA350" s="45" t="str">
        <f>INDEX(Table5[[#All],[Pick]],MATCH(Batters[[#This Row],[PID]],Table5[[#All],[PID]],0))</f>
        <v/>
      </c>
      <c r="BB350" s="45" t="str">
        <f>INDEX(Table5[[#All],[Team]],MATCH(Batters[[#This Row],[PID]],Table5[[#All],[PID]],0))</f>
        <v/>
      </c>
    </row>
    <row r="351" spans="1:54" ht="15" customHeight="1" x14ac:dyDescent="0.3">
      <c r="A351" s="40">
        <v>20963</v>
      </c>
      <c r="B351" s="40" t="s">
        <v>87</v>
      </c>
      <c r="C351" s="40" t="s">
        <v>401</v>
      </c>
      <c r="D351" s="40" t="s">
        <v>1290</v>
      </c>
      <c r="E351" s="40">
        <v>17</v>
      </c>
      <c r="F351" s="40" t="s">
        <v>42</v>
      </c>
      <c r="G351" s="40" t="s">
        <v>42</v>
      </c>
      <c r="H351" s="41" t="s">
        <v>553</v>
      </c>
      <c r="I351" s="64" t="s">
        <v>43</v>
      </c>
      <c r="J351" s="65" t="s">
        <v>44</v>
      </c>
      <c r="K351" s="66" t="s">
        <v>43</v>
      </c>
      <c r="L351" s="40">
        <v>1</v>
      </c>
      <c r="M351" s="40">
        <v>1</v>
      </c>
      <c r="N351" s="40">
        <v>2</v>
      </c>
      <c r="O351" s="40">
        <v>2</v>
      </c>
      <c r="P351" s="41">
        <v>1</v>
      </c>
      <c r="Q351" s="40">
        <v>3</v>
      </c>
      <c r="R351" s="40">
        <v>3</v>
      </c>
      <c r="S351" s="40">
        <v>2</v>
      </c>
      <c r="T351" s="40">
        <v>5</v>
      </c>
      <c r="U351" s="41">
        <v>3</v>
      </c>
      <c r="V351" s="40">
        <v>3</v>
      </c>
      <c r="W351" s="40">
        <v>2</v>
      </c>
      <c r="X351" s="40">
        <v>3</v>
      </c>
      <c r="Y351" s="41">
        <v>6</v>
      </c>
      <c r="Z351" s="40" t="s">
        <v>45</v>
      </c>
      <c r="AA351" s="40" t="s">
        <v>45</v>
      </c>
      <c r="AB351" s="40" t="s">
        <v>45</v>
      </c>
      <c r="AC351" s="40" t="s">
        <v>45</v>
      </c>
      <c r="AD351" s="40" t="s">
        <v>45</v>
      </c>
      <c r="AE351" s="40" t="s">
        <v>45</v>
      </c>
      <c r="AF351" s="40" t="s">
        <v>45</v>
      </c>
      <c r="AG351" s="41" t="s">
        <v>45</v>
      </c>
      <c r="AH351" s="40">
        <v>1</v>
      </c>
      <c r="AI351" s="40">
        <v>1</v>
      </c>
      <c r="AJ351" s="41">
        <v>1</v>
      </c>
      <c r="AK351" s="43" t="s">
        <v>558</v>
      </c>
      <c r="AL351" s="43" t="s">
        <v>103</v>
      </c>
      <c r="AM351" s="44">
        <f t="shared" si="44"/>
        <v>-1.9115723057940897</v>
      </c>
      <c r="AN351" s="44">
        <f t="shared" si="45"/>
        <v>-0.815179544488423</v>
      </c>
      <c r="AO351" s="45">
        <f t="shared" si="46"/>
        <v>0</v>
      </c>
      <c r="AP351" s="46">
        <f t="shared" si="47"/>
        <v>0</v>
      </c>
      <c r="AQ351" s="44">
        <f>($AM$3*AM351+$AN$3*AN351+$AO$3*AO351+$AP$3*AP351)+$I$3*VLOOKUP(I351,COND!$A$2:$E$7,4,FALSE)+$J$3*VLOOKUP(J351,COND!$A$2:$C$7,2,FALSE)+$K$3*VLOOKUP(K351,COND!$A$2:$C$7,3,FALSE)+IF(AND($B$2&gt;0,$E351&lt;20),$B$2*25,0)</f>
        <v>39.726688235559514</v>
      </c>
      <c r="AR351" s="47">
        <f t="shared" si="50"/>
        <v>-0.50969178433385731</v>
      </c>
      <c r="AS351" s="45" t="str">
        <f t="shared" si="48"/>
        <v>DH</v>
      </c>
      <c r="AT351" s="45">
        <v>930</v>
      </c>
      <c r="AU351" s="45">
        <v>347</v>
      </c>
      <c r="AV351" s="45"/>
      <c r="AW351" s="45" t="str">
        <f t="shared" si="49"/>
        <v>Unlikely</v>
      </c>
      <c r="AX351" s="45"/>
      <c r="AY351" s="45" t="str">
        <f>INDEX(Table5[[#All],[Ovr]],MATCH(Batters[[#This Row],[PID]],Table5[[#All],[PID]],0))</f>
        <v/>
      </c>
      <c r="AZ351" s="45" t="str">
        <f>INDEX(Table5[[#All],[Rnd]],MATCH(Batters[[#This Row],[PID]],Table5[[#All],[PID]],0))</f>
        <v/>
      </c>
      <c r="BA351" s="45" t="str">
        <f>INDEX(Table5[[#All],[Pick]],MATCH(Batters[[#This Row],[PID]],Table5[[#All],[PID]],0))</f>
        <v/>
      </c>
      <c r="BB351" s="45" t="str">
        <f>INDEX(Table5[[#All],[Team]],MATCH(Batters[[#This Row],[PID]],Table5[[#All],[PID]],0))</f>
        <v/>
      </c>
    </row>
    <row r="352" spans="1:54" ht="15" customHeight="1" x14ac:dyDescent="0.3">
      <c r="A352" s="40">
        <v>20999</v>
      </c>
      <c r="B352" s="40" t="s">
        <v>50</v>
      </c>
      <c r="C352" s="40" t="s">
        <v>481</v>
      </c>
      <c r="D352" s="40" t="s">
        <v>152</v>
      </c>
      <c r="E352" s="40">
        <v>17</v>
      </c>
      <c r="F352" s="40" t="s">
        <v>62</v>
      </c>
      <c r="G352" s="40" t="s">
        <v>53</v>
      </c>
      <c r="H352" s="41" t="s">
        <v>552</v>
      </c>
      <c r="I352" s="64" t="s">
        <v>44</v>
      </c>
      <c r="J352" s="65" t="s">
        <v>44</v>
      </c>
      <c r="K352" s="66" t="s">
        <v>43</v>
      </c>
      <c r="L352" s="40">
        <v>1</v>
      </c>
      <c r="M352" s="40">
        <v>3</v>
      </c>
      <c r="N352" s="40">
        <v>2</v>
      </c>
      <c r="O352" s="40">
        <v>3</v>
      </c>
      <c r="P352" s="41">
        <v>1</v>
      </c>
      <c r="Q352" s="40">
        <v>2</v>
      </c>
      <c r="R352" s="40">
        <v>5</v>
      </c>
      <c r="S352" s="40">
        <v>4</v>
      </c>
      <c r="T352" s="40">
        <v>6</v>
      </c>
      <c r="U352" s="41">
        <v>2</v>
      </c>
      <c r="V352" s="40">
        <v>2</v>
      </c>
      <c r="W352" s="40">
        <v>5</v>
      </c>
      <c r="X352" s="40">
        <v>1</v>
      </c>
      <c r="Y352" s="41">
        <v>1</v>
      </c>
      <c r="Z352" s="40" t="s">
        <v>45</v>
      </c>
      <c r="AA352" s="40" t="s">
        <v>45</v>
      </c>
      <c r="AB352" s="40" t="s">
        <v>45</v>
      </c>
      <c r="AC352" s="40" t="s">
        <v>45</v>
      </c>
      <c r="AD352" s="40" t="s">
        <v>45</v>
      </c>
      <c r="AE352" s="40">
        <v>2</v>
      </c>
      <c r="AF352" s="40">
        <v>1</v>
      </c>
      <c r="AG352" s="41">
        <v>1</v>
      </c>
      <c r="AH352" s="40">
        <v>6</v>
      </c>
      <c r="AI352" s="40">
        <v>4</v>
      </c>
      <c r="AJ352" s="41">
        <v>4</v>
      </c>
      <c r="AK352" s="43" t="s">
        <v>45</v>
      </c>
      <c r="AL352" s="43" t="s">
        <v>103</v>
      </c>
      <c r="AM352" s="44">
        <f t="shared" si="44"/>
        <v>-1.7197429965471014</v>
      </c>
      <c r="AN352" s="44">
        <f t="shared" si="45"/>
        <v>-0.81979942321339028</v>
      </c>
      <c r="AO352" s="45">
        <f t="shared" si="46"/>
        <v>0</v>
      </c>
      <c r="AP352" s="46">
        <f t="shared" si="47"/>
        <v>0</v>
      </c>
      <c r="AQ352" s="44">
        <f>($AM$3*AM352+$AN$3*AN352+$AO$3*AO352+$AP$3*AP352)+$I$3*VLOOKUP(I352,COND!$A$2:$E$7,4,FALSE)+$J$3*VLOOKUP(J352,COND!$A$2:$C$7,2,FALSE)+$K$3*VLOOKUP(K352,COND!$A$2:$C$7,3,FALSE)+IF(AND($B$2&gt;0,$E352&lt;20),$B$2*25,0)</f>
        <v>39.540432621784603</v>
      </c>
      <c r="AR352" s="47">
        <f>STANDARDIZE(AQ352,AVERAGE($AQ$5:$AQ$459),STDEVP($AQ$5:$AQ$459))</f>
        <v>-0.5203981439099048</v>
      </c>
      <c r="AS352" s="45" t="str">
        <f t="shared" si="48"/>
        <v>LF</v>
      </c>
      <c r="AT352" s="45">
        <v>930</v>
      </c>
      <c r="AU352" s="45">
        <v>348</v>
      </c>
      <c r="AV352" s="45"/>
      <c r="AW352" s="45" t="str">
        <f t="shared" si="49"/>
        <v>Unlikely</v>
      </c>
      <c r="AX352" s="45"/>
      <c r="AY352" s="63" t="str">
        <f>INDEX(Table5[[#All],[Ovr]],MATCH(Batters[[#This Row],[PID]],Table5[[#All],[PID]],0))</f>
        <v/>
      </c>
      <c r="AZ352" s="63" t="str">
        <f>INDEX(Table5[[#All],[Rnd]],MATCH(Batters[[#This Row],[PID]],Table5[[#All],[PID]],0))</f>
        <v/>
      </c>
      <c r="BA352" s="63" t="str">
        <f>INDEX(Table5[[#All],[Pick]],MATCH(Batters[[#This Row],[PID]],Table5[[#All],[PID]],0))</f>
        <v/>
      </c>
      <c r="BB352" s="63" t="str">
        <f>INDEX(Table5[[#All],[Team]],MATCH(Batters[[#This Row],[PID]],Table5[[#All],[PID]],0))</f>
        <v/>
      </c>
    </row>
    <row r="353" spans="1:54" ht="15" customHeight="1" x14ac:dyDescent="0.3">
      <c r="A353" s="40">
        <v>15124</v>
      </c>
      <c r="B353" s="40" t="s">
        <v>86</v>
      </c>
      <c r="C353" s="40" t="s">
        <v>763</v>
      </c>
      <c r="D353" s="40" t="s">
        <v>1203</v>
      </c>
      <c r="E353" s="40">
        <v>21</v>
      </c>
      <c r="F353" s="40" t="s">
        <v>42</v>
      </c>
      <c r="G353" s="40" t="s">
        <v>42</v>
      </c>
      <c r="H353" s="41" t="s">
        <v>552</v>
      </c>
      <c r="I353" s="64" t="s">
        <v>43</v>
      </c>
      <c r="J353" s="65" t="s">
        <v>44</v>
      </c>
      <c r="K353" s="66" t="s">
        <v>43</v>
      </c>
      <c r="L353" s="40">
        <v>2</v>
      </c>
      <c r="M353" s="40">
        <v>2</v>
      </c>
      <c r="N353" s="40">
        <v>3</v>
      </c>
      <c r="O353" s="40">
        <v>3</v>
      </c>
      <c r="P353" s="41">
        <v>1</v>
      </c>
      <c r="Q353" s="40">
        <v>3</v>
      </c>
      <c r="R353" s="40">
        <v>4</v>
      </c>
      <c r="S353" s="40">
        <v>4</v>
      </c>
      <c r="T353" s="40">
        <v>6</v>
      </c>
      <c r="U353" s="41">
        <v>3</v>
      </c>
      <c r="V353" s="40">
        <v>2</v>
      </c>
      <c r="W353" s="40">
        <v>3</v>
      </c>
      <c r="X353" s="40">
        <v>5</v>
      </c>
      <c r="Y353" s="41">
        <v>6</v>
      </c>
      <c r="Z353" s="40">
        <v>2</v>
      </c>
      <c r="AA353" s="40" t="s">
        <v>45</v>
      </c>
      <c r="AB353" s="40" t="s">
        <v>45</v>
      </c>
      <c r="AC353" s="40" t="s">
        <v>45</v>
      </c>
      <c r="AD353" s="40" t="s">
        <v>45</v>
      </c>
      <c r="AE353" s="40" t="s">
        <v>45</v>
      </c>
      <c r="AF353" s="40" t="s">
        <v>45</v>
      </c>
      <c r="AG353" s="41" t="s">
        <v>45</v>
      </c>
      <c r="AH353" s="40">
        <v>2</v>
      </c>
      <c r="AI353" s="40">
        <v>6</v>
      </c>
      <c r="AJ353" s="41">
        <v>5</v>
      </c>
      <c r="AK353" s="43" t="s">
        <v>576</v>
      </c>
      <c r="AL353" s="43" t="s">
        <v>103</v>
      </c>
      <c r="AM353" s="44">
        <f t="shared" si="44"/>
        <v>-1.3651855459392288</v>
      </c>
      <c r="AN353" s="44">
        <f t="shared" si="45"/>
        <v>-0.50828712681233545</v>
      </c>
      <c r="AO353" s="45">
        <f t="shared" si="46"/>
        <v>0</v>
      </c>
      <c r="AP353" s="46">
        <f t="shared" si="47"/>
        <v>1.1000000000000001</v>
      </c>
      <c r="AQ353" s="44">
        <f>($AM$3*AM353+$AN$3*AN353+$AO$3*AO353+$AP$3*AP353)+$I$3*VLOOKUP(I353,COND!$A$2:$E$7,4,FALSE)+$J$3*VLOOKUP(J353,COND!$A$2:$C$7,2,FALSE)+$K$3*VLOOKUP(K353,COND!$A$2:$C$7,3,FALSE)+IF(AND($B$2&gt;0,$E353&lt;20),$B$2*25,0)</f>
        <v>39.564035923658054</v>
      </c>
      <c r="AR353" s="47">
        <f>STANDARDIZE(AQ353,AVERAGE($AQ$5:$AQ$442),STDEVP($AQ$5:$AQ$442))</f>
        <v>-0.53343383483185247</v>
      </c>
      <c r="AS353" s="45" t="str">
        <f t="shared" si="48"/>
        <v>C</v>
      </c>
      <c r="AT353" s="45">
        <v>930</v>
      </c>
      <c r="AU353" s="45">
        <v>349</v>
      </c>
      <c r="AV353" s="45"/>
      <c r="AW353" s="45" t="str">
        <f t="shared" si="49"/>
        <v>Unlikely</v>
      </c>
      <c r="AX353" s="45"/>
      <c r="AY353" s="45">
        <f>INDEX(Table5[[#All],[Ovr]],MATCH(Batters[[#This Row],[PID]],Table5[[#All],[PID]],0))</f>
        <v>228</v>
      </c>
      <c r="AZ353" s="45" t="str">
        <f>INDEX(Table5[[#All],[Rnd]],MATCH(Batters[[#This Row],[PID]],Table5[[#All],[PID]],0))</f>
        <v>7</v>
      </c>
      <c r="BA353" s="45">
        <f>INDEX(Table5[[#All],[Pick]],MATCH(Batters[[#This Row],[PID]],Table5[[#All],[PID]],0))</f>
        <v>27</v>
      </c>
      <c r="BB353" s="45" t="str">
        <f>INDEX(Table5[[#All],[Team]],MATCH(Batters[[#This Row],[PID]],Table5[[#All],[PID]],0))</f>
        <v>Havana Leones</v>
      </c>
    </row>
    <row r="354" spans="1:54" ht="15" customHeight="1" x14ac:dyDescent="0.3">
      <c r="A354" s="40">
        <v>13025</v>
      </c>
      <c r="B354" s="40" t="s">
        <v>86</v>
      </c>
      <c r="C354" s="40" t="s">
        <v>1296</v>
      </c>
      <c r="D354" s="40" t="s">
        <v>1297</v>
      </c>
      <c r="E354" s="40">
        <v>18</v>
      </c>
      <c r="F354" s="40" t="s">
        <v>42</v>
      </c>
      <c r="G354" s="40" t="s">
        <v>42</v>
      </c>
      <c r="H354" s="41" t="s">
        <v>553</v>
      </c>
      <c r="I354" s="64" t="s">
        <v>44</v>
      </c>
      <c r="J354" s="65" t="s">
        <v>44</v>
      </c>
      <c r="K354" s="66" t="s">
        <v>47</v>
      </c>
      <c r="L354" s="40">
        <v>1</v>
      </c>
      <c r="M354" s="40">
        <v>1</v>
      </c>
      <c r="N354" s="40">
        <v>2</v>
      </c>
      <c r="O354" s="40">
        <v>3</v>
      </c>
      <c r="P354" s="41">
        <v>1</v>
      </c>
      <c r="Q354" s="40">
        <v>3</v>
      </c>
      <c r="R354" s="40">
        <v>2</v>
      </c>
      <c r="S354" s="40">
        <v>2</v>
      </c>
      <c r="T354" s="40">
        <v>4</v>
      </c>
      <c r="U354" s="41">
        <v>4</v>
      </c>
      <c r="V354" s="40">
        <v>1</v>
      </c>
      <c r="W354" s="40">
        <v>1</v>
      </c>
      <c r="X354" s="40">
        <v>6</v>
      </c>
      <c r="Y354" s="41">
        <v>5</v>
      </c>
      <c r="Z354" s="40" t="s">
        <v>45</v>
      </c>
      <c r="AA354" s="40" t="s">
        <v>45</v>
      </c>
      <c r="AB354" s="40" t="s">
        <v>45</v>
      </c>
      <c r="AC354" s="40" t="s">
        <v>45</v>
      </c>
      <c r="AD354" s="40" t="s">
        <v>45</v>
      </c>
      <c r="AE354" s="40" t="s">
        <v>45</v>
      </c>
      <c r="AF354" s="40" t="s">
        <v>45</v>
      </c>
      <c r="AG354" s="41" t="s">
        <v>45</v>
      </c>
      <c r="AH354" s="40">
        <v>1</v>
      </c>
      <c r="AI354" s="40">
        <v>2</v>
      </c>
      <c r="AJ354" s="41">
        <v>1</v>
      </c>
      <c r="AK354" s="43" t="s">
        <v>571</v>
      </c>
      <c r="AL354" s="43" t="s">
        <v>103</v>
      </c>
      <c r="AM354" s="44">
        <f t="shared" si="44"/>
        <v>-1.8218627557845084</v>
      </c>
      <c r="AN354" s="44">
        <f t="shared" si="45"/>
        <v>-0.91593263429962402</v>
      </c>
      <c r="AO354" s="45">
        <f t="shared" si="46"/>
        <v>0</v>
      </c>
      <c r="AP354" s="46">
        <f t="shared" si="47"/>
        <v>0</v>
      </c>
      <c r="AQ354" s="44">
        <f>($AM$3*AM354+$AN$3*AN354+$AO$3*AO354+$AP$3*AP354)+$I$3*VLOOKUP(I354,COND!$A$2:$E$7,4,FALSE)+$J$3*VLOOKUP(J354,COND!$A$2:$C$7,2,FALSE)+$K$3*VLOOKUP(K354,COND!$A$2:$C$7,3,FALSE)+IF(AND($B$2&gt;0,$E354&lt;20),$B$2*25,0)</f>
        <v>38.676622112826067</v>
      </c>
      <c r="AR354" s="47">
        <f>STANDARDIZE(AQ354,AVERAGE($AQ$5:$AQ$442),STDEVP($AQ$5:$AQ$442))</f>
        <v>-0.66296795127377284</v>
      </c>
      <c r="AS354" s="45" t="str">
        <f t="shared" si="48"/>
        <v>DH</v>
      </c>
      <c r="AT354" s="45">
        <v>930</v>
      </c>
      <c r="AU354" s="45">
        <v>350</v>
      </c>
      <c r="AV354" s="45"/>
      <c r="AW354" s="45" t="str">
        <f t="shared" si="49"/>
        <v>Unlikely</v>
      </c>
      <c r="AX354" s="45"/>
      <c r="AY354" s="45" t="str">
        <f>INDEX(Table5[[#All],[Ovr]],MATCH(Batters[[#This Row],[PID]],Table5[[#All],[PID]],0))</f>
        <v/>
      </c>
      <c r="AZ354" s="45" t="str">
        <f>INDEX(Table5[[#All],[Rnd]],MATCH(Batters[[#This Row],[PID]],Table5[[#All],[PID]],0))</f>
        <v/>
      </c>
      <c r="BA354" s="45" t="str">
        <f>INDEX(Table5[[#All],[Pick]],MATCH(Batters[[#This Row],[PID]],Table5[[#All],[PID]],0))</f>
        <v/>
      </c>
      <c r="BB354" s="45" t="str">
        <f>INDEX(Table5[[#All],[Team]],MATCH(Batters[[#This Row],[PID]],Table5[[#All],[PID]],0))</f>
        <v/>
      </c>
    </row>
    <row r="355" spans="1:54" ht="15" customHeight="1" x14ac:dyDescent="0.3">
      <c r="A355" s="40">
        <v>12626</v>
      </c>
      <c r="B355" s="40" t="s">
        <v>86</v>
      </c>
      <c r="C355" s="40" t="s">
        <v>1235</v>
      </c>
      <c r="D355" s="40" t="s">
        <v>1236</v>
      </c>
      <c r="E355" s="40">
        <v>17</v>
      </c>
      <c r="F355" s="40" t="s">
        <v>42</v>
      </c>
      <c r="G355" s="40" t="s">
        <v>42</v>
      </c>
      <c r="H355" s="41" t="s">
        <v>552</v>
      </c>
      <c r="I355" s="64" t="s">
        <v>43</v>
      </c>
      <c r="J355" s="65" t="s">
        <v>44</v>
      </c>
      <c r="K355" s="66" t="s">
        <v>43</v>
      </c>
      <c r="L355" s="40">
        <v>1</v>
      </c>
      <c r="M355" s="40">
        <v>4</v>
      </c>
      <c r="N355" s="40">
        <v>2</v>
      </c>
      <c r="O355" s="40">
        <v>4</v>
      </c>
      <c r="P355" s="41">
        <v>1</v>
      </c>
      <c r="Q355" s="40">
        <v>2</v>
      </c>
      <c r="R355" s="40">
        <v>5</v>
      </c>
      <c r="S355" s="40">
        <v>3</v>
      </c>
      <c r="T355" s="40">
        <v>6</v>
      </c>
      <c r="U355" s="41">
        <v>3</v>
      </c>
      <c r="V355" s="40">
        <v>1</v>
      </c>
      <c r="W355" s="40">
        <v>1</v>
      </c>
      <c r="X355" s="40">
        <v>3</v>
      </c>
      <c r="Y355" s="41">
        <v>5</v>
      </c>
      <c r="Z355" s="40" t="s">
        <v>45</v>
      </c>
      <c r="AA355" s="40" t="s">
        <v>45</v>
      </c>
      <c r="AB355" s="40" t="s">
        <v>45</v>
      </c>
      <c r="AC355" s="40" t="s">
        <v>45</v>
      </c>
      <c r="AD355" s="40" t="s">
        <v>45</v>
      </c>
      <c r="AE355" s="40" t="s">
        <v>45</v>
      </c>
      <c r="AF355" s="40" t="s">
        <v>45</v>
      </c>
      <c r="AG355" s="41" t="s">
        <v>45</v>
      </c>
      <c r="AH355" s="40">
        <v>3</v>
      </c>
      <c r="AI355" s="40">
        <v>3</v>
      </c>
      <c r="AJ355" s="41">
        <v>2</v>
      </c>
      <c r="AK355" s="43" t="s">
        <v>572</v>
      </c>
      <c r="AL355" s="43" t="s">
        <v>103</v>
      </c>
      <c r="AM355" s="44">
        <f t="shared" si="44"/>
        <v>-1.578973566918817</v>
      </c>
      <c r="AN355" s="44">
        <f t="shared" si="45"/>
        <v>-0.86284457742020826</v>
      </c>
      <c r="AO355" s="45">
        <f t="shared" si="46"/>
        <v>0</v>
      </c>
      <c r="AP355" s="46">
        <f t="shared" si="47"/>
        <v>0</v>
      </c>
      <c r="AQ355" s="44">
        <f>($AM$3*AM355+$AN$3*AN355+$AO$3*AO355+$AP$3*AP355)+$I$3*VLOOKUP(I355,COND!$A$2:$E$7,4,FALSE)+$J$3*VLOOKUP(J355,COND!$A$2:$C$7,2,FALSE)+$K$3*VLOOKUP(K355,COND!$A$2:$C$7,3,FALSE)+IF(AND($B$2&gt;0,$E355&lt;20),$B$2*25,0)</f>
        <v>39.187967714265618</v>
      </c>
      <c r="AR355" s="47">
        <f>STANDARDIZE(AQ355,AVERAGE($AQ$5:$AQ$459),STDEVP($AQ$5:$AQ$459))</f>
        <v>-0.57142756357731661</v>
      </c>
      <c r="AS355" s="45" t="str">
        <f t="shared" si="48"/>
        <v>DH</v>
      </c>
      <c r="AT355" s="45">
        <v>930</v>
      </c>
      <c r="AU355" s="45">
        <v>351</v>
      </c>
      <c r="AV355" s="45"/>
      <c r="AW355" s="45" t="str">
        <f t="shared" si="49"/>
        <v>Unlikely</v>
      </c>
      <c r="AX355" s="45"/>
      <c r="AY355" s="63" t="str">
        <f>INDEX(Table5[[#All],[Ovr]],MATCH(Batters[[#This Row],[PID]],Table5[[#All],[PID]],0))</f>
        <v/>
      </c>
      <c r="AZ355" s="63" t="str">
        <f>INDEX(Table5[[#All],[Rnd]],MATCH(Batters[[#This Row],[PID]],Table5[[#All],[PID]],0))</f>
        <v/>
      </c>
      <c r="BA355" s="63" t="str">
        <f>INDEX(Table5[[#All],[Pick]],MATCH(Batters[[#This Row],[PID]],Table5[[#All],[PID]],0))</f>
        <v/>
      </c>
      <c r="BB355" s="63" t="str">
        <f>INDEX(Table5[[#All],[Team]],MATCH(Batters[[#This Row],[PID]],Table5[[#All],[PID]],0))</f>
        <v/>
      </c>
    </row>
    <row r="356" spans="1:54" ht="15" customHeight="1" x14ac:dyDescent="0.3">
      <c r="A356" s="40">
        <v>20489</v>
      </c>
      <c r="B356" s="40" t="s">
        <v>86</v>
      </c>
      <c r="C356" s="40" t="s">
        <v>1209</v>
      </c>
      <c r="D356" s="40" t="s">
        <v>1210</v>
      </c>
      <c r="E356" s="40">
        <v>17</v>
      </c>
      <c r="F356" s="40" t="s">
        <v>53</v>
      </c>
      <c r="G356" s="40" t="s">
        <v>42</v>
      </c>
      <c r="H356" s="41" t="s">
        <v>552</v>
      </c>
      <c r="I356" s="64" t="s">
        <v>43</v>
      </c>
      <c r="J356" s="65" t="s">
        <v>44</v>
      </c>
      <c r="K356" s="66" t="s">
        <v>43</v>
      </c>
      <c r="L356" s="40">
        <v>1</v>
      </c>
      <c r="M356" s="40">
        <v>3</v>
      </c>
      <c r="N356" s="40">
        <v>3</v>
      </c>
      <c r="O356" s="40">
        <v>3</v>
      </c>
      <c r="P356" s="41">
        <v>1</v>
      </c>
      <c r="Q356" s="40">
        <v>2</v>
      </c>
      <c r="R356" s="40">
        <v>5</v>
      </c>
      <c r="S356" s="40">
        <v>4</v>
      </c>
      <c r="T356" s="40">
        <v>5</v>
      </c>
      <c r="U356" s="41">
        <v>3</v>
      </c>
      <c r="V356" s="40">
        <v>2</v>
      </c>
      <c r="W356" s="40">
        <v>1</v>
      </c>
      <c r="X356" s="40">
        <v>6</v>
      </c>
      <c r="Y356" s="41">
        <v>5</v>
      </c>
      <c r="Z356" s="40" t="s">
        <v>45</v>
      </c>
      <c r="AA356" s="40" t="s">
        <v>45</v>
      </c>
      <c r="AB356" s="40" t="s">
        <v>45</v>
      </c>
      <c r="AC356" s="40" t="s">
        <v>45</v>
      </c>
      <c r="AD356" s="40" t="s">
        <v>45</v>
      </c>
      <c r="AE356" s="40" t="s">
        <v>45</v>
      </c>
      <c r="AF356" s="40" t="s">
        <v>45</v>
      </c>
      <c r="AG356" s="41" t="s">
        <v>45</v>
      </c>
      <c r="AH356" s="40">
        <v>1</v>
      </c>
      <c r="AI356" s="40">
        <v>1</v>
      </c>
      <c r="AJ356" s="41">
        <v>1</v>
      </c>
      <c r="AK356" s="43" t="s">
        <v>687</v>
      </c>
      <c r="AL356" s="43" t="s">
        <v>103</v>
      </c>
      <c r="AM356" s="44">
        <f t="shared" si="44"/>
        <v>-1.6366815025231998</v>
      </c>
      <c r="AN356" s="44">
        <f t="shared" si="45"/>
        <v>-0.86949263340588789</v>
      </c>
      <c r="AO356" s="45">
        <f t="shared" si="46"/>
        <v>0</v>
      </c>
      <c r="AP356" s="46">
        <f t="shared" si="47"/>
        <v>0</v>
      </c>
      <c r="AQ356" s="44">
        <f>($AM$3*AM356+$AN$3*AN356+$AO$3*AO356+$AP$3*AP356)+$I$3*VLOOKUP(I356,COND!$A$2:$E$7,4,FALSE)+$J$3*VLOOKUP(J356,COND!$A$2:$C$7,2,FALSE)+$K$3*VLOOKUP(K356,COND!$A$2:$C$7,3,FALSE)+IF(AND($B$2&gt;0,$E356&lt;20),$B$2*25,0)</f>
        <v>39.102420248877024</v>
      </c>
      <c r="AR356" s="47">
        <f>STANDARDIZE(AQ356,AVERAGE($AQ$5:$AQ$442),STDEVP($AQ$5:$AQ$442))</f>
        <v>-0.60081500226313378</v>
      </c>
      <c r="AS356" s="45" t="str">
        <f t="shared" si="48"/>
        <v>DH</v>
      </c>
      <c r="AT356" s="45">
        <v>930</v>
      </c>
      <c r="AU356" s="45">
        <v>352</v>
      </c>
      <c r="AV356" s="45"/>
      <c r="AW356" s="45" t="str">
        <f t="shared" si="49"/>
        <v>Unlikely</v>
      </c>
      <c r="AX356" s="45"/>
      <c r="AY356" s="63" t="str">
        <f>INDEX(Table5[[#All],[Ovr]],MATCH(Batters[[#This Row],[PID]],Table5[[#All],[PID]],0))</f>
        <v/>
      </c>
      <c r="AZ356" s="63" t="str">
        <f>INDEX(Table5[[#All],[Rnd]],MATCH(Batters[[#This Row],[PID]],Table5[[#All],[PID]],0))</f>
        <v/>
      </c>
      <c r="BA356" s="63" t="str">
        <f>INDEX(Table5[[#All],[Pick]],MATCH(Batters[[#This Row],[PID]],Table5[[#All],[PID]],0))</f>
        <v/>
      </c>
      <c r="BB356" s="63" t="str">
        <f>INDEX(Table5[[#All],[Team]],MATCH(Batters[[#This Row],[PID]],Table5[[#All],[PID]],0))</f>
        <v/>
      </c>
    </row>
    <row r="357" spans="1:54" ht="15" customHeight="1" x14ac:dyDescent="0.3">
      <c r="A357" s="40">
        <v>13148</v>
      </c>
      <c r="B357" s="40" t="s">
        <v>86</v>
      </c>
      <c r="C357" s="40" t="s">
        <v>124</v>
      </c>
      <c r="D357" s="40" t="s">
        <v>352</v>
      </c>
      <c r="E357" s="40">
        <v>17</v>
      </c>
      <c r="F357" s="40" t="s">
        <v>42</v>
      </c>
      <c r="G357" s="40" t="s">
        <v>42</v>
      </c>
      <c r="H357" s="41" t="s">
        <v>552</v>
      </c>
      <c r="I357" s="64" t="s">
        <v>43</v>
      </c>
      <c r="J357" s="65" t="s">
        <v>44</v>
      </c>
      <c r="K357" s="66" t="s">
        <v>43</v>
      </c>
      <c r="L357" s="40">
        <v>1</v>
      </c>
      <c r="M357" s="40">
        <v>2</v>
      </c>
      <c r="N357" s="40">
        <v>2</v>
      </c>
      <c r="O357" s="40">
        <v>4</v>
      </c>
      <c r="P357" s="41">
        <v>1</v>
      </c>
      <c r="Q357" s="40">
        <v>2</v>
      </c>
      <c r="R357" s="40">
        <v>4</v>
      </c>
      <c r="S357" s="40">
        <v>3</v>
      </c>
      <c r="T357" s="40">
        <v>6</v>
      </c>
      <c r="U357" s="41">
        <v>2</v>
      </c>
      <c r="V357" s="40">
        <v>6</v>
      </c>
      <c r="W357" s="40">
        <v>5</v>
      </c>
      <c r="X357" s="40">
        <v>7</v>
      </c>
      <c r="Y357" s="41">
        <v>4</v>
      </c>
      <c r="Z357" s="40">
        <v>2</v>
      </c>
      <c r="AA357" s="40" t="s">
        <v>45</v>
      </c>
      <c r="AB357" s="40" t="s">
        <v>45</v>
      </c>
      <c r="AC357" s="40" t="s">
        <v>45</v>
      </c>
      <c r="AD357" s="40" t="s">
        <v>45</v>
      </c>
      <c r="AE357" s="40" t="s">
        <v>45</v>
      </c>
      <c r="AF357" s="40" t="s">
        <v>45</v>
      </c>
      <c r="AG357" s="41" t="s">
        <v>45</v>
      </c>
      <c r="AH357" s="40">
        <v>1</v>
      </c>
      <c r="AI357" s="40">
        <v>3</v>
      </c>
      <c r="AJ357" s="41">
        <v>1</v>
      </c>
      <c r="AK357" s="43" t="s">
        <v>558</v>
      </c>
      <c r="AL357" s="43" t="s">
        <v>103</v>
      </c>
      <c r="AM357" s="44">
        <f t="shared" si="44"/>
        <v>-1.681093326156224</v>
      </c>
      <c r="AN357" s="44">
        <f t="shared" si="45"/>
        <v>-0.95392079685599518</v>
      </c>
      <c r="AO357" s="45">
        <f t="shared" si="46"/>
        <v>0</v>
      </c>
      <c r="AP357" s="46">
        <f t="shared" si="47"/>
        <v>1</v>
      </c>
      <c r="AQ357" s="44">
        <f>($AM$3*AM357+$AN$3*AN357+$AO$3*AO357+$AP$3*AP357)+$I$3*VLOOKUP(I357,COND!$A$2:$E$7,4,FALSE)+$J$3*VLOOKUP(J357,COND!$A$2:$C$7,2,FALSE)+$K$3*VLOOKUP(K357,COND!$A$2:$C$7,3,FALSE)+IF(AND($B$2&gt;0,$E357&lt;20),$B$2*25,0)</f>
        <v>39.084841105112432</v>
      </c>
      <c r="AR357" s="47">
        <f>STANDARDIZE(AQ357,AVERAGE($AQ$5:$AQ$442),STDEVP($AQ$5:$AQ$442))</f>
        <v>-0.60338099664766687</v>
      </c>
      <c r="AS357" s="45" t="str">
        <f t="shared" si="48"/>
        <v>C</v>
      </c>
      <c r="AT357" s="45">
        <v>930</v>
      </c>
      <c r="AU357" s="45">
        <v>353</v>
      </c>
      <c r="AV357" s="45"/>
      <c r="AW357" s="45" t="str">
        <f t="shared" si="49"/>
        <v>Unlikely</v>
      </c>
      <c r="AX357" s="45"/>
      <c r="AY357" s="45" t="str">
        <f>INDEX(Table5[[#All],[Ovr]],MATCH(Batters[[#This Row],[PID]],Table5[[#All],[PID]],0))</f>
        <v/>
      </c>
      <c r="AZ357" s="45" t="str">
        <f>INDEX(Table5[[#All],[Rnd]],MATCH(Batters[[#This Row],[PID]],Table5[[#All],[PID]],0))</f>
        <v/>
      </c>
      <c r="BA357" s="45" t="str">
        <f>INDEX(Table5[[#All],[Pick]],MATCH(Batters[[#This Row],[PID]],Table5[[#All],[PID]],0))</f>
        <v/>
      </c>
      <c r="BB357" s="45" t="str">
        <f>INDEX(Table5[[#All],[Team]],MATCH(Batters[[#This Row],[PID]],Table5[[#All],[PID]],0))</f>
        <v/>
      </c>
    </row>
    <row r="358" spans="1:54" ht="15" customHeight="1" x14ac:dyDescent="0.3">
      <c r="A358" s="40">
        <v>9597</v>
      </c>
      <c r="B358" s="40" t="s">
        <v>86</v>
      </c>
      <c r="C358" s="40" t="s">
        <v>1177</v>
      </c>
      <c r="D358" s="40" t="s">
        <v>1178</v>
      </c>
      <c r="E358" s="40">
        <v>21</v>
      </c>
      <c r="F358" s="40" t="s">
        <v>42</v>
      </c>
      <c r="G358" s="40" t="s">
        <v>42</v>
      </c>
      <c r="H358" s="41" t="s">
        <v>552</v>
      </c>
      <c r="I358" s="64" t="s">
        <v>44</v>
      </c>
      <c r="J358" s="65" t="s">
        <v>44</v>
      </c>
      <c r="K358" s="66" t="s">
        <v>43</v>
      </c>
      <c r="L358" s="40">
        <v>1</v>
      </c>
      <c r="M358" s="40">
        <v>2</v>
      </c>
      <c r="N358" s="40">
        <v>3</v>
      </c>
      <c r="O358" s="40">
        <v>4</v>
      </c>
      <c r="P358" s="41">
        <v>1</v>
      </c>
      <c r="Q358" s="40">
        <v>3</v>
      </c>
      <c r="R358" s="40">
        <v>5</v>
      </c>
      <c r="S358" s="40">
        <v>4</v>
      </c>
      <c r="T358" s="40">
        <v>6</v>
      </c>
      <c r="U358" s="41">
        <v>3</v>
      </c>
      <c r="V358" s="40">
        <v>5</v>
      </c>
      <c r="W358" s="40">
        <v>5</v>
      </c>
      <c r="X358" s="40">
        <v>7</v>
      </c>
      <c r="Y358" s="41">
        <v>5</v>
      </c>
      <c r="Z358" s="40" t="s">
        <v>45</v>
      </c>
      <c r="AA358" s="40" t="s">
        <v>45</v>
      </c>
      <c r="AB358" s="40" t="s">
        <v>45</v>
      </c>
      <c r="AC358" s="40" t="s">
        <v>45</v>
      </c>
      <c r="AD358" s="40" t="s">
        <v>45</v>
      </c>
      <c r="AE358" s="40" t="s">
        <v>45</v>
      </c>
      <c r="AF358" s="40" t="s">
        <v>45</v>
      </c>
      <c r="AG358" s="41" t="s">
        <v>45</v>
      </c>
      <c r="AH358" s="40">
        <v>2</v>
      </c>
      <c r="AI358" s="40">
        <v>4</v>
      </c>
      <c r="AJ358" s="41">
        <v>4</v>
      </c>
      <c r="AK358" s="43" t="s">
        <v>493</v>
      </c>
      <c r="AL358" s="43" t="s">
        <v>103</v>
      </c>
      <c r="AM358" s="44">
        <f t="shared" si="44"/>
        <v>-1.5980318321323224</v>
      </c>
      <c r="AN358" s="44">
        <f t="shared" si="45"/>
        <v>-0.457227247193632</v>
      </c>
      <c r="AO358" s="45">
        <f t="shared" si="46"/>
        <v>0</v>
      </c>
      <c r="AP358" s="46">
        <f t="shared" si="47"/>
        <v>0</v>
      </c>
      <c r="AQ358" s="44">
        <f>($AM$3*AM358+$AN$3*AN358+$AO$3*AO358+$AP$3*AP358)+$I$3*VLOOKUP(I358,COND!$A$2:$E$7,4,FALSE)+$J$3*VLOOKUP(J358,COND!$A$2:$C$7,2,FALSE)+$K$3*VLOOKUP(K358,COND!$A$2:$C$7,3,FALSE)+IF(AND($B$2&gt;0,$E358&lt;20),$B$2*25,0)</f>
        <v>38.903469850463182</v>
      </c>
      <c r="AR358" s="47">
        <f>STANDARDIZE(AQ358,AVERAGE($AQ$5:$AQ$459),STDEVP($AQ$5:$AQ$459))</f>
        <v>-0.61261680136171837</v>
      </c>
      <c r="AS358" s="45" t="str">
        <f t="shared" si="48"/>
        <v>DH</v>
      </c>
      <c r="AT358" s="45">
        <v>930</v>
      </c>
      <c r="AU358" s="45">
        <v>354</v>
      </c>
      <c r="AV358" s="45"/>
      <c r="AW358" s="45" t="str">
        <f t="shared" si="49"/>
        <v>Unlikely</v>
      </c>
      <c r="AX358" s="45"/>
      <c r="AY358" s="63" t="str">
        <f>INDEX(Table5[[#All],[Ovr]],MATCH(Batters[[#This Row],[PID]],Table5[[#All],[PID]],0))</f>
        <v/>
      </c>
      <c r="AZ358" s="63" t="str">
        <f>INDEX(Table5[[#All],[Rnd]],MATCH(Batters[[#This Row],[PID]],Table5[[#All],[PID]],0))</f>
        <v/>
      </c>
      <c r="BA358" s="63" t="str">
        <f>INDEX(Table5[[#All],[Pick]],MATCH(Batters[[#This Row],[PID]],Table5[[#All],[PID]],0))</f>
        <v/>
      </c>
      <c r="BB358" s="63" t="str">
        <f>INDEX(Table5[[#All],[Team]],MATCH(Batters[[#This Row],[PID]],Table5[[#All],[PID]],0))</f>
        <v/>
      </c>
    </row>
    <row r="359" spans="1:54" ht="15" customHeight="1" x14ac:dyDescent="0.3">
      <c r="A359" s="40">
        <v>21073</v>
      </c>
      <c r="B359" s="40" t="s">
        <v>72</v>
      </c>
      <c r="C359" s="40" t="s">
        <v>345</v>
      </c>
      <c r="D359" s="40" t="s">
        <v>1131</v>
      </c>
      <c r="E359" s="40">
        <v>16</v>
      </c>
      <c r="F359" s="40" t="s">
        <v>42</v>
      </c>
      <c r="G359" s="40" t="s">
        <v>42</v>
      </c>
      <c r="H359" s="41" t="s">
        <v>552</v>
      </c>
      <c r="I359" s="64" t="s">
        <v>43</v>
      </c>
      <c r="J359" s="65" t="s">
        <v>44</v>
      </c>
      <c r="K359" s="66" t="s">
        <v>47</v>
      </c>
      <c r="L359" s="40">
        <v>1</v>
      </c>
      <c r="M359" s="40">
        <v>2</v>
      </c>
      <c r="N359" s="40">
        <v>2</v>
      </c>
      <c r="O359" s="40">
        <v>3</v>
      </c>
      <c r="P359" s="41">
        <v>1</v>
      </c>
      <c r="Q359" s="40">
        <v>2</v>
      </c>
      <c r="R359" s="40">
        <v>4</v>
      </c>
      <c r="S359" s="40">
        <v>2</v>
      </c>
      <c r="T359" s="40">
        <v>6</v>
      </c>
      <c r="U359" s="41">
        <v>4</v>
      </c>
      <c r="V359" s="40">
        <v>7</v>
      </c>
      <c r="W359" s="40">
        <v>8</v>
      </c>
      <c r="X359" s="40">
        <v>1</v>
      </c>
      <c r="Y359" s="41">
        <v>1</v>
      </c>
      <c r="Z359" s="40" t="s">
        <v>45</v>
      </c>
      <c r="AA359" s="40" t="s">
        <v>45</v>
      </c>
      <c r="AB359" s="40" t="s">
        <v>45</v>
      </c>
      <c r="AC359" s="40" t="s">
        <v>45</v>
      </c>
      <c r="AD359" s="40">
        <v>3</v>
      </c>
      <c r="AE359" s="40" t="s">
        <v>45</v>
      </c>
      <c r="AF359" s="40" t="s">
        <v>45</v>
      </c>
      <c r="AG359" s="41" t="s">
        <v>45</v>
      </c>
      <c r="AH359" s="40">
        <v>7</v>
      </c>
      <c r="AI359" s="40">
        <v>6</v>
      </c>
      <c r="AJ359" s="41">
        <v>6</v>
      </c>
      <c r="AK359" s="43" t="s">
        <v>558</v>
      </c>
      <c r="AL359" s="43" t="s">
        <v>103</v>
      </c>
      <c r="AM359" s="44">
        <f t="shared" si="44"/>
        <v>-1.7708028761658048</v>
      </c>
      <c r="AN359" s="44">
        <f t="shared" si="45"/>
        <v>-0.95694961124572964</v>
      </c>
      <c r="AO359" s="45">
        <f t="shared" si="46"/>
        <v>0</v>
      </c>
      <c r="AP359" s="46">
        <f t="shared" si="47"/>
        <v>0</v>
      </c>
      <c r="AQ359" s="44">
        <f>($AM$3*AM359+$AN$3*AN359+$AO$3*AO359+$AP$3*AP359)+$I$3*VLOOKUP(I359,COND!$A$2:$E$7,4,FALSE)+$J$3*VLOOKUP(J359,COND!$A$2:$C$7,2,FALSE)+$K$3*VLOOKUP(K359,COND!$A$2:$C$7,3,FALSE)+IF(AND($B$2&gt;0,$E359&lt;20),$B$2*25,0)</f>
        <v>38.339524377434657</v>
      </c>
      <c r="AR359" s="47">
        <f>STANDARDIZE(AQ359,AVERAGE($AQ$5:$AQ$442),STDEVP($AQ$5:$AQ$442))</f>
        <v>-0.71217347047519286</v>
      </c>
      <c r="AS359" s="45" t="str">
        <f t="shared" si="48"/>
        <v>SS</v>
      </c>
      <c r="AT359" s="45">
        <v>930</v>
      </c>
      <c r="AU359" s="45">
        <v>355</v>
      </c>
      <c r="AV359" s="45"/>
      <c r="AW359" s="45" t="str">
        <f t="shared" si="49"/>
        <v>Unlikely</v>
      </c>
      <c r="AX359" s="45"/>
      <c r="AY359" s="63">
        <f>INDEX(Table5[[#All],[Ovr]],MATCH(Batters[[#This Row],[PID]],Table5[[#All],[PID]],0))</f>
        <v>361</v>
      </c>
      <c r="AZ359" s="63" t="str">
        <f>INDEX(Table5[[#All],[Rnd]],MATCH(Batters[[#This Row],[PID]],Table5[[#All],[PID]],0))</f>
        <v>11</v>
      </c>
      <c r="BA359" s="63">
        <f>INDEX(Table5[[#All],[Pick]],MATCH(Batters[[#This Row],[PID]],Table5[[#All],[PID]],0))</f>
        <v>30</v>
      </c>
      <c r="BB359" s="63" t="str">
        <f>INDEX(Table5[[#All],[Team]],MATCH(Batters[[#This Row],[PID]],Table5[[#All],[PID]],0))</f>
        <v>Toyama Wind Dancers</v>
      </c>
    </row>
    <row r="360" spans="1:54" ht="15" customHeight="1" x14ac:dyDescent="0.3">
      <c r="A360" s="40">
        <v>6165</v>
      </c>
      <c r="B360" s="40" t="s">
        <v>50</v>
      </c>
      <c r="C360" s="40" t="s">
        <v>175</v>
      </c>
      <c r="D360" s="40" t="s">
        <v>1241</v>
      </c>
      <c r="E360" s="40">
        <v>21</v>
      </c>
      <c r="F360" s="40" t="s">
        <v>42</v>
      </c>
      <c r="G360" s="40" t="s">
        <v>42</v>
      </c>
      <c r="H360" s="41" t="s">
        <v>552</v>
      </c>
      <c r="I360" s="64" t="s">
        <v>43</v>
      </c>
      <c r="J360" s="65" t="s">
        <v>44</v>
      </c>
      <c r="K360" s="66" t="s">
        <v>43</v>
      </c>
      <c r="L360" s="40">
        <v>1</v>
      </c>
      <c r="M360" s="40">
        <v>2</v>
      </c>
      <c r="N360" s="40">
        <v>2</v>
      </c>
      <c r="O360" s="40">
        <v>3</v>
      </c>
      <c r="P360" s="41">
        <v>1</v>
      </c>
      <c r="Q360" s="40">
        <v>3</v>
      </c>
      <c r="R360" s="40">
        <v>5</v>
      </c>
      <c r="S360" s="40">
        <v>5</v>
      </c>
      <c r="T360" s="40">
        <v>5</v>
      </c>
      <c r="U360" s="41">
        <v>3</v>
      </c>
      <c r="V360" s="40">
        <v>5</v>
      </c>
      <c r="W360" s="40">
        <v>9</v>
      </c>
      <c r="X360" s="40">
        <v>1</v>
      </c>
      <c r="Y360" s="41">
        <v>1</v>
      </c>
      <c r="Z360" s="40" t="s">
        <v>45</v>
      </c>
      <c r="AA360" s="40" t="s">
        <v>45</v>
      </c>
      <c r="AB360" s="40" t="s">
        <v>45</v>
      </c>
      <c r="AC360" s="40" t="s">
        <v>45</v>
      </c>
      <c r="AD360" s="40" t="s">
        <v>45</v>
      </c>
      <c r="AE360" s="40">
        <v>6</v>
      </c>
      <c r="AF360" s="40">
        <v>2</v>
      </c>
      <c r="AG360" s="41" t="s">
        <v>45</v>
      </c>
      <c r="AH360" s="40">
        <v>5</v>
      </c>
      <c r="AI360" s="40">
        <v>5</v>
      </c>
      <c r="AJ360" s="41">
        <v>6</v>
      </c>
      <c r="AK360" s="43" t="s">
        <v>557</v>
      </c>
      <c r="AL360" s="43" t="s">
        <v>103</v>
      </c>
      <c r="AM360" s="44">
        <f t="shared" si="44"/>
        <v>-1.7708028761658048</v>
      </c>
      <c r="AN360" s="44">
        <f t="shared" si="45"/>
        <v>-0.46387530317931153</v>
      </c>
      <c r="AO360" s="45">
        <f t="shared" si="46"/>
        <v>0</v>
      </c>
      <c r="AP360" s="46">
        <f t="shared" si="47"/>
        <v>0</v>
      </c>
      <c r="AQ360" s="44">
        <f>($AM$3*AM360+$AN$3*AN360+$AO$3*AO360+$AP$3*AP360)+$I$3*VLOOKUP(I360,COND!$A$2:$E$7,4,FALSE)+$J$3*VLOOKUP(J360,COND!$A$2:$C$7,2,FALSE)+$K$3*VLOOKUP(K360,COND!$A$2:$C$7,3,FALSE)+IF(AND($B$2&gt;0,$E360&lt;20),$B$2*25,0)</f>
        <v>38.956416074231683</v>
      </c>
      <c r="AR360" s="47">
        <f>STANDARDIZE(AQ360,AVERAGE($AQ$5:$AQ$442),STDEVP($AQ$5:$AQ$442))</f>
        <v>-0.62212695563670695</v>
      </c>
      <c r="AS360" s="45" t="str">
        <f t="shared" si="48"/>
        <v>LF</v>
      </c>
      <c r="AT360" s="45">
        <v>930</v>
      </c>
      <c r="AU360" s="45">
        <v>356</v>
      </c>
      <c r="AV360" s="45"/>
      <c r="AW360" s="45" t="str">
        <f t="shared" si="49"/>
        <v>Unlikely</v>
      </c>
      <c r="AX360" s="45"/>
      <c r="AY360" s="45">
        <f>INDEX(Table5[[#All],[Ovr]],MATCH(Batters[[#This Row],[PID]],Table5[[#All],[PID]],0))</f>
        <v>271</v>
      </c>
      <c r="AZ360" s="45" t="str">
        <f>INDEX(Table5[[#All],[Rnd]],MATCH(Batters[[#This Row],[PID]],Table5[[#All],[PID]],0))</f>
        <v>9</v>
      </c>
      <c r="BA360" s="45">
        <f>INDEX(Table5[[#All],[Pick]],MATCH(Batters[[#This Row],[PID]],Table5[[#All],[PID]],0))</f>
        <v>6</v>
      </c>
      <c r="BB360" s="45" t="str">
        <f>INDEX(Table5[[#All],[Team]],MATCH(Batters[[#This Row],[PID]],Table5[[#All],[PID]],0))</f>
        <v>New Orleans Trendsetters</v>
      </c>
    </row>
    <row r="361" spans="1:54" ht="15" customHeight="1" x14ac:dyDescent="0.3">
      <c r="A361" s="40">
        <v>11943</v>
      </c>
      <c r="B361" s="40" t="s">
        <v>87</v>
      </c>
      <c r="C361" s="40" t="s">
        <v>564</v>
      </c>
      <c r="D361" s="40" t="s">
        <v>612</v>
      </c>
      <c r="E361" s="40">
        <v>17</v>
      </c>
      <c r="F361" s="40" t="s">
        <v>62</v>
      </c>
      <c r="G361" s="40" t="s">
        <v>42</v>
      </c>
      <c r="H361" s="41" t="s">
        <v>553</v>
      </c>
      <c r="I361" s="64" t="s">
        <v>43</v>
      </c>
      <c r="J361" s="65" t="s">
        <v>44</v>
      </c>
      <c r="K361" s="66" t="s">
        <v>43</v>
      </c>
      <c r="L361" s="40">
        <v>1</v>
      </c>
      <c r="M361" s="40">
        <v>4</v>
      </c>
      <c r="N361" s="40">
        <v>3</v>
      </c>
      <c r="O361" s="40">
        <v>3</v>
      </c>
      <c r="P361" s="41">
        <v>1</v>
      </c>
      <c r="Q361" s="40">
        <v>2</v>
      </c>
      <c r="R361" s="40">
        <v>5</v>
      </c>
      <c r="S361" s="40">
        <v>4</v>
      </c>
      <c r="T361" s="40">
        <v>5</v>
      </c>
      <c r="U361" s="41">
        <v>2</v>
      </c>
      <c r="V361" s="40">
        <v>4</v>
      </c>
      <c r="W361" s="40">
        <v>4</v>
      </c>
      <c r="X361" s="40">
        <v>5</v>
      </c>
      <c r="Y361" s="41">
        <v>4</v>
      </c>
      <c r="Z361" s="40" t="s">
        <v>45</v>
      </c>
      <c r="AA361" s="40">
        <v>1</v>
      </c>
      <c r="AB361" s="40" t="s">
        <v>45</v>
      </c>
      <c r="AC361" s="40" t="s">
        <v>45</v>
      </c>
      <c r="AD361" s="40" t="s">
        <v>45</v>
      </c>
      <c r="AE361" s="40" t="s">
        <v>45</v>
      </c>
      <c r="AF361" s="40" t="s">
        <v>45</v>
      </c>
      <c r="AG361" s="41" t="s">
        <v>45</v>
      </c>
      <c r="AH361" s="40">
        <v>1</v>
      </c>
      <c r="AI361" s="40">
        <v>1</v>
      </c>
      <c r="AJ361" s="41">
        <v>1</v>
      </c>
      <c r="AK361" s="43" t="s">
        <v>576</v>
      </c>
      <c r="AL361" s="43" t="s">
        <v>103</v>
      </c>
      <c r="AM361" s="44">
        <f t="shared" si="44"/>
        <v>-1.5856216229044964</v>
      </c>
      <c r="AN361" s="44">
        <f t="shared" si="45"/>
        <v>-0.90950897322297131</v>
      </c>
      <c r="AO361" s="45">
        <f t="shared" si="46"/>
        <v>0</v>
      </c>
      <c r="AP361" s="46">
        <f t="shared" si="47"/>
        <v>0</v>
      </c>
      <c r="AQ361" s="44">
        <f>($AM$3*AM361+$AN$3*AN361+$AO$3*AO361+$AP$3*AP361)+$I$3*VLOOKUP(I361,COND!$A$2:$E$7,4,FALSE)+$J$3*VLOOKUP(J361,COND!$A$2:$C$7,2,FALSE)+$K$3*VLOOKUP(K361,COND!$A$2:$C$7,3,FALSE)+IF(AND($B$2&gt;0,$E361&lt;20),$B$2*25,0)</f>
        <v>38.627330159033896</v>
      </c>
      <c r="AR361" s="47">
        <f>STANDARDIZE(AQ361,AVERAGE($AQ$5:$AQ$459),STDEVP($AQ$5:$AQ$459))</f>
        <v>-0.65259595361254374</v>
      </c>
      <c r="AS361" s="45" t="str">
        <f t="shared" si="48"/>
        <v>1B</v>
      </c>
      <c r="AT361" s="45">
        <v>930</v>
      </c>
      <c r="AU361" s="45">
        <v>357</v>
      </c>
      <c r="AV361" s="45"/>
      <c r="AW361" s="45" t="str">
        <f t="shared" si="49"/>
        <v>Unlikely</v>
      </c>
      <c r="AX361" s="45"/>
      <c r="AY361" s="63" t="str">
        <f>INDEX(Table5[[#All],[Ovr]],MATCH(Batters[[#This Row],[PID]],Table5[[#All],[PID]],0))</f>
        <v/>
      </c>
      <c r="AZ361" s="63" t="str">
        <f>INDEX(Table5[[#All],[Rnd]],MATCH(Batters[[#This Row],[PID]],Table5[[#All],[PID]],0))</f>
        <v/>
      </c>
      <c r="BA361" s="63" t="str">
        <f>INDEX(Table5[[#All],[Pick]],MATCH(Batters[[#This Row],[PID]],Table5[[#All],[PID]],0))</f>
        <v/>
      </c>
      <c r="BB361" s="63" t="str">
        <f>INDEX(Table5[[#All],[Team]],MATCH(Batters[[#This Row],[PID]],Table5[[#All],[PID]],0))</f>
        <v/>
      </c>
    </row>
    <row r="362" spans="1:54" ht="15" customHeight="1" x14ac:dyDescent="0.3">
      <c r="A362" s="40">
        <v>13320</v>
      </c>
      <c r="B362" s="40" t="s">
        <v>74</v>
      </c>
      <c r="C362" s="40" t="s">
        <v>845</v>
      </c>
      <c r="D362" s="40" t="s">
        <v>846</v>
      </c>
      <c r="E362" s="40">
        <v>22</v>
      </c>
      <c r="F362" s="40" t="s">
        <v>42</v>
      </c>
      <c r="G362" s="40" t="s">
        <v>42</v>
      </c>
      <c r="H362" s="41" t="s">
        <v>552</v>
      </c>
      <c r="I362" s="64" t="s">
        <v>43</v>
      </c>
      <c r="J362" s="65" t="s">
        <v>44</v>
      </c>
      <c r="K362" s="66" t="s">
        <v>43</v>
      </c>
      <c r="L362" s="40">
        <v>2</v>
      </c>
      <c r="M362" s="40">
        <v>3</v>
      </c>
      <c r="N362" s="40">
        <v>2</v>
      </c>
      <c r="O362" s="40">
        <v>3</v>
      </c>
      <c r="P362" s="41">
        <v>4</v>
      </c>
      <c r="Q362" s="40">
        <v>4</v>
      </c>
      <c r="R362" s="40">
        <v>3</v>
      </c>
      <c r="S362" s="40">
        <v>2</v>
      </c>
      <c r="T362" s="40">
        <v>4</v>
      </c>
      <c r="U362" s="41">
        <v>5</v>
      </c>
      <c r="V362" s="40">
        <v>3</v>
      </c>
      <c r="W362" s="40">
        <v>6</v>
      </c>
      <c r="X362" s="40">
        <v>1</v>
      </c>
      <c r="Y362" s="41">
        <v>1</v>
      </c>
      <c r="Z362" s="40" t="s">
        <v>45</v>
      </c>
      <c r="AA362" s="40" t="s">
        <v>45</v>
      </c>
      <c r="AB362" s="40">
        <v>1</v>
      </c>
      <c r="AC362" s="40" t="s">
        <v>45</v>
      </c>
      <c r="AD362" s="40" t="s">
        <v>45</v>
      </c>
      <c r="AE362" s="40" t="s">
        <v>45</v>
      </c>
      <c r="AF362" s="40">
        <v>4</v>
      </c>
      <c r="AG362" s="41" t="s">
        <v>45</v>
      </c>
      <c r="AH362" s="40">
        <v>8</v>
      </c>
      <c r="AI362" s="40">
        <v>3</v>
      </c>
      <c r="AJ362" s="41">
        <v>3</v>
      </c>
      <c r="AK362" s="43" t="s">
        <v>45</v>
      </c>
      <c r="AL362" s="43" t="s">
        <v>103</v>
      </c>
      <c r="AM362" s="44">
        <f t="shared" si="44"/>
        <v>-1.2771381408931763</v>
      </c>
      <c r="AN362" s="44">
        <f t="shared" si="45"/>
        <v>-0.5023005786611624</v>
      </c>
      <c r="AO362" s="45">
        <f t="shared" si="46"/>
        <v>1</v>
      </c>
      <c r="AP362" s="46">
        <f t="shared" si="47"/>
        <v>0</v>
      </c>
      <c r="AQ362" s="44">
        <f>($AM$3*AM362+$AN$3*AN362+$AO$3*AO362+$AP$3*AP362)+$I$3*VLOOKUP(I362,COND!$A$2:$E$7,4,FALSE)+$J$3*VLOOKUP(J362,COND!$A$2:$C$7,2,FALSE)+$K$3*VLOOKUP(K362,COND!$A$2:$C$7,3,FALSE)+IF(AND($B$2&gt;0,$E362&lt;20),$B$2*25,0)</f>
        <v>38.711345908643402</v>
      </c>
      <c r="AR362" s="47">
        <f t="shared" ref="AR362:AR382" si="51">STANDARDIZE(AQ362,AVERAGE($AQ$5:$AQ$442),STDEVP($AQ$5:$AQ$442))</f>
        <v>-0.65789938443854279</v>
      </c>
      <c r="AS362" s="45" t="str">
        <f t="shared" si="48"/>
        <v>2B</v>
      </c>
      <c r="AT362" s="45">
        <v>930</v>
      </c>
      <c r="AU362" s="45">
        <v>358</v>
      </c>
      <c r="AV362" s="45"/>
      <c r="AW362" s="45" t="str">
        <f t="shared" si="49"/>
        <v>Unlikely</v>
      </c>
      <c r="AX362" s="45"/>
      <c r="AY362" s="63">
        <f>INDEX(Table5[[#All],[Ovr]],MATCH(Batters[[#This Row],[PID]],Table5[[#All],[PID]],0))</f>
        <v>418</v>
      </c>
      <c r="AZ362" s="63" t="str">
        <f>INDEX(Table5[[#All],[Rnd]],MATCH(Batters[[#This Row],[PID]],Table5[[#All],[PID]],0))</f>
        <v>13</v>
      </c>
      <c r="BA362" s="63">
        <f>INDEX(Table5[[#All],[Pick]],MATCH(Batters[[#This Row],[PID]],Table5[[#All],[PID]],0))</f>
        <v>19</v>
      </c>
      <c r="BB362" s="63" t="str">
        <f>INDEX(Table5[[#All],[Team]],MATCH(Batters[[#This Row],[PID]],Table5[[#All],[PID]],0))</f>
        <v>Fargo Dinosaurs</v>
      </c>
    </row>
    <row r="363" spans="1:54" ht="15" customHeight="1" x14ac:dyDescent="0.3">
      <c r="A363" s="40">
        <v>14874</v>
      </c>
      <c r="B363" s="40" t="s">
        <v>66</v>
      </c>
      <c r="C363" s="40" t="s">
        <v>195</v>
      </c>
      <c r="D363" s="40" t="s">
        <v>1159</v>
      </c>
      <c r="E363" s="40">
        <v>21</v>
      </c>
      <c r="F363" s="40" t="s">
        <v>42</v>
      </c>
      <c r="G363" s="40" t="s">
        <v>42</v>
      </c>
      <c r="H363" s="41" t="s">
        <v>552</v>
      </c>
      <c r="I363" s="64" t="s">
        <v>43</v>
      </c>
      <c r="J363" s="65" t="s">
        <v>44</v>
      </c>
      <c r="K363" s="66" t="s">
        <v>43</v>
      </c>
      <c r="L363" s="40">
        <v>1</v>
      </c>
      <c r="M363" s="40">
        <v>2</v>
      </c>
      <c r="N363" s="40">
        <v>2</v>
      </c>
      <c r="O363" s="40">
        <v>3</v>
      </c>
      <c r="P363" s="41">
        <v>2</v>
      </c>
      <c r="Q363" s="40">
        <v>3</v>
      </c>
      <c r="R363" s="40">
        <v>3</v>
      </c>
      <c r="S363" s="40">
        <v>4</v>
      </c>
      <c r="T363" s="40">
        <v>6</v>
      </c>
      <c r="U363" s="41">
        <v>4</v>
      </c>
      <c r="V363" s="40">
        <v>5</v>
      </c>
      <c r="W363" s="40">
        <v>8</v>
      </c>
      <c r="X363" s="40">
        <v>1</v>
      </c>
      <c r="Y363" s="41">
        <v>1</v>
      </c>
      <c r="Z363" s="40" t="s">
        <v>45</v>
      </c>
      <c r="AA363" s="40">
        <v>3</v>
      </c>
      <c r="AB363" s="40" t="s">
        <v>45</v>
      </c>
      <c r="AC363" s="40" t="s">
        <v>45</v>
      </c>
      <c r="AD363" s="40" t="s">
        <v>45</v>
      </c>
      <c r="AE363" s="40">
        <v>2</v>
      </c>
      <c r="AF363" s="40" t="s">
        <v>45</v>
      </c>
      <c r="AG363" s="41">
        <v>3</v>
      </c>
      <c r="AH363" s="40">
        <v>9</v>
      </c>
      <c r="AI363" s="40">
        <v>6</v>
      </c>
      <c r="AJ363" s="41">
        <v>4</v>
      </c>
      <c r="AK363" s="43" t="s">
        <v>45</v>
      </c>
      <c r="AL363" s="43" t="s">
        <v>103</v>
      </c>
      <c r="AM363" s="44">
        <f t="shared" si="44"/>
        <v>-1.7307865363487211</v>
      </c>
      <c r="AN363" s="44">
        <f t="shared" si="45"/>
        <v>-0.51933066661395544</v>
      </c>
      <c r="AO363" s="45">
        <f t="shared" si="46"/>
        <v>2</v>
      </c>
      <c r="AP363" s="46">
        <f t="shared" si="47"/>
        <v>0</v>
      </c>
      <c r="AQ363" s="44">
        <f>($AM$3*AM363+$AN$3*AN363+$AO$3*AO363+$AP$3*AP363)+$I$3*VLOOKUP(I363,COND!$A$2:$E$7,4,FALSE)+$J$3*VLOOKUP(J363,COND!$A$2:$C$7,2,FALSE)+$K$3*VLOOKUP(K363,COND!$A$2:$C$7,3,FALSE)+IF(AND($B$2&gt;0,$E363&lt;20),$B$2*25,0)</f>
        <v>38.628286680330994</v>
      </c>
      <c r="AR363" s="47">
        <f t="shared" si="51"/>
        <v>-0.67002338298405617</v>
      </c>
      <c r="AS363" s="45" t="str">
        <f t="shared" si="48"/>
        <v>RF</v>
      </c>
      <c r="AT363" s="45">
        <v>930</v>
      </c>
      <c r="AU363" s="45">
        <v>359</v>
      </c>
      <c r="AV363" s="45"/>
      <c r="AW363" s="45" t="str">
        <f t="shared" si="49"/>
        <v>Unlikely</v>
      </c>
      <c r="AX363" s="45"/>
      <c r="AY363" s="45">
        <f>INDEX(Table5[[#All],[Ovr]],MATCH(Batters[[#This Row],[PID]],Table5[[#All],[PID]],0))</f>
        <v>255</v>
      </c>
      <c r="AZ363" s="45" t="str">
        <f>INDEX(Table5[[#All],[Rnd]],MATCH(Batters[[#This Row],[PID]],Table5[[#All],[PID]],0))</f>
        <v>8</v>
      </c>
      <c r="BA363" s="45">
        <f>INDEX(Table5[[#All],[Pick]],MATCH(Batters[[#This Row],[PID]],Table5[[#All],[PID]],0))</f>
        <v>22</v>
      </c>
      <c r="BB363" s="45" t="str">
        <f>INDEX(Table5[[#All],[Team]],MATCH(Batters[[#This Row],[PID]],Table5[[#All],[PID]],0))</f>
        <v>Bakersfield Bears</v>
      </c>
    </row>
    <row r="364" spans="1:54" ht="15" customHeight="1" x14ac:dyDescent="0.3">
      <c r="A364" s="40">
        <v>6469</v>
      </c>
      <c r="B364" s="40" t="s">
        <v>86</v>
      </c>
      <c r="C364" s="40" t="s">
        <v>123</v>
      </c>
      <c r="D364" s="40" t="s">
        <v>1148</v>
      </c>
      <c r="E364" s="40">
        <v>21</v>
      </c>
      <c r="F364" s="40" t="s">
        <v>42</v>
      </c>
      <c r="G364" s="40" t="s">
        <v>42</v>
      </c>
      <c r="H364" s="41" t="s">
        <v>552</v>
      </c>
      <c r="I364" s="64" t="s">
        <v>43</v>
      </c>
      <c r="J364" s="65" t="s">
        <v>44</v>
      </c>
      <c r="K364" s="66" t="s">
        <v>43</v>
      </c>
      <c r="L364" s="40">
        <v>2</v>
      </c>
      <c r="M364" s="40">
        <v>4</v>
      </c>
      <c r="N364" s="40">
        <v>2</v>
      </c>
      <c r="O364" s="40">
        <v>2</v>
      </c>
      <c r="P364" s="41">
        <v>1</v>
      </c>
      <c r="Q364" s="40">
        <v>3</v>
      </c>
      <c r="R364" s="40">
        <v>6</v>
      </c>
      <c r="S364" s="40">
        <v>4</v>
      </c>
      <c r="T364" s="40">
        <v>5</v>
      </c>
      <c r="U364" s="41">
        <v>3</v>
      </c>
      <c r="V364" s="40">
        <v>2</v>
      </c>
      <c r="W364" s="40">
        <v>3</v>
      </c>
      <c r="X364" s="40">
        <v>5</v>
      </c>
      <c r="Y364" s="41">
        <v>3</v>
      </c>
      <c r="Z364" s="40" t="s">
        <v>45</v>
      </c>
      <c r="AA364" s="40" t="s">
        <v>45</v>
      </c>
      <c r="AB364" s="40" t="s">
        <v>45</v>
      </c>
      <c r="AC364" s="40" t="s">
        <v>45</v>
      </c>
      <c r="AD364" s="40" t="s">
        <v>45</v>
      </c>
      <c r="AE364" s="40" t="s">
        <v>45</v>
      </c>
      <c r="AF364" s="40" t="s">
        <v>45</v>
      </c>
      <c r="AG364" s="41" t="s">
        <v>45</v>
      </c>
      <c r="AH364" s="40">
        <v>1</v>
      </c>
      <c r="AI364" s="40">
        <v>1</v>
      </c>
      <c r="AJ364" s="41">
        <v>1</v>
      </c>
      <c r="AK364" s="43" t="s">
        <v>504</v>
      </c>
      <c r="AL364" s="43" t="s">
        <v>103</v>
      </c>
      <c r="AM364" s="44">
        <f t="shared" si="44"/>
        <v>-1.4358368307353042</v>
      </c>
      <c r="AN364" s="44">
        <f t="shared" si="45"/>
        <v>-0.49587691758450947</v>
      </c>
      <c r="AO364" s="45">
        <f t="shared" si="46"/>
        <v>0</v>
      </c>
      <c r="AP364" s="46">
        <f t="shared" si="47"/>
        <v>0</v>
      </c>
      <c r="AQ364" s="44">
        <f>($AM$3*AM364+$AN$3*AN364+$AO$3*AO364+$AP$3*AP364)+$I$3*VLOOKUP(I364,COND!$A$2:$E$7,4,FALSE)+$J$3*VLOOKUP(J364,COND!$A$2:$C$7,2,FALSE)+$K$3*VLOOKUP(K364,COND!$A$2:$C$7,3,FALSE)+IF(AND($B$2&gt;0,$E364&lt;20),$B$2*25,0)</f>
        <v>38.605893305912353</v>
      </c>
      <c r="AR364" s="47">
        <f t="shared" si="51"/>
        <v>-0.67329210151656604</v>
      </c>
      <c r="AS364" s="45" t="str">
        <f t="shared" si="48"/>
        <v>DH</v>
      </c>
      <c r="AT364" s="45">
        <v>930</v>
      </c>
      <c r="AU364" s="45">
        <v>360</v>
      </c>
      <c r="AV364" s="45"/>
      <c r="AW364" s="45" t="str">
        <f t="shared" si="49"/>
        <v>Unlikely</v>
      </c>
      <c r="AX364" s="45"/>
      <c r="AY364" s="45" t="str">
        <f>INDEX(Table5[[#All],[Ovr]],MATCH(Batters[[#This Row],[PID]],Table5[[#All],[PID]],0))</f>
        <v/>
      </c>
      <c r="AZ364" s="45" t="str">
        <f>INDEX(Table5[[#All],[Rnd]],MATCH(Batters[[#This Row],[PID]],Table5[[#All],[PID]],0))</f>
        <v/>
      </c>
      <c r="BA364" s="45" t="str">
        <f>INDEX(Table5[[#All],[Pick]],MATCH(Batters[[#This Row],[PID]],Table5[[#All],[PID]],0))</f>
        <v/>
      </c>
      <c r="BB364" s="45" t="str">
        <f>INDEX(Table5[[#All],[Team]],MATCH(Batters[[#This Row],[PID]],Table5[[#All],[PID]],0))</f>
        <v/>
      </c>
    </row>
    <row r="365" spans="1:54" ht="15" customHeight="1" x14ac:dyDescent="0.3">
      <c r="A365" s="40">
        <v>8032</v>
      </c>
      <c r="B365" s="40" t="s">
        <v>74</v>
      </c>
      <c r="C365" s="40" t="s">
        <v>1108</v>
      </c>
      <c r="D365" s="40" t="s">
        <v>575</v>
      </c>
      <c r="E365" s="40">
        <v>21</v>
      </c>
      <c r="F365" s="40" t="s">
        <v>42</v>
      </c>
      <c r="G365" s="40" t="s">
        <v>42</v>
      </c>
      <c r="H365" s="41" t="s">
        <v>550</v>
      </c>
      <c r="I365" s="64" t="s">
        <v>43</v>
      </c>
      <c r="J365" s="65" t="s">
        <v>44</v>
      </c>
      <c r="K365" s="66" t="s">
        <v>43</v>
      </c>
      <c r="L365" s="40">
        <v>1</v>
      </c>
      <c r="M365" s="40">
        <v>2</v>
      </c>
      <c r="N365" s="40">
        <v>3</v>
      </c>
      <c r="O365" s="40">
        <v>2</v>
      </c>
      <c r="P365" s="41">
        <v>1</v>
      </c>
      <c r="Q365" s="40">
        <v>3</v>
      </c>
      <c r="R365" s="40">
        <v>4</v>
      </c>
      <c r="S365" s="40">
        <v>4</v>
      </c>
      <c r="T365" s="40">
        <v>5</v>
      </c>
      <c r="U365" s="41">
        <v>3</v>
      </c>
      <c r="V365" s="40">
        <v>2</v>
      </c>
      <c r="W365" s="40">
        <v>6</v>
      </c>
      <c r="X365" s="40">
        <v>1</v>
      </c>
      <c r="Y365" s="41">
        <v>1</v>
      </c>
      <c r="Z365" s="40" t="s">
        <v>45</v>
      </c>
      <c r="AA365" s="40" t="s">
        <v>45</v>
      </c>
      <c r="AB365" s="40" t="s">
        <v>45</v>
      </c>
      <c r="AC365" s="40" t="s">
        <v>45</v>
      </c>
      <c r="AD365" s="40" t="s">
        <v>45</v>
      </c>
      <c r="AE365" s="40" t="s">
        <v>45</v>
      </c>
      <c r="AF365" s="40">
        <v>6</v>
      </c>
      <c r="AG365" s="41" t="s">
        <v>45</v>
      </c>
      <c r="AH365" s="40">
        <v>10</v>
      </c>
      <c r="AI365" s="40">
        <v>8</v>
      </c>
      <c r="AJ365" s="41">
        <v>6</v>
      </c>
      <c r="AK365" s="43" t="s">
        <v>571</v>
      </c>
      <c r="AL365" s="43" t="s">
        <v>103</v>
      </c>
      <c r="AM365" s="44">
        <f t="shared" si="44"/>
        <v>-1.7774509321514844</v>
      </c>
      <c r="AN365" s="44">
        <f t="shared" si="45"/>
        <v>-0.59799667682191648</v>
      </c>
      <c r="AO365" s="45">
        <f t="shared" si="46"/>
        <v>3</v>
      </c>
      <c r="AP365" s="46">
        <f t="shared" si="47"/>
        <v>0.75</v>
      </c>
      <c r="AQ365" s="44">
        <f>($AM$3*AM365+$AN$3*AN365+$AO$3*AO365+$AP$3*AP365)+$I$3*VLOOKUP(I365,COND!$A$2:$E$7,4,FALSE)+$J$3*VLOOKUP(J365,COND!$A$2:$C$7,2,FALSE)+$K$3*VLOOKUP(K365,COND!$A$2:$C$7,3,FALSE)+IF(AND($B$2&gt;0,$E365&lt;20),$B$2*25,0)</f>
        <v>38.596294784921852</v>
      </c>
      <c r="AR365" s="47">
        <f t="shared" si="51"/>
        <v>-0.67469317948095797</v>
      </c>
      <c r="AS365" s="45" t="str">
        <f t="shared" si="48"/>
        <v>CF</v>
      </c>
      <c r="AT365" s="45">
        <v>930</v>
      </c>
      <c r="AU365" s="45">
        <v>361</v>
      </c>
      <c r="AV365" s="45"/>
      <c r="AW365" s="45" t="str">
        <f t="shared" si="49"/>
        <v>Unlikely</v>
      </c>
      <c r="AX365" s="45"/>
      <c r="AY365" s="45">
        <f>INDEX(Table5[[#All],[Ovr]],MATCH(Batters[[#This Row],[PID]],Table5[[#All],[PID]],0))</f>
        <v>247</v>
      </c>
      <c r="AZ365" s="45" t="str">
        <f>INDEX(Table5[[#All],[Rnd]],MATCH(Batters[[#This Row],[PID]],Table5[[#All],[PID]],0))</f>
        <v>8</v>
      </c>
      <c r="BA365" s="45">
        <f>INDEX(Table5[[#All],[Pick]],MATCH(Batters[[#This Row],[PID]],Table5[[#All],[PID]],0))</f>
        <v>14</v>
      </c>
      <c r="BB365" s="45" t="str">
        <f>INDEX(Table5[[#All],[Team]],MATCH(Batters[[#This Row],[PID]],Table5[[#All],[PID]],0))</f>
        <v>San Antonio Calzones of Laredo</v>
      </c>
    </row>
    <row r="366" spans="1:54" ht="15" customHeight="1" x14ac:dyDescent="0.3">
      <c r="A366" s="40">
        <v>12567</v>
      </c>
      <c r="B366" s="40" t="s">
        <v>66</v>
      </c>
      <c r="C366" s="40" t="s">
        <v>369</v>
      </c>
      <c r="D366" s="40" t="s">
        <v>193</v>
      </c>
      <c r="E366" s="40">
        <v>21</v>
      </c>
      <c r="F366" s="40" t="s">
        <v>53</v>
      </c>
      <c r="G366" s="40" t="s">
        <v>53</v>
      </c>
      <c r="H366" s="41" t="s">
        <v>552</v>
      </c>
      <c r="I366" s="64" t="s">
        <v>43</v>
      </c>
      <c r="J366" s="65" t="s">
        <v>44</v>
      </c>
      <c r="K366" s="66" t="s">
        <v>43</v>
      </c>
      <c r="L366" s="40">
        <v>1</v>
      </c>
      <c r="M366" s="40">
        <v>1</v>
      </c>
      <c r="N366" s="40">
        <v>2</v>
      </c>
      <c r="O366" s="40">
        <v>2</v>
      </c>
      <c r="P366" s="41">
        <v>2</v>
      </c>
      <c r="Q366" s="40">
        <v>4</v>
      </c>
      <c r="R366" s="40">
        <v>3</v>
      </c>
      <c r="S366" s="40">
        <v>2</v>
      </c>
      <c r="T366" s="40">
        <v>4</v>
      </c>
      <c r="U366" s="41">
        <v>5</v>
      </c>
      <c r="V366" s="40">
        <v>6</v>
      </c>
      <c r="W366" s="40">
        <v>10</v>
      </c>
      <c r="X366" s="40">
        <v>1</v>
      </c>
      <c r="Y366" s="41">
        <v>1</v>
      </c>
      <c r="Z366" s="40" t="s">
        <v>45</v>
      </c>
      <c r="AA366" s="40" t="s">
        <v>45</v>
      </c>
      <c r="AB366" s="40" t="s">
        <v>45</v>
      </c>
      <c r="AC366" s="40" t="s">
        <v>45</v>
      </c>
      <c r="AD366" s="40" t="s">
        <v>45</v>
      </c>
      <c r="AE366" s="40" t="s">
        <v>45</v>
      </c>
      <c r="AF366" s="40" t="s">
        <v>45</v>
      </c>
      <c r="AG366" s="41">
        <v>2</v>
      </c>
      <c r="AH366" s="40">
        <v>1</v>
      </c>
      <c r="AI366" s="40">
        <v>4</v>
      </c>
      <c r="AJ366" s="41">
        <v>4</v>
      </c>
      <c r="AK366" s="43" t="s">
        <v>45</v>
      </c>
      <c r="AL366" s="43" t="s">
        <v>103</v>
      </c>
      <c r="AM366" s="44">
        <f t="shared" si="44"/>
        <v>-1.871555965977006</v>
      </c>
      <c r="AN366" s="44">
        <f t="shared" si="45"/>
        <v>-0.5023005786611624</v>
      </c>
      <c r="AO366" s="45">
        <f t="shared" si="46"/>
        <v>0</v>
      </c>
      <c r="AP366" s="46">
        <f t="shared" si="47"/>
        <v>0</v>
      </c>
      <c r="AQ366" s="44">
        <f>($AM$3*AM366+$AN$3*AN366+$AO$3*AO366+$AP$3*AP366)+$I$3*VLOOKUP(I366,COND!$A$2:$E$7,4,FALSE)+$J$3*VLOOKUP(J366,COND!$A$2:$C$7,2,FALSE)+$K$3*VLOOKUP(K366,COND!$A$2:$C$7,3,FALSE)+IF(AND($B$2&gt;0,$E366&lt;20),$B$2*25,0)</f>
        <v>38.485237459468351</v>
      </c>
      <c r="AR366" s="47">
        <f t="shared" si="51"/>
        <v>-0.69090400733987412</v>
      </c>
      <c r="AS366" s="45" t="str">
        <f t="shared" si="48"/>
        <v>RF</v>
      </c>
      <c r="AT366" s="45">
        <v>930</v>
      </c>
      <c r="AU366" s="45">
        <v>362</v>
      </c>
      <c r="AV366" s="45"/>
      <c r="AW366" s="45" t="str">
        <f t="shared" si="49"/>
        <v>Unlikely</v>
      </c>
      <c r="AX366" s="45"/>
      <c r="AY366" s="45">
        <f>INDEX(Table5[[#All],[Ovr]],MATCH(Batters[[#This Row],[PID]],Table5[[#All],[PID]],0))</f>
        <v>413</v>
      </c>
      <c r="AZ366" s="45" t="str">
        <f>INDEX(Table5[[#All],[Rnd]],MATCH(Batters[[#This Row],[PID]],Table5[[#All],[PID]],0))</f>
        <v>13</v>
      </c>
      <c r="BA366" s="45">
        <f>INDEX(Table5[[#All],[Pick]],MATCH(Batters[[#This Row],[PID]],Table5[[#All],[PID]],0))</f>
        <v>14</v>
      </c>
      <c r="BB366" s="45" t="str">
        <f>INDEX(Table5[[#All],[Team]],MATCH(Batters[[#This Row],[PID]],Table5[[#All],[PID]],0))</f>
        <v>San Antonio Calzones of Laredo</v>
      </c>
    </row>
    <row r="367" spans="1:54" ht="15" customHeight="1" x14ac:dyDescent="0.3">
      <c r="A367" s="40">
        <v>20866</v>
      </c>
      <c r="B367" s="40" t="s">
        <v>71</v>
      </c>
      <c r="C367" s="40" t="s">
        <v>193</v>
      </c>
      <c r="D367" s="40" t="s">
        <v>885</v>
      </c>
      <c r="E367" s="40">
        <v>17</v>
      </c>
      <c r="F367" s="40" t="s">
        <v>42</v>
      </c>
      <c r="G367" s="40" t="s">
        <v>42</v>
      </c>
      <c r="H367" s="41" t="s">
        <v>553</v>
      </c>
      <c r="I367" s="64" t="s">
        <v>43</v>
      </c>
      <c r="J367" s="65" t="s">
        <v>44</v>
      </c>
      <c r="K367" s="66" t="s">
        <v>43</v>
      </c>
      <c r="L367" s="40">
        <v>1</v>
      </c>
      <c r="M367" s="40">
        <v>3</v>
      </c>
      <c r="N367" s="40">
        <v>2</v>
      </c>
      <c r="O367" s="40">
        <v>2</v>
      </c>
      <c r="P367" s="41">
        <v>1</v>
      </c>
      <c r="Q367" s="40">
        <v>2</v>
      </c>
      <c r="R367" s="40">
        <v>5</v>
      </c>
      <c r="S367" s="40">
        <v>4</v>
      </c>
      <c r="T367" s="40">
        <v>4</v>
      </c>
      <c r="U367" s="41">
        <v>3</v>
      </c>
      <c r="V367" s="40">
        <v>2</v>
      </c>
      <c r="W367" s="40">
        <v>1</v>
      </c>
      <c r="X367" s="40">
        <v>1</v>
      </c>
      <c r="Y367" s="41">
        <v>1</v>
      </c>
      <c r="Z367" s="40" t="s">
        <v>45</v>
      </c>
      <c r="AA367" s="40" t="s">
        <v>45</v>
      </c>
      <c r="AB367" s="40">
        <v>1</v>
      </c>
      <c r="AC367" s="40" t="s">
        <v>45</v>
      </c>
      <c r="AD367" s="40" t="s">
        <v>45</v>
      </c>
      <c r="AE367" s="40" t="s">
        <v>45</v>
      </c>
      <c r="AF367" s="40" t="s">
        <v>45</v>
      </c>
      <c r="AG367" s="41" t="s">
        <v>45</v>
      </c>
      <c r="AH367" s="40">
        <v>4</v>
      </c>
      <c r="AI367" s="40">
        <v>3</v>
      </c>
      <c r="AJ367" s="41">
        <v>4</v>
      </c>
      <c r="AK367" s="43" t="s">
        <v>558</v>
      </c>
      <c r="AL367" s="43" t="s">
        <v>103</v>
      </c>
      <c r="AM367" s="44">
        <f t="shared" si="44"/>
        <v>-1.8094525465566824</v>
      </c>
      <c r="AN367" s="44">
        <f t="shared" si="45"/>
        <v>-0.95920218341546892</v>
      </c>
      <c r="AO367" s="45">
        <f t="shared" si="46"/>
        <v>0</v>
      </c>
      <c r="AP367" s="46">
        <f t="shared" si="47"/>
        <v>0</v>
      </c>
      <c r="AQ367" s="44">
        <f>($AM$3*AM367+$AN$3*AN367+$AO$3*AO367+$AP$3*AP367)+$I$3*VLOOKUP(I367,COND!$A$2:$E$7,4,FALSE)+$J$3*VLOOKUP(J367,COND!$A$2:$C$7,2,FALSE)+$K$3*VLOOKUP(K367,COND!$A$2:$C$7,3,FALSE)+IF(AND($B$2&gt;0,$E367&lt;20),$B$2*25,0)</f>
        <v>38.0086285443587</v>
      </c>
      <c r="AR367" s="47">
        <f t="shared" si="51"/>
        <v>-0.76047370971940975</v>
      </c>
      <c r="AS367" s="45" t="str">
        <f t="shared" si="48"/>
        <v>2B</v>
      </c>
      <c r="AT367" s="45">
        <v>930</v>
      </c>
      <c r="AU367" s="45">
        <v>363</v>
      </c>
      <c r="AV367" s="45"/>
      <c r="AW367" s="45" t="str">
        <f t="shared" si="49"/>
        <v>Unlikely</v>
      </c>
      <c r="AX367" s="45"/>
      <c r="AY367" s="45" t="str">
        <f>INDEX(Table5[[#All],[Ovr]],MATCH(Batters[[#This Row],[PID]],Table5[[#All],[PID]],0))</f>
        <v/>
      </c>
      <c r="AZ367" s="45" t="str">
        <f>INDEX(Table5[[#All],[Rnd]],MATCH(Batters[[#This Row],[PID]],Table5[[#All],[PID]],0))</f>
        <v/>
      </c>
      <c r="BA367" s="45" t="str">
        <f>INDEX(Table5[[#All],[Pick]],MATCH(Batters[[#This Row],[PID]],Table5[[#All],[PID]],0))</f>
        <v/>
      </c>
      <c r="BB367" s="45" t="str">
        <f>INDEX(Table5[[#All],[Team]],MATCH(Batters[[#This Row],[PID]],Table5[[#All],[PID]],0))</f>
        <v/>
      </c>
    </row>
    <row r="368" spans="1:54" ht="15" customHeight="1" x14ac:dyDescent="0.3">
      <c r="A368" s="40">
        <v>5541</v>
      </c>
      <c r="B368" s="40" t="s">
        <v>86</v>
      </c>
      <c r="C368" s="40" t="s">
        <v>128</v>
      </c>
      <c r="D368" s="40" t="s">
        <v>626</v>
      </c>
      <c r="E368" s="40">
        <v>21</v>
      </c>
      <c r="F368" s="40" t="s">
        <v>42</v>
      </c>
      <c r="G368" s="40" t="s">
        <v>42</v>
      </c>
      <c r="H368" s="41" t="s">
        <v>552</v>
      </c>
      <c r="I368" s="64" t="s">
        <v>44</v>
      </c>
      <c r="J368" s="65" t="s">
        <v>44</v>
      </c>
      <c r="K368" s="66" t="s">
        <v>47</v>
      </c>
      <c r="L368" s="40">
        <v>1</v>
      </c>
      <c r="M368" s="40">
        <v>3</v>
      </c>
      <c r="N368" s="40">
        <v>2</v>
      </c>
      <c r="O368" s="40">
        <v>3</v>
      </c>
      <c r="P368" s="41">
        <v>1</v>
      </c>
      <c r="Q368" s="40">
        <v>3</v>
      </c>
      <c r="R368" s="40">
        <v>5</v>
      </c>
      <c r="S368" s="40">
        <v>3</v>
      </c>
      <c r="T368" s="40">
        <v>5</v>
      </c>
      <c r="U368" s="41">
        <v>3</v>
      </c>
      <c r="V368" s="40">
        <v>1</v>
      </c>
      <c r="W368" s="40">
        <v>1</v>
      </c>
      <c r="X368" s="40">
        <v>4</v>
      </c>
      <c r="Y368" s="41">
        <v>7</v>
      </c>
      <c r="Z368" s="40" t="s">
        <v>45</v>
      </c>
      <c r="AA368" s="40" t="s">
        <v>45</v>
      </c>
      <c r="AB368" s="40" t="s">
        <v>45</v>
      </c>
      <c r="AC368" s="40" t="s">
        <v>45</v>
      </c>
      <c r="AD368" s="40" t="s">
        <v>45</v>
      </c>
      <c r="AE368" s="40" t="s">
        <v>45</v>
      </c>
      <c r="AF368" s="40" t="s">
        <v>45</v>
      </c>
      <c r="AG368" s="41" t="s">
        <v>45</v>
      </c>
      <c r="AH368" s="40">
        <v>4</v>
      </c>
      <c r="AI368" s="40">
        <v>2</v>
      </c>
      <c r="AJ368" s="41">
        <v>1</v>
      </c>
      <c r="AK368" s="43" t="s">
        <v>504</v>
      </c>
      <c r="AL368" s="43" t="s">
        <v>103</v>
      </c>
      <c r="AM368" s="44">
        <f t="shared" si="44"/>
        <v>-1.7197429965471014</v>
      </c>
      <c r="AN368" s="44">
        <f t="shared" si="45"/>
        <v>-0.62999829122711448</v>
      </c>
      <c r="AO368" s="45">
        <f t="shared" si="46"/>
        <v>0</v>
      </c>
      <c r="AP368" s="46">
        <f t="shared" si="47"/>
        <v>0</v>
      </c>
      <c r="AQ368" s="44">
        <f>($AM$3*AM368+$AN$3*AN368+$AO$3*AO368+$AP$3*AP368)+$I$3*VLOOKUP(I368,COND!$A$2:$E$7,4,FALSE)+$J$3*VLOOKUP(J368,COND!$A$2:$C$7,2,FALSE)+$K$3*VLOOKUP(K368,COND!$A$2:$C$7,3,FALSE)+IF(AND($B$2&gt;0,$E368&lt;20),$B$2*25,0)</f>
        <v>37.118046205619919</v>
      </c>
      <c r="AR368" s="47">
        <f t="shared" si="51"/>
        <v>-0.89047033019024924</v>
      </c>
      <c r="AS368" s="45" t="str">
        <f t="shared" si="48"/>
        <v>DH</v>
      </c>
      <c r="AT368" s="45">
        <v>930</v>
      </c>
      <c r="AU368" s="45">
        <v>364</v>
      </c>
      <c r="AV368" s="45"/>
      <c r="AW368" s="45" t="str">
        <f t="shared" si="49"/>
        <v>Unlikely</v>
      </c>
      <c r="AX368" s="45"/>
      <c r="AY368" s="45">
        <f>INDEX(Table5[[#All],[Ovr]],MATCH(Batters[[#This Row],[PID]],Table5[[#All],[PID]],0))</f>
        <v>251</v>
      </c>
      <c r="AZ368" s="45" t="str">
        <f>INDEX(Table5[[#All],[Rnd]],MATCH(Batters[[#This Row],[PID]],Table5[[#All],[PID]],0))</f>
        <v>8</v>
      </c>
      <c r="BA368" s="45">
        <f>INDEX(Table5[[#All],[Pick]],MATCH(Batters[[#This Row],[PID]],Table5[[#All],[PID]],0))</f>
        <v>18</v>
      </c>
      <c r="BB368" s="45" t="str">
        <f>INDEX(Table5[[#All],[Team]],MATCH(Batters[[#This Row],[PID]],Table5[[#All],[PID]],0))</f>
        <v>San Juan Coqui</v>
      </c>
    </row>
    <row r="369" spans="1:54" ht="15" customHeight="1" x14ac:dyDescent="0.3">
      <c r="A369" s="40">
        <v>14060</v>
      </c>
      <c r="B369" s="40" t="s">
        <v>66</v>
      </c>
      <c r="C369" s="40" t="s">
        <v>816</v>
      </c>
      <c r="D369" s="40" t="s">
        <v>626</v>
      </c>
      <c r="E369" s="40">
        <v>22</v>
      </c>
      <c r="F369" s="40" t="s">
        <v>53</v>
      </c>
      <c r="G369" s="40" t="s">
        <v>42</v>
      </c>
      <c r="H369" s="41" t="s">
        <v>552</v>
      </c>
      <c r="I369" s="64" t="s">
        <v>43</v>
      </c>
      <c r="J369" s="65" t="s">
        <v>44</v>
      </c>
      <c r="K369" s="66" t="s">
        <v>43</v>
      </c>
      <c r="L369" s="40">
        <v>1</v>
      </c>
      <c r="M369" s="40">
        <v>4</v>
      </c>
      <c r="N369" s="40">
        <v>3</v>
      </c>
      <c r="O369" s="40">
        <v>3</v>
      </c>
      <c r="P369" s="41">
        <v>1</v>
      </c>
      <c r="Q369" s="40">
        <v>3</v>
      </c>
      <c r="R369" s="40">
        <v>4</v>
      </c>
      <c r="S369" s="40">
        <v>4</v>
      </c>
      <c r="T369" s="40">
        <v>5</v>
      </c>
      <c r="U369" s="41">
        <v>3</v>
      </c>
      <c r="V369" s="40">
        <v>5</v>
      </c>
      <c r="W369" s="40">
        <v>9</v>
      </c>
      <c r="X369" s="40">
        <v>1</v>
      </c>
      <c r="Y369" s="41">
        <v>1</v>
      </c>
      <c r="Z369" s="40" t="s">
        <v>45</v>
      </c>
      <c r="AA369" s="40" t="s">
        <v>45</v>
      </c>
      <c r="AB369" s="40" t="s">
        <v>45</v>
      </c>
      <c r="AC369" s="40" t="s">
        <v>45</v>
      </c>
      <c r="AD369" s="40" t="s">
        <v>45</v>
      </c>
      <c r="AE369" s="40">
        <v>2</v>
      </c>
      <c r="AF369" s="40" t="s">
        <v>45</v>
      </c>
      <c r="AG369" s="41">
        <v>1</v>
      </c>
      <c r="AH369" s="40">
        <v>8</v>
      </c>
      <c r="AI369" s="40">
        <v>6</v>
      </c>
      <c r="AJ369" s="41">
        <v>6</v>
      </c>
      <c r="AK369" s="43" t="s">
        <v>557</v>
      </c>
      <c r="AL369" s="43" t="s">
        <v>103</v>
      </c>
      <c r="AM369" s="44">
        <f t="shared" si="44"/>
        <v>-1.5856216229044964</v>
      </c>
      <c r="AN369" s="44">
        <f t="shared" si="45"/>
        <v>-0.59799667682191648</v>
      </c>
      <c r="AO369" s="45">
        <f t="shared" si="46"/>
        <v>1</v>
      </c>
      <c r="AP369" s="46">
        <f t="shared" si="47"/>
        <v>0</v>
      </c>
      <c r="AQ369" s="44">
        <f>($AM$3*AM369+$AN$3*AN369+$AO$3*AO369+$AP$3*AP369)+$I$3*VLOOKUP(I369,COND!$A$2:$E$7,4,FALSE)+$J$3*VLOOKUP(J369,COND!$A$2:$C$7,2,FALSE)+$K$3*VLOOKUP(K369,COND!$A$2:$C$7,3,FALSE)+IF(AND($B$2&gt;0,$E369&lt;20),$B$2*25,0)</f>
        <v>37.532144382513223</v>
      </c>
      <c r="AR369" s="47">
        <f t="shared" si="51"/>
        <v>-0.83002520210080155</v>
      </c>
      <c r="AS369" s="45" t="str">
        <f t="shared" si="48"/>
        <v>LF</v>
      </c>
      <c r="AT369" s="45">
        <v>930</v>
      </c>
      <c r="AU369" s="45">
        <v>365</v>
      </c>
      <c r="AV369" s="45"/>
      <c r="AW369" s="45" t="str">
        <f t="shared" si="49"/>
        <v>Unlikely</v>
      </c>
      <c r="AX369" s="45"/>
      <c r="AY369" s="45">
        <f>INDEX(Table5[[#All],[Ovr]],MATCH(Batters[[#This Row],[PID]],Table5[[#All],[PID]],0))</f>
        <v>319</v>
      </c>
      <c r="AZ369" s="45" t="str">
        <f>INDEX(Table5[[#All],[Rnd]],MATCH(Batters[[#This Row],[PID]],Table5[[#All],[PID]],0))</f>
        <v>10</v>
      </c>
      <c r="BA369" s="45">
        <f>INDEX(Table5[[#All],[Pick]],MATCH(Batters[[#This Row],[PID]],Table5[[#All],[PID]],0))</f>
        <v>22</v>
      </c>
      <c r="BB369" s="45" t="str">
        <f>INDEX(Table5[[#All],[Team]],MATCH(Batters[[#This Row],[PID]],Table5[[#All],[PID]],0))</f>
        <v>Bakersfield Bears</v>
      </c>
    </row>
    <row r="370" spans="1:54" ht="15" customHeight="1" x14ac:dyDescent="0.3">
      <c r="A370" s="40">
        <v>20222</v>
      </c>
      <c r="B370" s="40" t="s">
        <v>86</v>
      </c>
      <c r="C370" s="40" t="s">
        <v>317</v>
      </c>
      <c r="D370" s="40" t="s">
        <v>1200</v>
      </c>
      <c r="E370" s="40">
        <v>21</v>
      </c>
      <c r="F370" s="40" t="s">
        <v>42</v>
      </c>
      <c r="G370" s="40" t="s">
        <v>42</v>
      </c>
      <c r="H370" s="41" t="s">
        <v>552</v>
      </c>
      <c r="I370" s="64" t="s">
        <v>43</v>
      </c>
      <c r="J370" s="65" t="s">
        <v>44</v>
      </c>
      <c r="K370" s="66" t="s">
        <v>43</v>
      </c>
      <c r="L370" s="40">
        <v>2</v>
      </c>
      <c r="M370" s="40">
        <v>4</v>
      </c>
      <c r="N370" s="40">
        <v>2</v>
      </c>
      <c r="O370" s="40">
        <v>4</v>
      </c>
      <c r="P370" s="41">
        <v>1</v>
      </c>
      <c r="Q370" s="40">
        <v>3</v>
      </c>
      <c r="R370" s="40">
        <v>4</v>
      </c>
      <c r="S370" s="40">
        <v>3</v>
      </c>
      <c r="T370" s="40">
        <v>5</v>
      </c>
      <c r="U370" s="41">
        <v>3</v>
      </c>
      <c r="V370" s="40">
        <v>4</v>
      </c>
      <c r="W370" s="40">
        <v>4</v>
      </c>
      <c r="X370" s="40">
        <v>5</v>
      </c>
      <c r="Y370" s="41">
        <v>7</v>
      </c>
      <c r="Z370" s="40">
        <v>3</v>
      </c>
      <c r="AA370" s="40" t="s">
        <v>45</v>
      </c>
      <c r="AB370" s="40" t="s">
        <v>45</v>
      </c>
      <c r="AC370" s="40" t="s">
        <v>45</v>
      </c>
      <c r="AD370" s="40" t="s">
        <v>45</v>
      </c>
      <c r="AE370" s="40" t="s">
        <v>45</v>
      </c>
      <c r="AF370" s="40" t="s">
        <v>45</v>
      </c>
      <c r="AG370" s="41" t="s">
        <v>45</v>
      </c>
      <c r="AH370" s="40">
        <v>2</v>
      </c>
      <c r="AI370" s="40">
        <v>1</v>
      </c>
      <c r="AJ370" s="41">
        <v>1</v>
      </c>
      <c r="AK370" s="43" t="s">
        <v>493</v>
      </c>
      <c r="AL370" s="43" t="s">
        <v>103</v>
      </c>
      <c r="AM370" s="44">
        <f t="shared" si="44"/>
        <v>-1.2564177307161419</v>
      </c>
      <c r="AN370" s="44">
        <f t="shared" si="45"/>
        <v>-0.6810581708458181</v>
      </c>
      <c r="AO370" s="45">
        <f t="shared" si="46"/>
        <v>0</v>
      </c>
      <c r="AP370" s="46">
        <f t="shared" si="47"/>
        <v>1.1000000000000001</v>
      </c>
      <c r="AQ370" s="44">
        <f>($AM$3*AM370+$AN$3*AN370+$AO$3*AO370+$AP$3*AP370)+$I$3*VLOOKUP(I370,COND!$A$2:$E$7,4,FALSE)+$J$3*VLOOKUP(J370,COND!$A$2:$C$7,2,FALSE)+$K$3*VLOOKUP(K370,COND!$A$2:$C$7,3,FALSE)+IF(AND($B$2&gt;0,$E370&lt;20),$B$2*25,0)</f>
        <v>37.501660176778572</v>
      </c>
      <c r="AR370" s="47">
        <f t="shared" si="51"/>
        <v>-0.83447492398598366</v>
      </c>
      <c r="AS370" s="45" t="str">
        <f t="shared" si="48"/>
        <v>C</v>
      </c>
      <c r="AT370" s="45">
        <v>930</v>
      </c>
      <c r="AU370" s="45">
        <v>366</v>
      </c>
      <c r="AV370" s="45"/>
      <c r="AW370" s="45" t="str">
        <f t="shared" si="49"/>
        <v>Unlikely</v>
      </c>
      <c r="AX370" s="45"/>
      <c r="AY370" s="45" t="str">
        <f>INDEX(Table5[[#All],[Ovr]],MATCH(Batters[[#This Row],[PID]],Table5[[#All],[PID]],0))</f>
        <v/>
      </c>
      <c r="AZ370" s="45" t="str">
        <f>INDEX(Table5[[#All],[Rnd]],MATCH(Batters[[#This Row],[PID]],Table5[[#All],[PID]],0))</f>
        <v/>
      </c>
      <c r="BA370" s="45" t="str">
        <f>INDEX(Table5[[#All],[Pick]],MATCH(Batters[[#This Row],[PID]],Table5[[#All],[PID]],0))</f>
        <v/>
      </c>
      <c r="BB370" s="45" t="str">
        <f>INDEX(Table5[[#All],[Team]],MATCH(Batters[[#This Row],[PID]],Table5[[#All],[PID]],0))</f>
        <v/>
      </c>
    </row>
    <row r="371" spans="1:54" ht="15" customHeight="1" x14ac:dyDescent="0.3">
      <c r="A371" s="40">
        <v>16931</v>
      </c>
      <c r="B371" s="40" t="s">
        <v>86</v>
      </c>
      <c r="C371" s="40" t="s">
        <v>893</v>
      </c>
      <c r="D371" s="40" t="s">
        <v>589</v>
      </c>
      <c r="E371" s="40">
        <v>22</v>
      </c>
      <c r="F371" s="40" t="s">
        <v>42</v>
      </c>
      <c r="G371" s="40" t="s">
        <v>42</v>
      </c>
      <c r="H371" s="41" t="s">
        <v>552</v>
      </c>
      <c r="I371" s="64" t="s">
        <v>43</v>
      </c>
      <c r="J371" s="65" t="s">
        <v>44</v>
      </c>
      <c r="K371" s="66" t="s">
        <v>43</v>
      </c>
      <c r="L371" s="40">
        <v>1</v>
      </c>
      <c r="M371" s="40">
        <v>2</v>
      </c>
      <c r="N371" s="40">
        <v>2</v>
      </c>
      <c r="O371" s="40">
        <v>2</v>
      </c>
      <c r="P371" s="41">
        <v>1</v>
      </c>
      <c r="Q371" s="40">
        <v>3</v>
      </c>
      <c r="R371" s="40">
        <v>3</v>
      </c>
      <c r="S371" s="40">
        <v>3</v>
      </c>
      <c r="T371" s="40">
        <v>5</v>
      </c>
      <c r="U371" s="41">
        <v>3</v>
      </c>
      <c r="V371" s="40">
        <v>5</v>
      </c>
      <c r="W371" s="40">
        <v>5</v>
      </c>
      <c r="X371" s="40">
        <v>6</v>
      </c>
      <c r="Y371" s="41">
        <v>7</v>
      </c>
      <c r="Z371" s="40">
        <v>3</v>
      </c>
      <c r="AA371" s="40">
        <v>2</v>
      </c>
      <c r="AB371" s="40" t="s">
        <v>45</v>
      </c>
      <c r="AC371" s="40">
        <v>1</v>
      </c>
      <c r="AD371" s="40" t="s">
        <v>45</v>
      </c>
      <c r="AE371" s="40" t="s">
        <v>45</v>
      </c>
      <c r="AF371" s="40" t="s">
        <v>45</v>
      </c>
      <c r="AG371" s="41" t="s">
        <v>45</v>
      </c>
      <c r="AH371" s="40">
        <v>10</v>
      </c>
      <c r="AI371" s="40">
        <v>9</v>
      </c>
      <c r="AJ371" s="41">
        <v>5</v>
      </c>
      <c r="AK371" s="43" t="s">
        <v>557</v>
      </c>
      <c r="AL371" s="43" t="s">
        <v>103</v>
      </c>
      <c r="AM371" s="44">
        <f t="shared" si="44"/>
        <v>-1.8605124261753858</v>
      </c>
      <c r="AN371" s="44">
        <f t="shared" si="45"/>
        <v>-0.73211805046452161</v>
      </c>
      <c r="AO371" s="45">
        <f t="shared" si="46"/>
        <v>4</v>
      </c>
      <c r="AP371" s="46">
        <f t="shared" si="47"/>
        <v>1.1000000000000001</v>
      </c>
      <c r="AQ371" s="44">
        <f>($AM$3*AM371+$AN$3*AN371+$AO$3*AO371+$AP$3*AP371)+$I$3*VLOOKUP(I371,COND!$A$2:$E$7,4,FALSE)+$J$3*VLOOKUP(J371,COND!$A$2:$C$7,2,FALSE)+$K$3*VLOOKUP(K371,COND!$A$2:$C$7,3,FALSE)+IF(AND($B$2&gt;0,$E371&lt;20),$B$2*25,0)</f>
        <v>37.495198818474869</v>
      </c>
      <c r="AR371" s="47">
        <f t="shared" si="51"/>
        <v>-0.83541807624332809</v>
      </c>
      <c r="AS371" s="45" t="str">
        <f t="shared" si="48"/>
        <v>C</v>
      </c>
      <c r="AT371" s="45">
        <v>930</v>
      </c>
      <c r="AU371" s="45">
        <v>367</v>
      </c>
      <c r="AV371" s="45"/>
      <c r="AW371" s="45" t="str">
        <f t="shared" si="49"/>
        <v>Unlikely</v>
      </c>
      <c r="AX371" s="45"/>
      <c r="AY371" s="45">
        <f>INDEX(Table5[[#All],[Ovr]],MATCH(Batters[[#This Row],[PID]],Table5[[#All],[PID]],0))</f>
        <v>521</v>
      </c>
      <c r="AZ371" s="45" t="str">
        <f>INDEX(Table5[[#All],[Rnd]],MATCH(Batters[[#This Row],[PID]],Table5[[#All],[PID]],0))</f>
        <v>16</v>
      </c>
      <c r="BA371" s="45">
        <f>INDEX(Table5[[#All],[Pick]],MATCH(Batters[[#This Row],[PID]],Table5[[#All],[PID]],0))</f>
        <v>20</v>
      </c>
      <c r="BB371" s="45" t="str">
        <f>INDEX(Table5[[#All],[Team]],MATCH(Batters[[#This Row],[PID]],Table5[[#All],[PID]],0))</f>
        <v>Crystal Lake Sandgnats</v>
      </c>
    </row>
    <row r="372" spans="1:54" ht="15" customHeight="1" x14ac:dyDescent="0.3">
      <c r="A372" s="40">
        <v>20185</v>
      </c>
      <c r="B372" s="40" t="s">
        <v>87</v>
      </c>
      <c r="C372" s="40" t="s">
        <v>283</v>
      </c>
      <c r="D372" s="40" t="s">
        <v>1313</v>
      </c>
      <c r="E372" s="40">
        <v>21</v>
      </c>
      <c r="F372" s="40" t="s">
        <v>53</v>
      </c>
      <c r="G372" s="40" t="s">
        <v>53</v>
      </c>
      <c r="H372" s="41" t="s">
        <v>561</v>
      </c>
      <c r="I372" s="64" t="s">
        <v>43</v>
      </c>
      <c r="J372" s="65" t="s">
        <v>44</v>
      </c>
      <c r="K372" s="66" t="s">
        <v>43</v>
      </c>
      <c r="L372" s="40">
        <v>2</v>
      </c>
      <c r="M372" s="40">
        <v>3</v>
      </c>
      <c r="N372" s="40">
        <v>2</v>
      </c>
      <c r="O372" s="40">
        <v>2</v>
      </c>
      <c r="P372" s="41">
        <v>3</v>
      </c>
      <c r="Q372" s="40">
        <v>4</v>
      </c>
      <c r="R372" s="40">
        <v>3</v>
      </c>
      <c r="S372" s="40">
        <v>2</v>
      </c>
      <c r="T372" s="40">
        <v>3</v>
      </c>
      <c r="U372" s="41">
        <v>5</v>
      </c>
      <c r="V372" s="40">
        <v>7</v>
      </c>
      <c r="W372" s="40">
        <v>3</v>
      </c>
      <c r="X372" s="40">
        <v>1</v>
      </c>
      <c r="Y372" s="41">
        <v>1</v>
      </c>
      <c r="Z372" s="40" t="s">
        <v>45</v>
      </c>
      <c r="AA372" s="40">
        <v>1</v>
      </c>
      <c r="AB372" s="40" t="s">
        <v>45</v>
      </c>
      <c r="AC372" s="40" t="s">
        <v>45</v>
      </c>
      <c r="AD372" s="40" t="s">
        <v>45</v>
      </c>
      <c r="AE372" s="40" t="s">
        <v>45</v>
      </c>
      <c r="AF372" s="40" t="s">
        <v>45</v>
      </c>
      <c r="AG372" s="41" t="s">
        <v>45</v>
      </c>
      <c r="AH372" s="40">
        <v>1</v>
      </c>
      <c r="AI372" s="40">
        <v>1</v>
      </c>
      <c r="AJ372" s="41">
        <v>1</v>
      </c>
      <c r="AK372" s="43" t="s">
        <v>557</v>
      </c>
      <c r="AL372" s="43" t="s">
        <v>103</v>
      </c>
      <c r="AM372" s="44">
        <f t="shared" si="44"/>
        <v>-1.406864030719841</v>
      </c>
      <c r="AN372" s="44">
        <f t="shared" si="45"/>
        <v>-0.59201012867074343</v>
      </c>
      <c r="AO372" s="45">
        <f t="shared" si="46"/>
        <v>0</v>
      </c>
      <c r="AP372" s="46">
        <f t="shared" si="47"/>
        <v>0</v>
      </c>
      <c r="AQ372" s="44">
        <f>($AM$3*AM372+$AN$3*AN372+$AO$3*AO372+$AP$3*AP372)+$I$3*VLOOKUP(I372,COND!$A$2:$E$7,4,FALSE)+$J$3*VLOOKUP(J372,COND!$A$2:$C$7,2,FALSE)+$K$3*VLOOKUP(K372,COND!$A$2:$C$7,3,FALSE)+IF(AND($B$2&gt;0,$E372&lt;20),$B$2*25,0)</f>
        <v>37.455192052879099</v>
      </c>
      <c r="AR372" s="47">
        <f t="shared" si="51"/>
        <v>-0.84125778819043928</v>
      </c>
      <c r="AS372" s="45" t="str">
        <f t="shared" si="48"/>
        <v>1B</v>
      </c>
      <c r="AT372" s="45">
        <v>930</v>
      </c>
      <c r="AU372" s="45">
        <v>368</v>
      </c>
      <c r="AV372" s="45"/>
      <c r="AW372" s="45" t="str">
        <f t="shared" si="49"/>
        <v>Unlikely</v>
      </c>
      <c r="AX372" s="45"/>
      <c r="AY372" s="63">
        <f>INDEX(Table5[[#All],[Ovr]],MATCH(Batters[[#This Row],[PID]],Table5[[#All],[PID]],0))</f>
        <v>406</v>
      </c>
      <c r="AZ372" s="63" t="str">
        <f>INDEX(Table5[[#All],[Rnd]],MATCH(Batters[[#This Row],[PID]],Table5[[#All],[PID]],0))</f>
        <v>13</v>
      </c>
      <c r="BA372" s="63">
        <f>INDEX(Table5[[#All],[Pick]],MATCH(Batters[[#This Row],[PID]],Table5[[#All],[PID]],0))</f>
        <v>7</v>
      </c>
      <c r="BB372" s="63" t="str">
        <f>INDEX(Table5[[#All],[Team]],MATCH(Batters[[#This Row],[PID]],Table5[[#All],[PID]],0))</f>
        <v>Hartford Harpoon</v>
      </c>
    </row>
    <row r="373" spans="1:54" ht="15" customHeight="1" x14ac:dyDescent="0.3">
      <c r="A373" s="40">
        <v>6921</v>
      </c>
      <c r="B373" s="40" t="s">
        <v>87</v>
      </c>
      <c r="C373" s="40" t="s">
        <v>630</v>
      </c>
      <c r="D373" s="40" t="s">
        <v>631</v>
      </c>
      <c r="E373" s="40">
        <v>21</v>
      </c>
      <c r="F373" s="40" t="s">
        <v>53</v>
      </c>
      <c r="G373" s="40" t="s">
        <v>42</v>
      </c>
      <c r="H373" s="41" t="s">
        <v>552</v>
      </c>
      <c r="I373" s="64" t="s">
        <v>43</v>
      </c>
      <c r="J373" s="65" t="s">
        <v>44</v>
      </c>
      <c r="K373" s="66" t="s">
        <v>43</v>
      </c>
      <c r="L373" s="40">
        <v>1</v>
      </c>
      <c r="M373" s="40">
        <v>4</v>
      </c>
      <c r="N373" s="40">
        <v>3</v>
      </c>
      <c r="O373" s="40">
        <v>2</v>
      </c>
      <c r="P373" s="41">
        <v>1</v>
      </c>
      <c r="Q373" s="40">
        <v>3</v>
      </c>
      <c r="R373" s="40">
        <v>4</v>
      </c>
      <c r="S373" s="40">
        <v>5</v>
      </c>
      <c r="T373" s="40">
        <v>4</v>
      </c>
      <c r="U373" s="41">
        <v>3</v>
      </c>
      <c r="V373" s="40">
        <v>3</v>
      </c>
      <c r="W373" s="40">
        <v>1</v>
      </c>
      <c r="X373" s="40">
        <v>1</v>
      </c>
      <c r="Y373" s="41">
        <v>1</v>
      </c>
      <c r="Z373" s="40" t="s">
        <v>45</v>
      </c>
      <c r="AA373" s="40">
        <v>2</v>
      </c>
      <c r="AB373" s="40" t="s">
        <v>45</v>
      </c>
      <c r="AC373" s="40" t="s">
        <v>45</v>
      </c>
      <c r="AD373" s="40" t="s">
        <v>45</v>
      </c>
      <c r="AE373" s="40" t="s">
        <v>45</v>
      </c>
      <c r="AF373" s="40" t="s">
        <v>45</v>
      </c>
      <c r="AG373" s="41" t="s">
        <v>45</v>
      </c>
      <c r="AH373" s="40">
        <v>1</v>
      </c>
      <c r="AI373" s="40">
        <v>5</v>
      </c>
      <c r="AJ373" s="41">
        <v>7</v>
      </c>
      <c r="AK373" s="43" t="s">
        <v>558</v>
      </c>
      <c r="AL373" s="43" t="s">
        <v>103</v>
      </c>
      <c r="AM373" s="44">
        <f t="shared" si="44"/>
        <v>-1.6753311729140774</v>
      </c>
      <c r="AN373" s="44">
        <f t="shared" si="45"/>
        <v>-0.60464473280759601</v>
      </c>
      <c r="AO373" s="45">
        <f t="shared" si="46"/>
        <v>1</v>
      </c>
      <c r="AP373" s="46">
        <f t="shared" si="47"/>
        <v>0</v>
      </c>
      <c r="AQ373" s="44">
        <f>($AM$3*AM373+$AN$3*AN373+$AO$3*AO373+$AP$3*AP373)+$I$3*VLOOKUP(I373,COND!$A$2:$E$7,4,FALSE)+$J$3*VLOOKUP(J373,COND!$A$2:$C$7,2,FALSE)+$K$3*VLOOKUP(K373,COND!$A$2:$C$7,3,FALSE)+IF(AND($B$2&gt;0,$E373&lt;20),$B$2*25,0)</f>
        <v>37.443396755684105</v>
      </c>
      <c r="AR373" s="47">
        <f t="shared" si="51"/>
        <v>-0.84297952542471888</v>
      </c>
      <c r="AS373" s="45" t="str">
        <f t="shared" si="48"/>
        <v>1B</v>
      </c>
      <c r="AT373" s="45">
        <v>930</v>
      </c>
      <c r="AU373" s="45">
        <v>369</v>
      </c>
      <c r="AV373" s="45"/>
      <c r="AW373" s="45" t="str">
        <f t="shared" si="49"/>
        <v>Unlikely</v>
      </c>
      <c r="AX373" s="45"/>
      <c r="AY373" s="45" t="str">
        <f>INDEX(Table5[[#All],[Ovr]],MATCH(Batters[[#This Row],[PID]],Table5[[#All],[PID]],0))</f>
        <v/>
      </c>
      <c r="AZ373" s="45" t="str">
        <f>INDEX(Table5[[#All],[Rnd]],MATCH(Batters[[#This Row],[PID]],Table5[[#All],[PID]],0))</f>
        <v/>
      </c>
      <c r="BA373" s="45" t="str">
        <f>INDEX(Table5[[#All],[Pick]],MATCH(Batters[[#This Row],[PID]],Table5[[#All],[PID]],0))</f>
        <v/>
      </c>
      <c r="BB373" s="45" t="str">
        <f>INDEX(Table5[[#All],[Team]],MATCH(Batters[[#This Row],[PID]],Table5[[#All],[PID]],0))</f>
        <v/>
      </c>
    </row>
    <row r="374" spans="1:54" ht="15" customHeight="1" x14ac:dyDescent="0.3">
      <c r="A374" s="40">
        <v>12408</v>
      </c>
      <c r="B374" s="40" t="s">
        <v>72</v>
      </c>
      <c r="C374" s="40" t="s">
        <v>807</v>
      </c>
      <c r="D374" s="40" t="s">
        <v>808</v>
      </c>
      <c r="E374" s="40">
        <v>22</v>
      </c>
      <c r="F374" s="40" t="s">
        <v>42</v>
      </c>
      <c r="G374" s="40" t="s">
        <v>42</v>
      </c>
      <c r="H374" s="41" t="s">
        <v>552</v>
      </c>
      <c r="I374" s="64" t="s">
        <v>44</v>
      </c>
      <c r="J374" s="65" t="s">
        <v>44</v>
      </c>
      <c r="K374" s="66" t="s">
        <v>43</v>
      </c>
      <c r="L374" s="40">
        <v>2</v>
      </c>
      <c r="M374" s="40">
        <v>3</v>
      </c>
      <c r="N374" s="40">
        <v>3</v>
      </c>
      <c r="O374" s="40">
        <v>2</v>
      </c>
      <c r="P374" s="41">
        <v>1</v>
      </c>
      <c r="Q374" s="40">
        <v>3</v>
      </c>
      <c r="R374" s="40">
        <v>5</v>
      </c>
      <c r="S374" s="40">
        <v>3</v>
      </c>
      <c r="T374" s="40">
        <v>4</v>
      </c>
      <c r="U374" s="41">
        <v>3</v>
      </c>
      <c r="V374" s="40">
        <v>5</v>
      </c>
      <c r="W374" s="40">
        <v>4</v>
      </c>
      <c r="X374" s="40">
        <v>1</v>
      </c>
      <c r="Y374" s="41">
        <v>1</v>
      </c>
      <c r="Z374" s="40" t="s">
        <v>45</v>
      </c>
      <c r="AA374" s="40" t="s">
        <v>45</v>
      </c>
      <c r="AB374" s="40" t="s">
        <v>45</v>
      </c>
      <c r="AC374" s="40" t="s">
        <v>45</v>
      </c>
      <c r="AD374" s="40">
        <v>6</v>
      </c>
      <c r="AE374" s="40" t="s">
        <v>45</v>
      </c>
      <c r="AF374" s="40" t="s">
        <v>45</v>
      </c>
      <c r="AG374" s="41" t="s">
        <v>45</v>
      </c>
      <c r="AH374" s="40">
        <v>7</v>
      </c>
      <c r="AI374" s="40">
        <v>10</v>
      </c>
      <c r="AJ374" s="41">
        <v>10</v>
      </c>
      <c r="AK374" s="43" t="s">
        <v>45</v>
      </c>
      <c r="AL374" s="43" t="s">
        <v>1025</v>
      </c>
      <c r="AM374" s="44">
        <f t="shared" si="44"/>
        <v>-1.4038352163301062</v>
      </c>
      <c r="AN374" s="44">
        <f t="shared" si="45"/>
        <v>-0.71970784123669562</v>
      </c>
      <c r="AO374" s="45">
        <f t="shared" si="46"/>
        <v>4</v>
      </c>
      <c r="AP374" s="46">
        <f t="shared" si="47"/>
        <v>1</v>
      </c>
      <c r="AQ374" s="44">
        <f>($AM$3*AM374+$AN$3*AN374+$AO$3*AO374+$AP$3*AP374)+$I$3*VLOOKUP(I374,COND!$A$2:$E$7,4,FALSE)+$J$3*VLOOKUP(J374,COND!$A$2:$C$7,2,FALSE)+$K$3*VLOOKUP(K374,COND!$A$2:$C$7,3,FALSE)+IF(AND($B$2&gt;0,$E374&lt;20),$B$2*25,0)</f>
        <v>37.439789050193305</v>
      </c>
      <c r="AR374" s="47">
        <f t="shared" si="51"/>
        <v>-0.84350613537537467</v>
      </c>
      <c r="AS374" s="45" t="str">
        <f t="shared" si="48"/>
        <v>SS</v>
      </c>
      <c r="AT374" s="45">
        <v>930</v>
      </c>
      <c r="AU374" s="45">
        <v>370</v>
      </c>
      <c r="AV374" s="45"/>
      <c r="AW374" s="45" t="str">
        <f t="shared" si="49"/>
        <v>Unlikely</v>
      </c>
      <c r="AX374" s="45"/>
      <c r="AY374" s="45">
        <f>INDEX(Table5[[#All],[Ovr]],MATCH(Batters[[#This Row],[PID]],Table5[[#All],[PID]],0))</f>
        <v>465</v>
      </c>
      <c r="AZ374" s="45" t="str">
        <f>INDEX(Table5[[#All],[Rnd]],MATCH(Batters[[#This Row],[PID]],Table5[[#All],[PID]],0))</f>
        <v>14</v>
      </c>
      <c r="BA374" s="45">
        <f>INDEX(Table5[[#All],[Pick]],MATCH(Batters[[#This Row],[PID]],Table5[[#All],[PID]],0))</f>
        <v>32</v>
      </c>
      <c r="BB374" s="45" t="str">
        <f>INDEX(Table5[[#All],[Team]],MATCH(Batters[[#This Row],[PID]],Table5[[#All],[PID]],0))</f>
        <v>Florida Farstriders</v>
      </c>
    </row>
    <row r="375" spans="1:54" ht="15" customHeight="1" x14ac:dyDescent="0.3">
      <c r="A375" s="40">
        <v>10875</v>
      </c>
      <c r="B375" s="40" t="s">
        <v>74</v>
      </c>
      <c r="C375" s="40" t="s">
        <v>1194</v>
      </c>
      <c r="D375" s="40" t="s">
        <v>567</v>
      </c>
      <c r="E375" s="40">
        <v>21</v>
      </c>
      <c r="F375" s="40" t="s">
        <v>42</v>
      </c>
      <c r="G375" s="40" t="s">
        <v>42</v>
      </c>
      <c r="H375" s="41" t="s">
        <v>552</v>
      </c>
      <c r="I375" s="64" t="s">
        <v>43</v>
      </c>
      <c r="J375" s="65" t="s">
        <v>44</v>
      </c>
      <c r="K375" s="66" t="s">
        <v>43</v>
      </c>
      <c r="L375" s="40">
        <v>2</v>
      </c>
      <c r="M375" s="40">
        <v>3</v>
      </c>
      <c r="N375" s="40">
        <v>3</v>
      </c>
      <c r="O375" s="40">
        <v>3</v>
      </c>
      <c r="P375" s="41">
        <v>1</v>
      </c>
      <c r="Q375" s="40">
        <v>3</v>
      </c>
      <c r="R375" s="40">
        <v>4</v>
      </c>
      <c r="S375" s="40">
        <v>4</v>
      </c>
      <c r="T375" s="40">
        <v>4</v>
      </c>
      <c r="U375" s="41">
        <v>3</v>
      </c>
      <c r="V375" s="40">
        <v>5</v>
      </c>
      <c r="W375" s="40">
        <v>8</v>
      </c>
      <c r="X375" s="40">
        <v>1</v>
      </c>
      <c r="Y375" s="41">
        <v>1</v>
      </c>
      <c r="Z375" s="40" t="s">
        <v>45</v>
      </c>
      <c r="AA375" s="40" t="s">
        <v>45</v>
      </c>
      <c r="AB375" s="40" t="s">
        <v>45</v>
      </c>
      <c r="AC375" s="40" t="s">
        <v>45</v>
      </c>
      <c r="AD375" s="40" t="s">
        <v>45</v>
      </c>
      <c r="AE375" s="40" t="s">
        <v>45</v>
      </c>
      <c r="AF375" s="40">
        <v>4</v>
      </c>
      <c r="AG375" s="41" t="s">
        <v>45</v>
      </c>
      <c r="AH375" s="40">
        <v>10</v>
      </c>
      <c r="AI375" s="40">
        <v>9</v>
      </c>
      <c r="AJ375" s="41">
        <v>10</v>
      </c>
      <c r="AK375" s="43" t="s">
        <v>45</v>
      </c>
      <c r="AL375" s="43" t="s">
        <v>103</v>
      </c>
      <c r="AM375" s="44">
        <f t="shared" si="44"/>
        <v>-1.3141256663205254</v>
      </c>
      <c r="AN375" s="44">
        <f t="shared" si="45"/>
        <v>-0.68770622683149762</v>
      </c>
      <c r="AO375" s="45">
        <f t="shared" si="46"/>
        <v>6</v>
      </c>
      <c r="AP375" s="46">
        <f t="shared" si="47"/>
        <v>0</v>
      </c>
      <c r="AQ375" s="44">
        <f>($AM$3*AM375+$AN$3*AN375+$AO$3*AO375+$AP$3*AP375)+$I$3*VLOOKUP(I375,COND!$A$2:$E$7,4,FALSE)+$J$3*VLOOKUP(J375,COND!$A$2:$C$7,2,FALSE)+$K$3*VLOOKUP(K375,COND!$A$2:$C$7,3,FALSE)+IF(AND($B$2&gt;0,$E375&lt;20),$B$2*25,0)</f>
        <v>37.316112711389977</v>
      </c>
      <c r="AR375" s="47">
        <f t="shared" si="51"/>
        <v>-0.8615589367585772</v>
      </c>
      <c r="AS375" s="45" t="str">
        <f t="shared" si="48"/>
        <v>CF</v>
      </c>
      <c r="AT375" s="45">
        <v>930</v>
      </c>
      <c r="AU375" s="45">
        <v>371</v>
      </c>
      <c r="AV375" s="45"/>
      <c r="AW375" s="45" t="str">
        <f t="shared" si="49"/>
        <v>Unlikely</v>
      </c>
      <c r="AX375" s="45"/>
      <c r="AY375" s="45">
        <f>INDEX(Table5[[#All],[Ovr]],MATCH(Batters[[#This Row],[PID]],Table5[[#All],[PID]],0))</f>
        <v>397</v>
      </c>
      <c r="AZ375" s="45" t="str">
        <f>INDEX(Table5[[#All],[Rnd]],MATCH(Batters[[#This Row],[PID]],Table5[[#All],[PID]],0))</f>
        <v>12</v>
      </c>
      <c r="BA375" s="45">
        <f>INDEX(Table5[[#All],[Pick]],MATCH(Batters[[#This Row],[PID]],Table5[[#All],[PID]],0))</f>
        <v>32</v>
      </c>
      <c r="BB375" s="45" t="str">
        <f>INDEX(Table5[[#All],[Team]],MATCH(Batters[[#This Row],[PID]],Table5[[#All],[PID]],0))</f>
        <v>Florida Farstriders</v>
      </c>
    </row>
    <row r="376" spans="1:54" ht="15" customHeight="1" x14ac:dyDescent="0.3">
      <c r="A376" s="40">
        <v>10820</v>
      </c>
      <c r="B376" s="40" t="s">
        <v>86</v>
      </c>
      <c r="C376" s="40" t="s">
        <v>1155</v>
      </c>
      <c r="D376" s="40" t="s">
        <v>1156</v>
      </c>
      <c r="E376" s="40">
        <v>21</v>
      </c>
      <c r="F376" s="40" t="s">
        <v>42</v>
      </c>
      <c r="G376" s="40" t="s">
        <v>42</v>
      </c>
      <c r="H376" s="41" t="s">
        <v>552</v>
      </c>
      <c r="I376" s="64" t="s">
        <v>43</v>
      </c>
      <c r="J376" s="65" t="s">
        <v>44</v>
      </c>
      <c r="K376" s="66" t="s">
        <v>43</v>
      </c>
      <c r="L376" s="40">
        <v>2</v>
      </c>
      <c r="M376" s="40">
        <v>3</v>
      </c>
      <c r="N376" s="40">
        <v>3</v>
      </c>
      <c r="O376" s="40">
        <v>3</v>
      </c>
      <c r="P376" s="41">
        <v>2</v>
      </c>
      <c r="Q376" s="40">
        <v>3</v>
      </c>
      <c r="R376" s="40">
        <v>3</v>
      </c>
      <c r="S376" s="40">
        <v>4</v>
      </c>
      <c r="T376" s="40">
        <v>5</v>
      </c>
      <c r="U376" s="41">
        <v>4</v>
      </c>
      <c r="V376" s="40">
        <v>3</v>
      </c>
      <c r="W376" s="40">
        <v>3</v>
      </c>
      <c r="X376" s="40">
        <v>6</v>
      </c>
      <c r="Y376" s="41">
        <v>7</v>
      </c>
      <c r="Z376" s="40" t="s">
        <v>45</v>
      </c>
      <c r="AA376" s="40" t="s">
        <v>45</v>
      </c>
      <c r="AB376" s="40" t="s">
        <v>45</v>
      </c>
      <c r="AC376" s="40" t="s">
        <v>45</v>
      </c>
      <c r="AD376" s="40" t="s">
        <v>45</v>
      </c>
      <c r="AE376" s="40" t="s">
        <v>45</v>
      </c>
      <c r="AF376" s="40" t="s">
        <v>45</v>
      </c>
      <c r="AG376" s="41" t="s">
        <v>45</v>
      </c>
      <c r="AH376" s="40">
        <v>1</v>
      </c>
      <c r="AI376" s="40">
        <v>2</v>
      </c>
      <c r="AJ376" s="41">
        <v>4</v>
      </c>
      <c r="AK376" s="43" t="s">
        <v>557</v>
      </c>
      <c r="AL376" s="43" t="s">
        <v>103</v>
      </c>
      <c r="AM376" s="44">
        <f t="shared" si="44"/>
        <v>-1.2741093265034418</v>
      </c>
      <c r="AN376" s="44">
        <f t="shared" si="45"/>
        <v>-0.60904021662353647</v>
      </c>
      <c r="AO376" s="45">
        <f t="shared" si="46"/>
        <v>0</v>
      </c>
      <c r="AP376" s="46">
        <f t="shared" si="47"/>
        <v>0</v>
      </c>
      <c r="AQ376" s="44">
        <f>($AM$3*AM376+$AN$3*AN376+$AO$3*AO376+$AP$3*AP376)+$I$3*VLOOKUP(I376,COND!$A$2:$E$7,4,FALSE)+$J$3*VLOOKUP(J376,COND!$A$2:$C$7,2,FALSE)+$K$3*VLOOKUP(K376,COND!$A$2:$C$7,3,FALSE)+IF(AND($B$2&gt;0,$E376&lt;20),$B$2*25,0)</f>
        <v>37.264106467867222</v>
      </c>
      <c r="AR376" s="47">
        <f t="shared" si="51"/>
        <v>-0.86915018981544312</v>
      </c>
      <c r="AS376" s="45" t="str">
        <f t="shared" si="48"/>
        <v>DH</v>
      </c>
      <c r="AT376" s="45">
        <v>930</v>
      </c>
      <c r="AU376" s="45">
        <v>372</v>
      </c>
      <c r="AV376" s="45"/>
      <c r="AW376" s="45" t="str">
        <f t="shared" si="49"/>
        <v>Unlikely</v>
      </c>
      <c r="AX376" s="45"/>
      <c r="AY376" s="45">
        <f>INDEX(Table5[[#All],[Ovr]],MATCH(Batters[[#This Row],[PID]],Table5[[#All],[PID]],0))</f>
        <v>582</v>
      </c>
      <c r="AZ376" s="45" t="str">
        <f>INDEX(Table5[[#All],[Rnd]],MATCH(Batters[[#This Row],[PID]],Table5[[#All],[PID]],0))</f>
        <v>18</v>
      </c>
      <c r="BA376" s="45">
        <f>INDEX(Table5[[#All],[Pick]],MATCH(Batters[[#This Row],[PID]],Table5[[#All],[PID]],0))</f>
        <v>13</v>
      </c>
      <c r="BB376" s="45" t="str">
        <f>INDEX(Table5[[#All],[Team]],MATCH(Batters[[#This Row],[PID]],Table5[[#All],[PID]],0))</f>
        <v>Scottish Claymores</v>
      </c>
    </row>
    <row r="377" spans="1:54" ht="15" customHeight="1" x14ac:dyDescent="0.3">
      <c r="A377" s="40">
        <v>20310</v>
      </c>
      <c r="B377" s="40" t="s">
        <v>86</v>
      </c>
      <c r="C377" s="40" t="s">
        <v>185</v>
      </c>
      <c r="D377" s="40" t="s">
        <v>1213</v>
      </c>
      <c r="E377" s="40">
        <v>17</v>
      </c>
      <c r="F377" s="40" t="s">
        <v>62</v>
      </c>
      <c r="G377" s="40" t="s">
        <v>42</v>
      </c>
      <c r="H377" s="41" t="s">
        <v>552</v>
      </c>
      <c r="I377" s="64" t="s">
        <v>44</v>
      </c>
      <c r="J377" s="65" t="s">
        <v>44</v>
      </c>
      <c r="K377" s="66" t="s">
        <v>43</v>
      </c>
      <c r="L377" s="40">
        <v>1</v>
      </c>
      <c r="M377" s="40">
        <v>1</v>
      </c>
      <c r="N377" s="40">
        <v>3</v>
      </c>
      <c r="O377" s="40">
        <v>2</v>
      </c>
      <c r="P377" s="41">
        <v>1</v>
      </c>
      <c r="Q377" s="40">
        <v>2</v>
      </c>
      <c r="R377" s="40">
        <v>3</v>
      </c>
      <c r="S377" s="40">
        <v>4</v>
      </c>
      <c r="T377" s="40">
        <v>5</v>
      </c>
      <c r="U377" s="41">
        <v>2</v>
      </c>
      <c r="V377" s="40">
        <v>3</v>
      </c>
      <c r="W377" s="40">
        <v>3</v>
      </c>
      <c r="X377" s="40">
        <v>4</v>
      </c>
      <c r="Y377" s="41">
        <v>8</v>
      </c>
      <c r="Z377" s="40" t="s">
        <v>45</v>
      </c>
      <c r="AA377" s="40" t="s">
        <v>45</v>
      </c>
      <c r="AB377" s="40" t="s">
        <v>45</v>
      </c>
      <c r="AC377" s="40" t="s">
        <v>45</v>
      </c>
      <c r="AD377" s="40" t="s">
        <v>45</v>
      </c>
      <c r="AE377" s="40" t="s">
        <v>45</v>
      </c>
      <c r="AF377" s="40" t="s">
        <v>45</v>
      </c>
      <c r="AG377" s="41" t="s">
        <v>45</v>
      </c>
      <c r="AH377" s="40">
        <v>1</v>
      </c>
      <c r="AI377" s="40">
        <v>2</v>
      </c>
      <c r="AJ377" s="41">
        <v>1</v>
      </c>
      <c r="AK377" s="43" t="s">
        <v>571</v>
      </c>
      <c r="AL377" s="43" t="s">
        <v>103</v>
      </c>
      <c r="AM377" s="44">
        <f t="shared" si="44"/>
        <v>-1.828510811770188</v>
      </c>
      <c r="AN377" s="44">
        <f t="shared" si="45"/>
        <v>-1.0116287324603783</v>
      </c>
      <c r="AO377" s="45">
        <f t="shared" si="46"/>
        <v>0</v>
      </c>
      <c r="AP377" s="46">
        <f t="shared" si="47"/>
        <v>0</v>
      </c>
      <c r="AQ377" s="44">
        <f>($AM$3*AM377+$AN$3*AN377+$AO$3*AO377+$AP$3*AP377)+$I$3*VLOOKUP(I377,COND!$A$2:$E$7,4,FALSE)+$J$3*VLOOKUP(J377,COND!$A$2:$C$7,2,FALSE)+$K$3*VLOOKUP(K377,COND!$A$2:$C$7,3,FALSE)+IF(AND($B$2&gt;0,$E377&lt;20),$B$2*25,0)</f>
        <v>37.227604129298442</v>
      </c>
      <c r="AR377" s="47">
        <f t="shared" si="51"/>
        <v>-0.87447836717402827</v>
      </c>
      <c r="AS377" s="45" t="str">
        <f t="shared" si="48"/>
        <v>DH</v>
      </c>
      <c r="AT377" s="45">
        <v>930</v>
      </c>
      <c r="AU377" s="45">
        <v>373</v>
      </c>
      <c r="AV377" s="45"/>
      <c r="AW377" s="45" t="str">
        <f t="shared" si="49"/>
        <v>Unlikely</v>
      </c>
      <c r="AX377" s="45"/>
      <c r="AY377" s="45" t="str">
        <f>INDEX(Table5[[#All],[Ovr]],MATCH(Batters[[#This Row],[PID]],Table5[[#All],[PID]],0))</f>
        <v/>
      </c>
      <c r="AZ377" s="45" t="str">
        <f>INDEX(Table5[[#All],[Rnd]],MATCH(Batters[[#This Row],[PID]],Table5[[#All],[PID]],0))</f>
        <v/>
      </c>
      <c r="BA377" s="45" t="str">
        <f>INDEX(Table5[[#All],[Pick]],MATCH(Batters[[#This Row],[PID]],Table5[[#All],[PID]],0))</f>
        <v/>
      </c>
      <c r="BB377" s="45" t="str">
        <f>INDEX(Table5[[#All],[Team]],MATCH(Batters[[#This Row],[PID]],Table5[[#All],[PID]],0))</f>
        <v/>
      </c>
    </row>
    <row r="378" spans="1:54" ht="15" customHeight="1" x14ac:dyDescent="0.3">
      <c r="A378" s="40">
        <v>16902</v>
      </c>
      <c r="B378" s="40" t="s">
        <v>86</v>
      </c>
      <c r="C378" s="40" t="s">
        <v>362</v>
      </c>
      <c r="D378" s="40" t="s">
        <v>835</v>
      </c>
      <c r="E378" s="40">
        <v>22</v>
      </c>
      <c r="F378" s="40" t="s">
        <v>42</v>
      </c>
      <c r="G378" s="40" t="s">
        <v>42</v>
      </c>
      <c r="H378" s="41" t="s">
        <v>552</v>
      </c>
      <c r="I378" s="64" t="s">
        <v>43</v>
      </c>
      <c r="J378" s="65" t="s">
        <v>44</v>
      </c>
      <c r="K378" s="66" t="s">
        <v>43</v>
      </c>
      <c r="L378" s="40">
        <v>1</v>
      </c>
      <c r="M378" s="40">
        <v>2</v>
      </c>
      <c r="N378" s="40">
        <v>2</v>
      </c>
      <c r="O378" s="40">
        <v>3</v>
      </c>
      <c r="P378" s="41">
        <v>1</v>
      </c>
      <c r="Q378" s="40">
        <v>3</v>
      </c>
      <c r="R378" s="40">
        <v>3</v>
      </c>
      <c r="S378" s="40">
        <v>3</v>
      </c>
      <c r="T378" s="40">
        <v>5</v>
      </c>
      <c r="U378" s="41">
        <v>2</v>
      </c>
      <c r="V378" s="40">
        <v>3</v>
      </c>
      <c r="W378" s="40">
        <v>2</v>
      </c>
      <c r="X378" s="40">
        <v>5</v>
      </c>
      <c r="Y378" s="41">
        <v>8</v>
      </c>
      <c r="Z378" s="40">
        <v>3</v>
      </c>
      <c r="AA378" s="40" t="s">
        <v>45</v>
      </c>
      <c r="AB378" s="40" t="s">
        <v>45</v>
      </c>
      <c r="AC378" s="40" t="s">
        <v>45</v>
      </c>
      <c r="AD378" s="40" t="s">
        <v>45</v>
      </c>
      <c r="AE378" s="40" t="s">
        <v>45</v>
      </c>
      <c r="AF378" s="40" t="s">
        <v>45</v>
      </c>
      <c r="AG378" s="41" t="s">
        <v>45</v>
      </c>
      <c r="AH378" s="40">
        <v>1</v>
      </c>
      <c r="AI378" s="40">
        <v>8</v>
      </c>
      <c r="AJ378" s="41">
        <v>10</v>
      </c>
      <c r="AK378" s="43" t="s">
        <v>557</v>
      </c>
      <c r="AL378" s="43" t="s">
        <v>103</v>
      </c>
      <c r="AM378" s="44">
        <f t="shared" si="44"/>
        <v>-1.7708028761658048</v>
      </c>
      <c r="AN378" s="44">
        <f t="shared" si="45"/>
        <v>-0.77213439028160502</v>
      </c>
      <c r="AO378" s="45">
        <f t="shared" si="46"/>
        <v>3</v>
      </c>
      <c r="AP378" s="46">
        <f t="shared" si="47"/>
        <v>1.35</v>
      </c>
      <c r="AQ378" s="44">
        <f>($AM$3*AM378+$AN$3*AN378+$AO$3*AO378+$AP$3*AP378)+$I$3*VLOOKUP(I378,COND!$A$2:$E$7,4,FALSE)+$J$3*VLOOKUP(J378,COND!$A$2:$C$7,2,FALSE)+$K$3*VLOOKUP(K378,COND!$A$2:$C$7,3,FALSE)+IF(AND($B$2&gt;0,$E378&lt;20),$B$2*25,0)</f>
        <v>37.107307029004161</v>
      </c>
      <c r="AR378" s="47">
        <f t="shared" si="51"/>
        <v>-0.89203790750001821</v>
      </c>
      <c r="AS378" s="45" t="str">
        <f t="shared" si="48"/>
        <v>C</v>
      </c>
      <c r="AT378" s="45">
        <v>930</v>
      </c>
      <c r="AU378" s="45">
        <v>374</v>
      </c>
      <c r="AV378" s="45"/>
      <c r="AW378" s="45" t="str">
        <f t="shared" si="49"/>
        <v>Unlikely</v>
      </c>
      <c r="AX378" s="45"/>
      <c r="AY378" s="45" t="str">
        <f>INDEX(Table5[[#All],[Ovr]],MATCH(Batters[[#This Row],[PID]],Table5[[#All],[PID]],0))</f>
        <v/>
      </c>
      <c r="AZ378" s="45" t="str">
        <f>INDEX(Table5[[#All],[Rnd]],MATCH(Batters[[#This Row],[PID]],Table5[[#All],[PID]],0))</f>
        <v/>
      </c>
      <c r="BA378" s="45" t="str">
        <f>INDEX(Table5[[#All],[Pick]],MATCH(Batters[[#This Row],[PID]],Table5[[#All],[PID]],0))</f>
        <v/>
      </c>
      <c r="BB378" s="45" t="str">
        <f>INDEX(Table5[[#All],[Team]],MATCH(Batters[[#This Row],[PID]],Table5[[#All],[PID]],0))</f>
        <v/>
      </c>
    </row>
    <row r="379" spans="1:54" ht="15" customHeight="1" x14ac:dyDescent="0.3">
      <c r="A379" s="40">
        <v>11989</v>
      </c>
      <c r="B379" s="40" t="s">
        <v>86</v>
      </c>
      <c r="C379" s="40" t="s">
        <v>147</v>
      </c>
      <c r="D379" s="40" t="s">
        <v>676</v>
      </c>
      <c r="E379" s="40">
        <v>18</v>
      </c>
      <c r="F379" s="40" t="s">
        <v>62</v>
      </c>
      <c r="G379" s="40" t="s">
        <v>42</v>
      </c>
      <c r="H379" s="41" t="s">
        <v>552</v>
      </c>
      <c r="I379" s="64" t="s">
        <v>43</v>
      </c>
      <c r="J379" s="65" t="s">
        <v>44</v>
      </c>
      <c r="K379" s="66" t="s">
        <v>43</v>
      </c>
      <c r="L379" s="40">
        <v>1</v>
      </c>
      <c r="M379" s="40">
        <v>3</v>
      </c>
      <c r="N379" s="40">
        <v>2</v>
      </c>
      <c r="O379" s="40">
        <v>4</v>
      </c>
      <c r="P379" s="41">
        <v>1</v>
      </c>
      <c r="Q379" s="40">
        <v>2</v>
      </c>
      <c r="R379" s="40">
        <v>3</v>
      </c>
      <c r="S379" s="40">
        <v>2</v>
      </c>
      <c r="T379" s="40">
        <v>5</v>
      </c>
      <c r="U379" s="41">
        <v>2</v>
      </c>
      <c r="V379" s="40">
        <v>4</v>
      </c>
      <c r="W379" s="40">
        <v>5</v>
      </c>
      <c r="X379" s="40">
        <v>5</v>
      </c>
      <c r="Y379" s="41">
        <v>7</v>
      </c>
      <c r="Z379" s="40">
        <v>2</v>
      </c>
      <c r="AA379" s="40" t="s">
        <v>45</v>
      </c>
      <c r="AB379" s="40" t="s">
        <v>45</v>
      </c>
      <c r="AC379" s="40" t="s">
        <v>45</v>
      </c>
      <c r="AD379" s="40" t="s">
        <v>45</v>
      </c>
      <c r="AE379" s="40" t="s">
        <v>45</v>
      </c>
      <c r="AF379" s="40" t="s">
        <v>45</v>
      </c>
      <c r="AG379" s="41" t="s">
        <v>45</v>
      </c>
      <c r="AH379" s="40">
        <v>9</v>
      </c>
      <c r="AI379" s="40">
        <v>7</v>
      </c>
      <c r="AJ379" s="41">
        <v>8</v>
      </c>
      <c r="AK379" s="43" t="s">
        <v>558</v>
      </c>
      <c r="AL379" s="43" t="s">
        <v>103</v>
      </c>
      <c r="AM379" s="44">
        <f t="shared" si="44"/>
        <v>-1.6300334465375204</v>
      </c>
      <c r="AN379" s="44">
        <f t="shared" si="45"/>
        <v>-1.1777517205081813</v>
      </c>
      <c r="AO379" s="45">
        <f t="shared" si="46"/>
        <v>3</v>
      </c>
      <c r="AP379" s="46">
        <f t="shared" si="47"/>
        <v>1.1000000000000001</v>
      </c>
      <c r="AQ379" s="44">
        <f>($AM$3*AM379+$AN$3*AN379+$AO$3*AO379+$AP$3*AP379)+$I$3*VLOOKUP(I379,COND!$A$2:$E$7,4,FALSE)+$J$3*VLOOKUP(J379,COND!$A$2:$C$7,2,FALSE)+$K$3*VLOOKUP(K379,COND!$A$2:$C$7,3,FALSE)+IF(AND($B$2&gt;0,$E379&lt;20),$B$2*25,0)</f>
        <v>37.003976009248071</v>
      </c>
      <c r="AR379" s="47">
        <f t="shared" si="51"/>
        <v>-0.90712094112172736</v>
      </c>
      <c r="AS379" s="45" t="str">
        <f t="shared" si="48"/>
        <v>C</v>
      </c>
      <c r="AT379" s="45">
        <v>930</v>
      </c>
      <c r="AU379" s="45">
        <v>375</v>
      </c>
      <c r="AV379" s="45"/>
      <c r="AW379" s="45" t="str">
        <f t="shared" si="49"/>
        <v>Unlikely</v>
      </c>
      <c r="AX379" s="45"/>
      <c r="AY379" s="45">
        <f>INDEX(Table5[[#All],[Ovr]],MATCH(Batters[[#This Row],[PID]],Table5[[#All],[PID]],0))</f>
        <v>653</v>
      </c>
      <c r="AZ379" s="45" t="str">
        <f>INDEX(Table5[[#All],[Rnd]],MATCH(Batters[[#This Row],[PID]],Table5[[#All],[PID]],0))</f>
        <v>20</v>
      </c>
      <c r="BA379" s="45">
        <f>INDEX(Table5[[#All],[Pick]],MATCH(Batters[[#This Row],[PID]],Table5[[#All],[PID]],0))</f>
        <v>16</v>
      </c>
      <c r="BB379" s="45" t="str">
        <f>INDEX(Table5[[#All],[Team]],MATCH(Batters[[#This Row],[PID]],Table5[[#All],[PID]],0))</f>
        <v>Madison Malts</v>
      </c>
    </row>
    <row r="380" spans="1:54" ht="15" customHeight="1" x14ac:dyDescent="0.3">
      <c r="A380" s="40">
        <v>5192</v>
      </c>
      <c r="B380" s="40" t="s">
        <v>86</v>
      </c>
      <c r="C380" s="40" t="s">
        <v>564</v>
      </c>
      <c r="D380" s="40" t="s">
        <v>170</v>
      </c>
      <c r="E380" s="40">
        <v>21</v>
      </c>
      <c r="F380" s="40" t="s">
        <v>42</v>
      </c>
      <c r="G380" s="40" t="s">
        <v>42</v>
      </c>
      <c r="H380" s="41" t="s">
        <v>552</v>
      </c>
      <c r="I380" s="64" t="s">
        <v>43</v>
      </c>
      <c r="J380" s="65" t="s">
        <v>44</v>
      </c>
      <c r="K380" s="66" t="s">
        <v>43</v>
      </c>
      <c r="L380" s="40">
        <v>1</v>
      </c>
      <c r="M380" s="40">
        <v>1</v>
      </c>
      <c r="N380" s="40">
        <v>2</v>
      </c>
      <c r="O380" s="40">
        <v>1</v>
      </c>
      <c r="P380" s="41">
        <v>1</v>
      </c>
      <c r="Q380" s="40">
        <v>3</v>
      </c>
      <c r="R380" s="40">
        <v>3</v>
      </c>
      <c r="S380" s="40">
        <v>4</v>
      </c>
      <c r="T380" s="40">
        <v>4</v>
      </c>
      <c r="U380" s="41">
        <v>3</v>
      </c>
      <c r="V380" s="40">
        <v>3</v>
      </c>
      <c r="W380" s="40">
        <v>3</v>
      </c>
      <c r="X380" s="40">
        <v>5</v>
      </c>
      <c r="Y380" s="41">
        <v>9</v>
      </c>
      <c r="Z380" s="40">
        <v>2</v>
      </c>
      <c r="AA380" s="40" t="s">
        <v>45</v>
      </c>
      <c r="AB380" s="40" t="s">
        <v>45</v>
      </c>
      <c r="AC380" s="40" t="s">
        <v>45</v>
      </c>
      <c r="AD380" s="40" t="s">
        <v>45</v>
      </c>
      <c r="AE380" s="40" t="s">
        <v>45</v>
      </c>
      <c r="AF380" s="40" t="s">
        <v>45</v>
      </c>
      <c r="AG380" s="41" t="s">
        <v>45</v>
      </c>
      <c r="AH380" s="40">
        <v>1</v>
      </c>
      <c r="AI380" s="40">
        <v>2</v>
      </c>
      <c r="AJ380" s="41">
        <v>2</v>
      </c>
      <c r="AK380" s="43" t="s">
        <v>504</v>
      </c>
      <c r="AL380" s="43" t="s">
        <v>103</v>
      </c>
      <c r="AM380" s="44">
        <f t="shared" si="44"/>
        <v>-2.0012818558036707</v>
      </c>
      <c r="AN380" s="44">
        <f t="shared" si="45"/>
        <v>-0.73876610645020102</v>
      </c>
      <c r="AO380" s="45">
        <f t="shared" si="46"/>
        <v>0</v>
      </c>
      <c r="AP380" s="46">
        <f t="shared" si="47"/>
        <v>1.35</v>
      </c>
      <c r="AQ380" s="44">
        <f>($AM$3*AM380+$AN$3*AN380+$AO$3*AO380+$AP$3*AP380)+$I$3*VLOOKUP(I380,COND!$A$2:$E$7,4,FALSE)+$J$3*VLOOKUP(J380,COND!$A$2:$C$7,2,FALSE)+$K$3*VLOOKUP(K380,COND!$A$2:$C$7,3,FALSE)+IF(AND($B$2&gt;0,$E380&lt;20),$B$2*25,0)</f>
        <v>36.984678537017217</v>
      </c>
      <c r="AR380" s="47">
        <f t="shared" si="51"/>
        <v>-0.90993775666423338</v>
      </c>
      <c r="AS380" s="45" t="str">
        <f t="shared" si="48"/>
        <v>C</v>
      </c>
      <c r="AT380" s="45">
        <v>930</v>
      </c>
      <c r="AU380" s="45">
        <v>376</v>
      </c>
      <c r="AV380" s="45"/>
      <c r="AW380" s="45" t="str">
        <f t="shared" si="49"/>
        <v>Unlikely</v>
      </c>
      <c r="AX380" s="45"/>
      <c r="AY380" s="45" t="str">
        <f>INDEX(Table5[[#All],[Ovr]],MATCH(Batters[[#This Row],[PID]],Table5[[#All],[PID]],0))</f>
        <v/>
      </c>
      <c r="AZ380" s="45" t="str">
        <f>INDEX(Table5[[#All],[Rnd]],MATCH(Batters[[#This Row],[PID]],Table5[[#All],[PID]],0))</f>
        <v/>
      </c>
      <c r="BA380" s="45" t="str">
        <f>INDEX(Table5[[#All],[Pick]],MATCH(Batters[[#This Row],[PID]],Table5[[#All],[PID]],0))</f>
        <v/>
      </c>
      <c r="BB380" s="45" t="str">
        <f>INDEX(Table5[[#All],[Team]],MATCH(Batters[[#This Row],[PID]],Table5[[#All],[PID]],0))</f>
        <v/>
      </c>
    </row>
    <row r="381" spans="1:54" ht="15" customHeight="1" x14ac:dyDescent="0.3">
      <c r="A381" s="40">
        <v>12720</v>
      </c>
      <c r="B381" s="40" t="s">
        <v>86</v>
      </c>
      <c r="C381" s="40" t="s">
        <v>317</v>
      </c>
      <c r="D381" s="40" t="s">
        <v>1066</v>
      </c>
      <c r="E381" s="40">
        <v>21</v>
      </c>
      <c r="F381" s="40" t="s">
        <v>42</v>
      </c>
      <c r="G381" s="40" t="s">
        <v>42</v>
      </c>
      <c r="H381" s="41" t="s">
        <v>550</v>
      </c>
      <c r="I381" s="64" t="s">
        <v>43</v>
      </c>
      <c r="J381" s="65" t="s">
        <v>44</v>
      </c>
      <c r="K381" s="66" t="s">
        <v>43</v>
      </c>
      <c r="L381" s="40">
        <v>2</v>
      </c>
      <c r="M381" s="40">
        <v>3</v>
      </c>
      <c r="N381" s="40">
        <v>3</v>
      </c>
      <c r="O381" s="40">
        <v>3</v>
      </c>
      <c r="P381" s="41">
        <v>1</v>
      </c>
      <c r="Q381" s="40">
        <v>3</v>
      </c>
      <c r="R381" s="40">
        <v>3</v>
      </c>
      <c r="S381" s="40">
        <v>4</v>
      </c>
      <c r="T381" s="40">
        <v>5</v>
      </c>
      <c r="U381" s="41">
        <v>3</v>
      </c>
      <c r="V381" s="40">
        <v>2</v>
      </c>
      <c r="W381" s="40">
        <v>2</v>
      </c>
      <c r="X381" s="40">
        <v>5</v>
      </c>
      <c r="Y381" s="41">
        <v>8</v>
      </c>
      <c r="Z381" s="40" t="s">
        <v>45</v>
      </c>
      <c r="AA381" s="40" t="s">
        <v>45</v>
      </c>
      <c r="AB381" s="40" t="s">
        <v>45</v>
      </c>
      <c r="AC381" s="40" t="s">
        <v>45</v>
      </c>
      <c r="AD381" s="40" t="s">
        <v>45</v>
      </c>
      <c r="AE381" s="40" t="s">
        <v>45</v>
      </c>
      <c r="AF381" s="40" t="s">
        <v>45</v>
      </c>
      <c r="AG381" s="41" t="s">
        <v>45</v>
      </c>
      <c r="AH381" s="40">
        <v>1</v>
      </c>
      <c r="AI381" s="40">
        <v>3</v>
      </c>
      <c r="AJ381" s="41">
        <v>4</v>
      </c>
      <c r="AK381" s="43" t="s">
        <v>493</v>
      </c>
      <c r="AL381" s="43" t="s">
        <v>103</v>
      </c>
      <c r="AM381" s="44">
        <f t="shared" si="44"/>
        <v>-1.3141256663205254</v>
      </c>
      <c r="AN381" s="44">
        <f t="shared" si="45"/>
        <v>-0.64905655644061999</v>
      </c>
      <c r="AO381" s="45">
        <f t="shared" si="46"/>
        <v>0</v>
      </c>
      <c r="AP381" s="46">
        <f t="shared" si="47"/>
        <v>0</v>
      </c>
      <c r="AQ381" s="44">
        <f>($AM$3*AM381+$AN$3*AN381+$AO$3*AO381+$AP$3*AP381)+$I$3*VLOOKUP(I381,COND!$A$2:$E$7,4,FALSE)+$J$3*VLOOKUP(J381,COND!$A$2:$C$7,2,FALSE)+$K$3*VLOOKUP(K381,COND!$A$2:$C$7,3,FALSE)+IF(AND($B$2&gt;0,$E381&lt;20),$B$2*25,0)</f>
        <v>36.779908756080509</v>
      </c>
      <c r="AR381" s="47">
        <f t="shared" si="51"/>
        <v>-0.93982761450042607</v>
      </c>
      <c r="AS381" s="45" t="str">
        <f t="shared" si="48"/>
        <v>DH</v>
      </c>
      <c r="AT381" s="45">
        <v>930</v>
      </c>
      <c r="AU381" s="45">
        <v>377</v>
      </c>
      <c r="AV381" s="45"/>
      <c r="AW381" s="45" t="str">
        <f t="shared" si="49"/>
        <v>Unlikely</v>
      </c>
      <c r="AX381" s="45"/>
      <c r="AY381" s="45" t="str">
        <f>INDEX(Table5[[#All],[Ovr]],MATCH(Batters[[#This Row],[PID]],Table5[[#All],[PID]],0))</f>
        <v/>
      </c>
      <c r="AZ381" s="45" t="str">
        <f>INDEX(Table5[[#All],[Rnd]],MATCH(Batters[[#This Row],[PID]],Table5[[#All],[PID]],0))</f>
        <v/>
      </c>
      <c r="BA381" s="45" t="str">
        <f>INDEX(Table5[[#All],[Pick]],MATCH(Batters[[#This Row],[PID]],Table5[[#All],[PID]],0))</f>
        <v/>
      </c>
      <c r="BB381" s="45" t="str">
        <f>INDEX(Table5[[#All],[Team]],MATCH(Batters[[#This Row],[PID]],Table5[[#All],[PID]],0))</f>
        <v/>
      </c>
    </row>
    <row r="382" spans="1:54" ht="15" customHeight="1" x14ac:dyDescent="0.3">
      <c r="A382" s="40">
        <v>16893</v>
      </c>
      <c r="B382" s="40" t="s">
        <v>86</v>
      </c>
      <c r="C382" s="40" t="s">
        <v>167</v>
      </c>
      <c r="D382" s="40" t="s">
        <v>798</v>
      </c>
      <c r="E382" s="40">
        <v>22</v>
      </c>
      <c r="F382" s="40" t="s">
        <v>42</v>
      </c>
      <c r="G382" s="40" t="s">
        <v>42</v>
      </c>
      <c r="H382" s="41" t="s">
        <v>552</v>
      </c>
      <c r="I382" s="64" t="s">
        <v>43</v>
      </c>
      <c r="J382" s="65" t="s">
        <v>44</v>
      </c>
      <c r="K382" s="66" t="s">
        <v>47</v>
      </c>
      <c r="L382" s="40">
        <v>1</v>
      </c>
      <c r="M382" s="40">
        <v>1</v>
      </c>
      <c r="N382" s="40">
        <v>3</v>
      </c>
      <c r="O382" s="40">
        <v>2</v>
      </c>
      <c r="P382" s="41">
        <v>1</v>
      </c>
      <c r="Q382" s="40">
        <v>3</v>
      </c>
      <c r="R382" s="40">
        <v>2</v>
      </c>
      <c r="S382" s="40">
        <v>4</v>
      </c>
      <c r="T382" s="40">
        <v>4</v>
      </c>
      <c r="U382" s="41">
        <v>3</v>
      </c>
      <c r="V382" s="40">
        <v>3</v>
      </c>
      <c r="W382" s="40">
        <v>3</v>
      </c>
      <c r="X382" s="40">
        <v>6</v>
      </c>
      <c r="Y382" s="41">
        <v>8</v>
      </c>
      <c r="Z382" s="40" t="s">
        <v>45</v>
      </c>
      <c r="AA382" s="40" t="s">
        <v>45</v>
      </c>
      <c r="AB382" s="40" t="s">
        <v>45</v>
      </c>
      <c r="AC382" s="40" t="s">
        <v>45</v>
      </c>
      <c r="AD382" s="40" t="s">
        <v>45</v>
      </c>
      <c r="AE382" s="40" t="s">
        <v>45</v>
      </c>
      <c r="AF382" s="40" t="s">
        <v>45</v>
      </c>
      <c r="AG382" s="41" t="s">
        <v>45</v>
      </c>
      <c r="AH382" s="40">
        <v>1</v>
      </c>
      <c r="AI382" s="40">
        <v>1</v>
      </c>
      <c r="AJ382" s="41">
        <v>1</v>
      </c>
      <c r="AK382" s="43" t="s">
        <v>557</v>
      </c>
      <c r="AL382" s="43" t="s">
        <v>103</v>
      </c>
      <c r="AM382" s="44">
        <f t="shared" si="44"/>
        <v>-1.828510811770188</v>
      </c>
      <c r="AN382" s="44">
        <f t="shared" si="45"/>
        <v>-0.78982598606890464</v>
      </c>
      <c r="AO382" s="45">
        <f t="shared" si="46"/>
        <v>0</v>
      </c>
      <c r="AP382" s="46">
        <f t="shared" si="47"/>
        <v>0</v>
      </c>
      <c r="AQ382" s="44">
        <f>($AM$3*AM382+$AN$3*AN382+$AO$3*AO382+$AP$3*AP382)+$I$3*VLOOKUP(I382,COND!$A$2:$E$7,4,FALSE)+$J$3*VLOOKUP(J382,COND!$A$2:$C$7,2,FALSE)+$K$3*VLOOKUP(K382,COND!$A$2:$C$7,3,FALSE)+IF(AND($B$2&gt;0,$E382&lt;20),$B$2*25,0)</f>
        <v>35.339237085996132</v>
      </c>
      <c r="AR382" s="47">
        <f t="shared" si="51"/>
        <v>-1.150119734804848</v>
      </c>
      <c r="AS382" s="45" t="str">
        <f t="shared" si="48"/>
        <v>DH</v>
      </c>
      <c r="AT382" s="45">
        <v>930</v>
      </c>
      <c r="AU382" s="45">
        <v>378</v>
      </c>
      <c r="AV382" s="45"/>
      <c r="AW382" s="45" t="str">
        <f t="shared" si="49"/>
        <v>Unlikely</v>
      </c>
      <c r="AX382" s="45"/>
      <c r="AY382" s="45" t="str">
        <f>INDEX(Table5[[#All],[Ovr]],MATCH(Batters[[#This Row],[PID]],Table5[[#All],[PID]],0))</f>
        <v/>
      </c>
      <c r="AZ382" s="45" t="str">
        <f>INDEX(Table5[[#All],[Rnd]],MATCH(Batters[[#This Row],[PID]],Table5[[#All],[PID]],0))</f>
        <v/>
      </c>
      <c r="BA382" s="45" t="str">
        <f>INDEX(Table5[[#All],[Pick]],MATCH(Batters[[#This Row],[PID]],Table5[[#All],[PID]],0))</f>
        <v/>
      </c>
      <c r="BB382" s="45" t="str">
        <f>INDEX(Table5[[#All],[Team]],MATCH(Batters[[#This Row],[PID]],Table5[[#All],[PID]],0))</f>
        <v/>
      </c>
    </row>
    <row r="383" spans="1:54" ht="15" customHeight="1" x14ac:dyDescent="0.3">
      <c r="A383" s="40">
        <v>14169</v>
      </c>
      <c r="B383" s="40" t="s">
        <v>86</v>
      </c>
      <c r="C383" s="40" t="s">
        <v>1276</v>
      </c>
      <c r="D383" s="40" t="s">
        <v>581</v>
      </c>
      <c r="E383" s="40">
        <v>21</v>
      </c>
      <c r="F383" s="40" t="s">
        <v>42</v>
      </c>
      <c r="G383" s="40" t="s">
        <v>42</v>
      </c>
      <c r="H383" s="41" t="s">
        <v>552</v>
      </c>
      <c r="I383" s="64" t="s">
        <v>43</v>
      </c>
      <c r="J383" s="65" t="s">
        <v>44</v>
      </c>
      <c r="K383" s="66" t="s">
        <v>43</v>
      </c>
      <c r="L383" s="40">
        <v>2</v>
      </c>
      <c r="M383" s="40">
        <v>3</v>
      </c>
      <c r="N383" s="40">
        <v>3</v>
      </c>
      <c r="O383" s="40">
        <v>3</v>
      </c>
      <c r="P383" s="41">
        <v>1</v>
      </c>
      <c r="Q383" s="40">
        <v>2</v>
      </c>
      <c r="R383" s="40">
        <v>4</v>
      </c>
      <c r="S383" s="40">
        <v>4</v>
      </c>
      <c r="T383" s="40">
        <v>6</v>
      </c>
      <c r="U383" s="41">
        <v>3</v>
      </c>
      <c r="V383" s="40">
        <v>4</v>
      </c>
      <c r="W383" s="40">
        <v>4</v>
      </c>
      <c r="X383" s="40">
        <v>6</v>
      </c>
      <c r="Y383" s="41">
        <v>6</v>
      </c>
      <c r="Z383" s="40">
        <v>2</v>
      </c>
      <c r="AA383" s="40" t="s">
        <v>45</v>
      </c>
      <c r="AB383" s="40" t="s">
        <v>45</v>
      </c>
      <c r="AC383" s="40" t="s">
        <v>45</v>
      </c>
      <c r="AD383" s="40" t="s">
        <v>45</v>
      </c>
      <c r="AE383" s="40" t="s">
        <v>45</v>
      </c>
      <c r="AF383" s="40" t="s">
        <v>45</v>
      </c>
      <c r="AG383" s="41" t="s">
        <v>45</v>
      </c>
      <c r="AH383" s="40">
        <v>1</v>
      </c>
      <c r="AI383" s="40">
        <v>1</v>
      </c>
      <c r="AJ383" s="41">
        <v>1</v>
      </c>
      <c r="AK383" s="43" t="s">
        <v>557</v>
      </c>
      <c r="AL383" s="43" t="s">
        <v>103</v>
      </c>
      <c r="AM383" s="44">
        <f t="shared" si="44"/>
        <v>-1.3141256663205254</v>
      </c>
      <c r="AN383" s="44">
        <f t="shared" si="45"/>
        <v>-0.83084296301501026</v>
      </c>
      <c r="AO383" s="45">
        <f t="shared" si="46"/>
        <v>0</v>
      </c>
      <c r="AP383" s="46">
        <f t="shared" si="47"/>
        <v>1.1000000000000001</v>
      </c>
      <c r="AQ383" s="44">
        <f>($AM$3*AM383+$AN$3*AN383+$AO$3*AO383+$AP$3*AP383)+$I$3*VLOOKUP(I383,COND!$A$2:$E$7,4,FALSE)+$J$3*VLOOKUP(J383,COND!$A$2:$C$7,2,FALSE)+$K$3*VLOOKUP(K383,COND!$A$2:$C$7,3,FALSE)+IF(AND($B$2&gt;0,$E383&lt;20),$B$2*25,0)</f>
        <v>35.698471877187828</v>
      </c>
      <c r="AR383" s="47">
        <f>STANDARDIZE(AQ383,AVERAGE($AQ$5:$AQ$459),STDEVP($AQ$5:$AQ$459))</f>
        <v>-1.0766323192829252</v>
      </c>
      <c r="AS383" s="45" t="str">
        <f t="shared" si="48"/>
        <v>C</v>
      </c>
      <c r="AT383" s="45">
        <v>930</v>
      </c>
      <c r="AU383" s="45">
        <v>379</v>
      </c>
      <c r="AV383" s="45"/>
      <c r="AW383" s="45" t="str">
        <f t="shared" si="49"/>
        <v>Unlikely</v>
      </c>
      <c r="AX383" s="45"/>
      <c r="AY383" s="63" t="str">
        <f>INDEX(Table5[[#All],[Ovr]],MATCH(Batters[[#This Row],[PID]],Table5[[#All],[PID]],0))</f>
        <v/>
      </c>
      <c r="AZ383" s="63" t="str">
        <f>INDEX(Table5[[#All],[Rnd]],MATCH(Batters[[#This Row],[PID]],Table5[[#All],[PID]],0))</f>
        <v/>
      </c>
      <c r="BA383" s="63" t="str">
        <f>INDEX(Table5[[#All],[Pick]],MATCH(Batters[[#This Row],[PID]],Table5[[#All],[PID]],0))</f>
        <v/>
      </c>
      <c r="BB383" s="63" t="str">
        <f>INDEX(Table5[[#All],[Team]],MATCH(Batters[[#This Row],[PID]],Table5[[#All],[PID]],0))</f>
        <v/>
      </c>
    </row>
    <row r="384" spans="1:54" ht="15" customHeight="1" x14ac:dyDescent="0.3">
      <c r="A384" s="40">
        <v>12322</v>
      </c>
      <c r="B384" s="40" t="s">
        <v>72</v>
      </c>
      <c r="C384" s="40" t="s">
        <v>1157</v>
      </c>
      <c r="D384" s="40" t="s">
        <v>1158</v>
      </c>
      <c r="E384" s="40">
        <v>21</v>
      </c>
      <c r="F384" s="40" t="s">
        <v>53</v>
      </c>
      <c r="G384" s="40" t="s">
        <v>42</v>
      </c>
      <c r="H384" s="41" t="s">
        <v>552</v>
      </c>
      <c r="I384" s="64" t="s">
        <v>44</v>
      </c>
      <c r="J384" s="65" t="s">
        <v>44</v>
      </c>
      <c r="K384" s="66" t="s">
        <v>43</v>
      </c>
      <c r="L384" s="40">
        <v>1</v>
      </c>
      <c r="M384" s="40">
        <v>3</v>
      </c>
      <c r="N384" s="40">
        <v>2</v>
      </c>
      <c r="O384" s="40">
        <v>1</v>
      </c>
      <c r="P384" s="41">
        <v>3</v>
      </c>
      <c r="Q384" s="40">
        <v>3</v>
      </c>
      <c r="R384" s="40">
        <v>4</v>
      </c>
      <c r="S384" s="40">
        <v>2</v>
      </c>
      <c r="T384" s="40">
        <v>3</v>
      </c>
      <c r="U384" s="41">
        <v>6</v>
      </c>
      <c r="V384" s="40">
        <v>4</v>
      </c>
      <c r="W384" s="40">
        <v>4</v>
      </c>
      <c r="X384" s="40">
        <v>1</v>
      </c>
      <c r="Y384" s="41">
        <v>1</v>
      </c>
      <c r="Z384" s="40" t="s">
        <v>45</v>
      </c>
      <c r="AA384" s="40" t="s">
        <v>45</v>
      </c>
      <c r="AB384" s="40">
        <v>3</v>
      </c>
      <c r="AC384" s="40">
        <v>1</v>
      </c>
      <c r="AD384" s="40">
        <v>5</v>
      </c>
      <c r="AE384" s="40" t="s">
        <v>45</v>
      </c>
      <c r="AF384" s="40" t="s">
        <v>45</v>
      </c>
      <c r="AG384" s="41" t="s">
        <v>45</v>
      </c>
      <c r="AH384" s="40">
        <v>10</v>
      </c>
      <c r="AI384" s="40">
        <v>6</v>
      </c>
      <c r="AJ384" s="41">
        <v>2</v>
      </c>
      <c r="AK384" s="43" t="s">
        <v>557</v>
      </c>
      <c r="AL384" s="43" t="s">
        <v>103</v>
      </c>
      <c r="AM384" s="44">
        <f t="shared" si="44"/>
        <v>-1.8191294169320966</v>
      </c>
      <c r="AN384" s="44">
        <f t="shared" si="45"/>
        <v>-0.8234897454376312</v>
      </c>
      <c r="AO384" s="45">
        <f t="shared" si="46"/>
        <v>2</v>
      </c>
      <c r="AP384" s="46">
        <f t="shared" si="47"/>
        <v>1</v>
      </c>
      <c r="AQ384" s="44">
        <f>($AM$3*AM384+$AN$3*AN384+$AO$3*AO384+$AP$3*AP384)+$I$3*VLOOKUP(I384,COND!$A$2:$E$7,4,FALSE)+$J$3*VLOOKUP(J384,COND!$A$2:$C$7,2,FALSE)+$K$3*VLOOKUP(K384,COND!$A$2:$C$7,3,FALSE)+IF(AND($B$2&gt;0,$E384&lt;20),$B$2*25,0)</f>
        <v>35.81954344638855</v>
      </c>
      <c r="AR384" s="47">
        <f t="shared" ref="AR384:AR394" si="52">STANDARDIZE(AQ384,AVERAGE($AQ$5:$AQ$442),STDEVP($AQ$5:$AQ$442))</f>
        <v>-1.080010323326863</v>
      </c>
      <c r="AS384" s="45" t="str">
        <f t="shared" si="48"/>
        <v>SS</v>
      </c>
      <c r="AT384" s="45">
        <v>930</v>
      </c>
      <c r="AU384" s="45">
        <v>380</v>
      </c>
      <c r="AV384" s="45"/>
      <c r="AW384" s="45" t="str">
        <f t="shared" si="49"/>
        <v>Unlikely</v>
      </c>
      <c r="AX384" s="45"/>
      <c r="AY384" s="45" t="str">
        <f>INDEX(Table5[[#All],[Ovr]],MATCH(Batters[[#This Row],[PID]],Table5[[#All],[PID]],0))</f>
        <v/>
      </c>
      <c r="AZ384" s="45" t="str">
        <f>INDEX(Table5[[#All],[Rnd]],MATCH(Batters[[#This Row],[PID]],Table5[[#All],[PID]],0))</f>
        <v/>
      </c>
      <c r="BA384" s="45" t="str">
        <f>INDEX(Table5[[#All],[Pick]],MATCH(Batters[[#This Row],[PID]],Table5[[#All],[PID]],0))</f>
        <v/>
      </c>
      <c r="BB384" s="45" t="str">
        <f>INDEX(Table5[[#All],[Team]],MATCH(Batters[[#This Row],[PID]],Table5[[#All],[PID]],0))</f>
        <v/>
      </c>
    </row>
    <row r="385" spans="1:54" ht="15" customHeight="1" x14ac:dyDescent="0.3">
      <c r="A385" s="40">
        <v>12835</v>
      </c>
      <c r="B385" s="40" t="s">
        <v>69</v>
      </c>
      <c r="C385" s="40" t="s">
        <v>171</v>
      </c>
      <c r="D385" s="40" t="s">
        <v>129</v>
      </c>
      <c r="E385" s="40">
        <v>22</v>
      </c>
      <c r="F385" s="40" t="s">
        <v>62</v>
      </c>
      <c r="G385" s="40" t="s">
        <v>42</v>
      </c>
      <c r="H385" s="41" t="s">
        <v>552</v>
      </c>
      <c r="I385" s="64" t="s">
        <v>43</v>
      </c>
      <c r="J385" s="65" t="s">
        <v>44</v>
      </c>
      <c r="K385" s="66" t="s">
        <v>43</v>
      </c>
      <c r="L385" s="40">
        <v>2</v>
      </c>
      <c r="M385" s="40">
        <v>3</v>
      </c>
      <c r="N385" s="40">
        <v>2</v>
      </c>
      <c r="O385" s="40">
        <v>2</v>
      </c>
      <c r="P385" s="41">
        <v>1</v>
      </c>
      <c r="Q385" s="40">
        <v>3</v>
      </c>
      <c r="R385" s="40">
        <v>4</v>
      </c>
      <c r="S385" s="40">
        <v>3</v>
      </c>
      <c r="T385" s="40">
        <v>4</v>
      </c>
      <c r="U385" s="41">
        <v>4</v>
      </c>
      <c r="V385" s="40">
        <v>9</v>
      </c>
      <c r="W385" s="40">
        <v>8</v>
      </c>
      <c r="X385" s="40">
        <v>1</v>
      </c>
      <c r="Y385" s="41">
        <v>1</v>
      </c>
      <c r="Z385" s="40" t="s">
        <v>45</v>
      </c>
      <c r="AA385" s="40" t="s">
        <v>45</v>
      </c>
      <c r="AB385" s="40">
        <v>1</v>
      </c>
      <c r="AC385" s="40">
        <v>4</v>
      </c>
      <c r="AD385" s="40" t="s">
        <v>45</v>
      </c>
      <c r="AE385" s="40" t="s">
        <v>45</v>
      </c>
      <c r="AF385" s="40" t="s">
        <v>45</v>
      </c>
      <c r="AG385" s="41" t="s">
        <v>45</v>
      </c>
      <c r="AH385" s="40">
        <v>4</v>
      </c>
      <c r="AI385" s="40">
        <v>1</v>
      </c>
      <c r="AJ385" s="41">
        <v>1</v>
      </c>
      <c r="AK385" s="43" t="s">
        <v>45</v>
      </c>
      <c r="AL385" s="43" t="s">
        <v>103</v>
      </c>
      <c r="AM385" s="44">
        <f t="shared" si="44"/>
        <v>-1.4868967103540081</v>
      </c>
      <c r="AN385" s="44">
        <f t="shared" si="45"/>
        <v>-0.7307513810383155</v>
      </c>
      <c r="AO385" s="45">
        <f t="shared" si="46"/>
        <v>0</v>
      </c>
      <c r="AP385" s="46">
        <f t="shared" si="47"/>
        <v>0</v>
      </c>
      <c r="AQ385" s="44">
        <f>($AM$3*AM385+$AN$3*AN385+$AO$3*AO385+$AP$3*AP385)+$I$3*VLOOKUP(I385,COND!$A$2:$E$7,4,FALSE)+$J$3*VLOOKUP(J385,COND!$A$2:$C$7,2,FALSE)+$K$3*VLOOKUP(K385,COND!$A$2:$C$7,3,FALSE)+IF(AND($B$2&gt;0,$E385&lt;20),$B$2*25,0)</f>
        <v>35.782293756504814</v>
      </c>
      <c r="AR385" s="47">
        <f t="shared" si="52"/>
        <v>-1.0854475901441347</v>
      </c>
      <c r="AS385" s="45" t="str">
        <f t="shared" si="48"/>
        <v>3B</v>
      </c>
      <c r="AT385" s="45">
        <v>930</v>
      </c>
      <c r="AU385" s="45">
        <v>381</v>
      </c>
      <c r="AV385" s="45"/>
      <c r="AW385" s="45" t="str">
        <f t="shared" si="49"/>
        <v>Unlikely</v>
      </c>
      <c r="AX385" s="45"/>
      <c r="AY385" s="45" t="str">
        <f>INDEX(Table5[[#All],[Ovr]],MATCH(Batters[[#This Row],[PID]],Table5[[#All],[PID]],0))</f>
        <v/>
      </c>
      <c r="AZ385" s="45" t="str">
        <f>INDEX(Table5[[#All],[Rnd]],MATCH(Batters[[#This Row],[PID]],Table5[[#All],[PID]],0))</f>
        <v/>
      </c>
      <c r="BA385" s="45" t="str">
        <f>INDEX(Table5[[#All],[Pick]],MATCH(Batters[[#This Row],[PID]],Table5[[#All],[PID]],0))</f>
        <v/>
      </c>
      <c r="BB385" s="45" t="str">
        <f>INDEX(Table5[[#All],[Team]],MATCH(Batters[[#This Row],[PID]],Table5[[#All],[PID]],0))</f>
        <v/>
      </c>
    </row>
    <row r="386" spans="1:54" ht="15" customHeight="1" x14ac:dyDescent="0.3">
      <c r="A386" s="40">
        <v>10865</v>
      </c>
      <c r="B386" s="40" t="s">
        <v>86</v>
      </c>
      <c r="C386" s="40" t="s">
        <v>853</v>
      </c>
      <c r="D386" s="40" t="s">
        <v>1277</v>
      </c>
      <c r="E386" s="40">
        <v>21</v>
      </c>
      <c r="F386" s="40" t="s">
        <v>42</v>
      </c>
      <c r="G386" s="40" t="s">
        <v>42</v>
      </c>
      <c r="H386" s="41" t="s">
        <v>552</v>
      </c>
      <c r="I386" s="64" t="s">
        <v>44</v>
      </c>
      <c r="J386" s="65" t="s">
        <v>44</v>
      </c>
      <c r="K386" s="66" t="s">
        <v>43</v>
      </c>
      <c r="L386" s="40">
        <v>2</v>
      </c>
      <c r="M386" s="40">
        <v>3</v>
      </c>
      <c r="N386" s="40">
        <v>3</v>
      </c>
      <c r="O386" s="40">
        <v>3</v>
      </c>
      <c r="P386" s="41">
        <v>1</v>
      </c>
      <c r="Q386" s="40">
        <v>3</v>
      </c>
      <c r="R386" s="40">
        <v>4</v>
      </c>
      <c r="S386" s="40">
        <v>3</v>
      </c>
      <c r="T386" s="40">
        <v>5</v>
      </c>
      <c r="U386" s="41">
        <v>2</v>
      </c>
      <c r="V386" s="40">
        <v>2</v>
      </c>
      <c r="W386" s="40">
        <v>2</v>
      </c>
      <c r="X386" s="40">
        <v>3</v>
      </c>
      <c r="Y386" s="41">
        <v>5</v>
      </c>
      <c r="Z386" s="40" t="s">
        <v>45</v>
      </c>
      <c r="AA386" s="40" t="s">
        <v>45</v>
      </c>
      <c r="AB386" s="40" t="s">
        <v>45</v>
      </c>
      <c r="AC386" s="40" t="s">
        <v>45</v>
      </c>
      <c r="AD386" s="40" t="s">
        <v>45</v>
      </c>
      <c r="AE386" s="40" t="s">
        <v>45</v>
      </c>
      <c r="AF386" s="40" t="s">
        <v>45</v>
      </c>
      <c r="AG386" s="41" t="s">
        <v>45</v>
      </c>
      <c r="AH386" s="40">
        <v>1</v>
      </c>
      <c r="AI386" s="40">
        <v>3</v>
      </c>
      <c r="AJ386" s="41">
        <v>5</v>
      </c>
      <c r="AK386" s="43" t="s">
        <v>576</v>
      </c>
      <c r="AL386" s="43" t="s">
        <v>103</v>
      </c>
      <c r="AM386" s="44">
        <f t="shared" si="44"/>
        <v>-1.3141256663205254</v>
      </c>
      <c r="AN386" s="44">
        <f t="shared" si="45"/>
        <v>-0.72107451066290151</v>
      </c>
      <c r="AO386" s="45">
        <f t="shared" si="46"/>
        <v>0</v>
      </c>
      <c r="AP386" s="46">
        <f t="shared" si="47"/>
        <v>0</v>
      </c>
      <c r="AQ386" s="44">
        <f>($AM$3*AM386+$AN$3*AN386+$AO$3*AO386+$AP$3*AP386)+$I$3*VLOOKUP(I386,COND!$A$2:$E$7,4,FALSE)+$J$3*VLOOKUP(J386,COND!$A$2:$C$7,2,FALSE)+$K$3*VLOOKUP(K386,COND!$A$2:$C$7,3,FALSE)+IF(AND($B$2&gt;0,$E386&lt;20),$B$2*25,0)</f>
        <v>35.76569330541313</v>
      </c>
      <c r="AR386" s="47">
        <f t="shared" si="52"/>
        <v>-1.0878707266092777</v>
      </c>
      <c r="AS386" s="45" t="str">
        <f t="shared" si="48"/>
        <v>DH</v>
      </c>
      <c r="AT386" s="45">
        <v>930</v>
      </c>
      <c r="AU386" s="45">
        <v>382</v>
      </c>
      <c r="AV386" s="45"/>
      <c r="AW386" s="45" t="str">
        <f t="shared" si="49"/>
        <v>Unlikely</v>
      </c>
      <c r="AX386" s="45"/>
      <c r="AY386" s="45" t="str">
        <f>INDEX(Table5[[#All],[Ovr]],MATCH(Batters[[#This Row],[PID]],Table5[[#All],[PID]],0))</f>
        <v/>
      </c>
      <c r="AZ386" s="45" t="str">
        <f>INDEX(Table5[[#All],[Rnd]],MATCH(Batters[[#This Row],[PID]],Table5[[#All],[PID]],0))</f>
        <v/>
      </c>
      <c r="BA386" s="45" t="str">
        <f>INDEX(Table5[[#All],[Pick]],MATCH(Batters[[#This Row],[PID]],Table5[[#All],[PID]],0))</f>
        <v/>
      </c>
      <c r="BB386" s="45" t="str">
        <f>INDEX(Table5[[#All],[Team]],MATCH(Batters[[#This Row],[PID]],Table5[[#All],[PID]],0))</f>
        <v/>
      </c>
    </row>
    <row r="387" spans="1:54" ht="15" customHeight="1" x14ac:dyDescent="0.3">
      <c r="A387" s="40">
        <v>16907</v>
      </c>
      <c r="B387" s="40" t="s">
        <v>86</v>
      </c>
      <c r="C387" s="40" t="s">
        <v>179</v>
      </c>
      <c r="D387" s="40" t="s">
        <v>840</v>
      </c>
      <c r="E387" s="40">
        <v>22</v>
      </c>
      <c r="F387" s="40" t="s">
        <v>53</v>
      </c>
      <c r="G387" s="40" t="s">
        <v>42</v>
      </c>
      <c r="H387" s="41" t="s">
        <v>552</v>
      </c>
      <c r="I387" s="64" t="s">
        <v>43</v>
      </c>
      <c r="J387" s="65" t="s">
        <v>44</v>
      </c>
      <c r="K387" s="66" t="s">
        <v>43</v>
      </c>
      <c r="L387" s="40">
        <v>1</v>
      </c>
      <c r="M387" s="40">
        <v>1</v>
      </c>
      <c r="N387" s="40">
        <v>3</v>
      </c>
      <c r="O387" s="40">
        <v>3</v>
      </c>
      <c r="P387" s="41">
        <v>1</v>
      </c>
      <c r="Q387" s="40">
        <v>3</v>
      </c>
      <c r="R387" s="40">
        <v>3</v>
      </c>
      <c r="S387" s="40">
        <v>3</v>
      </c>
      <c r="T387" s="40">
        <v>5</v>
      </c>
      <c r="U387" s="41">
        <v>3</v>
      </c>
      <c r="V387" s="40">
        <v>3</v>
      </c>
      <c r="W387" s="40">
        <v>3</v>
      </c>
      <c r="X387" s="40">
        <v>5</v>
      </c>
      <c r="Y387" s="41">
        <v>3</v>
      </c>
      <c r="Z387" s="40" t="s">
        <v>45</v>
      </c>
      <c r="AA387" s="40" t="s">
        <v>45</v>
      </c>
      <c r="AB387" s="40" t="s">
        <v>45</v>
      </c>
      <c r="AC387" s="40" t="s">
        <v>45</v>
      </c>
      <c r="AD387" s="40" t="s">
        <v>45</v>
      </c>
      <c r="AE387" s="40" t="s">
        <v>45</v>
      </c>
      <c r="AF387" s="40" t="s">
        <v>45</v>
      </c>
      <c r="AG387" s="41" t="s">
        <v>45</v>
      </c>
      <c r="AH387" s="40">
        <v>1</v>
      </c>
      <c r="AI387" s="40">
        <v>2</v>
      </c>
      <c r="AJ387" s="41">
        <v>3</v>
      </c>
      <c r="AK387" s="43" t="s">
        <v>45</v>
      </c>
      <c r="AL387" s="43" t="s">
        <v>103</v>
      </c>
      <c r="AM387" s="44">
        <f t="shared" si="44"/>
        <v>-1.738801261760607</v>
      </c>
      <c r="AN387" s="44">
        <f t="shared" si="45"/>
        <v>-0.73211805046452161</v>
      </c>
      <c r="AO387" s="45">
        <f t="shared" si="46"/>
        <v>0</v>
      </c>
      <c r="AP387" s="46">
        <f t="shared" si="47"/>
        <v>0</v>
      </c>
      <c r="AQ387" s="44">
        <f>($AM$3*AM387+$AN$3*AN387+$AO$3*AO387+$AP$3*AP387)+$I$3*VLOOKUP(I387,COND!$A$2:$E$7,4,FALSE)+$J$3*VLOOKUP(J387,COND!$A$2:$C$7,2,FALSE)+$K$3*VLOOKUP(K387,COND!$A$2:$C$7,3,FALSE)+IF(AND($B$2&gt;0,$E387&lt;20),$B$2*25,0)</f>
        <v>35.740703268249682</v>
      </c>
      <c r="AR387" s="47">
        <f t="shared" si="52"/>
        <v>-1.0915184750940383</v>
      </c>
      <c r="AS387" s="45" t="str">
        <f t="shared" si="48"/>
        <v>DH</v>
      </c>
      <c r="AT387" s="45">
        <v>930</v>
      </c>
      <c r="AU387" s="45">
        <v>383</v>
      </c>
      <c r="AV387" s="45"/>
      <c r="AW387" s="45" t="str">
        <f t="shared" si="49"/>
        <v>Unlikely</v>
      </c>
      <c r="AX387" s="45"/>
      <c r="AY387" s="45" t="str">
        <f>INDEX(Table5[[#All],[Ovr]],MATCH(Batters[[#This Row],[PID]],Table5[[#All],[PID]],0))</f>
        <v/>
      </c>
      <c r="AZ387" s="45" t="str">
        <f>INDEX(Table5[[#All],[Rnd]],MATCH(Batters[[#This Row],[PID]],Table5[[#All],[PID]],0))</f>
        <v/>
      </c>
      <c r="BA387" s="45" t="str">
        <f>INDEX(Table5[[#All],[Pick]],MATCH(Batters[[#This Row],[PID]],Table5[[#All],[PID]],0))</f>
        <v/>
      </c>
      <c r="BB387" s="45" t="str">
        <f>INDEX(Table5[[#All],[Team]],MATCH(Batters[[#This Row],[PID]],Table5[[#All],[PID]],0))</f>
        <v/>
      </c>
    </row>
    <row r="388" spans="1:54" ht="15" customHeight="1" x14ac:dyDescent="0.3">
      <c r="A388" s="40">
        <v>8193</v>
      </c>
      <c r="B388" s="40" t="s">
        <v>87</v>
      </c>
      <c r="C388" s="40" t="s">
        <v>1299</v>
      </c>
      <c r="D388" s="40" t="s">
        <v>1300</v>
      </c>
      <c r="E388" s="40">
        <v>21</v>
      </c>
      <c r="F388" s="40" t="s">
        <v>53</v>
      </c>
      <c r="G388" s="40" t="s">
        <v>53</v>
      </c>
      <c r="H388" s="41" t="s">
        <v>561</v>
      </c>
      <c r="I388" s="64" t="s">
        <v>43</v>
      </c>
      <c r="J388" s="65" t="s">
        <v>44</v>
      </c>
      <c r="K388" s="66" t="s">
        <v>43</v>
      </c>
      <c r="L388" s="40">
        <v>3</v>
      </c>
      <c r="M388" s="40">
        <v>3</v>
      </c>
      <c r="N388" s="40">
        <v>2</v>
      </c>
      <c r="O388" s="40">
        <v>1</v>
      </c>
      <c r="P388" s="41">
        <v>5</v>
      </c>
      <c r="Q388" s="40">
        <v>4</v>
      </c>
      <c r="R388" s="40">
        <v>3</v>
      </c>
      <c r="S388" s="40">
        <v>2</v>
      </c>
      <c r="T388" s="40">
        <v>1</v>
      </c>
      <c r="U388" s="41">
        <v>5</v>
      </c>
      <c r="V388" s="40">
        <v>4</v>
      </c>
      <c r="W388" s="40">
        <v>2</v>
      </c>
      <c r="X388" s="40">
        <v>1</v>
      </c>
      <c r="Y388" s="41">
        <v>1</v>
      </c>
      <c r="Z388" s="40" t="s">
        <v>45</v>
      </c>
      <c r="AA388" s="40">
        <v>1</v>
      </c>
      <c r="AB388" s="40" t="s">
        <v>45</v>
      </c>
      <c r="AC388" s="40" t="s">
        <v>45</v>
      </c>
      <c r="AD388" s="40" t="s">
        <v>45</v>
      </c>
      <c r="AE388" s="40" t="s">
        <v>45</v>
      </c>
      <c r="AF388" s="40" t="s">
        <v>45</v>
      </c>
      <c r="AG388" s="41" t="s">
        <v>45</v>
      </c>
      <c r="AH388" s="40">
        <v>1</v>
      </c>
      <c r="AI388" s="40">
        <v>1</v>
      </c>
      <c r="AJ388" s="41">
        <v>1</v>
      </c>
      <c r="AK388" s="43" t="s">
        <v>45</v>
      </c>
      <c r="AL388" s="43" t="s">
        <v>103</v>
      </c>
      <c r="AM388" s="44">
        <f t="shared" si="44"/>
        <v>-1.0939850648925802</v>
      </c>
      <c r="AN388" s="44">
        <f t="shared" si="45"/>
        <v>-0.77142922868990549</v>
      </c>
      <c r="AO388" s="45">
        <f t="shared" si="46"/>
        <v>0</v>
      </c>
      <c r="AP388" s="46">
        <f t="shared" si="47"/>
        <v>0</v>
      </c>
      <c r="AQ388" s="44">
        <f>($AM$3*AM388+$AN$3*AN388+$AO$3*AO388+$AP$3*AP388)+$I$3*VLOOKUP(I388,COND!$A$2:$E$7,4,FALSE)+$J$3*VLOOKUP(J388,COND!$A$2:$C$7,2,FALSE)+$K$3*VLOOKUP(K388,COND!$A$2:$C$7,3,FALSE)+IF(AND($B$2&gt;0,$E388&lt;20),$B$2*25,0)</f>
        <v>35.333450749231872</v>
      </c>
      <c r="AR388" s="47">
        <f t="shared" si="52"/>
        <v>-1.1509643554441089</v>
      </c>
      <c r="AS388" s="45" t="str">
        <f t="shared" si="48"/>
        <v>1B</v>
      </c>
      <c r="AT388" s="45">
        <v>930</v>
      </c>
      <c r="AU388" s="45">
        <v>384</v>
      </c>
      <c r="AV388" s="45"/>
      <c r="AW388" s="45" t="str">
        <f t="shared" si="49"/>
        <v>Unlikely</v>
      </c>
      <c r="AX388" s="45"/>
      <c r="AY388" s="45">
        <f>INDEX(Table5[[#All],[Ovr]],MATCH(Batters[[#This Row],[PID]],Table5[[#All],[PID]],0))</f>
        <v>344</v>
      </c>
      <c r="AZ388" s="45" t="str">
        <f>INDEX(Table5[[#All],[Rnd]],MATCH(Batters[[#This Row],[PID]],Table5[[#All],[PID]],0))</f>
        <v>11</v>
      </c>
      <c r="BA388" s="45">
        <f>INDEX(Table5[[#All],[Pick]],MATCH(Batters[[#This Row],[PID]],Table5[[#All],[PID]],0))</f>
        <v>13</v>
      </c>
      <c r="BB388" s="45" t="str">
        <f>INDEX(Table5[[#All],[Team]],MATCH(Batters[[#This Row],[PID]],Table5[[#All],[PID]],0))</f>
        <v>Scottish Claymores</v>
      </c>
    </row>
    <row r="389" spans="1:54" ht="15" customHeight="1" x14ac:dyDescent="0.3">
      <c r="A389" s="40">
        <v>5816</v>
      </c>
      <c r="B389" s="40" t="s">
        <v>87</v>
      </c>
      <c r="C389" s="40" t="s">
        <v>1315</v>
      </c>
      <c r="D389" s="40" t="s">
        <v>1316</v>
      </c>
      <c r="E389" s="40">
        <v>21</v>
      </c>
      <c r="F389" s="40" t="s">
        <v>42</v>
      </c>
      <c r="G389" s="40" t="s">
        <v>42</v>
      </c>
      <c r="H389" s="41" t="s">
        <v>561</v>
      </c>
      <c r="I389" s="64" t="s">
        <v>43</v>
      </c>
      <c r="J389" s="65" t="s">
        <v>44</v>
      </c>
      <c r="K389" s="66" t="s">
        <v>43</v>
      </c>
      <c r="L389" s="40">
        <v>3</v>
      </c>
      <c r="M389" s="40">
        <v>2</v>
      </c>
      <c r="N389" s="40">
        <v>2</v>
      </c>
      <c r="O389" s="40">
        <v>1</v>
      </c>
      <c r="P389" s="41">
        <v>4</v>
      </c>
      <c r="Q389" s="40">
        <v>4</v>
      </c>
      <c r="R389" s="40">
        <v>3</v>
      </c>
      <c r="S389" s="40">
        <v>2</v>
      </c>
      <c r="T389" s="40">
        <v>1</v>
      </c>
      <c r="U389" s="41">
        <v>5</v>
      </c>
      <c r="V389" s="40">
        <v>6</v>
      </c>
      <c r="W389" s="40">
        <v>2</v>
      </c>
      <c r="X389" s="40">
        <v>1</v>
      </c>
      <c r="Y389" s="41">
        <v>1</v>
      </c>
      <c r="Z389" s="40" t="s">
        <v>45</v>
      </c>
      <c r="AA389" s="40">
        <v>1</v>
      </c>
      <c r="AB389" s="40" t="s">
        <v>45</v>
      </c>
      <c r="AC389" s="40" t="s">
        <v>45</v>
      </c>
      <c r="AD389" s="40" t="s">
        <v>45</v>
      </c>
      <c r="AE389" s="40" t="s">
        <v>45</v>
      </c>
      <c r="AF389" s="40" t="s">
        <v>45</v>
      </c>
      <c r="AG389" s="41" t="s">
        <v>45</v>
      </c>
      <c r="AH389" s="40">
        <v>1</v>
      </c>
      <c r="AI389" s="40">
        <v>1</v>
      </c>
      <c r="AJ389" s="41">
        <v>1</v>
      </c>
      <c r="AK389" s="43" t="s">
        <v>557</v>
      </c>
      <c r="AL389" s="43" t="s">
        <v>103</v>
      </c>
      <c r="AM389" s="44">
        <f t="shared" ref="AM389:AM452" si="53">($L$3*(L389-$Q$1)/$Q$2+$M$3*(M389-$R$1)/$R$2+$N$3*(N389-$S$1)/$S$2+$O$3*(O389-$T$1)/$T$2+$P$3*(P389-$U$1)/$U$2)/(SUM($L$3:$P$3))</f>
        <v>-1.185061284328367</v>
      </c>
      <c r="AN389" s="44">
        <f t="shared" ref="AN389:AN452" si="54">($L$3*(Q389-$Q$1)/$Q$2+$M$3*(R389-$R$1)/$R$2+$N$3*(S389-$S$1)/$S$2+$O$3*(T389-$T$1)/$T$2+$P$3*(U389-$U$1)/$U$2)/(SUM($L$3:$P$3))</f>
        <v>-0.77142922868990549</v>
      </c>
      <c r="AO389" s="45">
        <f t="shared" ref="AO389:AO452" si="55">IF(AVERAGE(AH389:AI389)&gt;9,1,0)+IF(AVERAGE(AH389:AI389)&gt;7,1,0)+IF(AH389&gt;7,1,0)+IF(AI389&gt;7,1,0)+IF(AJ389&gt;8,1,0)+IF(AJ389&gt;6,1,0)</f>
        <v>0</v>
      </c>
      <c r="AP389" s="46">
        <f t="shared" ref="AP389:AP452" si="56">MIN(2,IF(OR(Z389="-",X389&lt;5),0,1+IF(Y389&gt;7,0.35,IF(Y389&gt;5,0.1,0))+IF(Z389&gt;7,1+IF(X389&gt;7,0.25,0),IF(Z389&gt;4,0.5+IF(X389&gt;7,0.25,0),0+IF(X389&gt;7,0.25))))+IF(AA389="-",0,IF(AA389&gt;9,0.5,IF(AA389&gt;7,0.25,0)))+IF(AB389="-",0,IF(AB389&gt;7,1.1,IF(AB389&gt;4,0.6,0)))+IF(OR(AC389="-",V389&lt;5),0,IF(AC389&gt;7,1+IF(V389&gt;7,0.25,0),IF(AC389&gt;4,0.5+IF(V389&gt;7,0.25,0),0)))+IF(AD389="-",0,IF(AD389&gt;7,1.5,IF(AD389&gt;4,1,0)))+IF(AE389="-",0,IF(AE389&gt;9,0.5,IF(AE389&gt;7,0.25,0)))+IF(AF389="-",0,IF(AF389&gt;7,1.25,IF(AF389&gt;4,0.75,0)))+IF(OR(AG389="-",W389&lt;4),0,IF(AG389&gt;7,1+IF(W389&gt;7,0.15,0),IF(AG389&gt;4,0.5+IF(W389&gt;7,0.15,0),0))))</f>
        <v>0</v>
      </c>
      <c r="AQ389" s="44">
        <f>($AM$3*AM389+$AN$3*AN389+$AO$3*AO389+$AP$3*AP389)+$I$3*VLOOKUP(I389,COND!$A$2:$E$7,4,FALSE)+$J$3*VLOOKUP(J389,COND!$A$2:$C$7,2,FALSE)+$K$3*VLOOKUP(K389,COND!$A$2:$C$7,3,FALSE)+IF(AND($B$2&gt;0,$E389&lt;20),$B$2*25,0)</f>
        <v>35.324343127288302</v>
      </c>
      <c r="AR389" s="47">
        <f t="shared" si="52"/>
        <v>-1.1522937778025928</v>
      </c>
      <c r="AS389" s="45" t="str">
        <f t="shared" ref="AS389:AS452" si="57">IF(AND(Z389&lt;&gt;"-",Y389&gt;1),"C",IF(AB389=MAX(AB389:AD389),"2B",IF(AD389=MAX(AB389:AD389),"SS",IF(OR(AC389=MAX(AA389:AD389),AND(AC389&lt;&gt;"-",AC389&gt;4,V389&gt;5)),"3B",IF(AF389=MAX(AE389:AG389),"CF",IF(AND(AG389=MAX(AE389,AG389),AND(W389&gt;5,AG389&lt;&gt;"-")),"RF",IF(AE389&lt;&gt;"-","LF",IF(AA389&lt;&gt;"-","1B","DH"))))))))</f>
        <v>1B</v>
      </c>
      <c r="AT389" s="45">
        <v>930</v>
      </c>
      <c r="AU389" s="45">
        <v>385</v>
      </c>
      <c r="AV389" s="45"/>
      <c r="AW389" s="45" t="str">
        <f t="shared" ref="AW389:AW452" si="58">IF(AND($Q389&gt;=6,AVERAGE($S389:$T389)&gt;=6),"Likely",IF(OR($Q389&gt;6,AND($Q389=6,AVERAGE($S389:$T389)&gt;=3),AND($Q389&gt;=5,AVERAGE($S389:$T389)&gt;=5),AVERAGE($Q389,$S389:$T389)&gt;5),"Possible","Unlikely"))</f>
        <v>Unlikely</v>
      </c>
      <c r="AX389" s="45"/>
      <c r="AY389" s="45">
        <f>INDEX(Table5[[#All],[Ovr]],MATCH(Batters[[#This Row],[PID]],Table5[[#All],[PID]],0))</f>
        <v>615</v>
      </c>
      <c r="AZ389" s="45" t="str">
        <f>INDEX(Table5[[#All],[Rnd]],MATCH(Batters[[#This Row],[PID]],Table5[[#All],[PID]],0))</f>
        <v>19</v>
      </c>
      <c r="BA389" s="45">
        <f>INDEX(Table5[[#All],[Pick]],MATCH(Batters[[#This Row],[PID]],Table5[[#All],[PID]],0))</f>
        <v>12</v>
      </c>
      <c r="BB389" s="45" t="str">
        <f>INDEX(Table5[[#All],[Team]],MATCH(Batters[[#This Row],[PID]],Table5[[#All],[PID]],0))</f>
        <v>Manchester Maulers</v>
      </c>
    </row>
    <row r="390" spans="1:54" ht="15" customHeight="1" x14ac:dyDescent="0.3">
      <c r="A390" s="40">
        <v>20263</v>
      </c>
      <c r="B390" s="40" t="s">
        <v>87</v>
      </c>
      <c r="C390" s="40" t="s">
        <v>175</v>
      </c>
      <c r="D390" s="40" t="s">
        <v>1286</v>
      </c>
      <c r="E390" s="40">
        <v>21</v>
      </c>
      <c r="F390" s="40" t="s">
        <v>42</v>
      </c>
      <c r="G390" s="40" t="s">
        <v>42</v>
      </c>
      <c r="H390" s="41" t="s">
        <v>553</v>
      </c>
      <c r="I390" s="64" t="s">
        <v>43</v>
      </c>
      <c r="J390" s="65" t="s">
        <v>44</v>
      </c>
      <c r="K390" s="66" t="s">
        <v>43</v>
      </c>
      <c r="L390" s="40">
        <v>2</v>
      </c>
      <c r="M390" s="40">
        <v>2</v>
      </c>
      <c r="N390" s="40">
        <v>2</v>
      </c>
      <c r="O390" s="40">
        <v>1</v>
      </c>
      <c r="P390" s="41">
        <v>5</v>
      </c>
      <c r="Q390" s="40">
        <v>4</v>
      </c>
      <c r="R390" s="40">
        <v>2</v>
      </c>
      <c r="S390" s="40">
        <v>2</v>
      </c>
      <c r="T390" s="40">
        <v>1</v>
      </c>
      <c r="U390" s="41">
        <v>6</v>
      </c>
      <c r="V390" s="40">
        <v>7</v>
      </c>
      <c r="W390" s="40">
        <v>1</v>
      </c>
      <c r="X390" s="40">
        <v>1</v>
      </c>
      <c r="Y390" s="41">
        <v>1</v>
      </c>
      <c r="Z390" s="40" t="s">
        <v>45</v>
      </c>
      <c r="AA390" s="40">
        <v>1</v>
      </c>
      <c r="AB390" s="40" t="s">
        <v>45</v>
      </c>
      <c r="AC390" s="40" t="s">
        <v>45</v>
      </c>
      <c r="AD390" s="40" t="s">
        <v>45</v>
      </c>
      <c r="AE390" s="40" t="s">
        <v>45</v>
      </c>
      <c r="AF390" s="40" t="s">
        <v>45</v>
      </c>
      <c r="AG390" s="41" t="s">
        <v>45</v>
      </c>
      <c r="AH390" s="40">
        <v>1</v>
      </c>
      <c r="AI390" s="40">
        <v>1</v>
      </c>
      <c r="AJ390" s="41">
        <v>1</v>
      </c>
      <c r="AK390" s="43" t="s">
        <v>557</v>
      </c>
      <c r="AL390" s="43" t="s">
        <v>103</v>
      </c>
      <c r="AM390" s="44">
        <f t="shared" si="53"/>
        <v>-1.4676007807139586</v>
      </c>
      <c r="AN390" s="44">
        <f t="shared" si="54"/>
        <v>-0.78247276849152547</v>
      </c>
      <c r="AO390" s="45">
        <f t="shared" si="55"/>
        <v>0</v>
      </c>
      <c r="AP390" s="46">
        <f t="shared" si="56"/>
        <v>0</v>
      </c>
      <c r="AQ390" s="44">
        <f>($AM$3*AM390+$AN$3*AN390+$AO$3*AO390+$AP$3*AP390)+$I$3*VLOOKUP(I390,COND!$A$2:$E$7,4,FALSE)+$J$3*VLOOKUP(J390,COND!$A$2:$C$7,2,FALSE)+$K$3*VLOOKUP(K390,COND!$A$2:$C$7,3,FALSE)+IF(AND($B$2&gt;0,$E390&lt;20),$B$2*25,0)</f>
        <v>35.163566700030302</v>
      </c>
      <c r="AR390" s="47">
        <f t="shared" si="52"/>
        <v>-1.1757620089652658</v>
      </c>
      <c r="AS390" s="45" t="str">
        <f t="shared" si="57"/>
        <v>1B</v>
      </c>
      <c r="AT390" s="45">
        <v>930</v>
      </c>
      <c r="AU390" s="45">
        <v>386</v>
      </c>
      <c r="AV390" s="45"/>
      <c r="AW390" s="45" t="str">
        <f t="shared" si="58"/>
        <v>Unlikely</v>
      </c>
      <c r="AX390" s="45"/>
      <c r="AY390" s="45">
        <f>INDEX(Table5[[#All],[Ovr]],MATCH(Batters[[#This Row],[PID]],Table5[[#All],[PID]],0))</f>
        <v>508</v>
      </c>
      <c r="AZ390" s="45" t="str">
        <f>INDEX(Table5[[#All],[Rnd]],MATCH(Batters[[#This Row],[PID]],Table5[[#All],[PID]],0))</f>
        <v>16</v>
      </c>
      <c r="BA390" s="45">
        <f>INDEX(Table5[[#All],[Pick]],MATCH(Batters[[#This Row],[PID]],Table5[[#All],[PID]],0))</f>
        <v>7</v>
      </c>
      <c r="BB390" s="45" t="str">
        <f>INDEX(Table5[[#All],[Team]],MATCH(Batters[[#This Row],[PID]],Table5[[#All],[PID]],0))</f>
        <v>Hartford Harpoon</v>
      </c>
    </row>
    <row r="391" spans="1:54" ht="15" customHeight="1" x14ac:dyDescent="0.3">
      <c r="A391" s="40">
        <v>11038</v>
      </c>
      <c r="B391" s="40" t="s">
        <v>86</v>
      </c>
      <c r="C391" s="40" t="s">
        <v>175</v>
      </c>
      <c r="D391" s="40" t="s">
        <v>1138</v>
      </c>
      <c r="E391" s="40">
        <v>21</v>
      </c>
      <c r="F391" s="40" t="s">
        <v>42</v>
      </c>
      <c r="G391" s="40" t="s">
        <v>42</v>
      </c>
      <c r="H391" s="41" t="s">
        <v>552</v>
      </c>
      <c r="I391" s="64" t="s">
        <v>43</v>
      </c>
      <c r="J391" s="65" t="s">
        <v>44</v>
      </c>
      <c r="K391" s="66" t="s">
        <v>43</v>
      </c>
      <c r="L391" s="40">
        <v>1</v>
      </c>
      <c r="M391" s="40">
        <v>1</v>
      </c>
      <c r="N391" s="40">
        <v>2</v>
      </c>
      <c r="O391" s="40">
        <v>2</v>
      </c>
      <c r="P391" s="41">
        <v>1</v>
      </c>
      <c r="Q391" s="40">
        <v>3</v>
      </c>
      <c r="R391" s="40">
        <v>2</v>
      </c>
      <c r="S391" s="40">
        <v>3</v>
      </c>
      <c r="T391" s="40">
        <v>5</v>
      </c>
      <c r="U391" s="41">
        <v>3</v>
      </c>
      <c r="V391" s="40">
        <v>2</v>
      </c>
      <c r="W391" s="40">
        <v>2</v>
      </c>
      <c r="X391" s="40">
        <v>5</v>
      </c>
      <c r="Y391" s="41">
        <v>7</v>
      </c>
      <c r="Z391" s="40" t="s">
        <v>45</v>
      </c>
      <c r="AA391" s="40" t="s">
        <v>45</v>
      </c>
      <c r="AB391" s="40" t="s">
        <v>45</v>
      </c>
      <c r="AC391" s="40" t="s">
        <v>45</v>
      </c>
      <c r="AD391" s="40" t="s">
        <v>45</v>
      </c>
      <c r="AE391" s="40" t="s">
        <v>45</v>
      </c>
      <c r="AF391" s="40" t="s">
        <v>45</v>
      </c>
      <c r="AG391" s="41" t="s">
        <v>45</v>
      </c>
      <c r="AH391" s="40">
        <v>3</v>
      </c>
      <c r="AI391" s="40">
        <v>4</v>
      </c>
      <c r="AJ391" s="41">
        <v>4</v>
      </c>
      <c r="AK391" s="43" t="s">
        <v>557</v>
      </c>
      <c r="AL391" s="43" t="s">
        <v>103</v>
      </c>
      <c r="AM391" s="44">
        <f t="shared" si="53"/>
        <v>-1.9115723057940897</v>
      </c>
      <c r="AN391" s="44">
        <f t="shared" si="54"/>
        <v>-0.78317793008322512</v>
      </c>
      <c r="AO391" s="45">
        <f t="shared" si="55"/>
        <v>0</v>
      </c>
      <c r="AP391" s="46">
        <f t="shared" si="56"/>
        <v>0</v>
      </c>
      <c r="AQ391" s="44">
        <f>($AM$3*AM391+$AN$3*AN391+$AO$3*AO391+$AP$3*AP391)+$I$3*VLOOKUP(I391,COND!$A$2:$E$7,4,FALSE)+$J$3*VLOOKUP(J391,COND!$A$2:$C$7,2,FALSE)+$K$3*VLOOKUP(K391,COND!$A$2:$C$7,3,FALSE)+IF(AND($B$2&gt;0,$E391&lt;20),$B$2*25,0)</f>
        <v>35.11070760842189</v>
      </c>
      <c r="AR391" s="47">
        <f t="shared" si="52"/>
        <v>-1.1834777506450112</v>
      </c>
      <c r="AS391" s="45" t="str">
        <f t="shared" si="57"/>
        <v>DH</v>
      </c>
      <c r="AT391" s="45">
        <v>930</v>
      </c>
      <c r="AU391" s="45">
        <v>387</v>
      </c>
      <c r="AV391" s="45"/>
      <c r="AW391" s="45" t="str">
        <f t="shared" si="58"/>
        <v>Unlikely</v>
      </c>
      <c r="AX391" s="45"/>
      <c r="AY391" s="45">
        <f>INDEX(Table5[[#All],[Ovr]],MATCH(Batters[[#This Row],[PID]],Table5[[#All],[PID]],0))</f>
        <v>349</v>
      </c>
      <c r="AZ391" s="45" t="str">
        <f>INDEX(Table5[[#All],[Rnd]],MATCH(Batters[[#This Row],[PID]],Table5[[#All],[PID]],0))</f>
        <v>11</v>
      </c>
      <c r="BA391" s="45">
        <f>INDEX(Table5[[#All],[Pick]],MATCH(Batters[[#This Row],[PID]],Table5[[#All],[PID]],0))</f>
        <v>18</v>
      </c>
      <c r="BB391" s="45" t="str">
        <f>INDEX(Table5[[#All],[Team]],MATCH(Batters[[#This Row],[PID]],Table5[[#All],[PID]],0))</f>
        <v>San Juan Coqui</v>
      </c>
    </row>
    <row r="392" spans="1:54" ht="15" customHeight="1" x14ac:dyDescent="0.3">
      <c r="A392" s="40">
        <v>11875</v>
      </c>
      <c r="B392" s="40" t="s">
        <v>72</v>
      </c>
      <c r="C392" s="40" t="s">
        <v>848</v>
      </c>
      <c r="D392" s="40" t="s">
        <v>349</v>
      </c>
      <c r="E392" s="40">
        <v>22</v>
      </c>
      <c r="F392" s="40" t="s">
        <v>42</v>
      </c>
      <c r="G392" s="40" t="s">
        <v>42</v>
      </c>
      <c r="H392" s="41" t="s">
        <v>552</v>
      </c>
      <c r="I392" s="64" t="s">
        <v>44</v>
      </c>
      <c r="J392" s="65" t="s">
        <v>44</v>
      </c>
      <c r="K392" s="66" t="s">
        <v>43</v>
      </c>
      <c r="L392" s="40">
        <v>2</v>
      </c>
      <c r="M392" s="40">
        <v>2</v>
      </c>
      <c r="N392" s="40">
        <v>2</v>
      </c>
      <c r="O392" s="40">
        <v>3</v>
      </c>
      <c r="P392" s="41">
        <v>3</v>
      </c>
      <c r="Q392" s="40">
        <v>3</v>
      </c>
      <c r="R392" s="40">
        <v>2</v>
      </c>
      <c r="S392" s="40">
        <v>2</v>
      </c>
      <c r="T392" s="40">
        <v>5</v>
      </c>
      <c r="U392" s="41">
        <v>5</v>
      </c>
      <c r="V392" s="40">
        <v>7</v>
      </c>
      <c r="W392" s="40">
        <v>5</v>
      </c>
      <c r="X392" s="40">
        <v>1</v>
      </c>
      <c r="Y392" s="41">
        <v>1</v>
      </c>
      <c r="Z392" s="40" t="s">
        <v>45</v>
      </c>
      <c r="AA392" s="40" t="s">
        <v>45</v>
      </c>
      <c r="AB392" s="40">
        <v>2</v>
      </c>
      <c r="AC392" s="40" t="s">
        <v>45</v>
      </c>
      <c r="AD392" s="40">
        <v>4</v>
      </c>
      <c r="AE392" s="40" t="s">
        <v>45</v>
      </c>
      <c r="AF392" s="40" t="s">
        <v>45</v>
      </c>
      <c r="AG392" s="41" t="s">
        <v>45</v>
      </c>
      <c r="AH392" s="40">
        <v>3</v>
      </c>
      <c r="AI392" s="40">
        <v>1</v>
      </c>
      <c r="AJ392" s="41">
        <v>1</v>
      </c>
      <c r="AK392" s="43" t="s">
        <v>45</v>
      </c>
      <c r="AL392" s="43" t="s">
        <v>103</v>
      </c>
      <c r="AM392" s="44">
        <f t="shared" si="53"/>
        <v>-1.3682143603289634</v>
      </c>
      <c r="AN392" s="44">
        <f t="shared" si="54"/>
        <v>-0.78620674447295957</v>
      </c>
      <c r="AO392" s="45">
        <f t="shared" si="55"/>
        <v>0</v>
      </c>
      <c r="AP392" s="46">
        <f t="shared" si="56"/>
        <v>0</v>
      </c>
      <c r="AQ392" s="44">
        <f>($AM$3*AM392+$AN$3*AN392+$AO$3*AO392+$AP$3*AP392)+$I$3*VLOOKUP(I392,COND!$A$2:$E$7,4,FALSE)+$J$3*VLOOKUP(J392,COND!$A$2:$C$7,2,FALSE)+$K$3*VLOOKUP(K392,COND!$A$2:$C$7,3,FALSE)+IF(AND($B$2&gt;0,$E392&lt;20),$B$2*25,0)</f>
        <v>34.978697630291592</v>
      </c>
      <c r="AR392" s="47">
        <f t="shared" si="52"/>
        <v>-1.2027469976072529</v>
      </c>
      <c r="AS392" s="45" t="str">
        <f t="shared" si="57"/>
        <v>SS</v>
      </c>
      <c r="AT392" s="45">
        <v>930</v>
      </c>
      <c r="AU392" s="45">
        <v>388</v>
      </c>
      <c r="AV392" s="45"/>
      <c r="AW392" s="45" t="str">
        <f t="shared" si="58"/>
        <v>Unlikely</v>
      </c>
      <c r="AX392" s="45"/>
      <c r="AY392" s="63">
        <f>INDEX(Table5[[#All],[Ovr]],MATCH(Batters[[#This Row],[PID]],Table5[[#All],[PID]],0))</f>
        <v>401</v>
      </c>
      <c r="AZ392" s="63" t="str">
        <f>INDEX(Table5[[#All],[Rnd]],MATCH(Batters[[#This Row],[PID]],Table5[[#All],[PID]],0))</f>
        <v>13</v>
      </c>
      <c r="BA392" s="63">
        <f>INDEX(Table5[[#All],[Pick]],MATCH(Batters[[#This Row],[PID]],Table5[[#All],[PID]],0))</f>
        <v>2</v>
      </c>
      <c r="BB392" s="63" t="str">
        <f>INDEX(Table5[[#All],[Team]],MATCH(Batters[[#This Row],[PID]],Table5[[#All],[PID]],0))</f>
        <v>Charleston Statesmen</v>
      </c>
    </row>
    <row r="393" spans="1:54" ht="15" customHeight="1" x14ac:dyDescent="0.3">
      <c r="A393" s="40">
        <v>16429</v>
      </c>
      <c r="B393" s="40" t="s">
        <v>71</v>
      </c>
      <c r="C393" s="40" t="s">
        <v>1292</v>
      </c>
      <c r="D393" s="40" t="s">
        <v>1293</v>
      </c>
      <c r="E393" s="40">
        <v>21</v>
      </c>
      <c r="F393" s="40" t="s">
        <v>53</v>
      </c>
      <c r="G393" s="40" t="s">
        <v>42</v>
      </c>
      <c r="H393" s="41" t="s">
        <v>553</v>
      </c>
      <c r="I393" s="64" t="s">
        <v>43</v>
      </c>
      <c r="J393" s="65" t="s">
        <v>44</v>
      </c>
      <c r="K393" s="66" t="s">
        <v>43</v>
      </c>
      <c r="L393" s="40">
        <v>1</v>
      </c>
      <c r="M393" s="40">
        <v>3</v>
      </c>
      <c r="N393" s="40">
        <v>2</v>
      </c>
      <c r="O393" s="40">
        <v>3</v>
      </c>
      <c r="P393" s="41">
        <v>2</v>
      </c>
      <c r="Q393" s="40">
        <v>3</v>
      </c>
      <c r="R393" s="40">
        <v>4</v>
      </c>
      <c r="S393" s="40">
        <v>2</v>
      </c>
      <c r="T393" s="40">
        <v>4</v>
      </c>
      <c r="U393" s="41">
        <v>4</v>
      </c>
      <c r="V393" s="40">
        <v>6</v>
      </c>
      <c r="W393" s="40">
        <v>5</v>
      </c>
      <c r="X393" s="40">
        <v>1</v>
      </c>
      <c r="Y393" s="41">
        <v>1</v>
      </c>
      <c r="Z393" s="40" t="s">
        <v>45</v>
      </c>
      <c r="AA393" s="40" t="s">
        <v>45</v>
      </c>
      <c r="AB393" s="40">
        <v>1</v>
      </c>
      <c r="AC393" s="40" t="s">
        <v>45</v>
      </c>
      <c r="AD393" s="40" t="s">
        <v>45</v>
      </c>
      <c r="AE393" s="40">
        <v>1</v>
      </c>
      <c r="AF393" s="40" t="s">
        <v>45</v>
      </c>
      <c r="AG393" s="41" t="s">
        <v>45</v>
      </c>
      <c r="AH393" s="40">
        <v>2</v>
      </c>
      <c r="AI393" s="40">
        <v>8</v>
      </c>
      <c r="AJ393" s="41">
        <v>6</v>
      </c>
      <c r="AK393" s="43" t="s">
        <v>45</v>
      </c>
      <c r="AL393" s="43" t="s">
        <v>103</v>
      </c>
      <c r="AM393" s="44">
        <f t="shared" si="53"/>
        <v>-1.6797266567300178</v>
      </c>
      <c r="AN393" s="44">
        <f t="shared" si="54"/>
        <v>-0.813812875062217</v>
      </c>
      <c r="AO393" s="45">
        <f t="shared" si="55"/>
        <v>1</v>
      </c>
      <c r="AP393" s="46">
        <f t="shared" si="56"/>
        <v>0</v>
      </c>
      <c r="AQ393" s="44">
        <f>($AM$3*AM393+$AN$3*AN393+$AO$3*AO393+$AP$3*AP393)+$I$3*VLOOKUP(I393,COND!$A$2:$E$7,4,FALSE)+$J$3*VLOOKUP(J393,COND!$A$2:$C$7,2,FALSE)+$K$3*VLOOKUP(K393,COND!$A$2:$C$7,3,FALSE)+IF(AND($B$2&gt;0,$E393&lt;20),$B$2*25,0)</f>
        <v>34.932939500247059</v>
      </c>
      <c r="AR393" s="47">
        <f t="shared" si="52"/>
        <v>-1.2094262253508419</v>
      </c>
      <c r="AS393" s="45" t="str">
        <f t="shared" si="57"/>
        <v>2B</v>
      </c>
      <c r="AT393" s="45">
        <v>930</v>
      </c>
      <c r="AU393" s="45">
        <v>389</v>
      </c>
      <c r="AV393" s="45"/>
      <c r="AW393" s="45" t="str">
        <f t="shared" si="58"/>
        <v>Unlikely</v>
      </c>
      <c r="AX393" s="45"/>
      <c r="AY393" s="45" t="str">
        <f>INDEX(Table5[[#All],[Ovr]],MATCH(Batters[[#This Row],[PID]],Table5[[#All],[PID]],0))</f>
        <v/>
      </c>
      <c r="AZ393" s="45" t="str">
        <f>INDEX(Table5[[#All],[Rnd]],MATCH(Batters[[#This Row],[PID]],Table5[[#All],[PID]],0))</f>
        <v/>
      </c>
      <c r="BA393" s="45" t="str">
        <f>INDEX(Table5[[#All],[Pick]],MATCH(Batters[[#This Row],[PID]],Table5[[#All],[PID]],0))</f>
        <v/>
      </c>
      <c r="BB393" s="45" t="str">
        <f>INDEX(Table5[[#All],[Team]],MATCH(Batters[[#This Row],[PID]],Table5[[#All],[PID]],0))</f>
        <v/>
      </c>
    </row>
    <row r="394" spans="1:54" ht="15" customHeight="1" x14ac:dyDescent="0.3">
      <c r="A394" s="40">
        <v>13126</v>
      </c>
      <c r="B394" s="40" t="s">
        <v>66</v>
      </c>
      <c r="C394" s="40" t="s">
        <v>590</v>
      </c>
      <c r="D394" s="40" t="s">
        <v>785</v>
      </c>
      <c r="E394" s="40">
        <v>22</v>
      </c>
      <c r="F394" s="40" t="s">
        <v>42</v>
      </c>
      <c r="G394" s="40" t="s">
        <v>53</v>
      </c>
      <c r="H394" s="41" t="s">
        <v>561</v>
      </c>
      <c r="I394" s="64" t="s">
        <v>43</v>
      </c>
      <c r="J394" s="65" t="s">
        <v>44</v>
      </c>
      <c r="K394" s="66" t="s">
        <v>43</v>
      </c>
      <c r="L394" s="40">
        <v>1</v>
      </c>
      <c r="M394" s="40">
        <v>2</v>
      </c>
      <c r="N394" s="40">
        <v>2</v>
      </c>
      <c r="O394" s="40">
        <v>1</v>
      </c>
      <c r="P394" s="41">
        <v>1</v>
      </c>
      <c r="Q394" s="40">
        <v>3</v>
      </c>
      <c r="R394" s="40">
        <v>4</v>
      </c>
      <c r="S394" s="40">
        <v>2</v>
      </c>
      <c r="T394" s="40">
        <v>5</v>
      </c>
      <c r="U394" s="41">
        <v>2</v>
      </c>
      <c r="V394" s="40">
        <v>6</v>
      </c>
      <c r="W394" s="40">
        <v>7</v>
      </c>
      <c r="X394" s="40">
        <v>1</v>
      </c>
      <c r="Y394" s="41">
        <v>1</v>
      </c>
      <c r="Z394" s="40" t="s">
        <v>45</v>
      </c>
      <c r="AA394" s="40" t="s">
        <v>45</v>
      </c>
      <c r="AB394" s="40" t="s">
        <v>45</v>
      </c>
      <c r="AC394" s="40" t="s">
        <v>45</v>
      </c>
      <c r="AD394" s="40" t="s">
        <v>45</v>
      </c>
      <c r="AE394" s="40" t="s">
        <v>45</v>
      </c>
      <c r="AF394" s="40" t="s">
        <v>45</v>
      </c>
      <c r="AG394" s="41">
        <v>2</v>
      </c>
      <c r="AH394" s="40">
        <v>3</v>
      </c>
      <c r="AI394" s="40">
        <v>7</v>
      </c>
      <c r="AJ394" s="41">
        <v>4</v>
      </c>
      <c r="AK394" s="43" t="s">
        <v>45</v>
      </c>
      <c r="AL394" s="43" t="s">
        <v>103</v>
      </c>
      <c r="AM394" s="44">
        <f t="shared" si="53"/>
        <v>-1.9502219761849671</v>
      </c>
      <c r="AN394" s="44">
        <f t="shared" si="54"/>
        <v>-0.80413600468680302</v>
      </c>
      <c r="AO394" s="45">
        <f t="shared" si="55"/>
        <v>0</v>
      </c>
      <c r="AP394" s="46">
        <f t="shared" si="56"/>
        <v>0</v>
      </c>
      <c r="AQ394" s="44">
        <f>($AM$3*AM394+$AN$3*AN394+$AO$3*AO394+$AP$3*AP394)+$I$3*VLOOKUP(I394,COND!$A$2:$E$7,4,FALSE)+$J$3*VLOOKUP(J394,COND!$A$2:$C$7,2,FALSE)+$K$3*VLOOKUP(K394,COND!$A$2:$C$7,3,FALSE)+IF(AND($B$2&gt;0,$E394&lt;20),$B$2*25,0)</f>
        <v>34.855345746139868</v>
      </c>
      <c r="AR394" s="47">
        <f t="shared" si="52"/>
        <v>-1.2207524389582944</v>
      </c>
      <c r="AS394" s="45" t="str">
        <f t="shared" si="57"/>
        <v>RF</v>
      </c>
      <c r="AT394" s="45">
        <v>930</v>
      </c>
      <c r="AU394" s="45">
        <v>390</v>
      </c>
      <c r="AV394" s="45"/>
      <c r="AW394" s="45" t="str">
        <f t="shared" si="58"/>
        <v>Unlikely</v>
      </c>
      <c r="AX394" s="45"/>
      <c r="AY394" s="45" t="str">
        <f>INDEX(Table5[[#All],[Ovr]],MATCH(Batters[[#This Row],[PID]],Table5[[#All],[PID]],0))</f>
        <v/>
      </c>
      <c r="AZ394" s="45" t="str">
        <f>INDEX(Table5[[#All],[Rnd]],MATCH(Batters[[#This Row],[PID]],Table5[[#All],[PID]],0))</f>
        <v/>
      </c>
      <c r="BA394" s="45" t="str">
        <f>INDEX(Table5[[#All],[Pick]],MATCH(Batters[[#This Row],[PID]],Table5[[#All],[PID]],0))</f>
        <v/>
      </c>
      <c r="BB394" s="45" t="str">
        <f>INDEX(Table5[[#All],[Team]],MATCH(Batters[[#This Row],[PID]],Table5[[#All],[PID]],0))</f>
        <v/>
      </c>
    </row>
    <row r="395" spans="1:54" ht="15" customHeight="1" x14ac:dyDescent="0.3">
      <c r="A395" s="40">
        <v>13344</v>
      </c>
      <c r="B395" s="40" t="s">
        <v>87</v>
      </c>
      <c r="C395" s="40" t="s">
        <v>1318</v>
      </c>
      <c r="D395" s="40" t="s">
        <v>340</v>
      </c>
      <c r="E395" s="40">
        <v>17</v>
      </c>
      <c r="F395" s="40" t="s">
        <v>42</v>
      </c>
      <c r="G395" s="40" t="s">
        <v>42</v>
      </c>
      <c r="H395" s="41" t="s">
        <v>561</v>
      </c>
      <c r="I395" s="64" t="s">
        <v>44</v>
      </c>
      <c r="J395" s="65" t="s">
        <v>44</v>
      </c>
      <c r="K395" s="66" t="s">
        <v>43</v>
      </c>
      <c r="L395" s="40">
        <v>1</v>
      </c>
      <c r="M395" s="40">
        <v>2</v>
      </c>
      <c r="N395" s="40">
        <v>2</v>
      </c>
      <c r="O395" s="40">
        <v>2</v>
      </c>
      <c r="P395" s="41">
        <v>1</v>
      </c>
      <c r="Q395" s="40">
        <v>2</v>
      </c>
      <c r="R395" s="40">
        <v>3</v>
      </c>
      <c r="S395" s="40">
        <v>2</v>
      </c>
      <c r="T395" s="40">
        <v>4</v>
      </c>
      <c r="U395" s="41">
        <v>3</v>
      </c>
      <c r="V395" s="40">
        <v>3</v>
      </c>
      <c r="W395" s="40">
        <v>4</v>
      </c>
      <c r="X395" s="40">
        <v>5</v>
      </c>
      <c r="Y395" s="41">
        <v>3</v>
      </c>
      <c r="Z395" s="40" t="s">
        <v>45</v>
      </c>
      <c r="AA395" s="40">
        <v>2</v>
      </c>
      <c r="AB395" s="40" t="s">
        <v>45</v>
      </c>
      <c r="AC395" s="40" t="s">
        <v>45</v>
      </c>
      <c r="AD395" s="40" t="s">
        <v>45</v>
      </c>
      <c r="AE395" s="40" t="s">
        <v>45</v>
      </c>
      <c r="AF395" s="40" t="s">
        <v>45</v>
      </c>
      <c r="AG395" s="41" t="s">
        <v>45</v>
      </c>
      <c r="AH395" s="40">
        <v>1</v>
      </c>
      <c r="AI395" s="40">
        <v>1</v>
      </c>
      <c r="AJ395" s="41">
        <v>1</v>
      </c>
      <c r="AK395" s="43" t="s">
        <v>571</v>
      </c>
      <c r="AL395" s="43" t="s">
        <v>103</v>
      </c>
      <c r="AM395" s="44">
        <f t="shared" si="53"/>
        <v>-1.8605124261753858</v>
      </c>
      <c r="AN395" s="44">
        <f t="shared" si="54"/>
        <v>-1.2274449307006789</v>
      </c>
      <c r="AO395" s="45">
        <f t="shared" si="55"/>
        <v>0</v>
      </c>
      <c r="AP395" s="46">
        <f t="shared" si="56"/>
        <v>0</v>
      </c>
      <c r="AQ395" s="44">
        <f>($AM$3*AM395+$AN$3*AN395+$AO$3*AO395+$AP$3*AP395)+$I$3*VLOOKUP(I395,COND!$A$2:$E$7,4,FALSE)+$J$3*VLOOKUP(J395,COND!$A$2:$C$7,2,FALSE)+$K$3*VLOOKUP(K395,COND!$A$2:$C$7,3,FALSE)+IF(AND($B$2&gt;0,$E395&lt;20),$B$2*25,0)</f>
        <v>34.634609588974314</v>
      </c>
      <c r="AR395" s="47">
        <f>STANDARDIZE(AQ395,AVERAGE($AQ$5:$AQ$459),STDEVP($AQ$5:$AQ$459))</f>
        <v>-1.2306569441901756</v>
      </c>
      <c r="AS395" s="45" t="str">
        <f t="shared" si="57"/>
        <v>1B</v>
      </c>
      <c r="AT395" s="45">
        <v>930</v>
      </c>
      <c r="AU395" s="45">
        <v>391</v>
      </c>
      <c r="AV395" s="45"/>
      <c r="AW395" s="45" t="str">
        <f t="shared" si="58"/>
        <v>Unlikely</v>
      </c>
      <c r="AX395" s="45"/>
      <c r="AY395" s="63" t="str">
        <f>INDEX(Table5[[#All],[Ovr]],MATCH(Batters[[#This Row],[PID]],Table5[[#All],[PID]],0))</f>
        <v/>
      </c>
      <c r="AZ395" s="63" t="str">
        <f>INDEX(Table5[[#All],[Rnd]],MATCH(Batters[[#This Row],[PID]],Table5[[#All],[PID]],0))</f>
        <v/>
      </c>
      <c r="BA395" s="63" t="str">
        <f>INDEX(Table5[[#All],[Pick]],MATCH(Batters[[#This Row],[PID]],Table5[[#All],[PID]],0))</f>
        <v/>
      </c>
      <c r="BB395" s="63" t="str">
        <f>INDEX(Table5[[#All],[Team]],MATCH(Batters[[#This Row],[PID]],Table5[[#All],[PID]],0))</f>
        <v/>
      </c>
    </row>
    <row r="396" spans="1:54" ht="15" customHeight="1" x14ac:dyDescent="0.3">
      <c r="A396" s="40">
        <v>7920</v>
      </c>
      <c r="B396" s="40" t="s">
        <v>87</v>
      </c>
      <c r="C396" s="40" t="s">
        <v>173</v>
      </c>
      <c r="D396" s="40" t="s">
        <v>1278</v>
      </c>
      <c r="E396" s="40">
        <v>21</v>
      </c>
      <c r="F396" s="40" t="s">
        <v>62</v>
      </c>
      <c r="G396" s="40" t="s">
        <v>42</v>
      </c>
      <c r="H396" s="41" t="s">
        <v>553</v>
      </c>
      <c r="I396" s="64" t="s">
        <v>43</v>
      </c>
      <c r="J396" s="65" t="s">
        <v>44</v>
      </c>
      <c r="K396" s="66" t="s">
        <v>43</v>
      </c>
      <c r="L396" s="40">
        <v>1</v>
      </c>
      <c r="M396" s="40">
        <v>4</v>
      </c>
      <c r="N396" s="40">
        <v>3</v>
      </c>
      <c r="O396" s="40">
        <v>3</v>
      </c>
      <c r="P396" s="41">
        <v>1</v>
      </c>
      <c r="Q396" s="40">
        <v>2</v>
      </c>
      <c r="R396" s="40">
        <v>5</v>
      </c>
      <c r="S396" s="40">
        <v>5</v>
      </c>
      <c r="T396" s="40">
        <v>5</v>
      </c>
      <c r="U396" s="41">
        <v>2</v>
      </c>
      <c r="V396" s="40">
        <v>5</v>
      </c>
      <c r="W396" s="40">
        <v>7</v>
      </c>
      <c r="X396" s="40">
        <v>1</v>
      </c>
      <c r="Y396" s="41">
        <v>1</v>
      </c>
      <c r="Z396" s="40" t="s">
        <v>45</v>
      </c>
      <c r="AA396" s="40">
        <v>1</v>
      </c>
      <c r="AB396" s="40" t="s">
        <v>45</v>
      </c>
      <c r="AC396" s="40" t="s">
        <v>45</v>
      </c>
      <c r="AD396" s="40" t="s">
        <v>45</v>
      </c>
      <c r="AE396" s="40" t="s">
        <v>45</v>
      </c>
      <c r="AF396" s="40" t="s">
        <v>45</v>
      </c>
      <c r="AG396" s="41" t="s">
        <v>45</v>
      </c>
      <c r="AH396" s="40">
        <v>1</v>
      </c>
      <c r="AI396" s="40">
        <v>6</v>
      </c>
      <c r="AJ396" s="41">
        <v>4</v>
      </c>
      <c r="AK396" s="43" t="s">
        <v>45</v>
      </c>
      <c r="AL396" s="43" t="s">
        <v>103</v>
      </c>
      <c r="AM396" s="44">
        <f t="shared" si="53"/>
        <v>-1.5856216229044964</v>
      </c>
      <c r="AN396" s="44">
        <f t="shared" si="54"/>
        <v>-0.82644747919906991</v>
      </c>
      <c r="AO396" s="45">
        <f t="shared" si="55"/>
        <v>0</v>
      </c>
      <c r="AP396" s="46">
        <f t="shared" si="56"/>
        <v>0</v>
      </c>
      <c r="AQ396" s="44">
        <f>($AM$3*AM396+$AN$3*AN396+$AO$3*AO396+$AP$3*AP396)+$I$3*VLOOKUP(I396,COND!$A$2:$E$7,4,FALSE)+$J$3*VLOOKUP(J396,COND!$A$2:$C$7,2,FALSE)+$K$3*VLOOKUP(K396,COND!$A$2:$C$7,3,FALSE)+IF(AND($B$2&gt;0,$E396&lt;20),$B$2*25,0)</f>
        <v>34.624068087320708</v>
      </c>
      <c r="AR396" s="47">
        <f>STANDARDIZE(AQ396,AVERAGE($AQ$5:$AQ$442),STDEVP($AQ$5:$AQ$442))</f>
        <v>-1.2545116016197462</v>
      </c>
      <c r="AS396" s="45" t="str">
        <f t="shared" si="57"/>
        <v>1B</v>
      </c>
      <c r="AT396" s="45">
        <v>930</v>
      </c>
      <c r="AU396" s="45">
        <v>392</v>
      </c>
      <c r="AV396" s="45"/>
      <c r="AW396" s="45" t="str">
        <f t="shared" si="58"/>
        <v>Unlikely</v>
      </c>
      <c r="AX396" s="45"/>
      <c r="AY396" s="63" t="str">
        <f>INDEX(Table5[[#All],[Ovr]],MATCH(Batters[[#This Row],[PID]],Table5[[#All],[PID]],0))</f>
        <v/>
      </c>
      <c r="AZ396" s="63" t="str">
        <f>INDEX(Table5[[#All],[Rnd]],MATCH(Batters[[#This Row],[PID]],Table5[[#All],[PID]],0))</f>
        <v/>
      </c>
      <c r="BA396" s="63" t="str">
        <f>INDEX(Table5[[#All],[Pick]],MATCH(Batters[[#This Row],[PID]],Table5[[#All],[PID]],0))</f>
        <v/>
      </c>
      <c r="BB396" s="63" t="str">
        <f>INDEX(Table5[[#All],[Team]],MATCH(Batters[[#This Row],[PID]],Table5[[#All],[PID]],0))</f>
        <v/>
      </c>
    </row>
    <row r="397" spans="1:54" ht="15" customHeight="1" x14ac:dyDescent="0.3">
      <c r="A397" s="40">
        <v>7355</v>
      </c>
      <c r="B397" s="40" t="s">
        <v>87</v>
      </c>
      <c r="C397" s="40" t="s">
        <v>155</v>
      </c>
      <c r="D397" s="40" t="s">
        <v>1306</v>
      </c>
      <c r="E397" s="40">
        <v>21</v>
      </c>
      <c r="F397" s="40" t="s">
        <v>53</v>
      </c>
      <c r="G397" s="40" t="s">
        <v>53</v>
      </c>
      <c r="H397" s="41" t="s">
        <v>561</v>
      </c>
      <c r="I397" s="64" t="s">
        <v>43</v>
      </c>
      <c r="J397" s="65" t="s">
        <v>44</v>
      </c>
      <c r="K397" s="66" t="s">
        <v>43</v>
      </c>
      <c r="L397" s="40">
        <v>2</v>
      </c>
      <c r="M397" s="40">
        <v>2</v>
      </c>
      <c r="N397" s="40">
        <v>2</v>
      </c>
      <c r="O397" s="40">
        <v>1</v>
      </c>
      <c r="P397" s="41">
        <v>2</v>
      </c>
      <c r="Q397" s="40">
        <v>4</v>
      </c>
      <c r="R397" s="40">
        <v>2</v>
      </c>
      <c r="S397" s="40">
        <v>2</v>
      </c>
      <c r="T397" s="40">
        <v>1</v>
      </c>
      <c r="U397" s="41">
        <v>4</v>
      </c>
      <c r="V397" s="40">
        <v>5</v>
      </c>
      <c r="W397" s="40">
        <v>1</v>
      </c>
      <c r="X397" s="40">
        <v>1</v>
      </c>
      <c r="Y397" s="41">
        <v>1</v>
      </c>
      <c r="Z397" s="40" t="s">
        <v>45</v>
      </c>
      <c r="AA397" s="40" t="s">
        <v>45</v>
      </c>
      <c r="AB397" s="40" t="s">
        <v>45</v>
      </c>
      <c r="AC397" s="40" t="s">
        <v>45</v>
      </c>
      <c r="AD397" s="40" t="s">
        <v>45</v>
      </c>
      <c r="AE397" s="40" t="s">
        <v>45</v>
      </c>
      <c r="AF397" s="40" t="s">
        <v>45</v>
      </c>
      <c r="AG397" s="41" t="s">
        <v>45</v>
      </c>
      <c r="AH397" s="40">
        <v>1</v>
      </c>
      <c r="AI397" s="40">
        <v>1</v>
      </c>
      <c r="AJ397" s="41">
        <v>2</v>
      </c>
      <c r="AK397" s="43" t="s">
        <v>45</v>
      </c>
      <c r="AL397" s="43" t="s">
        <v>103</v>
      </c>
      <c r="AM397" s="44">
        <f t="shared" si="53"/>
        <v>-1.5876498001652086</v>
      </c>
      <c r="AN397" s="44">
        <f t="shared" si="54"/>
        <v>-0.86250544812569241</v>
      </c>
      <c r="AO397" s="45">
        <f t="shared" si="55"/>
        <v>0</v>
      </c>
      <c r="AP397" s="46">
        <f t="shared" si="56"/>
        <v>0</v>
      </c>
      <c r="AQ397" s="44">
        <f>($AM$3*AM397+$AN$3*AN397+$AO$3*AO397+$AP$3*AP397)+$I$3*VLOOKUP(I397,COND!$A$2:$E$7,4,FALSE)+$J$3*VLOOKUP(J397,COND!$A$2:$C$7,2,FALSE)+$K$3*VLOOKUP(K397,COND!$A$2:$C$7,3,FALSE)+IF(AND($B$2&gt;0,$E397&lt;20),$B$2*25,0)</f>
        <v>34.191169642475174</v>
      </c>
      <c r="AR397" s="47">
        <f>STANDARDIZE(AQ397,AVERAGE($AQ$5:$AQ$442),STDEVP($AQ$5:$AQ$442))</f>
        <v>-1.3177009692830406</v>
      </c>
      <c r="AS397" s="45" t="str">
        <f t="shared" si="57"/>
        <v>DH</v>
      </c>
      <c r="AT397" s="45">
        <v>930</v>
      </c>
      <c r="AU397" s="45">
        <v>393</v>
      </c>
      <c r="AV397" s="45"/>
      <c r="AW397" s="45" t="str">
        <f t="shared" si="58"/>
        <v>Unlikely</v>
      </c>
      <c r="AX397" s="45"/>
      <c r="AY397" s="45" t="str">
        <f>INDEX(Table5[[#All],[Ovr]],MATCH(Batters[[#This Row],[PID]],Table5[[#All],[PID]],0))</f>
        <v/>
      </c>
      <c r="AZ397" s="45" t="str">
        <f>INDEX(Table5[[#All],[Rnd]],MATCH(Batters[[#This Row],[PID]],Table5[[#All],[PID]],0))</f>
        <v/>
      </c>
      <c r="BA397" s="45" t="str">
        <f>INDEX(Table5[[#All],[Pick]],MATCH(Batters[[#This Row],[PID]],Table5[[#All],[PID]],0))</f>
        <v/>
      </c>
      <c r="BB397" s="45" t="str">
        <f>INDEX(Table5[[#All],[Team]],MATCH(Batters[[#This Row],[PID]],Table5[[#All],[PID]],0))</f>
        <v/>
      </c>
    </row>
    <row r="398" spans="1:54" ht="15" customHeight="1" x14ac:dyDescent="0.3">
      <c r="A398" s="40">
        <v>12458</v>
      </c>
      <c r="B398" s="40" t="s">
        <v>86</v>
      </c>
      <c r="C398" s="40" t="s">
        <v>630</v>
      </c>
      <c r="D398" s="40" t="s">
        <v>871</v>
      </c>
      <c r="E398" s="40">
        <v>22</v>
      </c>
      <c r="F398" s="40" t="s">
        <v>42</v>
      </c>
      <c r="G398" s="40" t="s">
        <v>42</v>
      </c>
      <c r="H398" s="41" t="s">
        <v>553</v>
      </c>
      <c r="I398" s="64" t="s">
        <v>43</v>
      </c>
      <c r="J398" s="65" t="s">
        <v>44</v>
      </c>
      <c r="K398" s="66" t="s">
        <v>43</v>
      </c>
      <c r="L398" s="40">
        <v>1</v>
      </c>
      <c r="M398" s="40">
        <v>3</v>
      </c>
      <c r="N398" s="40">
        <v>2</v>
      </c>
      <c r="O398" s="40">
        <v>2</v>
      </c>
      <c r="P398" s="41">
        <v>1</v>
      </c>
      <c r="Q398" s="40">
        <v>3</v>
      </c>
      <c r="R398" s="40">
        <v>3</v>
      </c>
      <c r="S398" s="40">
        <v>2</v>
      </c>
      <c r="T398" s="40">
        <v>4</v>
      </c>
      <c r="U398" s="41">
        <v>4</v>
      </c>
      <c r="V398" s="40">
        <v>3</v>
      </c>
      <c r="W398" s="40">
        <v>2</v>
      </c>
      <c r="X398" s="40">
        <v>3</v>
      </c>
      <c r="Y398" s="41">
        <v>4</v>
      </c>
      <c r="Z398" s="40" t="s">
        <v>45</v>
      </c>
      <c r="AA398" s="40" t="s">
        <v>45</v>
      </c>
      <c r="AB398" s="40" t="s">
        <v>45</v>
      </c>
      <c r="AC398" s="40" t="s">
        <v>45</v>
      </c>
      <c r="AD398" s="40" t="s">
        <v>45</v>
      </c>
      <c r="AE398" s="40" t="s">
        <v>45</v>
      </c>
      <c r="AF398" s="40" t="s">
        <v>45</v>
      </c>
      <c r="AG398" s="41" t="s">
        <v>45</v>
      </c>
      <c r="AH398" s="40">
        <v>1</v>
      </c>
      <c r="AI398" s="40">
        <v>1</v>
      </c>
      <c r="AJ398" s="41">
        <v>1</v>
      </c>
      <c r="AK398" s="43" t="s">
        <v>45</v>
      </c>
      <c r="AL398" s="43" t="s">
        <v>103</v>
      </c>
      <c r="AM398" s="44">
        <f t="shared" si="53"/>
        <v>-1.8094525465566824</v>
      </c>
      <c r="AN398" s="44">
        <f t="shared" si="54"/>
        <v>-0.8648727546809204</v>
      </c>
      <c r="AO398" s="45">
        <f t="shared" si="55"/>
        <v>0</v>
      </c>
      <c r="AP398" s="46">
        <f t="shared" si="56"/>
        <v>0</v>
      </c>
      <c r="AQ398" s="44">
        <f>($AM$3*AM398+$AN$3*AN398+$AO$3*AO398+$AP$3*AP398)+$I$3*VLOOKUP(I398,COND!$A$2:$E$7,4,FALSE)+$J$3*VLOOKUP(J398,COND!$A$2:$C$7,2,FALSE)+$K$3*VLOOKUP(K398,COND!$A$2:$C$7,3,FALSE)+IF(AND($B$2&gt;0,$E398&lt;20),$B$2*25,0)</f>
        <v>34.140581689173288</v>
      </c>
      <c r="AR398" s="47">
        <f>STANDARDIZE(AQ398,AVERAGE($AQ$5:$AQ$442),STDEVP($AQ$5:$AQ$442))</f>
        <v>-1.3250851971974353</v>
      </c>
      <c r="AS398" s="45" t="str">
        <f t="shared" si="57"/>
        <v>DH</v>
      </c>
      <c r="AT398" s="45">
        <v>930</v>
      </c>
      <c r="AU398" s="45">
        <v>394</v>
      </c>
      <c r="AV398" s="45"/>
      <c r="AW398" s="45" t="str">
        <f t="shared" si="58"/>
        <v>Unlikely</v>
      </c>
      <c r="AX398" s="45"/>
      <c r="AY398" s="45" t="str">
        <f>INDEX(Table5[[#All],[Ovr]],MATCH(Batters[[#This Row],[PID]],Table5[[#All],[PID]],0))</f>
        <v/>
      </c>
      <c r="AZ398" s="45" t="str">
        <f>INDEX(Table5[[#All],[Rnd]],MATCH(Batters[[#This Row],[PID]],Table5[[#All],[PID]],0))</f>
        <v/>
      </c>
      <c r="BA398" s="45" t="str">
        <f>INDEX(Table5[[#All],[Pick]],MATCH(Batters[[#This Row],[PID]],Table5[[#All],[PID]],0))</f>
        <v/>
      </c>
      <c r="BB398" s="45" t="str">
        <f>INDEX(Table5[[#All],[Team]],MATCH(Batters[[#This Row],[PID]],Table5[[#All],[PID]],0))</f>
        <v/>
      </c>
    </row>
    <row r="399" spans="1:54" ht="15" customHeight="1" x14ac:dyDescent="0.3">
      <c r="A399" s="40">
        <v>9875</v>
      </c>
      <c r="B399" s="40" t="s">
        <v>86</v>
      </c>
      <c r="C399" s="40" t="s">
        <v>853</v>
      </c>
      <c r="D399" s="40" t="s">
        <v>356</v>
      </c>
      <c r="E399" s="40">
        <v>22</v>
      </c>
      <c r="F399" s="40" t="s">
        <v>42</v>
      </c>
      <c r="G399" s="40" t="s">
        <v>42</v>
      </c>
      <c r="H399" s="41" t="s">
        <v>552</v>
      </c>
      <c r="I399" s="64" t="s">
        <v>43</v>
      </c>
      <c r="J399" s="65" t="s">
        <v>44</v>
      </c>
      <c r="K399" s="66" t="s">
        <v>43</v>
      </c>
      <c r="L399" s="40">
        <v>1</v>
      </c>
      <c r="M399" s="40">
        <v>2</v>
      </c>
      <c r="N399" s="40">
        <v>3</v>
      </c>
      <c r="O399" s="40">
        <v>2</v>
      </c>
      <c r="P399" s="41">
        <v>1</v>
      </c>
      <c r="Q399" s="40">
        <v>2</v>
      </c>
      <c r="R399" s="40">
        <v>4</v>
      </c>
      <c r="S399" s="40">
        <v>4</v>
      </c>
      <c r="T399" s="40">
        <v>5</v>
      </c>
      <c r="U399" s="41">
        <v>2</v>
      </c>
      <c r="V399" s="40">
        <v>3</v>
      </c>
      <c r="W399" s="40">
        <v>2</v>
      </c>
      <c r="X399" s="40">
        <v>5</v>
      </c>
      <c r="Y399" s="41">
        <v>6</v>
      </c>
      <c r="Z399" s="40" t="s">
        <v>45</v>
      </c>
      <c r="AA399" s="40" t="s">
        <v>45</v>
      </c>
      <c r="AB399" s="40" t="s">
        <v>45</v>
      </c>
      <c r="AC399" s="40" t="s">
        <v>45</v>
      </c>
      <c r="AD399" s="40" t="s">
        <v>45</v>
      </c>
      <c r="AE399" s="40" t="s">
        <v>45</v>
      </c>
      <c r="AF399" s="40" t="s">
        <v>45</v>
      </c>
      <c r="AG399" s="41" t="s">
        <v>45</v>
      </c>
      <c r="AH399" s="40">
        <v>1</v>
      </c>
      <c r="AI399" s="40">
        <v>3</v>
      </c>
      <c r="AJ399" s="41">
        <v>1</v>
      </c>
      <c r="AK399" s="43" t="s">
        <v>45</v>
      </c>
      <c r="AL399" s="43" t="s">
        <v>103</v>
      </c>
      <c r="AM399" s="44">
        <f t="shared" si="53"/>
        <v>-1.7774509321514844</v>
      </c>
      <c r="AN399" s="44">
        <f t="shared" si="54"/>
        <v>-0.96056885284167481</v>
      </c>
      <c r="AO399" s="45">
        <f t="shared" si="55"/>
        <v>0</v>
      </c>
      <c r="AP399" s="46">
        <f t="shared" si="56"/>
        <v>0</v>
      </c>
      <c r="AQ399" s="44">
        <f>($AM$3*AM399+$AN$3*AN399+$AO$3*AO399+$AP$3*AP399)+$I$3*VLOOKUP(I399,COND!$A$2:$E$7,4,FALSE)+$J$3*VLOOKUP(J399,COND!$A$2:$C$7,2,FALSE)+$K$3*VLOOKUP(K399,COND!$A$2:$C$7,3,FALSE)+IF(AND($B$2&gt;0,$E399&lt;20),$B$2*25,0)</f>
        <v>32.995428672684753</v>
      </c>
      <c r="AR399" s="47">
        <f>STANDARDIZE(AQ399,AVERAGE($AQ$5:$AQ$459),STDEVP($AQ$5:$AQ$459))</f>
        <v>-1.4679754661302555</v>
      </c>
      <c r="AS399" s="45" t="str">
        <f t="shared" si="57"/>
        <v>DH</v>
      </c>
      <c r="AT399" s="45">
        <v>930</v>
      </c>
      <c r="AU399" s="45">
        <v>395</v>
      </c>
      <c r="AV399" s="45"/>
      <c r="AW399" s="45" t="str">
        <f t="shared" si="58"/>
        <v>Unlikely</v>
      </c>
      <c r="AX399" s="45"/>
      <c r="AY399" s="63" t="str">
        <f>INDEX(Table5[[#All],[Ovr]],MATCH(Batters[[#This Row],[PID]],Table5[[#All],[PID]],0))</f>
        <v/>
      </c>
      <c r="AZ399" s="63" t="str">
        <f>INDEX(Table5[[#All],[Rnd]],MATCH(Batters[[#This Row],[PID]],Table5[[#All],[PID]],0))</f>
        <v/>
      </c>
      <c r="BA399" s="63" t="str">
        <f>INDEX(Table5[[#All],[Pick]],MATCH(Batters[[#This Row],[PID]],Table5[[#All],[PID]],0))</f>
        <v/>
      </c>
      <c r="BB399" s="63" t="str">
        <f>INDEX(Table5[[#All],[Team]],MATCH(Batters[[#This Row],[PID]],Table5[[#All],[PID]],0))</f>
        <v/>
      </c>
    </row>
    <row r="400" spans="1:54" ht="15" customHeight="1" x14ac:dyDescent="0.3">
      <c r="A400" s="40">
        <v>13205</v>
      </c>
      <c r="B400" s="40" t="s">
        <v>87</v>
      </c>
      <c r="C400" s="40" t="s">
        <v>385</v>
      </c>
      <c r="D400" s="40" t="s">
        <v>1309</v>
      </c>
      <c r="E400" s="40">
        <v>21</v>
      </c>
      <c r="F400" s="40" t="s">
        <v>42</v>
      </c>
      <c r="G400" s="40" t="s">
        <v>42</v>
      </c>
      <c r="H400" s="41" t="s">
        <v>561</v>
      </c>
      <c r="I400" s="64" t="s">
        <v>43</v>
      </c>
      <c r="J400" s="65" t="s">
        <v>44</v>
      </c>
      <c r="K400" s="66" t="s">
        <v>43</v>
      </c>
      <c r="L400" s="40">
        <v>2</v>
      </c>
      <c r="M400" s="40">
        <v>2</v>
      </c>
      <c r="N400" s="40">
        <v>2</v>
      </c>
      <c r="O400" s="40">
        <v>3</v>
      </c>
      <c r="P400" s="41">
        <v>1</v>
      </c>
      <c r="Q400" s="40">
        <v>3</v>
      </c>
      <c r="R400" s="40">
        <v>2</v>
      </c>
      <c r="S400" s="40">
        <v>2</v>
      </c>
      <c r="T400" s="40">
        <v>4</v>
      </c>
      <c r="U400" s="41">
        <v>3</v>
      </c>
      <c r="V400" s="40">
        <v>5</v>
      </c>
      <c r="W400" s="40">
        <v>2</v>
      </c>
      <c r="X400" s="40">
        <v>1</v>
      </c>
      <c r="Y400" s="41">
        <v>1</v>
      </c>
      <c r="Z400" s="40" t="s">
        <v>45</v>
      </c>
      <c r="AA400" s="40">
        <v>1</v>
      </c>
      <c r="AB400" s="40" t="s">
        <v>45</v>
      </c>
      <c r="AC400" s="40" t="s">
        <v>45</v>
      </c>
      <c r="AD400" s="40" t="s">
        <v>45</v>
      </c>
      <c r="AE400" s="40" t="s">
        <v>45</v>
      </c>
      <c r="AF400" s="40" t="s">
        <v>45</v>
      </c>
      <c r="AG400" s="41" t="s">
        <v>45</v>
      </c>
      <c r="AH400" s="40">
        <v>1</v>
      </c>
      <c r="AI400" s="40">
        <v>1</v>
      </c>
      <c r="AJ400" s="41">
        <v>1</v>
      </c>
      <c r="AK400" s="43" t="s">
        <v>45</v>
      </c>
      <c r="AL400" s="43" t="s">
        <v>103</v>
      </c>
      <c r="AM400" s="44">
        <f t="shared" si="53"/>
        <v>-1.4482470399631302</v>
      </c>
      <c r="AN400" s="44">
        <f t="shared" si="54"/>
        <v>-0.95594897411670754</v>
      </c>
      <c r="AO400" s="45">
        <f t="shared" si="55"/>
        <v>0</v>
      </c>
      <c r="AP400" s="46">
        <f t="shared" si="56"/>
        <v>0</v>
      </c>
      <c r="AQ400" s="44">
        <f>($AM$3*AM400+$AN$3*AN400+$AO$3*AO400+$AP$3*AP400)+$I$3*VLOOKUP(I400,COND!$A$2:$E$7,4,FALSE)+$J$3*VLOOKUP(J400,COND!$A$2:$C$7,2,FALSE)+$K$3*VLOOKUP(K400,COND!$A$2:$C$7,3,FALSE)+IF(AND($B$2&gt;0,$E400&lt;20),$B$2*25,0)</f>
        <v>33.083787606603195</v>
      </c>
      <c r="AR400" s="47">
        <f>STANDARDIZE(AQ400,AVERAGE($AQ$5:$AQ$442),STDEVP($AQ$5:$AQ$442))</f>
        <v>-1.479343431716488</v>
      </c>
      <c r="AS400" s="45" t="str">
        <f t="shared" si="57"/>
        <v>1B</v>
      </c>
      <c r="AT400" s="45">
        <v>930</v>
      </c>
      <c r="AU400" s="45">
        <v>396</v>
      </c>
      <c r="AV400" s="45"/>
      <c r="AW400" s="45" t="str">
        <f t="shared" si="58"/>
        <v>Unlikely</v>
      </c>
      <c r="AX400" s="45"/>
      <c r="AY400" s="45">
        <f>INDEX(Table5[[#All],[Ovr]],MATCH(Batters[[#This Row],[PID]],Table5[[#All],[PID]],0))</f>
        <v>583</v>
      </c>
      <c r="AZ400" s="45" t="str">
        <f>INDEX(Table5[[#All],[Rnd]],MATCH(Batters[[#This Row],[PID]],Table5[[#All],[PID]],0))</f>
        <v>18</v>
      </c>
      <c r="BA400" s="45">
        <f>INDEX(Table5[[#All],[Pick]],MATCH(Batters[[#This Row],[PID]],Table5[[#All],[PID]],0))</f>
        <v>14</v>
      </c>
      <c r="BB400" s="45" t="str">
        <f>INDEX(Table5[[#All],[Team]],MATCH(Batters[[#This Row],[PID]],Table5[[#All],[PID]],0))</f>
        <v>San Antonio Calzones of Laredo</v>
      </c>
    </row>
    <row r="401" spans="1:54" ht="15" customHeight="1" x14ac:dyDescent="0.3">
      <c r="A401" s="40">
        <v>5727</v>
      </c>
      <c r="B401" s="40" t="s">
        <v>86</v>
      </c>
      <c r="C401" s="40" t="s">
        <v>398</v>
      </c>
      <c r="D401" s="40" t="s">
        <v>1214</v>
      </c>
      <c r="E401" s="40">
        <v>21</v>
      </c>
      <c r="F401" s="40" t="s">
        <v>42</v>
      </c>
      <c r="G401" s="40" t="s">
        <v>42</v>
      </c>
      <c r="H401" s="41" t="s">
        <v>552</v>
      </c>
      <c r="I401" s="64" t="s">
        <v>43</v>
      </c>
      <c r="J401" s="65" t="s">
        <v>44</v>
      </c>
      <c r="K401" s="66" t="s">
        <v>43</v>
      </c>
      <c r="L401" s="40">
        <v>2</v>
      </c>
      <c r="M401" s="40">
        <v>2</v>
      </c>
      <c r="N401" s="40">
        <v>2</v>
      </c>
      <c r="O401" s="40">
        <v>2</v>
      </c>
      <c r="P401" s="41">
        <v>1</v>
      </c>
      <c r="Q401" s="40">
        <v>2</v>
      </c>
      <c r="R401" s="40">
        <v>4</v>
      </c>
      <c r="S401" s="40">
        <v>3</v>
      </c>
      <c r="T401" s="40">
        <v>5</v>
      </c>
      <c r="U401" s="41">
        <v>3</v>
      </c>
      <c r="V401" s="40">
        <v>1</v>
      </c>
      <c r="W401" s="40">
        <v>2</v>
      </c>
      <c r="X401" s="40">
        <v>4</v>
      </c>
      <c r="Y401" s="41">
        <v>7</v>
      </c>
      <c r="Z401" s="40" t="s">
        <v>45</v>
      </c>
      <c r="AA401" s="40" t="s">
        <v>45</v>
      </c>
      <c r="AB401" s="40" t="s">
        <v>45</v>
      </c>
      <c r="AC401" s="40" t="s">
        <v>45</v>
      </c>
      <c r="AD401" s="40" t="s">
        <v>45</v>
      </c>
      <c r="AE401" s="40" t="s">
        <v>45</v>
      </c>
      <c r="AF401" s="40" t="s">
        <v>45</v>
      </c>
      <c r="AG401" s="41" t="s">
        <v>45</v>
      </c>
      <c r="AH401" s="40">
        <v>1</v>
      </c>
      <c r="AI401" s="40">
        <v>1</v>
      </c>
      <c r="AJ401" s="41">
        <v>1</v>
      </c>
      <c r="AK401" s="43" t="s">
        <v>557</v>
      </c>
      <c r="AL401" s="43" t="s">
        <v>103</v>
      </c>
      <c r="AM401" s="44">
        <f t="shared" si="53"/>
        <v>-1.5379565899727115</v>
      </c>
      <c r="AN401" s="44">
        <f t="shared" si="54"/>
        <v>-1.0036140070484929</v>
      </c>
      <c r="AO401" s="45">
        <f t="shared" si="55"/>
        <v>0</v>
      </c>
      <c r="AP401" s="46">
        <f t="shared" si="56"/>
        <v>0</v>
      </c>
      <c r="AQ401" s="44">
        <f>($AM$3*AM401+$AN$3*AN401+$AO$3*AO401+$AP$3*AP401)+$I$3*VLOOKUP(I401,COND!$A$2:$E$7,4,FALSE)+$J$3*VLOOKUP(J401,COND!$A$2:$C$7,2,FALSE)+$K$3*VLOOKUP(K401,COND!$A$2:$C$7,3,FALSE)+IF(AND($B$2&gt;0,$E401&lt;20),$B$2*25,0)</f>
        <v>32.502836256420814</v>
      </c>
      <c r="AR401" s="47">
        <f>STANDARDIZE(AQ401,AVERAGE($AQ$5:$AQ$442),STDEVP($AQ$5:$AQ$442))</f>
        <v>-1.5641438020995708</v>
      </c>
      <c r="AS401" s="45" t="str">
        <f t="shared" si="57"/>
        <v>DH</v>
      </c>
      <c r="AT401" s="45">
        <v>930</v>
      </c>
      <c r="AU401" s="45">
        <v>397</v>
      </c>
      <c r="AV401" s="45"/>
      <c r="AW401" s="45" t="str">
        <f t="shared" si="58"/>
        <v>Unlikely</v>
      </c>
      <c r="AX401" s="45"/>
      <c r="AY401" s="45" t="str">
        <f>INDEX(Table5[[#All],[Ovr]],MATCH(Batters[[#This Row],[PID]],Table5[[#All],[PID]],0))</f>
        <v/>
      </c>
      <c r="AZ401" s="45" t="str">
        <f>INDEX(Table5[[#All],[Rnd]],MATCH(Batters[[#This Row],[PID]],Table5[[#All],[PID]],0))</f>
        <v/>
      </c>
      <c r="BA401" s="45" t="str">
        <f>INDEX(Table5[[#All],[Pick]],MATCH(Batters[[#This Row],[PID]],Table5[[#All],[PID]],0))</f>
        <v/>
      </c>
      <c r="BB401" s="45" t="str">
        <f>INDEX(Table5[[#All],[Team]],MATCH(Batters[[#This Row],[PID]],Table5[[#All],[PID]],0))</f>
        <v/>
      </c>
    </row>
    <row r="402" spans="1:54" ht="15" customHeight="1" x14ac:dyDescent="0.3">
      <c r="A402" s="40">
        <v>20190</v>
      </c>
      <c r="B402" s="40" t="s">
        <v>87</v>
      </c>
      <c r="C402" s="40" t="s">
        <v>643</v>
      </c>
      <c r="D402" s="40" t="s">
        <v>1317</v>
      </c>
      <c r="E402" s="40">
        <v>21</v>
      </c>
      <c r="F402" s="40" t="s">
        <v>42</v>
      </c>
      <c r="G402" s="40" t="s">
        <v>42</v>
      </c>
      <c r="H402" s="41" t="s">
        <v>561</v>
      </c>
      <c r="I402" s="64" t="s">
        <v>43</v>
      </c>
      <c r="J402" s="65" t="s">
        <v>44</v>
      </c>
      <c r="K402" s="66" t="s">
        <v>43</v>
      </c>
      <c r="L402" s="40">
        <v>1</v>
      </c>
      <c r="M402" s="40">
        <v>1</v>
      </c>
      <c r="N402" s="40">
        <v>2</v>
      </c>
      <c r="O402" s="40">
        <v>2</v>
      </c>
      <c r="P402" s="41">
        <v>2</v>
      </c>
      <c r="Q402" s="40">
        <v>3</v>
      </c>
      <c r="R402" s="40">
        <v>2</v>
      </c>
      <c r="S402" s="40">
        <v>2</v>
      </c>
      <c r="T402" s="40">
        <v>3</v>
      </c>
      <c r="U402" s="41">
        <v>4</v>
      </c>
      <c r="V402" s="40">
        <v>8</v>
      </c>
      <c r="W402" s="40">
        <v>1</v>
      </c>
      <c r="X402" s="40">
        <v>1</v>
      </c>
      <c r="Y402" s="41">
        <v>1</v>
      </c>
      <c r="Z402" s="40" t="s">
        <v>45</v>
      </c>
      <c r="AA402" s="40">
        <v>1</v>
      </c>
      <c r="AB402" s="40" t="s">
        <v>45</v>
      </c>
      <c r="AC402" s="40" t="s">
        <v>45</v>
      </c>
      <c r="AD402" s="40" t="s">
        <v>45</v>
      </c>
      <c r="AE402" s="40" t="s">
        <v>45</v>
      </c>
      <c r="AF402" s="40" t="s">
        <v>45</v>
      </c>
      <c r="AG402" s="41" t="s">
        <v>45</v>
      </c>
      <c r="AH402" s="40">
        <v>1</v>
      </c>
      <c r="AI402" s="40">
        <v>1</v>
      </c>
      <c r="AJ402" s="41">
        <v>1</v>
      </c>
      <c r="AK402" s="43" t="s">
        <v>45</v>
      </c>
      <c r="AL402" s="43" t="s">
        <v>103</v>
      </c>
      <c r="AM402" s="44">
        <f t="shared" si="53"/>
        <v>-1.871555965977006</v>
      </c>
      <c r="AN402" s="44">
        <f t="shared" si="54"/>
        <v>-1.0056421843092052</v>
      </c>
      <c r="AO402" s="45">
        <f t="shared" si="55"/>
        <v>0</v>
      </c>
      <c r="AP402" s="46">
        <f t="shared" si="56"/>
        <v>0</v>
      </c>
      <c r="AQ402" s="44">
        <f>($AM$3*AM402+$AN$3*AN402+$AO$3*AO402+$AP$3*AP402)+$I$3*VLOOKUP(I402,COND!$A$2:$E$7,4,FALSE)+$J$3*VLOOKUP(J402,COND!$A$2:$C$7,2,FALSE)+$K$3*VLOOKUP(K402,COND!$A$2:$C$7,3,FALSE)+IF(AND($B$2&gt;0,$E402&lt;20),$B$2*25,0)</f>
        <v>32.445138191691839</v>
      </c>
      <c r="AR402" s="47">
        <f>STANDARDIZE(AQ402,AVERAGE($AQ$5:$AQ$442),STDEVP($AQ$5:$AQ$442))</f>
        <v>-1.5725658795383581</v>
      </c>
      <c r="AS402" s="45" t="str">
        <f t="shared" si="57"/>
        <v>1B</v>
      </c>
      <c r="AT402" s="45">
        <v>930</v>
      </c>
      <c r="AU402" s="45">
        <v>398</v>
      </c>
      <c r="AV402" s="45"/>
      <c r="AW402" s="45" t="str">
        <f t="shared" si="58"/>
        <v>Unlikely</v>
      </c>
      <c r="AX402" s="45"/>
      <c r="AY402" s="45" t="str">
        <f>INDEX(Table5[[#All],[Ovr]],MATCH(Batters[[#This Row],[PID]],Table5[[#All],[PID]],0))</f>
        <v/>
      </c>
      <c r="AZ402" s="45" t="str">
        <f>INDEX(Table5[[#All],[Rnd]],MATCH(Batters[[#This Row],[PID]],Table5[[#All],[PID]],0))</f>
        <v/>
      </c>
      <c r="BA402" s="45" t="str">
        <f>INDEX(Table5[[#All],[Pick]],MATCH(Batters[[#This Row],[PID]],Table5[[#All],[PID]],0))</f>
        <v/>
      </c>
      <c r="BB402" s="45" t="str">
        <f>INDEX(Table5[[#All],[Team]],MATCH(Batters[[#This Row],[PID]],Table5[[#All],[PID]],0))</f>
        <v/>
      </c>
    </row>
    <row r="403" spans="1:54" ht="15" customHeight="1" x14ac:dyDescent="0.3">
      <c r="A403" s="40">
        <v>6051</v>
      </c>
      <c r="B403" s="40" t="s">
        <v>74</v>
      </c>
      <c r="C403" s="40" t="s">
        <v>881</v>
      </c>
      <c r="D403" s="40" t="s">
        <v>705</v>
      </c>
      <c r="E403" s="40">
        <v>22</v>
      </c>
      <c r="F403" s="40" t="s">
        <v>62</v>
      </c>
      <c r="G403" s="40" t="s">
        <v>42</v>
      </c>
      <c r="H403" s="41" t="s">
        <v>553</v>
      </c>
      <c r="I403" s="64" t="s">
        <v>44</v>
      </c>
      <c r="J403" s="65" t="s">
        <v>44</v>
      </c>
      <c r="K403" s="66" t="s">
        <v>43</v>
      </c>
      <c r="L403" s="40">
        <v>1</v>
      </c>
      <c r="M403" s="40">
        <v>1</v>
      </c>
      <c r="N403" s="40">
        <v>2</v>
      </c>
      <c r="O403" s="40">
        <v>2</v>
      </c>
      <c r="P403" s="41">
        <v>1</v>
      </c>
      <c r="Q403" s="40">
        <v>2</v>
      </c>
      <c r="R403" s="40">
        <v>3</v>
      </c>
      <c r="S403" s="40">
        <v>2</v>
      </c>
      <c r="T403" s="40">
        <v>4</v>
      </c>
      <c r="U403" s="41">
        <v>4</v>
      </c>
      <c r="V403" s="40">
        <v>2</v>
      </c>
      <c r="W403" s="40">
        <v>7</v>
      </c>
      <c r="X403" s="40">
        <v>1</v>
      </c>
      <c r="Y403" s="41">
        <v>1</v>
      </c>
      <c r="Z403" s="40" t="s">
        <v>45</v>
      </c>
      <c r="AA403" s="40" t="s">
        <v>45</v>
      </c>
      <c r="AB403" s="40">
        <v>1</v>
      </c>
      <c r="AC403" s="40" t="s">
        <v>45</v>
      </c>
      <c r="AD403" s="40" t="s">
        <v>45</v>
      </c>
      <c r="AE403" s="40" t="s">
        <v>45</v>
      </c>
      <c r="AF403" s="40">
        <v>6</v>
      </c>
      <c r="AG403" s="41" t="s">
        <v>45</v>
      </c>
      <c r="AH403" s="40">
        <v>10</v>
      </c>
      <c r="AI403" s="40">
        <v>9</v>
      </c>
      <c r="AJ403" s="41">
        <v>10</v>
      </c>
      <c r="AK403" s="43" t="s">
        <v>45</v>
      </c>
      <c r="AL403" s="43" t="s">
        <v>103</v>
      </c>
      <c r="AM403" s="44">
        <f t="shared" si="53"/>
        <v>-1.9115723057940897</v>
      </c>
      <c r="AN403" s="44">
        <f t="shared" si="54"/>
        <v>-1.1874285908835953</v>
      </c>
      <c r="AO403" s="45">
        <f t="shared" si="55"/>
        <v>6</v>
      </c>
      <c r="AP403" s="46">
        <f t="shared" si="56"/>
        <v>0.75</v>
      </c>
      <c r="AQ403" s="44">
        <f>($AM$3*AM403+$AN$3*AN403+$AO$3*AO403+$AP$3*AP403)+$I$3*VLOOKUP(I403,COND!$A$2:$E$7,4,FALSE)+$J$3*VLOOKUP(J403,COND!$A$2:$C$7,2,FALSE)+$K$3*VLOOKUP(K403,COND!$A$2:$C$7,3,FALSE)+IF(AND($B$2&gt;0,$E403&lt;20),$B$2*25,0)</f>
        <v>31.859699678817446</v>
      </c>
      <c r="AR403" s="47">
        <f>STANDARDIZE(AQ403,AVERAGE($AQ$5:$AQ$459),STDEVP($AQ$5:$AQ$459))</f>
        <v>-1.6324048610009505</v>
      </c>
      <c r="AS403" s="45" t="str">
        <f t="shared" si="57"/>
        <v>2B</v>
      </c>
      <c r="AT403" s="45">
        <v>930</v>
      </c>
      <c r="AU403" s="45">
        <v>399</v>
      </c>
      <c r="AV403" s="45"/>
      <c r="AW403" s="45" t="str">
        <f t="shared" si="58"/>
        <v>Unlikely</v>
      </c>
      <c r="AX403" s="45"/>
      <c r="AY403" s="63">
        <f>INDEX(Table5[[#All],[Ovr]],MATCH(Batters[[#This Row],[PID]],Table5[[#All],[PID]],0))</f>
        <v>483</v>
      </c>
      <c r="AZ403" s="63" t="str">
        <f>INDEX(Table5[[#All],[Rnd]],MATCH(Batters[[#This Row],[PID]],Table5[[#All],[PID]],0))</f>
        <v>15</v>
      </c>
      <c r="BA403" s="63">
        <f>INDEX(Table5[[#All],[Pick]],MATCH(Batters[[#This Row],[PID]],Table5[[#All],[PID]],0))</f>
        <v>16</v>
      </c>
      <c r="BB403" s="63" t="str">
        <f>INDEX(Table5[[#All],[Team]],MATCH(Batters[[#This Row],[PID]],Table5[[#All],[PID]],0))</f>
        <v>Madison Malts</v>
      </c>
    </row>
    <row r="404" spans="1:54" ht="15" customHeight="1" x14ac:dyDescent="0.3">
      <c r="A404" s="40">
        <v>13972</v>
      </c>
      <c r="B404" s="40" t="s">
        <v>86</v>
      </c>
      <c r="C404" s="40" t="s">
        <v>128</v>
      </c>
      <c r="D404" s="40" t="s">
        <v>937</v>
      </c>
      <c r="E404" s="40">
        <v>21</v>
      </c>
      <c r="F404" s="40" t="s">
        <v>42</v>
      </c>
      <c r="G404" s="40" t="s">
        <v>42</v>
      </c>
      <c r="H404" s="41" t="s">
        <v>552</v>
      </c>
      <c r="I404" s="64" t="s">
        <v>43</v>
      </c>
      <c r="J404" s="65" t="s">
        <v>44</v>
      </c>
      <c r="K404" s="66" t="s">
        <v>43</v>
      </c>
      <c r="L404" s="40">
        <v>1</v>
      </c>
      <c r="M404" s="40">
        <v>2</v>
      </c>
      <c r="N404" s="40">
        <v>2</v>
      </c>
      <c r="O404" s="40">
        <v>3</v>
      </c>
      <c r="P404" s="41">
        <v>1</v>
      </c>
      <c r="Q404" s="40">
        <v>2</v>
      </c>
      <c r="R404" s="40">
        <v>3</v>
      </c>
      <c r="S404" s="40">
        <v>3</v>
      </c>
      <c r="T404" s="40">
        <v>5</v>
      </c>
      <c r="U404" s="41">
        <v>2</v>
      </c>
      <c r="V404" s="40">
        <v>3</v>
      </c>
      <c r="W404" s="40">
        <v>3</v>
      </c>
      <c r="X404" s="40">
        <v>5</v>
      </c>
      <c r="Y404" s="41">
        <v>7</v>
      </c>
      <c r="Z404" s="40" t="s">
        <v>45</v>
      </c>
      <c r="AA404" s="40" t="s">
        <v>45</v>
      </c>
      <c r="AB404" s="40" t="s">
        <v>45</v>
      </c>
      <c r="AC404" s="40" t="s">
        <v>45</v>
      </c>
      <c r="AD404" s="40" t="s">
        <v>45</v>
      </c>
      <c r="AE404" s="40" t="s">
        <v>45</v>
      </c>
      <c r="AF404" s="40" t="s">
        <v>45</v>
      </c>
      <c r="AG404" s="41" t="s">
        <v>45</v>
      </c>
      <c r="AH404" s="40">
        <v>2</v>
      </c>
      <c r="AI404" s="40">
        <v>1</v>
      </c>
      <c r="AJ404" s="41">
        <v>1</v>
      </c>
      <c r="AK404" s="43" t="s">
        <v>45</v>
      </c>
      <c r="AL404" s="43" t="s">
        <v>103</v>
      </c>
      <c r="AM404" s="44">
        <f t="shared" si="53"/>
        <v>-1.7708028761658048</v>
      </c>
      <c r="AN404" s="44">
        <f t="shared" si="54"/>
        <v>-1.0946902264842799</v>
      </c>
      <c r="AO404" s="45">
        <f t="shared" si="55"/>
        <v>0</v>
      </c>
      <c r="AP404" s="46">
        <f t="shared" si="56"/>
        <v>0</v>
      </c>
      <c r="AQ404" s="44">
        <f>($AM$3*AM404+$AN$3*AN404+$AO$3*AO404+$AP$3*AP404)+$I$3*VLOOKUP(I404,COND!$A$2:$E$7,4,FALSE)+$J$3*VLOOKUP(J404,COND!$A$2:$C$7,2,FALSE)+$K$3*VLOOKUP(K404,COND!$A$2:$C$7,3,FALSE)+IF(AND($B$2&gt;0,$E404&lt;20),$B$2*25,0)</f>
        <v>31.386636994572058</v>
      </c>
      <c r="AR404" s="47">
        <f>STANDARDIZE(AQ404,AVERAGE($AQ$5:$AQ$442),STDEVP($AQ$5:$AQ$442))</f>
        <v>-1.7270732983411801</v>
      </c>
      <c r="AS404" s="45" t="str">
        <f t="shared" si="57"/>
        <v>DH</v>
      </c>
      <c r="AT404" s="45">
        <v>930</v>
      </c>
      <c r="AU404" s="45">
        <v>400</v>
      </c>
      <c r="AV404" s="45"/>
      <c r="AW404" s="45" t="str">
        <f t="shared" si="58"/>
        <v>Unlikely</v>
      </c>
      <c r="AX404" s="45"/>
      <c r="AY404" s="45" t="str">
        <f>INDEX(Table5[[#All],[Ovr]],MATCH(Batters[[#This Row],[PID]],Table5[[#All],[PID]],0))</f>
        <v/>
      </c>
      <c r="AZ404" s="45" t="str">
        <f>INDEX(Table5[[#All],[Rnd]],MATCH(Batters[[#This Row],[PID]],Table5[[#All],[PID]],0))</f>
        <v/>
      </c>
      <c r="BA404" s="45" t="str">
        <f>INDEX(Table5[[#All],[Pick]],MATCH(Batters[[#This Row],[PID]],Table5[[#All],[PID]],0))</f>
        <v/>
      </c>
      <c r="BB404" s="45" t="str">
        <f>INDEX(Table5[[#All],[Team]],MATCH(Batters[[#This Row],[PID]],Table5[[#All],[PID]],0))</f>
        <v/>
      </c>
    </row>
    <row r="405" spans="1:54" ht="15" customHeight="1" x14ac:dyDescent="0.3">
      <c r="A405" s="40">
        <v>14971</v>
      </c>
      <c r="B405" s="40" t="s">
        <v>87</v>
      </c>
      <c r="C405" s="40" t="s">
        <v>190</v>
      </c>
      <c r="D405" s="40" t="s">
        <v>607</v>
      </c>
      <c r="E405" s="40">
        <v>21</v>
      </c>
      <c r="F405" s="40" t="s">
        <v>42</v>
      </c>
      <c r="G405" s="40" t="s">
        <v>42</v>
      </c>
      <c r="H405" s="41" t="s">
        <v>561</v>
      </c>
      <c r="I405" s="64" t="s">
        <v>44</v>
      </c>
      <c r="J405" s="65" t="s">
        <v>44</v>
      </c>
      <c r="K405" s="66" t="s">
        <v>43</v>
      </c>
      <c r="L405" s="40">
        <v>1</v>
      </c>
      <c r="M405" s="40">
        <v>2</v>
      </c>
      <c r="N405" s="40">
        <v>2</v>
      </c>
      <c r="O405" s="40">
        <v>3</v>
      </c>
      <c r="P405" s="41">
        <v>1</v>
      </c>
      <c r="Q405" s="40">
        <v>2</v>
      </c>
      <c r="R405" s="40">
        <v>4</v>
      </c>
      <c r="S405" s="40">
        <v>3</v>
      </c>
      <c r="T405" s="40">
        <v>5</v>
      </c>
      <c r="U405" s="41">
        <v>1</v>
      </c>
      <c r="V405" s="40">
        <v>2</v>
      </c>
      <c r="W405" s="40">
        <v>1</v>
      </c>
      <c r="X405" s="40">
        <v>7</v>
      </c>
      <c r="Y405" s="41">
        <v>6</v>
      </c>
      <c r="Z405" s="40" t="s">
        <v>45</v>
      </c>
      <c r="AA405" s="40">
        <v>2</v>
      </c>
      <c r="AB405" s="40" t="s">
        <v>45</v>
      </c>
      <c r="AC405" s="40" t="s">
        <v>45</v>
      </c>
      <c r="AD405" s="40" t="s">
        <v>45</v>
      </c>
      <c r="AE405" s="40" t="s">
        <v>45</v>
      </c>
      <c r="AF405" s="40" t="s">
        <v>45</v>
      </c>
      <c r="AG405" s="41" t="s">
        <v>45</v>
      </c>
      <c r="AH405" s="40">
        <v>2</v>
      </c>
      <c r="AI405" s="40">
        <v>1</v>
      </c>
      <c r="AJ405" s="41">
        <v>1</v>
      </c>
      <c r="AK405" s="43" t="s">
        <v>45</v>
      </c>
      <c r="AL405" s="43" t="s">
        <v>103</v>
      </c>
      <c r="AM405" s="44">
        <f t="shared" si="53"/>
        <v>-1.7708028761658048</v>
      </c>
      <c r="AN405" s="44">
        <f t="shared" si="54"/>
        <v>-1.0836466866826597</v>
      </c>
      <c r="AO405" s="45">
        <f t="shared" si="55"/>
        <v>0</v>
      </c>
      <c r="AP405" s="46">
        <f t="shared" si="56"/>
        <v>0</v>
      </c>
      <c r="AQ405" s="44">
        <f>($AM$3*AM405+$AN$3*AN405+$AO$3*AO405+$AP$3*AP405)+$I$3*VLOOKUP(I405,COND!$A$2:$E$7,4,FALSE)+$J$3*VLOOKUP(J405,COND!$A$2:$C$7,2,FALSE)+$K$3*VLOOKUP(K405,COND!$A$2:$C$7,3,FALSE)+IF(AND($B$2&gt;0,$E405&lt;20),$B$2*25,0)</f>
        <v>31.369159472191502</v>
      </c>
      <c r="AR405" s="47">
        <f>STANDARDIZE(AQ405,AVERAGE($AQ$5:$AQ$442),STDEVP($AQ$5:$AQ$442))</f>
        <v>-1.7296244592443857</v>
      </c>
      <c r="AS405" s="45" t="str">
        <f t="shared" si="57"/>
        <v>1B</v>
      </c>
      <c r="AT405" s="45">
        <v>930</v>
      </c>
      <c r="AU405" s="45">
        <v>401</v>
      </c>
      <c r="AV405" s="45"/>
      <c r="AW405" s="45" t="str">
        <f t="shared" si="58"/>
        <v>Unlikely</v>
      </c>
      <c r="AX405" s="45"/>
      <c r="AY405" s="45" t="str">
        <f>INDEX(Table5[[#All],[Ovr]],MATCH(Batters[[#This Row],[PID]],Table5[[#All],[PID]],0))</f>
        <v/>
      </c>
      <c r="AZ405" s="45" t="str">
        <f>INDEX(Table5[[#All],[Rnd]],MATCH(Batters[[#This Row],[PID]],Table5[[#All],[PID]],0))</f>
        <v/>
      </c>
      <c r="BA405" s="45" t="str">
        <f>INDEX(Table5[[#All],[Pick]],MATCH(Batters[[#This Row],[PID]],Table5[[#All],[PID]],0))</f>
        <v/>
      </c>
      <c r="BB405" s="45" t="str">
        <f>INDEX(Table5[[#All],[Team]],MATCH(Batters[[#This Row],[PID]],Table5[[#All],[PID]],0))</f>
        <v/>
      </c>
    </row>
    <row r="406" spans="1:54" ht="15" customHeight="1" x14ac:dyDescent="0.3">
      <c r="A406" s="40">
        <v>15550</v>
      </c>
      <c r="B406" s="40" t="s">
        <v>86</v>
      </c>
      <c r="C406" s="40" t="s">
        <v>201</v>
      </c>
      <c r="D406" s="40" t="s">
        <v>1270</v>
      </c>
      <c r="E406" s="40">
        <v>21</v>
      </c>
      <c r="F406" s="40" t="s">
        <v>42</v>
      </c>
      <c r="G406" s="40" t="s">
        <v>42</v>
      </c>
      <c r="H406" s="41" t="s">
        <v>552</v>
      </c>
      <c r="I406" s="64" t="s">
        <v>43</v>
      </c>
      <c r="J406" s="65" t="s">
        <v>44</v>
      </c>
      <c r="K406" s="66" t="s">
        <v>43</v>
      </c>
      <c r="L406" s="40">
        <v>2</v>
      </c>
      <c r="M406" s="40">
        <v>2</v>
      </c>
      <c r="N406" s="40">
        <v>2</v>
      </c>
      <c r="O406" s="40">
        <v>3</v>
      </c>
      <c r="P406" s="41">
        <v>1</v>
      </c>
      <c r="Q406" s="40">
        <v>2</v>
      </c>
      <c r="R406" s="40">
        <v>3</v>
      </c>
      <c r="S406" s="40">
        <v>2</v>
      </c>
      <c r="T406" s="40">
        <v>5</v>
      </c>
      <c r="U406" s="41">
        <v>3</v>
      </c>
      <c r="V406" s="40">
        <v>6</v>
      </c>
      <c r="W406" s="40">
        <v>5</v>
      </c>
      <c r="X406" s="40">
        <v>7</v>
      </c>
      <c r="Y406" s="41">
        <v>4</v>
      </c>
      <c r="Z406" s="40" t="s">
        <v>45</v>
      </c>
      <c r="AA406" s="40" t="s">
        <v>45</v>
      </c>
      <c r="AB406" s="40" t="s">
        <v>45</v>
      </c>
      <c r="AC406" s="40" t="s">
        <v>45</v>
      </c>
      <c r="AD406" s="40" t="s">
        <v>45</v>
      </c>
      <c r="AE406" s="40" t="s">
        <v>45</v>
      </c>
      <c r="AF406" s="40" t="s">
        <v>45</v>
      </c>
      <c r="AG406" s="41" t="s">
        <v>45</v>
      </c>
      <c r="AH406" s="40">
        <v>1</v>
      </c>
      <c r="AI406" s="40">
        <v>2</v>
      </c>
      <c r="AJ406" s="41">
        <v>1</v>
      </c>
      <c r="AK406" s="43" t="s">
        <v>45</v>
      </c>
      <c r="AL406" s="43" t="s">
        <v>103</v>
      </c>
      <c r="AM406" s="44">
        <f t="shared" si="53"/>
        <v>-1.4482470399631302</v>
      </c>
      <c r="AN406" s="44">
        <f t="shared" si="54"/>
        <v>-1.1377353806910979</v>
      </c>
      <c r="AO406" s="45">
        <f t="shared" si="55"/>
        <v>0</v>
      </c>
      <c r="AP406" s="46">
        <f t="shared" si="56"/>
        <v>0</v>
      </c>
      <c r="AQ406" s="44">
        <f>($AM$3*AM406+$AN$3*AN406+$AO$3*AO406+$AP$3*AP406)+$I$3*VLOOKUP(I406,COND!$A$2:$E$7,4,FALSE)+$J$3*VLOOKUP(J406,COND!$A$2:$C$7,2,FALSE)+$K$3*VLOOKUP(K406,COND!$A$2:$C$7,3,FALSE)+IF(AND($B$2&gt;0,$E406&lt;20),$B$2*25,0)</f>
        <v>30.902350727710513</v>
      </c>
      <c r="AR406" s="47">
        <f>STANDARDIZE(AQ406,AVERAGE($AQ$5:$AQ$459),STDEVP($AQ$5:$AQ$459))</f>
        <v>-1.7710086208420937</v>
      </c>
      <c r="AS406" s="45" t="str">
        <f t="shared" si="57"/>
        <v>DH</v>
      </c>
      <c r="AT406" s="45">
        <v>930</v>
      </c>
      <c r="AU406" s="45">
        <v>402</v>
      </c>
      <c r="AV406" s="45"/>
      <c r="AW406" s="45" t="str">
        <f t="shared" si="58"/>
        <v>Unlikely</v>
      </c>
      <c r="AX406" s="45"/>
      <c r="AY406" s="63" t="str">
        <f>INDEX(Table5[[#All],[Ovr]],MATCH(Batters[[#This Row],[PID]],Table5[[#All],[PID]],0))</f>
        <v/>
      </c>
      <c r="AZ406" s="63" t="str">
        <f>INDEX(Table5[[#All],[Rnd]],MATCH(Batters[[#This Row],[PID]],Table5[[#All],[PID]],0))</f>
        <v/>
      </c>
      <c r="BA406" s="63" t="str">
        <f>INDEX(Table5[[#All],[Pick]],MATCH(Batters[[#This Row],[PID]],Table5[[#All],[PID]],0))</f>
        <v/>
      </c>
      <c r="BB406" s="63" t="str">
        <f>INDEX(Table5[[#All],[Team]],MATCH(Batters[[#This Row],[PID]],Table5[[#All],[PID]],0))</f>
        <v/>
      </c>
    </row>
    <row r="407" spans="1:54" ht="15" customHeight="1" x14ac:dyDescent="0.3">
      <c r="A407" s="40">
        <v>14646</v>
      </c>
      <c r="B407" s="40" t="s">
        <v>86</v>
      </c>
      <c r="C407" s="40" t="s">
        <v>1233</v>
      </c>
      <c r="D407" s="40" t="s">
        <v>1234</v>
      </c>
      <c r="E407" s="40">
        <v>21</v>
      </c>
      <c r="F407" s="40" t="s">
        <v>42</v>
      </c>
      <c r="G407" s="40" t="s">
        <v>42</v>
      </c>
      <c r="H407" s="41" t="s">
        <v>552</v>
      </c>
      <c r="I407" s="64" t="s">
        <v>43</v>
      </c>
      <c r="J407" s="65" t="s">
        <v>44</v>
      </c>
      <c r="K407" s="66" t="s">
        <v>43</v>
      </c>
      <c r="L407" s="40">
        <v>1</v>
      </c>
      <c r="M407" s="40">
        <v>1</v>
      </c>
      <c r="N407" s="40">
        <v>2</v>
      </c>
      <c r="O407" s="40">
        <v>3</v>
      </c>
      <c r="P407" s="41">
        <v>1</v>
      </c>
      <c r="Q407" s="40">
        <v>2</v>
      </c>
      <c r="R407" s="40">
        <v>2</v>
      </c>
      <c r="S407" s="40">
        <v>2</v>
      </c>
      <c r="T407" s="40">
        <v>6</v>
      </c>
      <c r="U407" s="41">
        <v>2</v>
      </c>
      <c r="V407" s="40">
        <v>2</v>
      </c>
      <c r="W407" s="40">
        <v>2</v>
      </c>
      <c r="X407" s="40">
        <v>6</v>
      </c>
      <c r="Y407" s="41">
        <v>5</v>
      </c>
      <c r="Z407" s="40" t="s">
        <v>45</v>
      </c>
      <c r="AA407" s="40" t="s">
        <v>45</v>
      </c>
      <c r="AB407" s="40" t="s">
        <v>45</v>
      </c>
      <c r="AC407" s="40" t="s">
        <v>45</v>
      </c>
      <c r="AD407" s="40" t="s">
        <v>45</v>
      </c>
      <c r="AE407" s="40" t="s">
        <v>45</v>
      </c>
      <c r="AF407" s="40" t="s">
        <v>45</v>
      </c>
      <c r="AG407" s="41" t="s">
        <v>45</v>
      </c>
      <c r="AH407" s="40">
        <v>2</v>
      </c>
      <c r="AI407" s="40">
        <v>2</v>
      </c>
      <c r="AJ407" s="41">
        <v>3</v>
      </c>
      <c r="AK407" s="43" t="s">
        <v>45</v>
      </c>
      <c r="AL407" s="43" t="s">
        <v>103</v>
      </c>
      <c r="AM407" s="44">
        <f t="shared" si="53"/>
        <v>-1.8218627557845084</v>
      </c>
      <c r="AN407" s="44">
        <f t="shared" si="54"/>
        <v>-1.1391020501173037</v>
      </c>
      <c r="AO407" s="45">
        <f t="shared" si="55"/>
        <v>0</v>
      </c>
      <c r="AP407" s="46">
        <f t="shared" si="56"/>
        <v>0</v>
      </c>
      <c r="AQ407" s="44">
        <f>($AM$3*AM407+$AN$3*AN407+$AO$3*AO407+$AP$3*AP407)+$I$3*VLOOKUP(I407,COND!$A$2:$E$7,4,FALSE)+$J$3*VLOOKUP(J407,COND!$A$2:$C$7,2,FALSE)+$K$3*VLOOKUP(K407,COND!$A$2:$C$7,3,FALSE)+IF(AND($B$2&gt;0,$E407&lt;20),$B$2*25,0)</f>
        <v>30.848589123013902</v>
      </c>
      <c r="AR407" s="47">
        <f>STANDARDIZE(AQ407,AVERAGE($AQ$5:$AQ$459),STDEVP($AQ$5:$AQ$459))</f>
        <v>-1.7787921573858247</v>
      </c>
      <c r="AS407" s="45" t="str">
        <f t="shared" si="57"/>
        <v>DH</v>
      </c>
      <c r="AT407" s="45">
        <v>930</v>
      </c>
      <c r="AU407" s="45">
        <v>403</v>
      </c>
      <c r="AV407" s="45"/>
      <c r="AW407" s="45" t="str">
        <f t="shared" si="58"/>
        <v>Unlikely</v>
      </c>
      <c r="AX407" s="45"/>
      <c r="AY407" s="63" t="str">
        <f>INDEX(Table5[[#All],[Ovr]],MATCH(Batters[[#This Row],[PID]],Table5[[#All],[PID]],0))</f>
        <v/>
      </c>
      <c r="AZ407" s="63" t="str">
        <f>INDEX(Table5[[#All],[Rnd]],MATCH(Batters[[#This Row],[PID]],Table5[[#All],[PID]],0))</f>
        <v/>
      </c>
      <c r="BA407" s="63" t="str">
        <f>INDEX(Table5[[#All],[Pick]],MATCH(Batters[[#This Row],[PID]],Table5[[#All],[PID]],0))</f>
        <v/>
      </c>
      <c r="BB407" s="63" t="str">
        <f>INDEX(Table5[[#All],[Team]],MATCH(Batters[[#This Row],[PID]],Table5[[#All],[PID]],0))</f>
        <v/>
      </c>
    </row>
    <row r="408" spans="1:54" ht="15" customHeight="1" x14ac:dyDescent="0.3">
      <c r="A408" s="40">
        <v>20276</v>
      </c>
      <c r="B408" s="40" t="s">
        <v>87</v>
      </c>
      <c r="C408" s="40" t="s">
        <v>1320</v>
      </c>
      <c r="D408" s="40" t="s">
        <v>1321</v>
      </c>
      <c r="E408" s="40">
        <v>21</v>
      </c>
      <c r="F408" s="40" t="s">
        <v>42</v>
      </c>
      <c r="G408" s="40" t="s">
        <v>42</v>
      </c>
      <c r="H408" s="41" t="s">
        <v>561</v>
      </c>
      <c r="I408" s="64" t="s">
        <v>43</v>
      </c>
      <c r="J408" s="65" t="s">
        <v>44</v>
      </c>
      <c r="K408" s="66" t="s">
        <v>43</v>
      </c>
      <c r="L408" s="40">
        <v>2</v>
      </c>
      <c r="M408" s="40">
        <v>3</v>
      </c>
      <c r="N408" s="40">
        <v>2</v>
      </c>
      <c r="O408" s="40">
        <v>1</v>
      </c>
      <c r="P408" s="41">
        <v>3</v>
      </c>
      <c r="Q408" s="40">
        <v>3</v>
      </c>
      <c r="R408" s="40">
        <v>3</v>
      </c>
      <c r="S408" s="40">
        <v>2</v>
      </c>
      <c r="T408" s="40">
        <v>1</v>
      </c>
      <c r="U408" s="41">
        <v>4</v>
      </c>
      <c r="V408" s="40">
        <v>8</v>
      </c>
      <c r="W408" s="40">
        <v>2</v>
      </c>
      <c r="X408" s="40">
        <v>1</v>
      </c>
      <c r="Y408" s="41">
        <v>1</v>
      </c>
      <c r="Z408" s="40" t="s">
        <v>45</v>
      </c>
      <c r="AA408" s="40" t="s">
        <v>45</v>
      </c>
      <c r="AB408" s="40" t="s">
        <v>45</v>
      </c>
      <c r="AC408" s="40" t="s">
        <v>45</v>
      </c>
      <c r="AD408" s="40" t="s">
        <v>45</v>
      </c>
      <c r="AE408" s="40" t="s">
        <v>45</v>
      </c>
      <c r="AF408" s="40" t="s">
        <v>45</v>
      </c>
      <c r="AG408" s="41" t="s">
        <v>45</v>
      </c>
      <c r="AH408" s="40">
        <v>1</v>
      </c>
      <c r="AI408" s="40">
        <v>1</v>
      </c>
      <c r="AJ408" s="41">
        <v>1</v>
      </c>
      <c r="AK408" s="43" t="s">
        <v>45</v>
      </c>
      <c r="AL408" s="43" t="s">
        <v>103</v>
      </c>
      <c r="AM408" s="44">
        <f t="shared" si="53"/>
        <v>-1.496573580729422</v>
      </c>
      <c r="AN408" s="44">
        <f t="shared" si="54"/>
        <v>-1.1340014047096636</v>
      </c>
      <c r="AO408" s="45">
        <f t="shared" si="55"/>
        <v>0</v>
      </c>
      <c r="AP408" s="46">
        <f t="shared" si="56"/>
        <v>0</v>
      </c>
      <c r="AQ408" s="44">
        <f>($AM$3*AM408+$AN$3*AN408+$AO$3*AO408+$AP$3*AP408)+$I$3*VLOOKUP(I408,COND!$A$2:$E$7,4,FALSE)+$J$3*VLOOKUP(J408,COND!$A$2:$C$7,2,FALSE)+$K$3*VLOOKUP(K408,COND!$A$2:$C$7,3,FALSE)+IF(AND($B$2&gt;0,$E408&lt;20),$B$2*25,0)</f>
        <v>30.942325785411093</v>
      </c>
      <c r="AR408" s="47">
        <f t="shared" ref="AR408:AR445" si="59">STANDARDIZE(AQ408,AVERAGE($AQ$5:$AQ$442),STDEVP($AQ$5:$AQ$442))</f>
        <v>-1.7919285656374464</v>
      </c>
      <c r="AS408" s="45" t="str">
        <f t="shared" si="57"/>
        <v>DH</v>
      </c>
      <c r="AT408" s="45">
        <v>930</v>
      </c>
      <c r="AU408" s="45">
        <v>404</v>
      </c>
      <c r="AV408" s="45"/>
      <c r="AW408" s="45" t="str">
        <f t="shared" si="58"/>
        <v>Unlikely</v>
      </c>
      <c r="AX408" s="45"/>
      <c r="AY408" s="45" t="str">
        <f>INDEX(Table5[[#All],[Ovr]],MATCH(Batters[[#This Row],[PID]],Table5[[#All],[PID]],0))</f>
        <v/>
      </c>
      <c r="AZ408" s="45" t="str">
        <f>INDEX(Table5[[#All],[Rnd]],MATCH(Batters[[#This Row],[PID]],Table5[[#All],[PID]],0))</f>
        <v/>
      </c>
      <c r="BA408" s="45" t="str">
        <f>INDEX(Table5[[#All],[Pick]],MATCH(Batters[[#This Row],[PID]],Table5[[#All],[PID]],0))</f>
        <v/>
      </c>
      <c r="BB408" s="45" t="str">
        <f>INDEX(Table5[[#All],[Team]],MATCH(Batters[[#This Row],[PID]],Table5[[#All],[PID]],0))</f>
        <v/>
      </c>
    </row>
    <row r="409" spans="1:54" ht="15" customHeight="1" x14ac:dyDescent="0.3">
      <c r="A409" s="40">
        <v>12785</v>
      </c>
      <c r="B409" s="40" t="s">
        <v>87</v>
      </c>
      <c r="C409" s="40" t="s">
        <v>588</v>
      </c>
      <c r="D409" s="40" t="s">
        <v>1308</v>
      </c>
      <c r="E409" s="40">
        <v>21</v>
      </c>
      <c r="F409" s="40" t="s">
        <v>53</v>
      </c>
      <c r="G409" s="40" t="s">
        <v>53</v>
      </c>
      <c r="H409" s="41" t="s">
        <v>561</v>
      </c>
      <c r="I409" s="64" t="s">
        <v>43</v>
      </c>
      <c r="J409" s="65" t="s">
        <v>44</v>
      </c>
      <c r="K409" s="66" t="s">
        <v>43</v>
      </c>
      <c r="L409" s="40">
        <v>2</v>
      </c>
      <c r="M409" s="40">
        <v>1</v>
      </c>
      <c r="N409" s="40">
        <v>2</v>
      </c>
      <c r="O409" s="40">
        <v>1</v>
      </c>
      <c r="P409" s="41">
        <v>1</v>
      </c>
      <c r="Q409" s="40">
        <v>3</v>
      </c>
      <c r="R409" s="40">
        <v>2</v>
      </c>
      <c r="S409" s="40">
        <v>3</v>
      </c>
      <c r="T409" s="40">
        <v>1</v>
      </c>
      <c r="U409" s="41">
        <v>3</v>
      </c>
      <c r="V409" s="40">
        <v>6</v>
      </c>
      <c r="W409" s="40">
        <v>2</v>
      </c>
      <c r="X409" s="40">
        <v>1</v>
      </c>
      <c r="Y409" s="41">
        <v>1</v>
      </c>
      <c r="Z409" s="40" t="s">
        <v>45</v>
      </c>
      <c r="AA409" s="40">
        <v>1</v>
      </c>
      <c r="AB409" s="40" t="s">
        <v>45</v>
      </c>
      <c r="AC409" s="40" t="s">
        <v>45</v>
      </c>
      <c r="AD409" s="40" t="s">
        <v>45</v>
      </c>
      <c r="AE409" s="40" t="s">
        <v>45</v>
      </c>
      <c r="AF409" s="40" t="s">
        <v>45</v>
      </c>
      <c r="AG409" s="41" t="s">
        <v>45</v>
      </c>
      <c r="AH409" s="40">
        <v>1</v>
      </c>
      <c r="AI409" s="40">
        <v>1</v>
      </c>
      <c r="AJ409" s="41">
        <v>1</v>
      </c>
      <c r="AK409" s="43" t="s">
        <v>45</v>
      </c>
      <c r="AL409" s="43" t="s">
        <v>103</v>
      </c>
      <c r="AM409" s="44">
        <f t="shared" si="53"/>
        <v>-1.6787260196009959</v>
      </c>
      <c r="AN409" s="44">
        <f t="shared" si="54"/>
        <v>-1.1420161301215492</v>
      </c>
      <c r="AO409" s="45">
        <f t="shared" si="55"/>
        <v>0</v>
      </c>
      <c r="AP409" s="46">
        <f t="shared" si="56"/>
        <v>0</v>
      </c>
      <c r="AQ409" s="44">
        <f>($AM$3*AM409+$AN$3*AN409+$AO$3*AO409+$AP$3*AP409)+$I$3*VLOOKUP(I409,COND!$A$2:$E$7,4,FALSE)+$J$3*VLOOKUP(J409,COND!$A$2:$C$7,2,FALSE)+$K$3*VLOOKUP(K409,COND!$A$2:$C$7,3,FALSE)+IF(AND($B$2&gt;0,$E409&lt;20),$B$2*25,0)</f>
        <v>30.827933836581309</v>
      </c>
      <c r="AR409" s="47">
        <f t="shared" si="59"/>
        <v>-1.8086261421669838</v>
      </c>
      <c r="AS409" s="45" t="str">
        <f t="shared" si="57"/>
        <v>1B</v>
      </c>
      <c r="AT409" s="45">
        <v>930</v>
      </c>
      <c r="AU409" s="45">
        <v>405</v>
      </c>
      <c r="AV409" s="45"/>
      <c r="AW409" s="45" t="str">
        <f t="shared" si="58"/>
        <v>Unlikely</v>
      </c>
      <c r="AX409" s="45"/>
      <c r="AY409" s="45">
        <f>INDEX(Table5[[#All],[Ovr]],MATCH(Batters[[#This Row],[PID]],Table5[[#All],[PID]],0))</f>
        <v>646</v>
      </c>
      <c r="AZ409" s="45" t="str">
        <f>INDEX(Table5[[#All],[Rnd]],MATCH(Batters[[#This Row],[PID]],Table5[[#All],[PID]],0))</f>
        <v>20</v>
      </c>
      <c r="BA409" s="45">
        <f>INDEX(Table5[[#All],[Pick]],MATCH(Batters[[#This Row],[PID]],Table5[[#All],[PID]],0))</f>
        <v>9</v>
      </c>
      <c r="BB409" s="45" t="str">
        <f>INDEX(Table5[[#All],[Team]],MATCH(Batters[[#This Row],[PID]],Table5[[#All],[PID]],0))</f>
        <v>New Jersey Hitmen</v>
      </c>
    </row>
    <row r="410" spans="1:54" ht="15" customHeight="1" x14ac:dyDescent="0.3">
      <c r="A410" s="40">
        <v>5847</v>
      </c>
      <c r="B410" s="40" t="s">
        <v>87</v>
      </c>
      <c r="C410" s="40" t="s">
        <v>125</v>
      </c>
      <c r="D410" s="40" t="s">
        <v>880</v>
      </c>
      <c r="E410" s="40">
        <v>21</v>
      </c>
      <c r="F410" s="40" t="s">
        <v>53</v>
      </c>
      <c r="G410" s="40" t="s">
        <v>53</v>
      </c>
      <c r="H410" s="41" t="s">
        <v>561</v>
      </c>
      <c r="I410" s="64" t="s">
        <v>43</v>
      </c>
      <c r="J410" s="65" t="s">
        <v>44</v>
      </c>
      <c r="K410" s="66" t="s">
        <v>43</v>
      </c>
      <c r="L410" s="40">
        <v>2</v>
      </c>
      <c r="M410" s="40">
        <v>2</v>
      </c>
      <c r="N410" s="40">
        <v>2</v>
      </c>
      <c r="O410" s="40">
        <v>1</v>
      </c>
      <c r="P410" s="41">
        <v>1</v>
      </c>
      <c r="Q410" s="40">
        <v>3</v>
      </c>
      <c r="R410" s="40">
        <v>2</v>
      </c>
      <c r="S410" s="40">
        <v>2</v>
      </c>
      <c r="T410" s="40">
        <v>1</v>
      </c>
      <c r="U410" s="41">
        <v>3</v>
      </c>
      <c r="V410" s="40">
        <v>5</v>
      </c>
      <c r="W410" s="40">
        <v>1</v>
      </c>
      <c r="X410" s="40">
        <v>1</v>
      </c>
      <c r="Y410" s="41">
        <v>1</v>
      </c>
      <c r="Z410" s="40" t="s">
        <v>45</v>
      </c>
      <c r="AA410" s="40">
        <v>1</v>
      </c>
      <c r="AB410" s="40" t="s">
        <v>45</v>
      </c>
      <c r="AC410" s="40" t="s">
        <v>45</v>
      </c>
      <c r="AD410" s="40" t="s">
        <v>45</v>
      </c>
      <c r="AE410" s="40" t="s">
        <v>45</v>
      </c>
      <c r="AF410" s="40" t="s">
        <v>45</v>
      </c>
      <c r="AG410" s="41" t="s">
        <v>45</v>
      </c>
      <c r="AH410" s="40">
        <v>1</v>
      </c>
      <c r="AI410" s="40">
        <v>1</v>
      </c>
      <c r="AJ410" s="41">
        <v>1</v>
      </c>
      <c r="AK410" s="43" t="s">
        <v>45</v>
      </c>
      <c r="AL410" s="43" t="s">
        <v>103</v>
      </c>
      <c r="AM410" s="44">
        <f t="shared" si="53"/>
        <v>-1.6276661399822923</v>
      </c>
      <c r="AN410" s="44">
        <f t="shared" si="54"/>
        <v>-1.2250776241454506</v>
      </c>
      <c r="AO410" s="45">
        <f t="shared" si="55"/>
        <v>0</v>
      </c>
      <c r="AP410" s="46">
        <f t="shared" si="56"/>
        <v>0</v>
      </c>
      <c r="AQ410" s="44">
        <f>($AM$3*AM410+$AN$3*AN410+$AO$3*AO410+$AP$3*AP410)+$I$3*VLOOKUP(I410,COND!$A$2:$E$7,4,FALSE)+$J$3*VLOOKUP(J410,COND!$A$2:$C$7,2,FALSE)+$K$3*VLOOKUP(K410,COND!$A$2:$C$7,3,FALSE)+IF(AND($B$2&gt;0,$E410&lt;20),$B$2*25,0)</f>
        <v>29.836301896256362</v>
      </c>
      <c r="AR410" s="47">
        <f t="shared" si="59"/>
        <v>-1.9533727819619537</v>
      </c>
      <c r="AS410" s="45" t="str">
        <f t="shared" si="57"/>
        <v>1B</v>
      </c>
      <c r="AT410" s="45">
        <v>930</v>
      </c>
      <c r="AU410" s="45">
        <v>406</v>
      </c>
      <c r="AV410" s="45"/>
      <c r="AW410" s="45" t="str">
        <f t="shared" si="58"/>
        <v>Unlikely</v>
      </c>
      <c r="AX410" s="45"/>
      <c r="AY410" s="63">
        <f>INDEX(Table5[[#All],[Ovr]],MATCH(Batters[[#This Row],[PID]],Table5[[#All],[PID]],0))</f>
        <v>647</v>
      </c>
      <c r="AZ410" s="63" t="str">
        <f>INDEX(Table5[[#All],[Rnd]],MATCH(Batters[[#This Row],[PID]],Table5[[#All],[PID]],0))</f>
        <v>20</v>
      </c>
      <c r="BA410" s="63">
        <f>INDEX(Table5[[#All],[Pick]],MATCH(Batters[[#This Row],[PID]],Table5[[#All],[PID]],0))</f>
        <v>10</v>
      </c>
      <c r="BB410" s="63" t="str">
        <f>INDEX(Table5[[#All],[Team]],MATCH(Batters[[#This Row],[PID]],Table5[[#All],[PID]],0))</f>
        <v>London Underground</v>
      </c>
    </row>
    <row r="411" spans="1:54" ht="15" customHeight="1" x14ac:dyDescent="0.3">
      <c r="A411" s="40">
        <v>11262</v>
      </c>
      <c r="B411" s="40" t="s">
        <v>86</v>
      </c>
      <c r="C411" s="40" t="s">
        <v>137</v>
      </c>
      <c r="D411" s="40" t="s">
        <v>885</v>
      </c>
      <c r="E411" s="40">
        <v>17</v>
      </c>
      <c r="F411" s="40" t="s">
        <v>42</v>
      </c>
      <c r="G411" s="40" t="s">
        <v>42</v>
      </c>
      <c r="H411" s="41" t="s">
        <v>552</v>
      </c>
      <c r="I411" s="64" t="s">
        <v>43</v>
      </c>
      <c r="J411" s="65" t="s">
        <v>43</v>
      </c>
      <c r="K411" s="66" t="s">
        <v>44</v>
      </c>
      <c r="L411" s="40">
        <v>2</v>
      </c>
      <c r="M411" s="40">
        <v>3</v>
      </c>
      <c r="N411" s="40">
        <v>3</v>
      </c>
      <c r="O411" s="40">
        <v>1</v>
      </c>
      <c r="P411" s="41">
        <v>5</v>
      </c>
      <c r="Q411" s="40">
        <v>4</v>
      </c>
      <c r="R411" s="40">
        <v>6</v>
      </c>
      <c r="S411" s="40">
        <v>5</v>
      </c>
      <c r="T411" s="40">
        <v>2</v>
      </c>
      <c r="U411" s="41">
        <v>7</v>
      </c>
      <c r="V411" s="40">
        <v>2</v>
      </c>
      <c r="W411" s="40">
        <v>2</v>
      </c>
      <c r="X411" s="40">
        <v>3</v>
      </c>
      <c r="Y411" s="41">
        <v>2</v>
      </c>
      <c r="Z411" s="40" t="s">
        <v>45</v>
      </c>
      <c r="AA411" s="40" t="s">
        <v>45</v>
      </c>
      <c r="AB411" s="40" t="s">
        <v>45</v>
      </c>
      <c r="AC411" s="40" t="s">
        <v>45</v>
      </c>
      <c r="AD411" s="40" t="s">
        <v>45</v>
      </c>
      <c r="AE411" s="40" t="s">
        <v>45</v>
      </c>
      <c r="AF411" s="40" t="s">
        <v>45</v>
      </c>
      <c r="AG411" s="41" t="s">
        <v>45</v>
      </c>
      <c r="AH411" s="40">
        <v>1</v>
      </c>
      <c r="AI411" s="40">
        <v>1</v>
      </c>
      <c r="AJ411" s="41">
        <v>1</v>
      </c>
      <c r="AK411" s="43" t="s">
        <v>558</v>
      </c>
      <c r="AL411" s="43" t="s">
        <v>103</v>
      </c>
      <c r="AM411" s="44">
        <f t="shared" si="53"/>
        <v>-1.3334794070713536</v>
      </c>
      <c r="AN411" s="44">
        <f t="shared" si="54"/>
        <v>-0.19932287811834262</v>
      </c>
      <c r="AO411" s="45">
        <f t="shared" si="55"/>
        <v>0</v>
      </c>
      <c r="AP411" s="46">
        <f t="shared" si="56"/>
        <v>0</v>
      </c>
      <c r="AQ411" s="44">
        <f>($AM$3*AM411+$AN$3*AN411+$AO$3*AO411+$AP$3*AP411)+$I$3*VLOOKUP(I411,COND!$A$2:$E$7,4,FALSE)+$J$3*VLOOKUP(J411,COND!$A$2:$C$7,2,FALSE)+$K$3*VLOOKUP(K411,COND!$A$2:$C$7,3,FALSE)+IF(AND($B$2&gt;0,$E411&lt;20),$B$2*25,0)</f>
        <v>47.174777521872755</v>
      </c>
      <c r="AR411" s="47">
        <f t="shared" si="59"/>
        <v>0.57749172927249171</v>
      </c>
      <c r="AS411" s="45" t="str">
        <f t="shared" si="57"/>
        <v>DH</v>
      </c>
      <c r="AT411" s="45">
        <v>940</v>
      </c>
      <c r="AU411" s="45">
        <v>407</v>
      </c>
      <c r="AV411" s="45"/>
      <c r="AW411" s="45" t="str">
        <f t="shared" si="58"/>
        <v>Unlikely</v>
      </c>
      <c r="AX411" s="45"/>
      <c r="AY411" s="45">
        <f>INDEX(Table5[[#All],[Ovr]],MATCH(Batters[[#This Row],[PID]],Table5[[#All],[PID]],0))</f>
        <v>306</v>
      </c>
      <c r="AZ411" s="45" t="str">
        <f>INDEX(Table5[[#All],[Rnd]],MATCH(Batters[[#This Row],[PID]],Table5[[#All],[PID]],0))</f>
        <v>10</v>
      </c>
      <c r="BA411" s="45">
        <f>INDEX(Table5[[#All],[Pick]],MATCH(Batters[[#This Row],[PID]],Table5[[#All],[PID]],0))</f>
        <v>9</v>
      </c>
      <c r="BB411" s="45" t="str">
        <f>INDEX(Table5[[#All],[Team]],MATCH(Batters[[#This Row],[PID]],Table5[[#All],[PID]],0))</f>
        <v>New Jersey Hitmen</v>
      </c>
    </row>
    <row r="412" spans="1:54" ht="15" customHeight="1" x14ac:dyDescent="0.3">
      <c r="A412" s="40">
        <v>13129</v>
      </c>
      <c r="B412" s="40" t="s">
        <v>69</v>
      </c>
      <c r="C412" s="40" t="s">
        <v>817</v>
      </c>
      <c r="D412" s="40" t="s">
        <v>1190</v>
      </c>
      <c r="E412" s="40">
        <v>17</v>
      </c>
      <c r="F412" s="40" t="s">
        <v>42</v>
      </c>
      <c r="G412" s="40" t="s">
        <v>42</v>
      </c>
      <c r="H412" s="41" t="s">
        <v>552</v>
      </c>
      <c r="I412" s="64" t="s">
        <v>43</v>
      </c>
      <c r="J412" s="65" t="s">
        <v>43</v>
      </c>
      <c r="K412" s="66" t="s">
        <v>44</v>
      </c>
      <c r="L412" s="40">
        <v>1</v>
      </c>
      <c r="M412" s="40">
        <v>3</v>
      </c>
      <c r="N412" s="40">
        <v>2</v>
      </c>
      <c r="O412" s="40">
        <v>3</v>
      </c>
      <c r="P412" s="41">
        <v>2</v>
      </c>
      <c r="Q412" s="40">
        <v>4</v>
      </c>
      <c r="R412" s="40">
        <v>4</v>
      </c>
      <c r="S412" s="40">
        <v>2</v>
      </c>
      <c r="T412" s="40">
        <v>5</v>
      </c>
      <c r="U412" s="41">
        <v>6</v>
      </c>
      <c r="V412" s="40">
        <v>8</v>
      </c>
      <c r="W412" s="40">
        <v>8</v>
      </c>
      <c r="X412" s="40">
        <v>2</v>
      </c>
      <c r="Y412" s="41">
        <v>1</v>
      </c>
      <c r="Z412" s="40" t="s">
        <v>45</v>
      </c>
      <c r="AA412" s="40" t="s">
        <v>45</v>
      </c>
      <c r="AB412" s="40" t="s">
        <v>45</v>
      </c>
      <c r="AC412" s="40">
        <v>2</v>
      </c>
      <c r="AD412" s="40" t="s">
        <v>45</v>
      </c>
      <c r="AE412" s="40" t="s">
        <v>45</v>
      </c>
      <c r="AF412" s="40" t="s">
        <v>45</v>
      </c>
      <c r="AG412" s="41" t="s">
        <v>45</v>
      </c>
      <c r="AH412" s="40">
        <v>1</v>
      </c>
      <c r="AI412" s="40">
        <v>4</v>
      </c>
      <c r="AJ412" s="41">
        <v>1</v>
      </c>
      <c r="AK412" s="43" t="s">
        <v>504</v>
      </c>
      <c r="AL412" s="43" t="s">
        <v>103</v>
      </c>
      <c r="AM412" s="44">
        <f t="shared" si="53"/>
        <v>-1.6797266567300178</v>
      </c>
      <c r="AN412" s="44">
        <f t="shared" si="54"/>
        <v>-0.32151480921579445</v>
      </c>
      <c r="AO412" s="45">
        <f t="shared" si="55"/>
        <v>0</v>
      </c>
      <c r="AP412" s="46">
        <f t="shared" si="56"/>
        <v>0</v>
      </c>
      <c r="AQ412" s="44">
        <f>($AM$3*AM412+$AN$3*AN412+$AO$3*AO412+$AP$3*AP412)+$I$3*VLOOKUP(I412,COND!$A$2:$E$7,4,FALSE)+$J$3*VLOOKUP(J412,COND!$A$2:$C$7,2,FALSE)+$K$3*VLOOKUP(K412,COND!$A$2:$C$7,3,FALSE)+IF(AND($B$2&gt;0,$E412&lt;20),$B$2*25,0)</f>
        <v>45.673849623737468</v>
      </c>
      <c r="AR412" s="47">
        <f t="shared" si="59"/>
        <v>0.35840412126501064</v>
      </c>
      <c r="AS412" s="45" t="str">
        <f t="shared" si="57"/>
        <v>3B</v>
      </c>
      <c r="AT412" s="45">
        <v>940</v>
      </c>
      <c r="AU412" s="45">
        <v>408</v>
      </c>
      <c r="AV412" s="45"/>
      <c r="AW412" s="45" t="str">
        <f t="shared" si="58"/>
        <v>Unlikely</v>
      </c>
      <c r="AX412" s="45"/>
      <c r="AY412" s="45">
        <f>INDEX(Table5[[#All],[Ovr]],MATCH(Batters[[#This Row],[PID]],Table5[[#All],[PID]],0))</f>
        <v>336</v>
      </c>
      <c r="AZ412" s="45" t="str">
        <f>INDEX(Table5[[#All],[Rnd]],MATCH(Batters[[#This Row],[PID]],Table5[[#All],[PID]],0))</f>
        <v>11</v>
      </c>
      <c r="BA412" s="45">
        <f>INDEX(Table5[[#All],[Pick]],MATCH(Batters[[#This Row],[PID]],Table5[[#All],[PID]],0))</f>
        <v>5</v>
      </c>
      <c r="BB412" s="45" t="str">
        <f>INDEX(Table5[[#All],[Team]],MATCH(Batters[[#This Row],[PID]],Table5[[#All],[PID]],0))</f>
        <v>Tempe Knights</v>
      </c>
    </row>
    <row r="413" spans="1:54" ht="15" customHeight="1" x14ac:dyDescent="0.3">
      <c r="A413" s="40">
        <v>12846</v>
      </c>
      <c r="B413" s="40" t="s">
        <v>87</v>
      </c>
      <c r="C413" s="40" t="s">
        <v>1273</v>
      </c>
      <c r="D413" s="40" t="s">
        <v>1274</v>
      </c>
      <c r="E413" s="40">
        <v>17</v>
      </c>
      <c r="F413" s="40" t="s">
        <v>62</v>
      </c>
      <c r="G413" s="40" t="s">
        <v>42</v>
      </c>
      <c r="H413" s="41" t="s">
        <v>552</v>
      </c>
      <c r="I413" s="64" t="s">
        <v>43</v>
      </c>
      <c r="J413" s="65" t="s">
        <v>43</v>
      </c>
      <c r="K413" s="66" t="s">
        <v>44</v>
      </c>
      <c r="L413" s="40">
        <v>1</v>
      </c>
      <c r="M413" s="40">
        <v>3</v>
      </c>
      <c r="N413" s="40">
        <v>2</v>
      </c>
      <c r="O413" s="40">
        <v>3</v>
      </c>
      <c r="P413" s="41">
        <v>4</v>
      </c>
      <c r="Q413" s="40">
        <v>4</v>
      </c>
      <c r="R413" s="40">
        <v>3</v>
      </c>
      <c r="S413" s="40">
        <v>3</v>
      </c>
      <c r="T413" s="40">
        <v>5</v>
      </c>
      <c r="U413" s="41">
        <v>5</v>
      </c>
      <c r="V413" s="40">
        <v>3</v>
      </c>
      <c r="W413" s="40">
        <v>1</v>
      </c>
      <c r="X413" s="40">
        <v>1</v>
      </c>
      <c r="Y413" s="41">
        <v>1</v>
      </c>
      <c r="Z413" s="40" t="s">
        <v>45</v>
      </c>
      <c r="AA413" s="40">
        <v>3</v>
      </c>
      <c r="AB413" s="40">
        <v>3</v>
      </c>
      <c r="AC413" s="40" t="s">
        <v>45</v>
      </c>
      <c r="AD413" s="40" t="s">
        <v>45</v>
      </c>
      <c r="AE413" s="40" t="s">
        <v>45</v>
      </c>
      <c r="AF413" s="40" t="s">
        <v>45</v>
      </c>
      <c r="AG413" s="41" t="s">
        <v>45</v>
      </c>
      <c r="AH413" s="40">
        <v>3</v>
      </c>
      <c r="AI413" s="40">
        <v>7</v>
      </c>
      <c r="AJ413" s="41">
        <v>5</v>
      </c>
      <c r="AK413" s="43" t="s">
        <v>572</v>
      </c>
      <c r="AL413" s="43" t="s">
        <v>103</v>
      </c>
      <c r="AM413" s="44">
        <f t="shared" si="53"/>
        <v>-1.5996939770958509</v>
      </c>
      <c r="AN413" s="44">
        <f t="shared" si="54"/>
        <v>-0.32952953462767981</v>
      </c>
      <c r="AO413" s="45">
        <f t="shared" si="55"/>
        <v>0</v>
      </c>
      <c r="AP413" s="46">
        <f t="shared" si="56"/>
        <v>0</v>
      </c>
      <c r="AQ413" s="44">
        <f>($AM$3*AM413+$AN$3*AN413+$AO$3*AO413+$AP$3*AP413)+$I$3*VLOOKUP(I413,COND!$A$2:$E$7,4,FALSE)+$J$3*VLOOKUP(J413,COND!$A$2:$C$7,2,FALSE)+$K$3*VLOOKUP(K413,COND!$A$2:$C$7,3,FALSE)+IF(AND($B$2&gt;0,$E413&lt;20),$B$2*25,0)</f>
        <v>45.585676186758256</v>
      </c>
      <c r="AR413" s="47">
        <f t="shared" si="59"/>
        <v>0.34553361134806287</v>
      </c>
      <c r="AS413" s="45" t="str">
        <f t="shared" si="57"/>
        <v>2B</v>
      </c>
      <c r="AT413" s="45">
        <v>940</v>
      </c>
      <c r="AU413" s="45">
        <v>409</v>
      </c>
      <c r="AV413" s="45"/>
      <c r="AW413" s="45" t="str">
        <f t="shared" si="58"/>
        <v>Unlikely</v>
      </c>
      <c r="AX413" s="45"/>
      <c r="AY413" s="45">
        <f>INDEX(Table5[[#All],[Ovr]],MATCH(Batters[[#This Row],[PID]],Table5[[#All],[PID]],0))</f>
        <v>631</v>
      </c>
      <c r="AZ413" s="45" t="str">
        <f>INDEX(Table5[[#All],[Rnd]],MATCH(Batters[[#This Row],[PID]],Table5[[#All],[PID]],0))</f>
        <v>19</v>
      </c>
      <c r="BA413" s="45">
        <f>INDEX(Table5[[#All],[Pick]],MATCH(Batters[[#This Row],[PID]],Table5[[#All],[PID]],0))</f>
        <v>28</v>
      </c>
      <c r="BB413" s="45" t="str">
        <f>INDEX(Table5[[#All],[Team]],MATCH(Batters[[#This Row],[PID]],Table5[[#All],[PID]],0))</f>
        <v>Amsterdam Lions</v>
      </c>
    </row>
    <row r="414" spans="1:54" ht="15" customHeight="1" x14ac:dyDescent="0.3">
      <c r="A414" s="40">
        <v>20765</v>
      </c>
      <c r="B414" s="40" t="s">
        <v>87</v>
      </c>
      <c r="C414" s="40" t="s">
        <v>364</v>
      </c>
      <c r="D414" s="40" t="s">
        <v>765</v>
      </c>
      <c r="E414" s="40">
        <v>16</v>
      </c>
      <c r="F414" s="40" t="s">
        <v>42</v>
      </c>
      <c r="G414" s="40" t="s">
        <v>42</v>
      </c>
      <c r="H414" s="41" t="s">
        <v>552</v>
      </c>
      <c r="I414" s="64" t="s">
        <v>47</v>
      </c>
      <c r="J414" s="65" t="s">
        <v>43</v>
      </c>
      <c r="K414" s="66" t="s">
        <v>44</v>
      </c>
      <c r="L414" s="40">
        <v>1</v>
      </c>
      <c r="M414" s="40">
        <v>1</v>
      </c>
      <c r="N414" s="40">
        <v>2</v>
      </c>
      <c r="O414" s="40">
        <v>2</v>
      </c>
      <c r="P414" s="41">
        <v>1</v>
      </c>
      <c r="Q414" s="40">
        <v>3</v>
      </c>
      <c r="R414" s="40">
        <v>3</v>
      </c>
      <c r="S414" s="40">
        <v>6</v>
      </c>
      <c r="T414" s="40">
        <v>6</v>
      </c>
      <c r="U414" s="41">
        <v>2</v>
      </c>
      <c r="V414" s="40">
        <v>2</v>
      </c>
      <c r="W414" s="40">
        <v>2</v>
      </c>
      <c r="X414" s="40">
        <v>1</v>
      </c>
      <c r="Y414" s="41">
        <v>1</v>
      </c>
      <c r="Z414" s="40" t="s">
        <v>45</v>
      </c>
      <c r="AA414" s="40">
        <v>1</v>
      </c>
      <c r="AB414" s="40" t="s">
        <v>45</v>
      </c>
      <c r="AC414" s="40" t="s">
        <v>45</v>
      </c>
      <c r="AD414" s="40" t="s">
        <v>45</v>
      </c>
      <c r="AE414" s="40" t="s">
        <v>45</v>
      </c>
      <c r="AF414" s="40" t="s">
        <v>45</v>
      </c>
      <c r="AG414" s="41" t="s">
        <v>45</v>
      </c>
      <c r="AH414" s="40">
        <v>1</v>
      </c>
      <c r="AI414" s="40">
        <v>1</v>
      </c>
      <c r="AJ414" s="41">
        <v>1</v>
      </c>
      <c r="AK414" s="43" t="s">
        <v>558</v>
      </c>
      <c r="AL414" s="43" t="s">
        <v>103</v>
      </c>
      <c r="AM414" s="44">
        <f t="shared" si="53"/>
        <v>-1.9115723057940897</v>
      </c>
      <c r="AN414" s="44">
        <f t="shared" si="54"/>
        <v>-0.43324035820031942</v>
      </c>
      <c r="AO414" s="45">
        <f t="shared" si="55"/>
        <v>0</v>
      </c>
      <c r="AP414" s="46">
        <f t="shared" si="56"/>
        <v>0</v>
      </c>
      <c r="AQ414" s="44">
        <f>($AM$3*AM414+$AN$3*AN414+$AO$3*AO414+$AP$3*AP414)+$I$3*VLOOKUP(I414,COND!$A$2:$E$7,4,FALSE)+$J$3*VLOOKUP(J414,COND!$A$2:$C$7,2,FALSE)+$K$3*VLOOKUP(K414,COND!$A$2:$C$7,3,FALSE)+IF(AND($B$2&gt;0,$E414&lt;20),$B$2*25,0)</f>
        <v>44.534958471016751</v>
      </c>
      <c r="AR414" s="47">
        <f t="shared" si="59"/>
        <v>0.19216233260850171</v>
      </c>
      <c r="AS414" s="45" t="str">
        <f t="shared" si="57"/>
        <v>1B</v>
      </c>
      <c r="AT414" s="45">
        <v>940</v>
      </c>
      <c r="AU414" s="45">
        <v>410</v>
      </c>
      <c r="AV414" s="45"/>
      <c r="AW414" s="45" t="str">
        <f t="shared" si="58"/>
        <v>Unlikely</v>
      </c>
      <c r="AX414" s="45"/>
      <c r="AY414" s="63">
        <f>INDEX(Table5[[#All],[Ovr]],MATCH(Batters[[#This Row],[PID]],Table5[[#All],[PID]],0))</f>
        <v>537</v>
      </c>
      <c r="AZ414" s="63" t="str">
        <f>INDEX(Table5[[#All],[Rnd]],MATCH(Batters[[#This Row],[PID]],Table5[[#All],[PID]],0))</f>
        <v>17</v>
      </c>
      <c r="BA414" s="63">
        <f>INDEX(Table5[[#All],[Pick]],MATCH(Batters[[#This Row],[PID]],Table5[[#All],[PID]],0))</f>
        <v>2</v>
      </c>
      <c r="BB414" s="63" t="str">
        <f>INDEX(Table5[[#All],[Team]],MATCH(Batters[[#This Row],[PID]],Table5[[#All],[PID]],0))</f>
        <v>Charleston Statesmen</v>
      </c>
    </row>
    <row r="415" spans="1:54" ht="15" customHeight="1" x14ac:dyDescent="0.3">
      <c r="A415" s="40">
        <v>9997</v>
      </c>
      <c r="B415" s="40" t="s">
        <v>86</v>
      </c>
      <c r="C415" s="40" t="s">
        <v>1260</v>
      </c>
      <c r="D415" s="40" t="s">
        <v>1261</v>
      </c>
      <c r="E415" s="40">
        <v>17</v>
      </c>
      <c r="F415" s="40" t="s">
        <v>42</v>
      </c>
      <c r="G415" s="40" t="s">
        <v>42</v>
      </c>
      <c r="H415" s="41" t="s">
        <v>552</v>
      </c>
      <c r="I415" s="64" t="s">
        <v>44</v>
      </c>
      <c r="J415" s="65" t="s">
        <v>43</v>
      </c>
      <c r="K415" s="66" t="s">
        <v>44</v>
      </c>
      <c r="L415" s="40">
        <v>1</v>
      </c>
      <c r="M415" s="40">
        <v>4</v>
      </c>
      <c r="N415" s="40">
        <v>2</v>
      </c>
      <c r="O415" s="40">
        <v>3</v>
      </c>
      <c r="P415" s="41">
        <v>1</v>
      </c>
      <c r="Q415" s="40">
        <v>3</v>
      </c>
      <c r="R415" s="40">
        <v>6</v>
      </c>
      <c r="S415" s="40">
        <v>4</v>
      </c>
      <c r="T415" s="40">
        <v>5</v>
      </c>
      <c r="U415" s="41">
        <v>2</v>
      </c>
      <c r="V415" s="40">
        <v>2</v>
      </c>
      <c r="W415" s="40">
        <v>3</v>
      </c>
      <c r="X415" s="40">
        <v>4</v>
      </c>
      <c r="Y415" s="41">
        <v>4</v>
      </c>
      <c r="Z415" s="40" t="s">
        <v>45</v>
      </c>
      <c r="AA415" s="40" t="s">
        <v>45</v>
      </c>
      <c r="AB415" s="40" t="s">
        <v>45</v>
      </c>
      <c r="AC415" s="40" t="s">
        <v>45</v>
      </c>
      <c r="AD415" s="40" t="s">
        <v>45</v>
      </c>
      <c r="AE415" s="40" t="s">
        <v>45</v>
      </c>
      <c r="AF415" s="40" t="s">
        <v>45</v>
      </c>
      <c r="AG415" s="41" t="s">
        <v>45</v>
      </c>
      <c r="AH415" s="40">
        <v>1</v>
      </c>
      <c r="AI415" s="40">
        <v>1</v>
      </c>
      <c r="AJ415" s="41">
        <v>1</v>
      </c>
      <c r="AK415" s="43" t="s">
        <v>558</v>
      </c>
      <c r="AL415" s="43" t="s">
        <v>103</v>
      </c>
      <c r="AM415" s="44">
        <f t="shared" si="53"/>
        <v>-1.6686831169283978</v>
      </c>
      <c r="AN415" s="44">
        <f t="shared" si="54"/>
        <v>-0.53589325740159288</v>
      </c>
      <c r="AO415" s="45">
        <f t="shared" si="55"/>
        <v>0</v>
      </c>
      <c r="AP415" s="46">
        <f t="shared" si="56"/>
        <v>0</v>
      </c>
      <c r="AQ415" s="44">
        <f>($AM$3*AM415+$AN$3*AN415+$AO$3*AO415+$AP$3*AP415)+$I$3*VLOOKUP(I415,COND!$A$2:$E$7,4,FALSE)+$J$3*VLOOKUP(J415,COND!$A$2:$C$7,2,FALSE)+$K$3*VLOOKUP(K415,COND!$A$2:$C$7,3,FALSE)+IF(AND($B$2&gt;0,$E415&lt;20),$B$2*25,0)</f>
        <v>42.952412599488042</v>
      </c>
      <c r="AR415" s="47">
        <f t="shared" si="59"/>
        <v>-3.8838896688448442E-2</v>
      </c>
      <c r="AS415" s="45" t="str">
        <f t="shared" si="57"/>
        <v>DH</v>
      </c>
      <c r="AT415" s="45">
        <v>940</v>
      </c>
      <c r="AU415" s="45">
        <v>411</v>
      </c>
      <c r="AV415" s="45"/>
      <c r="AW415" s="45" t="str">
        <f t="shared" si="58"/>
        <v>Unlikely</v>
      </c>
      <c r="AX415" s="45"/>
      <c r="AY415" s="45" t="str">
        <f>INDEX(Table5[[#All],[Ovr]],MATCH(Batters[[#This Row],[PID]],Table5[[#All],[PID]],0))</f>
        <v/>
      </c>
      <c r="AZ415" s="45" t="str">
        <f>INDEX(Table5[[#All],[Rnd]],MATCH(Batters[[#This Row],[PID]],Table5[[#All],[PID]],0))</f>
        <v/>
      </c>
      <c r="BA415" s="45" t="str">
        <f>INDEX(Table5[[#All],[Pick]],MATCH(Batters[[#This Row],[PID]],Table5[[#All],[PID]],0))</f>
        <v/>
      </c>
      <c r="BB415" s="45" t="str">
        <f>INDEX(Table5[[#All],[Team]],MATCH(Batters[[#This Row],[PID]],Table5[[#All],[PID]],0))</f>
        <v/>
      </c>
    </row>
    <row r="416" spans="1:54" ht="15" customHeight="1" x14ac:dyDescent="0.3">
      <c r="A416" s="40">
        <v>20766</v>
      </c>
      <c r="B416" s="40" t="s">
        <v>71</v>
      </c>
      <c r="C416" s="40" t="s">
        <v>341</v>
      </c>
      <c r="D416" s="40" t="s">
        <v>1169</v>
      </c>
      <c r="E416" s="40">
        <v>17</v>
      </c>
      <c r="F416" s="40" t="s">
        <v>42</v>
      </c>
      <c r="G416" s="40" t="s">
        <v>42</v>
      </c>
      <c r="H416" s="41" t="s">
        <v>552</v>
      </c>
      <c r="I416" s="64" t="s">
        <v>43</v>
      </c>
      <c r="J416" s="65" t="s">
        <v>43</v>
      </c>
      <c r="K416" s="66" t="s">
        <v>44</v>
      </c>
      <c r="L416" s="40">
        <v>1</v>
      </c>
      <c r="M416" s="40">
        <v>2</v>
      </c>
      <c r="N416" s="40">
        <v>2</v>
      </c>
      <c r="O416" s="40">
        <v>3</v>
      </c>
      <c r="P416" s="41">
        <v>1</v>
      </c>
      <c r="Q416" s="40">
        <v>3</v>
      </c>
      <c r="R416" s="40">
        <v>4</v>
      </c>
      <c r="S416" s="40">
        <v>3</v>
      </c>
      <c r="T416" s="40">
        <v>6</v>
      </c>
      <c r="U416" s="41">
        <v>4</v>
      </c>
      <c r="V416" s="40">
        <v>4</v>
      </c>
      <c r="W416" s="40">
        <v>3</v>
      </c>
      <c r="X416" s="40">
        <v>1</v>
      </c>
      <c r="Y416" s="41">
        <v>1</v>
      </c>
      <c r="Z416" s="40" t="s">
        <v>45</v>
      </c>
      <c r="AA416" s="40" t="s">
        <v>45</v>
      </c>
      <c r="AB416" s="40">
        <v>1</v>
      </c>
      <c r="AC416" s="40" t="s">
        <v>45</v>
      </c>
      <c r="AD416" s="40" t="s">
        <v>45</v>
      </c>
      <c r="AE416" s="40" t="s">
        <v>45</v>
      </c>
      <c r="AF416" s="40" t="s">
        <v>45</v>
      </c>
      <c r="AG416" s="41" t="s">
        <v>45</v>
      </c>
      <c r="AH416" s="40">
        <v>6</v>
      </c>
      <c r="AI416" s="40">
        <v>4</v>
      </c>
      <c r="AJ416" s="41">
        <v>3</v>
      </c>
      <c r="AK416" s="43" t="s">
        <v>571</v>
      </c>
      <c r="AL416" s="43" t="s">
        <v>103</v>
      </c>
      <c r="AM416" s="44">
        <f t="shared" si="53"/>
        <v>-1.7708028761658048</v>
      </c>
      <c r="AN416" s="44">
        <f t="shared" si="54"/>
        <v>-0.55133228101915355</v>
      </c>
      <c r="AO416" s="45">
        <f t="shared" si="55"/>
        <v>0</v>
      </c>
      <c r="AP416" s="46">
        <f t="shared" si="56"/>
        <v>0</v>
      </c>
      <c r="AQ416" s="44">
        <f>($AM$3*AM416+$AN$3*AN416+$AO$3*AO416+$AP$3*AP416)+$I$3*VLOOKUP(I416,COND!$A$2:$E$7,4,FALSE)+$J$3*VLOOKUP(J416,COND!$A$2:$C$7,2,FALSE)+$K$3*VLOOKUP(K416,COND!$A$2:$C$7,3,FALSE)+IF(AND($B$2&gt;0,$E416&lt;20),$B$2*25,0)</f>
        <v>42.906932340153574</v>
      </c>
      <c r="AR416" s="47">
        <f t="shared" si="59"/>
        <v>-4.5477564169762986E-2</v>
      </c>
      <c r="AS416" s="45" t="str">
        <f t="shared" si="57"/>
        <v>2B</v>
      </c>
      <c r="AT416" s="45">
        <v>940</v>
      </c>
      <c r="AU416" s="45">
        <v>412</v>
      </c>
      <c r="AV416" s="45"/>
      <c r="AW416" s="45" t="str">
        <f t="shared" si="58"/>
        <v>Unlikely</v>
      </c>
      <c r="AX416" s="45"/>
      <c r="AY416" s="45">
        <f>INDEX(Table5[[#All],[Ovr]],MATCH(Batters[[#This Row],[PID]],Table5[[#All],[PID]],0))</f>
        <v>484</v>
      </c>
      <c r="AZ416" s="45" t="str">
        <f>INDEX(Table5[[#All],[Rnd]],MATCH(Batters[[#This Row],[PID]],Table5[[#All],[PID]],0))</f>
        <v>15</v>
      </c>
      <c r="BA416" s="45">
        <f>INDEX(Table5[[#All],[Pick]],MATCH(Batters[[#This Row],[PID]],Table5[[#All],[PID]],0))</f>
        <v>17</v>
      </c>
      <c r="BB416" s="45" t="str">
        <f>INDEX(Table5[[#All],[Team]],MATCH(Batters[[#This Row],[PID]],Table5[[#All],[PID]],0))</f>
        <v>Duluth Warriors</v>
      </c>
    </row>
    <row r="417" spans="1:54" ht="15" customHeight="1" x14ac:dyDescent="0.3">
      <c r="A417" s="40">
        <v>7170</v>
      </c>
      <c r="B417" s="40" t="s">
        <v>86</v>
      </c>
      <c r="C417" s="40" t="s">
        <v>155</v>
      </c>
      <c r="D417" s="40" t="s">
        <v>1076</v>
      </c>
      <c r="E417" s="40">
        <v>21</v>
      </c>
      <c r="F417" s="40" t="s">
        <v>53</v>
      </c>
      <c r="G417" s="40" t="s">
        <v>42</v>
      </c>
      <c r="H417" s="41" t="s">
        <v>550</v>
      </c>
      <c r="I417" s="64" t="s">
        <v>43</v>
      </c>
      <c r="J417" s="65" t="s">
        <v>43</v>
      </c>
      <c r="K417" s="66" t="s">
        <v>44</v>
      </c>
      <c r="L417" s="40">
        <v>1</v>
      </c>
      <c r="M417" s="40">
        <v>3</v>
      </c>
      <c r="N417" s="40">
        <v>2</v>
      </c>
      <c r="O417" s="40">
        <v>2</v>
      </c>
      <c r="P417" s="41">
        <v>2</v>
      </c>
      <c r="Q417" s="40">
        <v>4</v>
      </c>
      <c r="R417" s="40">
        <v>5</v>
      </c>
      <c r="S417" s="40">
        <v>4</v>
      </c>
      <c r="T417" s="40">
        <v>4</v>
      </c>
      <c r="U417" s="41">
        <v>5</v>
      </c>
      <c r="V417" s="40">
        <v>1</v>
      </c>
      <c r="W417" s="40">
        <v>1</v>
      </c>
      <c r="X417" s="40">
        <v>4</v>
      </c>
      <c r="Y417" s="41">
        <v>7</v>
      </c>
      <c r="Z417" s="40" t="s">
        <v>45</v>
      </c>
      <c r="AA417" s="40" t="s">
        <v>45</v>
      </c>
      <c r="AB417" s="40" t="s">
        <v>45</v>
      </c>
      <c r="AC417" s="40" t="s">
        <v>45</v>
      </c>
      <c r="AD417" s="40" t="s">
        <v>45</v>
      </c>
      <c r="AE417" s="40" t="s">
        <v>45</v>
      </c>
      <c r="AF417" s="40" t="s">
        <v>45</v>
      </c>
      <c r="AG417" s="41" t="s">
        <v>45</v>
      </c>
      <c r="AH417" s="40">
        <v>1</v>
      </c>
      <c r="AI417" s="40">
        <v>1</v>
      </c>
      <c r="AJ417" s="41">
        <v>1</v>
      </c>
      <c r="AK417" s="43" t="s">
        <v>490</v>
      </c>
      <c r="AL417" s="43" t="s">
        <v>103</v>
      </c>
      <c r="AM417" s="44">
        <f t="shared" si="53"/>
        <v>-1.7694362067395988</v>
      </c>
      <c r="AN417" s="44">
        <f t="shared" si="54"/>
        <v>-0.2340578313759524</v>
      </c>
      <c r="AO417" s="45">
        <f t="shared" si="55"/>
        <v>0</v>
      </c>
      <c r="AP417" s="46">
        <f t="shared" si="56"/>
        <v>0</v>
      </c>
      <c r="AQ417" s="44">
        <f>($AM$3*AM417+$AN$3*AN417+$AO$3*AO417+$AP$3*AP417)+$I$3*VLOOKUP(I417,COND!$A$2:$E$7,4,FALSE)+$J$3*VLOOKUP(J417,COND!$A$2:$C$7,2,FALSE)+$K$3*VLOOKUP(K417,COND!$A$2:$C$7,3,FALSE)+IF(AND($B$2&gt;0,$E417&lt;20),$B$2*25,0)</f>
        <v>41.714362402814615</v>
      </c>
      <c r="AR417" s="47">
        <f t="shared" si="59"/>
        <v>-0.21955474354515331</v>
      </c>
      <c r="AS417" s="45" t="str">
        <f t="shared" si="57"/>
        <v>DH</v>
      </c>
      <c r="AT417" s="45">
        <v>940</v>
      </c>
      <c r="AU417" s="45">
        <v>413</v>
      </c>
      <c r="AV417" s="45"/>
      <c r="AW417" s="45" t="str">
        <f t="shared" si="58"/>
        <v>Unlikely</v>
      </c>
      <c r="AX417" s="45"/>
      <c r="AY417" s="45">
        <f>INDEX(Table5[[#All],[Ovr]],MATCH(Batters[[#This Row],[PID]],Table5[[#All],[PID]],0))</f>
        <v>127</v>
      </c>
      <c r="AZ417" s="45" t="str">
        <f>INDEX(Table5[[#All],[Rnd]],MATCH(Batters[[#This Row],[PID]],Table5[[#All],[PID]],0))</f>
        <v>4</v>
      </c>
      <c r="BA417" s="45">
        <f>INDEX(Table5[[#All],[Pick]],MATCH(Batters[[#This Row],[PID]],Table5[[#All],[PID]],0))</f>
        <v>22</v>
      </c>
      <c r="BB417" s="45" t="str">
        <f>INDEX(Table5[[#All],[Team]],MATCH(Batters[[#This Row],[PID]],Table5[[#All],[PID]],0))</f>
        <v>Bakersfield Bears</v>
      </c>
    </row>
    <row r="418" spans="1:54" ht="15" customHeight="1" x14ac:dyDescent="0.3">
      <c r="A418" s="40">
        <v>7914</v>
      </c>
      <c r="B418" s="40" t="s">
        <v>86</v>
      </c>
      <c r="C418" s="40" t="s">
        <v>362</v>
      </c>
      <c r="D418" s="40" t="s">
        <v>1049</v>
      </c>
      <c r="E418" s="40">
        <v>21</v>
      </c>
      <c r="F418" s="40" t="s">
        <v>42</v>
      </c>
      <c r="G418" s="40" t="s">
        <v>42</v>
      </c>
      <c r="H418" s="41" t="s">
        <v>550</v>
      </c>
      <c r="I418" s="64" t="s">
        <v>43</v>
      </c>
      <c r="J418" s="65" t="s">
        <v>43</v>
      </c>
      <c r="K418" s="66" t="s">
        <v>44</v>
      </c>
      <c r="L418" s="40">
        <v>2</v>
      </c>
      <c r="M418" s="40">
        <v>4</v>
      </c>
      <c r="N418" s="40">
        <v>6</v>
      </c>
      <c r="O418" s="40">
        <v>4</v>
      </c>
      <c r="P418" s="41">
        <v>1</v>
      </c>
      <c r="Q418" s="40">
        <v>3</v>
      </c>
      <c r="R418" s="40">
        <v>5</v>
      </c>
      <c r="S418" s="40">
        <v>7</v>
      </c>
      <c r="T418" s="40">
        <v>5</v>
      </c>
      <c r="U418" s="41">
        <v>2</v>
      </c>
      <c r="V418" s="40">
        <v>3</v>
      </c>
      <c r="W418" s="40">
        <v>3</v>
      </c>
      <c r="X418" s="40">
        <v>6</v>
      </c>
      <c r="Y418" s="41">
        <v>6</v>
      </c>
      <c r="Z418" s="40">
        <v>2</v>
      </c>
      <c r="AA418" s="40" t="s">
        <v>45</v>
      </c>
      <c r="AB418" s="40" t="s">
        <v>45</v>
      </c>
      <c r="AC418" s="40" t="s">
        <v>45</v>
      </c>
      <c r="AD418" s="40" t="s">
        <v>45</v>
      </c>
      <c r="AE418" s="40" t="s">
        <v>45</v>
      </c>
      <c r="AF418" s="40" t="s">
        <v>45</v>
      </c>
      <c r="AG418" s="41" t="s">
        <v>45</v>
      </c>
      <c r="AH418" s="40">
        <v>1</v>
      </c>
      <c r="AI418" s="40">
        <v>2</v>
      </c>
      <c r="AJ418" s="41">
        <v>1</v>
      </c>
      <c r="AK418" s="43" t="s">
        <v>568</v>
      </c>
      <c r="AL418" s="43" t="s">
        <v>103</v>
      </c>
      <c r="AM418" s="44">
        <f t="shared" si="53"/>
        <v>-0.92417175462053625</v>
      </c>
      <c r="AN418" s="44">
        <f t="shared" si="54"/>
        <v>-0.33776865494859198</v>
      </c>
      <c r="AO418" s="45">
        <f t="shared" si="55"/>
        <v>0</v>
      </c>
      <c r="AP418" s="46">
        <f t="shared" si="56"/>
        <v>1.1000000000000001</v>
      </c>
      <c r="AQ418" s="44">
        <f>($AM$3*AM418+$AN$3*AN418+$AO$3*AO418+$AP$3*AP418)+$I$3*VLOOKUP(I418,COND!$A$2:$E$7,4,FALSE)+$J$3*VLOOKUP(J418,COND!$A$2:$C$7,2,FALSE)+$K$3*VLOOKUP(K418,COND!$A$2:$C$7,3,FALSE)+IF(AND($B$2&gt;0,$E418&lt;20),$B$2*25,0)</f>
        <v>41.654358965154842</v>
      </c>
      <c r="AR418" s="47">
        <f t="shared" si="59"/>
        <v>-0.22831333191268116</v>
      </c>
      <c r="AS418" s="45" t="str">
        <f t="shared" si="57"/>
        <v>C</v>
      </c>
      <c r="AT418" s="45">
        <v>940</v>
      </c>
      <c r="AU418" s="45">
        <v>414</v>
      </c>
      <c r="AV418" s="45"/>
      <c r="AW418" s="45" t="str">
        <f t="shared" si="58"/>
        <v>Unlikely</v>
      </c>
      <c r="AX418" s="45"/>
      <c r="AY418" s="45">
        <f>INDEX(Table5[[#All],[Ovr]],MATCH(Batters[[#This Row],[PID]],Table5[[#All],[PID]],0))</f>
        <v>156</v>
      </c>
      <c r="AZ418" s="45" t="str">
        <f>INDEX(Table5[[#All],[Rnd]],MATCH(Batters[[#This Row],[PID]],Table5[[#All],[PID]],0))</f>
        <v>5</v>
      </c>
      <c r="BA418" s="45">
        <f>INDEX(Table5[[#All],[Pick]],MATCH(Batters[[#This Row],[PID]],Table5[[#All],[PID]],0))</f>
        <v>19</v>
      </c>
      <c r="BB418" s="45" t="str">
        <f>INDEX(Table5[[#All],[Team]],MATCH(Batters[[#This Row],[PID]],Table5[[#All],[PID]],0))</f>
        <v>Fargo Dinosaurs</v>
      </c>
    </row>
    <row r="419" spans="1:54" ht="15" customHeight="1" x14ac:dyDescent="0.3">
      <c r="A419" s="40">
        <v>5780</v>
      </c>
      <c r="B419" s="40" t="s">
        <v>66</v>
      </c>
      <c r="C419" s="40" t="s">
        <v>180</v>
      </c>
      <c r="D419" s="40" t="s">
        <v>574</v>
      </c>
      <c r="E419" s="40">
        <v>21</v>
      </c>
      <c r="F419" s="40" t="s">
        <v>42</v>
      </c>
      <c r="G419" s="40" t="s">
        <v>53</v>
      </c>
      <c r="H419" s="41" t="s">
        <v>552</v>
      </c>
      <c r="I419" s="64" t="s">
        <v>43</v>
      </c>
      <c r="J419" s="65" t="s">
        <v>43</v>
      </c>
      <c r="K419" s="66" t="s">
        <v>44</v>
      </c>
      <c r="L419" s="40">
        <v>2</v>
      </c>
      <c r="M419" s="40">
        <v>2</v>
      </c>
      <c r="N419" s="40">
        <v>3</v>
      </c>
      <c r="O419" s="40">
        <v>4</v>
      </c>
      <c r="P419" s="41">
        <v>1</v>
      </c>
      <c r="Q419" s="40">
        <v>4</v>
      </c>
      <c r="R419" s="40">
        <v>3</v>
      </c>
      <c r="S419" s="40">
        <v>4</v>
      </c>
      <c r="T419" s="40">
        <v>5</v>
      </c>
      <c r="U419" s="41">
        <v>4</v>
      </c>
      <c r="V419" s="40">
        <v>6</v>
      </c>
      <c r="W419" s="40">
        <v>9</v>
      </c>
      <c r="X419" s="40">
        <v>1</v>
      </c>
      <c r="Y419" s="41">
        <v>1</v>
      </c>
      <c r="Z419" s="40" t="s">
        <v>45</v>
      </c>
      <c r="AA419" s="40" t="s">
        <v>45</v>
      </c>
      <c r="AB419" s="40" t="s">
        <v>45</v>
      </c>
      <c r="AC419" s="40" t="s">
        <v>45</v>
      </c>
      <c r="AD419" s="40" t="s">
        <v>45</v>
      </c>
      <c r="AE419" s="40">
        <v>2</v>
      </c>
      <c r="AF419" s="40" t="s">
        <v>45</v>
      </c>
      <c r="AG419" s="41">
        <v>4</v>
      </c>
      <c r="AH419" s="40">
        <v>2</v>
      </c>
      <c r="AI419" s="40">
        <v>8</v>
      </c>
      <c r="AJ419" s="41">
        <v>10</v>
      </c>
      <c r="AK419" s="43" t="s">
        <v>557</v>
      </c>
      <c r="AL419" s="43" t="s">
        <v>103</v>
      </c>
      <c r="AM419" s="44">
        <f t="shared" si="53"/>
        <v>-1.2754759959296478</v>
      </c>
      <c r="AN419" s="44">
        <f t="shared" si="54"/>
        <v>-0.28648438042086183</v>
      </c>
      <c r="AO419" s="45">
        <f t="shared" si="55"/>
        <v>3</v>
      </c>
      <c r="AP419" s="46">
        <f t="shared" si="56"/>
        <v>0</v>
      </c>
      <c r="AQ419" s="44">
        <f>($AM$3*AM419+$AN$3*AN419+$AO$3*AO419+$AP$3*AP419)+$I$3*VLOOKUP(I419,COND!$A$2:$E$7,4,FALSE)+$J$3*VLOOKUP(J419,COND!$A$2:$C$7,2,FALSE)+$K$3*VLOOKUP(K419,COND!$A$2:$C$7,3,FALSE)+IF(AND($B$2&gt;0,$E419&lt;20),$B$2*25,0)</f>
        <v>41.634639835356694</v>
      </c>
      <c r="AR419" s="47">
        <f t="shared" si="59"/>
        <v>-0.23119169601320358</v>
      </c>
      <c r="AS419" s="45" t="str">
        <f t="shared" si="57"/>
        <v>RF</v>
      </c>
      <c r="AT419" s="45">
        <v>940</v>
      </c>
      <c r="AU419" s="45">
        <v>415</v>
      </c>
      <c r="AV419" s="45"/>
      <c r="AW419" s="45" t="str">
        <f t="shared" si="58"/>
        <v>Unlikely</v>
      </c>
      <c r="AX419" s="45"/>
      <c r="AY419" s="45">
        <f>INDEX(Table5[[#All],[Ovr]],MATCH(Batters[[#This Row],[PID]],Table5[[#All],[PID]],0))</f>
        <v>273</v>
      </c>
      <c r="AZ419" s="45" t="str">
        <f>INDEX(Table5[[#All],[Rnd]],MATCH(Batters[[#This Row],[PID]],Table5[[#All],[PID]],0))</f>
        <v>9</v>
      </c>
      <c r="BA419" s="45">
        <f>INDEX(Table5[[#All],[Pick]],MATCH(Batters[[#This Row],[PID]],Table5[[#All],[PID]],0))</f>
        <v>8</v>
      </c>
      <c r="BB419" s="45" t="str">
        <f>INDEX(Table5[[#All],[Team]],MATCH(Batters[[#This Row],[PID]],Table5[[#All],[PID]],0))</f>
        <v>Gloucester Fishermen</v>
      </c>
    </row>
    <row r="420" spans="1:54" ht="15" customHeight="1" x14ac:dyDescent="0.3">
      <c r="A420" s="40">
        <v>14788</v>
      </c>
      <c r="B420" s="40" t="s">
        <v>66</v>
      </c>
      <c r="C420" s="40" t="s">
        <v>768</v>
      </c>
      <c r="D420" s="40" t="s">
        <v>610</v>
      </c>
      <c r="E420" s="40">
        <v>21</v>
      </c>
      <c r="F420" s="40" t="s">
        <v>53</v>
      </c>
      <c r="G420" s="40" t="s">
        <v>53</v>
      </c>
      <c r="H420" s="41" t="s">
        <v>552</v>
      </c>
      <c r="I420" s="64" t="s">
        <v>43</v>
      </c>
      <c r="J420" s="65" t="s">
        <v>43</v>
      </c>
      <c r="K420" s="66" t="s">
        <v>44</v>
      </c>
      <c r="L420" s="40">
        <v>2</v>
      </c>
      <c r="M420" s="40">
        <v>3</v>
      </c>
      <c r="N420" s="40">
        <v>2</v>
      </c>
      <c r="O420" s="40">
        <v>4</v>
      </c>
      <c r="P420" s="41">
        <v>2</v>
      </c>
      <c r="Q420" s="40">
        <v>4</v>
      </c>
      <c r="R420" s="40">
        <v>5</v>
      </c>
      <c r="S420" s="40">
        <v>2</v>
      </c>
      <c r="T420" s="40">
        <v>5</v>
      </c>
      <c r="U420" s="41">
        <v>4</v>
      </c>
      <c r="V420" s="40">
        <v>4</v>
      </c>
      <c r="W420" s="40">
        <v>7</v>
      </c>
      <c r="X420" s="40">
        <v>1</v>
      </c>
      <c r="Y420" s="41">
        <v>1</v>
      </c>
      <c r="Z420" s="40" t="s">
        <v>45</v>
      </c>
      <c r="AA420" s="40" t="s">
        <v>45</v>
      </c>
      <c r="AB420" s="40" t="s">
        <v>45</v>
      </c>
      <c r="AC420" s="40" t="s">
        <v>45</v>
      </c>
      <c r="AD420" s="40" t="s">
        <v>45</v>
      </c>
      <c r="AE420" s="40" t="s">
        <v>45</v>
      </c>
      <c r="AF420" s="40">
        <v>4</v>
      </c>
      <c r="AG420" s="41">
        <v>6</v>
      </c>
      <c r="AH420" s="40">
        <v>8</v>
      </c>
      <c r="AI420" s="40">
        <v>6</v>
      </c>
      <c r="AJ420" s="41">
        <v>4</v>
      </c>
      <c r="AK420" s="43" t="s">
        <v>45</v>
      </c>
      <c r="AL420" s="43" t="s">
        <v>103</v>
      </c>
      <c r="AM420" s="44">
        <f t="shared" si="53"/>
        <v>-1.2674612705177621</v>
      </c>
      <c r="AN420" s="44">
        <f t="shared" si="54"/>
        <v>-0.35048760923125782</v>
      </c>
      <c r="AO420" s="45">
        <f t="shared" si="55"/>
        <v>1</v>
      </c>
      <c r="AP420" s="46">
        <f t="shared" si="56"/>
        <v>0.5</v>
      </c>
      <c r="AQ420" s="44">
        <f>($AM$3*AM420+$AN$3*AN420+$AO$3*AO420+$AP$3*AP420)+$I$3*VLOOKUP(I420,COND!$A$2:$E$7,4,FALSE)+$J$3*VLOOKUP(J420,COND!$A$2:$C$7,2,FALSE)+$K$3*VLOOKUP(K420,COND!$A$2:$C$7,3,FALSE)+IF(AND($B$2&gt;0,$E420&lt;20),$B$2*25,0)</f>
        <v>41.034069228839797</v>
      </c>
      <c r="AR420" s="47">
        <f t="shared" si="59"/>
        <v>-0.3188558521561185</v>
      </c>
      <c r="AS420" s="45" t="str">
        <f t="shared" si="57"/>
        <v>RF</v>
      </c>
      <c r="AT420" s="45">
        <v>940</v>
      </c>
      <c r="AU420" s="45">
        <v>416</v>
      </c>
      <c r="AV420" s="45"/>
      <c r="AW420" s="45" t="str">
        <f t="shared" si="58"/>
        <v>Unlikely</v>
      </c>
      <c r="AX420" s="45"/>
      <c r="AY420" s="45">
        <f>INDEX(Table5[[#All],[Ovr]],MATCH(Batters[[#This Row],[PID]],Table5[[#All],[PID]],0))</f>
        <v>207</v>
      </c>
      <c r="AZ420" s="45" t="str">
        <f>INDEX(Table5[[#All],[Rnd]],MATCH(Batters[[#This Row],[PID]],Table5[[#All],[PID]],0))</f>
        <v>7</v>
      </c>
      <c r="BA420" s="45">
        <f>INDEX(Table5[[#All],[Pick]],MATCH(Batters[[#This Row],[PID]],Table5[[#All],[PID]],0))</f>
        <v>6</v>
      </c>
      <c r="BB420" s="45" t="str">
        <f>INDEX(Table5[[#All],[Team]],MATCH(Batters[[#This Row],[PID]],Table5[[#All],[PID]],0))</f>
        <v>New Orleans Trendsetters</v>
      </c>
    </row>
    <row r="421" spans="1:54" ht="15" customHeight="1" x14ac:dyDescent="0.3">
      <c r="A421" s="40">
        <v>10228</v>
      </c>
      <c r="B421" s="40" t="s">
        <v>86</v>
      </c>
      <c r="C421" s="40" t="s">
        <v>1149</v>
      </c>
      <c r="D421" s="40" t="s">
        <v>1150</v>
      </c>
      <c r="E421" s="40">
        <v>18</v>
      </c>
      <c r="F421" s="40" t="s">
        <v>42</v>
      </c>
      <c r="G421" s="40" t="s">
        <v>42</v>
      </c>
      <c r="H421" s="41" t="s">
        <v>552</v>
      </c>
      <c r="I421" s="64" t="s">
        <v>43</v>
      </c>
      <c r="J421" s="65" t="s">
        <v>43</v>
      </c>
      <c r="K421" s="66" t="s">
        <v>44</v>
      </c>
      <c r="L421" s="40">
        <v>1</v>
      </c>
      <c r="M421" s="40">
        <v>1</v>
      </c>
      <c r="N421" s="40">
        <v>2</v>
      </c>
      <c r="O421" s="40">
        <v>2</v>
      </c>
      <c r="P421" s="41">
        <v>1</v>
      </c>
      <c r="Q421" s="40">
        <v>3</v>
      </c>
      <c r="R421" s="40">
        <v>3</v>
      </c>
      <c r="S421" s="40">
        <v>2</v>
      </c>
      <c r="T421" s="40">
        <v>5</v>
      </c>
      <c r="U421" s="41">
        <v>4</v>
      </c>
      <c r="V421" s="40">
        <v>2</v>
      </c>
      <c r="W421" s="40">
        <v>2</v>
      </c>
      <c r="X421" s="40">
        <v>4</v>
      </c>
      <c r="Y421" s="41">
        <v>6</v>
      </c>
      <c r="Z421" s="40" t="s">
        <v>45</v>
      </c>
      <c r="AA421" s="40" t="s">
        <v>45</v>
      </c>
      <c r="AB421" s="40" t="s">
        <v>45</v>
      </c>
      <c r="AC421" s="40" t="s">
        <v>45</v>
      </c>
      <c r="AD421" s="40" t="s">
        <v>45</v>
      </c>
      <c r="AE421" s="40" t="s">
        <v>45</v>
      </c>
      <c r="AF421" s="40" t="s">
        <v>45</v>
      </c>
      <c r="AG421" s="41" t="s">
        <v>45</v>
      </c>
      <c r="AH421" s="40">
        <v>1</v>
      </c>
      <c r="AI421" s="40">
        <v>1</v>
      </c>
      <c r="AJ421" s="41">
        <v>1</v>
      </c>
      <c r="AK421" s="43" t="s">
        <v>493</v>
      </c>
      <c r="AL421" s="43" t="s">
        <v>103</v>
      </c>
      <c r="AM421" s="44">
        <f t="shared" si="53"/>
        <v>-1.9115723057940897</v>
      </c>
      <c r="AN421" s="44">
        <f t="shared" si="54"/>
        <v>-0.77516320467133948</v>
      </c>
      <c r="AO421" s="45">
        <f t="shared" si="55"/>
        <v>0</v>
      </c>
      <c r="AP421" s="46">
        <f t="shared" si="56"/>
        <v>0</v>
      </c>
      <c r="AQ421" s="44">
        <f>($AM$3*AM421+$AN$3*AN421+$AO$3*AO421+$AP$3*AP421)+$I$3*VLOOKUP(I421,COND!$A$2:$E$7,4,FALSE)+$J$3*VLOOKUP(J421,COND!$A$2:$C$7,2,FALSE)+$K$3*VLOOKUP(K421,COND!$A$2:$C$7,3,FALSE)+IF(AND($B$2&gt;0,$E421&lt;20),$B$2*25,0)</f>
        <v>40.206884313364512</v>
      </c>
      <c r="AR421" s="47">
        <f t="shared" si="59"/>
        <v>-0.43959847059668511</v>
      </c>
      <c r="AS421" s="45" t="str">
        <f t="shared" si="57"/>
        <v>DH</v>
      </c>
      <c r="AT421" s="45">
        <v>940</v>
      </c>
      <c r="AU421" s="45">
        <v>417</v>
      </c>
      <c r="AV421" s="45"/>
      <c r="AW421" s="45" t="str">
        <f t="shared" si="58"/>
        <v>Unlikely</v>
      </c>
      <c r="AX421" s="45"/>
      <c r="AY421" s="45" t="str">
        <f>INDEX(Table5[[#All],[Ovr]],MATCH(Batters[[#This Row],[PID]],Table5[[#All],[PID]],0))</f>
        <v/>
      </c>
      <c r="AZ421" s="45" t="str">
        <f>INDEX(Table5[[#All],[Rnd]],MATCH(Batters[[#This Row],[PID]],Table5[[#All],[PID]],0))</f>
        <v/>
      </c>
      <c r="BA421" s="45" t="str">
        <f>INDEX(Table5[[#All],[Pick]],MATCH(Batters[[#This Row],[PID]],Table5[[#All],[PID]],0))</f>
        <v/>
      </c>
      <c r="BB421" s="45" t="str">
        <f>INDEX(Table5[[#All],[Team]],MATCH(Batters[[#This Row],[PID]],Table5[[#All],[PID]],0))</f>
        <v/>
      </c>
    </row>
    <row r="422" spans="1:54" ht="15" customHeight="1" x14ac:dyDescent="0.3">
      <c r="A422" s="40">
        <v>17046</v>
      </c>
      <c r="B422" s="40" t="s">
        <v>86</v>
      </c>
      <c r="C422" s="40" t="s">
        <v>812</v>
      </c>
      <c r="D422" s="40" t="s">
        <v>813</v>
      </c>
      <c r="E422" s="40">
        <v>22</v>
      </c>
      <c r="F422" s="40" t="s">
        <v>42</v>
      </c>
      <c r="G422" s="40" t="s">
        <v>42</v>
      </c>
      <c r="H422" s="41" t="s">
        <v>552</v>
      </c>
      <c r="I422" s="64" t="s">
        <v>43</v>
      </c>
      <c r="J422" s="65" t="s">
        <v>43</v>
      </c>
      <c r="K422" s="66" t="s">
        <v>44</v>
      </c>
      <c r="L422" s="40">
        <v>2</v>
      </c>
      <c r="M422" s="40">
        <v>4</v>
      </c>
      <c r="N422" s="40">
        <v>3</v>
      </c>
      <c r="O422" s="40">
        <v>3</v>
      </c>
      <c r="P422" s="41">
        <v>2</v>
      </c>
      <c r="Q422" s="40">
        <v>3</v>
      </c>
      <c r="R422" s="40">
        <v>5</v>
      </c>
      <c r="S422" s="40">
        <v>4</v>
      </c>
      <c r="T422" s="40">
        <v>5</v>
      </c>
      <c r="U422" s="41">
        <v>4</v>
      </c>
      <c r="V422" s="40">
        <v>2</v>
      </c>
      <c r="W422" s="40">
        <v>3</v>
      </c>
      <c r="X422" s="40">
        <v>4</v>
      </c>
      <c r="Y422" s="41">
        <v>6</v>
      </c>
      <c r="Z422" s="40">
        <v>2</v>
      </c>
      <c r="AA422" s="40" t="s">
        <v>45</v>
      </c>
      <c r="AB422" s="40" t="s">
        <v>45</v>
      </c>
      <c r="AC422" s="40" t="s">
        <v>45</v>
      </c>
      <c r="AD422" s="40" t="s">
        <v>45</v>
      </c>
      <c r="AE422" s="40" t="s">
        <v>45</v>
      </c>
      <c r="AF422" s="40" t="s">
        <v>45</v>
      </c>
      <c r="AG422" s="41" t="s">
        <v>45</v>
      </c>
      <c r="AH422" s="40">
        <v>1</v>
      </c>
      <c r="AI422" s="40">
        <v>1</v>
      </c>
      <c r="AJ422" s="41">
        <v>1</v>
      </c>
      <c r="AK422" s="43" t="s">
        <v>557</v>
      </c>
      <c r="AL422" s="43" t="s">
        <v>103</v>
      </c>
      <c r="AM422" s="44">
        <f t="shared" si="53"/>
        <v>-1.2230494468847384</v>
      </c>
      <c r="AN422" s="44">
        <f t="shared" si="54"/>
        <v>-0.50692045738612956</v>
      </c>
      <c r="AO422" s="45">
        <f t="shared" si="55"/>
        <v>0</v>
      </c>
      <c r="AP422" s="46">
        <f t="shared" si="56"/>
        <v>0</v>
      </c>
      <c r="AQ422" s="44">
        <f>($AM$3*AM422+$AN$3*AN422+$AO$3*AO422+$AP$3*AP422)+$I$3*VLOOKUP(I422,COND!$A$2:$E$7,4,FALSE)+$J$3*VLOOKUP(J422,COND!$A$2:$C$7,2,FALSE)+$K$3*VLOOKUP(K422,COND!$A$2:$C$7,3,FALSE)+IF(AND($B$2&gt;0,$E422&lt;20),$B$2*25,0)</f>
        <v>38.494649566677971</v>
      </c>
      <c r="AR422" s="47">
        <f t="shared" si="59"/>
        <v>-0.68953013984268952</v>
      </c>
      <c r="AS422" s="45" t="str">
        <f t="shared" si="57"/>
        <v>C</v>
      </c>
      <c r="AT422" s="45">
        <v>940</v>
      </c>
      <c r="AU422" s="45">
        <v>418</v>
      </c>
      <c r="AV422" s="45"/>
      <c r="AW422" s="45" t="str">
        <f t="shared" si="58"/>
        <v>Unlikely</v>
      </c>
      <c r="AX422" s="45"/>
      <c r="AY422" s="45">
        <f>INDEX(Table5[[#All],[Ovr]],MATCH(Batters[[#This Row],[PID]],Table5[[#All],[PID]],0))</f>
        <v>409</v>
      </c>
      <c r="AZ422" s="45" t="str">
        <f>INDEX(Table5[[#All],[Rnd]],MATCH(Batters[[#This Row],[PID]],Table5[[#All],[PID]],0))</f>
        <v>13</v>
      </c>
      <c r="BA422" s="45">
        <f>INDEX(Table5[[#All],[Pick]],MATCH(Batters[[#This Row],[PID]],Table5[[#All],[PID]],0))</f>
        <v>10</v>
      </c>
      <c r="BB422" s="45" t="str">
        <f>INDEX(Table5[[#All],[Team]],MATCH(Batters[[#This Row],[PID]],Table5[[#All],[PID]],0))</f>
        <v>London Underground</v>
      </c>
    </row>
    <row r="423" spans="1:54" ht="15" customHeight="1" x14ac:dyDescent="0.3">
      <c r="A423" s="40">
        <v>10553</v>
      </c>
      <c r="B423" s="40" t="s">
        <v>86</v>
      </c>
      <c r="C423" s="40" t="s">
        <v>905</v>
      </c>
      <c r="D423" s="40" t="s">
        <v>1231</v>
      </c>
      <c r="E423" s="40">
        <v>21</v>
      </c>
      <c r="F423" s="40" t="s">
        <v>42</v>
      </c>
      <c r="G423" s="40" t="s">
        <v>42</v>
      </c>
      <c r="H423" s="41" t="s">
        <v>552</v>
      </c>
      <c r="I423" s="64" t="s">
        <v>43</v>
      </c>
      <c r="J423" s="65" t="s">
        <v>43</v>
      </c>
      <c r="K423" s="66" t="s">
        <v>44</v>
      </c>
      <c r="L423" s="40">
        <v>2</v>
      </c>
      <c r="M423" s="40">
        <v>2</v>
      </c>
      <c r="N423" s="40">
        <v>2</v>
      </c>
      <c r="O423" s="40">
        <v>4</v>
      </c>
      <c r="P423" s="41">
        <v>1</v>
      </c>
      <c r="Q423" s="40">
        <v>3</v>
      </c>
      <c r="R423" s="40">
        <v>3</v>
      </c>
      <c r="S423" s="40">
        <v>3</v>
      </c>
      <c r="T423" s="40">
        <v>6</v>
      </c>
      <c r="U423" s="41">
        <v>3</v>
      </c>
      <c r="V423" s="40">
        <v>3</v>
      </c>
      <c r="W423" s="40">
        <v>3</v>
      </c>
      <c r="X423" s="40">
        <v>5</v>
      </c>
      <c r="Y423" s="41">
        <v>7</v>
      </c>
      <c r="Z423" s="40" t="s">
        <v>45</v>
      </c>
      <c r="AA423" s="40" t="s">
        <v>45</v>
      </c>
      <c r="AB423" s="40" t="s">
        <v>45</v>
      </c>
      <c r="AC423" s="40" t="s">
        <v>45</v>
      </c>
      <c r="AD423" s="40" t="s">
        <v>45</v>
      </c>
      <c r="AE423" s="40" t="s">
        <v>45</v>
      </c>
      <c r="AF423" s="40" t="s">
        <v>45</v>
      </c>
      <c r="AG423" s="41" t="s">
        <v>45</v>
      </c>
      <c r="AH423" s="40">
        <v>1</v>
      </c>
      <c r="AI423" s="40">
        <v>2</v>
      </c>
      <c r="AJ423" s="41">
        <v>3</v>
      </c>
      <c r="AK423" s="43" t="s">
        <v>504</v>
      </c>
      <c r="AL423" s="43" t="s">
        <v>103</v>
      </c>
      <c r="AM423" s="44">
        <f t="shared" si="53"/>
        <v>-1.3585374899535492</v>
      </c>
      <c r="AN423" s="44">
        <f t="shared" si="54"/>
        <v>-0.64240850045494047</v>
      </c>
      <c r="AO423" s="45">
        <f t="shared" si="55"/>
        <v>0</v>
      </c>
      <c r="AP423" s="46">
        <f t="shared" si="56"/>
        <v>0</v>
      </c>
      <c r="AQ423" s="44">
        <f>($AM$3*AM423+$AN$3*AN423+$AO$3*AO423+$AP$3*AP423)+$I$3*VLOOKUP(I423,COND!$A$2:$E$7,4,FALSE)+$J$3*VLOOKUP(J423,COND!$A$2:$C$7,2,FALSE)+$K$3*VLOOKUP(K423,COND!$A$2:$C$7,3,FALSE)+IF(AND($B$2&gt;0,$E423&lt;20),$B$2*25,0)</f>
        <v>36.855244245545364</v>
      </c>
      <c r="AR423" s="47">
        <f t="shared" si="59"/>
        <v>-0.92883103551389823</v>
      </c>
      <c r="AS423" s="45" t="str">
        <f t="shared" si="57"/>
        <v>DH</v>
      </c>
      <c r="AT423" s="45">
        <v>940</v>
      </c>
      <c r="AU423" s="45">
        <v>419</v>
      </c>
      <c r="AV423" s="45"/>
      <c r="AW423" s="45" t="str">
        <f t="shared" si="58"/>
        <v>Unlikely</v>
      </c>
      <c r="AX423" s="45"/>
      <c r="AY423" s="63" t="str">
        <f>INDEX(Table5[[#All],[Ovr]],MATCH(Batters[[#This Row],[PID]],Table5[[#All],[PID]],0))</f>
        <v/>
      </c>
      <c r="AZ423" s="63" t="str">
        <f>INDEX(Table5[[#All],[Rnd]],MATCH(Batters[[#This Row],[PID]],Table5[[#All],[PID]],0))</f>
        <v/>
      </c>
      <c r="BA423" s="63" t="str">
        <f>INDEX(Table5[[#All],[Pick]],MATCH(Batters[[#This Row],[PID]],Table5[[#All],[PID]],0))</f>
        <v/>
      </c>
      <c r="BB423" s="63" t="str">
        <f>INDEX(Table5[[#All],[Team]],MATCH(Batters[[#This Row],[PID]],Table5[[#All],[PID]],0))</f>
        <v/>
      </c>
    </row>
    <row r="424" spans="1:54" ht="15" customHeight="1" x14ac:dyDescent="0.3">
      <c r="A424" s="40">
        <v>8924</v>
      </c>
      <c r="B424" s="40" t="s">
        <v>87</v>
      </c>
      <c r="C424" s="40" t="s">
        <v>736</v>
      </c>
      <c r="D424" s="40" t="s">
        <v>1186</v>
      </c>
      <c r="E424" s="40">
        <v>21</v>
      </c>
      <c r="F424" s="40" t="s">
        <v>42</v>
      </c>
      <c r="G424" s="40" t="s">
        <v>42</v>
      </c>
      <c r="H424" s="41" t="s">
        <v>552</v>
      </c>
      <c r="I424" s="64" t="s">
        <v>43</v>
      </c>
      <c r="J424" s="65" t="s">
        <v>43</v>
      </c>
      <c r="K424" s="66" t="s">
        <v>44</v>
      </c>
      <c r="L424" s="40">
        <v>1</v>
      </c>
      <c r="M424" s="40">
        <v>5</v>
      </c>
      <c r="N424" s="40">
        <v>4</v>
      </c>
      <c r="O424" s="40">
        <v>6</v>
      </c>
      <c r="P424" s="41">
        <v>1</v>
      </c>
      <c r="Q424" s="40">
        <v>2</v>
      </c>
      <c r="R424" s="40">
        <v>5</v>
      </c>
      <c r="S424" s="40">
        <v>5</v>
      </c>
      <c r="T424" s="40">
        <v>7</v>
      </c>
      <c r="U424" s="41">
        <v>2</v>
      </c>
      <c r="V424" s="40">
        <v>2</v>
      </c>
      <c r="W424" s="40">
        <v>2</v>
      </c>
      <c r="X424" s="40">
        <v>2</v>
      </c>
      <c r="Y424" s="41">
        <v>6</v>
      </c>
      <c r="Z424" s="40" t="s">
        <v>45</v>
      </c>
      <c r="AA424" s="40">
        <v>3</v>
      </c>
      <c r="AB424" s="40" t="s">
        <v>45</v>
      </c>
      <c r="AC424" s="40" t="s">
        <v>45</v>
      </c>
      <c r="AD424" s="40" t="s">
        <v>45</v>
      </c>
      <c r="AE424" s="40" t="s">
        <v>45</v>
      </c>
      <c r="AF424" s="40" t="s">
        <v>45</v>
      </c>
      <c r="AG424" s="41" t="s">
        <v>45</v>
      </c>
      <c r="AH424" s="40">
        <v>1</v>
      </c>
      <c r="AI424" s="40">
        <v>2</v>
      </c>
      <c r="AJ424" s="41">
        <v>4</v>
      </c>
      <c r="AK424" s="43" t="s">
        <v>45</v>
      </c>
      <c r="AL424" s="43" t="s">
        <v>103</v>
      </c>
      <c r="AM424" s="44">
        <f t="shared" si="53"/>
        <v>-1.1823715992331483</v>
      </c>
      <c r="AN424" s="44">
        <f t="shared" si="54"/>
        <v>-0.64702837917990774</v>
      </c>
      <c r="AO424" s="45">
        <f t="shared" si="55"/>
        <v>0</v>
      </c>
      <c r="AP424" s="46">
        <f t="shared" si="56"/>
        <v>0</v>
      </c>
      <c r="AQ424" s="44">
        <f>($AM$3*AM424+$AN$3*AN424+$AO$3*AO424+$AP$3*AP424)+$I$3*VLOOKUP(I424,COND!$A$2:$E$7,4,FALSE)+$J$3*VLOOKUP(J424,COND!$A$2:$C$7,2,FALSE)+$K$3*VLOOKUP(K424,COND!$A$2:$C$7,3,FALSE)+IF(AND($B$2&gt;0,$E424&lt;20),$B$2*25,0)</f>
        <v>36.817422289917786</v>
      </c>
      <c r="AR424" s="47">
        <f t="shared" si="59"/>
        <v>-0.93435183488001428</v>
      </c>
      <c r="AS424" s="45" t="str">
        <f t="shared" si="57"/>
        <v>1B</v>
      </c>
      <c r="AT424" s="45">
        <v>940</v>
      </c>
      <c r="AU424" s="45">
        <v>420</v>
      </c>
      <c r="AV424" s="45"/>
      <c r="AW424" s="45" t="str">
        <f t="shared" si="58"/>
        <v>Unlikely</v>
      </c>
      <c r="AX424" s="45"/>
      <c r="AY424" s="45">
        <f>INDEX(Table5[[#All],[Ovr]],MATCH(Batters[[#This Row],[PID]],Table5[[#All],[PID]],0))</f>
        <v>626</v>
      </c>
      <c r="AZ424" s="45" t="str">
        <f>INDEX(Table5[[#All],[Rnd]],MATCH(Batters[[#This Row],[PID]],Table5[[#All],[PID]],0))</f>
        <v>19</v>
      </c>
      <c r="BA424" s="45">
        <f>INDEX(Table5[[#All],[Pick]],MATCH(Batters[[#This Row],[PID]],Table5[[#All],[PID]],0))</f>
        <v>23</v>
      </c>
      <c r="BB424" s="45" t="str">
        <f>INDEX(Table5[[#All],[Team]],MATCH(Batters[[#This Row],[PID]],Table5[[#All],[PID]],0))</f>
        <v>Kentucky Thoroughbreds</v>
      </c>
    </row>
    <row r="425" spans="1:54" ht="15" customHeight="1" x14ac:dyDescent="0.3">
      <c r="A425" s="40">
        <v>20255</v>
      </c>
      <c r="B425" s="40" t="s">
        <v>72</v>
      </c>
      <c r="C425" s="40" t="s">
        <v>176</v>
      </c>
      <c r="D425" s="40" t="s">
        <v>323</v>
      </c>
      <c r="E425" s="40">
        <v>21</v>
      </c>
      <c r="F425" s="40" t="s">
        <v>42</v>
      </c>
      <c r="G425" s="40" t="s">
        <v>42</v>
      </c>
      <c r="H425" s="41" t="s">
        <v>552</v>
      </c>
      <c r="I425" s="64" t="s">
        <v>43</v>
      </c>
      <c r="J425" s="65" t="s">
        <v>43</v>
      </c>
      <c r="K425" s="66" t="s">
        <v>44</v>
      </c>
      <c r="L425" s="40">
        <v>2</v>
      </c>
      <c r="M425" s="40">
        <v>3</v>
      </c>
      <c r="N425" s="40">
        <v>2</v>
      </c>
      <c r="O425" s="40">
        <v>4</v>
      </c>
      <c r="P425" s="41">
        <v>3</v>
      </c>
      <c r="Q425" s="40">
        <v>3</v>
      </c>
      <c r="R425" s="40">
        <v>4</v>
      </c>
      <c r="S425" s="40">
        <v>2</v>
      </c>
      <c r="T425" s="40">
        <v>5</v>
      </c>
      <c r="U425" s="41">
        <v>3</v>
      </c>
      <c r="V425" s="40">
        <v>8</v>
      </c>
      <c r="W425" s="40">
        <v>8</v>
      </c>
      <c r="X425" s="40">
        <v>1</v>
      </c>
      <c r="Y425" s="41">
        <v>1</v>
      </c>
      <c r="Z425" s="40" t="s">
        <v>45</v>
      </c>
      <c r="AA425" s="40" t="s">
        <v>45</v>
      </c>
      <c r="AB425" s="40" t="s">
        <v>45</v>
      </c>
      <c r="AC425" s="40" t="s">
        <v>45</v>
      </c>
      <c r="AD425" s="40">
        <v>4</v>
      </c>
      <c r="AE425" s="40" t="s">
        <v>45</v>
      </c>
      <c r="AF425" s="40" t="s">
        <v>45</v>
      </c>
      <c r="AG425" s="41" t="s">
        <v>45</v>
      </c>
      <c r="AH425" s="40">
        <v>3</v>
      </c>
      <c r="AI425" s="40">
        <v>2</v>
      </c>
      <c r="AJ425" s="41">
        <v>1</v>
      </c>
      <c r="AK425" s="43" t="s">
        <v>557</v>
      </c>
      <c r="AL425" s="43" t="s">
        <v>103</v>
      </c>
      <c r="AM425" s="44">
        <f t="shared" si="53"/>
        <v>-1.2274449307006789</v>
      </c>
      <c r="AN425" s="44">
        <f t="shared" si="54"/>
        <v>-0.76411966486971961</v>
      </c>
      <c r="AO425" s="45">
        <f t="shared" si="55"/>
        <v>0</v>
      </c>
      <c r="AP425" s="46">
        <f t="shared" si="56"/>
        <v>0</v>
      </c>
      <c r="AQ425" s="44">
        <f>($AM$3*AM425+$AN$3*AN425+$AO$3*AO425+$AP$3*AP425)+$I$3*VLOOKUP(I425,COND!$A$2:$E$7,4,FALSE)+$J$3*VLOOKUP(J425,COND!$A$2:$C$7,2,FALSE)+$K$3*VLOOKUP(K425,COND!$A$2:$C$7,3,FALSE)+IF(AND($B$2&gt;0,$E425&lt;20),$B$2*25,0)</f>
        <v>35.407819528493292</v>
      </c>
      <c r="AR425" s="47">
        <f t="shared" si="59"/>
        <v>-1.140108885318553</v>
      </c>
      <c r="AS425" s="45" t="str">
        <f t="shared" si="57"/>
        <v>SS</v>
      </c>
      <c r="AT425" s="45">
        <v>940</v>
      </c>
      <c r="AU425" s="45">
        <v>421</v>
      </c>
      <c r="AV425" s="45"/>
      <c r="AW425" s="45" t="str">
        <f t="shared" si="58"/>
        <v>Unlikely</v>
      </c>
      <c r="AX425" s="45"/>
      <c r="AY425" s="45" t="str">
        <f>INDEX(Table5[[#All],[Ovr]],MATCH(Batters[[#This Row],[PID]],Table5[[#All],[PID]],0))</f>
        <v/>
      </c>
      <c r="AZ425" s="45" t="str">
        <f>INDEX(Table5[[#All],[Rnd]],MATCH(Batters[[#This Row],[PID]],Table5[[#All],[PID]],0))</f>
        <v/>
      </c>
      <c r="BA425" s="45" t="str">
        <f>INDEX(Table5[[#All],[Pick]],MATCH(Batters[[#This Row],[PID]],Table5[[#All],[PID]],0))</f>
        <v/>
      </c>
      <c r="BB425" s="45" t="str">
        <f>INDEX(Table5[[#All],[Team]],MATCH(Batters[[#This Row],[PID]],Table5[[#All],[PID]],0))</f>
        <v/>
      </c>
    </row>
    <row r="426" spans="1:54" ht="15" customHeight="1" x14ac:dyDescent="0.3">
      <c r="A426" s="40">
        <v>13630</v>
      </c>
      <c r="B426" s="40" t="s">
        <v>86</v>
      </c>
      <c r="C426" s="40" t="s">
        <v>1199</v>
      </c>
      <c r="D426" s="40" t="s">
        <v>604</v>
      </c>
      <c r="E426" s="40">
        <v>21</v>
      </c>
      <c r="F426" s="40" t="s">
        <v>42</v>
      </c>
      <c r="G426" s="40" t="s">
        <v>42</v>
      </c>
      <c r="H426" s="41" t="s">
        <v>552</v>
      </c>
      <c r="I426" s="64" t="s">
        <v>43</v>
      </c>
      <c r="J426" s="65" t="s">
        <v>43</v>
      </c>
      <c r="K426" s="66" t="s">
        <v>44</v>
      </c>
      <c r="L426" s="40">
        <v>1</v>
      </c>
      <c r="M426" s="40">
        <v>2</v>
      </c>
      <c r="N426" s="40">
        <v>2</v>
      </c>
      <c r="O426" s="40">
        <v>3</v>
      </c>
      <c r="P426" s="41">
        <v>1</v>
      </c>
      <c r="Q426" s="40">
        <v>3</v>
      </c>
      <c r="R426" s="40">
        <v>3</v>
      </c>
      <c r="S426" s="40">
        <v>2</v>
      </c>
      <c r="T426" s="40">
        <v>5</v>
      </c>
      <c r="U426" s="41">
        <v>3</v>
      </c>
      <c r="V426" s="40">
        <v>3</v>
      </c>
      <c r="W426" s="40">
        <v>3</v>
      </c>
      <c r="X426" s="40">
        <v>4</v>
      </c>
      <c r="Y426" s="41">
        <v>6</v>
      </c>
      <c r="Z426" s="40" t="s">
        <v>45</v>
      </c>
      <c r="AA426" s="40" t="s">
        <v>45</v>
      </c>
      <c r="AB426" s="40" t="s">
        <v>45</v>
      </c>
      <c r="AC426" s="40" t="s">
        <v>45</v>
      </c>
      <c r="AD426" s="40" t="s">
        <v>45</v>
      </c>
      <c r="AE426" s="40" t="s">
        <v>45</v>
      </c>
      <c r="AF426" s="40" t="s">
        <v>45</v>
      </c>
      <c r="AG426" s="41" t="s">
        <v>45</v>
      </c>
      <c r="AH426" s="40">
        <v>3</v>
      </c>
      <c r="AI426" s="40">
        <v>2</v>
      </c>
      <c r="AJ426" s="41">
        <v>1</v>
      </c>
      <c r="AK426" s="43" t="s">
        <v>45</v>
      </c>
      <c r="AL426" s="43" t="s">
        <v>103</v>
      </c>
      <c r="AM426" s="44">
        <f t="shared" si="53"/>
        <v>-1.7708028761658048</v>
      </c>
      <c r="AN426" s="44">
        <f t="shared" si="54"/>
        <v>-0.815179544488423</v>
      </c>
      <c r="AO426" s="45">
        <f t="shared" si="55"/>
        <v>0</v>
      </c>
      <c r="AP426" s="46">
        <f t="shared" si="56"/>
        <v>0</v>
      </c>
      <c r="AQ426" s="44">
        <f>($AM$3*AM426+$AN$3*AN426+$AO$3*AO426+$AP$3*AP426)+$I$3*VLOOKUP(I426,COND!$A$2:$E$7,4,FALSE)+$J$3*VLOOKUP(J426,COND!$A$2:$C$7,2,FALSE)+$K$3*VLOOKUP(K426,COND!$A$2:$C$7,3,FALSE)+IF(AND($B$2&gt;0,$E426&lt;20),$B$2*25,0)</f>
        <v>34.740765178522338</v>
      </c>
      <c r="AR426" s="47">
        <f t="shared" si="59"/>
        <v>-1.2374775478157229</v>
      </c>
      <c r="AS426" s="45" t="str">
        <f t="shared" si="57"/>
        <v>DH</v>
      </c>
      <c r="AT426" s="45">
        <v>940</v>
      </c>
      <c r="AU426" s="45">
        <v>422</v>
      </c>
      <c r="AV426" s="45"/>
      <c r="AW426" s="45" t="str">
        <f t="shared" si="58"/>
        <v>Unlikely</v>
      </c>
      <c r="AX426" s="45"/>
      <c r="AY426" s="45" t="str">
        <f>INDEX(Table5[[#All],[Ovr]],MATCH(Batters[[#This Row],[PID]],Table5[[#All],[PID]],0))</f>
        <v/>
      </c>
      <c r="AZ426" s="45" t="str">
        <f>INDEX(Table5[[#All],[Rnd]],MATCH(Batters[[#This Row],[PID]],Table5[[#All],[PID]],0))</f>
        <v/>
      </c>
      <c r="BA426" s="45" t="str">
        <f>INDEX(Table5[[#All],[Pick]],MATCH(Batters[[#This Row],[PID]],Table5[[#All],[PID]],0))</f>
        <v/>
      </c>
      <c r="BB426" s="45" t="str">
        <f>INDEX(Table5[[#All],[Team]],MATCH(Batters[[#This Row],[PID]],Table5[[#All],[PID]],0))</f>
        <v/>
      </c>
    </row>
    <row r="427" spans="1:54" ht="15" customHeight="1" x14ac:dyDescent="0.3">
      <c r="A427" s="40">
        <v>20844</v>
      </c>
      <c r="B427" s="40" t="s">
        <v>66</v>
      </c>
      <c r="C427" s="40" t="s">
        <v>162</v>
      </c>
      <c r="D427" s="40" t="s">
        <v>851</v>
      </c>
      <c r="E427" s="40">
        <v>17</v>
      </c>
      <c r="F427" s="40" t="s">
        <v>42</v>
      </c>
      <c r="G427" s="40" t="s">
        <v>42</v>
      </c>
      <c r="H427" s="41" t="s">
        <v>552</v>
      </c>
      <c r="I427" s="64" t="s">
        <v>43</v>
      </c>
      <c r="J427" s="65" t="s">
        <v>44</v>
      </c>
      <c r="K427" s="66" t="s">
        <v>44</v>
      </c>
      <c r="L427" s="40">
        <v>1</v>
      </c>
      <c r="M427" s="40">
        <v>2</v>
      </c>
      <c r="N427" s="40">
        <v>2</v>
      </c>
      <c r="O427" s="40">
        <v>2</v>
      </c>
      <c r="P427" s="41">
        <v>1</v>
      </c>
      <c r="Q427" s="40">
        <v>5</v>
      </c>
      <c r="R427" s="40">
        <v>5</v>
      </c>
      <c r="S427" s="40">
        <v>4</v>
      </c>
      <c r="T427" s="40">
        <v>5</v>
      </c>
      <c r="U427" s="41">
        <v>4</v>
      </c>
      <c r="V427" s="40">
        <v>6</v>
      </c>
      <c r="W427" s="40">
        <v>9</v>
      </c>
      <c r="X427" s="40">
        <v>1</v>
      </c>
      <c r="Y427" s="41">
        <v>1</v>
      </c>
      <c r="Z427" s="40" t="s">
        <v>45</v>
      </c>
      <c r="AA427" s="40" t="s">
        <v>45</v>
      </c>
      <c r="AB427" s="40" t="s">
        <v>45</v>
      </c>
      <c r="AC427" s="40" t="s">
        <v>45</v>
      </c>
      <c r="AD427" s="40" t="s">
        <v>45</v>
      </c>
      <c r="AE427" s="40">
        <v>1</v>
      </c>
      <c r="AF427" s="40" t="s">
        <v>45</v>
      </c>
      <c r="AG427" s="41">
        <v>1</v>
      </c>
      <c r="AH427" s="40">
        <v>1</v>
      </c>
      <c r="AI427" s="40">
        <v>1</v>
      </c>
      <c r="AJ427" s="41">
        <v>1</v>
      </c>
      <c r="AK427" s="43" t="s">
        <v>497</v>
      </c>
      <c r="AL427" s="43" t="s">
        <v>103</v>
      </c>
      <c r="AM427" s="44">
        <f t="shared" si="53"/>
        <v>-1.8605124261753858</v>
      </c>
      <c r="AN427" s="44">
        <f t="shared" si="54"/>
        <v>0.13819121501921985</v>
      </c>
      <c r="AO427" s="45">
        <f t="shared" si="55"/>
        <v>0</v>
      </c>
      <c r="AP427" s="46">
        <f t="shared" si="56"/>
        <v>0</v>
      </c>
      <c r="AQ427" s="44">
        <f>($AM$3*AM427+$AN$3*AN427+$AO$3*AO427+$AP$3*AP427)+$I$3*VLOOKUP(I427,COND!$A$2:$E$7,4,FALSE)+$J$3*VLOOKUP(J427,COND!$A$2:$C$7,2,FALSE)+$K$3*VLOOKUP(K427,COND!$A$2:$C$7,3,FALSE)+IF(AND($B$2&gt;0,$E427&lt;20),$B$2*25,0)</f>
        <v>50.872243337613099</v>
      </c>
      <c r="AR427" s="47">
        <f t="shared" si="59"/>
        <v>1.1172038248810743</v>
      </c>
      <c r="AS427" s="45" t="str">
        <f t="shared" si="57"/>
        <v>RF</v>
      </c>
      <c r="AT427" s="45">
        <v>950</v>
      </c>
      <c r="AU427" s="45">
        <v>423</v>
      </c>
      <c r="AV427" s="45"/>
      <c r="AW427" s="45" t="str">
        <f t="shared" si="58"/>
        <v>Unlikely</v>
      </c>
      <c r="AX427" s="45"/>
      <c r="AY427" s="45">
        <f>INDEX(Table5[[#All],[Ovr]],MATCH(Batters[[#This Row],[PID]],Table5[[#All],[PID]],0))</f>
        <v>276</v>
      </c>
      <c r="AZ427" s="45" t="str">
        <f>INDEX(Table5[[#All],[Rnd]],MATCH(Batters[[#This Row],[PID]],Table5[[#All],[PID]],0))</f>
        <v>9</v>
      </c>
      <c r="BA427" s="45">
        <f>INDEX(Table5[[#All],[Pick]],MATCH(Batters[[#This Row],[PID]],Table5[[#All],[PID]],0))</f>
        <v>11</v>
      </c>
      <c r="BB427" s="45" t="str">
        <f>INDEX(Table5[[#All],[Team]],MATCH(Batters[[#This Row],[PID]],Table5[[#All],[PID]],0))</f>
        <v>Arlington Bureaucrats</v>
      </c>
    </row>
    <row r="428" spans="1:54" ht="15" customHeight="1" x14ac:dyDescent="0.3">
      <c r="A428" s="40">
        <v>12974</v>
      </c>
      <c r="B428" s="40" t="s">
        <v>50</v>
      </c>
      <c r="C428" s="40" t="s">
        <v>280</v>
      </c>
      <c r="D428" s="40" t="s">
        <v>1124</v>
      </c>
      <c r="E428" s="40">
        <v>17</v>
      </c>
      <c r="F428" s="40" t="s">
        <v>53</v>
      </c>
      <c r="G428" s="40" t="s">
        <v>53</v>
      </c>
      <c r="H428" s="41" t="s">
        <v>550</v>
      </c>
      <c r="I428" s="64" t="s">
        <v>43</v>
      </c>
      <c r="J428" s="65" t="s">
        <v>44</v>
      </c>
      <c r="K428" s="66" t="s">
        <v>44</v>
      </c>
      <c r="L428" s="40">
        <v>1</v>
      </c>
      <c r="M428" s="40">
        <v>6</v>
      </c>
      <c r="N428" s="40">
        <v>3</v>
      </c>
      <c r="O428" s="40">
        <v>2</v>
      </c>
      <c r="P428" s="41">
        <v>1</v>
      </c>
      <c r="Q428" s="40">
        <v>4</v>
      </c>
      <c r="R428" s="40">
        <v>7</v>
      </c>
      <c r="S428" s="40">
        <v>5</v>
      </c>
      <c r="T428" s="40">
        <v>5</v>
      </c>
      <c r="U428" s="41">
        <v>4</v>
      </c>
      <c r="V428" s="40">
        <v>5</v>
      </c>
      <c r="W428" s="40">
        <v>7</v>
      </c>
      <c r="X428" s="40">
        <v>1</v>
      </c>
      <c r="Y428" s="41">
        <v>1</v>
      </c>
      <c r="Z428" s="40" t="s">
        <v>45</v>
      </c>
      <c r="AA428" s="40" t="s">
        <v>45</v>
      </c>
      <c r="AB428" s="40" t="s">
        <v>45</v>
      </c>
      <c r="AC428" s="40" t="s">
        <v>45</v>
      </c>
      <c r="AD428" s="40" t="s">
        <v>45</v>
      </c>
      <c r="AE428" s="40">
        <v>3</v>
      </c>
      <c r="AF428" s="40" t="s">
        <v>45</v>
      </c>
      <c r="AG428" s="41" t="s">
        <v>45</v>
      </c>
      <c r="AH428" s="40">
        <v>1</v>
      </c>
      <c r="AI428" s="40">
        <v>2</v>
      </c>
      <c r="AJ428" s="41">
        <v>2</v>
      </c>
      <c r="AK428" s="43" t="s">
        <v>497</v>
      </c>
      <c r="AL428" s="43" t="s">
        <v>103</v>
      </c>
      <c r="AM428" s="44">
        <f t="shared" si="53"/>
        <v>-1.5732114136766706</v>
      </c>
      <c r="AN428" s="44">
        <f t="shared" si="54"/>
        <v>8.1663207785363876E-4</v>
      </c>
      <c r="AO428" s="45">
        <f t="shared" si="55"/>
        <v>0</v>
      </c>
      <c r="AP428" s="46">
        <f t="shared" si="56"/>
        <v>0</v>
      </c>
      <c r="AQ428" s="44">
        <f>($AM$3*AM428+$AN$3*AN428+$AO$3*AO428+$AP$3*AP428)+$I$3*VLOOKUP(I428,COND!$A$2:$E$7,4,FALSE)+$J$3*VLOOKUP(J428,COND!$A$2:$C$7,2,FALSE)+$K$3*VLOOKUP(K428,COND!$A$2:$C$7,3,FALSE)+IF(AND($B$2&gt;0,$E428&lt;20),$B$2*25,0)</f>
        <v>49.252478443566574</v>
      </c>
      <c r="AR428" s="47">
        <f t="shared" si="59"/>
        <v>0.88076980522428361</v>
      </c>
      <c r="AS428" s="45" t="str">
        <f t="shared" si="57"/>
        <v>LF</v>
      </c>
      <c r="AT428" s="45">
        <v>950</v>
      </c>
      <c r="AU428" s="45">
        <v>424</v>
      </c>
      <c r="AV428" s="45"/>
      <c r="AW428" s="45" t="str">
        <f t="shared" si="58"/>
        <v>Unlikely</v>
      </c>
      <c r="AX428" s="45"/>
      <c r="AY428" s="45">
        <f>INDEX(Table5[[#All],[Ovr]],MATCH(Batters[[#This Row],[PID]],Table5[[#All],[PID]],0))</f>
        <v>324</v>
      </c>
      <c r="AZ428" s="45" t="str">
        <f>INDEX(Table5[[#All],[Rnd]],MATCH(Batters[[#This Row],[PID]],Table5[[#All],[PID]],0))</f>
        <v>10</v>
      </c>
      <c r="BA428" s="45">
        <f>INDEX(Table5[[#All],[Pick]],MATCH(Batters[[#This Row],[PID]],Table5[[#All],[PID]],0))</f>
        <v>27</v>
      </c>
      <c r="BB428" s="45" t="str">
        <f>INDEX(Table5[[#All],[Team]],MATCH(Batters[[#This Row],[PID]],Table5[[#All],[PID]],0))</f>
        <v>Havana Leones</v>
      </c>
    </row>
    <row r="429" spans="1:54" ht="15" customHeight="1" x14ac:dyDescent="0.3">
      <c r="A429" s="40">
        <v>20519</v>
      </c>
      <c r="B429" s="40" t="s">
        <v>50</v>
      </c>
      <c r="C429" s="40" t="s">
        <v>1095</v>
      </c>
      <c r="D429" s="40" t="s">
        <v>1096</v>
      </c>
      <c r="E429" s="40">
        <v>17</v>
      </c>
      <c r="F429" s="40" t="s">
        <v>42</v>
      </c>
      <c r="G429" s="40" t="s">
        <v>42</v>
      </c>
      <c r="H429" s="41" t="s">
        <v>550</v>
      </c>
      <c r="I429" s="64" t="s">
        <v>44</v>
      </c>
      <c r="J429" s="65" t="s">
        <v>44</v>
      </c>
      <c r="K429" s="66" t="s">
        <v>44</v>
      </c>
      <c r="L429" s="40">
        <v>1</v>
      </c>
      <c r="M429" s="40">
        <v>3</v>
      </c>
      <c r="N429" s="40">
        <v>3</v>
      </c>
      <c r="O429" s="40">
        <v>3</v>
      </c>
      <c r="P429" s="41">
        <v>2</v>
      </c>
      <c r="Q429" s="40">
        <v>4</v>
      </c>
      <c r="R429" s="40">
        <v>5</v>
      </c>
      <c r="S429" s="40">
        <v>5</v>
      </c>
      <c r="T429" s="40">
        <v>6</v>
      </c>
      <c r="U429" s="41">
        <v>4</v>
      </c>
      <c r="V429" s="40">
        <v>4</v>
      </c>
      <c r="W429" s="40">
        <v>7</v>
      </c>
      <c r="X429" s="40">
        <v>1</v>
      </c>
      <c r="Y429" s="41">
        <v>1</v>
      </c>
      <c r="Z429" s="40" t="s">
        <v>45</v>
      </c>
      <c r="AA429" s="40" t="s">
        <v>45</v>
      </c>
      <c r="AB429" s="40" t="s">
        <v>45</v>
      </c>
      <c r="AC429" s="40" t="s">
        <v>45</v>
      </c>
      <c r="AD429" s="40" t="s">
        <v>45</v>
      </c>
      <c r="AE429" s="40">
        <v>1</v>
      </c>
      <c r="AF429" s="40" t="s">
        <v>45</v>
      </c>
      <c r="AG429" s="41" t="s">
        <v>45</v>
      </c>
      <c r="AH429" s="40">
        <v>1</v>
      </c>
      <c r="AI429" s="40">
        <v>2</v>
      </c>
      <c r="AJ429" s="41">
        <v>1</v>
      </c>
      <c r="AK429" s="43" t="s">
        <v>497</v>
      </c>
      <c r="AL429" s="43" t="s">
        <v>103</v>
      </c>
      <c r="AM429" s="44">
        <f t="shared" si="53"/>
        <v>-1.5966651627061161</v>
      </c>
      <c r="AN429" s="44">
        <f t="shared" si="54"/>
        <v>-1.1593577149972334E-2</v>
      </c>
      <c r="AO429" s="45">
        <f t="shared" si="55"/>
        <v>0</v>
      </c>
      <c r="AP429" s="46">
        <f t="shared" si="56"/>
        <v>0</v>
      </c>
      <c r="AQ429" s="44">
        <f>($AM$3*AM429+$AN$3*AN429+$AO$3*AO429+$AP$3*AP429)+$I$3*VLOOKUP(I429,COND!$A$2:$E$7,4,FALSE)+$J$3*VLOOKUP(J429,COND!$A$2:$C$7,2,FALSE)+$K$3*VLOOKUP(K429,COND!$A$2:$C$7,3,FALSE)+IF(AND($B$2&gt;0,$E429&lt;20),$B$2*25,0)</f>
        <v>48.951210557929713</v>
      </c>
      <c r="AR429" s="47">
        <f t="shared" si="59"/>
        <v>0.83679430146047662</v>
      </c>
      <c r="AS429" s="45" t="str">
        <f t="shared" si="57"/>
        <v>LF</v>
      </c>
      <c r="AT429" s="45">
        <v>950</v>
      </c>
      <c r="AU429" s="45">
        <v>425</v>
      </c>
      <c r="AV429" s="45"/>
      <c r="AW429" s="45" t="str">
        <f t="shared" si="58"/>
        <v>Unlikely</v>
      </c>
      <c r="AX429" s="45"/>
      <c r="AY429" s="45">
        <f>INDEX(Table5[[#All],[Ovr]],MATCH(Batters[[#This Row],[PID]],Table5[[#All],[PID]],0))</f>
        <v>286</v>
      </c>
      <c r="AZ429" s="45" t="str">
        <f>INDEX(Table5[[#All],[Rnd]],MATCH(Batters[[#This Row],[PID]],Table5[[#All],[PID]],0))</f>
        <v>9</v>
      </c>
      <c r="BA429" s="45">
        <f>INDEX(Table5[[#All],[Pick]],MATCH(Batters[[#This Row],[PID]],Table5[[#All],[PID]],0))</f>
        <v>21</v>
      </c>
      <c r="BB429" s="45" t="str">
        <f>INDEX(Table5[[#All],[Team]],MATCH(Batters[[#This Row],[PID]],Table5[[#All],[PID]],0))</f>
        <v>Neo-Tokyo Akira</v>
      </c>
    </row>
    <row r="430" spans="1:54" ht="15" customHeight="1" x14ac:dyDescent="0.3">
      <c r="A430" s="40">
        <v>10348</v>
      </c>
      <c r="B430" s="40" t="s">
        <v>87</v>
      </c>
      <c r="C430" s="40" t="s">
        <v>667</v>
      </c>
      <c r="D430" s="40" t="s">
        <v>591</v>
      </c>
      <c r="E430" s="40">
        <v>17</v>
      </c>
      <c r="F430" s="40" t="s">
        <v>42</v>
      </c>
      <c r="G430" s="40" t="s">
        <v>42</v>
      </c>
      <c r="H430" s="41" t="s">
        <v>552</v>
      </c>
      <c r="I430" s="64" t="s">
        <v>43</v>
      </c>
      <c r="J430" s="65" t="s">
        <v>44</v>
      </c>
      <c r="K430" s="66" t="s">
        <v>44</v>
      </c>
      <c r="L430" s="40">
        <v>1</v>
      </c>
      <c r="M430" s="40">
        <v>3</v>
      </c>
      <c r="N430" s="40">
        <v>2</v>
      </c>
      <c r="O430" s="40">
        <v>3</v>
      </c>
      <c r="P430" s="41">
        <v>1</v>
      </c>
      <c r="Q430" s="40">
        <v>4</v>
      </c>
      <c r="R430" s="40">
        <v>5</v>
      </c>
      <c r="S430" s="40">
        <v>4</v>
      </c>
      <c r="T430" s="40">
        <v>6</v>
      </c>
      <c r="U430" s="41">
        <v>4</v>
      </c>
      <c r="V430" s="40">
        <v>4</v>
      </c>
      <c r="W430" s="40">
        <v>4</v>
      </c>
      <c r="X430" s="40">
        <v>3</v>
      </c>
      <c r="Y430" s="41">
        <v>4</v>
      </c>
      <c r="Z430" s="40" t="s">
        <v>45</v>
      </c>
      <c r="AA430" s="40">
        <v>2</v>
      </c>
      <c r="AB430" s="40" t="s">
        <v>45</v>
      </c>
      <c r="AC430" s="40" t="s">
        <v>45</v>
      </c>
      <c r="AD430" s="40" t="s">
        <v>45</v>
      </c>
      <c r="AE430" s="40" t="s">
        <v>45</v>
      </c>
      <c r="AF430" s="40" t="s">
        <v>45</v>
      </c>
      <c r="AG430" s="41" t="s">
        <v>45</v>
      </c>
      <c r="AH430" s="40">
        <v>1</v>
      </c>
      <c r="AI430" s="40">
        <v>1</v>
      </c>
      <c r="AJ430" s="41">
        <v>1</v>
      </c>
      <c r="AK430" s="43" t="s">
        <v>558</v>
      </c>
      <c r="AL430" s="43" t="s">
        <v>103</v>
      </c>
      <c r="AM430" s="44">
        <f t="shared" si="53"/>
        <v>-1.7197429965471014</v>
      </c>
      <c r="AN430" s="44">
        <f t="shared" si="54"/>
        <v>-9.4655071173873812E-2</v>
      </c>
      <c r="AO430" s="45">
        <f t="shared" si="55"/>
        <v>0</v>
      </c>
      <c r="AP430" s="46">
        <f t="shared" si="56"/>
        <v>0</v>
      </c>
      <c r="AQ430" s="44">
        <f>($AM$3*AM430+$AN$3*AN430+$AO$3*AO430+$AP$3*AP430)+$I$3*VLOOKUP(I430,COND!$A$2:$E$7,4,FALSE)+$J$3*VLOOKUP(J430,COND!$A$2:$C$7,2,FALSE)+$K$3*VLOOKUP(K430,COND!$A$2:$C$7,3,FALSE)+IF(AND($B$2&gt;0,$E430&lt;20),$B$2*25,0)</f>
        <v>48.092164846258797</v>
      </c>
      <c r="AR430" s="47">
        <f t="shared" si="59"/>
        <v>0.71140102282738071</v>
      </c>
      <c r="AS430" s="45" t="str">
        <f t="shared" si="57"/>
        <v>1B</v>
      </c>
      <c r="AT430" s="45">
        <v>950</v>
      </c>
      <c r="AU430" s="45">
        <v>426</v>
      </c>
      <c r="AV430" s="45"/>
      <c r="AW430" s="45" t="str">
        <f t="shared" si="58"/>
        <v>Unlikely</v>
      </c>
      <c r="AX430" s="45"/>
      <c r="AY430" s="45">
        <f>INDEX(Table5[[#All],[Ovr]],MATCH(Batters[[#This Row],[PID]],Table5[[#All],[PID]],0))</f>
        <v>417</v>
      </c>
      <c r="AZ430" s="45" t="str">
        <f>INDEX(Table5[[#All],[Rnd]],MATCH(Batters[[#This Row],[PID]],Table5[[#All],[PID]],0))</f>
        <v>13</v>
      </c>
      <c r="BA430" s="45">
        <f>INDEX(Table5[[#All],[Pick]],MATCH(Batters[[#This Row],[PID]],Table5[[#All],[PID]],0))</f>
        <v>18</v>
      </c>
      <c r="BB430" s="45" t="str">
        <f>INDEX(Table5[[#All],[Team]],MATCH(Batters[[#This Row],[PID]],Table5[[#All],[PID]],0))</f>
        <v>San Juan Coqui</v>
      </c>
    </row>
    <row r="431" spans="1:54" ht="15" customHeight="1" x14ac:dyDescent="0.3">
      <c r="A431" s="40">
        <v>12903</v>
      </c>
      <c r="B431" s="40" t="s">
        <v>50</v>
      </c>
      <c r="C431" s="40" t="s">
        <v>399</v>
      </c>
      <c r="D431" s="40" t="s">
        <v>1037</v>
      </c>
      <c r="E431" s="40">
        <v>21</v>
      </c>
      <c r="F431" s="40" t="s">
        <v>62</v>
      </c>
      <c r="G431" s="40" t="s">
        <v>42</v>
      </c>
      <c r="H431" s="41" t="s">
        <v>550</v>
      </c>
      <c r="I431" s="64" t="s">
        <v>43</v>
      </c>
      <c r="J431" s="65" t="s">
        <v>44</v>
      </c>
      <c r="K431" s="66" t="s">
        <v>44</v>
      </c>
      <c r="L431" s="40">
        <v>4</v>
      </c>
      <c r="M431" s="40">
        <v>5</v>
      </c>
      <c r="N431" s="40">
        <v>3</v>
      </c>
      <c r="O431" s="40">
        <v>3</v>
      </c>
      <c r="P431" s="41">
        <v>2</v>
      </c>
      <c r="Q431" s="40">
        <v>5</v>
      </c>
      <c r="R431" s="40">
        <v>6</v>
      </c>
      <c r="S431" s="40">
        <v>5</v>
      </c>
      <c r="T431" s="40">
        <v>5</v>
      </c>
      <c r="U431" s="41">
        <v>4</v>
      </c>
      <c r="V431" s="40">
        <v>7</v>
      </c>
      <c r="W431" s="40">
        <v>8</v>
      </c>
      <c r="X431" s="40">
        <v>1</v>
      </c>
      <c r="Y431" s="41">
        <v>1</v>
      </c>
      <c r="Z431" s="40" t="s">
        <v>45</v>
      </c>
      <c r="AA431" s="40" t="s">
        <v>45</v>
      </c>
      <c r="AB431" s="40" t="s">
        <v>45</v>
      </c>
      <c r="AC431" s="40" t="s">
        <v>45</v>
      </c>
      <c r="AD431" s="40" t="s">
        <v>45</v>
      </c>
      <c r="AE431" s="40">
        <v>1</v>
      </c>
      <c r="AF431" s="40" t="s">
        <v>45</v>
      </c>
      <c r="AG431" s="41" t="s">
        <v>45</v>
      </c>
      <c r="AH431" s="40">
        <v>4</v>
      </c>
      <c r="AI431" s="40">
        <v>3</v>
      </c>
      <c r="AJ431" s="41">
        <v>1</v>
      </c>
      <c r="AK431" s="43" t="s">
        <v>557</v>
      </c>
      <c r="AL431" s="43" t="s">
        <v>103</v>
      </c>
      <c r="AM431" s="44">
        <f t="shared" si="53"/>
        <v>-0.52687789486068537</v>
      </c>
      <c r="AN431" s="44">
        <f t="shared" si="54"/>
        <v>0.27231258866182484</v>
      </c>
      <c r="AO431" s="45">
        <f t="shared" si="55"/>
        <v>0</v>
      </c>
      <c r="AP431" s="46">
        <f t="shared" si="56"/>
        <v>0</v>
      </c>
      <c r="AQ431" s="44">
        <f>($AM$3*AM431+$AN$3*AN431+$AO$3*AO431+$AP$3*AP431)+$I$3*VLOOKUP(I431,COND!$A$2:$E$7,4,FALSE)+$J$3*VLOOKUP(J431,COND!$A$2:$C$7,2,FALSE)+$K$3*VLOOKUP(K431,COND!$A$2:$C$7,3,FALSE)+IF(AND($B$2&gt;0,$E431&lt;20),$B$2*25,0)</f>
        <v>47.615063274455835</v>
      </c>
      <c r="AR431" s="47">
        <f t="shared" si="59"/>
        <v>0.64175940828161748</v>
      </c>
      <c r="AS431" s="45" t="str">
        <f t="shared" si="57"/>
        <v>LF</v>
      </c>
      <c r="AT431" s="45">
        <v>950</v>
      </c>
      <c r="AU431" s="45">
        <v>427</v>
      </c>
      <c r="AV431" s="45"/>
      <c r="AW431" s="45" t="str">
        <f t="shared" si="58"/>
        <v>Possible</v>
      </c>
      <c r="AX431" s="45"/>
      <c r="AY431" s="45">
        <f>INDEX(Table5[[#All],[Ovr]],MATCH(Batters[[#This Row],[PID]],Table5[[#All],[PID]],0))</f>
        <v>144</v>
      </c>
      <c r="AZ431" s="45" t="str">
        <f>INDEX(Table5[[#All],[Rnd]],MATCH(Batters[[#This Row],[PID]],Table5[[#All],[PID]],0))</f>
        <v>5</v>
      </c>
      <c r="BA431" s="45">
        <f>INDEX(Table5[[#All],[Pick]],MATCH(Batters[[#This Row],[PID]],Table5[[#All],[PID]],0))</f>
        <v>7</v>
      </c>
      <c r="BB431" s="45" t="str">
        <f>INDEX(Table5[[#All],[Team]],MATCH(Batters[[#This Row],[PID]],Table5[[#All],[PID]],0))</f>
        <v>Hartford Harpoon</v>
      </c>
    </row>
    <row r="432" spans="1:54" ht="15" customHeight="1" x14ac:dyDescent="0.3">
      <c r="A432" s="40">
        <v>20573</v>
      </c>
      <c r="B432" s="40" t="s">
        <v>66</v>
      </c>
      <c r="C432" s="40" t="s">
        <v>1129</v>
      </c>
      <c r="D432" s="40" t="s">
        <v>1130</v>
      </c>
      <c r="E432" s="40">
        <v>17</v>
      </c>
      <c r="F432" s="40" t="s">
        <v>42</v>
      </c>
      <c r="G432" s="40" t="s">
        <v>42</v>
      </c>
      <c r="H432" s="41" t="s">
        <v>552</v>
      </c>
      <c r="I432" s="64" t="s">
        <v>43</v>
      </c>
      <c r="J432" s="65" t="s">
        <v>44</v>
      </c>
      <c r="K432" s="66" t="s">
        <v>44</v>
      </c>
      <c r="L432" s="40">
        <v>1</v>
      </c>
      <c r="M432" s="40">
        <v>3</v>
      </c>
      <c r="N432" s="40">
        <v>2</v>
      </c>
      <c r="O432" s="40">
        <v>3</v>
      </c>
      <c r="P432" s="41">
        <v>2</v>
      </c>
      <c r="Q432" s="40">
        <v>4</v>
      </c>
      <c r="R432" s="40">
        <v>4</v>
      </c>
      <c r="S432" s="40">
        <v>4</v>
      </c>
      <c r="T432" s="40">
        <v>6</v>
      </c>
      <c r="U432" s="41">
        <v>4</v>
      </c>
      <c r="V432" s="40">
        <v>5</v>
      </c>
      <c r="W432" s="40">
        <v>7</v>
      </c>
      <c r="X432" s="40">
        <v>1</v>
      </c>
      <c r="Y432" s="41">
        <v>1</v>
      </c>
      <c r="Z432" s="40" t="s">
        <v>45</v>
      </c>
      <c r="AA432" s="40" t="s">
        <v>45</v>
      </c>
      <c r="AB432" s="40" t="s">
        <v>45</v>
      </c>
      <c r="AC432" s="40" t="s">
        <v>45</v>
      </c>
      <c r="AD432" s="40">
        <v>1</v>
      </c>
      <c r="AE432" s="40">
        <v>1</v>
      </c>
      <c r="AF432" s="40" t="s">
        <v>45</v>
      </c>
      <c r="AG432" s="41">
        <v>1</v>
      </c>
      <c r="AH432" s="40">
        <v>3</v>
      </c>
      <c r="AI432" s="40">
        <v>4</v>
      </c>
      <c r="AJ432" s="41">
        <v>4</v>
      </c>
      <c r="AK432" s="43" t="s">
        <v>583</v>
      </c>
      <c r="AL432" s="43" t="s">
        <v>103</v>
      </c>
      <c r="AM432" s="44">
        <f t="shared" si="53"/>
        <v>-1.6797266567300178</v>
      </c>
      <c r="AN432" s="44">
        <f t="shared" si="54"/>
        <v>-0.14571495079257732</v>
      </c>
      <c r="AO432" s="45">
        <f t="shared" si="55"/>
        <v>0</v>
      </c>
      <c r="AP432" s="46">
        <f t="shared" si="56"/>
        <v>0</v>
      </c>
      <c r="AQ432" s="44">
        <f>($AM$3*AM432+$AN$3*AN432+$AO$3*AO432+$AP$3*AP432)+$I$3*VLOOKUP(I432,COND!$A$2:$E$7,4,FALSE)+$J$3*VLOOKUP(J432,COND!$A$2:$C$7,2,FALSE)+$K$3*VLOOKUP(K432,COND!$A$2:$C$7,3,FALSE)+IF(AND($B$2&gt;0,$E432&lt;20),$B$2*25,0)</f>
        <v>47.483447924816069</v>
      </c>
      <c r="AR432" s="47">
        <f t="shared" si="59"/>
        <v>0.62254776449415183</v>
      </c>
      <c r="AS432" s="45" t="str">
        <f t="shared" si="57"/>
        <v>SS</v>
      </c>
      <c r="AT432" s="45">
        <v>950</v>
      </c>
      <c r="AU432" s="45">
        <v>428</v>
      </c>
      <c r="AV432" s="45"/>
      <c r="AW432" s="45" t="str">
        <f t="shared" si="58"/>
        <v>Unlikely</v>
      </c>
      <c r="AX432" s="45"/>
      <c r="AY432" s="45">
        <f>INDEX(Table5[[#All],[Ovr]],MATCH(Batters[[#This Row],[PID]],Table5[[#All],[PID]],0))</f>
        <v>334</v>
      </c>
      <c r="AZ432" s="45" t="str">
        <f>INDEX(Table5[[#All],[Rnd]],MATCH(Batters[[#This Row],[PID]],Table5[[#All],[PID]],0))</f>
        <v>11</v>
      </c>
      <c r="BA432" s="45">
        <f>INDEX(Table5[[#All],[Pick]],MATCH(Batters[[#This Row],[PID]],Table5[[#All],[PID]],0))</f>
        <v>3</v>
      </c>
      <c r="BB432" s="45" t="str">
        <f>INDEX(Table5[[#All],[Team]],MATCH(Batters[[#This Row],[PID]],Table5[[#All],[PID]],0))</f>
        <v>Okinawa Shisa</v>
      </c>
    </row>
    <row r="433" spans="1:54" ht="15" customHeight="1" x14ac:dyDescent="0.3">
      <c r="A433" s="40">
        <v>20516</v>
      </c>
      <c r="B433" s="40" t="s">
        <v>71</v>
      </c>
      <c r="C433" s="40" t="s">
        <v>1085</v>
      </c>
      <c r="D433" s="40" t="s">
        <v>1086</v>
      </c>
      <c r="E433" s="40">
        <v>17</v>
      </c>
      <c r="F433" s="40" t="s">
        <v>42</v>
      </c>
      <c r="G433" s="40" t="s">
        <v>42</v>
      </c>
      <c r="H433" s="41" t="s">
        <v>550</v>
      </c>
      <c r="I433" s="64" t="s">
        <v>44</v>
      </c>
      <c r="J433" s="65" t="s">
        <v>44</v>
      </c>
      <c r="K433" s="66" t="s">
        <v>44</v>
      </c>
      <c r="L433" s="40">
        <v>2</v>
      </c>
      <c r="M433" s="40">
        <v>5</v>
      </c>
      <c r="N433" s="40">
        <v>3</v>
      </c>
      <c r="O433" s="40">
        <v>4</v>
      </c>
      <c r="P433" s="41">
        <v>1</v>
      </c>
      <c r="Q433" s="40">
        <v>3</v>
      </c>
      <c r="R433" s="40">
        <v>8</v>
      </c>
      <c r="S433" s="40">
        <v>5</v>
      </c>
      <c r="T433" s="40">
        <v>6</v>
      </c>
      <c r="U433" s="41">
        <v>4</v>
      </c>
      <c r="V433" s="40">
        <v>4</v>
      </c>
      <c r="W433" s="40">
        <v>2</v>
      </c>
      <c r="X433" s="40">
        <v>1</v>
      </c>
      <c r="Y433" s="41">
        <v>1</v>
      </c>
      <c r="Z433" s="40" t="s">
        <v>45</v>
      </c>
      <c r="AA433" s="40" t="s">
        <v>45</v>
      </c>
      <c r="AB433" s="40">
        <v>1</v>
      </c>
      <c r="AC433" s="40" t="s">
        <v>45</v>
      </c>
      <c r="AD433" s="40" t="s">
        <v>45</v>
      </c>
      <c r="AE433" s="40" t="s">
        <v>45</v>
      </c>
      <c r="AF433" s="40" t="s">
        <v>45</v>
      </c>
      <c r="AG433" s="41" t="s">
        <v>45</v>
      </c>
      <c r="AH433" s="40">
        <v>4</v>
      </c>
      <c r="AI433" s="40">
        <v>4</v>
      </c>
      <c r="AJ433" s="41">
        <v>5</v>
      </c>
      <c r="AK433" s="43" t="s">
        <v>497</v>
      </c>
      <c r="AL433" s="43" t="s">
        <v>103</v>
      </c>
      <c r="AM433" s="44">
        <f t="shared" si="53"/>
        <v>-1.1222963570735371</v>
      </c>
      <c r="AN433" s="44">
        <f t="shared" si="54"/>
        <v>-0.18096977449653651</v>
      </c>
      <c r="AO433" s="45">
        <f t="shared" si="55"/>
        <v>0</v>
      </c>
      <c r="AP433" s="46">
        <f t="shared" si="56"/>
        <v>0</v>
      </c>
      <c r="AQ433" s="44">
        <f>($AM$3*AM433+$AN$3*AN433+$AO$3*AO433+$AP$3*AP433)+$I$3*VLOOKUP(I433,COND!$A$2:$E$7,4,FALSE)+$J$3*VLOOKUP(J433,COND!$A$2:$C$7,2,FALSE)+$K$3*VLOOKUP(K433,COND!$A$2:$C$7,3,FALSE)+IF(AND($B$2&gt;0,$E433&lt;20),$B$2*25,0)</f>
        <v>46.966133070334209</v>
      </c>
      <c r="AR433" s="47">
        <f t="shared" si="59"/>
        <v>0.54703629309304325</v>
      </c>
      <c r="AS433" s="45" t="str">
        <f t="shared" si="57"/>
        <v>2B</v>
      </c>
      <c r="AT433" s="45">
        <v>950</v>
      </c>
      <c r="AU433" s="45">
        <v>429</v>
      </c>
      <c r="AV433" s="45"/>
      <c r="AW433" s="45" t="str">
        <f t="shared" si="58"/>
        <v>Unlikely</v>
      </c>
      <c r="AX433" s="45"/>
      <c r="AY433" s="45">
        <f>INDEX(Table5[[#All],[Ovr]],MATCH(Batters[[#This Row],[PID]],Table5[[#All],[PID]],0))</f>
        <v>198</v>
      </c>
      <c r="AZ433" s="45" t="str">
        <f>INDEX(Table5[[#All],[Rnd]],MATCH(Batters[[#This Row],[PID]],Table5[[#All],[PID]],0))</f>
        <v>6</v>
      </c>
      <c r="BA433" s="45">
        <f>INDEX(Table5[[#All],[Pick]],MATCH(Batters[[#This Row],[PID]],Table5[[#All],[PID]],0))</f>
        <v>29</v>
      </c>
      <c r="BB433" s="45" t="str">
        <f>INDEX(Table5[[#All],[Team]],MATCH(Batters[[#This Row],[PID]],Table5[[#All],[PID]],0))</f>
        <v>Bakersfield Bears</v>
      </c>
    </row>
    <row r="434" spans="1:54" ht="15" customHeight="1" x14ac:dyDescent="0.3">
      <c r="A434" s="40">
        <v>20288</v>
      </c>
      <c r="B434" s="40" t="s">
        <v>87</v>
      </c>
      <c r="C434" s="40" t="s">
        <v>675</v>
      </c>
      <c r="D434" s="40" t="s">
        <v>1120</v>
      </c>
      <c r="E434" s="40">
        <v>21</v>
      </c>
      <c r="F434" s="40" t="s">
        <v>42</v>
      </c>
      <c r="G434" s="40" t="s">
        <v>42</v>
      </c>
      <c r="H434" s="41" t="s">
        <v>550</v>
      </c>
      <c r="I434" s="64" t="s">
        <v>44</v>
      </c>
      <c r="J434" s="65" t="s">
        <v>44</v>
      </c>
      <c r="K434" s="66" t="s">
        <v>44</v>
      </c>
      <c r="L434" s="40">
        <v>3</v>
      </c>
      <c r="M434" s="40">
        <v>5</v>
      </c>
      <c r="N434" s="40">
        <v>7</v>
      </c>
      <c r="O434" s="40">
        <v>4</v>
      </c>
      <c r="P434" s="41">
        <v>1</v>
      </c>
      <c r="Q434" s="40">
        <v>4</v>
      </c>
      <c r="R434" s="40">
        <v>7</v>
      </c>
      <c r="S434" s="40">
        <v>7</v>
      </c>
      <c r="T434" s="40">
        <v>5</v>
      </c>
      <c r="U434" s="41">
        <v>3</v>
      </c>
      <c r="V434" s="40">
        <v>3</v>
      </c>
      <c r="W434" s="40">
        <v>4</v>
      </c>
      <c r="X434" s="40">
        <v>1</v>
      </c>
      <c r="Y434" s="41">
        <v>1</v>
      </c>
      <c r="Z434" s="40" t="s">
        <v>45</v>
      </c>
      <c r="AA434" s="40">
        <v>4</v>
      </c>
      <c r="AB434" s="40" t="s">
        <v>45</v>
      </c>
      <c r="AC434" s="40" t="s">
        <v>45</v>
      </c>
      <c r="AD434" s="40" t="s">
        <v>45</v>
      </c>
      <c r="AE434" s="40" t="s">
        <v>45</v>
      </c>
      <c r="AF434" s="40" t="s">
        <v>45</v>
      </c>
      <c r="AG434" s="41" t="s">
        <v>45</v>
      </c>
      <c r="AH434" s="40">
        <v>2</v>
      </c>
      <c r="AI434" s="40">
        <v>3</v>
      </c>
      <c r="AJ434" s="41">
        <v>1</v>
      </c>
      <c r="AK434" s="43" t="s">
        <v>490</v>
      </c>
      <c r="AL434" s="43" t="s">
        <v>103</v>
      </c>
      <c r="AM434" s="44">
        <f t="shared" si="53"/>
        <v>-0.46749454477525648</v>
      </c>
      <c r="AN434" s="44">
        <f t="shared" si="54"/>
        <v>0.12692328030857319</v>
      </c>
      <c r="AO434" s="45">
        <f t="shared" si="55"/>
        <v>0</v>
      </c>
      <c r="AP434" s="46">
        <f t="shared" si="56"/>
        <v>0</v>
      </c>
      <c r="AQ434" s="44">
        <f>($AM$3*AM434+$AN$3*AN434+$AO$3*AO434+$AP$3*AP434)+$I$3*VLOOKUP(I434,COND!$A$2:$E$7,4,FALSE)+$J$3*VLOOKUP(J434,COND!$A$2:$C$7,2,FALSE)+$K$3*VLOOKUP(K434,COND!$A$2:$C$7,3,FALSE)+IF(AND($B$2&gt;0,$E434&lt;20),$B$2*25,0)</f>
        <v>45.726329909225349</v>
      </c>
      <c r="AR434" s="47">
        <f t="shared" si="59"/>
        <v>0.36606456933141956</v>
      </c>
      <c r="AS434" s="45" t="str">
        <f t="shared" si="57"/>
        <v>1B</v>
      </c>
      <c r="AT434" s="45">
        <v>950</v>
      </c>
      <c r="AU434" s="45">
        <v>430</v>
      </c>
      <c r="AV434" s="45"/>
      <c r="AW434" s="45" t="str">
        <f t="shared" si="58"/>
        <v>Possible</v>
      </c>
      <c r="AX434" s="45"/>
      <c r="AY434" s="45">
        <f>INDEX(Table5[[#All],[Ovr]],MATCH(Batters[[#This Row],[PID]],Table5[[#All],[PID]],0))</f>
        <v>124</v>
      </c>
      <c r="AZ434" s="45" t="str">
        <f>INDEX(Table5[[#All],[Rnd]],MATCH(Batters[[#This Row],[PID]],Table5[[#All],[PID]],0))</f>
        <v>4</v>
      </c>
      <c r="BA434" s="45">
        <f>INDEX(Table5[[#All],[Pick]],MATCH(Batters[[#This Row],[PID]],Table5[[#All],[PID]],0))</f>
        <v>19</v>
      </c>
      <c r="BB434" s="45" t="str">
        <f>INDEX(Table5[[#All],[Team]],MATCH(Batters[[#This Row],[PID]],Table5[[#All],[PID]],0))</f>
        <v>Fargo Dinosaurs</v>
      </c>
    </row>
    <row r="435" spans="1:54" ht="15" customHeight="1" x14ac:dyDescent="0.3">
      <c r="A435" s="40">
        <v>12750</v>
      </c>
      <c r="B435" s="40" t="s">
        <v>87</v>
      </c>
      <c r="C435" s="40" t="s">
        <v>143</v>
      </c>
      <c r="D435" s="40" t="s">
        <v>1191</v>
      </c>
      <c r="E435" s="40">
        <v>17</v>
      </c>
      <c r="F435" s="40" t="s">
        <v>53</v>
      </c>
      <c r="G435" s="40" t="s">
        <v>42</v>
      </c>
      <c r="H435" s="41" t="s">
        <v>552</v>
      </c>
      <c r="I435" s="64" t="s">
        <v>44</v>
      </c>
      <c r="J435" s="65" t="s">
        <v>44</v>
      </c>
      <c r="K435" s="66" t="s">
        <v>44</v>
      </c>
      <c r="L435" s="40">
        <v>1</v>
      </c>
      <c r="M435" s="40">
        <v>6</v>
      </c>
      <c r="N435" s="40">
        <v>2</v>
      </c>
      <c r="O435" s="40">
        <v>3</v>
      </c>
      <c r="P435" s="41">
        <v>1</v>
      </c>
      <c r="Q435" s="40">
        <v>3</v>
      </c>
      <c r="R435" s="40">
        <v>6</v>
      </c>
      <c r="S435" s="40">
        <v>3</v>
      </c>
      <c r="T435" s="40">
        <v>6</v>
      </c>
      <c r="U435" s="41">
        <v>3</v>
      </c>
      <c r="V435" s="40">
        <v>3</v>
      </c>
      <c r="W435" s="40">
        <v>3</v>
      </c>
      <c r="X435" s="40">
        <v>2</v>
      </c>
      <c r="Y435" s="41">
        <v>3</v>
      </c>
      <c r="Z435" s="40" t="s">
        <v>45</v>
      </c>
      <c r="AA435" s="40">
        <v>1</v>
      </c>
      <c r="AB435" s="40" t="s">
        <v>45</v>
      </c>
      <c r="AC435" s="40" t="s">
        <v>45</v>
      </c>
      <c r="AD435" s="40" t="s">
        <v>45</v>
      </c>
      <c r="AE435" s="40" t="s">
        <v>45</v>
      </c>
      <c r="AF435" s="40" t="s">
        <v>45</v>
      </c>
      <c r="AG435" s="41" t="s">
        <v>45</v>
      </c>
      <c r="AH435" s="40">
        <v>1</v>
      </c>
      <c r="AI435" s="40">
        <v>1</v>
      </c>
      <c r="AJ435" s="41">
        <v>1</v>
      </c>
      <c r="AK435" s="43" t="s">
        <v>500</v>
      </c>
      <c r="AL435" s="43" t="s">
        <v>103</v>
      </c>
      <c r="AM435" s="44">
        <f t="shared" si="53"/>
        <v>-1.566563357690991</v>
      </c>
      <c r="AN435" s="44">
        <f t="shared" si="54"/>
        <v>-0.48922886159882989</v>
      </c>
      <c r="AO435" s="45">
        <f t="shared" si="55"/>
        <v>0</v>
      </c>
      <c r="AP435" s="46">
        <f t="shared" si="56"/>
        <v>0</v>
      </c>
      <c r="AQ435" s="44">
        <f>($AM$3*AM435+$AN$3*AN435+$AO$3*AO435+$AP$3*AP435)+$I$3*VLOOKUP(I435,COND!$A$2:$E$7,4,FALSE)+$J$3*VLOOKUP(J435,COND!$A$2:$C$7,2,FALSE)+$K$3*VLOOKUP(K435,COND!$A$2:$C$7,3,FALSE)+IF(AND($B$2&gt;0,$E435&lt;20),$B$2*25,0)</f>
        <v>43.222597325044944</v>
      </c>
      <c r="AR435" s="47">
        <f t="shared" si="59"/>
        <v>5.9945695662710333E-4</v>
      </c>
      <c r="AS435" s="45" t="str">
        <f t="shared" si="57"/>
        <v>1B</v>
      </c>
      <c r="AT435" s="45">
        <v>950</v>
      </c>
      <c r="AU435" s="45">
        <v>431</v>
      </c>
      <c r="AV435" s="45"/>
      <c r="AW435" s="45" t="str">
        <f t="shared" si="58"/>
        <v>Unlikely</v>
      </c>
      <c r="AX435" s="45"/>
      <c r="AY435" s="45" t="str">
        <f>INDEX(Table5[[#All],[Ovr]],MATCH(Batters[[#This Row],[PID]],Table5[[#All],[PID]],0))</f>
        <v/>
      </c>
      <c r="AZ435" s="45" t="str">
        <f>INDEX(Table5[[#All],[Rnd]],MATCH(Batters[[#This Row],[PID]],Table5[[#All],[PID]],0))</f>
        <v/>
      </c>
      <c r="BA435" s="45" t="str">
        <f>INDEX(Table5[[#All],[Pick]],MATCH(Batters[[#This Row],[PID]],Table5[[#All],[PID]],0))</f>
        <v/>
      </c>
      <c r="BB435" s="45" t="str">
        <f>INDEX(Table5[[#All],[Team]],MATCH(Batters[[#This Row],[PID]],Table5[[#All],[PID]],0))</f>
        <v/>
      </c>
    </row>
    <row r="436" spans="1:54" ht="15" customHeight="1" x14ac:dyDescent="0.3">
      <c r="A436" s="40">
        <v>20574</v>
      </c>
      <c r="B436" s="40" t="s">
        <v>69</v>
      </c>
      <c r="C436" s="40" t="s">
        <v>142</v>
      </c>
      <c r="D436" s="40" t="s">
        <v>1284</v>
      </c>
      <c r="E436" s="40">
        <v>17</v>
      </c>
      <c r="F436" s="40" t="s">
        <v>62</v>
      </c>
      <c r="G436" s="40" t="s">
        <v>42</v>
      </c>
      <c r="H436" s="41" t="s">
        <v>553</v>
      </c>
      <c r="I436" s="64" t="s">
        <v>44</v>
      </c>
      <c r="J436" s="65" t="s">
        <v>44</v>
      </c>
      <c r="K436" s="66" t="s">
        <v>44</v>
      </c>
      <c r="L436" s="40">
        <v>1</v>
      </c>
      <c r="M436" s="40">
        <v>5</v>
      </c>
      <c r="N436" s="40">
        <v>2</v>
      </c>
      <c r="O436" s="40">
        <v>4</v>
      </c>
      <c r="P436" s="41">
        <v>1</v>
      </c>
      <c r="Q436" s="40">
        <v>3</v>
      </c>
      <c r="R436" s="40">
        <v>6</v>
      </c>
      <c r="S436" s="40">
        <v>2</v>
      </c>
      <c r="T436" s="40">
        <v>6</v>
      </c>
      <c r="U436" s="41">
        <v>4</v>
      </c>
      <c r="V436" s="40">
        <v>5</v>
      </c>
      <c r="W436" s="40">
        <v>5</v>
      </c>
      <c r="X436" s="40">
        <v>1</v>
      </c>
      <c r="Y436" s="41">
        <v>1</v>
      </c>
      <c r="Z436" s="40" t="s">
        <v>45</v>
      </c>
      <c r="AA436" s="40" t="s">
        <v>45</v>
      </c>
      <c r="AB436" s="40" t="s">
        <v>45</v>
      </c>
      <c r="AC436" s="40">
        <v>1</v>
      </c>
      <c r="AD436" s="40" t="s">
        <v>45</v>
      </c>
      <c r="AE436" s="40" t="s">
        <v>45</v>
      </c>
      <c r="AF436" s="40" t="s">
        <v>45</v>
      </c>
      <c r="AG436" s="41" t="s">
        <v>45</v>
      </c>
      <c r="AH436" s="40">
        <v>2</v>
      </c>
      <c r="AI436" s="40">
        <v>3</v>
      </c>
      <c r="AJ436" s="41">
        <v>3</v>
      </c>
      <c r="AK436" s="43" t="s">
        <v>558</v>
      </c>
      <c r="AL436" s="43" t="s">
        <v>103</v>
      </c>
      <c r="AM436" s="44">
        <f t="shared" si="53"/>
        <v>-1.5279136873001136</v>
      </c>
      <c r="AN436" s="44">
        <f t="shared" si="54"/>
        <v>-0.53227401580564793</v>
      </c>
      <c r="AO436" s="45">
        <f t="shared" si="55"/>
        <v>0</v>
      </c>
      <c r="AP436" s="46">
        <f t="shared" si="56"/>
        <v>0</v>
      </c>
      <c r="AQ436" s="44">
        <f>($AM$3*AM436+$AN$3*AN436+$AO$3*AO436+$AP$3*AP436)+$I$3*VLOOKUP(I436,COND!$A$2:$E$7,4,FALSE)+$J$3*VLOOKUP(J436,COND!$A$2:$C$7,2,FALSE)+$K$3*VLOOKUP(K436,COND!$A$2:$C$7,3,FALSE)+IF(AND($B$2&gt;0,$E436&lt;20),$B$2*25,0)</f>
        <v>42.709920441602208</v>
      </c>
      <c r="AR436" s="47">
        <f t="shared" si="59"/>
        <v>-7.4235018579302425E-2</v>
      </c>
      <c r="AS436" s="45" t="str">
        <f t="shared" si="57"/>
        <v>3B</v>
      </c>
      <c r="AT436" s="45">
        <v>950</v>
      </c>
      <c r="AU436" s="45">
        <v>432</v>
      </c>
      <c r="AV436" s="45"/>
      <c r="AW436" s="45" t="str">
        <f t="shared" si="58"/>
        <v>Unlikely</v>
      </c>
      <c r="AX436" s="45"/>
      <c r="AY436" s="45" t="str">
        <f>INDEX(Table5[[#All],[Ovr]],MATCH(Batters[[#This Row],[PID]],Table5[[#All],[PID]],0))</f>
        <v/>
      </c>
      <c r="AZ436" s="45" t="str">
        <f>INDEX(Table5[[#All],[Rnd]],MATCH(Batters[[#This Row],[PID]],Table5[[#All],[PID]],0))</f>
        <v/>
      </c>
      <c r="BA436" s="45" t="str">
        <f>INDEX(Table5[[#All],[Pick]],MATCH(Batters[[#This Row],[PID]],Table5[[#All],[PID]],0))</f>
        <v/>
      </c>
      <c r="BB436" s="45" t="str">
        <f>INDEX(Table5[[#All],[Team]],MATCH(Batters[[#This Row],[PID]],Table5[[#All],[PID]],0))</f>
        <v/>
      </c>
    </row>
    <row r="437" spans="1:54" ht="15" customHeight="1" x14ac:dyDescent="0.3">
      <c r="A437" s="40">
        <v>12065</v>
      </c>
      <c r="B437" s="40" t="s">
        <v>86</v>
      </c>
      <c r="C437" s="40" t="s">
        <v>1160</v>
      </c>
      <c r="D437" s="40" t="s">
        <v>1161</v>
      </c>
      <c r="E437" s="40">
        <v>17</v>
      </c>
      <c r="F437" s="40" t="s">
        <v>42</v>
      </c>
      <c r="G437" s="40" t="s">
        <v>42</v>
      </c>
      <c r="H437" s="41" t="s">
        <v>552</v>
      </c>
      <c r="I437" s="64" t="s">
        <v>44</v>
      </c>
      <c r="J437" s="65" t="s">
        <v>44</v>
      </c>
      <c r="K437" s="66" t="s">
        <v>44</v>
      </c>
      <c r="L437" s="40">
        <v>1</v>
      </c>
      <c r="M437" s="40">
        <v>3</v>
      </c>
      <c r="N437" s="40">
        <v>2</v>
      </c>
      <c r="O437" s="40">
        <v>3</v>
      </c>
      <c r="P437" s="41">
        <v>1</v>
      </c>
      <c r="Q437" s="40">
        <v>3</v>
      </c>
      <c r="R437" s="40">
        <v>4</v>
      </c>
      <c r="S437" s="40">
        <v>3</v>
      </c>
      <c r="T437" s="40">
        <v>6</v>
      </c>
      <c r="U437" s="41">
        <v>3</v>
      </c>
      <c r="V437" s="40">
        <v>3</v>
      </c>
      <c r="W437" s="40">
        <v>3</v>
      </c>
      <c r="X437" s="40">
        <v>5</v>
      </c>
      <c r="Y437" s="41">
        <v>5</v>
      </c>
      <c r="Z437" s="40" t="s">
        <v>45</v>
      </c>
      <c r="AA437" s="40" t="s">
        <v>45</v>
      </c>
      <c r="AB437" s="40" t="s">
        <v>45</v>
      </c>
      <c r="AC437" s="40" t="s">
        <v>45</v>
      </c>
      <c r="AD437" s="40" t="s">
        <v>45</v>
      </c>
      <c r="AE437" s="40" t="s">
        <v>45</v>
      </c>
      <c r="AF437" s="40" t="s">
        <v>45</v>
      </c>
      <c r="AG437" s="41" t="s">
        <v>45</v>
      </c>
      <c r="AH437" s="40">
        <v>2</v>
      </c>
      <c r="AI437" s="40">
        <v>5</v>
      </c>
      <c r="AJ437" s="41">
        <v>4</v>
      </c>
      <c r="AK437" s="43" t="s">
        <v>576</v>
      </c>
      <c r="AL437" s="43" t="s">
        <v>103</v>
      </c>
      <c r="AM437" s="44">
        <f t="shared" si="53"/>
        <v>-1.7197429965471014</v>
      </c>
      <c r="AN437" s="44">
        <f t="shared" si="54"/>
        <v>-0.59134862083623696</v>
      </c>
      <c r="AO437" s="45">
        <f t="shared" si="55"/>
        <v>0</v>
      </c>
      <c r="AP437" s="46">
        <f t="shared" si="56"/>
        <v>0</v>
      </c>
      <c r="AQ437" s="44">
        <f>($AM$3*AM437+$AN$3*AN437+$AO$3*AO437+$AP$3*AP437)+$I$3*VLOOKUP(I437,COND!$A$2:$E$7,4,FALSE)+$J$3*VLOOKUP(J437,COND!$A$2:$C$7,2,FALSE)+$K$3*VLOOKUP(K437,COND!$A$2:$C$7,3,FALSE)+IF(AND($B$2&gt;0,$E437&lt;20),$B$2*25,0)</f>
        <v>41.98184225031045</v>
      </c>
      <c r="AR437" s="47">
        <f t="shared" si="59"/>
        <v>-0.18051121583747776</v>
      </c>
      <c r="AS437" s="45" t="str">
        <f t="shared" si="57"/>
        <v>DH</v>
      </c>
      <c r="AT437" s="45">
        <v>950</v>
      </c>
      <c r="AU437" s="45">
        <v>433</v>
      </c>
      <c r="AV437" s="45"/>
      <c r="AW437" s="45" t="str">
        <f t="shared" si="58"/>
        <v>Unlikely</v>
      </c>
      <c r="AX437" s="45"/>
      <c r="AY437" s="45">
        <f>INDEX(Table5[[#All],[Ovr]],MATCH(Batters[[#This Row],[PID]],Table5[[#All],[PID]],0))</f>
        <v>645</v>
      </c>
      <c r="AZ437" s="45" t="str">
        <f>INDEX(Table5[[#All],[Rnd]],MATCH(Batters[[#This Row],[PID]],Table5[[#All],[PID]],0))</f>
        <v>20</v>
      </c>
      <c r="BA437" s="45">
        <f>INDEX(Table5[[#All],[Pick]],MATCH(Batters[[#This Row],[PID]],Table5[[#All],[PID]],0))</f>
        <v>8</v>
      </c>
      <c r="BB437" s="45" t="str">
        <f>INDEX(Table5[[#All],[Team]],MATCH(Batters[[#This Row],[PID]],Table5[[#All],[PID]],0))</f>
        <v>Gloucester Fishermen</v>
      </c>
    </row>
    <row r="438" spans="1:54" ht="15" customHeight="1" x14ac:dyDescent="0.3">
      <c r="A438" s="40">
        <v>5786</v>
      </c>
      <c r="B438" s="40" t="s">
        <v>86</v>
      </c>
      <c r="C438" s="40" t="s">
        <v>358</v>
      </c>
      <c r="D438" s="40" t="s">
        <v>1063</v>
      </c>
      <c r="E438" s="40">
        <v>21</v>
      </c>
      <c r="F438" s="40" t="s">
        <v>62</v>
      </c>
      <c r="G438" s="40" t="s">
        <v>42</v>
      </c>
      <c r="H438" s="41" t="s">
        <v>550</v>
      </c>
      <c r="I438" s="64" t="s">
        <v>43</v>
      </c>
      <c r="J438" s="65" t="s">
        <v>44</v>
      </c>
      <c r="K438" s="66" t="s">
        <v>44</v>
      </c>
      <c r="L438" s="40">
        <v>3</v>
      </c>
      <c r="M438" s="40">
        <v>3</v>
      </c>
      <c r="N438" s="40">
        <v>3</v>
      </c>
      <c r="O438" s="40">
        <v>3</v>
      </c>
      <c r="P438" s="41">
        <v>1</v>
      </c>
      <c r="Q438" s="40">
        <v>4</v>
      </c>
      <c r="R438" s="40">
        <v>4</v>
      </c>
      <c r="S438" s="40">
        <v>4</v>
      </c>
      <c r="T438" s="40">
        <v>5</v>
      </c>
      <c r="U438" s="41">
        <v>3</v>
      </c>
      <c r="V438" s="40">
        <v>4</v>
      </c>
      <c r="W438" s="40">
        <v>4</v>
      </c>
      <c r="X438" s="40">
        <v>6</v>
      </c>
      <c r="Y438" s="41">
        <v>8</v>
      </c>
      <c r="Z438" s="40" t="s">
        <v>45</v>
      </c>
      <c r="AA438" s="40" t="s">
        <v>45</v>
      </c>
      <c r="AB438" s="40" t="s">
        <v>45</v>
      </c>
      <c r="AC438" s="40" t="s">
        <v>45</v>
      </c>
      <c r="AD438" s="40" t="s">
        <v>45</v>
      </c>
      <c r="AE438" s="40" t="s">
        <v>45</v>
      </c>
      <c r="AF438" s="40" t="s">
        <v>45</v>
      </c>
      <c r="AG438" s="41" t="s">
        <v>45</v>
      </c>
      <c r="AH438" s="40">
        <v>1</v>
      </c>
      <c r="AI438" s="40">
        <v>1</v>
      </c>
      <c r="AJ438" s="41">
        <v>1</v>
      </c>
      <c r="AK438" s="43" t="s">
        <v>504</v>
      </c>
      <c r="AL438" s="43" t="s">
        <v>103</v>
      </c>
      <c r="AM438" s="44">
        <f t="shared" si="53"/>
        <v>-0.99156983011785049</v>
      </c>
      <c r="AN438" s="44">
        <f t="shared" si="54"/>
        <v>-0.27544084061924184</v>
      </c>
      <c r="AO438" s="45">
        <f t="shared" si="55"/>
        <v>0</v>
      </c>
      <c r="AP438" s="46">
        <f t="shared" si="56"/>
        <v>0</v>
      </c>
      <c r="AQ438" s="44">
        <f>($AM$3*AM438+$AN$3*AN438+$AO$3*AO438+$AP$3*AP438)+$I$3*VLOOKUP(I438,COND!$A$2:$E$7,4,FALSE)+$J$3*VLOOKUP(J438,COND!$A$2:$C$7,2,FALSE)+$K$3*VLOOKUP(K438,COND!$A$2:$C$7,3,FALSE)+IF(AND($B$2&gt;0,$E438&lt;20),$B$2*25,0)</f>
        <v>40.995552929557306</v>
      </c>
      <c r="AR438" s="47">
        <f t="shared" si="59"/>
        <v>-0.32447800355298773</v>
      </c>
      <c r="AS438" s="45" t="str">
        <f t="shared" si="57"/>
        <v>DH</v>
      </c>
      <c r="AT438" s="45">
        <v>950</v>
      </c>
      <c r="AU438" s="45">
        <v>434</v>
      </c>
      <c r="AV438" s="45"/>
      <c r="AW438" s="45" t="str">
        <f t="shared" si="58"/>
        <v>Unlikely</v>
      </c>
      <c r="AX438" s="45"/>
      <c r="AY438" s="45">
        <f>INDEX(Table5[[#All],[Ovr]],MATCH(Batters[[#This Row],[PID]],Table5[[#All],[PID]],0))</f>
        <v>544</v>
      </c>
      <c r="AZ438" s="45" t="str">
        <f>INDEX(Table5[[#All],[Rnd]],MATCH(Batters[[#This Row],[PID]],Table5[[#All],[PID]],0))</f>
        <v>17</v>
      </c>
      <c r="BA438" s="45">
        <f>INDEX(Table5[[#All],[Pick]],MATCH(Batters[[#This Row],[PID]],Table5[[#All],[PID]],0))</f>
        <v>9</v>
      </c>
      <c r="BB438" s="45" t="str">
        <f>INDEX(Table5[[#All],[Team]],MATCH(Batters[[#This Row],[PID]],Table5[[#All],[PID]],0))</f>
        <v>New Jersey Hitmen</v>
      </c>
    </row>
    <row r="439" spans="1:54" ht="15" customHeight="1" x14ac:dyDescent="0.3">
      <c r="A439" s="40">
        <v>16906</v>
      </c>
      <c r="B439" s="40" t="s">
        <v>69</v>
      </c>
      <c r="C439" s="40" t="s">
        <v>389</v>
      </c>
      <c r="D439" s="40" t="s">
        <v>678</v>
      </c>
      <c r="E439" s="40">
        <v>22</v>
      </c>
      <c r="F439" s="40" t="s">
        <v>53</v>
      </c>
      <c r="G439" s="40" t="s">
        <v>42</v>
      </c>
      <c r="H439" s="41" t="s">
        <v>552</v>
      </c>
      <c r="I439" s="64" t="s">
        <v>43</v>
      </c>
      <c r="J439" s="65" t="s">
        <v>44</v>
      </c>
      <c r="K439" s="66" t="s">
        <v>44</v>
      </c>
      <c r="L439" s="40">
        <v>2</v>
      </c>
      <c r="M439" s="40">
        <v>3</v>
      </c>
      <c r="N439" s="40">
        <v>3</v>
      </c>
      <c r="O439" s="40">
        <v>2</v>
      </c>
      <c r="P439" s="41">
        <v>3</v>
      </c>
      <c r="Q439" s="40">
        <v>4</v>
      </c>
      <c r="R439" s="40">
        <v>4</v>
      </c>
      <c r="S439" s="40">
        <v>4</v>
      </c>
      <c r="T439" s="40">
        <v>4</v>
      </c>
      <c r="U439" s="41">
        <v>5</v>
      </c>
      <c r="V439" s="40">
        <v>8</v>
      </c>
      <c r="W439" s="40">
        <v>8</v>
      </c>
      <c r="X439" s="40">
        <v>1</v>
      </c>
      <c r="Y439" s="41">
        <v>1</v>
      </c>
      <c r="Z439" s="40" t="s">
        <v>45</v>
      </c>
      <c r="AA439" s="40" t="s">
        <v>45</v>
      </c>
      <c r="AB439" s="40" t="s">
        <v>45</v>
      </c>
      <c r="AC439" s="40">
        <v>3</v>
      </c>
      <c r="AD439" s="40" t="s">
        <v>45</v>
      </c>
      <c r="AE439" s="40" t="s">
        <v>45</v>
      </c>
      <c r="AF439" s="40" t="s">
        <v>45</v>
      </c>
      <c r="AG439" s="41" t="s">
        <v>45</v>
      </c>
      <c r="AH439" s="40">
        <v>3</v>
      </c>
      <c r="AI439" s="40">
        <v>1</v>
      </c>
      <c r="AJ439" s="41">
        <v>1</v>
      </c>
      <c r="AK439" s="43" t="s">
        <v>557</v>
      </c>
      <c r="AL439" s="43" t="s">
        <v>103</v>
      </c>
      <c r="AM439" s="44">
        <f t="shared" si="53"/>
        <v>-1.3238025366959394</v>
      </c>
      <c r="AN439" s="44">
        <f t="shared" si="54"/>
        <v>-0.28511771099465594</v>
      </c>
      <c r="AO439" s="45">
        <f t="shared" si="55"/>
        <v>0</v>
      </c>
      <c r="AP439" s="46">
        <f t="shared" si="56"/>
        <v>0</v>
      </c>
      <c r="AQ439" s="44">
        <f>($AM$3*AM439+$AN$3*AN439+$AO$3*AO439+$AP$3*AP439)+$I$3*VLOOKUP(I439,COND!$A$2:$E$7,4,FALSE)+$J$3*VLOOKUP(J439,COND!$A$2:$C$7,2,FALSE)+$K$3*VLOOKUP(K439,COND!$A$2:$C$7,3,FALSE)+IF(AND($B$2&gt;0,$E439&lt;20),$B$2*25,0)</f>
        <v>40.846207214394532</v>
      </c>
      <c r="AR439" s="47">
        <f t="shared" si="59"/>
        <v>-0.34627771527919982</v>
      </c>
      <c r="AS439" s="45" t="str">
        <f t="shared" si="57"/>
        <v>3B</v>
      </c>
      <c r="AT439" s="45">
        <v>950</v>
      </c>
      <c r="AU439" s="45">
        <v>435</v>
      </c>
      <c r="AV439" s="45"/>
      <c r="AW439" s="45" t="str">
        <f t="shared" si="58"/>
        <v>Unlikely</v>
      </c>
      <c r="AX439" s="45"/>
      <c r="AY439" s="45">
        <f>INDEX(Table5[[#All],[Ovr]],MATCH(Batters[[#This Row],[PID]],Table5[[#All],[PID]],0))</f>
        <v>296</v>
      </c>
      <c r="AZ439" s="45" t="str">
        <f>INDEX(Table5[[#All],[Rnd]],MATCH(Batters[[#This Row],[PID]],Table5[[#All],[PID]],0))</f>
        <v>9</v>
      </c>
      <c r="BA439" s="45">
        <f>INDEX(Table5[[#All],[Pick]],MATCH(Batters[[#This Row],[PID]],Table5[[#All],[PID]],0))</f>
        <v>31</v>
      </c>
      <c r="BB439" s="45" t="str">
        <f>INDEX(Table5[[#All],[Team]],MATCH(Batters[[#This Row],[PID]],Table5[[#All],[PID]],0))</f>
        <v>Arlington Bureaucrats</v>
      </c>
    </row>
    <row r="440" spans="1:54" ht="15" customHeight="1" x14ac:dyDescent="0.3">
      <c r="A440" s="40">
        <v>7475</v>
      </c>
      <c r="B440" s="40" t="s">
        <v>71</v>
      </c>
      <c r="C440" s="40" t="s">
        <v>320</v>
      </c>
      <c r="D440" s="40" t="s">
        <v>770</v>
      </c>
      <c r="E440" s="40">
        <v>21</v>
      </c>
      <c r="F440" s="40" t="s">
        <v>53</v>
      </c>
      <c r="G440" s="40" t="s">
        <v>42</v>
      </c>
      <c r="H440" s="41" t="s">
        <v>552</v>
      </c>
      <c r="I440" s="64" t="s">
        <v>44</v>
      </c>
      <c r="J440" s="65" t="s">
        <v>44</v>
      </c>
      <c r="K440" s="66" t="s">
        <v>44</v>
      </c>
      <c r="L440" s="40">
        <v>1</v>
      </c>
      <c r="M440" s="40">
        <v>4</v>
      </c>
      <c r="N440" s="40">
        <v>2</v>
      </c>
      <c r="O440" s="40">
        <v>3</v>
      </c>
      <c r="P440" s="41">
        <v>2</v>
      </c>
      <c r="Q440" s="40">
        <v>4</v>
      </c>
      <c r="R440" s="40">
        <v>5</v>
      </c>
      <c r="S440" s="40">
        <v>2</v>
      </c>
      <c r="T440" s="40">
        <v>5</v>
      </c>
      <c r="U440" s="41">
        <v>6</v>
      </c>
      <c r="V440" s="40">
        <v>5</v>
      </c>
      <c r="W440" s="40">
        <v>7</v>
      </c>
      <c r="X440" s="40">
        <v>1</v>
      </c>
      <c r="Y440" s="41">
        <v>1</v>
      </c>
      <c r="Z440" s="40" t="s">
        <v>45</v>
      </c>
      <c r="AA440" s="40" t="s">
        <v>45</v>
      </c>
      <c r="AB440" s="40">
        <v>3</v>
      </c>
      <c r="AC440" s="40" t="s">
        <v>45</v>
      </c>
      <c r="AD440" s="40" t="s">
        <v>45</v>
      </c>
      <c r="AE440" s="40">
        <v>1</v>
      </c>
      <c r="AF440" s="40" t="s">
        <v>45</v>
      </c>
      <c r="AG440" s="41" t="s">
        <v>45</v>
      </c>
      <c r="AH440" s="40">
        <v>7</v>
      </c>
      <c r="AI440" s="40">
        <v>2</v>
      </c>
      <c r="AJ440" s="41">
        <v>5</v>
      </c>
      <c r="AK440" s="43" t="s">
        <v>504</v>
      </c>
      <c r="AL440" s="43" t="s">
        <v>103</v>
      </c>
      <c r="AM440" s="44">
        <f t="shared" si="53"/>
        <v>-1.6286667771113144</v>
      </c>
      <c r="AN440" s="44">
        <f t="shared" si="54"/>
        <v>-0.27045492959709094</v>
      </c>
      <c r="AO440" s="45">
        <f t="shared" si="55"/>
        <v>0</v>
      </c>
      <c r="AP440" s="46">
        <f t="shared" si="56"/>
        <v>0</v>
      </c>
      <c r="AQ440" s="44">
        <f>($AM$3*AM440+$AN$3*AN440+$AO$3*AO440+$AP$3*AP440)+$I$3*VLOOKUP(I440,COND!$A$2:$E$7,4,FALSE)+$J$3*VLOOKUP(J440,COND!$A$2:$C$7,2,FALSE)+$K$3*VLOOKUP(K440,COND!$A$2:$C$7,3,FALSE)+IF(AND($B$2&gt;0,$E440&lt;20),$B$2*25,0)</f>
        <v>40.84167416712377</v>
      </c>
      <c r="AR440" s="47">
        <f t="shared" si="59"/>
        <v>-0.34693939562025411</v>
      </c>
      <c r="AS440" s="45" t="str">
        <f t="shared" si="57"/>
        <v>2B</v>
      </c>
      <c r="AT440" s="45">
        <v>950</v>
      </c>
      <c r="AU440" s="45">
        <v>436</v>
      </c>
      <c r="AV440" s="45"/>
      <c r="AW440" s="45" t="str">
        <f t="shared" si="58"/>
        <v>Unlikely</v>
      </c>
      <c r="AX440" s="45"/>
      <c r="AY440" s="45">
        <f>INDEX(Table5[[#All],[Ovr]],MATCH(Batters[[#This Row],[PID]],Table5[[#All],[PID]],0))</f>
        <v>642</v>
      </c>
      <c r="AZ440" s="45" t="str">
        <f>INDEX(Table5[[#All],[Rnd]],MATCH(Batters[[#This Row],[PID]],Table5[[#All],[PID]],0))</f>
        <v>20</v>
      </c>
      <c r="BA440" s="45">
        <f>INDEX(Table5[[#All],[Pick]],MATCH(Batters[[#This Row],[PID]],Table5[[#All],[PID]],0))</f>
        <v>5</v>
      </c>
      <c r="BB440" s="45" t="str">
        <f>INDEX(Table5[[#All],[Team]],MATCH(Batters[[#This Row],[PID]],Table5[[#All],[PID]],0))</f>
        <v>Tempe Knights</v>
      </c>
    </row>
    <row r="441" spans="1:54" ht="15" customHeight="1" x14ac:dyDescent="0.3">
      <c r="A441" s="40">
        <v>7716</v>
      </c>
      <c r="B441" s="40" t="s">
        <v>72</v>
      </c>
      <c r="C441" s="40" t="s">
        <v>353</v>
      </c>
      <c r="D441" s="40" t="s">
        <v>728</v>
      </c>
      <c r="E441" s="40">
        <v>21</v>
      </c>
      <c r="F441" s="40" t="s">
        <v>42</v>
      </c>
      <c r="G441" s="40" t="s">
        <v>42</v>
      </c>
      <c r="H441" s="41" t="s">
        <v>550</v>
      </c>
      <c r="I441" s="64" t="s">
        <v>44</v>
      </c>
      <c r="J441" s="65" t="s">
        <v>44</v>
      </c>
      <c r="K441" s="66" t="s">
        <v>44</v>
      </c>
      <c r="L441" s="40">
        <v>2</v>
      </c>
      <c r="M441" s="40">
        <v>4</v>
      </c>
      <c r="N441" s="40">
        <v>2</v>
      </c>
      <c r="O441" s="40">
        <v>3</v>
      </c>
      <c r="P441" s="41">
        <v>6</v>
      </c>
      <c r="Q441" s="40">
        <v>4</v>
      </c>
      <c r="R441" s="40">
        <v>4</v>
      </c>
      <c r="S441" s="40">
        <v>3</v>
      </c>
      <c r="T441" s="40">
        <v>4</v>
      </c>
      <c r="U441" s="41">
        <v>6</v>
      </c>
      <c r="V441" s="40">
        <v>4</v>
      </c>
      <c r="W441" s="40">
        <v>7</v>
      </c>
      <c r="X441" s="40">
        <v>1</v>
      </c>
      <c r="Y441" s="41">
        <v>1</v>
      </c>
      <c r="Z441" s="40" t="s">
        <v>45</v>
      </c>
      <c r="AA441" s="40" t="s">
        <v>45</v>
      </c>
      <c r="AB441" s="40">
        <v>4</v>
      </c>
      <c r="AC441" s="40" t="s">
        <v>45</v>
      </c>
      <c r="AD441" s="40">
        <v>3</v>
      </c>
      <c r="AE441" s="40" t="s">
        <v>45</v>
      </c>
      <c r="AF441" s="40">
        <v>2</v>
      </c>
      <c r="AG441" s="41" t="s">
        <v>45</v>
      </c>
      <c r="AH441" s="40">
        <v>7</v>
      </c>
      <c r="AI441" s="40">
        <v>8</v>
      </c>
      <c r="AJ441" s="41">
        <v>8</v>
      </c>
      <c r="AK441" s="43" t="s">
        <v>613</v>
      </c>
      <c r="AL441" s="43" t="s">
        <v>103</v>
      </c>
      <c r="AM441" s="44">
        <f t="shared" si="53"/>
        <v>-1.1460455816403059</v>
      </c>
      <c r="AN441" s="44">
        <f t="shared" si="54"/>
        <v>-0.32816286520147392</v>
      </c>
      <c r="AO441" s="45">
        <f t="shared" si="55"/>
        <v>3</v>
      </c>
      <c r="AP441" s="46">
        <f t="shared" si="56"/>
        <v>0</v>
      </c>
      <c r="AQ441" s="44">
        <f>($AM$3*AM441+$AN$3*AN441+$AO$3*AO441+$AP$3*AP441)+$I$3*VLOOKUP(I441,COND!$A$2:$E$7,4,FALSE)+$J$3*VLOOKUP(J441,COND!$A$2:$C$7,2,FALSE)+$K$3*VLOOKUP(K441,COND!$A$2:$C$7,3,FALSE)+IF(AND($B$2&gt;0,$E441&lt;20),$B$2*25,0)</f>
        <v>40.697441059418281</v>
      </c>
      <c r="AR441" s="47">
        <f t="shared" si="59"/>
        <v>-0.36799282970055841</v>
      </c>
      <c r="AS441" s="45" t="str">
        <f t="shared" si="57"/>
        <v>2B</v>
      </c>
      <c r="AT441" s="45">
        <v>950</v>
      </c>
      <c r="AU441" s="45">
        <v>437</v>
      </c>
      <c r="AV441" s="45"/>
      <c r="AW441" s="45" t="str">
        <f t="shared" si="58"/>
        <v>Unlikely</v>
      </c>
      <c r="AX441" s="45"/>
      <c r="AY441" s="45">
        <f>INDEX(Table5[[#All],[Ovr]],MATCH(Batters[[#This Row],[PID]],Table5[[#All],[PID]],0))</f>
        <v>167</v>
      </c>
      <c r="AZ441" s="45" t="str">
        <f>INDEX(Table5[[#All],[Rnd]],MATCH(Batters[[#This Row],[PID]],Table5[[#All],[PID]],0))</f>
        <v>5</v>
      </c>
      <c r="BA441" s="45">
        <f>INDEX(Table5[[#All],[Pick]],MATCH(Batters[[#This Row],[PID]],Table5[[#All],[PID]],0))</f>
        <v>30</v>
      </c>
      <c r="BB441" s="45" t="str">
        <f>INDEX(Table5[[#All],[Team]],MATCH(Batters[[#This Row],[PID]],Table5[[#All],[PID]],0))</f>
        <v>Toyama Wind Dancers</v>
      </c>
    </row>
    <row r="442" spans="1:54" ht="15" customHeight="1" x14ac:dyDescent="0.3">
      <c r="A442" s="40">
        <v>6204</v>
      </c>
      <c r="B442" s="40" t="s">
        <v>66</v>
      </c>
      <c r="C442" s="40" t="s">
        <v>369</v>
      </c>
      <c r="D442" s="40" t="s">
        <v>400</v>
      </c>
      <c r="E442" s="40">
        <v>21</v>
      </c>
      <c r="F442" s="40" t="s">
        <v>42</v>
      </c>
      <c r="G442" s="40" t="s">
        <v>53</v>
      </c>
      <c r="H442" s="41" t="s">
        <v>552</v>
      </c>
      <c r="I442" s="64" t="s">
        <v>43</v>
      </c>
      <c r="J442" s="65" t="s">
        <v>44</v>
      </c>
      <c r="K442" s="66" t="s">
        <v>44</v>
      </c>
      <c r="L442" s="40">
        <v>2</v>
      </c>
      <c r="M442" s="40">
        <v>4</v>
      </c>
      <c r="N442" s="40">
        <v>2</v>
      </c>
      <c r="O442" s="40">
        <v>3</v>
      </c>
      <c r="P442" s="41">
        <v>4</v>
      </c>
      <c r="Q442" s="40">
        <v>4</v>
      </c>
      <c r="R442" s="40">
        <v>4</v>
      </c>
      <c r="S442" s="40">
        <v>2</v>
      </c>
      <c r="T442" s="40">
        <v>5</v>
      </c>
      <c r="U442" s="41">
        <v>5</v>
      </c>
      <c r="V442" s="40">
        <v>8</v>
      </c>
      <c r="W442" s="40">
        <v>10</v>
      </c>
      <c r="X442" s="40">
        <v>1</v>
      </c>
      <c r="Y442" s="41">
        <v>1</v>
      </c>
      <c r="Z442" s="40" t="s">
        <v>45</v>
      </c>
      <c r="AA442" s="40" t="s">
        <v>45</v>
      </c>
      <c r="AB442" s="40" t="s">
        <v>45</v>
      </c>
      <c r="AC442" s="40" t="s">
        <v>45</v>
      </c>
      <c r="AD442" s="40" t="s">
        <v>45</v>
      </c>
      <c r="AE442" s="40">
        <v>2</v>
      </c>
      <c r="AF442" s="40" t="s">
        <v>45</v>
      </c>
      <c r="AG442" s="41">
        <v>2</v>
      </c>
      <c r="AH442" s="40">
        <v>9</v>
      </c>
      <c r="AI442" s="40">
        <v>7</v>
      </c>
      <c r="AJ442" s="41">
        <v>8</v>
      </c>
      <c r="AK442" s="43" t="s">
        <v>563</v>
      </c>
      <c r="AL442" s="43" t="s">
        <v>103</v>
      </c>
      <c r="AM442" s="44">
        <f t="shared" si="53"/>
        <v>-1.2260782612744727</v>
      </c>
      <c r="AN442" s="44">
        <f t="shared" si="54"/>
        <v>-0.36153114903287792</v>
      </c>
      <c r="AO442" s="45">
        <f t="shared" si="55"/>
        <v>3</v>
      </c>
      <c r="AP442" s="46">
        <f t="shared" si="56"/>
        <v>0</v>
      </c>
      <c r="AQ442" s="44">
        <f>($AM$3*AM442+$AN$3*AN442+$AO$3*AO442+$AP$3*AP442)+$I$3*VLOOKUP(I442,COND!$A$2:$E$7,4,FALSE)+$J$3*VLOOKUP(J442,COND!$A$2:$C$7,2,FALSE)+$K$3*VLOOKUP(K442,COND!$A$2:$C$7,3,FALSE)+IF(AND($B$2&gt;0,$E442&lt;20),$B$2*25,0)</f>
        <v>40.439018385478015</v>
      </c>
      <c r="AR442" s="47">
        <f t="shared" si="59"/>
        <v>-0.40571429890558142</v>
      </c>
      <c r="AS442" s="45" t="str">
        <f t="shared" si="57"/>
        <v>RF</v>
      </c>
      <c r="AT442" s="45">
        <v>950</v>
      </c>
      <c r="AU442" s="45">
        <v>438</v>
      </c>
      <c r="AV442" s="45"/>
      <c r="AW442" s="45" t="str">
        <f t="shared" si="58"/>
        <v>Unlikely</v>
      </c>
      <c r="AX442" s="45"/>
      <c r="AY442" s="45">
        <f>INDEX(Table5[[#All],[Ovr]],MATCH(Batters[[#This Row],[PID]],Table5[[#All],[PID]],0))</f>
        <v>468</v>
      </c>
      <c r="AZ442" s="45" t="str">
        <f>INDEX(Table5[[#All],[Rnd]],MATCH(Batters[[#This Row],[PID]],Table5[[#All],[PID]],0))</f>
        <v>15</v>
      </c>
      <c r="BA442" s="45">
        <f>INDEX(Table5[[#All],[Pick]],MATCH(Batters[[#This Row],[PID]],Table5[[#All],[PID]],0))</f>
        <v>1</v>
      </c>
      <c r="BB442" s="45" t="str">
        <f>INDEX(Table5[[#All],[Team]],MATCH(Batters[[#This Row],[PID]],Table5[[#All],[PID]],0))</f>
        <v>Yuma Arroyos</v>
      </c>
    </row>
    <row r="443" spans="1:54" ht="15" customHeight="1" x14ac:dyDescent="0.3">
      <c r="A443" s="40">
        <v>12198</v>
      </c>
      <c r="B443" s="40" t="s">
        <v>86</v>
      </c>
      <c r="C443" s="40" t="s">
        <v>909</v>
      </c>
      <c r="D443" s="40" t="s">
        <v>1198</v>
      </c>
      <c r="E443" s="40">
        <v>18</v>
      </c>
      <c r="F443" s="40" t="s">
        <v>42</v>
      </c>
      <c r="G443" s="40" t="s">
        <v>42</v>
      </c>
      <c r="H443" s="41" t="s">
        <v>552</v>
      </c>
      <c r="I443" s="64" t="s">
        <v>43</v>
      </c>
      <c r="J443" s="65" t="s">
        <v>44</v>
      </c>
      <c r="K443" s="66" t="s">
        <v>44</v>
      </c>
      <c r="L443" s="40">
        <v>1</v>
      </c>
      <c r="M443" s="40">
        <v>3</v>
      </c>
      <c r="N443" s="40">
        <v>3</v>
      </c>
      <c r="O443" s="40">
        <v>4</v>
      </c>
      <c r="P443" s="41">
        <v>1</v>
      </c>
      <c r="Q443" s="40">
        <v>2</v>
      </c>
      <c r="R443" s="40">
        <v>4</v>
      </c>
      <c r="S443" s="40">
        <v>4</v>
      </c>
      <c r="T443" s="40">
        <v>6</v>
      </c>
      <c r="U443" s="41">
        <v>2</v>
      </c>
      <c r="V443" s="40">
        <v>5</v>
      </c>
      <c r="W443" s="40">
        <v>4</v>
      </c>
      <c r="X443" s="40">
        <v>6</v>
      </c>
      <c r="Y443" s="41">
        <v>7</v>
      </c>
      <c r="Z443" s="40">
        <v>2</v>
      </c>
      <c r="AA443" s="40" t="s">
        <v>45</v>
      </c>
      <c r="AB443" s="40" t="s">
        <v>45</v>
      </c>
      <c r="AC443" s="40" t="s">
        <v>45</v>
      </c>
      <c r="AD443" s="40" t="s">
        <v>45</v>
      </c>
      <c r="AE443" s="40" t="s">
        <v>45</v>
      </c>
      <c r="AF443" s="40" t="s">
        <v>45</v>
      </c>
      <c r="AG443" s="41" t="s">
        <v>45</v>
      </c>
      <c r="AH443" s="40">
        <v>1</v>
      </c>
      <c r="AI443" s="40">
        <v>2</v>
      </c>
      <c r="AJ443" s="41">
        <v>1</v>
      </c>
      <c r="AK443" s="43" t="s">
        <v>572</v>
      </c>
      <c r="AL443" s="43" t="s">
        <v>103</v>
      </c>
      <c r="AM443" s="44">
        <f t="shared" si="53"/>
        <v>-1.546971952513619</v>
      </c>
      <c r="AN443" s="44">
        <f t="shared" si="54"/>
        <v>-0.87085930283209367</v>
      </c>
      <c r="AO443" s="45">
        <f t="shared" si="55"/>
        <v>0</v>
      </c>
      <c r="AP443" s="46">
        <f t="shared" si="56"/>
        <v>1.1000000000000001</v>
      </c>
      <c r="AQ443" s="44">
        <f>($AM$3*AM443+$AN$3*AN443+$AO$3*AO443+$AP$3*AP443)+$I$3*VLOOKUP(I443,COND!$A$2:$E$7,4,FALSE)+$J$3*VLOOKUP(J443,COND!$A$2:$C$7,2,FALSE)+$K$3*VLOOKUP(K443,COND!$A$2:$C$7,3,FALSE)+IF(AND($B$2&gt;0,$E443&lt;20),$B$2*25,0)</f>
        <v>39.894991170763518</v>
      </c>
      <c r="AR443" s="47">
        <f t="shared" si="59"/>
        <v>-0.48512492303406174</v>
      </c>
      <c r="AS443" s="45" t="str">
        <f t="shared" si="57"/>
        <v>C</v>
      </c>
      <c r="AT443" s="45">
        <v>950</v>
      </c>
      <c r="AU443" s="45">
        <v>439</v>
      </c>
      <c r="AV443" s="45"/>
      <c r="AW443" s="45" t="str">
        <f t="shared" si="58"/>
        <v>Unlikely</v>
      </c>
      <c r="AX443" s="45"/>
      <c r="AY443" s="45" t="str">
        <f>INDEX(Table5[[#All],[Ovr]],MATCH(Batters[[#This Row],[PID]],Table5[[#All],[PID]],0))</f>
        <v/>
      </c>
      <c r="AZ443" s="45" t="str">
        <f>INDEX(Table5[[#All],[Rnd]],MATCH(Batters[[#This Row],[PID]],Table5[[#All],[PID]],0))</f>
        <v/>
      </c>
      <c r="BA443" s="45" t="str">
        <f>INDEX(Table5[[#All],[Pick]],MATCH(Batters[[#This Row],[PID]],Table5[[#All],[PID]],0))</f>
        <v/>
      </c>
      <c r="BB443" s="45" t="str">
        <f>INDEX(Table5[[#All],[Team]],MATCH(Batters[[#This Row],[PID]],Table5[[#All],[PID]],0))</f>
        <v/>
      </c>
    </row>
    <row r="444" spans="1:54" ht="15" customHeight="1" x14ac:dyDescent="0.3">
      <c r="A444" s="40">
        <v>15314</v>
      </c>
      <c r="B444" s="40" t="s">
        <v>50</v>
      </c>
      <c r="C444" s="40" t="s">
        <v>1256</v>
      </c>
      <c r="D444" s="40" t="s">
        <v>356</v>
      </c>
      <c r="E444" s="40">
        <v>21</v>
      </c>
      <c r="F444" s="40" t="s">
        <v>42</v>
      </c>
      <c r="G444" s="40" t="s">
        <v>42</v>
      </c>
      <c r="H444" s="41" t="s">
        <v>552</v>
      </c>
      <c r="I444" s="64" t="s">
        <v>43</v>
      </c>
      <c r="J444" s="65" t="s">
        <v>44</v>
      </c>
      <c r="K444" s="66" t="s">
        <v>44</v>
      </c>
      <c r="L444" s="40">
        <v>2</v>
      </c>
      <c r="M444" s="40">
        <v>2</v>
      </c>
      <c r="N444" s="40">
        <v>2</v>
      </c>
      <c r="O444" s="40">
        <v>2</v>
      </c>
      <c r="P444" s="41">
        <v>1</v>
      </c>
      <c r="Q444" s="40">
        <v>4</v>
      </c>
      <c r="R444" s="40">
        <v>4</v>
      </c>
      <c r="S444" s="40">
        <v>2</v>
      </c>
      <c r="T444" s="40">
        <v>5</v>
      </c>
      <c r="U444" s="41">
        <v>4</v>
      </c>
      <c r="V444" s="40">
        <v>5</v>
      </c>
      <c r="W444" s="40">
        <v>7</v>
      </c>
      <c r="X444" s="40">
        <v>1</v>
      </c>
      <c r="Y444" s="41">
        <v>1</v>
      </c>
      <c r="Z444" s="40" t="s">
        <v>45</v>
      </c>
      <c r="AA444" s="40" t="s">
        <v>45</v>
      </c>
      <c r="AB444" s="40" t="s">
        <v>45</v>
      </c>
      <c r="AC444" s="40" t="s">
        <v>45</v>
      </c>
      <c r="AD444" s="40" t="s">
        <v>45</v>
      </c>
      <c r="AE444" s="40" t="s">
        <v>45</v>
      </c>
      <c r="AF444" s="40" t="s">
        <v>45</v>
      </c>
      <c r="AG444" s="41" t="s">
        <v>45</v>
      </c>
      <c r="AH444" s="40">
        <v>3</v>
      </c>
      <c r="AI444" s="40">
        <v>1</v>
      </c>
      <c r="AJ444" s="41">
        <v>1</v>
      </c>
      <c r="AK444" s="43" t="s">
        <v>45</v>
      </c>
      <c r="AL444" s="43" t="s">
        <v>103</v>
      </c>
      <c r="AM444" s="44">
        <f t="shared" si="53"/>
        <v>-1.5379565899727115</v>
      </c>
      <c r="AN444" s="44">
        <f t="shared" si="54"/>
        <v>-0.40154748884996139</v>
      </c>
      <c r="AO444" s="45">
        <f t="shared" si="55"/>
        <v>0</v>
      </c>
      <c r="AP444" s="46">
        <f t="shared" si="56"/>
        <v>0</v>
      </c>
      <c r="AQ444" s="44">
        <f>($AM$3*AM444+$AN$3*AN444+$AO$3*AO444+$AP$3*AP444)+$I$3*VLOOKUP(I444,COND!$A$2:$E$7,4,FALSE)+$J$3*VLOOKUP(J444,COND!$A$2:$C$7,2,FALSE)+$K$3*VLOOKUP(K444,COND!$A$2:$C$7,3,FALSE)+IF(AND($B$2&gt;0,$E444&lt;20),$B$2*25,0)</f>
        <v>39.427634474803185</v>
      </c>
      <c r="AR444" s="47">
        <f t="shared" si="59"/>
        <v>-0.55334409647433036</v>
      </c>
      <c r="AS444" s="45" t="str">
        <f t="shared" si="57"/>
        <v>DH</v>
      </c>
      <c r="AT444" s="45">
        <v>950</v>
      </c>
      <c r="AU444" s="45">
        <v>440</v>
      </c>
      <c r="AV444" s="45"/>
      <c r="AW444" s="45" t="str">
        <f t="shared" si="58"/>
        <v>Unlikely</v>
      </c>
      <c r="AX444" s="45"/>
      <c r="AY444" s="45" t="str">
        <f>INDEX(Table5[[#All],[Ovr]],MATCH(Batters[[#This Row],[PID]],Table5[[#All],[PID]],0))</f>
        <v/>
      </c>
      <c r="AZ444" s="45" t="str">
        <f>INDEX(Table5[[#All],[Rnd]],MATCH(Batters[[#This Row],[PID]],Table5[[#All],[PID]],0))</f>
        <v/>
      </c>
      <c r="BA444" s="45" t="str">
        <f>INDEX(Table5[[#All],[Pick]],MATCH(Batters[[#This Row],[PID]],Table5[[#All],[PID]],0))</f>
        <v/>
      </c>
      <c r="BB444" s="45" t="str">
        <f>INDEX(Table5[[#All],[Team]],MATCH(Batters[[#This Row],[PID]],Table5[[#All],[PID]],0))</f>
        <v/>
      </c>
    </row>
    <row r="445" spans="1:54" ht="15" customHeight="1" x14ac:dyDescent="0.3">
      <c r="A445" s="40">
        <v>20224</v>
      </c>
      <c r="B445" s="40" t="s">
        <v>86</v>
      </c>
      <c r="C445" s="40" t="s">
        <v>163</v>
      </c>
      <c r="D445" s="40" t="s">
        <v>1048</v>
      </c>
      <c r="E445" s="40">
        <v>21</v>
      </c>
      <c r="F445" s="40" t="s">
        <v>42</v>
      </c>
      <c r="G445" s="40" t="s">
        <v>42</v>
      </c>
      <c r="H445" s="41" t="s">
        <v>550</v>
      </c>
      <c r="I445" s="64" t="s">
        <v>43</v>
      </c>
      <c r="J445" s="65" t="s">
        <v>44</v>
      </c>
      <c r="K445" s="66" t="s">
        <v>44</v>
      </c>
      <c r="L445" s="40">
        <v>1</v>
      </c>
      <c r="M445" s="40">
        <v>3</v>
      </c>
      <c r="N445" s="40">
        <v>3</v>
      </c>
      <c r="O445" s="40">
        <v>5</v>
      </c>
      <c r="P445" s="41">
        <v>1</v>
      </c>
      <c r="Q445" s="40">
        <v>3</v>
      </c>
      <c r="R445" s="40">
        <v>3</v>
      </c>
      <c r="S445" s="40">
        <v>4</v>
      </c>
      <c r="T445" s="40">
        <v>6</v>
      </c>
      <c r="U445" s="41">
        <v>3</v>
      </c>
      <c r="V445" s="40">
        <v>6</v>
      </c>
      <c r="W445" s="40">
        <v>6</v>
      </c>
      <c r="X445" s="40">
        <v>7</v>
      </c>
      <c r="Y445" s="41">
        <v>6</v>
      </c>
      <c r="Z445" s="40">
        <v>3</v>
      </c>
      <c r="AA445" s="40" t="s">
        <v>45</v>
      </c>
      <c r="AB445" s="40" t="s">
        <v>45</v>
      </c>
      <c r="AC445" s="40" t="s">
        <v>45</v>
      </c>
      <c r="AD445" s="40" t="s">
        <v>45</v>
      </c>
      <c r="AE445" s="40" t="s">
        <v>45</v>
      </c>
      <c r="AF445" s="40" t="s">
        <v>45</v>
      </c>
      <c r="AG445" s="41" t="s">
        <v>45</v>
      </c>
      <c r="AH445" s="40">
        <v>2</v>
      </c>
      <c r="AI445" s="40">
        <v>1</v>
      </c>
      <c r="AJ445" s="41">
        <v>1</v>
      </c>
      <c r="AK445" s="43" t="s">
        <v>557</v>
      </c>
      <c r="AL445" s="43" t="s">
        <v>103</v>
      </c>
      <c r="AM445" s="44">
        <f t="shared" si="53"/>
        <v>-1.4572624025040379</v>
      </c>
      <c r="AN445" s="44">
        <f t="shared" si="54"/>
        <v>-0.55934700643103885</v>
      </c>
      <c r="AO445" s="45">
        <f t="shared" si="55"/>
        <v>0</v>
      </c>
      <c r="AP445" s="46">
        <f t="shared" si="56"/>
        <v>1.1000000000000001</v>
      </c>
      <c r="AQ445" s="44">
        <f>($AM$3*AM445+$AN$3*AN445+$AO$3*AO445+$AP$3*AP445)+$I$3*VLOOKUP(I445,COND!$A$2:$E$7,4,FALSE)+$J$3*VLOOKUP(J445,COND!$A$2:$C$7,2,FALSE)+$K$3*VLOOKUP(K445,COND!$A$2:$C$7,3,FALSE)+IF(AND($B$2&gt;0,$E445&lt;20),$B$2*25,0)</f>
        <v>38.642109682577129</v>
      </c>
      <c r="AR445" s="47">
        <f t="shared" si="59"/>
        <v>-0.66800566547653961</v>
      </c>
      <c r="AS445" s="45" t="str">
        <f t="shared" si="57"/>
        <v>C</v>
      </c>
      <c r="AT445" s="45">
        <v>950</v>
      </c>
      <c r="AU445" s="45">
        <v>441</v>
      </c>
      <c r="AV445" s="45"/>
      <c r="AW445" s="45" t="str">
        <f t="shared" si="58"/>
        <v>Unlikely</v>
      </c>
      <c r="AX445" s="45"/>
      <c r="AY445" s="45">
        <f>INDEX(Table5[[#All],[Ovr]],MATCH(Batters[[#This Row],[PID]],Table5[[#All],[PID]],0))</f>
        <v>496</v>
      </c>
      <c r="AZ445" s="45" t="str">
        <f>INDEX(Table5[[#All],[Rnd]],MATCH(Batters[[#This Row],[PID]],Table5[[#All],[PID]],0))</f>
        <v>15</v>
      </c>
      <c r="BA445" s="45">
        <f>INDEX(Table5[[#All],[Pick]],MATCH(Batters[[#This Row],[PID]],Table5[[#All],[PID]],0))</f>
        <v>29</v>
      </c>
      <c r="BB445" s="45" t="str">
        <f>INDEX(Table5[[#All],[Team]],MATCH(Batters[[#This Row],[PID]],Table5[[#All],[PID]],0))</f>
        <v>Shin Seiki Evas</v>
      </c>
    </row>
    <row r="446" spans="1:54" ht="15" customHeight="1" x14ac:dyDescent="0.3">
      <c r="A446" s="40">
        <v>12334</v>
      </c>
      <c r="B446" s="40" t="s">
        <v>86</v>
      </c>
      <c r="C446" s="40" t="s">
        <v>569</v>
      </c>
      <c r="D446" s="40" t="s">
        <v>1139</v>
      </c>
      <c r="E446" s="40">
        <v>21</v>
      </c>
      <c r="F446" s="40" t="s">
        <v>62</v>
      </c>
      <c r="G446" s="40" t="s">
        <v>42</v>
      </c>
      <c r="H446" s="41" t="s">
        <v>552</v>
      </c>
      <c r="I446" s="64" t="s">
        <v>43</v>
      </c>
      <c r="J446" s="65" t="s">
        <v>44</v>
      </c>
      <c r="K446" s="66" t="s">
        <v>44</v>
      </c>
      <c r="L446" s="40">
        <v>1</v>
      </c>
      <c r="M446" s="40">
        <v>1</v>
      </c>
      <c r="N446" s="40">
        <v>2</v>
      </c>
      <c r="O446" s="40">
        <v>1</v>
      </c>
      <c r="P446" s="41">
        <v>1</v>
      </c>
      <c r="Q446" s="40">
        <v>3</v>
      </c>
      <c r="R446" s="40">
        <v>3</v>
      </c>
      <c r="S446" s="40">
        <v>3</v>
      </c>
      <c r="T446" s="40">
        <v>4</v>
      </c>
      <c r="U446" s="41">
        <v>2</v>
      </c>
      <c r="V446" s="40">
        <v>4</v>
      </c>
      <c r="W446" s="40">
        <v>4</v>
      </c>
      <c r="X446" s="40">
        <v>7</v>
      </c>
      <c r="Y446" s="41">
        <v>8</v>
      </c>
      <c r="Z446" s="40">
        <v>3</v>
      </c>
      <c r="AA446" s="40" t="s">
        <v>45</v>
      </c>
      <c r="AB446" s="40" t="s">
        <v>45</v>
      </c>
      <c r="AC446" s="40" t="s">
        <v>45</v>
      </c>
      <c r="AD446" s="40" t="s">
        <v>45</v>
      </c>
      <c r="AE446" s="40" t="s">
        <v>45</v>
      </c>
      <c r="AF446" s="40" t="s">
        <v>45</v>
      </c>
      <c r="AG446" s="41" t="s">
        <v>45</v>
      </c>
      <c r="AH446" s="40">
        <v>1</v>
      </c>
      <c r="AI446" s="40">
        <v>5</v>
      </c>
      <c r="AJ446" s="41">
        <v>5</v>
      </c>
      <c r="AK446" s="43" t="s">
        <v>557</v>
      </c>
      <c r="AL446" s="43" t="s">
        <v>103</v>
      </c>
      <c r="AM446" s="44">
        <f t="shared" si="53"/>
        <v>-2.0012818558036707</v>
      </c>
      <c r="AN446" s="44">
        <f t="shared" si="54"/>
        <v>-0.86184394029118594</v>
      </c>
      <c r="AO446" s="45">
        <f t="shared" si="55"/>
        <v>0</v>
      </c>
      <c r="AP446" s="46">
        <f t="shared" si="56"/>
        <v>1.35</v>
      </c>
      <c r="AQ446" s="44">
        <f>($AM$3*AM446+$AN$3*AN446+$AO$3*AO446+$AP$3*AP446)+$I$3*VLOOKUP(I446,COND!$A$2:$E$7,4,FALSE)+$J$3*VLOOKUP(J446,COND!$A$2:$C$7,2,FALSE)+$K$3*VLOOKUP(K446,COND!$A$2:$C$7,3,FALSE)+IF(AND($B$2&gt;0,$E446&lt;20),$B$2*25,0)</f>
        <v>35.207744530925396</v>
      </c>
      <c r="AR446" s="47">
        <f>STANDARDIZE(AQ446,AVERAGE($AQ$5:$AQ$459),STDEVP($AQ$5:$AQ$459))</f>
        <v>-1.1476791984487671</v>
      </c>
      <c r="AS446" s="45" t="str">
        <f t="shared" si="57"/>
        <v>C</v>
      </c>
      <c r="AT446" s="45">
        <v>950</v>
      </c>
      <c r="AU446" s="45">
        <v>442</v>
      </c>
      <c r="AV446" s="45"/>
      <c r="AW446" s="45" t="str">
        <f t="shared" si="58"/>
        <v>Unlikely</v>
      </c>
      <c r="AX446" s="45"/>
      <c r="AY446" s="63" t="str">
        <f>INDEX(Table5[[#All],[Ovr]],MATCH(Batters[[#This Row],[PID]],Table5[[#All],[PID]],0))</f>
        <v/>
      </c>
      <c r="AZ446" s="63" t="str">
        <f>INDEX(Table5[[#All],[Rnd]],MATCH(Batters[[#This Row],[PID]],Table5[[#All],[PID]],0))</f>
        <v/>
      </c>
      <c r="BA446" s="63" t="str">
        <f>INDEX(Table5[[#All],[Pick]],MATCH(Batters[[#This Row],[PID]],Table5[[#All],[PID]],0))</f>
        <v/>
      </c>
      <c r="BB446" s="63" t="str">
        <f>INDEX(Table5[[#All],[Team]],MATCH(Batters[[#This Row],[PID]],Table5[[#All],[PID]],0))</f>
        <v/>
      </c>
    </row>
    <row r="447" spans="1:54" ht="15" customHeight="1" x14ac:dyDescent="0.3">
      <c r="A447" s="40">
        <v>17023</v>
      </c>
      <c r="B447" s="40" t="s">
        <v>86</v>
      </c>
      <c r="C447" s="40" t="s">
        <v>829</v>
      </c>
      <c r="D447" s="40" t="s">
        <v>604</v>
      </c>
      <c r="E447" s="40">
        <v>22</v>
      </c>
      <c r="F447" s="40" t="s">
        <v>42</v>
      </c>
      <c r="G447" s="40" t="s">
        <v>42</v>
      </c>
      <c r="H447" s="41" t="s">
        <v>552</v>
      </c>
      <c r="I447" s="64" t="s">
        <v>43</v>
      </c>
      <c r="J447" s="65" t="s">
        <v>44</v>
      </c>
      <c r="K447" s="66" t="s">
        <v>44</v>
      </c>
      <c r="L447" s="40">
        <v>1</v>
      </c>
      <c r="M447" s="40">
        <v>3</v>
      </c>
      <c r="N447" s="40">
        <v>3</v>
      </c>
      <c r="O447" s="40">
        <v>3</v>
      </c>
      <c r="P447" s="41">
        <v>1</v>
      </c>
      <c r="Q447" s="40">
        <v>2</v>
      </c>
      <c r="R447" s="40">
        <v>4</v>
      </c>
      <c r="S447" s="40">
        <v>4</v>
      </c>
      <c r="T447" s="40">
        <v>5</v>
      </c>
      <c r="U447" s="41">
        <v>2</v>
      </c>
      <c r="V447" s="40">
        <v>7</v>
      </c>
      <c r="W447" s="40">
        <v>7</v>
      </c>
      <c r="X447" s="40">
        <v>9</v>
      </c>
      <c r="Y447" s="41">
        <v>4</v>
      </c>
      <c r="Z447" s="40">
        <v>2</v>
      </c>
      <c r="AA447" s="40" t="s">
        <v>45</v>
      </c>
      <c r="AB447" s="40" t="s">
        <v>45</v>
      </c>
      <c r="AC447" s="40" t="s">
        <v>45</v>
      </c>
      <c r="AD447" s="40" t="s">
        <v>45</v>
      </c>
      <c r="AE447" s="40" t="s">
        <v>45</v>
      </c>
      <c r="AF447" s="40" t="s">
        <v>45</v>
      </c>
      <c r="AG447" s="41" t="s">
        <v>45</v>
      </c>
      <c r="AH447" s="40">
        <v>1</v>
      </c>
      <c r="AI447" s="40">
        <v>4</v>
      </c>
      <c r="AJ447" s="41">
        <v>3</v>
      </c>
      <c r="AK447" s="43" t="s">
        <v>45</v>
      </c>
      <c r="AL447" s="43" t="s">
        <v>103</v>
      </c>
      <c r="AM447" s="44">
        <f t="shared" si="53"/>
        <v>-1.6366815025231998</v>
      </c>
      <c r="AN447" s="44">
        <f t="shared" si="54"/>
        <v>-0.96056885284167481</v>
      </c>
      <c r="AO447" s="45">
        <f t="shared" si="55"/>
        <v>0</v>
      </c>
      <c r="AP447" s="46">
        <f t="shared" si="56"/>
        <v>1.25</v>
      </c>
      <c r="AQ447" s="44">
        <f>($AM$3*AM447+$AN$3*AN447+$AO$3*AO447+$AP$3*AP447)+$I$3*VLOOKUP(I447,COND!$A$2:$E$7,4,FALSE)+$J$3*VLOOKUP(J447,COND!$A$2:$C$7,2,FALSE)+$K$3*VLOOKUP(K447,COND!$A$2:$C$7,3,FALSE)+IF(AND($B$2&gt;0,$E447&lt;20),$B$2*25,0)</f>
        <v>33.959505615647586</v>
      </c>
      <c r="AR447" s="47">
        <f t="shared" ref="AR447:AR459" si="60">STANDARDIZE(AQ447,AVERAGE($AQ$5:$AQ$442),STDEVP($AQ$5:$AQ$442))</f>
        <v>-1.3515165293523106</v>
      </c>
      <c r="AS447" s="45" t="str">
        <f t="shared" si="57"/>
        <v>C</v>
      </c>
      <c r="AT447" s="45">
        <v>950</v>
      </c>
      <c r="AU447" s="45">
        <v>443</v>
      </c>
      <c r="AV447" s="45"/>
      <c r="AW447" s="45" t="str">
        <f t="shared" si="58"/>
        <v>Unlikely</v>
      </c>
      <c r="AX447" s="45"/>
      <c r="AY447" s="63" t="str">
        <f>INDEX(Table5[[#All],[Ovr]],MATCH(Batters[[#This Row],[PID]],Table5[[#All],[PID]],0))</f>
        <v/>
      </c>
      <c r="AZ447" s="63" t="str">
        <f>INDEX(Table5[[#All],[Rnd]],MATCH(Batters[[#This Row],[PID]],Table5[[#All],[PID]],0))</f>
        <v/>
      </c>
      <c r="BA447" s="63" t="str">
        <f>INDEX(Table5[[#All],[Pick]],MATCH(Batters[[#This Row],[PID]],Table5[[#All],[PID]],0))</f>
        <v/>
      </c>
      <c r="BB447" s="63" t="str">
        <f>INDEX(Table5[[#All],[Team]],MATCH(Batters[[#This Row],[PID]],Table5[[#All],[PID]],0))</f>
        <v/>
      </c>
    </row>
    <row r="448" spans="1:54" ht="15" customHeight="1" x14ac:dyDescent="0.3">
      <c r="A448" s="40">
        <v>7340</v>
      </c>
      <c r="B448" s="40" t="s">
        <v>86</v>
      </c>
      <c r="C448" s="40" t="s">
        <v>664</v>
      </c>
      <c r="D448" s="40" t="s">
        <v>873</v>
      </c>
      <c r="E448" s="40">
        <v>22</v>
      </c>
      <c r="F448" s="40" t="s">
        <v>42</v>
      </c>
      <c r="G448" s="40" t="s">
        <v>42</v>
      </c>
      <c r="H448" s="41" t="s">
        <v>552</v>
      </c>
      <c r="I448" s="64" t="s">
        <v>44</v>
      </c>
      <c r="J448" s="65" t="s">
        <v>44</v>
      </c>
      <c r="K448" s="66" t="s">
        <v>44</v>
      </c>
      <c r="L448" s="40">
        <v>1</v>
      </c>
      <c r="M448" s="40">
        <v>2</v>
      </c>
      <c r="N448" s="40">
        <v>2</v>
      </c>
      <c r="O448" s="40">
        <v>2</v>
      </c>
      <c r="P448" s="41">
        <v>1</v>
      </c>
      <c r="Q448" s="40">
        <v>2</v>
      </c>
      <c r="R448" s="40">
        <v>4</v>
      </c>
      <c r="S448" s="40">
        <v>3</v>
      </c>
      <c r="T448" s="40">
        <v>5</v>
      </c>
      <c r="U448" s="41">
        <v>1</v>
      </c>
      <c r="V448" s="40">
        <v>3</v>
      </c>
      <c r="W448" s="40">
        <v>3</v>
      </c>
      <c r="X448" s="40">
        <v>4</v>
      </c>
      <c r="Y448" s="41">
        <v>7</v>
      </c>
      <c r="Z448" s="40" t="s">
        <v>45</v>
      </c>
      <c r="AA448" s="40" t="s">
        <v>45</v>
      </c>
      <c r="AB448" s="40" t="s">
        <v>45</v>
      </c>
      <c r="AC448" s="40" t="s">
        <v>45</v>
      </c>
      <c r="AD448" s="40" t="s">
        <v>45</v>
      </c>
      <c r="AE448" s="40" t="s">
        <v>45</v>
      </c>
      <c r="AF448" s="40" t="s">
        <v>45</v>
      </c>
      <c r="AG448" s="41" t="s">
        <v>45</v>
      </c>
      <c r="AH448" s="40">
        <v>1</v>
      </c>
      <c r="AI448" s="40">
        <v>1</v>
      </c>
      <c r="AJ448" s="41">
        <v>1</v>
      </c>
      <c r="AK448" s="43" t="s">
        <v>45</v>
      </c>
      <c r="AL448" s="43" t="s">
        <v>103</v>
      </c>
      <c r="AM448" s="44">
        <f t="shared" si="53"/>
        <v>-1.8605124261753858</v>
      </c>
      <c r="AN448" s="44">
        <f t="shared" si="54"/>
        <v>-1.0836466866826597</v>
      </c>
      <c r="AO448" s="45">
        <f t="shared" si="55"/>
        <v>0</v>
      </c>
      <c r="AP448" s="46">
        <f t="shared" si="56"/>
        <v>0</v>
      </c>
      <c r="AQ448" s="44">
        <f>($AM$3*AM448+$AN$3*AN448+$AO$3*AO448+$AP$3*AP448)+$I$3*VLOOKUP(I448,COND!$A$2:$E$7,4,FALSE)+$J$3*VLOOKUP(J448,COND!$A$2:$C$7,2,FALSE)+$K$3*VLOOKUP(K448,COND!$A$2:$C$7,3,FALSE)+IF(AND($B$2&gt;0,$E448&lt;20),$B$2*25,0)</f>
        <v>31.060188517190543</v>
      </c>
      <c r="AR448" s="47">
        <f t="shared" si="60"/>
        <v>-1.7747243654817508</v>
      </c>
      <c r="AS448" s="45" t="str">
        <f t="shared" si="57"/>
        <v>DH</v>
      </c>
      <c r="AT448" s="45">
        <v>950</v>
      </c>
      <c r="AU448" s="45">
        <v>444</v>
      </c>
      <c r="AV448" s="45"/>
      <c r="AW448" s="45" t="str">
        <f t="shared" si="58"/>
        <v>Unlikely</v>
      </c>
      <c r="AX448" s="45"/>
      <c r="AY448" s="45" t="str">
        <f>INDEX(Table5[[#All],[Ovr]],MATCH(Batters[[#This Row],[PID]],Table5[[#All],[PID]],0))</f>
        <v/>
      </c>
      <c r="AZ448" s="45" t="str">
        <f>INDEX(Table5[[#All],[Rnd]],MATCH(Batters[[#This Row],[PID]],Table5[[#All],[PID]],0))</f>
        <v/>
      </c>
      <c r="BA448" s="45" t="str">
        <f>INDEX(Table5[[#All],[Pick]],MATCH(Batters[[#This Row],[PID]],Table5[[#All],[PID]],0))</f>
        <v/>
      </c>
      <c r="BB448" s="45" t="str">
        <f>INDEX(Table5[[#All],[Team]],MATCH(Batters[[#This Row],[PID]],Table5[[#All],[PID]],0))</f>
        <v/>
      </c>
    </row>
    <row r="449" spans="1:54" ht="15" customHeight="1" x14ac:dyDescent="0.3">
      <c r="A449" s="40">
        <v>12582</v>
      </c>
      <c r="B449" s="40" t="s">
        <v>66</v>
      </c>
      <c r="C449" s="40" t="s">
        <v>396</v>
      </c>
      <c r="D449" s="40" t="s">
        <v>1280</v>
      </c>
      <c r="E449" s="40">
        <v>21</v>
      </c>
      <c r="F449" s="40" t="s">
        <v>53</v>
      </c>
      <c r="G449" s="40" t="s">
        <v>53</v>
      </c>
      <c r="H449" s="41" t="s">
        <v>553</v>
      </c>
      <c r="I449" s="64" t="s">
        <v>44</v>
      </c>
      <c r="J449" s="65" t="s">
        <v>44</v>
      </c>
      <c r="K449" s="66" t="s">
        <v>44</v>
      </c>
      <c r="L449" s="40">
        <v>1</v>
      </c>
      <c r="M449" s="40">
        <v>1</v>
      </c>
      <c r="N449" s="40">
        <v>2</v>
      </c>
      <c r="O449" s="40">
        <v>1</v>
      </c>
      <c r="P449" s="41">
        <v>1</v>
      </c>
      <c r="Q449" s="40">
        <v>2</v>
      </c>
      <c r="R449" s="40">
        <v>3</v>
      </c>
      <c r="S449" s="40">
        <v>3</v>
      </c>
      <c r="T449" s="40">
        <v>5</v>
      </c>
      <c r="U449" s="41">
        <v>2</v>
      </c>
      <c r="V449" s="40">
        <v>6</v>
      </c>
      <c r="W449" s="40">
        <v>10</v>
      </c>
      <c r="X449" s="40">
        <v>1</v>
      </c>
      <c r="Y449" s="41">
        <v>1</v>
      </c>
      <c r="Z449" s="40" t="s">
        <v>45</v>
      </c>
      <c r="AA449" s="40" t="s">
        <v>45</v>
      </c>
      <c r="AB449" s="40" t="s">
        <v>45</v>
      </c>
      <c r="AC449" s="40" t="s">
        <v>45</v>
      </c>
      <c r="AD449" s="40" t="s">
        <v>45</v>
      </c>
      <c r="AE449" s="40" t="s">
        <v>45</v>
      </c>
      <c r="AF449" s="40" t="s">
        <v>45</v>
      </c>
      <c r="AG449" s="41">
        <v>3</v>
      </c>
      <c r="AH449" s="40">
        <v>3</v>
      </c>
      <c r="AI449" s="40">
        <v>5</v>
      </c>
      <c r="AJ449" s="41">
        <v>4</v>
      </c>
      <c r="AK449" s="43" t="s">
        <v>45</v>
      </c>
      <c r="AL449" s="43" t="s">
        <v>103</v>
      </c>
      <c r="AM449" s="44">
        <f t="shared" si="53"/>
        <v>-2.0012818558036707</v>
      </c>
      <c r="AN449" s="44">
        <f t="shared" si="54"/>
        <v>-1.0946902264842799</v>
      </c>
      <c r="AO449" s="45">
        <f t="shared" si="55"/>
        <v>0</v>
      </c>
      <c r="AP449" s="46">
        <f t="shared" si="56"/>
        <v>0</v>
      </c>
      <c r="AQ449" s="44">
        <f>($AM$3*AM449+$AN$3*AN449+$AO$3*AO449+$AP$3*AP449)+$I$3*VLOOKUP(I449,COND!$A$2:$E$7,4,FALSE)+$J$3*VLOOKUP(J449,COND!$A$2:$C$7,2,FALSE)+$K$3*VLOOKUP(K449,COND!$A$2:$C$7,3,FALSE)+IF(AND($B$2&gt;0,$E449&lt;20),$B$2*25,0)</f>
        <v>30.913589096608273</v>
      </c>
      <c r="AR449" s="47">
        <f t="shared" si="60"/>
        <v>-1.7961232057795125</v>
      </c>
      <c r="AS449" s="45" t="str">
        <f t="shared" si="57"/>
        <v>RF</v>
      </c>
      <c r="AT449" s="45">
        <v>950</v>
      </c>
      <c r="AU449" s="45">
        <v>445</v>
      </c>
      <c r="AV449" s="45"/>
      <c r="AW449" s="45" t="str">
        <f t="shared" si="58"/>
        <v>Unlikely</v>
      </c>
      <c r="AX449" s="45"/>
      <c r="AY449" s="45" t="str">
        <f>INDEX(Table5[[#All],[Ovr]],MATCH(Batters[[#This Row],[PID]],Table5[[#All],[PID]],0))</f>
        <v/>
      </c>
      <c r="AZ449" s="45" t="str">
        <f>INDEX(Table5[[#All],[Rnd]],MATCH(Batters[[#This Row],[PID]],Table5[[#All],[PID]],0))</f>
        <v/>
      </c>
      <c r="BA449" s="45" t="str">
        <f>INDEX(Table5[[#All],[Pick]],MATCH(Batters[[#This Row],[PID]],Table5[[#All],[PID]],0))</f>
        <v/>
      </c>
      <c r="BB449" s="45" t="str">
        <f>INDEX(Table5[[#All],[Team]],MATCH(Batters[[#This Row],[PID]],Table5[[#All],[PID]],0))</f>
        <v/>
      </c>
    </row>
    <row r="450" spans="1:54" ht="15" customHeight="1" x14ac:dyDescent="0.3">
      <c r="A450" s="40">
        <v>14761</v>
      </c>
      <c r="B450" s="40" t="s">
        <v>87</v>
      </c>
      <c r="C450" s="40" t="s">
        <v>343</v>
      </c>
      <c r="D450" s="40" t="s">
        <v>152</v>
      </c>
      <c r="E450" s="40">
        <v>21</v>
      </c>
      <c r="F450" s="40" t="s">
        <v>42</v>
      </c>
      <c r="G450" s="40" t="s">
        <v>42</v>
      </c>
      <c r="H450" s="41" t="s">
        <v>561</v>
      </c>
      <c r="I450" s="64" t="s">
        <v>44</v>
      </c>
      <c r="J450" s="65" t="s">
        <v>44</v>
      </c>
      <c r="K450" s="66" t="s">
        <v>44</v>
      </c>
      <c r="L450" s="40">
        <v>1</v>
      </c>
      <c r="M450" s="40">
        <v>2</v>
      </c>
      <c r="N450" s="40">
        <v>2</v>
      </c>
      <c r="O450" s="40">
        <v>1</v>
      </c>
      <c r="P450" s="41">
        <v>1</v>
      </c>
      <c r="Q450" s="40">
        <v>3</v>
      </c>
      <c r="R450" s="40">
        <v>3</v>
      </c>
      <c r="S450" s="40">
        <v>2</v>
      </c>
      <c r="T450" s="40">
        <v>1</v>
      </c>
      <c r="U450" s="41">
        <v>4</v>
      </c>
      <c r="V450" s="40">
        <v>6</v>
      </c>
      <c r="W450" s="40">
        <v>2</v>
      </c>
      <c r="X450" s="40">
        <v>1</v>
      </c>
      <c r="Y450" s="41">
        <v>1</v>
      </c>
      <c r="Z450" s="40" t="s">
        <v>45</v>
      </c>
      <c r="AA450" s="40">
        <v>1</v>
      </c>
      <c r="AB450" s="40" t="s">
        <v>45</v>
      </c>
      <c r="AC450" s="40" t="s">
        <v>45</v>
      </c>
      <c r="AD450" s="40" t="s">
        <v>45</v>
      </c>
      <c r="AE450" s="40" t="s">
        <v>45</v>
      </c>
      <c r="AF450" s="40" t="s">
        <v>45</v>
      </c>
      <c r="AG450" s="41" t="s">
        <v>45</v>
      </c>
      <c r="AH450" s="40">
        <v>1</v>
      </c>
      <c r="AI450" s="40">
        <v>1</v>
      </c>
      <c r="AJ450" s="41">
        <v>1</v>
      </c>
      <c r="AK450" s="43" t="s">
        <v>45</v>
      </c>
      <c r="AL450" s="43" t="s">
        <v>103</v>
      </c>
      <c r="AM450" s="44">
        <f t="shared" si="53"/>
        <v>-1.9502219761849671</v>
      </c>
      <c r="AN450" s="44">
        <f t="shared" si="54"/>
        <v>-1.1340014047096636</v>
      </c>
      <c r="AO450" s="45">
        <f t="shared" si="55"/>
        <v>0</v>
      </c>
      <c r="AP450" s="46">
        <f t="shared" si="56"/>
        <v>0</v>
      </c>
      <c r="AQ450" s="44">
        <f>($AM$3*AM450+$AN$3*AN450+$AO$3*AO450+$AP$3*AP450)+$I$3*VLOOKUP(I450,COND!$A$2:$E$7,4,FALSE)+$J$3*VLOOKUP(J450,COND!$A$2:$C$7,2,FALSE)+$K$3*VLOOKUP(K450,COND!$A$2:$C$7,3,FALSE)+IF(AND($B$2&gt;0,$E450&lt;20),$B$2*25,0)</f>
        <v>30.446960945865538</v>
      </c>
      <c r="AR450" s="47">
        <f t="shared" si="60"/>
        <v>-1.8642360348515759</v>
      </c>
      <c r="AS450" s="45" t="str">
        <f t="shared" si="57"/>
        <v>1B</v>
      </c>
      <c r="AT450" s="45">
        <v>950</v>
      </c>
      <c r="AU450" s="45">
        <v>446</v>
      </c>
      <c r="AV450" s="45"/>
      <c r="AW450" s="45" t="str">
        <f t="shared" si="58"/>
        <v>Unlikely</v>
      </c>
      <c r="AX450" s="45"/>
      <c r="AY450" s="63">
        <f>INDEX(Table5[[#All],[Ovr]],MATCH(Batters[[#This Row],[PID]],Table5[[#All],[PID]],0))</f>
        <v>481</v>
      </c>
      <c r="AZ450" s="63" t="str">
        <f>INDEX(Table5[[#All],[Rnd]],MATCH(Batters[[#This Row],[PID]],Table5[[#All],[PID]],0))</f>
        <v>15</v>
      </c>
      <c r="BA450" s="63">
        <f>INDEX(Table5[[#All],[Pick]],MATCH(Batters[[#This Row],[PID]],Table5[[#All],[PID]],0))</f>
        <v>14</v>
      </c>
      <c r="BB450" s="63" t="str">
        <f>INDEX(Table5[[#All],[Team]],MATCH(Batters[[#This Row],[PID]],Table5[[#All],[PID]],0))</f>
        <v>San Antonio Calzones of Laredo</v>
      </c>
    </row>
    <row r="451" spans="1:54" ht="15" customHeight="1" x14ac:dyDescent="0.3">
      <c r="A451" s="40">
        <v>9150</v>
      </c>
      <c r="B451" s="40" t="s">
        <v>87</v>
      </c>
      <c r="C451" s="40" t="s">
        <v>320</v>
      </c>
      <c r="D451" s="40" t="s">
        <v>884</v>
      </c>
      <c r="E451" s="40">
        <v>22</v>
      </c>
      <c r="F451" s="40" t="s">
        <v>42</v>
      </c>
      <c r="G451" s="40" t="s">
        <v>42</v>
      </c>
      <c r="H451" s="41" t="s">
        <v>561</v>
      </c>
      <c r="I451" s="64" t="s">
        <v>43</v>
      </c>
      <c r="J451" s="65" t="s">
        <v>44</v>
      </c>
      <c r="K451" s="66" t="s">
        <v>44</v>
      </c>
      <c r="L451" s="40">
        <v>2</v>
      </c>
      <c r="M451" s="40">
        <v>1</v>
      </c>
      <c r="N451" s="40">
        <v>2</v>
      </c>
      <c r="O451" s="40">
        <v>1</v>
      </c>
      <c r="P451" s="41">
        <v>1</v>
      </c>
      <c r="Q451" s="40">
        <v>3</v>
      </c>
      <c r="R451" s="40">
        <v>2</v>
      </c>
      <c r="S451" s="40">
        <v>2</v>
      </c>
      <c r="T451" s="40">
        <v>1</v>
      </c>
      <c r="U451" s="41">
        <v>4</v>
      </c>
      <c r="V451" s="40">
        <v>5</v>
      </c>
      <c r="W451" s="40">
        <v>1</v>
      </c>
      <c r="X451" s="40">
        <v>1</v>
      </c>
      <c r="Y451" s="41">
        <v>1</v>
      </c>
      <c r="Z451" s="40" t="s">
        <v>45</v>
      </c>
      <c r="AA451" s="40" t="s">
        <v>45</v>
      </c>
      <c r="AB451" s="40" t="s">
        <v>45</v>
      </c>
      <c r="AC451" s="40" t="s">
        <v>45</v>
      </c>
      <c r="AD451" s="40" t="s">
        <v>45</v>
      </c>
      <c r="AE451" s="40" t="s">
        <v>45</v>
      </c>
      <c r="AF451" s="40" t="s">
        <v>45</v>
      </c>
      <c r="AG451" s="41" t="s">
        <v>45</v>
      </c>
      <c r="AH451" s="40">
        <v>2</v>
      </c>
      <c r="AI451" s="40">
        <v>1</v>
      </c>
      <c r="AJ451" s="41">
        <v>2</v>
      </c>
      <c r="AK451" s="43" t="s">
        <v>45</v>
      </c>
      <c r="AL451" s="43" t="s">
        <v>103</v>
      </c>
      <c r="AM451" s="44">
        <f t="shared" si="53"/>
        <v>-1.6787260196009959</v>
      </c>
      <c r="AN451" s="44">
        <f t="shared" si="54"/>
        <v>-1.185061284328367</v>
      </c>
      <c r="AO451" s="45">
        <f t="shared" si="55"/>
        <v>0</v>
      </c>
      <c r="AP451" s="46">
        <f t="shared" si="56"/>
        <v>0</v>
      </c>
      <c r="AQ451" s="44">
        <f>($AM$3*AM451+$AN$3*AN451+$AO$3*AO451+$AP$3*AP451)+$I$3*VLOOKUP(I451,COND!$A$2:$E$7,4,FALSE)+$J$3*VLOOKUP(J451,COND!$A$2:$C$7,2,FALSE)+$K$3*VLOOKUP(K451,COND!$A$2:$C$7,3,FALSE)+IF(AND($B$2&gt;0,$E451&lt;20),$B$2*25,0)</f>
        <v>30.011391986099497</v>
      </c>
      <c r="AR451" s="47">
        <f t="shared" si="60"/>
        <v>-1.9278152125296013</v>
      </c>
      <c r="AS451" s="45" t="str">
        <f t="shared" si="57"/>
        <v>DH</v>
      </c>
      <c r="AT451" s="45">
        <v>950</v>
      </c>
      <c r="AU451" s="45">
        <v>447</v>
      </c>
      <c r="AV451" s="45"/>
      <c r="AW451" s="45" t="str">
        <f t="shared" si="58"/>
        <v>Unlikely</v>
      </c>
      <c r="AX451" s="45"/>
      <c r="AY451" s="45" t="str">
        <f>INDEX(Table5[[#All],[Ovr]],MATCH(Batters[[#This Row],[PID]],Table5[[#All],[PID]],0))</f>
        <v/>
      </c>
      <c r="AZ451" s="45" t="str">
        <f>INDEX(Table5[[#All],[Rnd]],MATCH(Batters[[#This Row],[PID]],Table5[[#All],[PID]],0))</f>
        <v/>
      </c>
      <c r="BA451" s="45" t="str">
        <f>INDEX(Table5[[#All],[Pick]],MATCH(Batters[[#This Row],[PID]],Table5[[#All],[PID]],0))</f>
        <v/>
      </c>
      <c r="BB451" s="45" t="str">
        <f>INDEX(Table5[[#All],[Team]],MATCH(Batters[[#This Row],[PID]],Table5[[#All],[PID]],0))</f>
        <v/>
      </c>
    </row>
    <row r="452" spans="1:54" ht="15" customHeight="1" x14ac:dyDescent="0.3">
      <c r="A452" s="40">
        <v>20597</v>
      </c>
      <c r="B452" s="40" t="s">
        <v>72</v>
      </c>
      <c r="C452" s="40" t="s">
        <v>981</v>
      </c>
      <c r="D452" s="40" t="s">
        <v>982</v>
      </c>
      <c r="E452" s="40">
        <v>17</v>
      </c>
      <c r="F452" s="40" t="s">
        <v>42</v>
      </c>
      <c r="G452" s="40" t="s">
        <v>42</v>
      </c>
      <c r="H452" s="41" t="s">
        <v>548</v>
      </c>
      <c r="I452" s="64" t="s">
        <v>43</v>
      </c>
      <c r="J452" s="65" t="s">
        <v>44</v>
      </c>
      <c r="K452" s="66" t="s">
        <v>43</v>
      </c>
      <c r="L452" s="40">
        <v>2</v>
      </c>
      <c r="M452" s="40">
        <v>4</v>
      </c>
      <c r="N452" s="40">
        <v>4</v>
      </c>
      <c r="O452" s="40">
        <v>2</v>
      </c>
      <c r="P452" s="41">
        <v>4</v>
      </c>
      <c r="Q452" s="40">
        <v>5</v>
      </c>
      <c r="R452" s="40">
        <v>6</v>
      </c>
      <c r="S452" s="40">
        <v>7</v>
      </c>
      <c r="T452" s="40">
        <v>3</v>
      </c>
      <c r="U452" s="41">
        <v>6</v>
      </c>
      <c r="V452" s="40">
        <v>7</v>
      </c>
      <c r="W452" s="40">
        <v>6</v>
      </c>
      <c r="X452" s="40">
        <v>1</v>
      </c>
      <c r="Y452" s="41">
        <v>1</v>
      </c>
      <c r="Z452" s="40" t="s">
        <v>45</v>
      </c>
      <c r="AA452" s="40" t="s">
        <v>45</v>
      </c>
      <c r="AB452" s="40" t="s">
        <v>45</v>
      </c>
      <c r="AC452" s="40" t="s">
        <v>45</v>
      </c>
      <c r="AD452" s="40">
        <v>4</v>
      </c>
      <c r="AE452" s="40" t="s">
        <v>45</v>
      </c>
      <c r="AF452" s="40" t="s">
        <v>45</v>
      </c>
      <c r="AG452" s="41">
        <v>1</v>
      </c>
      <c r="AH452" s="40">
        <v>5</v>
      </c>
      <c r="AI452" s="40">
        <v>1</v>
      </c>
      <c r="AJ452" s="41">
        <v>2</v>
      </c>
      <c r="AK452" s="43" t="s">
        <v>476</v>
      </c>
      <c r="AL452" s="43" t="s">
        <v>103</v>
      </c>
      <c r="AM452" s="44">
        <f t="shared" si="53"/>
        <v>-1.149664823236251</v>
      </c>
      <c r="AN452" s="44">
        <f t="shared" si="54"/>
        <v>0.33904915632463262</v>
      </c>
      <c r="AO452" s="45">
        <f t="shared" si="55"/>
        <v>0</v>
      </c>
      <c r="AP452" s="46">
        <f t="shared" si="56"/>
        <v>0</v>
      </c>
      <c r="AQ452" s="44">
        <f>($AM$3*AM452+$AN$3*AN452+$AO$3*AO452+$AP$3*AP452)+$I$3*VLOOKUP(I452,COND!$A$2:$E$7,4,FALSE)+$J$3*VLOOKUP(J452,COND!$A$2:$C$7,2,FALSE)+$K$3*VLOOKUP(K452,COND!$A$2:$C$7,3,FALSE)+IF(AND($B$2&gt;0,$E452&lt;20),$B$2*25,0)</f>
        <v>53.653623393571962</v>
      </c>
      <c r="AR452" s="47">
        <f t="shared" si="60"/>
        <v>1.5231966138596793</v>
      </c>
      <c r="AS452" s="45" t="str">
        <f t="shared" si="57"/>
        <v>SS</v>
      </c>
      <c r="AT452" s="45">
        <v>999</v>
      </c>
      <c r="AU452" s="45">
        <v>448</v>
      </c>
      <c r="AV452" s="45"/>
      <c r="AW452" s="45" t="str">
        <f t="shared" si="58"/>
        <v>Possible</v>
      </c>
      <c r="AX452" s="45"/>
      <c r="AY452" s="45">
        <f>INDEX(Table5[[#All],[Ovr]],MATCH(Batters[[#This Row],[PID]],Table5[[#All],[PID]],0))</f>
        <v>14</v>
      </c>
      <c r="AZ452" s="45" t="str">
        <f>INDEX(Table5[[#All],[Rnd]],MATCH(Batters[[#This Row],[PID]],Table5[[#All],[PID]],0))</f>
        <v>1</v>
      </c>
      <c r="BA452" s="45">
        <f>INDEX(Table5[[#All],[Pick]],MATCH(Batters[[#This Row],[PID]],Table5[[#All],[PID]],0))</f>
        <v>14</v>
      </c>
      <c r="BB452" s="45" t="str">
        <f>INDEX(Table5[[#All],[Team]],MATCH(Batters[[#This Row],[PID]],Table5[[#All],[PID]],0))</f>
        <v>Scottish Claymores</v>
      </c>
    </row>
    <row r="453" spans="1:54" ht="15" customHeight="1" x14ac:dyDescent="0.3">
      <c r="A453" s="40">
        <v>20699</v>
      </c>
      <c r="B453" s="40" t="s">
        <v>69</v>
      </c>
      <c r="C453" s="40" t="s">
        <v>1016</v>
      </c>
      <c r="D453" s="40" t="s">
        <v>1017</v>
      </c>
      <c r="E453" s="40">
        <v>17</v>
      </c>
      <c r="F453" s="40" t="s">
        <v>42</v>
      </c>
      <c r="G453" s="40" t="s">
        <v>42</v>
      </c>
      <c r="H453" s="41" t="s">
        <v>549</v>
      </c>
      <c r="I453" s="64" t="s">
        <v>43</v>
      </c>
      <c r="J453" s="65" t="s">
        <v>44</v>
      </c>
      <c r="K453" s="66" t="s">
        <v>43</v>
      </c>
      <c r="L453" s="40">
        <v>1</v>
      </c>
      <c r="M453" s="40">
        <v>3</v>
      </c>
      <c r="N453" s="40">
        <v>5</v>
      </c>
      <c r="O453" s="40">
        <v>3</v>
      </c>
      <c r="P453" s="41">
        <v>1</v>
      </c>
      <c r="Q453" s="40">
        <v>4</v>
      </c>
      <c r="R453" s="40">
        <v>6</v>
      </c>
      <c r="S453" s="40">
        <v>7</v>
      </c>
      <c r="T453" s="40">
        <v>6</v>
      </c>
      <c r="U453" s="41">
        <v>3</v>
      </c>
      <c r="V453" s="40">
        <v>6</v>
      </c>
      <c r="W453" s="40">
        <v>6</v>
      </c>
      <c r="X453" s="40">
        <v>1</v>
      </c>
      <c r="Y453" s="41">
        <v>1</v>
      </c>
      <c r="Z453" s="40" t="s">
        <v>45</v>
      </c>
      <c r="AA453" s="40" t="s">
        <v>45</v>
      </c>
      <c r="AB453" s="40" t="s">
        <v>45</v>
      </c>
      <c r="AC453" s="40">
        <v>4</v>
      </c>
      <c r="AD453" s="40" t="s">
        <v>45</v>
      </c>
      <c r="AE453" s="40" t="s">
        <v>45</v>
      </c>
      <c r="AF453" s="40" t="s">
        <v>45</v>
      </c>
      <c r="AG453" s="41" t="s">
        <v>45</v>
      </c>
      <c r="AH453" s="40">
        <v>3</v>
      </c>
      <c r="AI453" s="40">
        <v>4</v>
      </c>
      <c r="AJ453" s="41">
        <v>3</v>
      </c>
      <c r="AK453" s="43" t="s">
        <v>383</v>
      </c>
      <c r="AL453" s="43" t="s">
        <v>103</v>
      </c>
      <c r="AM453" s="44">
        <f t="shared" ref="AM453:AM459" si="61">($L$3*(L453-$Q$1)/$Q$2+$M$3*(M453-$R$1)/$R$2+$N$3*(N453-$S$1)/$S$2+$O$3*(O453-$T$1)/$T$2+$P$3*(P453-$U$1)/$U$2)/(SUM($L$3:$P$3))</f>
        <v>-1.4705585144753968</v>
      </c>
      <c r="AN453" s="44">
        <f t="shared" ref="AN453:AN459" si="62">($L$3*(Q453-$Q$1)/$Q$2+$M$3*(R453-$R$1)/$R$2+$N$3*(S453-$S$1)/$S$2+$O$3*(T453-$T$1)/$T$2+$P$3*(U453-$U$1)/$U$2)/(SUM($L$3:$P$3))</f>
        <v>0.16557295069945074</v>
      </c>
      <c r="AO453" s="45">
        <f t="shared" ref="AO453:AO459" si="63">IF(AVERAGE(AH453:AI453)&gt;9,1,0)+IF(AVERAGE(AH453:AI453)&gt;7,1,0)+IF(AH453&gt;7,1,0)+IF(AI453&gt;7,1,0)+IF(AJ453&gt;8,1,0)+IF(AJ453&gt;6,1,0)</f>
        <v>0</v>
      </c>
      <c r="AP453" s="46">
        <f t="shared" ref="AP453:AP459" si="64">MIN(2,IF(OR(Z453="-",X453&lt;5),0,1+IF(Y453&gt;7,0.35,IF(Y453&gt;5,0.1,0))+IF(Z453&gt;7,1+IF(X453&gt;7,0.25,0),IF(Z453&gt;4,0.5+IF(X453&gt;7,0.25,0),0+IF(X453&gt;7,0.25))))+IF(AA453="-",0,IF(AA453&gt;9,0.5,IF(AA453&gt;7,0.25,0)))+IF(AB453="-",0,IF(AB453&gt;7,1.1,IF(AB453&gt;4,0.6,0)))+IF(OR(AC453="-",V453&lt;5),0,IF(AC453&gt;7,1+IF(V453&gt;7,0.25,0),IF(AC453&gt;4,0.5+IF(V453&gt;7,0.25,0),0)))+IF(AD453="-",0,IF(AD453&gt;7,1.5,IF(AD453&gt;4,1,0)))+IF(AE453="-",0,IF(AE453&gt;9,0.5,IF(AE453&gt;7,0.25,0)))+IF(AF453="-",0,IF(AF453&gt;7,1.25,IF(AF453&gt;4,0.75,0)))+IF(OR(AG453="-",W453&lt;4),0,IF(AG453&gt;7,1+IF(W453&gt;7,0.15,0),IF(AG453&gt;4,0.5+IF(W453&gt;7,0.15,0),0))))</f>
        <v>0</v>
      </c>
      <c r="AQ453" s="44">
        <f>($AM$3*AM453+$AN$3*AN453+$AO$3*AO453+$AP$3*AP453)+$I$3*VLOOKUP(I453,COND!$A$2:$E$7,4,FALSE)+$J$3*VLOOKUP(J453,COND!$A$2:$C$7,2,FALSE)+$K$3*VLOOKUP(K453,COND!$A$2:$C$7,3,FALSE)+IF(AND($B$2&gt;0,$E453&lt;20),$B$2*25,0)</f>
        <v>51.539819556945872</v>
      </c>
      <c r="AR453" s="47">
        <f t="shared" si="60"/>
        <v>1.2146486636624716</v>
      </c>
      <c r="AS453" s="45" t="str">
        <f t="shared" ref="AS453:AS459" si="65">IF(AND(Z453&lt;&gt;"-",Y453&gt;1),"C",IF(AB453=MAX(AB453:AD453),"2B",IF(AD453=MAX(AB453:AD453),"SS",IF(OR(AC453=MAX(AA453:AD453),AND(AC453&lt;&gt;"-",AC453&gt;4,V453&gt;5)),"3B",IF(AF453=MAX(AE453:AG453),"CF",IF(AND(AG453=MAX(AE453,AG453),AND(W453&gt;5,AG453&lt;&gt;"-")),"RF",IF(AE453&lt;&gt;"-","LF",IF(AA453&lt;&gt;"-","1B","DH"))))))))</f>
        <v>3B</v>
      </c>
      <c r="AT453" s="45">
        <v>999</v>
      </c>
      <c r="AU453" s="45">
        <v>449</v>
      </c>
      <c r="AV453" s="45"/>
      <c r="AW453" s="45" t="str">
        <f t="shared" ref="AW453:AW459" si="66">IF(AND($Q453&gt;=6,AVERAGE($S453:$T453)&gt;=6),"Likely",IF(OR($Q453&gt;6,AND($Q453=6,AVERAGE($S453:$T453)&gt;=3),AND($Q453&gt;=5,AVERAGE($S453:$T453)&gt;=5),AVERAGE($Q453,$S453:$T453)&gt;5),"Possible","Unlikely"))</f>
        <v>Possible</v>
      </c>
      <c r="AX453" s="45"/>
      <c r="AY453" s="63">
        <f>INDEX(Table5[[#All],[Ovr]],MATCH(Batters[[#This Row],[PID]],Table5[[#All],[PID]],0))</f>
        <v>53</v>
      </c>
      <c r="AZ453" s="63" t="str">
        <f>INDEX(Table5[[#All],[Rnd]],MATCH(Batters[[#This Row],[PID]],Table5[[#All],[PID]],0))</f>
        <v>2</v>
      </c>
      <c r="BA453" s="63">
        <f>INDEX(Table5[[#All],[Pick]],MATCH(Batters[[#This Row],[PID]],Table5[[#All],[PID]],0))</f>
        <v>17</v>
      </c>
      <c r="BB453" s="63" t="str">
        <f>INDEX(Table5[[#All],[Team]],MATCH(Batters[[#This Row],[PID]],Table5[[#All],[PID]],0))</f>
        <v>Florida Farstriders</v>
      </c>
    </row>
    <row r="454" spans="1:54" ht="15" customHeight="1" x14ac:dyDescent="0.3">
      <c r="A454" s="40">
        <v>20316</v>
      </c>
      <c r="B454" s="40" t="s">
        <v>74</v>
      </c>
      <c r="C454" s="40" t="s">
        <v>1024</v>
      </c>
      <c r="D454" s="40" t="s">
        <v>794</v>
      </c>
      <c r="E454" s="40">
        <v>17</v>
      </c>
      <c r="F454" s="40" t="s">
        <v>53</v>
      </c>
      <c r="G454" s="40" t="s">
        <v>53</v>
      </c>
      <c r="H454" s="41" t="s">
        <v>549</v>
      </c>
      <c r="I454" s="64" t="s">
        <v>43</v>
      </c>
      <c r="J454" s="65" t="s">
        <v>44</v>
      </c>
      <c r="K454" s="66" t="s">
        <v>43</v>
      </c>
      <c r="L454" s="40">
        <v>1</v>
      </c>
      <c r="M454" s="40">
        <v>3</v>
      </c>
      <c r="N454" s="40">
        <v>5</v>
      </c>
      <c r="O454" s="40">
        <v>3</v>
      </c>
      <c r="P454" s="41">
        <v>1</v>
      </c>
      <c r="Q454" s="40">
        <v>4</v>
      </c>
      <c r="R454" s="40">
        <v>4</v>
      </c>
      <c r="S454" s="40">
        <v>8</v>
      </c>
      <c r="T454" s="40">
        <v>6</v>
      </c>
      <c r="U454" s="41">
        <v>3</v>
      </c>
      <c r="V454" s="40">
        <v>2</v>
      </c>
      <c r="W454" s="40">
        <v>5</v>
      </c>
      <c r="X454" s="40">
        <v>1</v>
      </c>
      <c r="Y454" s="41">
        <v>1</v>
      </c>
      <c r="Z454" s="40" t="s">
        <v>45</v>
      </c>
      <c r="AA454" s="40" t="s">
        <v>45</v>
      </c>
      <c r="AB454" s="40" t="s">
        <v>45</v>
      </c>
      <c r="AC454" s="40" t="s">
        <v>45</v>
      </c>
      <c r="AD454" s="40" t="s">
        <v>45</v>
      </c>
      <c r="AE454" s="40" t="s">
        <v>45</v>
      </c>
      <c r="AF454" s="40">
        <v>3</v>
      </c>
      <c r="AG454" s="41" t="s">
        <v>45</v>
      </c>
      <c r="AH454" s="40">
        <v>8</v>
      </c>
      <c r="AI454" s="40">
        <v>6</v>
      </c>
      <c r="AJ454" s="41">
        <v>5</v>
      </c>
      <c r="AK454" s="43" t="s">
        <v>383</v>
      </c>
      <c r="AL454" s="43" t="s">
        <v>1025</v>
      </c>
      <c r="AM454" s="44">
        <f t="shared" si="61"/>
        <v>-1.4705585144753968</v>
      </c>
      <c r="AN454" s="44">
        <f t="shared" si="62"/>
        <v>0.14651468548594526</v>
      </c>
      <c r="AO454" s="45">
        <f t="shared" si="63"/>
        <v>1</v>
      </c>
      <c r="AP454" s="46">
        <f t="shared" si="64"/>
        <v>0</v>
      </c>
      <c r="AQ454" s="44">
        <f>($AM$3*AM454+$AN$3*AN454+$AO$3*AO454+$AP$3*AP454)+$I$3*VLOOKUP(I454,COND!$A$2:$E$7,4,FALSE)+$J$3*VLOOKUP(J454,COND!$A$2:$C$7,2,FALSE)+$K$3*VLOOKUP(K454,COND!$A$2:$C$7,3,FALSE)+IF(AND($B$2&gt;0,$E454&lt;20),$B$2*25,0)</f>
        <v>51.477787041050469</v>
      </c>
      <c r="AR454" s="47">
        <f t="shared" si="60"/>
        <v>1.2055938945805629</v>
      </c>
      <c r="AS454" s="45" t="str">
        <f t="shared" si="65"/>
        <v>CF</v>
      </c>
      <c r="AT454" s="45">
        <v>999</v>
      </c>
      <c r="AU454" s="45">
        <v>450</v>
      </c>
      <c r="AV454" s="45"/>
      <c r="AW454" s="45" t="str">
        <f t="shared" si="66"/>
        <v>Possible</v>
      </c>
      <c r="AX454" s="45"/>
      <c r="AY454" s="45">
        <f>INDEX(Table5[[#All],[Ovr]],MATCH(Batters[[#This Row],[PID]],Table5[[#All],[PID]],0))</f>
        <v>92</v>
      </c>
      <c r="AZ454" s="45" t="str">
        <f>INDEX(Table5[[#All],[Rnd]],MATCH(Batters[[#This Row],[PID]],Table5[[#All],[PID]],0))</f>
        <v>3</v>
      </c>
      <c r="BA454" s="45">
        <f>INDEX(Table5[[#All],[Pick]],MATCH(Batters[[#This Row],[PID]],Table5[[#All],[PID]],0))</f>
        <v>20</v>
      </c>
      <c r="BB454" s="45" t="str">
        <f>INDEX(Table5[[#All],[Team]],MATCH(Batters[[#This Row],[PID]],Table5[[#All],[PID]],0))</f>
        <v>Fargo Dinosaurs</v>
      </c>
    </row>
    <row r="455" spans="1:54" ht="15" customHeight="1" x14ac:dyDescent="0.3">
      <c r="A455" s="40">
        <v>21047</v>
      </c>
      <c r="B455" s="40" t="s">
        <v>69</v>
      </c>
      <c r="C455" s="40" t="s">
        <v>176</v>
      </c>
      <c r="D455" s="40" t="s">
        <v>778</v>
      </c>
      <c r="E455" s="40">
        <v>18</v>
      </c>
      <c r="F455" s="40" t="s">
        <v>42</v>
      </c>
      <c r="G455" s="40" t="s">
        <v>42</v>
      </c>
      <c r="H455" s="41" t="s">
        <v>549</v>
      </c>
      <c r="I455" s="64" t="s">
        <v>43</v>
      </c>
      <c r="J455" s="65" t="s">
        <v>44</v>
      </c>
      <c r="K455" s="66" t="s">
        <v>47</v>
      </c>
      <c r="L455" s="40">
        <v>1</v>
      </c>
      <c r="M455" s="40">
        <v>2</v>
      </c>
      <c r="N455" s="40">
        <v>3</v>
      </c>
      <c r="O455" s="40">
        <v>3</v>
      </c>
      <c r="P455" s="41">
        <v>1</v>
      </c>
      <c r="Q455" s="40">
        <v>3</v>
      </c>
      <c r="R455" s="40">
        <v>6</v>
      </c>
      <c r="S455" s="40">
        <v>8</v>
      </c>
      <c r="T455" s="40">
        <v>6</v>
      </c>
      <c r="U455" s="41">
        <v>2</v>
      </c>
      <c r="V455" s="40">
        <v>9</v>
      </c>
      <c r="W455" s="40">
        <v>9</v>
      </c>
      <c r="X455" s="40">
        <v>1</v>
      </c>
      <c r="Y455" s="41">
        <v>1</v>
      </c>
      <c r="Z455" s="40" t="s">
        <v>45</v>
      </c>
      <c r="AA455" s="40" t="s">
        <v>45</v>
      </c>
      <c r="AB455" s="40" t="s">
        <v>45</v>
      </c>
      <c r="AC455" s="40">
        <v>3</v>
      </c>
      <c r="AD455" s="40" t="s">
        <v>45</v>
      </c>
      <c r="AE455" s="40" t="s">
        <v>45</v>
      </c>
      <c r="AF455" s="40" t="s">
        <v>45</v>
      </c>
      <c r="AG455" s="41" t="s">
        <v>45</v>
      </c>
      <c r="AH455" s="40">
        <v>1</v>
      </c>
      <c r="AI455" s="40">
        <v>3</v>
      </c>
      <c r="AJ455" s="41">
        <v>1</v>
      </c>
      <c r="AK455" s="43" t="s">
        <v>387</v>
      </c>
      <c r="AL455" s="43" t="s">
        <v>103</v>
      </c>
      <c r="AM455" s="44">
        <f t="shared" si="61"/>
        <v>-1.6877413821419032</v>
      </c>
      <c r="AN455" s="44">
        <f t="shared" si="62"/>
        <v>-0.11393773129640587</v>
      </c>
      <c r="AO455" s="45">
        <f t="shared" si="63"/>
        <v>0</v>
      </c>
      <c r="AP455" s="46">
        <f t="shared" si="64"/>
        <v>0</v>
      </c>
      <c r="AQ455" s="44">
        <f>($AM$3*AM455+$AN$3*AN455+$AO$3*AO455+$AP$3*AP455)+$I$3*VLOOKUP(I455,COND!$A$2:$E$7,4,FALSE)+$J$3*VLOOKUP(J455,COND!$A$2:$C$7,2,FALSE)+$K$3*VLOOKUP(K455,COND!$A$2:$C$7,3,FALSE)+IF(AND($B$2&gt;0,$E455&lt;20),$B$2*25,0)</f>
        <v>48.46397308622894</v>
      </c>
      <c r="AR455" s="47">
        <f t="shared" si="60"/>
        <v>0.76567316876705716</v>
      </c>
      <c r="AS455" s="45" t="str">
        <f t="shared" si="65"/>
        <v>3B</v>
      </c>
      <c r="AT455" s="45">
        <v>999</v>
      </c>
      <c r="AU455" s="45">
        <v>451</v>
      </c>
      <c r="AV455" s="45"/>
      <c r="AW455" s="45" t="str">
        <f t="shared" si="66"/>
        <v>Possible</v>
      </c>
      <c r="AX455" s="45"/>
      <c r="AY455" s="45">
        <f>INDEX(Table5[[#All],[Ovr]],MATCH(Batters[[#This Row],[PID]],Table5[[#All],[PID]],0))</f>
        <v>163</v>
      </c>
      <c r="AZ455" s="45" t="str">
        <f>INDEX(Table5[[#All],[Rnd]],MATCH(Batters[[#This Row],[PID]],Table5[[#All],[PID]],0))</f>
        <v>5</v>
      </c>
      <c r="BA455" s="45">
        <f>INDEX(Table5[[#All],[Pick]],MATCH(Batters[[#This Row],[PID]],Table5[[#All],[PID]],0))</f>
        <v>26</v>
      </c>
      <c r="BB455" s="45" t="str">
        <f>INDEX(Table5[[#All],[Team]],MATCH(Batters[[#This Row],[PID]],Table5[[#All],[PID]],0))</f>
        <v>Neo-Tokyo Akira</v>
      </c>
    </row>
    <row r="456" spans="1:54" ht="15" customHeight="1" x14ac:dyDescent="0.3">
      <c r="A456" s="40">
        <v>12312</v>
      </c>
      <c r="B456" s="40" t="s">
        <v>74</v>
      </c>
      <c r="C456" s="40" t="s">
        <v>639</v>
      </c>
      <c r="D456" s="40" t="s">
        <v>566</v>
      </c>
      <c r="E456" s="40">
        <v>17</v>
      </c>
      <c r="F456" s="40" t="s">
        <v>42</v>
      </c>
      <c r="G456" s="40" t="s">
        <v>42</v>
      </c>
      <c r="H456" s="41" t="s">
        <v>552</v>
      </c>
      <c r="I456" s="64" t="s">
        <v>43</v>
      </c>
      <c r="J456" s="65" t="s">
        <v>43</v>
      </c>
      <c r="K456" s="66" t="s">
        <v>43</v>
      </c>
      <c r="L456" s="40">
        <v>1</v>
      </c>
      <c r="M456" s="40">
        <v>3</v>
      </c>
      <c r="N456" s="40">
        <v>3</v>
      </c>
      <c r="O456" s="40">
        <v>3</v>
      </c>
      <c r="P456" s="41">
        <v>1</v>
      </c>
      <c r="Q456" s="40">
        <v>4</v>
      </c>
      <c r="R456" s="40">
        <v>4</v>
      </c>
      <c r="S456" s="40">
        <v>4</v>
      </c>
      <c r="T456" s="40">
        <v>6</v>
      </c>
      <c r="U456" s="41">
        <v>4</v>
      </c>
      <c r="V456" s="40">
        <v>3</v>
      </c>
      <c r="W456" s="40">
        <v>5</v>
      </c>
      <c r="X456" s="40">
        <v>1</v>
      </c>
      <c r="Y456" s="41">
        <v>1</v>
      </c>
      <c r="Z456" s="40" t="s">
        <v>45</v>
      </c>
      <c r="AA456" s="40" t="s">
        <v>45</v>
      </c>
      <c r="AB456" s="40" t="s">
        <v>45</v>
      </c>
      <c r="AC456" s="40" t="s">
        <v>45</v>
      </c>
      <c r="AD456" s="40" t="s">
        <v>45</v>
      </c>
      <c r="AE456" s="40" t="s">
        <v>45</v>
      </c>
      <c r="AF456" s="40">
        <v>3</v>
      </c>
      <c r="AG456" s="41">
        <v>3</v>
      </c>
      <c r="AH456" s="40">
        <v>7</v>
      </c>
      <c r="AI456" s="40">
        <v>7</v>
      </c>
      <c r="AJ456" s="41">
        <v>5</v>
      </c>
      <c r="AK456" s="43" t="s">
        <v>378</v>
      </c>
      <c r="AL456" s="43" t="s">
        <v>103</v>
      </c>
      <c r="AM456" s="44">
        <f t="shared" si="61"/>
        <v>-1.6366815025231998</v>
      </c>
      <c r="AN456" s="44">
        <f t="shared" si="62"/>
        <v>-0.14571495079257732</v>
      </c>
      <c r="AO456" s="45">
        <f t="shared" si="63"/>
        <v>0</v>
      </c>
      <c r="AP456" s="46">
        <f t="shared" si="64"/>
        <v>0</v>
      </c>
      <c r="AQ456" s="44">
        <f>($AM$3*AM456+$AN$3*AN456+$AO$3*AO456+$AP$3*AP456)+$I$3*VLOOKUP(I456,COND!$A$2:$E$7,4,FALSE)+$J$3*VLOOKUP(J456,COND!$A$2:$C$7,2,FALSE)+$K$3*VLOOKUP(K456,COND!$A$2:$C$7,3,FALSE)+IF(AND($B$2&gt;0,$E456&lt;20),$B$2*25,0)</f>
        <v>48.087752440236756</v>
      </c>
      <c r="AR456" s="47">
        <f t="shared" si="60"/>
        <v>0.71075695226134761</v>
      </c>
      <c r="AS456" s="45" t="str">
        <f t="shared" si="65"/>
        <v>CF</v>
      </c>
      <c r="AT456" s="45">
        <v>999</v>
      </c>
      <c r="AU456" s="45">
        <v>452</v>
      </c>
      <c r="AV456" s="45"/>
      <c r="AW456" s="45" t="str">
        <f t="shared" si="66"/>
        <v>Unlikely</v>
      </c>
      <c r="AX456" s="45"/>
      <c r="AY456" s="45">
        <f>INDEX(Table5[[#All],[Ovr]],MATCH(Batters[[#This Row],[PID]],Table5[[#All],[PID]],0))</f>
        <v>584</v>
      </c>
      <c r="AZ456" s="45" t="str">
        <f>INDEX(Table5[[#All],[Rnd]],MATCH(Batters[[#This Row],[PID]],Table5[[#All],[PID]],0))</f>
        <v>18</v>
      </c>
      <c r="BA456" s="45">
        <f>INDEX(Table5[[#All],[Pick]],MATCH(Batters[[#This Row],[PID]],Table5[[#All],[PID]],0))</f>
        <v>15</v>
      </c>
      <c r="BB456" s="45" t="str">
        <f>INDEX(Table5[[#All],[Team]],MATCH(Batters[[#This Row],[PID]],Table5[[#All],[PID]],0))</f>
        <v>Niihama-shi Ghosts</v>
      </c>
    </row>
    <row r="457" spans="1:54" ht="15" customHeight="1" x14ac:dyDescent="0.3">
      <c r="A457" s="40">
        <v>12604</v>
      </c>
      <c r="B457" s="40" t="s">
        <v>87</v>
      </c>
      <c r="C457" s="40" t="s">
        <v>480</v>
      </c>
      <c r="D457" s="40" t="s">
        <v>1244</v>
      </c>
      <c r="E457" s="40">
        <v>17</v>
      </c>
      <c r="F457" s="40" t="s">
        <v>42</v>
      </c>
      <c r="G457" s="40" t="s">
        <v>42</v>
      </c>
      <c r="H457" s="41" t="s">
        <v>552</v>
      </c>
      <c r="I457" s="64" t="s">
        <v>43</v>
      </c>
      <c r="J457" s="65" t="s">
        <v>47</v>
      </c>
      <c r="K457" s="66" t="s">
        <v>43</v>
      </c>
      <c r="L457" s="40">
        <v>1</v>
      </c>
      <c r="M457" s="40">
        <v>4</v>
      </c>
      <c r="N457" s="40">
        <v>3</v>
      </c>
      <c r="O457" s="40">
        <v>4</v>
      </c>
      <c r="P457" s="41">
        <v>1</v>
      </c>
      <c r="Q457" s="40">
        <v>4</v>
      </c>
      <c r="R457" s="40">
        <v>4</v>
      </c>
      <c r="S457" s="40">
        <v>3</v>
      </c>
      <c r="T457" s="40">
        <v>5</v>
      </c>
      <c r="U457" s="41">
        <v>4</v>
      </c>
      <c r="V457" s="40">
        <v>3</v>
      </c>
      <c r="W457" s="40">
        <v>2</v>
      </c>
      <c r="X457" s="40">
        <v>1</v>
      </c>
      <c r="Y457" s="41">
        <v>1</v>
      </c>
      <c r="Z457" s="40" t="s">
        <v>45</v>
      </c>
      <c r="AA457" s="40">
        <v>5</v>
      </c>
      <c r="AB457" s="40" t="s">
        <v>45</v>
      </c>
      <c r="AC457" s="40" t="s">
        <v>45</v>
      </c>
      <c r="AD457" s="40" t="s">
        <v>45</v>
      </c>
      <c r="AE457" s="40" t="s">
        <v>45</v>
      </c>
      <c r="AF457" s="40" t="s">
        <v>45</v>
      </c>
      <c r="AG457" s="41" t="s">
        <v>45</v>
      </c>
      <c r="AH457" s="40">
        <v>4</v>
      </c>
      <c r="AI457" s="40">
        <v>8</v>
      </c>
      <c r="AJ457" s="41">
        <v>9</v>
      </c>
      <c r="AK457" s="43" t="s">
        <v>1245</v>
      </c>
      <c r="AL457" s="43" t="s">
        <v>103</v>
      </c>
      <c r="AM457" s="44">
        <f t="shared" si="61"/>
        <v>-1.4959120728949156</v>
      </c>
      <c r="AN457" s="44">
        <f t="shared" si="62"/>
        <v>-0.31848599482605983</v>
      </c>
      <c r="AO457" s="45">
        <f t="shared" si="63"/>
        <v>3</v>
      </c>
      <c r="AP457" s="46">
        <f t="shared" si="64"/>
        <v>0</v>
      </c>
      <c r="AQ457" s="44">
        <f>($AM$3*AM457+$AN$3*AN457+$AO$3*AO457+$AP$3*AP457)+$I$3*VLOOKUP(I457,COND!$A$2:$E$7,4,FALSE)+$J$3*VLOOKUP(J457,COND!$A$2:$C$7,2,FALSE)+$K$3*VLOOKUP(K457,COND!$A$2:$C$7,3,FALSE)+IF(AND($B$2&gt;0,$E457&lt;20),$B$2*25,0)</f>
        <v>46.828576854797788</v>
      </c>
      <c r="AR457" s="47">
        <f t="shared" si="60"/>
        <v>0.52695747234097567</v>
      </c>
      <c r="AS457" s="45" t="str">
        <f t="shared" si="65"/>
        <v>1B</v>
      </c>
      <c r="AT457" s="45">
        <v>999</v>
      </c>
      <c r="AU457" s="45">
        <v>453</v>
      </c>
      <c r="AV457" s="45"/>
      <c r="AW457" s="45" t="str">
        <f t="shared" si="66"/>
        <v>Unlikely</v>
      </c>
      <c r="AX457" s="45"/>
      <c r="AY457" s="45">
        <f>INDEX(Table5[[#All],[Ovr]],MATCH(Batters[[#This Row],[PID]],Table5[[#All],[PID]],0))</f>
        <v>303</v>
      </c>
      <c r="AZ457" s="45" t="str">
        <f>INDEX(Table5[[#All],[Rnd]],MATCH(Batters[[#This Row],[PID]],Table5[[#All],[PID]],0))</f>
        <v>10</v>
      </c>
      <c r="BA457" s="45">
        <f>INDEX(Table5[[#All],[Pick]],MATCH(Batters[[#This Row],[PID]],Table5[[#All],[PID]],0))</f>
        <v>6</v>
      </c>
      <c r="BB457" s="45" t="str">
        <f>INDEX(Table5[[#All],[Team]],MATCH(Batters[[#This Row],[PID]],Table5[[#All],[PID]],0))</f>
        <v>New Orleans Trendsetters</v>
      </c>
    </row>
    <row r="458" spans="1:54" ht="15" customHeight="1" x14ac:dyDescent="0.3">
      <c r="A458" s="40">
        <v>9201</v>
      </c>
      <c r="B458" s="40" t="s">
        <v>69</v>
      </c>
      <c r="C458" s="40" t="s">
        <v>1252</v>
      </c>
      <c r="D458" s="40" t="s">
        <v>654</v>
      </c>
      <c r="E458" s="40">
        <v>17</v>
      </c>
      <c r="F458" s="40" t="s">
        <v>42</v>
      </c>
      <c r="G458" s="40" t="s">
        <v>42</v>
      </c>
      <c r="H458" s="41" t="s">
        <v>552</v>
      </c>
      <c r="I458" s="64" t="s">
        <v>44</v>
      </c>
      <c r="J458" s="65" t="s">
        <v>43</v>
      </c>
      <c r="K458" s="66" t="s">
        <v>43</v>
      </c>
      <c r="L458" s="40">
        <v>1</v>
      </c>
      <c r="M458" s="40">
        <v>1</v>
      </c>
      <c r="N458" s="40">
        <v>2</v>
      </c>
      <c r="O458" s="40">
        <v>2</v>
      </c>
      <c r="P458" s="41">
        <v>2</v>
      </c>
      <c r="Q458" s="40">
        <v>4</v>
      </c>
      <c r="R458" s="40">
        <v>3</v>
      </c>
      <c r="S458" s="40">
        <v>3</v>
      </c>
      <c r="T458" s="40">
        <v>5</v>
      </c>
      <c r="U458" s="41">
        <v>5</v>
      </c>
      <c r="V458" s="40">
        <v>9</v>
      </c>
      <c r="W458" s="40">
        <v>8</v>
      </c>
      <c r="X458" s="40">
        <v>1</v>
      </c>
      <c r="Y458" s="41">
        <v>1</v>
      </c>
      <c r="Z458" s="40" t="s">
        <v>45</v>
      </c>
      <c r="AA458" s="40" t="s">
        <v>45</v>
      </c>
      <c r="AB458" s="40" t="s">
        <v>45</v>
      </c>
      <c r="AC458" s="40">
        <v>3</v>
      </c>
      <c r="AD458" s="40" t="s">
        <v>45</v>
      </c>
      <c r="AE458" s="40" t="s">
        <v>45</v>
      </c>
      <c r="AF458" s="40" t="s">
        <v>45</v>
      </c>
      <c r="AG458" s="41" t="s">
        <v>45</v>
      </c>
      <c r="AH458" s="40">
        <v>1</v>
      </c>
      <c r="AI458" s="40">
        <v>5</v>
      </c>
      <c r="AJ458" s="41">
        <v>3</v>
      </c>
      <c r="AK458" s="43" t="s">
        <v>376</v>
      </c>
      <c r="AL458" s="43" t="s">
        <v>103</v>
      </c>
      <c r="AM458" s="44">
        <f t="shared" si="61"/>
        <v>-1.871555965977006</v>
      </c>
      <c r="AN458" s="44">
        <f t="shared" si="62"/>
        <v>-0.32952953462767981</v>
      </c>
      <c r="AO458" s="45">
        <f t="shared" si="63"/>
        <v>0</v>
      </c>
      <c r="AP458" s="46">
        <f t="shared" si="64"/>
        <v>0</v>
      </c>
      <c r="AQ458" s="44">
        <f>($AM$3*AM458+$AN$3*AN458+$AO$3*AO458+$AP$3*AP458)+$I$3*VLOOKUP(I458,COND!$A$2:$E$7,4,FALSE)+$J$3*VLOOKUP(J458,COND!$A$2:$C$7,2,FALSE)+$K$3*VLOOKUP(K458,COND!$A$2:$C$7,3,FALSE)+IF(AND($B$2&gt;0,$E458&lt;20),$B$2*25,0)</f>
        <v>45.708489987870138</v>
      </c>
      <c r="AR458" s="47">
        <f t="shared" si="60"/>
        <v>0.36346050973494554</v>
      </c>
      <c r="AS458" s="45" t="str">
        <f t="shared" si="65"/>
        <v>3B</v>
      </c>
      <c r="AT458" s="45">
        <v>999</v>
      </c>
      <c r="AU458" s="45">
        <v>454</v>
      </c>
      <c r="AV458" s="45"/>
      <c r="AW458" s="45" t="str">
        <f t="shared" si="66"/>
        <v>Unlikely</v>
      </c>
      <c r="AX458" s="45"/>
      <c r="AY458" s="45" t="str">
        <f>INDEX(Table5[[#All],[Ovr]],MATCH(Batters[[#This Row],[PID]],Table5[[#All],[PID]],0))</f>
        <v/>
      </c>
      <c r="AZ458" s="45" t="str">
        <f>INDEX(Table5[[#All],[Rnd]],MATCH(Batters[[#This Row],[PID]],Table5[[#All],[PID]],0))</f>
        <v/>
      </c>
      <c r="BA458" s="45" t="str">
        <f>INDEX(Table5[[#All],[Pick]],MATCH(Batters[[#This Row],[PID]],Table5[[#All],[PID]],0))</f>
        <v/>
      </c>
      <c r="BB458" s="45" t="str">
        <f>INDEX(Table5[[#All],[Team]],MATCH(Batters[[#This Row],[PID]],Table5[[#All],[PID]],0))</f>
        <v/>
      </c>
    </row>
    <row r="459" spans="1:54" ht="15" customHeight="1" x14ac:dyDescent="0.3">
      <c r="A459" s="40">
        <v>9322</v>
      </c>
      <c r="B459" s="40" t="s">
        <v>86</v>
      </c>
      <c r="C459" s="40" t="s">
        <v>1219</v>
      </c>
      <c r="D459" s="40" t="s">
        <v>887</v>
      </c>
      <c r="E459" s="40">
        <v>18</v>
      </c>
      <c r="F459" s="40" t="s">
        <v>62</v>
      </c>
      <c r="G459" s="40" t="s">
        <v>42</v>
      </c>
      <c r="H459" s="41" t="s">
        <v>552</v>
      </c>
      <c r="I459" s="64" t="s">
        <v>43</v>
      </c>
      <c r="J459" s="65" t="s">
        <v>47</v>
      </c>
      <c r="K459" s="66" t="s">
        <v>43</v>
      </c>
      <c r="L459" s="40">
        <v>1</v>
      </c>
      <c r="M459" s="40">
        <v>2</v>
      </c>
      <c r="N459" s="40">
        <v>3</v>
      </c>
      <c r="O459" s="40">
        <v>3</v>
      </c>
      <c r="P459" s="41">
        <v>1</v>
      </c>
      <c r="Q459" s="40">
        <v>2</v>
      </c>
      <c r="R459" s="40">
        <v>6</v>
      </c>
      <c r="S459" s="40">
        <v>6</v>
      </c>
      <c r="T459" s="40">
        <v>5</v>
      </c>
      <c r="U459" s="41">
        <v>1</v>
      </c>
      <c r="V459" s="40">
        <v>2</v>
      </c>
      <c r="W459" s="40">
        <v>1</v>
      </c>
      <c r="X459" s="40">
        <v>3</v>
      </c>
      <c r="Y459" s="41">
        <v>7</v>
      </c>
      <c r="Z459" s="40" t="s">
        <v>45</v>
      </c>
      <c r="AA459" s="40" t="s">
        <v>45</v>
      </c>
      <c r="AB459" s="40" t="s">
        <v>45</v>
      </c>
      <c r="AC459" s="40" t="s">
        <v>45</v>
      </c>
      <c r="AD459" s="40" t="s">
        <v>45</v>
      </c>
      <c r="AE459" s="40" t="s">
        <v>45</v>
      </c>
      <c r="AF459" s="40" t="s">
        <v>45</v>
      </c>
      <c r="AG459" s="41" t="s">
        <v>45</v>
      </c>
      <c r="AH459" s="40">
        <v>1</v>
      </c>
      <c r="AI459" s="40">
        <v>1</v>
      </c>
      <c r="AJ459" s="41">
        <v>1</v>
      </c>
      <c r="AK459" s="43" t="s">
        <v>378</v>
      </c>
      <c r="AL459" s="43" t="s">
        <v>103</v>
      </c>
      <c r="AM459" s="44">
        <f t="shared" si="61"/>
        <v>-1.6877413821419032</v>
      </c>
      <c r="AN459" s="44">
        <f t="shared" si="62"/>
        <v>-0.7323424453735482</v>
      </c>
      <c r="AO459" s="45">
        <f t="shared" si="63"/>
        <v>0</v>
      </c>
      <c r="AP459" s="46">
        <f t="shared" si="64"/>
        <v>0</v>
      </c>
      <c r="AQ459" s="44">
        <f>($AM$3*AM459+$AN$3*AN459+$AO$3*AO459+$AP$3*AP459)+$I$3*VLOOKUP(I459,COND!$A$2:$E$7,4,FALSE)+$J$3*VLOOKUP(J459,COND!$A$2:$C$7,2,FALSE)+$K$3*VLOOKUP(K459,COND!$A$2:$C$7,3,FALSE)+IF(AND($B$2&gt;0,$E459&lt;20),$B$2*25,0)</f>
        <v>41.34311651730323</v>
      </c>
      <c r="AR459" s="47">
        <f t="shared" si="60"/>
        <v>-0.27374480366753318</v>
      </c>
      <c r="AS459" s="45" t="str">
        <f t="shared" si="65"/>
        <v>DH</v>
      </c>
      <c r="AT459" s="45">
        <v>999</v>
      </c>
      <c r="AU459" s="45">
        <v>455</v>
      </c>
      <c r="AV459" s="45"/>
      <c r="AW459" s="45" t="str">
        <f t="shared" si="66"/>
        <v>Unlikely</v>
      </c>
      <c r="AX459" s="45"/>
      <c r="AY459" s="63" t="str">
        <f>INDEX(Table5[[#All],[Ovr]],MATCH(Batters[[#This Row],[PID]],Table5[[#All],[PID]],0))</f>
        <v/>
      </c>
      <c r="AZ459" s="63" t="str">
        <f>INDEX(Table5[[#All],[Rnd]],MATCH(Batters[[#This Row],[PID]],Table5[[#All],[PID]],0))</f>
        <v/>
      </c>
      <c r="BA459" s="63" t="str">
        <f>INDEX(Table5[[#All],[Pick]],MATCH(Batters[[#This Row],[PID]],Table5[[#All],[PID]],0))</f>
        <v/>
      </c>
      <c r="BB459" s="63" t="str">
        <f>INDEX(Table5[[#All],[Team]],MATCH(Batters[[#This Row],[PID]],Table5[[#All],[PID]],0))</f>
        <v/>
      </c>
    </row>
  </sheetData>
  <sortState xmlns:xlrd2="http://schemas.microsoft.com/office/spreadsheetml/2017/richdata2" ref="A5:BB442">
    <sortCondition ref="AY5:AY442"/>
    <sortCondition ref="AU5:AU442"/>
    <sortCondition ref="AV5:AV442"/>
    <sortCondition ref="AT5:AT442"/>
    <sortCondition descending="1" ref="AR5:AR442"/>
    <sortCondition ref="D5:D442"/>
    <sortCondition ref="C5:C442"/>
  </sortState>
  <conditionalFormatting sqref="AV1 A5:XFD108 AU109:XFD109 AV443:BB459 A109:AT459 AV110:XFD442 AU110:AU459">
    <cfRule type="expression" dxfId="184" priority="28">
      <formula>IF($AZ1&lt;&gt;"",1,0)</formula>
    </cfRule>
  </conditionalFormatting>
  <conditionalFormatting sqref="Q5:Q459">
    <cfRule type="colorScale" priority="227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S5:S459">
    <cfRule type="colorScale" priority="227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T5:T459">
    <cfRule type="colorScale" priority="227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R5:R459">
    <cfRule type="colorScale" priority="227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5:U459">
    <cfRule type="colorScale" priority="227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D5:AD459">
    <cfRule type="colorScale" priority="227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Y5:Y459">
    <cfRule type="colorScale" priority="227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Z5:Z459">
    <cfRule type="colorScale" priority="228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A5:AA459">
    <cfRule type="colorScale" priority="228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B5:AB459">
    <cfRule type="colorScale" priority="228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C5:AC459">
    <cfRule type="colorScale" priority="228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E5:AE459">
    <cfRule type="colorScale" priority="228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F5:AF459">
    <cfRule type="colorScale" priority="228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G5:AG459">
    <cfRule type="colorScale" priority="228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V5:V459">
    <cfRule type="colorScale" priority="228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W5:X459">
    <cfRule type="colorScale" priority="228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H5:AH459">
    <cfRule type="colorScale" priority="228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I5:AI459">
    <cfRule type="colorScale" priority="229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J5:AJ459">
    <cfRule type="colorScale" priority="229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L438"/>
  <sheetViews>
    <sheetView workbookViewId="0">
      <pane xSplit="7" ySplit="4" topLeftCell="AM84" activePane="bottomRight" state="frozenSplit"/>
      <selection pane="topRight" activeCell="H1" sqref="H1"/>
      <selection pane="bottomLeft" activeCell="A245" sqref="A245"/>
      <selection pane="bottomRight" activeCell="BD88" sqref="BD88"/>
    </sheetView>
  </sheetViews>
  <sheetFormatPr defaultRowHeight="14.4" x14ac:dyDescent="0.3"/>
  <cols>
    <col min="1" max="1" width="6.109375" customWidth="1"/>
    <col min="2" max="2" width="6.88671875" bestFit="1" customWidth="1"/>
    <col min="3" max="3" width="11.44140625" bestFit="1" customWidth="1"/>
    <col min="4" max="4" width="13.6640625" bestFit="1" customWidth="1"/>
    <col min="5" max="5" width="6.5546875" customWidth="1"/>
    <col min="6" max="6" width="2.109375" hidden="1" customWidth="1"/>
    <col min="7" max="7" width="4.109375" customWidth="1"/>
    <col min="8" max="8" width="8" style="3" bestFit="1" customWidth="1"/>
    <col min="9" max="9" width="7.109375" style="7" bestFit="1" customWidth="1"/>
    <col min="10" max="10" width="7.109375" bestFit="1" customWidth="1"/>
    <col min="11" max="11" width="9.5546875" style="3" bestFit="1" customWidth="1"/>
    <col min="12" max="12" width="6.5546875" hidden="1" customWidth="1"/>
    <col min="13" max="13" width="7.6640625" hidden="1" customWidth="1"/>
    <col min="14" max="14" width="7.109375" style="3" hidden="1" customWidth="1"/>
    <col min="15" max="15" width="8.109375" customWidth="1"/>
    <col min="16" max="16" width="9.33203125" customWidth="1"/>
    <col min="17" max="17" width="8.6640625" style="3" customWidth="1"/>
    <col min="18" max="18" width="5.44140625" customWidth="1"/>
    <col min="19" max="19" width="6.5546875" bestFit="1" customWidth="1"/>
    <col min="20" max="20" width="5.6640625" customWidth="1"/>
    <col min="21" max="21" width="6.88671875" bestFit="1" customWidth="1"/>
    <col min="22" max="22" width="5.5546875" customWidth="1"/>
    <col min="23" max="23" width="6.6640625" bestFit="1" customWidth="1"/>
    <col min="24" max="24" width="5.109375" customWidth="1"/>
    <col min="25" max="25" width="6.33203125" bestFit="1" customWidth="1"/>
    <col min="26" max="26" width="4.88671875" customWidth="1"/>
    <col min="27" max="27" width="6" bestFit="1" customWidth="1"/>
    <col min="28" max="28" width="5.44140625" customWidth="1"/>
    <col min="29" max="29" width="6.5546875" bestFit="1" customWidth="1"/>
    <col min="30" max="30" width="5.44140625" customWidth="1"/>
    <col min="31" max="31" width="6.5546875" bestFit="1" customWidth="1"/>
    <col min="32" max="32" width="5.6640625" customWidth="1"/>
    <col min="33" max="33" width="6.88671875" bestFit="1" customWidth="1"/>
    <col min="34" max="34" width="5.5546875" customWidth="1"/>
    <col min="35" max="35" width="6.6640625" bestFit="1" customWidth="1"/>
    <col min="36" max="36" width="5.44140625" customWidth="1"/>
    <col min="37" max="37" width="6.5546875" bestFit="1" customWidth="1"/>
    <col min="38" max="38" width="5.5546875" customWidth="1"/>
    <col min="39" max="39" width="6.6640625" bestFit="1" customWidth="1"/>
    <col min="40" max="40" width="5.88671875" customWidth="1"/>
    <col min="41" max="41" width="7" style="3" bestFit="1" customWidth="1"/>
    <col min="42" max="42" width="11.109375" bestFit="1" customWidth="1"/>
    <col min="43" max="43" width="7" customWidth="1"/>
    <col min="44" max="44" width="8" style="3" customWidth="1"/>
    <col min="45" max="45" width="7.44140625" style="17" bestFit="1" customWidth="1"/>
    <col min="46" max="46" width="8.88671875" style="17" customWidth="1"/>
    <col min="47" max="48" width="9.109375" customWidth="1"/>
    <col min="49" max="49" width="7.5546875" customWidth="1"/>
    <col min="50" max="50" width="9" customWidth="1"/>
    <col min="51" max="51" width="8.33203125" style="3" customWidth="1"/>
    <col min="52" max="52" width="7.5546875" bestFit="1" customWidth="1"/>
    <col min="53" max="53" width="8.88671875" style="3" customWidth="1"/>
    <col min="54" max="54" width="7.33203125" bestFit="1" customWidth="1"/>
    <col min="55" max="55" width="6.5546875" bestFit="1" customWidth="1"/>
    <col min="56" max="56" width="6.33203125" bestFit="1" customWidth="1"/>
    <col min="59" max="59" width="12.44140625" customWidth="1"/>
    <col min="61" max="61" width="6.6640625" bestFit="1" customWidth="1"/>
    <col min="62" max="62" width="6.88671875" bestFit="1" customWidth="1"/>
    <col min="63" max="63" width="29.33203125" bestFit="1" customWidth="1"/>
    <col min="64" max="64" width="11.6640625" customWidth="1"/>
  </cols>
  <sheetData>
    <row r="1" spans="1:64" x14ac:dyDescent="0.3">
      <c r="A1" s="32" t="s">
        <v>658</v>
      </c>
      <c r="B1" s="33">
        <f>'Draft List'!$B$2</f>
        <v>0</v>
      </c>
      <c r="K1" s="25" t="s">
        <v>291</v>
      </c>
      <c r="O1">
        <v>5.065724815724816</v>
      </c>
      <c r="P1">
        <v>5.3630221130221134</v>
      </c>
      <c r="Q1" s="3">
        <v>3.5245700245700244</v>
      </c>
    </row>
    <row r="2" spans="1:64" x14ac:dyDescent="0.3">
      <c r="A2" s="32" t="s">
        <v>659</v>
      </c>
      <c r="B2" s="33">
        <f>'Draft List'!$B$3</f>
        <v>0.2</v>
      </c>
      <c r="K2" s="25" t="s">
        <v>290</v>
      </c>
      <c r="O2">
        <v>1.5564653627697971</v>
      </c>
      <c r="P2">
        <v>1.3955118325171196</v>
      </c>
      <c r="Q2" s="3">
        <v>1.7507487340042387</v>
      </c>
    </row>
    <row r="3" spans="1:64" x14ac:dyDescent="0.3">
      <c r="I3" s="7">
        <v>15</v>
      </c>
      <c r="J3" s="3">
        <f>IF('Draft List'!$B$2=1,50,15)</f>
        <v>15</v>
      </c>
      <c r="K3" s="3">
        <f>IF('Draft List'!$B$2=1,50,15)</f>
        <v>15</v>
      </c>
      <c r="L3">
        <f>O3</f>
        <v>10</v>
      </c>
      <c r="M3">
        <f>P3</f>
        <v>9</v>
      </c>
      <c r="N3" s="3">
        <v>14</v>
      </c>
      <c r="O3">
        <v>10</v>
      </c>
      <c r="P3">
        <v>9</v>
      </c>
      <c r="Q3" s="3">
        <v>14</v>
      </c>
      <c r="AU3">
        <v>0.2</v>
      </c>
      <c r="AV3">
        <v>20</v>
      </c>
      <c r="AW3">
        <v>0.5</v>
      </c>
      <c r="AX3">
        <v>1.25</v>
      </c>
      <c r="BB3">
        <v>2</v>
      </c>
      <c r="BD3">
        <f>MAX(Table3[List])+1</f>
        <v>434</v>
      </c>
      <c r="BH3">
        <v>23</v>
      </c>
      <c r="BI3">
        <v>24</v>
      </c>
      <c r="BJ3">
        <v>25</v>
      </c>
      <c r="BK3">
        <v>26</v>
      </c>
    </row>
    <row r="4" spans="1:64" s="1" customFormat="1" x14ac:dyDescent="0.3">
      <c r="A4" s="34" t="s">
        <v>203</v>
      </c>
      <c r="B4" s="35" t="s">
        <v>0</v>
      </c>
      <c r="C4" s="35" t="s">
        <v>374</v>
      </c>
      <c r="D4" s="35" t="s">
        <v>375</v>
      </c>
      <c r="E4" s="35" t="s">
        <v>2</v>
      </c>
      <c r="F4" s="35" t="s">
        <v>3</v>
      </c>
      <c r="G4" s="35" t="s">
        <v>4</v>
      </c>
      <c r="H4" s="36" t="s">
        <v>5</v>
      </c>
      <c r="I4" s="37" t="s">
        <v>538</v>
      </c>
      <c r="J4" s="35" t="s">
        <v>6</v>
      </c>
      <c r="K4" s="36" t="s">
        <v>7</v>
      </c>
      <c r="L4" s="35" t="s">
        <v>8</v>
      </c>
      <c r="M4" s="35" t="s">
        <v>9</v>
      </c>
      <c r="N4" s="36" t="s">
        <v>10</v>
      </c>
      <c r="O4" s="35" t="s">
        <v>11</v>
      </c>
      <c r="P4" s="35" t="s">
        <v>12</v>
      </c>
      <c r="Q4" s="36" t="s">
        <v>13</v>
      </c>
      <c r="R4" s="35" t="s">
        <v>14</v>
      </c>
      <c r="S4" s="35" t="s">
        <v>15</v>
      </c>
      <c r="T4" s="35" t="s">
        <v>16</v>
      </c>
      <c r="U4" s="35" t="s">
        <v>17</v>
      </c>
      <c r="V4" s="35" t="s">
        <v>18</v>
      </c>
      <c r="W4" s="35" t="s">
        <v>19</v>
      </c>
      <c r="X4" s="35" t="s">
        <v>20</v>
      </c>
      <c r="Y4" s="35" t="s">
        <v>21</v>
      </c>
      <c r="Z4" s="35" t="s">
        <v>22</v>
      </c>
      <c r="AA4" s="35" t="s">
        <v>23</v>
      </c>
      <c r="AB4" s="35" t="s">
        <v>24</v>
      </c>
      <c r="AC4" s="35" t="s">
        <v>25</v>
      </c>
      <c r="AD4" s="35" t="s">
        <v>26</v>
      </c>
      <c r="AE4" s="35" t="s">
        <v>27</v>
      </c>
      <c r="AF4" s="35" t="s">
        <v>28</v>
      </c>
      <c r="AG4" s="35" t="s">
        <v>29</v>
      </c>
      <c r="AH4" s="35" t="s">
        <v>30</v>
      </c>
      <c r="AI4" s="35" t="s">
        <v>31</v>
      </c>
      <c r="AJ4" s="35" t="s">
        <v>32</v>
      </c>
      <c r="AK4" s="35" t="s">
        <v>33</v>
      </c>
      <c r="AL4" s="35" t="s">
        <v>34</v>
      </c>
      <c r="AM4" s="35" t="s">
        <v>35</v>
      </c>
      <c r="AN4" s="35" t="s">
        <v>36</v>
      </c>
      <c r="AO4" s="36" t="s">
        <v>37</v>
      </c>
      <c r="AP4" s="35" t="s">
        <v>38</v>
      </c>
      <c r="AQ4" s="35" t="s">
        <v>39</v>
      </c>
      <c r="AR4" s="36" t="s">
        <v>40</v>
      </c>
      <c r="AS4" s="38" t="s">
        <v>41</v>
      </c>
      <c r="AT4" s="38" t="s">
        <v>100</v>
      </c>
      <c r="AU4" s="34" t="s">
        <v>91</v>
      </c>
      <c r="AV4" s="34" t="s">
        <v>706</v>
      </c>
      <c r="AW4" s="34" t="s">
        <v>92</v>
      </c>
      <c r="AX4" s="34" t="s">
        <v>93</v>
      </c>
      <c r="AY4" s="39" t="s">
        <v>709</v>
      </c>
      <c r="AZ4" s="34" t="s">
        <v>95</v>
      </c>
      <c r="BA4" s="39" t="s">
        <v>96</v>
      </c>
      <c r="BB4" s="34" t="s">
        <v>97</v>
      </c>
      <c r="BC4" s="34" t="s">
        <v>98</v>
      </c>
      <c r="BD4" s="34" t="s">
        <v>99</v>
      </c>
      <c r="BE4" s="34" t="s">
        <v>539</v>
      </c>
      <c r="BF4" s="34" t="s">
        <v>101</v>
      </c>
      <c r="BG4" s="34" t="s">
        <v>102</v>
      </c>
      <c r="BH4" s="34" t="s">
        <v>220</v>
      </c>
      <c r="BI4" s="34" t="s">
        <v>221</v>
      </c>
      <c r="BJ4" s="34" t="s">
        <v>222</v>
      </c>
      <c r="BK4" s="34" t="s">
        <v>223</v>
      </c>
      <c r="BL4" s="34" t="s">
        <v>286</v>
      </c>
    </row>
    <row r="5" spans="1:64" ht="15" customHeight="1" x14ac:dyDescent="0.3">
      <c r="A5" s="40">
        <v>12563</v>
      </c>
      <c r="B5" s="40" t="s">
        <v>24</v>
      </c>
      <c r="C5" s="40" t="s">
        <v>1600</v>
      </c>
      <c r="D5" s="40" t="s">
        <v>581</v>
      </c>
      <c r="E5" s="40">
        <v>18</v>
      </c>
      <c r="F5" s="40" t="s">
        <v>53</v>
      </c>
      <c r="G5" s="40" t="s">
        <v>42</v>
      </c>
      <c r="H5" s="41" t="s">
        <v>899</v>
      </c>
      <c r="I5" s="42" t="s">
        <v>43</v>
      </c>
      <c r="J5" s="40" t="s">
        <v>47</v>
      </c>
      <c r="K5" s="41" t="s">
        <v>43</v>
      </c>
      <c r="L5" s="40">
        <v>4</v>
      </c>
      <c r="M5" s="40">
        <v>2</v>
      </c>
      <c r="N5" s="41">
        <v>5</v>
      </c>
      <c r="O5" s="40">
        <v>8</v>
      </c>
      <c r="P5" s="40">
        <v>5</v>
      </c>
      <c r="Q5" s="41">
        <v>8</v>
      </c>
      <c r="R5" s="40">
        <v>6</v>
      </c>
      <c r="S5" s="40">
        <v>8</v>
      </c>
      <c r="T5" s="40">
        <v>1</v>
      </c>
      <c r="U5" s="40">
        <v>4</v>
      </c>
      <c r="V5" s="40" t="s">
        <v>45</v>
      </c>
      <c r="W5" s="40" t="s">
        <v>45</v>
      </c>
      <c r="X5" s="40">
        <v>4</v>
      </c>
      <c r="Y5" s="40">
        <v>9</v>
      </c>
      <c r="Z5" s="40" t="s">
        <v>45</v>
      </c>
      <c r="AA5" s="40" t="s">
        <v>45</v>
      </c>
      <c r="AB5" s="40" t="s">
        <v>45</v>
      </c>
      <c r="AC5" s="40" t="s">
        <v>45</v>
      </c>
      <c r="AD5" s="40" t="s">
        <v>45</v>
      </c>
      <c r="AE5" s="40" t="s">
        <v>45</v>
      </c>
      <c r="AF5" s="40">
        <v>5</v>
      </c>
      <c r="AG5" s="40">
        <v>8</v>
      </c>
      <c r="AH5" s="40" t="s">
        <v>45</v>
      </c>
      <c r="AI5" s="40" t="s">
        <v>45</v>
      </c>
      <c r="AJ5" s="40" t="s">
        <v>45</v>
      </c>
      <c r="AK5" s="40" t="s">
        <v>45</v>
      </c>
      <c r="AL5" s="40" t="s">
        <v>45</v>
      </c>
      <c r="AM5" s="40" t="s">
        <v>45</v>
      </c>
      <c r="AN5" s="40" t="s">
        <v>45</v>
      </c>
      <c r="AO5" s="41" t="s">
        <v>45</v>
      </c>
      <c r="AP5" s="40" t="s">
        <v>63</v>
      </c>
      <c r="AQ5" s="40">
        <v>9</v>
      </c>
      <c r="AR5" s="48" t="s">
        <v>326</v>
      </c>
      <c r="AS5" s="43" t="s">
        <v>980</v>
      </c>
      <c r="AT5" s="43" t="s">
        <v>103</v>
      </c>
      <c r="AU5" s="44">
        <f t="shared" ref="AU5:AU68" si="0">($O$3*(L5-$O$1)/$O$2+$P$3*(M5-$P$1)/$P$2+$Q$3*(N5-$P$1)/$Q$2)/SUM($O$3:$Q$3)</f>
        <v>-0.9526962837935804</v>
      </c>
      <c r="AV5" s="44">
        <f t="shared" ref="AV5:AV68" si="1">($O$3*(O5-$O$1)/$O$2+$P$3*(P5-$P$1)/$P$2+$Q$3*(Q5-$Q$1)/$Q$2)/SUM($O$3:$Q$3)</f>
        <v>1.5848206124326825</v>
      </c>
      <c r="AW5" s="45">
        <f t="shared" ref="AW5:AW68" si="2">COUNT(R5:AO5)/2</f>
        <v>4</v>
      </c>
      <c r="AX5" s="45">
        <f t="shared" ref="AX5:AX68" si="3">IF(AND(S5&lt;&gt;"-",S5&gt;5),1,0)+IF(AND(U5&lt;&gt;"-",U5&gt;5),1,0)+IF(AND(W5&lt;&gt;"-",W5&gt;5),1,0)+IF(AND(Y5&lt;&gt;"-",Y5&gt;5),1,0)+IF(AND(AA5&lt;&gt;"-",AA5&gt;5),1,0)+IF(AND(AC5&lt;&gt;"-",AC5&gt;5),1,0)+IF(AND(AE5&lt;&gt;"-",AE5&gt;5),1,0)+IF(AND(AG5&lt;&gt;"-",AG5&gt;5),1,0)+IF(AND(AI5&lt;&gt;"-",AI5&gt;5),1,0)+IF(AND(AK5&lt;&gt;"-",AK5&gt;5),1,0)+IF(AND(AM5&lt;&gt;"-",AM5&gt;5),1,0)+IF(AND(AO5&lt;&gt;"-",AO5&gt;5),1,0)</f>
        <v>3</v>
      </c>
      <c r="AY5" s="46">
        <f>VLOOKUP(AP5,COND!$A$10:$B$32,2,FALSE)</f>
        <v>1.075</v>
      </c>
      <c r="AZ5" s="44">
        <f>($AU$3*AU5+$AV$3*AV5+$AW$3*AW5+$AX$3*AX5)*AY5*IF(AQ5&lt;5,0.95,IF(AQ5&lt;7,0.975,1))+$I$3*VLOOKUP(I5,COND!$A$2:$E$7,4,FALSE)+$J$3*VLOOKUP(J5,COND!$A$2:$E$7,2,FALSE)+$K$3*VLOOKUP(K5,COND!$A$2:$E$7,3,FALSE)+IF(BB5="SP",$BB$3,0)+IF($AW5&lt;3,-5,0)+IF(AND($B$2&gt;0,$E5&lt;20),$B$2*25,0)</f>
        <v>92.350063466287054</v>
      </c>
      <c r="BA5" s="47">
        <f t="shared" ref="BA5:BA14" si="4">STANDARDIZE(AZ5,AVERAGE($AZ$5:$AZ$428),STDEVP($AZ$5:$AZ$428))</f>
        <v>3.88416426387561</v>
      </c>
      <c r="BB5" s="45" t="str">
        <f t="shared" ref="BB5:BB68" si="5">IF(OR(AND(AQ5&gt;7,AX5&gt;1),AND(AQ5&gt;4,AW5&gt;2)),"SP","RP")</f>
        <v>SP</v>
      </c>
      <c r="BC5" s="45">
        <v>1</v>
      </c>
      <c r="BD5" s="45">
        <v>1</v>
      </c>
      <c r="BE5" s="45"/>
      <c r="BF5" s="45" t="str">
        <f t="shared" ref="BF5:BF68" si="6">IF(AVERAGE($O5:$Q5)&gt;=6,"Likely",IF(AVERAGE($O5:$Q5)&gt;=4,"Possible","Unlikely"))</f>
        <v>Likely</v>
      </c>
      <c r="BG5" s="45"/>
      <c r="BH5" s="45">
        <f>INDEX(Table5[[#All],[Ovr]],MATCH(Table3[[#This Row],[PID]],Table5[[#All],[PID]],0))</f>
        <v>4</v>
      </c>
      <c r="BI5" s="45" t="str">
        <f>INDEX(Table5[[#All],[Rnd]],MATCH(Table3[[#This Row],[PID]],Table5[[#All],[PID]],0))</f>
        <v>1</v>
      </c>
      <c r="BJ5" s="45">
        <f>INDEX(Table5[[#All],[Pick]],MATCH(Table3[[#This Row],[PID]],Table5[[#All],[PID]],0))</f>
        <v>4</v>
      </c>
      <c r="BK5" s="45" t="str">
        <f>INDEX(Table5[[#All],[Team]],MATCH(Table3[[#This Row],[PID]],Table5[[#All],[PID]],0))</f>
        <v>Palm Springs Codgers</v>
      </c>
      <c r="BL5" s="45" t="str">
        <f>IF(OR(Table3[[#This Row],[POS]]="SP",Table3[[#This Row],[POS]]="RP",Table3[[#This Row],[POS]]="CL"),"P",INDEX(Batters[[#All],[zScore]],MATCH(Table3[[#This Row],[PID]],Batters[[#All],[PID]],0)))</f>
        <v>P</v>
      </c>
    </row>
    <row r="6" spans="1:64" ht="15" customHeight="1" x14ac:dyDescent="0.3">
      <c r="A6" s="40">
        <v>8335</v>
      </c>
      <c r="B6" s="40" t="s">
        <v>49</v>
      </c>
      <c r="C6" s="40" t="s">
        <v>1330</v>
      </c>
      <c r="D6" s="40" t="s">
        <v>518</v>
      </c>
      <c r="E6" s="40">
        <v>21</v>
      </c>
      <c r="F6" s="40" t="s">
        <v>42</v>
      </c>
      <c r="G6" s="40" t="s">
        <v>42</v>
      </c>
      <c r="H6" s="41" t="s">
        <v>1331</v>
      </c>
      <c r="I6" s="42" t="s">
        <v>43</v>
      </c>
      <c r="J6" s="40" t="s">
        <v>43</v>
      </c>
      <c r="K6" s="41" t="s">
        <v>43</v>
      </c>
      <c r="L6" s="40">
        <v>8</v>
      </c>
      <c r="M6" s="40">
        <v>6</v>
      </c>
      <c r="N6" s="41">
        <v>7</v>
      </c>
      <c r="O6" s="40">
        <v>10</v>
      </c>
      <c r="P6" s="40">
        <v>7</v>
      </c>
      <c r="Q6" s="41">
        <v>8</v>
      </c>
      <c r="R6" s="40">
        <v>9</v>
      </c>
      <c r="S6" s="40">
        <v>10</v>
      </c>
      <c r="T6" s="40" t="s">
        <v>45</v>
      </c>
      <c r="U6" s="40" t="s">
        <v>45</v>
      </c>
      <c r="V6" s="40" t="s">
        <v>45</v>
      </c>
      <c r="W6" s="40" t="s">
        <v>45</v>
      </c>
      <c r="X6" s="40" t="s">
        <v>45</v>
      </c>
      <c r="Y6" s="40" t="s">
        <v>45</v>
      </c>
      <c r="Z6" s="40" t="s">
        <v>45</v>
      </c>
      <c r="AA6" s="40" t="s">
        <v>45</v>
      </c>
      <c r="AB6" s="40" t="s">
        <v>45</v>
      </c>
      <c r="AC6" s="40" t="s">
        <v>45</v>
      </c>
      <c r="AD6" s="40" t="s">
        <v>45</v>
      </c>
      <c r="AE6" s="40" t="s">
        <v>45</v>
      </c>
      <c r="AF6" s="40" t="s">
        <v>45</v>
      </c>
      <c r="AG6" s="40" t="s">
        <v>45</v>
      </c>
      <c r="AH6" s="40">
        <v>9</v>
      </c>
      <c r="AI6" s="40">
        <v>10</v>
      </c>
      <c r="AJ6" s="40" t="s">
        <v>45</v>
      </c>
      <c r="AK6" s="40" t="s">
        <v>45</v>
      </c>
      <c r="AL6" s="40" t="s">
        <v>45</v>
      </c>
      <c r="AM6" s="40" t="s">
        <v>45</v>
      </c>
      <c r="AN6" s="40" t="s">
        <v>45</v>
      </c>
      <c r="AO6" s="41" t="s">
        <v>45</v>
      </c>
      <c r="AP6" s="40" t="s">
        <v>48</v>
      </c>
      <c r="AQ6" s="40">
        <v>1</v>
      </c>
      <c r="AR6" s="48" t="s">
        <v>325</v>
      </c>
      <c r="AS6" s="43" t="s">
        <v>1245</v>
      </c>
      <c r="AT6" s="43" t="s">
        <v>117</v>
      </c>
      <c r="AU6" s="44">
        <f t="shared" si="0"/>
        <v>1.0924370120715559</v>
      </c>
      <c r="AV6" s="44">
        <f t="shared" si="1"/>
        <v>2.3650666943111402</v>
      </c>
      <c r="AW6" s="45">
        <f t="shared" si="2"/>
        <v>2</v>
      </c>
      <c r="AX6" s="45">
        <f t="shared" si="3"/>
        <v>2</v>
      </c>
      <c r="AY6" s="46">
        <f>VLOOKUP(AP6,COND!$A$10:$B$32,2,FALSE)</f>
        <v>1.05</v>
      </c>
      <c r="AZ6" s="44">
        <f>($AU$3*AU6+$AV$3*AV6+$AW$3*AW6+$AX$3*AX6)*AY6*IF(AQ6&lt;5,0.95,IF(AQ6&lt;7,0.975,1))+$I$3*VLOOKUP(I6,COND!$A$2:$E$7,4,FALSE)+$J$3*VLOOKUP(J6,COND!$A$2:$E$7,2,FALSE)+$K$3*VLOOKUP(K6,COND!$A$2:$E$7,3,FALSE)+IF(BB6="SP",$BB$3,0)+IF($AW6&lt;3,-5,0)+IF(AND($B$2&gt;0,$E6&lt;20),$B$2*25,0)</f>
        <v>90.89227173541552</v>
      </c>
      <c r="BA6" s="47">
        <f t="shared" si="4"/>
        <v>3.7803592401734889</v>
      </c>
      <c r="BB6" s="45" t="str">
        <f t="shared" si="5"/>
        <v>RP</v>
      </c>
      <c r="BC6" s="45">
        <v>1</v>
      </c>
      <c r="BD6" s="45">
        <v>2</v>
      </c>
      <c r="BE6" s="45"/>
      <c r="BF6" s="45" t="str">
        <f t="shared" si="6"/>
        <v>Likely</v>
      </c>
      <c r="BG6" s="45"/>
      <c r="BH6" s="45">
        <f>INDEX(Table5[[#All],[Ovr]],MATCH(Table3[[#This Row],[PID]],Table5[[#All],[PID]],0))</f>
        <v>3</v>
      </c>
      <c r="BI6" s="45" t="str">
        <f>INDEX(Table5[[#All],[Rnd]],MATCH(Table3[[#This Row],[PID]],Table5[[#All],[PID]],0))</f>
        <v>1</v>
      </c>
      <c r="BJ6" s="45">
        <f>INDEX(Table5[[#All],[Pick]],MATCH(Table3[[#This Row],[PID]],Table5[[#All],[PID]],0))</f>
        <v>3</v>
      </c>
      <c r="BK6" s="45" t="str">
        <f>INDEX(Table5[[#All],[Team]],MATCH(Table3[[#This Row],[PID]],Table5[[#All],[PID]],0))</f>
        <v>Okinawa Shisa</v>
      </c>
      <c r="BL6" s="45" t="str">
        <f>IF(OR(Table3[[#This Row],[POS]]="SP",Table3[[#This Row],[POS]]="RP",Table3[[#This Row],[POS]]="CL"),"P",INDEX(Batters[[#All],[zScore]],MATCH(Table3[[#This Row],[PID]],Batters[[#All],[PID]],0)))</f>
        <v>P</v>
      </c>
    </row>
    <row r="7" spans="1:64" ht="15" customHeight="1" x14ac:dyDescent="0.3">
      <c r="A7" s="40">
        <v>9631</v>
      </c>
      <c r="B7" s="40" t="s">
        <v>24</v>
      </c>
      <c r="C7" s="40" t="s">
        <v>127</v>
      </c>
      <c r="D7" s="40" t="s">
        <v>1501</v>
      </c>
      <c r="E7" s="40">
        <v>17</v>
      </c>
      <c r="F7" s="40" t="s">
        <v>42</v>
      </c>
      <c r="G7" s="40" t="s">
        <v>42</v>
      </c>
      <c r="H7" s="41" t="s">
        <v>636</v>
      </c>
      <c r="I7" s="42" t="s">
        <v>43</v>
      </c>
      <c r="J7" s="40" t="s">
        <v>43</v>
      </c>
      <c r="K7" s="41" t="s">
        <v>43</v>
      </c>
      <c r="L7" s="40">
        <v>2</v>
      </c>
      <c r="M7" s="40">
        <v>3</v>
      </c>
      <c r="N7" s="41">
        <v>2</v>
      </c>
      <c r="O7" s="40">
        <v>7</v>
      </c>
      <c r="P7" s="40">
        <v>6</v>
      </c>
      <c r="Q7" s="41">
        <v>6</v>
      </c>
      <c r="R7" s="40">
        <v>5</v>
      </c>
      <c r="S7" s="40">
        <v>9</v>
      </c>
      <c r="T7" s="40">
        <v>1</v>
      </c>
      <c r="U7" s="40">
        <v>8</v>
      </c>
      <c r="V7" s="40" t="s">
        <v>45</v>
      </c>
      <c r="W7" s="40" t="s">
        <v>45</v>
      </c>
      <c r="X7" s="40">
        <v>3</v>
      </c>
      <c r="Y7" s="40">
        <v>9</v>
      </c>
      <c r="Z7" s="40" t="s">
        <v>45</v>
      </c>
      <c r="AA7" s="40" t="s">
        <v>45</v>
      </c>
      <c r="AB7" s="40" t="s">
        <v>45</v>
      </c>
      <c r="AC7" s="40" t="s">
        <v>45</v>
      </c>
      <c r="AD7" s="40" t="s">
        <v>45</v>
      </c>
      <c r="AE7" s="40" t="s">
        <v>45</v>
      </c>
      <c r="AF7" s="40" t="s">
        <v>45</v>
      </c>
      <c r="AG7" s="40" t="s">
        <v>45</v>
      </c>
      <c r="AH7" s="40" t="s">
        <v>45</v>
      </c>
      <c r="AI7" s="40" t="s">
        <v>45</v>
      </c>
      <c r="AJ7" s="40" t="s">
        <v>45</v>
      </c>
      <c r="AK7" s="40" t="s">
        <v>45</v>
      </c>
      <c r="AL7" s="40" t="s">
        <v>45</v>
      </c>
      <c r="AM7" s="40" t="s">
        <v>45</v>
      </c>
      <c r="AN7" s="40" t="s">
        <v>45</v>
      </c>
      <c r="AO7" s="41" t="s">
        <v>45</v>
      </c>
      <c r="AP7" s="40" t="s">
        <v>48</v>
      </c>
      <c r="AQ7" s="40">
        <v>9</v>
      </c>
      <c r="AR7" s="48" t="s">
        <v>325</v>
      </c>
      <c r="AS7" s="43" t="s">
        <v>980</v>
      </c>
      <c r="AT7" s="43" t="s">
        <v>103</v>
      </c>
      <c r="AU7" s="44">
        <f t="shared" si="0"/>
        <v>-1.8736089145442034</v>
      </c>
      <c r="AV7" s="44">
        <f t="shared" si="1"/>
        <v>1.1009198722453437</v>
      </c>
      <c r="AW7" s="45">
        <f t="shared" si="2"/>
        <v>3</v>
      </c>
      <c r="AX7" s="45">
        <f t="shared" si="3"/>
        <v>3</v>
      </c>
      <c r="AY7" s="46">
        <f>VLOOKUP(AP7,COND!$A$10:$B$32,2,FALSE)</f>
        <v>1.05</v>
      </c>
      <c r="AZ7" s="44">
        <f>($AU$3*AU7+$AV$3*AV7+$AW$3*AW7+$AX$3*AX7)*AY7*IF(AQ7&lt;5,0.95,IF(AQ7&lt;7,0.975,1))+$I$3*VLOOKUP(I7,COND!$A$2:$E$7,4,FALSE)+$J$3*VLOOKUP(J7,COND!$A$2:$E$7,2,FALSE)+$K$3*VLOOKUP(K7,COND!$A$2:$E$7,3,FALSE)+IF(BB7="SP",$BB$3,0)+IF($AW7&lt;3,-5,0)+IF(AND($B$2&gt;0,$E7&lt;20),$B$2*25,0)</f>
        <v>80.238359445097942</v>
      </c>
      <c r="BA7" s="47">
        <f t="shared" si="4"/>
        <v>3.0217257574910472</v>
      </c>
      <c r="BB7" s="45" t="str">
        <f t="shared" si="5"/>
        <v>SP</v>
      </c>
      <c r="BC7" s="45">
        <v>2</v>
      </c>
      <c r="BD7" s="45">
        <v>3</v>
      </c>
      <c r="BE7" s="45"/>
      <c r="BF7" s="45" t="str">
        <f t="shared" si="6"/>
        <v>Likely</v>
      </c>
      <c r="BG7" s="45"/>
      <c r="BH7" s="45">
        <f>INDEX(Table5[[#All],[Ovr]],MATCH(Table3[[#This Row],[PID]],Table5[[#All],[PID]],0))</f>
        <v>11</v>
      </c>
      <c r="BI7" s="45" t="str">
        <f>INDEX(Table5[[#All],[Rnd]],MATCH(Table3[[#This Row],[PID]],Table5[[#All],[PID]],0))</f>
        <v>1</v>
      </c>
      <c r="BJ7" s="45">
        <f>INDEX(Table5[[#All],[Pick]],MATCH(Table3[[#This Row],[PID]],Table5[[#All],[PID]],0))</f>
        <v>11</v>
      </c>
      <c r="BK7" s="45" t="str">
        <f>INDEX(Table5[[#All],[Team]],MATCH(Table3[[#This Row],[PID]],Table5[[#All],[PID]],0))</f>
        <v>London Underground</v>
      </c>
      <c r="BL7" s="45" t="str">
        <f>IF(OR(Table3[[#This Row],[POS]]="SP",Table3[[#This Row],[POS]]="RP",Table3[[#This Row],[POS]]="CL"),"P",INDEX(Batters[[#All],[zScore]],MATCH(Table3[[#This Row],[PID]],Batters[[#All],[PID]],0)))</f>
        <v>P</v>
      </c>
    </row>
    <row r="8" spans="1:64" ht="15" customHeight="1" x14ac:dyDescent="0.3">
      <c r="A8" s="40">
        <v>20292</v>
      </c>
      <c r="B8" s="40" t="s">
        <v>24</v>
      </c>
      <c r="C8" s="40" t="s">
        <v>1334</v>
      </c>
      <c r="D8" s="40" t="s">
        <v>1335</v>
      </c>
      <c r="E8" s="40">
        <v>21</v>
      </c>
      <c r="F8" s="40" t="s">
        <v>42</v>
      </c>
      <c r="G8" s="40" t="s">
        <v>42</v>
      </c>
      <c r="H8" s="41" t="s">
        <v>548</v>
      </c>
      <c r="I8" s="42" t="s">
        <v>43</v>
      </c>
      <c r="J8" s="40" t="s">
        <v>43</v>
      </c>
      <c r="K8" s="41" t="s">
        <v>43</v>
      </c>
      <c r="L8" s="40">
        <v>6</v>
      </c>
      <c r="M8" s="40">
        <v>3</v>
      </c>
      <c r="N8" s="41">
        <v>6</v>
      </c>
      <c r="O8" s="40">
        <v>8</v>
      </c>
      <c r="P8" s="40">
        <v>6</v>
      </c>
      <c r="Q8" s="41">
        <v>6</v>
      </c>
      <c r="R8" s="40">
        <v>9</v>
      </c>
      <c r="S8" s="40">
        <v>10</v>
      </c>
      <c r="T8" s="40">
        <v>4</v>
      </c>
      <c r="U8" s="40">
        <v>6</v>
      </c>
      <c r="V8" s="40">
        <v>3</v>
      </c>
      <c r="W8" s="40">
        <v>3</v>
      </c>
      <c r="X8" s="40" t="s">
        <v>45</v>
      </c>
      <c r="Y8" s="40" t="s">
        <v>45</v>
      </c>
      <c r="Z8" s="40" t="s">
        <v>45</v>
      </c>
      <c r="AA8" s="40" t="s">
        <v>45</v>
      </c>
      <c r="AB8" s="40" t="s">
        <v>45</v>
      </c>
      <c r="AC8" s="40" t="s">
        <v>45</v>
      </c>
      <c r="AD8" s="40" t="s">
        <v>45</v>
      </c>
      <c r="AE8" s="40" t="s">
        <v>45</v>
      </c>
      <c r="AF8" s="40">
        <v>6</v>
      </c>
      <c r="AG8" s="40">
        <v>8</v>
      </c>
      <c r="AH8" s="40" t="s">
        <v>45</v>
      </c>
      <c r="AI8" s="40" t="s">
        <v>45</v>
      </c>
      <c r="AJ8" s="40" t="s">
        <v>45</v>
      </c>
      <c r="AK8" s="40" t="s">
        <v>45</v>
      </c>
      <c r="AL8" s="40" t="s">
        <v>45</v>
      </c>
      <c r="AM8" s="40" t="s">
        <v>45</v>
      </c>
      <c r="AN8" s="40" t="s">
        <v>45</v>
      </c>
      <c r="AO8" s="41" t="s">
        <v>45</v>
      </c>
      <c r="AP8" s="40" t="s">
        <v>63</v>
      </c>
      <c r="AQ8" s="40">
        <v>6</v>
      </c>
      <c r="AR8" s="48" t="s">
        <v>326</v>
      </c>
      <c r="AS8" s="43" t="s">
        <v>1336</v>
      </c>
      <c r="AT8" s="43" t="s">
        <v>103</v>
      </c>
      <c r="AU8" s="44">
        <f t="shared" si="0"/>
        <v>-0.12556135229106763</v>
      </c>
      <c r="AV8" s="44">
        <f t="shared" si="1"/>
        <v>1.2956111967545172</v>
      </c>
      <c r="AW8" s="45">
        <f t="shared" si="2"/>
        <v>4</v>
      </c>
      <c r="AX8" s="45">
        <f t="shared" si="3"/>
        <v>3</v>
      </c>
      <c r="AY8" s="46">
        <f>VLOOKUP(AP8,COND!$A$10:$B$32,2,FALSE)</f>
        <v>1.075</v>
      </c>
      <c r="AZ8" s="44">
        <f>($AU$3*AU8+$AV$3*AV8+$AW$3*AW8+$AX$3*AX8)*AY8*IF(AQ8&lt;5,0.95,IF(AQ8&lt;7,0.975,1))+$I$3*VLOOKUP(I8,COND!$A$2:$E$7,4,FALSE)+$J$3*VLOOKUP(J8,COND!$A$2:$E$7,2,FALSE)+$K$3*VLOOKUP(K8,COND!$A$2:$E$7,3,FALSE)+IF(BB8="SP",$BB$3,0)+IF($AW8&lt;3,-5,0)+IF(AND($B$2&gt;0,$E8&lt;20),$B$2*25,0)</f>
        <v>80.159647663492564</v>
      </c>
      <c r="BA8" s="47">
        <f t="shared" si="4"/>
        <v>3.0161209250707826</v>
      </c>
      <c r="BB8" s="45" t="str">
        <f t="shared" si="5"/>
        <v>SP</v>
      </c>
      <c r="BC8" s="45">
        <v>3</v>
      </c>
      <c r="BD8" s="45">
        <v>4</v>
      </c>
      <c r="BE8" s="45"/>
      <c r="BF8" s="45" t="str">
        <f t="shared" si="6"/>
        <v>Likely</v>
      </c>
      <c r="BG8" s="45"/>
      <c r="BH8" s="45">
        <f>INDEX(Table5[[#All],[Ovr]],MATCH(Table3[[#This Row],[PID]],Table5[[#All],[PID]],0))</f>
        <v>8</v>
      </c>
      <c r="BI8" s="45" t="str">
        <f>INDEX(Table5[[#All],[Rnd]],MATCH(Table3[[#This Row],[PID]],Table5[[#All],[PID]],0))</f>
        <v>1</v>
      </c>
      <c r="BJ8" s="45">
        <f>INDEX(Table5[[#All],[Pick]],MATCH(Table3[[#This Row],[PID]],Table5[[#All],[PID]],0))</f>
        <v>8</v>
      </c>
      <c r="BK8" s="45" t="str">
        <f>INDEX(Table5[[#All],[Team]],MATCH(Table3[[#This Row],[PID]],Table5[[#All],[PID]],0))</f>
        <v>West Virginia Alleghenies</v>
      </c>
      <c r="BL8" s="45" t="str">
        <f>IF(OR(Table3[[#This Row],[POS]]="SP",Table3[[#This Row],[POS]]="RP",Table3[[#This Row],[POS]]="CL"),"P",INDEX(Batters[[#All],[zScore]],MATCH(Table3[[#This Row],[PID]],Batters[[#All],[PID]],0)))</f>
        <v>P</v>
      </c>
    </row>
    <row r="9" spans="1:64" ht="15" customHeight="1" x14ac:dyDescent="0.3">
      <c r="A9" s="40">
        <v>11849</v>
      </c>
      <c r="B9" s="40" t="s">
        <v>24</v>
      </c>
      <c r="C9" s="40" t="s">
        <v>142</v>
      </c>
      <c r="D9" s="40" t="s">
        <v>1484</v>
      </c>
      <c r="E9" s="40">
        <v>17</v>
      </c>
      <c r="F9" s="40" t="s">
        <v>53</v>
      </c>
      <c r="G9" s="40" t="s">
        <v>53</v>
      </c>
      <c r="H9" s="41" t="s">
        <v>548</v>
      </c>
      <c r="I9" s="42" t="s">
        <v>43</v>
      </c>
      <c r="J9" s="40" t="s">
        <v>43</v>
      </c>
      <c r="K9" s="41" t="s">
        <v>43</v>
      </c>
      <c r="L9" s="40">
        <v>4</v>
      </c>
      <c r="M9" s="40">
        <v>2</v>
      </c>
      <c r="N9" s="41">
        <v>1</v>
      </c>
      <c r="O9" s="40">
        <v>7</v>
      </c>
      <c r="P9" s="40">
        <v>5</v>
      </c>
      <c r="Q9" s="41">
        <v>5</v>
      </c>
      <c r="R9" s="40">
        <v>6</v>
      </c>
      <c r="S9" s="40">
        <v>8</v>
      </c>
      <c r="T9" s="40">
        <v>1</v>
      </c>
      <c r="U9" s="40">
        <v>7</v>
      </c>
      <c r="V9" s="40">
        <v>3</v>
      </c>
      <c r="W9" s="40">
        <v>7</v>
      </c>
      <c r="X9" s="40" t="s">
        <v>45</v>
      </c>
      <c r="Y9" s="40" t="s">
        <v>45</v>
      </c>
      <c r="Z9" s="40" t="s">
        <v>45</v>
      </c>
      <c r="AA9" s="40" t="s">
        <v>45</v>
      </c>
      <c r="AB9" s="40" t="s">
        <v>45</v>
      </c>
      <c r="AC9" s="40" t="s">
        <v>45</v>
      </c>
      <c r="AD9" s="40" t="s">
        <v>45</v>
      </c>
      <c r="AE9" s="40" t="s">
        <v>45</v>
      </c>
      <c r="AF9" s="40">
        <v>5</v>
      </c>
      <c r="AG9" s="40">
        <v>8</v>
      </c>
      <c r="AH9" s="40" t="s">
        <v>45</v>
      </c>
      <c r="AI9" s="40" t="s">
        <v>45</v>
      </c>
      <c r="AJ9" s="40" t="s">
        <v>45</v>
      </c>
      <c r="AK9" s="40" t="s">
        <v>45</v>
      </c>
      <c r="AL9" s="40" t="s">
        <v>45</v>
      </c>
      <c r="AM9" s="40" t="s">
        <v>45</v>
      </c>
      <c r="AN9" s="40" t="s">
        <v>45</v>
      </c>
      <c r="AO9" s="41" t="s">
        <v>45</v>
      </c>
      <c r="AP9" s="40" t="s">
        <v>63</v>
      </c>
      <c r="AQ9" s="40">
        <v>7</v>
      </c>
      <c r="AR9" s="48" t="s">
        <v>326</v>
      </c>
      <c r="AS9" s="43" t="s">
        <v>638</v>
      </c>
      <c r="AT9" s="43" t="s">
        <v>103</v>
      </c>
      <c r="AU9" s="44">
        <f t="shared" si="0"/>
        <v>-1.9219785480100218</v>
      </c>
      <c r="AV9" s="44">
        <f t="shared" si="1"/>
        <v>0.66316758976117784</v>
      </c>
      <c r="AW9" s="45">
        <f t="shared" si="2"/>
        <v>4</v>
      </c>
      <c r="AX9" s="45">
        <f t="shared" si="3"/>
        <v>4</v>
      </c>
      <c r="AY9" s="46">
        <f>VLOOKUP(AP9,COND!$A$10:$B$32,2,FALSE)</f>
        <v>1.075</v>
      </c>
      <c r="AZ9" s="44">
        <f>($AU$3*AU9+$AV$3*AV9+$AW$3*AW9+$AX$3*AX9)*AY9*IF(AQ9&lt;5,0.95,IF(AQ9&lt;7,0.975,1))+$I$3*VLOOKUP(I9,COND!$A$2:$E$7,4,FALSE)+$J$3*VLOOKUP(J9,COND!$A$2:$E$7,2,FALSE)+$K$3*VLOOKUP(K9,COND!$A$2:$E$7,3,FALSE)+IF(BB9="SP",$BB$3,0)+IF($AW9&lt;3,-5,0)+IF(AND($B$2&gt;0,$E9&lt;20),$B$2*25,0)</f>
        <v>73.36987779204317</v>
      </c>
      <c r="BA9" s="47">
        <f t="shared" si="4"/>
        <v>2.5326415586345465</v>
      </c>
      <c r="BB9" s="45" t="str">
        <f t="shared" si="5"/>
        <v>SP</v>
      </c>
      <c r="BC9" s="45">
        <v>4</v>
      </c>
      <c r="BD9" s="45">
        <v>5</v>
      </c>
      <c r="BE9" s="45"/>
      <c r="BF9" s="45" t="str">
        <f t="shared" si="6"/>
        <v>Possible</v>
      </c>
      <c r="BG9" s="45"/>
      <c r="BH9" s="45">
        <f>INDEX(Table5[[#All],[Ovr]],MATCH(Table3[[#This Row],[PID]],Table5[[#All],[PID]],0))</f>
        <v>16</v>
      </c>
      <c r="BI9" s="45" t="str">
        <f>INDEX(Table5[[#All],[Rnd]],MATCH(Table3[[#This Row],[PID]],Table5[[#All],[PID]],0))</f>
        <v>1</v>
      </c>
      <c r="BJ9" s="45">
        <f>INDEX(Table5[[#All],[Pick]],MATCH(Table3[[#This Row],[PID]],Table5[[#All],[PID]],0))</f>
        <v>16</v>
      </c>
      <c r="BK9" s="45" t="str">
        <f>INDEX(Table5[[#All],[Team]],MATCH(Table3[[#This Row],[PID]],Table5[[#All],[PID]],0))</f>
        <v>Niihama-shi Ghosts</v>
      </c>
      <c r="BL9" s="45" t="str">
        <f>IF(OR(Table3[[#This Row],[POS]]="SP",Table3[[#This Row],[POS]]="RP",Table3[[#This Row],[POS]]="CL"),"P",INDEX(Batters[[#All],[zScore]],MATCH(Table3[[#This Row],[PID]],Batters[[#All],[PID]],0)))</f>
        <v>P</v>
      </c>
    </row>
    <row r="10" spans="1:64" ht="15" customHeight="1" x14ac:dyDescent="0.3">
      <c r="A10" s="40">
        <v>12025</v>
      </c>
      <c r="B10" s="40" t="s">
        <v>24</v>
      </c>
      <c r="C10" s="40" t="s">
        <v>491</v>
      </c>
      <c r="D10" s="40" t="s">
        <v>713</v>
      </c>
      <c r="E10" s="40">
        <v>17</v>
      </c>
      <c r="F10" s="40" t="s">
        <v>42</v>
      </c>
      <c r="G10" s="40" t="s">
        <v>42</v>
      </c>
      <c r="H10" s="41" t="s">
        <v>548</v>
      </c>
      <c r="I10" s="42" t="s">
        <v>44</v>
      </c>
      <c r="J10" s="40" t="s">
        <v>43</v>
      </c>
      <c r="K10" s="41" t="s">
        <v>47</v>
      </c>
      <c r="L10" s="40">
        <v>3</v>
      </c>
      <c r="M10" s="40">
        <v>2</v>
      </c>
      <c r="N10" s="41">
        <v>3</v>
      </c>
      <c r="O10" s="40">
        <v>6</v>
      </c>
      <c r="P10" s="40">
        <v>5</v>
      </c>
      <c r="Q10" s="41">
        <v>6</v>
      </c>
      <c r="R10" s="40">
        <v>6</v>
      </c>
      <c r="S10" s="40">
        <v>8</v>
      </c>
      <c r="T10" s="40" t="s">
        <v>45</v>
      </c>
      <c r="U10" s="40" t="s">
        <v>45</v>
      </c>
      <c r="V10" s="40">
        <v>2</v>
      </c>
      <c r="W10" s="40">
        <v>7</v>
      </c>
      <c r="X10" s="40">
        <v>3</v>
      </c>
      <c r="Y10" s="40">
        <v>7</v>
      </c>
      <c r="Z10" s="40" t="s">
        <v>45</v>
      </c>
      <c r="AA10" s="40" t="s">
        <v>45</v>
      </c>
      <c r="AB10" s="40" t="s">
        <v>45</v>
      </c>
      <c r="AC10" s="40" t="s">
        <v>45</v>
      </c>
      <c r="AD10" s="40" t="s">
        <v>45</v>
      </c>
      <c r="AE10" s="40" t="s">
        <v>45</v>
      </c>
      <c r="AF10" s="40" t="s">
        <v>45</v>
      </c>
      <c r="AG10" s="40" t="s">
        <v>45</v>
      </c>
      <c r="AH10" s="40" t="s">
        <v>45</v>
      </c>
      <c r="AI10" s="40" t="s">
        <v>45</v>
      </c>
      <c r="AJ10" s="40" t="s">
        <v>45</v>
      </c>
      <c r="AK10" s="40" t="s">
        <v>45</v>
      </c>
      <c r="AL10" s="40" t="s">
        <v>45</v>
      </c>
      <c r="AM10" s="40" t="s">
        <v>45</v>
      </c>
      <c r="AN10" s="40" t="s">
        <v>45</v>
      </c>
      <c r="AO10" s="41" t="s">
        <v>45</v>
      </c>
      <c r="AP10" s="40" t="s">
        <v>46</v>
      </c>
      <c r="AQ10" s="40">
        <v>8</v>
      </c>
      <c r="AR10" s="48" t="s">
        <v>326</v>
      </c>
      <c r="AS10" s="43" t="s">
        <v>1511</v>
      </c>
      <c r="AT10" s="43" t="s">
        <v>103</v>
      </c>
      <c r="AU10" s="44">
        <f t="shared" si="0"/>
        <v>-1.6320287404109748</v>
      </c>
      <c r="AV10" s="44">
        <f t="shared" si="1"/>
        <v>0.71079683130611471</v>
      </c>
      <c r="AW10" s="45">
        <f t="shared" si="2"/>
        <v>3</v>
      </c>
      <c r="AX10" s="45">
        <f t="shared" si="3"/>
        <v>3</v>
      </c>
      <c r="AY10" s="46">
        <f>VLOOKUP(AP10,COND!$A$10:$B$32,2,FALSE)</f>
        <v>1.05</v>
      </c>
      <c r="AZ10" s="44">
        <f>($AU$3*AU10+$AV$3*AV10+$AW$3*AW10+$AX$3*AX10)*AY10*IF(AQ10&lt;5,0.95,IF(AQ10&lt;7,0.975,1))+$I$3*VLOOKUP(I10,COND!$A$2:$E$7,4,FALSE)+$J$3*VLOOKUP(J10,COND!$A$2:$E$7,2,FALSE)+$K$3*VLOOKUP(K10,COND!$A$2:$E$7,3,FALSE)+IF(BB10="SP",$BB$3,0)+IF($AW10&lt;3,-5,0)+IF(AND($B$2&gt;0,$E10&lt;20),$B$2*25,0)</f>
        <v>72.246507421942098</v>
      </c>
      <c r="BA10" s="47">
        <f t="shared" si="4"/>
        <v>2.452649687762233</v>
      </c>
      <c r="BB10" s="45" t="str">
        <f t="shared" si="5"/>
        <v>SP</v>
      </c>
      <c r="BC10" s="45">
        <v>5</v>
      </c>
      <c r="BD10" s="45">
        <v>6</v>
      </c>
      <c r="BE10" s="45"/>
      <c r="BF10" s="45" t="str">
        <f t="shared" si="6"/>
        <v>Possible</v>
      </c>
      <c r="BG10" s="45"/>
      <c r="BH10" s="45">
        <f>INDEX(Table5[[#All],[Ovr]],MATCH(Table3[[#This Row],[PID]],Table5[[#All],[PID]],0))</f>
        <v>20</v>
      </c>
      <c r="BI10" s="45" t="str">
        <f>INDEX(Table5[[#All],[Rnd]],MATCH(Table3[[#This Row],[PID]],Table5[[#All],[PID]],0))</f>
        <v>1</v>
      </c>
      <c r="BJ10" s="45">
        <f>INDEX(Table5[[#All],[Pick]],MATCH(Table3[[#This Row],[PID]],Table5[[#All],[PID]],0))</f>
        <v>20</v>
      </c>
      <c r="BK10" s="45" t="str">
        <f>INDEX(Table5[[#All],[Team]],MATCH(Table3[[#This Row],[PID]],Table5[[#All],[PID]],0))</f>
        <v>Fargo Dinosaurs</v>
      </c>
      <c r="BL10" s="45" t="str">
        <f>IF(OR(Table3[[#This Row],[POS]]="SP",Table3[[#This Row],[POS]]="RP",Table3[[#This Row],[POS]]="CL"),"P",INDEX(Batters[[#All],[zScore]],MATCH(Table3[[#This Row],[PID]],Batters[[#All],[PID]],0)))</f>
        <v>P</v>
      </c>
    </row>
    <row r="11" spans="1:64" ht="15" customHeight="1" x14ac:dyDescent="0.3">
      <c r="A11" s="40">
        <v>20985</v>
      </c>
      <c r="B11" s="40" t="s">
        <v>49</v>
      </c>
      <c r="C11" s="40" t="s">
        <v>777</v>
      </c>
      <c r="D11" s="40" t="s">
        <v>722</v>
      </c>
      <c r="E11" s="40">
        <v>16</v>
      </c>
      <c r="F11" s="40" t="s">
        <v>53</v>
      </c>
      <c r="G11" s="40" t="s">
        <v>42</v>
      </c>
      <c r="H11" s="41" t="s">
        <v>548</v>
      </c>
      <c r="I11" s="42" t="s">
        <v>43</v>
      </c>
      <c r="J11" s="40" t="s">
        <v>43</v>
      </c>
      <c r="K11" s="41" t="s">
        <v>47</v>
      </c>
      <c r="L11" s="40">
        <v>2</v>
      </c>
      <c r="M11" s="40">
        <v>2</v>
      </c>
      <c r="N11" s="41">
        <v>2</v>
      </c>
      <c r="O11" s="40">
        <v>7</v>
      </c>
      <c r="P11" s="40">
        <v>5</v>
      </c>
      <c r="Q11" s="41">
        <v>6</v>
      </c>
      <c r="R11" s="40">
        <v>4</v>
      </c>
      <c r="S11" s="40">
        <v>9</v>
      </c>
      <c r="T11" s="40" t="s">
        <v>45</v>
      </c>
      <c r="U11" s="40" t="s">
        <v>45</v>
      </c>
      <c r="V11" s="40">
        <v>2</v>
      </c>
      <c r="W11" s="40">
        <v>8</v>
      </c>
      <c r="X11" s="40" t="s">
        <v>45</v>
      </c>
      <c r="Y11" s="40" t="s">
        <v>45</v>
      </c>
      <c r="Z11" s="40" t="s">
        <v>45</v>
      </c>
      <c r="AA11" s="40" t="s">
        <v>45</v>
      </c>
      <c r="AB11" s="40" t="s">
        <v>45</v>
      </c>
      <c r="AC11" s="40" t="s">
        <v>45</v>
      </c>
      <c r="AD11" s="40" t="s">
        <v>45</v>
      </c>
      <c r="AE11" s="40" t="s">
        <v>45</v>
      </c>
      <c r="AF11" s="40" t="s">
        <v>45</v>
      </c>
      <c r="AG11" s="40" t="s">
        <v>45</v>
      </c>
      <c r="AH11" s="40" t="s">
        <v>45</v>
      </c>
      <c r="AI11" s="40" t="s">
        <v>45</v>
      </c>
      <c r="AJ11" s="40" t="s">
        <v>45</v>
      </c>
      <c r="AK11" s="40" t="s">
        <v>45</v>
      </c>
      <c r="AL11" s="40" t="s">
        <v>45</v>
      </c>
      <c r="AM11" s="40" t="s">
        <v>45</v>
      </c>
      <c r="AN11" s="40" t="s">
        <v>45</v>
      </c>
      <c r="AO11" s="41" t="s">
        <v>45</v>
      </c>
      <c r="AP11" s="40" t="s">
        <v>58</v>
      </c>
      <c r="AQ11" s="40">
        <v>6</v>
      </c>
      <c r="AR11" s="48" t="s">
        <v>326</v>
      </c>
      <c r="AS11" s="43" t="s">
        <v>586</v>
      </c>
      <c r="AT11" s="43" t="s">
        <v>103</v>
      </c>
      <c r="AU11" s="44">
        <f t="shared" si="0"/>
        <v>-2.0690406309742588</v>
      </c>
      <c r="AV11" s="44">
        <f t="shared" si="1"/>
        <v>0.90548815581528819</v>
      </c>
      <c r="AW11" s="45">
        <f t="shared" si="2"/>
        <v>2</v>
      </c>
      <c r="AX11" s="45">
        <f t="shared" si="3"/>
        <v>2</v>
      </c>
      <c r="AY11" s="46">
        <f>VLOOKUP(AP11,COND!$A$10:$B$32,2,FALSE)</f>
        <v>1</v>
      </c>
      <c r="AZ11" s="44">
        <f>($AU$3*AU11+$AV$3*AV11+$AW$3*AW11+$AX$3*AX11)*AY11*IF(AQ11&lt;5,0.95,IF(AQ11&lt;7,0.975,1))+$I$3*VLOOKUP(I11,COND!$A$2:$E$7,4,FALSE)+$J$3*VLOOKUP(J11,COND!$A$2:$E$7,2,FALSE)+$K$3*VLOOKUP(K11,COND!$A$2:$E$7,3,FALSE)+IF(BB11="SP",$BB$3,0)+IF($AW11&lt;3,-5,0)+IF(AND($B$2&gt;0,$E11&lt;20),$B$2*25,0)</f>
        <v>65.966056115358143</v>
      </c>
      <c r="BA11" s="47">
        <f t="shared" si="4"/>
        <v>2.0054373851171872</v>
      </c>
      <c r="BB11" s="45" t="str">
        <f t="shared" si="5"/>
        <v>RP</v>
      </c>
      <c r="BC11" s="45">
        <v>2</v>
      </c>
      <c r="BD11" s="45">
        <v>7</v>
      </c>
      <c r="BE11" s="45"/>
      <c r="BF11" s="45" t="str">
        <f t="shared" si="6"/>
        <v>Likely</v>
      </c>
      <c r="BG11" s="45"/>
      <c r="BH11" s="45">
        <f>INDEX(Table5[[#All],[Ovr]],MATCH(Table3[[#This Row],[PID]],Table5[[#All],[PID]],0))</f>
        <v>35</v>
      </c>
      <c r="BI11" s="45" t="str">
        <f>INDEX(Table5[[#All],[Rnd]],MATCH(Table3[[#This Row],[PID]],Table5[[#All],[PID]],0))</f>
        <v>S1</v>
      </c>
      <c r="BJ11" s="45">
        <f>INDEX(Table5[[#All],[Pick]],MATCH(Table3[[#This Row],[PID]],Table5[[#All],[PID]],0))</f>
        <v>2</v>
      </c>
      <c r="BK11" s="45" t="str">
        <f>INDEX(Table5[[#All],[Team]],MATCH(Table3[[#This Row],[PID]],Table5[[#All],[PID]],0))</f>
        <v>West Virginia Alleghenies</v>
      </c>
      <c r="BL11" s="45" t="str">
        <f>IF(OR(Table3[[#This Row],[POS]]="SP",Table3[[#This Row],[POS]]="RP",Table3[[#This Row],[POS]]="CL"),"P",INDEX(Batters[[#All],[zScore]],MATCH(Table3[[#This Row],[PID]],Batters[[#All],[PID]],0)))</f>
        <v>P</v>
      </c>
    </row>
    <row r="12" spans="1:64" ht="15" customHeight="1" x14ac:dyDescent="0.3">
      <c r="A12" s="40">
        <v>9501</v>
      </c>
      <c r="B12" s="40" t="s">
        <v>49</v>
      </c>
      <c r="C12" s="40" t="s">
        <v>304</v>
      </c>
      <c r="D12" s="40" t="s">
        <v>1374</v>
      </c>
      <c r="E12" s="40">
        <v>18</v>
      </c>
      <c r="F12" s="40" t="s">
        <v>62</v>
      </c>
      <c r="G12" s="40" t="s">
        <v>42</v>
      </c>
      <c r="H12" s="41" t="s">
        <v>636</v>
      </c>
      <c r="I12" s="42" t="s">
        <v>43</v>
      </c>
      <c r="J12" s="40" t="s">
        <v>47</v>
      </c>
      <c r="K12" s="41" t="s">
        <v>43</v>
      </c>
      <c r="L12" s="40">
        <v>3</v>
      </c>
      <c r="M12" s="40">
        <v>4</v>
      </c>
      <c r="N12" s="41">
        <v>2</v>
      </c>
      <c r="O12" s="40">
        <v>7</v>
      </c>
      <c r="P12" s="40">
        <v>7</v>
      </c>
      <c r="Q12" s="41">
        <v>6</v>
      </c>
      <c r="R12" s="40" t="s">
        <v>45</v>
      </c>
      <c r="S12" s="40" t="s">
        <v>45</v>
      </c>
      <c r="T12" s="40">
        <v>1</v>
      </c>
      <c r="U12" s="40">
        <v>1</v>
      </c>
      <c r="V12" s="40" t="s">
        <v>45</v>
      </c>
      <c r="W12" s="40" t="s">
        <v>45</v>
      </c>
      <c r="X12" s="40">
        <v>3</v>
      </c>
      <c r="Y12" s="40">
        <v>9</v>
      </c>
      <c r="Z12" s="40" t="s">
        <v>45</v>
      </c>
      <c r="AA12" s="40" t="s">
        <v>45</v>
      </c>
      <c r="AB12" s="40" t="s">
        <v>45</v>
      </c>
      <c r="AC12" s="40" t="s">
        <v>45</v>
      </c>
      <c r="AD12" s="40">
        <v>4</v>
      </c>
      <c r="AE12" s="40">
        <v>7</v>
      </c>
      <c r="AF12" s="40" t="s">
        <v>45</v>
      </c>
      <c r="AG12" s="40" t="s">
        <v>45</v>
      </c>
      <c r="AH12" s="40" t="s">
        <v>45</v>
      </c>
      <c r="AI12" s="40" t="s">
        <v>45</v>
      </c>
      <c r="AJ12" s="40" t="s">
        <v>45</v>
      </c>
      <c r="AK12" s="40" t="s">
        <v>45</v>
      </c>
      <c r="AL12" s="40" t="s">
        <v>45</v>
      </c>
      <c r="AM12" s="40" t="s">
        <v>45</v>
      </c>
      <c r="AN12" s="40" t="s">
        <v>45</v>
      </c>
      <c r="AO12" s="41" t="s">
        <v>45</v>
      </c>
      <c r="AP12" s="40" t="s">
        <v>56</v>
      </c>
      <c r="AQ12" s="40">
        <v>7</v>
      </c>
      <c r="AR12" s="48" t="s">
        <v>325</v>
      </c>
      <c r="AS12" s="43" t="s">
        <v>535</v>
      </c>
      <c r="AT12" s="43" t="s">
        <v>103</v>
      </c>
      <c r="AU12" s="44">
        <f t="shared" si="0"/>
        <v>-1.4834858736049745</v>
      </c>
      <c r="AV12" s="44">
        <f t="shared" si="1"/>
        <v>1.2963515886753991</v>
      </c>
      <c r="AW12" s="45">
        <f t="shared" si="2"/>
        <v>3</v>
      </c>
      <c r="AX12" s="45">
        <f t="shared" si="3"/>
        <v>2</v>
      </c>
      <c r="AY12" s="46">
        <f>VLOOKUP(AP12,COND!$A$10:$B$32,2,FALSE)</f>
        <v>1</v>
      </c>
      <c r="AZ12" s="44">
        <f>($AU$3*AU12+$AV$3*AV12+$AW$3*AW12+$AX$3*AX12)*AY12*IF(AQ12&lt;5,0.95,IF(AQ12&lt;7,0.975,1))+$I$3*VLOOKUP(I12,COND!$A$2:$E$7,4,FALSE)+$J$3*VLOOKUP(J12,COND!$A$2:$E$7,2,FALSE)+$K$3*VLOOKUP(K12,COND!$A$2:$E$7,3,FALSE)+IF(BB12="SP",$BB$3,0)+IF($AW12&lt;3,-5,0)+IF(AND($B$2&gt;0,$E12&lt;20),$B$2*25,0)</f>
        <v>81.930334598786985</v>
      </c>
      <c r="BA12" s="47">
        <f t="shared" si="4"/>
        <v>3.1422062878800405</v>
      </c>
      <c r="BB12" s="45" t="str">
        <f t="shared" si="5"/>
        <v>SP</v>
      </c>
      <c r="BC12" s="45">
        <v>6</v>
      </c>
      <c r="BD12" s="45">
        <v>8</v>
      </c>
      <c r="BE12" s="45"/>
      <c r="BF12" s="45" t="str">
        <f t="shared" si="6"/>
        <v>Likely</v>
      </c>
      <c r="BG12" s="45"/>
      <c r="BH12" s="45">
        <f>INDEX(Table5[[#All],[Ovr]],MATCH(Table3[[#This Row],[PID]],Table5[[#All],[PID]],0))</f>
        <v>9</v>
      </c>
      <c r="BI12" s="45" t="str">
        <f>INDEX(Table5[[#All],[Rnd]],MATCH(Table3[[#This Row],[PID]],Table5[[#All],[PID]],0))</f>
        <v>1</v>
      </c>
      <c r="BJ12" s="45">
        <f>INDEX(Table5[[#All],[Pick]],MATCH(Table3[[#This Row],[PID]],Table5[[#All],[PID]],0))</f>
        <v>9</v>
      </c>
      <c r="BK12" s="45" t="str">
        <f>INDEX(Table5[[#All],[Team]],MATCH(Table3[[#This Row],[PID]],Table5[[#All],[PID]],0))</f>
        <v>Gloucester Fishermen</v>
      </c>
      <c r="BL12" s="45" t="str">
        <f>IF(OR(Table3[[#This Row],[POS]]="SP",Table3[[#This Row],[POS]]="RP",Table3[[#This Row],[POS]]="CL"),"P",INDEX(Batters[[#All],[zScore]],MATCH(Table3[[#This Row],[PID]],Batters[[#All],[PID]],0)))</f>
        <v>P</v>
      </c>
    </row>
    <row r="13" spans="1:64" ht="15" customHeight="1" x14ac:dyDescent="0.3">
      <c r="A13" s="40">
        <v>12639</v>
      </c>
      <c r="B13" s="40" t="s">
        <v>24</v>
      </c>
      <c r="C13" s="40" t="s">
        <v>1392</v>
      </c>
      <c r="D13" s="40" t="s">
        <v>1393</v>
      </c>
      <c r="E13" s="40">
        <v>17</v>
      </c>
      <c r="F13" s="40" t="s">
        <v>53</v>
      </c>
      <c r="G13" s="40" t="s">
        <v>42</v>
      </c>
      <c r="H13" s="41" t="s">
        <v>549</v>
      </c>
      <c r="I13" s="42" t="s">
        <v>44</v>
      </c>
      <c r="J13" s="40" t="s">
        <v>43</v>
      </c>
      <c r="K13" s="41" t="s">
        <v>43</v>
      </c>
      <c r="L13" s="40">
        <v>3</v>
      </c>
      <c r="M13" s="40">
        <v>2</v>
      </c>
      <c r="N13" s="41">
        <v>4</v>
      </c>
      <c r="O13" s="40">
        <v>6</v>
      </c>
      <c r="P13" s="40">
        <v>5</v>
      </c>
      <c r="Q13" s="41">
        <v>6</v>
      </c>
      <c r="R13" s="40">
        <v>6</v>
      </c>
      <c r="S13" s="40">
        <v>8</v>
      </c>
      <c r="T13" s="40">
        <v>1</v>
      </c>
      <c r="U13" s="40">
        <v>7</v>
      </c>
      <c r="V13" s="40">
        <v>3</v>
      </c>
      <c r="W13" s="40">
        <v>9</v>
      </c>
      <c r="X13" s="40" t="s">
        <v>45</v>
      </c>
      <c r="Y13" s="40" t="s">
        <v>45</v>
      </c>
      <c r="Z13" s="40" t="s">
        <v>45</v>
      </c>
      <c r="AA13" s="40" t="s">
        <v>45</v>
      </c>
      <c r="AB13" s="40" t="s">
        <v>45</v>
      </c>
      <c r="AC13" s="40" t="s">
        <v>45</v>
      </c>
      <c r="AD13" s="40" t="s">
        <v>45</v>
      </c>
      <c r="AE13" s="40" t="s">
        <v>45</v>
      </c>
      <c r="AF13" s="40" t="s">
        <v>45</v>
      </c>
      <c r="AG13" s="40" t="s">
        <v>45</v>
      </c>
      <c r="AH13" s="40" t="s">
        <v>45</v>
      </c>
      <c r="AI13" s="40" t="s">
        <v>45</v>
      </c>
      <c r="AJ13" s="40" t="s">
        <v>45</v>
      </c>
      <c r="AK13" s="40" t="s">
        <v>45</v>
      </c>
      <c r="AL13" s="40" t="s">
        <v>45</v>
      </c>
      <c r="AM13" s="40" t="s">
        <v>45</v>
      </c>
      <c r="AN13" s="40" t="s">
        <v>45</v>
      </c>
      <c r="AO13" s="41" t="s">
        <v>45</v>
      </c>
      <c r="AP13" s="40" t="s">
        <v>61</v>
      </c>
      <c r="AQ13" s="40">
        <v>5</v>
      </c>
      <c r="AR13" s="48" t="s">
        <v>326</v>
      </c>
      <c r="AS13" s="43" t="s">
        <v>379</v>
      </c>
      <c r="AT13" s="43" t="s">
        <v>103</v>
      </c>
      <c r="AU13" s="44">
        <f t="shared" si="0"/>
        <v>-1.3897081743568644</v>
      </c>
      <c r="AV13" s="44">
        <f t="shared" si="1"/>
        <v>0.71079683130611471</v>
      </c>
      <c r="AW13" s="45">
        <f t="shared" si="2"/>
        <v>3</v>
      </c>
      <c r="AX13" s="45">
        <f t="shared" si="3"/>
        <v>3</v>
      </c>
      <c r="AY13" s="46">
        <f>VLOOKUP(AP13,COND!$A$10:$B$32,2,FALSE)</f>
        <v>1.05</v>
      </c>
      <c r="AZ13" s="44">
        <f>($AU$3*AU13+$AV$3*AV13+$AW$3*AW13+$AX$3*AX13)*AY13*IF(AQ13&lt;5,0.95,IF(AQ13&lt;7,0.975,1))+$I$3*VLOOKUP(I13,COND!$A$2:$E$7,4,FALSE)+$J$3*VLOOKUP(J13,COND!$A$2:$E$7,2,FALSE)+$K$3*VLOOKUP(K13,COND!$A$2:$E$7,3,FALSE)+IF(BB13="SP",$BB$3,0)+IF($AW13&lt;3,-5,0)+IF(AND($B$2&gt;0,$E13&lt;20),$B$2*25,0)</f>
        <v>71.493709872293124</v>
      </c>
      <c r="BA13" s="47">
        <f t="shared" si="4"/>
        <v>2.3990452078976832</v>
      </c>
      <c r="BB13" s="45" t="str">
        <f t="shared" si="5"/>
        <v>SP</v>
      </c>
      <c r="BC13" s="45">
        <v>7</v>
      </c>
      <c r="BD13" s="45">
        <v>9</v>
      </c>
      <c r="BE13" s="45"/>
      <c r="BF13" s="45" t="str">
        <f t="shared" si="6"/>
        <v>Possible</v>
      </c>
      <c r="BG13" s="45"/>
      <c r="BH13" s="45">
        <f>INDEX(Table5[[#All],[Ovr]],MATCH(Table3[[#This Row],[PID]],Table5[[#All],[PID]],0))</f>
        <v>49</v>
      </c>
      <c r="BI13" s="45" t="str">
        <f>INDEX(Table5[[#All],[Rnd]],MATCH(Table3[[#This Row],[PID]],Table5[[#All],[PID]],0))</f>
        <v>2</v>
      </c>
      <c r="BJ13" s="45">
        <f>INDEX(Table5[[#All],[Pick]],MATCH(Table3[[#This Row],[PID]],Table5[[#All],[PID]],0))</f>
        <v>13</v>
      </c>
      <c r="BK13" s="45" t="str">
        <f>INDEX(Table5[[#All],[Team]],MATCH(Table3[[#This Row],[PID]],Table5[[#All],[PID]],0))</f>
        <v>Duluth Warriors</v>
      </c>
      <c r="BL13" s="45" t="str">
        <f>IF(OR(Table3[[#This Row],[POS]]="SP",Table3[[#This Row],[POS]]="RP",Table3[[#This Row],[POS]]="CL"),"P",INDEX(Batters[[#All],[zScore]],MATCH(Table3[[#This Row],[PID]],Batters[[#All],[PID]],0)))</f>
        <v>P</v>
      </c>
    </row>
    <row r="14" spans="1:64" ht="15" customHeight="1" x14ac:dyDescent="0.3">
      <c r="A14" s="40">
        <v>7532</v>
      </c>
      <c r="B14" s="40" t="s">
        <v>24</v>
      </c>
      <c r="C14" s="40" t="s">
        <v>311</v>
      </c>
      <c r="D14" s="40" t="s">
        <v>1332</v>
      </c>
      <c r="E14" s="40">
        <v>21</v>
      </c>
      <c r="F14" s="40" t="s">
        <v>42</v>
      </c>
      <c r="G14" s="40" t="s">
        <v>42</v>
      </c>
      <c r="H14" s="41" t="s">
        <v>550</v>
      </c>
      <c r="I14" s="42" t="s">
        <v>43</v>
      </c>
      <c r="J14" s="40" t="s">
        <v>43</v>
      </c>
      <c r="K14" s="41" t="s">
        <v>43</v>
      </c>
      <c r="L14" s="40">
        <v>4</v>
      </c>
      <c r="M14" s="40">
        <v>4</v>
      </c>
      <c r="N14" s="41">
        <v>8</v>
      </c>
      <c r="O14" s="40">
        <v>5</v>
      </c>
      <c r="P14" s="40">
        <v>6</v>
      </c>
      <c r="Q14" s="41">
        <v>8</v>
      </c>
      <c r="R14" s="40" t="s">
        <v>45</v>
      </c>
      <c r="S14" s="40" t="s">
        <v>45</v>
      </c>
      <c r="T14" s="40" t="s">
        <v>45</v>
      </c>
      <c r="U14" s="40" t="s">
        <v>45</v>
      </c>
      <c r="V14" s="40" t="s">
        <v>45</v>
      </c>
      <c r="W14" s="40" t="s">
        <v>45</v>
      </c>
      <c r="X14" s="40">
        <v>7</v>
      </c>
      <c r="Y14" s="40">
        <v>9</v>
      </c>
      <c r="Z14" s="40" t="s">
        <v>45</v>
      </c>
      <c r="AA14" s="40" t="s">
        <v>45</v>
      </c>
      <c r="AB14" s="40" t="s">
        <v>45</v>
      </c>
      <c r="AC14" s="40" t="s">
        <v>45</v>
      </c>
      <c r="AD14" s="40">
        <v>6</v>
      </c>
      <c r="AE14" s="40">
        <v>8</v>
      </c>
      <c r="AF14" s="40" t="s">
        <v>45</v>
      </c>
      <c r="AG14" s="40" t="s">
        <v>45</v>
      </c>
      <c r="AH14" s="40" t="s">
        <v>45</v>
      </c>
      <c r="AI14" s="40" t="s">
        <v>45</v>
      </c>
      <c r="AJ14" s="40" t="s">
        <v>45</v>
      </c>
      <c r="AK14" s="40" t="s">
        <v>45</v>
      </c>
      <c r="AL14" s="40" t="s">
        <v>45</v>
      </c>
      <c r="AM14" s="40" t="s">
        <v>45</v>
      </c>
      <c r="AN14" s="40" t="s">
        <v>45</v>
      </c>
      <c r="AO14" s="41" t="s">
        <v>45</v>
      </c>
      <c r="AP14" s="40" t="s">
        <v>60</v>
      </c>
      <c r="AQ14" s="40">
        <v>9</v>
      </c>
      <c r="AR14" s="48" t="s">
        <v>326</v>
      </c>
      <c r="AS14" s="43" t="s">
        <v>513</v>
      </c>
      <c r="AT14" s="43" t="s">
        <v>117</v>
      </c>
      <c r="AU14" s="44">
        <f t="shared" si="0"/>
        <v>0.16512884722886131</v>
      </c>
      <c r="AV14" s="44">
        <f t="shared" si="1"/>
        <v>1.196178355335217</v>
      </c>
      <c r="AW14" s="45">
        <f t="shared" si="2"/>
        <v>2</v>
      </c>
      <c r="AX14" s="45">
        <f t="shared" si="3"/>
        <v>2</v>
      </c>
      <c r="AY14" s="46">
        <f>VLOOKUP(AP14,COND!$A$10:$B$32,2,FALSE)</f>
        <v>1.0249999999999999</v>
      </c>
      <c r="AZ14" s="44">
        <f>($AU$3*AU14+$AV$3*AV14+$AW$3*AW14+$AX$3*AX14)*AY14*IF(AQ14&lt;5,0.95,IF(AQ14&lt;7,0.975,1))+$I$3*VLOOKUP(I14,COND!$A$2:$E$7,4,FALSE)+$J$3*VLOOKUP(J14,COND!$A$2:$E$7,2,FALSE)+$K$3*VLOOKUP(K14,COND!$A$2:$E$7,3,FALSE)+IF(BB14="SP",$BB$3,0)+IF($AW14&lt;3,-5,0)+IF(AND($B$2&gt;0,$E14&lt;20),$B$2*25,0)</f>
        <v>70.143007698053864</v>
      </c>
      <c r="BA14" s="47">
        <f t="shared" si="4"/>
        <v>2.3028657137750286</v>
      </c>
      <c r="BB14" s="45" t="str">
        <f t="shared" si="5"/>
        <v>SP</v>
      </c>
      <c r="BC14" s="45">
        <v>8</v>
      </c>
      <c r="BD14" s="45">
        <v>10</v>
      </c>
      <c r="BE14" s="45"/>
      <c r="BF14" s="45" t="str">
        <f t="shared" si="6"/>
        <v>Likely</v>
      </c>
      <c r="BG14" s="45"/>
      <c r="BH14" s="45">
        <f>INDEX(Table5[[#All],[Ovr]],MATCH(Table3[[#This Row],[PID]],Table5[[#All],[PID]],0))</f>
        <v>17</v>
      </c>
      <c r="BI14" s="45" t="str">
        <f>INDEX(Table5[[#All],[Rnd]],MATCH(Table3[[#This Row],[PID]],Table5[[#All],[PID]],0))</f>
        <v>1</v>
      </c>
      <c r="BJ14" s="45">
        <f>INDEX(Table5[[#All],[Pick]],MATCH(Table3[[#This Row],[PID]],Table5[[#All],[PID]],0))</f>
        <v>17</v>
      </c>
      <c r="BK14" s="45" t="str">
        <f>INDEX(Table5[[#All],[Team]],MATCH(Table3[[#This Row],[PID]],Table5[[#All],[PID]],0))</f>
        <v>Madison Malts</v>
      </c>
      <c r="BL14" s="45" t="str">
        <f>IF(OR(Table3[[#This Row],[POS]]="SP",Table3[[#This Row],[POS]]="RP",Table3[[#This Row],[POS]]="CL"),"P",INDEX(Batters[[#All],[zScore]],MATCH(Table3[[#This Row],[PID]],Batters[[#All],[PID]],0)))</f>
        <v>P</v>
      </c>
    </row>
    <row r="15" spans="1:64" ht="15" customHeight="1" x14ac:dyDescent="0.3">
      <c r="A15" s="40">
        <v>14912</v>
      </c>
      <c r="B15" s="40" t="s">
        <v>49</v>
      </c>
      <c r="C15" s="40" t="s">
        <v>345</v>
      </c>
      <c r="D15" s="40" t="s">
        <v>310</v>
      </c>
      <c r="E15" s="40">
        <v>21</v>
      </c>
      <c r="F15" s="40" t="s">
        <v>42</v>
      </c>
      <c r="G15" s="40" t="s">
        <v>42</v>
      </c>
      <c r="H15" s="41" t="s">
        <v>636</v>
      </c>
      <c r="I15" s="42" t="s">
        <v>43</v>
      </c>
      <c r="J15" s="40" t="s">
        <v>43</v>
      </c>
      <c r="K15" s="41" t="s">
        <v>43</v>
      </c>
      <c r="L15" s="40">
        <v>4</v>
      </c>
      <c r="M15" s="40">
        <v>4</v>
      </c>
      <c r="N15" s="41">
        <v>1</v>
      </c>
      <c r="O15" s="40">
        <v>8</v>
      </c>
      <c r="P15" s="40">
        <v>7</v>
      </c>
      <c r="Q15" s="41">
        <v>5</v>
      </c>
      <c r="R15" s="40">
        <v>6</v>
      </c>
      <c r="S15" s="40">
        <v>9</v>
      </c>
      <c r="T15" s="40" t="s">
        <v>45</v>
      </c>
      <c r="U15" s="40" t="s">
        <v>45</v>
      </c>
      <c r="V15" s="40" t="s">
        <v>45</v>
      </c>
      <c r="W15" s="40" t="s">
        <v>45</v>
      </c>
      <c r="X15" s="40">
        <v>5</v>
      </c>
      <c r="Y15" s="40">
        <v>8</v>
      </c>
      <c r="Z15" s="40" t="s">
        <v>45</v>
      </c>
      <c r="AA15" s="40" t="s">
        <v>45</v>
      </c>
      <c r="AB15" s="40" t="s">
        <v>45</v>
      </c>
      <c r="AC15" s="40" t="s">
        <v>45</v>
      </c>
      <c r="AD15" s="40" t="s">
        <v>45</v>
      </c>
      <c r="AE15" s="40" t="s">
        <v>45</v>
      </c>
      <c r="AF15" s="40" t="s">
        <v>45</v>
      </c>
      <c r="AG15" s="40" t="s">
        <v>45</v>
      </c>
      <c r="AH15" s="40" t="s">
        <v>45</v>
      </c>
      <c r="AI15" s="40" t="s">
        <v>45</v>
      </c>
      <c r="AJ15" s="40" t="s">
        <v>45</v>
      </c>
      <c r="AK15" s="40" t="s">
        <v>45</v>
      </c>
      <c r="AL15" s="40" t="s">
        <v>45</v>
      </c>
      <c r="AM15" s="40" t="s">
        <v>45</v>
      </c>
      <c r="AN15" s="40" t="s">
        <v>45</v>
      </c>
      <c r="AO15" s="41" t="s">
        <v>45</v>
      </c>
      <c r="AP15" s="40" t="s">
        <v>54</v>
      </c>
      <c r="AQ15" s="40">
        <v>9</v>
      </c>
      <c r="AR15" s="48" t="s">
        <v>325</v>
      </c>
      <c r="AS15" s="43" t="s">
        <v>1432</v>
      </c>
      <c r="AT15" s="43" t="s">
        <v>103</v>
      </c>
      <c r="AU15" s="44">
        <f t="shared" si="0"/>
        <v>-1.5311151151499114</v>
      </c>
      <c r="AV15" s="44">
        <f t="shared" si="1"/>
        <v>1.2487223471304623</v>
      </c>
      <c r="AW15" s="45">
        <f t="shared" si="2"/>
        <v>2</v>
      </c>
      <c r="AX15" s="45">
        <f t="shared" si="3"/>
        <v>2</v>
      </c>
      <c r="AY15" s="46">
        <f>VLOOKUP(AP15,COND!$A$10:$B$32,2,FALSE)</f>
        <v>1.0249999999999999</v>
      </c>
      <c r="AZ15" s="44">
        <f>($AU$3*AU15+$AV$3*AV15+$AW$3*AW15+$AX$3*AX15)*AY15*IF(AQ15&lt;5,0.95,IF(AQ15&lt;7,0.975,1))+$I$3*VLOOKUP(I15,COND!$A$2:$E$7,4,FALSE)+$J$3*VLOOKUP(J15,COND!$A$2:$E$7,2,FALSE)+$K$3*VLOOKUP(K15,COND!$A$2:$E$7,3,FALSE)+IF(BB15="SP",$BB$3,0)+IF($AW15&lt;3,-5,0)+IF(AND($B$2&gt;0,$E15&lt;20),$B$2*25,0)</f>
        <v>70.872429517568747</v>
      </c>
      <c r="BA15" s="47">
        <f>STANDARDIZE(AZ15,AVERAGE($AZ$5:$AZ$445),STDEVP($AZ$5:$AZ$445))</f>
        <v>2.3589387094080858</v>
      </c>
      <c r="BB15" s="45" t="str">
        <f t="shared" si="5"/>
        <v>SP</v>
      </c>
      <c r="BC15" s="45">
        <v>9</v>
      </c>
      <c r="BD15" s="45">
        <v>11</v>
      </c>
      <c r="BE15" s="45"/>
      <c r="BF15" s="45" t="str">
        <f t="shared" si="6"/>
        <v>Likely</v>
      </c>
      <c r="BG15" s="45"/>
      <c r="BH15" s="63">
        <f>INDEX(Table5[[#All],[Ovr]],MATCH(Table3[[#This Row],[PID]],Table5[[#All],[PID]],0))</f>
        <v>19</v>
      </c>
      <c r="BI15" s="63" t="str">
        <f>INDEX(Table5[[#All],[Rnd]],MATCH(Table3[[#This Row],[PID]],Table5[[#All],[PID]],0))</f>
        <v>1</v>
      </c>
      <c r="BJ15" s="63">
        <f>INDEX(Table5[[#All],[Pick]],MATCH(Table3[[#This Row],[PID]],Table5[[#All],[PID]],0))</f>
        <v>19</v>
      </c>
      <c r="BK15" s="63" t="str">
        <f>INDEX(Table5[[#All],[Team]],MATCH(Table3[[#This Row],[PID]],Table5[[#All],[PID]],0))</f>
        <v>San Juan Coqui</v>
      </c>
      <c r="BL15" s="63" t="str">
        <f>IF(OR(Table3[[#This Row],[POS]]="SP",Table3[[#This Row],[POS]]="RP",Table3[[#This Row],[POS]]="CL"),"P",INDEX(Batters[[#All],[zScore]],MATCH(Table3[[#This Row],[PID]],Batters[[#All],[PID]],0)))</f>
        <v>P</v>
      </c>
    </row>
    <row r="16" spans="1:64" ht="15" customHeight="1" x14ac:dyDescent="0.3">
      <c r="A16" s="40">
        <v>14458</v>
      </c>
      <c r="B16" s="40" t="s">
        <v>49</v>
      </c>
      <c r="C16" s="40" t="s">
        <v>496</v>
      </c>
      <c r="D16" s="40" t="s">
        <v>404</v>
      </c>
      <c r="E16" s="40">
        <v>21</v>
      </c>
      <c r="F16" s="40" t="s">
        <v>53</v>
      </c>
      <c r="G16" s="40" t="s">
        <v>53</v>
      </c>
      <c r="H16" s="41" t="s">
        <v>548</v>
      </c>
      <c r="I16" s="42" t="s">
        <v>43</v>
      </c>
      <c r="J16" s="40" t="s">
        <v>43</v>
      </c>
      <c r="K16" s="41" t="s">
        <v>47</v>
      </c>
      <c r="L16" s="40">
        <v>4</v>
      </c>
      <c r="M16" s="40">
        <v>3</v>
      </c>
      <c r="N16" s="41">
        <v>2</v>
      </c>
      <c r="O16" s="40">
        <v>9</v>
      </c>
      <c r="P16" s="40">
        <v>7</v>
      </c>
      <c r="Q16" s="41">
        <v>4</v>
      </c>
      <c r="R16" s="40" t="s">
        <v>45</v>
      </c>
      <c r="S16" s="40" t="s">
        <v>45</v>
      </c>
      <c r="T16" s="40">
        <v>5</v>
      </c>
      <c r="U16" s="40">
        <v>10</v>
      </c>
      <c r="V16" s="40" t="s">
        <v>45</v>
      </c>
      <c r="W16" s="40" t="s">
        <v>45</v>
      </c>
      <c r="X16" s="40" t="s">
        <v>45</v>
      </c>
      <c r="Y16" s="40" t="s">
        <v>45</v>
      </c>
      <c r="Z16" s="40" t="s">
        <v>45</v>
      </c>
      <c r="AA16" s="40" t="s">
        <v>45</v>
      </c>
      <c r="AB16" s="40" t="s">
        <v>45</v>
      </c>
      <c r="AC16" s="40" t="s">
        <v>45</v>
      </c>
      <c r="AD16" s="40">
        <v>6</v>
      </c>
      <c r="AE16" s="40">
        <v>8</v>
      </c>
      <c r="AF16" s="40" t="s">
        <v>45</v>
      </c>
      <c r="AG16" s="40" t="s">
        <v>45</v>
      </c>
      <c r="AH16" s="40" t="s">
        <v>45</v>
      </c>
      <c r="AI16" s="40" t="s">
        <v>45</v>
      </c>
      <c r="AJ16" s="40" t="s">
        <v>45</v>
      </c>
      <c r="AK16" s="40" t="s">
        <v>45</v>
      </c>
      <c r="AL16" s="40" t="s">
        <v>45</v>
      </c>
      <c r="AM16" s="40" t="s">
        <v>45</v>
      </c>
      <c r="AN16" s="40" t="s">
        <v>45</v>
      </c>
      <c r="AO16" s="41" t="s">
        <v>45</v>
      </c>
      <c r="AP16" s="40" t="s">
        <v>60</v>
      </c>
      <c r="AQ16" s="40">
        <v>2</v>
      </c>
      <c r="AR16" s="48" t="s">
        <v>325</v>
      </c>
      <c r="AS16" s="43" t="s">
        <v>558</v>
      </c>
      <c r="AT16" s="43" t="s">
        <v>103</v>
      </c>
      <c r="AU16" s="44">
        <f t="shared" si="0"/>
        <v>-1.4842262655258562</v>
      </c>
      <c r="AV16" s="44">
        <f t="shared" si="1"/>
        <v>1.2010931055855252</v>
      </c>
      <c r="AW16" s="45">
        <f t="shared" si="2"/>
        <v>2</v>
      </c>
      <c r="AX16" s="45">
        <f t="shared" si="3"/>
        <v>2</v>
      </c>
      <c r="AY16" s="46">
        <f>VLOOKUP(AP16,COND!$A$10:$B$32,2,FALSE)</f>
        <v>1.0249999999999999</v>
      </c>
      <c r="AZ16" s="44">
        <f>($AU$3*AU16+$AV$3*AV16+$AW$3*AW16+$AX$3*AX16)*AY16*IF(AQ16&lt;5,0.95,IF(AQ16&lt;7,0.975,1))+$I$3*VLOOKUP(I16,COND!$A$2:$E$7,4,FALSE)+$J$3*VLOOKUP(J16,COND!$A$2:$E$7,2,FALSE)+$K$3*VLOOKUP(K16,COND!$A$2:$E$7,3,FALSE)+IF(BB16="SP",$BB$3,0)+IF($AW16&lt;3,-5,0)+IF(AND($B$2&gt;0,$E16&lt;20),$B$2*25,0)</f>
        <v>66.810360166066943</v>
      </c>
      <c r="BA16" s="47">
        <f>STANDARDIZE(AZ16,AVERAGE($AZ$5:$AZ$428),STDEVP($AZ$5:$AZ$428))</f>
        <v>2.0655577714107949</v>
      </c>
      <c r="BB16" s="45" t="str">
        <f t="shared" si="5"/>
        <v>RP</v>
      </c>
      <c r="BC16" s="45">
        <v>3</v>
      </c>
      <c r="BD16" s="45">
        <v>12</v>
      </c>
      <c r="BE16" s="45"/>
      <c r="BF16" s="45" t="str">
        <f t="shared" si="6"/>
        <v>Likely</v>
      </c>
      <c r="BG16" s="45"/>
      <c r="BH16" s="45">
        <f>INDEX(Table5[[#All],[Ovr]],MATCH(Table3[[#This Row],[PID]],Table5[[#All],[PID]],0))</f>
        <v>57</v>
      </c>
      <c r="BI16" s="45" t="str">
        <f>INDEX(Table5[[#All],[Rnd]],MATCH(Table3[[#This Row],[PID]],Table5[[#All],[PID]],0))</f>
        <v>2</v>
      </c>
      <c r="BJ16" s="45">
        <f>INDEX(Table5[[#All],[Pick]],MATCH(Table3[[#This Row],[PID]],Table5[[#All],[PID]],0))</f>
        <v>21</v>
      </c>
      <c r="BK16" s="45" t="str">
        <f>INDEX(Table5[[#All],[Team]],MATCH(Table3[[#This Row],[PID]],Table5[[#All],[PID]],0))</f>
        <v>San Juan Coqui</v>
      </c>
      <c r="BL16" s="45" t="str">
        <f>IF(OR(Table3[[#This Row],[POS]]="SP",Table3[[#This Row],[POS]]="RP",Table3[[#This Row],[POS]]="CL"),"P",INDEX(Batters[[#All],[zScore]],MATCH(Table3[[#This Row],[PID]],Batters[[#All],[PID]],0)))</f>
        <v>P</v>
      </c>
    </row>
    <row r="17" spans="1:64" ht="15" customHeight="1" x14ac:dyDescent="0.3">
      <c r="A17" s="40">
        <v>14598</v>
      </c>
      <c r="B17" s="40" t="s">
        <v>49</v>
      </c>
      <c r="C17" s="40" t="s">
        <v>669</v>
      </c>
      <c r="D17" s="40" t="s">
        <v>1588</v>
      </c>
      <c r="E17" s="40">
        <v>21</v>
      </c>
      <c r="F17" s="40" t="s">
        <v>62</v>
      </c>
      <c r="G17" s="40" t="s">
        <v>42</v>
      </c>
      <c r="H17" s="41" t="s">
        <v>548</v>
      </c>
      <c r="I17" s="42" t="s">
        <v>43</v>
      </c>
      <c r="J17" s="40" t="s">
        <v>43</v>
      </c>
      <c r="K17" s="41" t="s">
        <v>43</v>
      </c>
      <c r="L17" s="40">
        <v>4</v>
      </c>
      <c r="M17" s="40">
        <v>4</v>
      </c>
      <c r="N17" s="41">
        <v>3</v>
      </c>
      <c r="O17" s="40">
        <v>8</v>
      </c>
      <c r="P17" s="40">
        <v>7</v>
      </c>
      <c r="Q17" s="41">
        <v>5</v>
      </c>
      <c r="R17" s="40">
        <v>6</v>
      </c>
      <c r="S17" s="40">
        <v>9</v>
      </c>
      <c r="T17" s="40" t="s">
        <v>45</v>
      </c>
      <c r="U17" s="40" t="s">
        <v>45</v>
      </c>
      <c r="V17" s="40" t="s">
        <v>45</v>
      </c>
      <c r="W17" s="40" t="s">
        <v>45</v>
      </c>
      <c r="X17" s="40">
        <v>4</v>
      </c>
      <c r="Y17" s="40">
        <v>9</v>
      </c>
      <c r="Z17" s="40" t="s">
        <v>45</v>
      </c>
      <c r="AA17" s="40" t="s">
        <v>45</v>
      </c>
      <c r="AB17" s="40" t="s">
        <v>45</v>
      </c>
      <c r="AC17" s="40" t="s">
        <v>45</v>
      </c>
      <c r="AD17" s="40" t="s">
        <v>45</v>
      </c>
      <c r="AE17" s="40" t="s">
        <v>45</v>
      </c>
      <c r="AF17" s="40" t="s">
        <v>45</v>
      </c>
      <c r="AG17" s="40" t="s">
        <v>45</v>
      </c>
      <c r="AH17" s="40" t="s">
        <v>45</v>
      </c>
      <c r="AI17" s="40" t="s">
        <v>45</v>
      </c>
      <c r="AJ17" s="40" t="s">
        <v>45</v>
      </c>
      <c r="AK17" s="40" t="s">
        <v>45</v>
      </c>
      <c r="AL17" s="40" t="s">
        <v>45</v>
      </c>
      <c r="AM17" s="40" t="s">
        <v>45</v>
      </c>
      <c r="AN17" s="40" t="s">
        <v>45</v>
      </c>
      <c r="AO17" s="41" t="s">
        <v>45</v>
      </c>
      <c r="AP17" s="40" t="s">
        <v>48</v>
      </c>
      <c r="AQ17" s="40">
        <v>4</v>
      </c>
      <c r="AR17" s="48" t="s">
        <v>327</v>
      </c>
      <c r="AS17" s="43" t="s">
        <v>497</v>
      </c>
      <c r="AT17" s="43" t="s">
        <v>103</v>
      </c>
      <c r="AU17" s="44">
        <f t="shared" si="0"/>
        <v>-1.0464739830416905</v>
      </c>
      <c r="AV17" s="44">
        <f t="shared" si="1"/>
        <v>1.2487223471304623</v>
      </c>
      <c r="AW17" s="45">
        <f t="shared" si="2"/>
        <v>2</v>
      </c>
      <c r="AX17" s="45">
        <f t="shared" si="3"/>
        <v>2</v>
      </c>
      <c r="AY17" s="46">
        <f>VLOOKUP(AP17,COND!$A$10:$B$32,2,FALSE)</f>
        <v>1.05</v>
      </c>
      <c r="AZ17" s="44">
        <f>($AU$3*AU17+$AV$3*AV17+$AW$3*AW17+$AX$3*AX17)*AY17*IF(AQ17&lt;5,0.95,IF(AQ17&lt;7,0.975,1))+$I$3*VLOOKUP(I17,COND!$A$2:$E$7,4,FALSE)+$J$3*VLOOKUP(J17,COND!$A$2:$E$7,2,FALSE)+$K$3*VLOOKUP(K17,COND!$A$2:$E$7,3,FALSE)+IF(BB17="SP",$BB$3,0)+IF($AW17&lt;3,-5,0)+IF(AND($B$2&gt;0,$E17&lt;20),$B$2*25,0)</f>
        <v>68.194489265635909</v>
      </c>
      <c r="BA17" s="47">
        <f>STANDARDIZE(AZ17,AVERAGE($AZ$5:$AZ$428),STDEVP($AZ$5:$AZ$428))</f>
        <v>2.1641174977042446</v>
      </c>
      <c r="BB17" s="45" t="str">
        <f t="shared" si="5"/>
        <v>RP</v>
      </c>
      <c r="BC17" s="45">
        <v>4</v>
      </c>
      <c r="BD17" s="45">
        <v>13</v>
      </c>
      <c r="BE17" s="45"/>
      <c r="BF17" s="45" t="str">
        <f t="shared" si="6"/>
        <v>Likely</v>
      </c>
      <c r="BG17" s="45"/>
      <c r="BH17" s="45">
        <f>INDEX(Table5[[#All],[Ovr]],MATCH(Table3[[#This Row],[PID]],Table5[[#All],[PID]],0))</f>
        <v>29</v>
      </c>
      <c r="BI17" s="45" t="str">
        <f>INDEX(Table5[[#All],[Rnd]],MATCH(Table3[[#This Row],[PID]],Table5[[#All],[PID]],0))</f>
        <v>1</v>
      </c>
      <c r="BJ17" s="45">
        <f>INDEX(Table5[[#All],[Pick]],MATCH(Table3[[#This Row],[PID]],Table5[[#All],[PID]],0))</f>
        <v>29</v>
      </c>
      <c r="BK17" s="45" t="str">
        <f>INDEX(Table5[[#All],[Team]],MATCH(Table3[[#This Row],[PID]],Table5[[#All],[PID]],0))</f>
        <v>Gloucester Fishermen</v>
      </c>
      <c r="BL17" s="45" t="str">
        <f>IF(OR(Table3[[#This Row],[POS]]="SP",Table3[[#This Row],[POS]]="RP",Table3[[#This Row],[POS]]="CL"),"P",INDEX(Batters[[#All],[zScore]],MATCH(Table3[[#This Row],[PID]],Batters[[#All],[PID]],0)))</f>
        <v>P</v>
      </c>
    </row>
    <row r="18" spans="1:64" ht="15" customHeight="1" x14ac:dyDescent="0.3">
      <c r="A18" s="40">
        <v>9825</v>
      </c>
      <c r="B18" s="40" t="s">
        <v>24</v>
      </c>
      <c r="C18" s="40" t="s">
        <v>320</v>
      </c>
      <c r="D18" s="40" t="s">
        <v>686</v>
      </c>
      <c r="E18" s="40">
        <v>18</v>
      </c>
      <c r="F18" s="40" t="s">
        <v>42</v>
      </c>
      <c r="G18" s="40" t="s">
        <v>42</v>
      </c>
      <c r="H18" s="41" t="s">
        <v>549</v>
      </c>
      <c r="I18" s="42" t="s">
        <v>43</v>
      </c>
      <c r="J18" s="40" t="s">
        <v>47</v>
      </c>
      <c r="K18" s="41" t="s">
        <v>43</v>
      </c>
      <c r="L18" s="40">
        <v>2</v>
      </c>
      <c r="M18" s="40">
        <v>3</v>
      </c>
      <c r="N18" s="41">
        <v>3</v>
      </c>
      <c r="O18" s="40">
        <v>6</v>
      </c>
      <c r="P18" s="40">
        <v>5</v>
      </c>
      <c r="Q18" s="41">
        <v>6</v>
      </c>
      <c r="R18" s="40" t="s">
        <v>45</v>
      </c>
      <c r="S18" s="40" t="s">
        <v>45</v>
      </c>
      <c r="T18" s="40">
        <v>2</v>
      </c>
      <c r="U18" s="40">
        <v>7</v>
      </c>
      <c r="V18" s="40">
        <v>2</v>
      </c>
      <c r="W18" s="40">
        <v>8</v>
      </c>
      <c r="X18" s="40" t="s">
        <v>45</v>
      </c>
      <c r="Y18" s="40" t="s">
        <v>45</v>
      </c>
      <c r="Z18" s="40" t="s">
        <v>45</v>
      </c>
      <c r="AA18" s="40" t="s">
        <v>45</v>
      </c>
      <c r="AB18" s="40" t="s">
        <v>45</v>
      </c>
      <c r="AC18" s="40" t="s">
        <v>45</v>
      </c>
      <c r="AD18" s="40">
        <v>4</v>
      </c>
      <c r="AE18" s="40">
        <v>8</v>
      </c>
      <c r="AF18" s="40" t="s">
        <v>45</v>
      </c>
      <c r="AG18" s="40" t="s">
        <v>45</v>
      </c>
      <c r="AH18" s="40" t="s">
        <v>45</v>
      </c>
      <c r="AI18" s="40" t="s">
        <v>45</v>
      </c>
      <c r="AJ18" s="40" t="s">
        <v>45</v>
      </c>
      <c r="AK18" s="40" t="s">
        <v>45</v>
      </c>
      <c r="AL18" s="40" t="s">
        <v>45</v>
      </c>
      <c r="AM18" s="40" t="s">
        <v>45</v>
      </c>
      <c r="AN18" s="40" t="s">
        <v>45</v>
      </c>
      <c r="AO18" s="41" t="s">
        <v>45</v>
      </c>
      <c r="AP18" s="40" t="s">
        <v>54</v>
      </c>
      <c r="AQ18" s="40">
        <v>6</v>
      </c>
      <c r="AR18" s="48" t="s">
        <v>326</v>
      </c>
      <c r="AS18" s="43" t="s">
        <v>376</v>
      </c>
      <c r="AT18" s="43" t="s">
        <v>103</v>
      </c>
      <c r="AU18" s="44">
        <f t="shared" si="0"/>
        <v>-1.6312883484900931</v>
      </c>
      <c r="AV18" s="44">
        <f t="shared" si="1"/>
        <v>0.71079683130611471</v>
      </c>
      <c r="AW18" s="45">
        <f t="shared" si="2"/>
        <v>3</v>
      </c>
      <c r="AX18" s="45">
        <f t="shared" si="3"/>
        <v>3</v>
      </c>
      <c r="AY18" s="46">
        <f>VLOOKUP(AP18,COND!$A$10:$B$32,2,FALSE)</f>
        <v>1.0249999999999999</v>
      </c>
      <c r="AZ18" s="44">
        <f>($AU$3*AU18+$AV$3*AV18+$AW$3*AW18+$AX$3*AX18)*AY18*IF(AQ18&lt;5,0.95,IF(AQ18&lt;7,0.975,1))+$I$3*VLOOKUP(I18,COND!$A$2:$E$7,4,FALSE)+$J$3*VLOOKUP(J18,COND!$A$2:$E$7,2,FALSE)+$K$3*VLOOKUP(K18,COND!$A$2:$E$7,3,FALSE)+IF(BB18="SP",$BB$3,0)+IF($AW18&lt;3,-5,0)+IF(AND($B$2&gt;0,$E18&lt;20),$B$2*25,0)</f>
        <v>71.427716657076502</v>
      </c>
      <c r="BA18" s="47">
        <f>STANDARDIZE(AZ18,AVERAGE($AZ$5:$AZ$445),STDEVP($AZ$5:$AZ$445))</f>
        <v>2.3984438545726725</v>
      </c>
      <c r="BB18" s="45" t="str">
        <f t="shared" si="5"/>
        <v>SP</v>
      </c>
      <c r="BC18" s="45">
        <v>10</v>
      </c>
      <c r="BD18" s="45">
        <v>14</v>
      </c>
      <c r="BE18" s="45"/>
      <c r="BF18" s="45" t="str">
        <f t="shared" si="6"/>
        <v>Possible</v>
      </c>
      <c r="BG18" s="45"/>
      <c r="BH18" s="63">
        <f>INDEX(Table5[[#All],[Ovr]],MATCH(Table3[[#This Row],[PID]],Table5[[#All],[PID]],0))</f>
        <v>58</v>
      </c>
      <c r="BI18" s="63" t="str">
        <f>INDEX(Table5[[#All],[Rnd]],MATCH(Table3[[#This Row],[PID]],Table5[[#All],[PID]],0))</f>
        <v>2</v>
      </c>
      <c r="BJ18" s="63">
        <f>INDEX(Table5[[#All],[Pick]],MATCH(Table3[[#This Row],[PID]],Table5[[#All],[PID]],0))</f>
        <v>22</v>
      </c>
      <c r="BK18" s="63" t="str">
        <f>INDEX(Table5[[#All],[Team]],MATCH(Table3[[#This Row],[PID]],Table5[[#All],[PID]],0))</f>
        <v>Florida Farstriders</v>
      </c>
      <c r="BL18" s="63" t="str">
        <f>IF(OR(Table3[[#This Row],[POS]]="SP",Table3[[#This Row],[POS]]="RP",Table3[[#This Row],[POS]]="CL"),"P",INDEX(Batters[[#All],[zScore]],MATCH(Table3[[#This Row],[PID]],Batters[[#All],[PID]],0)))</f>
        <v>P</v>
      </c>
    </row>
    <row r="19" spans="1:64" ht="15" customHeight="1" x14ac:dyDescent="0.3">
      <c r="A19" s="40">
        <v>20733</v>
      </c>
      <c r="B19" s="40" t="s">
        <v>380</v>
      </c>
      <c r="C19" s="40" t="s">
        <v>136</v>
      </c>
      <c r="D19" s="40" t="s">
        <v>194</v>
      </c>
      <c r="E19" s="40">
        <v>17</v>
      </c>
      <c r="F19" s="40" t="s">
        <v>53</v>
      </c>
      <c r="G19" s="40" t="s">
        <v>53</v>
      </c>
      <c r="H19" s="41" t="s">
        <v>549</v>
      </c>
      <c r="I19" s="42" t="s">
        <v>43</v>
      </c>
      <c r="J19" s="40" t="s">
        <v>43</v>
      </c>
      <c r="K19" s="41" t="s">
        <v>43</v>
      </c>
      <c r="L19" s="40">
        <v>5</v>
      </c>
      <c r="M19" s="40">
        <v>2</v>
      </c>
      <c r="N19" s="41">
        <v>1</v>
      </c>
      <c r="O19" s="40">
        <v>9</v>
      </c>
      <c r="P19" s="40">
        <v>3</v>
      </c>
      <c r="Q19" s="41">
        <v>4</v>
      </c>
      <c r="R19" s="40">
        <v>7</v>
      </c>
      <c r="S19" s="40">
        <v>10</v>
      </c>
      <c r="T19" s="40" t="s">
        <v>45</v>
      </c>
      <c r="U19" s="40" t="s">
        <v>45</v>
      </c>
      <c r="V19" s="40" t="s">
        <v>45</v>
      </c>
      <c r="W19" s="40" t="s">
        <v>45</v>
      </c>
      <c r="X19" s="40" t="s">
        <v>45</v>
      </c>
      <c r="Y19" s="40" t="s">
        <v>45</v>
      </c>
      <c r="Z19" s="40" t="s">
        <v>45</v>
      </c>
      <c r="AA19" s="40" t="s">
        <v>45</v>
      </c>
      <c r="AB19" s="40">
        <v>5</v>
      </c>
      <c r="AC19" s="40">
        <v>7</v>
      </c>
      <c r="AD19" s="40" t="s">
        <v>45</v>
      </c>
      <c r="AE19" s="40" t="s">
        <v>45</v>
      </c>
      <c r="AF19" s="40" t="s">
        <v>45</v>
      </c>
      <c r="AG19" s="40" t="s">
        <v>45</v>
      </c>
      <c r="AH19" s="40" t="s">
        <v>45</v>
      </c>
      <c r="AI19" s="40" t="s">
        <v>45</v>
      </c>
      <c r="AJ19" s="40" t="s">
        <v>45</v>
      </c>
      <c r="AK19" s="40" t="s">
        <v>45</v>
      </c>
      <c r="AL19" s="40" t="s">
        <v>45</v>
      </c>
      <c r="AM19" s="40" t="s">
        <v>45</v>
      </c>
      <c r="AN19" s="40" t="s">
        <v>45</v>
      </c>
      <c r="AO19" s="41" t="s">
        <v>45</v>
      </c>
      <c r="AP19" s="40" t="s">
        <v>59</v>
      </c>
      <c r="AQ19" s="40">
        <v>5</v>
      </c>
      <c r="AR19" s="48" t="s">
        <v>326</v>
      </c>
      <c r="AS19" s="43" t="s">
        <v>497</v>
      </c>
      <c r="AT19" s="43" t="s">
        <v>103</v>
      </c>
      <c r="AU19" s="44">
        <f t="shared" si="0"/>
        <v>-1.7272872235008485</v>
      </c>
      <c r="AV19" s="44">
        <f t="shared" si="1"/>
        <v>0.41936623986530375</v>
      </c>
      <c r="AW19" s="45">
        <f t="shared" si="2"/>
        <v>2</v>
      </c>
      <c r="AX19" s="45">
        <f t="shared" si="3"/>
        <v>2</v>
      </c>
      <c r="AY19" s="46">
        <f>VLOOKUP(AP19,COND!$A$10:$B$32,2,FALSE)</f>
        <v>1.075</v>
      </c>
      <c r="AZ19" s="44">
        <f>($AU$3*AU19+$AV$3*AV19+$AW$3*AW19+$AX$3*AX19)*AY19*IF(AQ19&lt;5,0.95,IF(AQ19&lt;7,0.975,1))+$I$3*VLOOKUP(I19,COND!$A$2:$E$7,4,FALSE)+$J$3*VLOOKUP(J19,COND!$A$2:$E$7,2,FALSE)+$K$3*VLOOKUP(K19,COND!$A$2:$E$7,3,FALSE)+IF(BB19="SP",$BB$3,0)+IF($AW19&lt;3,-5,0)+IF(AND($B$2&gt;0,$E19&lt;20),$B$2*25,0)</f>
        <v>57.097319718950061</v>
      </c>
      <c r="BA19" s="47">
        <f t="shared" ref="BA19:BA33" si="7">STANDARDIZE(AZ19,AVERAGE($AZ$5:$AZ$428),STDEVP($AZ$5:$AZ$428))</f>
        <v>1.3739209809964024</v>
      </c>
      <c r="BB19" s="45" t="str">
        <f t="shared" si="5"/>
        <v>RP</v>
      </c>
      <c r="BC19" s="45">
        <v>5</v>
      </c>
      <c r="BD19" s="45">
        <v>15</v>
      </c>
      <c r="BE19" s="45"/>
      <c r="BF19" s="45" t="str">
        <f t="shared" si="6"/>
        <v>Possible</v>
      </c>
      <c r="BG19" s="45"/>
      <c r="BH19" s="45">
        <f>INDEX(Table5[[#All],[Ovr]],MATCH(Table3[[#This Row],[PID]],Table5[[#All],[PID]],0))</f>
        <v>52</v>
      </c>
      <c r="BI19" s="45" t="str">
        <f>INDEX(Table5[[#All],[Rnd]],MATCH(Table3[[#This Row],[PID]],Table5[[#All],[PID]],0))</f>
        <v>2</v>
      </c>
      <c r="BJ19" s="45">
        <f>INDEX(Table5[[#All],[Pick]],MATCH(Table3[[#This Row],[PID]],Table5[[#All],[PID]],0))</f>
        <v>16</v>
      </c>
      <c r="BK19" s="45" t="str">
        <f>INDEX(Table5[[#All],[Team]],MATCH(Table3[[#This Row],[PID]],Table5[[#All],[PID]],0))</f>
        <v>San Antonio Calzones of Laredo</v>
      </c>
      <c r="BL19" s="45" t="str">
        <f>IF(OR(Table3[[#This Row],[POS]]="SP",Table3[[#This Row],[POS]]="RP",Table3[[#This Row],[POS]]="CL"),"P",INDEX(Batters[[#All],[zScore]],MATCH(Table3[[#This Row],[PID]],Batters[[#All],[PID]],0)))</f>
        <v>P</v>
      </c>
    </row>
    <row r="20" spans="1:64" ht="15" customHeight="1" x14ac:dyDescent="0.3">
      <c r="A20" s="40">
        <v>9457</v>
      </c>
      <c r="B20" s="40" t="s">
        <v>24</v>
      </c>
      <c r="C20" s="40" t="s">
        <v>373</v>
      </c>
      <c r="D20" s="40" t="s">
        <v>600</v>
      </c>
      <c r="E20" s="40">
        <v>18</v>
      </c>
      <c r="F20" s="40" t="s">
        <v>42</v>
      </c>
      <c r="G20" s="40" t="s">
        <v>42</v>
      </c>
      <c r="H20" s="41" t="s">
        <v>550</v>
      </c>
      <c r="I20" s="42" t="s">
        <v>44</v>
      </c>
      <c r="J20" s="40" t="s">
        <v>43</v>
      </c>
      <c r="K20" s="41" t="s">
        <v>43</v>
      </c>
      <c r="L20" s="40">
        <v>2</v>
      </c>
      <c r="M20" s="40">
        <v>2</v>
      </c>
      <c r="N20" s="41">
        <v>3</v>
      </c>
      <c r="O20" s="40">
        <v>6</v>
      </c>
      <c r="P20" s="40">
        <v>4</v>
      </c>
      <c r="Q20" s="41">
        <v>7</v>
      </c>
      <c r="R20" s="40">
        <v>5</v>
      </c>
      <c r="S20" s="40">
        <v>8</v>
      </c>
      <c r="T20" s="40" t="s">
        <v>45</v>
      </c>
      <c r="U20" s="40" t="s">
        <v>45</v>
      </c>
      <c r="V20" s="40">
        <v>2</v>
      </c>
      <c r="W20" s="40">
        <v>8</v>
      </c>
      <c r="X20" s="40">
        <v>3</v>
      </c>
      <c r="Y20" s="40">
        <v>7</v>
      </c>
      <c r="Z20" s="40" t="s">
        <v>45</v>
      </c>
      <c r="AA20" s="40" t="s">
        <v>45</v>
      </c>
      <c r="AB20" s="40" t="s">
        <v>45</v>
      </c>
      <c r="AC20" s="40" t="s">
        <v>45</v>
      </c>
      <c r="AD20" s="40" t="s">
        <v>45</v>
      </c>
      <c r="AE20" s="40" t="s">
        <v>45</v>
      </c>
      <c r="AF20" s="40" t="s">
        <v>45</v>
      </c>
      <c r="AG20" s="40" t="s">
        <v>45</v>
      </c>
      <c r="AH20" s="40" t="s">
        <v>45</v>
      </c>
      <c r="AI20" s="40" t="s">
        <v>45</v>
      </c>
      <c r="AJ20" s="40" t="s">
        <v>45</v>
      </c>
      <c r="AK20" s="40" t="s">
        <v>45</v>
      </c>
      <c r="AL20" s="40" t="s">
        <v>45</v>
      </c>
      <c r="AM20" s="40" t="s">
        <v>45</v>
      </c>
      <c r="AN20" s="40" t="s">
        <v>45</v>
      </c>
      <c r="AO20" s="41" t="s">
        <v>45</v>
      </c>
      <c r="AP20" s="40" t="s">
        <v>60</v>
      </c>
      <c r="AQ20" s="40">
        <v>4</v>
      </c>
      <c r="AR20" s="48" t="s">
        <v>326</v>
      </c>
      <c r="AS20" s="43" t="s">
        <v>579</v>
      </c>
      <c r="AT20" s="43" t="s">
        <v>103</v>
      </c>
      <c r="AU20" s="44">
        <f t="shared" si="0"/>
        <v>-1.8267200649201485</v>
      </c>
      <c r="AV20" s="44">
        <f t="shared" si="1"/>
        <v>0.75768568093016975</v>
      </c>
      <c r="AW20" s="45">
        <f t="shared" si="2"/>
        <v>3</v>
      </c>
      <c r="AX20" s="45">
        <f t="shared" si="3"/>
        <v>3</v>
      </c>
      <c r="AY20" s="46">
        <f>VLOOKUP(AP20,COND!$A$10:$B$32,2,FALSE)</f>
        <v>1.0249999999999999</v>
      </c>
      <c r="AZ20" s="44">
        <f>($AU$3*AU20+$AV$3*AV20+$AW$3*AW20+$AX$3*AX20)*AY20*IF(AQ20&lt;5,0.95,IF(AQ20&lt;7,0.975,1))+$I$3*VLOOKUP(I20,COND!$A$2:$E$7,4,FALSE)+$J$3*VLOOKUP(J20,COND!$A$2:$E$7,2,FALSE)+$K$3*VLOOKUP(K20,COND!$A$2:$E$7,3,FALSE)+IF(BB20="SP",$BB$3,0)+IF($AW20&lt;3,-5,0)+IF(AND($B$2&gt;0,$E20&lt;20),$B$2*25,0)</f>
        <v>69.362362403471849</v>
      </c>
      <c r="BA20" s="47">
        <f t="shared" si="7"/>
        <v>2.2472782786215935</v>
      </c>
      <c r="BB20" s="45" t="str">
        <f t="shared" si="5"/>
        <v>RP</v>
      </c>
      <c r="BC20" s="45">
        <v>6</v>
      </c>
      <c r="BD20" s="45">
        <v>16</v>
      </c>
      <c r="BE20" s="45"/>
      <c r="BF20" s="45" t="str">
        <f t="shared" si="6"/>
        <v>Possible</v>
      </c>
      <c r="BG20" s="45"/>
      <c r="BH20" s="45">
        <f>INDEX(Table5[[#All],[Ovr]],MATCH(Table3[[#This Row],[PID]],Table5[[#All],[PID]],0))</f>
        <v>131</v>
      </c>
      <c r="BI20" s="45" t="str">
        <f>INDEX(Table5[[#All],[Rnd]],MATCH(Table3[[#This Row],[PID]],Table5[[#All],[PID]],0))</f>
        <v>4</v>
      </c>
      <c r="BJ20" s="45">
        <f>INDEX(Table5[[#All],[Pick]],MATCH(Table3[[#This Row],[PID]],Table5[[#All],[PID]],0))</f>
        <v>26</v>
      </c>
      <c r="BK20" s="45" t="str">
        <f>INDEX(Table5[[#All],[Team]],MATCH(Table3[[#This Row],[PID]],Table5[[#All],[PID]],0))</f>
        <v>Madison Malts</v>
      </c>
      <c r="BL20" s="45" t="str">
        <f>IF(OR(Table3[[#This Row],[POS]]="SP",Table3[[#This Row],[POS]]="RP",Table3[[#This Row],[POS]]="CL"),"P",INDEX(Batters[[#All],[zScore]],MATCH(Table3[[#This Row],[PID]],Batters[[#All],[PID]],0)))</f>
        <v>P</v>
      </c>
    </row>
    <row r="21" spans="1:64" ht="15" customHeight="1" x14ac:dyDescent="0.3">
      <c r="A21" s="40">
        <v>9880</v>
      </c>
      <c r="B21" s="40" t="s">
        <v>49</v>
      </c>
      <c r="C21" s="40" t="s">
        <v>671</v>
      </c>
      <c r="D21" s="40" t="s">
        <v>1382</v>
      </c>
      <c r="E21" s="40">
        <v>18</v>
      </c>
      <c r="F21" s="40" t="s">
        <v>42</v>
      </c>
      <c r="G21" s="40" t="s">
        <v>42</v>
      </c>
      <c r="H21" s="41" t="s">
        <v>636</v>
      </c>
      <c r="I21" s="42" t="s">
        <v>43</v>
      </c>
      <c r="J21" s="40" t="s">
        <v>44</v>
      </c>
      <c r="K21" s="41" t="s">
        <v>44</v>
      </c>
      <c r="L21" s="40">
        <v>4</v>
      </c>
      <c r="M21" s="40">
        <v>1</v>
      </c>
      <c r="N21" s="41">
        <v>4</v>
      </c>
      <c r="O21" s="40">
        <v>9</v>
      </c>
      <c r="P21" s="40">
        <v>5</v>
      </c>
      <c r="Q21" s="41">
        <v>7</v>
      </c>
      <c r="R21" s="40">
        <v>6</v>
      </c>
      <c r="S21" s="40">
        <v>9</v>
      </c>
      <c r="T21" s="40">
        <v>1</v>
      </c>
      <c r="U21" s="40">
        <v>1</v>
      </c>
      <c r="V21" s="40">
        <v>3</v>
      </c>
      <c r="W21" s="40">
        <v>8</v>
      </c>
      <c r="X21" s="40" t="s">
        <v>45</v>
      </c>
      <c r="Y21" s="40" t="s">
        <v>45</v>
      </c>
      <c r="Z21" s="40" t="s">
        <v>45</v>
      </c>
      <c r="AA21" s="40" t="s">
        <v>45</v>
      </c>
      <c r="AB21" s="40" t="s">
        <v>45</v>
      </c>
      <c r="AC21" s="40" t="s">
        <v>45</v>
      </c>
      <c r="AD21" s="40" t="s">
        <v>45</v>
      </c>
      <c r="AE21" s="40" t="s">
        <v>45</v>
      </c>
      <c r="AF21" s="40" t="s">
        <v>45</v>
      </c>
      <c r="AG21" s="40" t="s">
        <v>45</v>
      </c>
      <c r="AH21" s="40" t="s">
        <v>45</v>
      </c>
      <c r="AI21" s="40" t="s">
        <v>45</v>
      </c>
      <c r="AJ21" s="40" t="s">
        <v>45</v>
      </c>
      <c r="AK21" s="40" t="s">
        <v>45</v>
      </c>
      <c r="AL21" s="40" t="s">
        <v>45</v>
      </c>
      <c r="AM21" s="40" t="s">
        <v>45</v>
      </c>
      <c r="AN21" s="40" t="s">
        <v>45</v>
      </c>
      <c r="AO21" s="41" t="s">
        <v>45</v>
      </c>
      <c r="AP21" s="40" t="s">
        <v>59</v>
      </c>
      <c r="AQ21" s="40">
        <v>10</v>
      </c>
      <c r="AR21" s="48" t="s">
        <v>14</v>
      </c>
      <c r="AS21" s="43" t="s">
        <v>783</v>
      </c>
      <c r="AT21" s="43" t="s">
        <v>103</v>
      </c>
      <c r="AU21" s="44">
        <f t="shared" si="0"/>
        <v>-1.3904485662777464</v>
      </c>
      <c r="AV21" s="44">
        <f t="shared" si="1"/>
        <v>1.5371913708877456</v>
      </c>
      <c r="AW21" s="45">
        <f t="shared" si="2"/>
        <v>3</v>
      </c>
      <c r="AX21" s="45">
        <f t="shared" si="3"/>
        <v>2</v>
      </c>
      <c r="AY21" s="46">
        <f>VLOOKUP(AP21,COND!$A$10:$B$32,2,FALSE)</f>
        <v>1.075</v>
      </c>
      <c r="AZ21" s="44">
        <f>($AU$3*AU21+$AV$3*AV21+$AW$3*AW21+$AX$3*AX21)*AY21*IF(AQ21&lt;5,0.95,IF(AQ21&lt;7,0.975,1))+$I$3*VLOOKUP(I21,COND!$A$2:$E$7,4,FALSE)+$J$3*VLOOKUP(J21,COND!$A$2:$E$7,2,FALSE)+$K$3*VLOOKUP(K21,COND!$A$2:$E$7,3,FALSE)+IF(BB21="SP",$BB$3,0)+IF($AW21&lt;3,-5,0)+IF(AND($B$2&gt;0,$E21&lt;20),$B$2*25,0)</f>
        <v>88.450668032336807</v>
      </c>
      <c r="BA21" s="47">
        <f t="shared" si="7"/>
        <v>3.6064998850255843</v>
      </c>
      <c r="BB21" s="45" t="str">
        <f t="shared" si="5"/>
        <v>SP</v>
      </c>
      <c r="BC21" s="45">
        <v>11</v>
      </c>
      <c r="BD21" s="45">
        <v>17</v>
      </c>
      <c r="BE21" s="45"/>
      <c r="BF21" s="45" t="str">
        <f t="shared" si="6"/>
        <v>Likely</v>
      </c>
      <c r="BG21" s="45"/>
      <c r="BH21" s="45">
        <f>INDEX(Table5[[#All],[Ovr]],MATCH(Table3[[#This Row],[PID]],Table5[[#All],[PID]],0))</f>
        <v>23</v>
      </c>
      <c r="BI21" s="45" t="str">
        <f>INDEX(Table5[[#All],[Rnd]],MATCH(Table3[[#This Row],[PID]],Table5[[#All],[PID]],0))</f>
        <v>1</v>
      </c>
      <c r="BJ21" s="45">
        <f>INDEX(Table5[[#All],[Pick]],MATCH(Table3[[#This Row],[PID]],Table5[[#All],[PID]],0))</f>
        <v>23</v>
      </c>
      <c r="BK21" s="45" t="str">
        <f>INDEX(Table5[[#All],[Team]],MATCH(Table3[[#This Row],[PID]],Table5[[#All],[PID]],0))</f>
        <v>Bakersfield Bears</v>
      </c>
      <c r="BL21" s="45" t="str">
        <f>IF(OR(Table3[[#This Row],[POS]]="SP",Table3[[#This Row],[POS]]="RP",Table3[[#This Row],[POS]]="CL"),"P",INDEX(Batters[[#All],[zScore]],MATCH(Table3[[#This Row],[PID]],Batters[[#All],[PID]],0)))</f>
        <v>P</v>
      </c>
    </row>
    <row r="22" spans="1:64" ht="15" customHeight="1" x14ac:dyDescent="0.3">
      <c r="A22" s="40">
        <v>20950</v>
      </c>
      <c r="B22" s="40" t="s">
        <v>24</v>
      </c>
      <c r="C22" s="40" t="s">
        <v>662</v>
      </c>
      <c r="D22" s="40" t="s">
        <v>574</v>
      </c>
      <c r="E22" s="40">
        <v>17</v>
      </c>
      <c r="F22" s="40" t="s">
        <v>53</v>
      </c>
      <c r="G22" s="40" t="s">
        <v>53</v>
      </c>
      <c r="H22" s="41" t="s">
        <v>549</v>
      </c>
      <c r="I22" s="42" t="s">
        <v>43</v>
      </c>
      <c r="J22" s="40" t="s">
        <v>47</v>
      </c>
      <c r="K22" s="41" t="s">
        <v>43</v>
      </c>
      <c r="L22" s="40">
        <v>2</v>
      </c>
      <c r="M22" s="40">
        <v>3</v>
      </c>
      <c r="N22" s="41">
        <v>2</v>
      </c>
      <c r="O22" s="40">
        <v>5</v>
      </c>
      <c r="P22" s="40">
        <v>6</v>
      </c>
      <c r="Q22" s="41">
        <v>6</v>
      </c>
      <c r="R22" s="40">
        <v>4</v>
      </c>
      <c r="S22" s="40">
        <v>6</v>
      </c>
      <c r="T22" s="40" t="s">
        <v>45</v>
      </c>
      <c r="U22" s="40" t="s">
        <v>45</v>
      </c>
      <c r="V22" s="40">
        <v>2</v>
      </c>
      <c r="W22" s="40">
        <v>8</v>
      </c>
      <c r="X22" s="40" t="s">
        <v>45</v>
      </c>
      <c r="Y22" s="40" t="s">
        <v>45</v>
      </c>
      <c r="Z22" s="40" t="s">
        <v>45</v>
      </c>
      <c r="AA22" s="40" t="s">
        <v>45</v>
      </c>
      <c r="AB22" s="40" t="s">
        <v>45</v>
      </c>
      <c r="AC22" s="40" t="s">
        <v>45</v>
      </c>
      <c r="AD22" s="40" t="s">
        <v>45</v>
      </c>
      <c r="AE22" s="40" t="s">
        <v>45</v>
      </c>
      <c r="AF22" s="40" t="s">
        <v>45</v>
      </c>
      <c r="AG22" s="40" t="s">
        <v>45</v>
      </c>
      <c r="AH22" s="40">
        <v>1</v>
      </c>
      <c r="AI22" s="40">
        <v>8</v>
      </c>
      <c r="AJ22" s="40" t="s">
        <v>45</v>
      </c>
      <c r="AK22" s="40" t="s">
        <v>45</v>
      </c>
      <c r="AL22" s="40" t="s">
        <v>45</v>
      </c>
      <c r="AM22" s="40" t="s">
        <v>45</v>
      </c>
      <c r="AN22" s="40" t="s">
        <v>45</v>
      </c>
      <c r="AO22" s="41" t="s">
        <v>45</v>
      </c>
      <c r="AP22" s="40" t="s">
        <v>57</v>
      </c>
      <c r="AQ22" s="40">
        <v>6</v>
      </c>
      <c r="AR22" s="48" t="s">
        <v>325</v>
      </c>
      <c r="AS22" s="43" t="s">
        <v>376</v>
      </c>
      <c r="AT22" s="43" t="s">
        <v>103</v>
      </c>
      <c r="AU22" s="44">
        <f t="shared" si="0"/>
        <v>-1.8736089145442034</v>
      </c>
      <c r="AV22" s="44">
        <f t="shared" si="1"/>
        <v>0.71153722322699664</v>
      </c>
      <c r="AW22" s="45">
        <f t="shared" si="2"/>
        <v>3</v>
      </c>
      <c r="AX22" s="45">
        <f t="shared" si="3"/>
        <v>3</v>
      </c>
      <c r="AY22" s="46">
        <f>VLOOKUP(AP22,COND!$A$10:$B$32,2,FALSE)</f>
        <v>1</v>
      </c>
      <c r="AZ22" s="44">
        <f>($AU$3*AU22+$AV$3*AV22+$AW$3*AW22+$AX$3*AX22)*AY22*IF(AQ22&lt;5,0.95,IF(AQ22&lt;7,0.975,1))+$I$3*VLOOKUP(I22,COND!$A$2:$E$7,4,FALSE)+$J$3*VLOOKUP(J22,COND!$A$2:$E$7,2,FALSE)+$K$3*VLOOKUP(K22,COND!$A$2:$E$7,3,FALSE)+IF(BB22="SP",$BB$3,0)+IF($AW22&lt;3,-5,0)+IF(AND($B$2&gt;0,$E22&lt;20),$B$2*25,0)</f>
        <v>70.928372114590317</v>
      </c>
      <c r="BA22" s="47">
        <f t="shared" si="7"/>
        <v>2.3587891836006052</v>
      </c>
      <c r="BB22" s="45" t="str">
        <f t="shared" si="5"/>
        <v>SP</v>
      </c>
      <c r="BC22" s="45">
        <v>12</v>
      </c>
      <c r="BD22" s="45">
        <v>18</v>
      </c>
      <c r="BE22" s="45"/>
      <c r="BF22" s="45" t="str">
        <f t="shared" si="6"/>
        <v>Possible</v>
      </c>
      <c r="BG22" s="45"/>
      <c r="BH22" s="45">
        <f>INDEX(Table5[[#All],[Ovr]],MATCH(Table3[[#This Row],[PID]],Table5[[#All],[PID]],0))</f>
        <v>42</v>
      </c>
      <c r="BI22" s="45" t="str">
        <f>INDEX(Table5[[#All],[Rnd]],MATCH(Table3[[#This Row],[PID]],Table5[[#All],[PID]],0))</f>
        <v>2</v>
      </c>
      <c r="BJ22" s="45">
        <f>INDEX(Table5[[#All],[Pick]],MATCH(Table3[[#This Row],[PID]],Table5[[#All],[PID]],0))</f>
        <v>6</v>
      </c>
      <c r="BK22" s="45" t="str">
        <f>INDEX(Table5[[#All],[Team]],MATCH(Table3[[#This Row],[PID]],Table5[[#All],[PID]],0))</f>
        <v>New Orleans Trendsetters</v>
      </c>
      <c r="BL22" s="45" t="str">
        <f>IF(OR(Table3[[#This Row],[POS]]="SP",Table3[[#This Row],[POS]]="RP",Table3[[#This Row],[POS]]="CL"),"P",INDEX(Batters[[#All],[zScore]],MATCH(Table3[[#This Row],[PID]],Batters[[#All],[PID]],0)))</f>
        <v>P</v>
      </c>
    </row>
    <row r="23" spans="1:64" ht="15" customHeight="1" x14ac:dyDescent="0.3">
      <c r="A23" s="40">
        <v>20532</v>
      </c>
      <c r="B23" s="40" t="s">
        <v>49</v>
      </c>
      <c r="C23" s="40" t="s">
        <v>1540</v>
      </c>
      <c r="D23" s="40" t="s">
        <v>1541</v>
      </c>
      <c r="E23" s="40">
        <v>17</v>
      </c>
      <c r="F23" s="40" t="s">
        <v>42</v>
      </c>
      <c r="G23" s="40" t="s">
        <v>42</v>
      </c>
      <c r="H23" s="41" t="s">
        <v>549</v>
      </c>
      <c r="I23" s="42" t="s">
        <v>43</v>
      </c>
      <c r="J23" s="40" t="s">
        <v>43</v>
      </c>
      <c r="K23" s="41" t="s">
        <v>44</v>
      </c>
      <c r="L23" s="40">
        <v>4</v>
      </c>
      <c r="M23" s="40">
        <v>3</v>
      </c>
      <c r="N23" s="41">
        <v>3</v>
      </c>
      <c r="O23" s="40">
        <v>7</v>
      </c>
      <c r="P23" s="40">
        <v>5</v>
      </c>
      <c r="Q23" s="41">
        <v>5</v>
      </c>
      <c r="R23" s="40">
        <v>6</v>
      </c>
      <c r="S23" s="40">
        <v>8</v>
      </c>
      <c r="T23" s="40" t="s">
        <v>45</v>
      </c>
      <c r="U23" s="40" t="s">
        <v>45</v>
      </c>
      <c r="V23" s="40">
        <v>3</v>
      </c>
      <c r="W23" s="40">
        <v>7</v>
      </c>
      <c r="X23" s="40" t="s">
        <v>45</v>
      </c>
      <c r="Y23" s="40" t="s">
        <v>45</v>
      </c>
      <c r="Z23" s="40" t="s">
        <v>45</v>
      </c>
      <c r="AA23" s="40" t="s">
        <v>45</v>
      </c>
      <c r="AB23" s="40" t="s">
        <v>45</v>
      </c>
      <c r="AC23" s="40" t="s">
        <v>45</v>
      </c>
      <c r="AD23" s="40" t="s">
        <v>45</v>
      </c>
      <c r="AE23" s="40" t="s">
        <v>45</v>
      </c>
      <c r="AF23" s="40" t="s">
        <v>45</v>
      </c>
      <c r="AG23" s="40" t="s">
        <v>45</v>
      </c>
      <c r="AH23" s="40">
        <v>2</v>
      </c>
      <c r="AI23" s="40">
        <v>6</v>
      </c>
      <c r="AJ23" s="40" t="s">
        <v>45</v>
      </c>
      <c r="AK23" s="40" t="s">
        <v>45</v>
      </c>
      <c r="AL23" s="40" t="s">
        <v>45</v>
      </c>
      <c r="AM23" s="40" t="s">
        <v>45</v>
      </c>
      <c r="AN23" s="40" t="s">
        <v>45</v>
      </c>
      <c r="AO23" s="41" t="s">
        <v>45</v>
      </c>
      <c r="AP23" s="40" t="s">
        <v>61</v>
      </c>
      <c r="AQ23" s="40">
        <v>3</v>
      </c>
      <c r="AR23" s="48" t="s">
        <v>325</v>
      </c>
      <c r="AS23" s="43" t="s">
        <v>498</v>
      </c>
      <c r="AT23" s="43" t="s">
        <v>103</v>
      </c>
      <c r="AU23" s="44">
        <f t="shared" si="0"/>
        <v>-1.2419056994717459</v>
      </c>
      <c r="AV23" s="44">
        <f t="shared" si="1"/>
        <v>0.66316758976117784</v>
      </c>
      <c r="AW23" s="45">
        <f t="shared" si="2"/>
        <v>3</v>
      </c>
      <c r="AX23" s="45">
        <f t="shared" si="3"/>
        <v>3</v>
      </c>
      <c r="AY23" s="46">
        <f>VLOOKUP(AP23,COND!$A$10:$B$32,2,FALSE)</f>
        <v>1.05</v>
      </c>
      <c r="AZ23" s="44">
        <f>($AU$3*AU23+$AV$3*AV23+$AW$3*AW23+$AX$3*AX23)*AY23*IF(AQ23&lt;5,0.95,IF(AQ23&lt;7,0.975,1))+$I$3*VLOOKUP(I23,COND!$A$2:$E$7,4,FALSE)+$J$3*VLOOKUP(J23,COND!$A$2:$E$7,2,FALSE)+$K$3*VLOOKUP(K23,COND!$A$2:$E$7,3,FALSE)+IF(BB23="SP",$BB$3,0)+IF($AW23&lt;3,-5,0)+IF(AND($B$2&gt;0,$E23&lt;20),$B$2*25,0)</f>
        <v>67.91930822869088</v>
      </c>
      <c r="BA23" s="47">
        <f t="shared" si="7"/>
        <v>2.1445226725604805</v>
      </c>
      <c r="BB23" s="45" t="str">
        <f t="shared" si="5"/>
        <v>RP</v>
      </c>
      <c r="BC23" s="45">
        <v>7</v>
      </c>
      <c r="BD23" s="45">
        <v>19</v>
      </c>
      <c r="BE23" s="45"/>
      <c r="BF23" s="45" t="str">
        <f t="shared" si="6"/>
        <v>Possible</v>
      </c>
      <c r="BG23" s="45"/>
      <c r="BH23" s="45">
        <f>INDEX(Table5[[#All],[Ovr]],MATCH(Table3[[#This Row],[PID]],Table5[[#All],[PID]],0))</f>
        <v>48</v>
      </c>
      <c r="BI23" s="45" t="str">
        <f>INDEX(Table5[[#All],[Rnd]],MATCH(Table3[[#This Row],[PID]],Table5[[#All],[PID]],0))</f>
        <v>2</v>
      </c>
      <c r="BJ23" s="45">
        <f>INDEX(Table5[[#All],[Pick]],MATCH(Table3[[#This Row],[PID]],Table5[[#All],[PID]],0))</f>
        <v>12</v>
      </c>
      <c r="BK23" s="45" t="str">
        <f>INDEX(Table5[[#All],[Team]],MATCH(Table3[[#This Row],[PID]],Table5[[#All],[PID]],0))</f>
        <v>Aurora Borealis</v>
      </c>
      <c r="BL23" s="45" t="str">
        <f>IF(OR(Table3[[#This Row],[POS]]="SP",Table3[[#This Row],[POS]]="RP",Table3[[#This Row],[POS]]="CL"),"P",INDEX(Batters[[#All],[zScore]],MATCH(Table3[[#This Row],[PID]],Batters[[#All],[PID]],0)))</f>
        <v>P</v>
      </c>
    </row>
    <row r="24" spans="1:64" ht="15" customHeight="1" x14ac:dyDescent="0.3">
      <c r="A24" s="40">
        <v>20183</v>
      </c>
      <c r="B24" s="40" t="s">
        <v>24</v>
      </c>
      <c r="C24" s="40" t="s">
        <v>669</v>
      </c>
      <c r="D24" s="40" t="s">
        <v>1481</v>
      </c>
      <c r="E24" s="40">
        <v>21</v>
      </c>
      <c r="F24" s="40" t="s">
        <v>53</v>
      </c>
      <c r="G24" s="40" t="s">
        <v>53</v>
      </c>
      <c r="H24" s="41" t="s">
        <v>550</v>
      </c>
      <c r="I24" s="42" t="s">
        <v>43</v>
      </c>
      <c r="J24" s="40" t="s">
        <v>43</v>
      </c>
      <c r="K24" s="41" t="s">
        <v>43</v>
      </c>
      <c r="L24" s="40">
        <v>5</v>
      </c>
      <c r="M24" s="40">
        <v>2</v>
      </c>
      <c r="N24" s="41">
        <v>4</v>
      </c>
      <c r="O24" s="40">
        <v>7</v>
      </c>
      <c r="P24" s="40">
        <v>3</v>
      </c>
      <c r="Q24" s="41">
        <v>5</v>
      </c>
      <c r="R24" s="40">
        <v>7</v>
      </c>
      <c r="S24" s="40">
        <v>8</v>
      </c>
      <c r="T24" s="40">
        <v>5</v>
      </c>
      <c r="U24" s="40">
        <v>8</v>
      </c>
      <c r="V24" s="40" t="s">
        <v>45</v>
      </c>
      <c r="W24" s="40" t="s">
        <v>45</v>
      </c>
      <c r="X24" s="40">
        <v>8</v>
      </c>
      <c r="Y24" s="40">
        <v>9</v>
      </c>
      <c r="Z24" s="40" t="s">
        <v>45</v>
      </c>
      <c r="AA24" s="40" t="s">
        <v>45</v>
      </c>
      <c r="AB24" s="40" t="s">
        <v>45</v>
      </c>
      <c r="AC24" s="40" t="s">
        <v>45</v>
      </c>
      <c r="AD24" s="40" t="s">
        <v>45</v>
      </c>
      <c r="AE24" s="40" t="s">
        <v>45</v>
      </c>
      <c r="AF24" s="40" t="s">
        <v>45</v>
      </c>
      <c r="AG24" s="40" t="s">
        <v>45</v>
      </c>
      <c r="AH24" s="40" t="s">
        <v>45</v>
      </c>
      <c r="AI24" s="40" t="s">
        <v>45</v>
      </c>
      <c r="AJ24" s="40" t="s">
        <v>45</v>
      </c>
      <c r="AK24" s="40" t="s">
        <v>45</v>
      </c>
      <c r="AL24" s="40" t="s">
        <v>45</v>
      </c>
      <c r="AM24" s="40" t="s">
        <v>45</v>
      </c>
      <c r="AN24" s="40" t="s">
        <v>45</v>
      </c>
      <c r="AO24" s="41" t="s">
        <v>45</v>
      </c>
      <c r="AP24" s="40" t="s">
        <v>54</v>
      </c>
      <c r="AQ24" s="40">
        <v>4</v>
      </c>
      <c r="AR24" s="48" t="s">
        <v>326</v>
      </c>
      <c r="AS24" s="43" t="s">
        <v>592</v>
      </c>
      <c r="AT24" s="43" t="s">
        <v>103</v>
      </c>
      <c r="AU24" s="44">
        <f t="shared" si="0"/>
        <v>-1.0003255253385175</v>
      </c>
      <c r="AV24" s="44">
        <f t="shared" si="1"/>
        <v>0.27230415690106707</v>
      </c>
      <c r="AW24" s="45">
        <f t="shared" si="2"/>
        <v>3</v>
      </c>
      <c r="AX24" s="45">
        <f t="shared" si="3"/>
        <v>3</v>
      </c>
      <c r="AY24" s="46">
        <f>VLOOKUP(AP24,COND!$A$10:$B$32,2,FALSE)</f>
        <v>1.0249999999999999</v>
      </c>
      <c r="AZ24" s="44">
        <f>($AU$3*AU24+$AV$3*AV24+$AW$3*AW24+$AX$3*AX24)*AY24*IF(AQ24&lt;5,0.95,IF(AQ24&lt;7,0.975,1))+$I$3*VLOOKUP(I24,COND!$A$2:$E$7,4,FALSE)+$J$3*VLOOKUP(J24,COND!$A$2:$E$7,2,FALSE)+$K$3*VLOOKUP(K24,COND!$A$2:$E$7,3,FALSE)+IF(BB24="SP",$BB$3,0)+IF($AW24&lt;3,-5,0)+IF(AND($B$2&gt;0,$E24&lt;20),$B$2*25,0)</f>
        <v>55.220497559588608</v>
      </c>
      <c r="BA24" s="47">
        <f t="shared" si="7"/>
        <v>1.2402780437980225</v>
      </c>
      <c r="BB24" s="45" t="str">
        <f t="shared" si="5"/>
        <v>RP</v>
      </c>
      <c r="BC24" s="45">
        <v>8</v>
      </c>
      <c r="BD24" s="45">
        <v>20</v>
      </c>
      <c r="BE24" s="45"/>
      <c r="BF24" s="45" t="str">
        <f t="shared" si="6"/>
        <v>Possible</v>
      </c>
      <c r="BG24" s="45"/>
      <c r="BH24" s="45">
        <f>INDEX(Table5[[#All],[Ovr]],MATCH(Table3[[#This Row],[PID]],Table5[[#All],[PID]],0))</f>
        <v>149</v>
      </c>
      <c r="BI24" s="45" t="str">
        <f>INDEX(Table5[[#All],[Rnd]],MATCH(Table3[[#This Row],[PID]],Table5[[#All],[PID]],0))</f>
        <v>5</v>
      </c>
      <c r="BJ24" s="45">
        <f>INDEX(Table5[[#All],[Pick]],MATCH(Table3[[#This Row],[PID]],Table5[[#All],[PID]],0))</f>
        <v>12</v>
      </c>
      <c r="BK24" s="45" t="str">
        <f>INDEX(Table5[[#All],[Team]],MATCH(Table3[[#This Row],[PID]],Table5[[#All],[PID]],0))</f>
        <v>Niihama-shi Ghosts</v>
      </c>
      <c r="BL24" s="45" t="str">
        <f>IF(OR(Table3[[#This Row],[POS]]="SP",Table3[[#This Row],[POS]]="RP",Table3[[#This Row],[POS]]="CL"),"P",INDEX(Batters[[#All],[zScore]],MATCH(Table3[[#This Row],[PID]],Batters[[#All],[PID]],0)))</f>
        <v>P</v>
      </c>
    </row>
    <row r="25" spans="1:64" ht="15" customHeight="1" x14ac:dyDescent="0.3">
      <c r="A25" s="40">
        <v>13064</v>
      </c>
      <c r="B25" s="40" t="s">
        <v>24</v>
      </c>
      <c r="C25" s="40" t="s">
        <v>721</v>
      </c>
      <c r="D25" s="40" t="s">
        <v>993</v>
      </c>
      <c r="E25" s="40">
        <v>18</v>
      </c>
      <c r="F25" s="40" t="s">
        <v>53</v>
      </c>
      <c r="G25" s="40" t="s">
        <v>53</v>
      </c>
      <c r="H25" s="41" t="s">
        <v>549</v>
      </c>
      <c r="I25" s="42" t="s">
        <v>43</v>
      </c>
      <c r="J25" s="40" t="s">
        <v>43</v>
      </c>
      <c r="K25" s="41" t="s">
        <v>43</v>
      </c>
      <c r="L25" s="40">
        <v>2</v>
      </c>
      <c r="M25" s="40">
        <v>2</v>
      </c>
      <c r="N25" s="41">
        <v>4</v>
      </c>
      <c r="O25" s="40">
        <v>5</v>
      </c>
      <c r="P25" s="40">
        <v>4</v>
      </c>
      <c r="Q25" s="41">
        <v>6</v>
      </c>
      <c r="R25" s="40" t="s">
        <v>45</v>
      </c>
      <c r="S25" s="40" t="s">
        <v>45</v>
      </c>
      <c r="T25" s="40" t="s">
        <v>45</v>
      </c>
      <c r="U25" s="40" t="s">
        <v>45</v>
      </c>
      <c r="V25" s="40">
        <v>3</v>
      </c>
      <c r="W25" s="40">
        <v>8</v>
      </c>
      <c r="X25" s="40">
        <v>4</v>
      </c>
      <c r="Y25" s="40">
        <v>8</v>
      </c>
      <c r="Z25" s="40" t="s">
        <v>45</v>
      </c>
      <c r="AA25" s="40" t="s">
        <v>45</v>
      </c>
      <c r="AB25" s="40" t="s">
        <v>45</v>
      </c>
      <c r="AC25" s="40" t="s">
        <v>45</v>
      </c>
      <c r="AD25" s="40">
        <v>4</v>
      </c>
      <c r="AE25" s="40">
        <v>7</v>
      </c>
      <c r="AF25" s="40" t="s">
        <v>45</v>
      </c>
      <c r="AG25" s="40" t="s">
        <v>45</v>
      </c>
      <c r="AH25" s="40" t="s">
        <v>45</v>
      </c>
      <c r="AI25" s="40" t="s">
        <v>45</v>
      </c>
      <c r="AJ25" s="40" t="s">
        <v>45</v>
      </c>
      <c r="AK25" s="40" t="s">
        <v>45</v>
      </c>
      <c r="AL25" s="40" t="s">
        <v>45</v>
      </c>
      <c r="AM25" s="40" t="s">
        <v>45</v>
      </c>
      <c r="AN25" s="40" t="s">
        <v>45</v>
      </c>
      <c r="AO25" s="41" t="s">
        <v>45</v>
      </c>
      <c r="AP25" s="40" t="s">
        <v>58</v>
      </c>
      <c r="AQ25" s="40">
        <v>9</v>
      </c>
      <c r="AR25" s="48" t="s">
        <v>326</v>
      </c>
      <c r="AS25" s="43" t="s">
        <v>376</v>
      </c>
      <c r="AT25" s="43" t="s">
        <v>117</v>
      </c>
      <c r="AU25" s="44">
        <f t="shared" si="0"/>
        <v>-1.5843994988660377</v>
      </c>
      <c r="AV25" s="44">
        <f t="shared" si="1"/>
        <v>0.32067379036688581</v>
      </c>
      <c r="AW25" s="45">
        <f t="shared" si="2"/>
        <v>3</v>
      </c>
      <c r="AX25" s="45">
        <f t="shared" si="3"/>
        <v>3</v>
      </c>
      <c r="AY25" s="46">
        <f>VLOOKUP(AP25,COND!$A$10:$B$32,2,FALSE)</f>
        <v>1</v>
      </c>
      <c r="AZ25" s="44">
        <f>($AU$3*AU25+$AV$3*AV25+$AW$3*AW25+$AX$3*AX25)*AY25*IF(AQ25&lt;5,0.95,IF(AQ25&lt;7,0.975,1))+$I$3*VLOOKUP(I25,COND!$A$2:$E$7,4,FALSE)+$J$3*VLOOKUP(J25,COND!$A$2:$E$7,2,FALSE)+$K$3*VLOOKUP(K25,COND!$A$2:$E$7,3,FALSE)+IF(BB25="SP",$BB$3,0)+IF($AW25&lt;3,-5,0)+IF(AND($B$2&gt;0,$E25&lt;20),$B$2*25,0)</f>
        <v>63.346595907564506</v>
      </c>
      <c r="BA25" s="47">
        <f t="shared" si="7"/>
        <v>1.8189133959913744</v>
      </c>
      <c r="BB25" s="45" t="str">
        <f t="shared" si="5"/>
        <v>SP</v>
      </c>
      <c r="BC25" s="45">
        <v>13</v>
      </c>
      <c r="BD25" s="45">
        <v>21</v>
      </c>
      <c r="BE25" s="45"/>
      <c r="BF25" s="45" t="str">
        <f t="shared" si="6"/>
        <v>Possible</v>
      </c>
      <c r="BG25" s="45"/>
      <c r="BH25" s="45">
        <f>INDEX(Table5[[#All],[Ovr]],MATCH(Table3[[#This Row],[PID]],Table5[[#All],[PID]],0))</f>
        <v>46</v>
      </c>
      <c r="BI25" s="45" t="str">
        <f>INDEX(Table5[[#All],[Rnd]],MATCH(Table3[[#This Row],[PID]],Table5[[#All],[PID]],0))</f>
        <v>2</v>
      </c>
      <c r="BJ25" s="45">
        <f>INDEX(Table5[[#All],[Pick]],MATCH(Table3[[#This Row],[PID]],Table5[[#All],[PID]],0))</f>
        <v>10</v>
      </c>
      <c r="BK25" s="45" t="str">
        <f>INDEX(Table5[[#All],[Team]],MATCH(Table3[[#This Row],[PID]],Table5[[#All],[PID]],0))</f>
        <v>London Underground</v>
      </c>
      <c r="BL25" s="45" t="str">
        <f>IF(OR(Table3[[#This Row],[POS]]="SP",Table3[[#This Row],[POS]]="RP",Table3[[#This Row],[POS]]="CL"),"P",INDEX(Batters[[#All],[zScore]],MATCH(Table3[[#This Row],[PID]],Batters[[#All],[PID]],0)))</f>
        <v>P</v>
      </c>
    </row>
    <row r="26" spans="1:64" ht="15" customHeight="1" x14ac:dyDescent="0.3">
      <c r="A26" s="40">
        <v>10013</v>
      </c>
      <c r="B26" s="40" t="s">
        <v>24</v>
      </c>
      <c r="C26" s="40" t="s">
        <v>154</v>
      </c>
      <c r="D26" s="40" t="s">
        <v>1003</v>
      </c>
      <c r="E26" s="40">
        <v>17</v>
      </c>
      <c r="F26" s="40" t="s">
        <v>42</v>
      </c>
      <c r="G26" s="40" t="s">
        <v>42</v>
      </c>
      <c r="H26" s="41" t="s">
        <v>549</v>
      </c>
      <c r="I26" s="42" t="s">
        <v>44</v>
      </c>
      <c r="J26" s="40" t="s">
        <v>43</v>
      </c>
      <c r="K26" s="41" t="s">
        <v>43</v>
      </c>
      <c r="L26" s="40">
        <v>3</v>
      </c>
      <c r="M26" s="40">
        <v>3</v>
      </c>
      <c r="N26" s="41">
        <v>1</v>
      </c>
      <c r="O26" s="40">
        <v>6</v>
      </c>
      <c r="P26" s="40">
        <v>6</v>
      </c>
      <c r="Q26" s="41">
        <v>5</v>
      </c>
      <c r="R26" s="40">
        <v>6</v>
      </c>
      <c r="S26" s="40">
        <v>9</v>
      </c>
      <c r="T26" s="40">
        <v>1</v>
      </c>
      <c r="U26" s="40">
        <v>4</v>
      </c>
      <c r="V26" s="40" t="s">
        <v>45</v>
      </c>
      <c r="W26" s="40" t="s">
        <v>45</v>
      </c>
      <c r="X26" s="40">
        <v>4</v>
      </c>
      <c r="Y26" s="40">
        <v>7</v>
      </c>
      <c r="Z26" s="40" t="s">
        <v>45</v>
      </c>
      <c r="AA26" s="40" t="s">
        <v>45</v>
      </c>
      <c r="AB26" s="40" t="s">
        <v>45</v>
      </c>
      <c r="AC26" s="40" t="s">
        <v>45</v>
      </c>
      <c r="AD26" s="40" t="s">
        <v>45</v>
      </c>
      <c r="AE26" s="40" t="s">
        <v>45</v>
      </c>
      <c r="AF26" s="40" t="s">
        <v>45</v>
      </c>
      <c r="AG26" s="40" t="s">
        <v>45</v>
      </c>
      <c r="AH26" s="40" t="s">
        <v>45</v>
      </c>
      <c r="AI26" s="40" t="s">
        <v>45</v>
      </c>
      <c r="AJ26" s="40" t="s">
        <v>45</v>
      </c>
      <c r="AK26" s="40" t="s">
        <v>45</v>
      </c>
      <c r="AL26" s="40" t="s">
        <v>45</v>
      </c>
      <c r="AM26" s="40" t="s">
        <v>45</v>
      </c>
      <c r="AN26" s="40" t="s">
        <v>45</v>
      </c>
      <c r="AO26" s="41" t="s">
        <v>45</v>
      </c>
      <c r="AP26" s="40" t="s">
        <v>46</v>
      </c>
      <c r="AQ26" s="40">
        <v>7</v>
      </c>
      <c r="AR26" s="48" t="s">
        <v>326</v>
      </c>
      <c r="AS26" s="43" t="s">
        <v>901</v>
      </c>
      <c r="AT26" s="43" t="s">
        <v>103</v>
      </c>
      <c r="AU26" s="44">
        <f t="shared" si="0"/>
        <v>-1.9212381560891401</v>
      </c>
      <c r="AV26" s="44">
        <f t="shared" si="1"/>
        <v>0.66390798168205989</v>
      </c>
      <c r="AW26" s="45">
        <f t="shared" si="2"/>
        <v>3</v>
      </c>
      <c r="AX26" s="45">
        <f t="shared" si="3"/>
        <v>2</v>
      </c>
      <c r="AY26" s="46">
        <f>VLOOKUP(AP26,COND!$A$10:$B$32,2,FALSE)</f>
        <v>1.05</v>
      </c>
      <c r="AZ26" s="44">
        <f>($AU$3*AU26+$AV$3*AV26+$AW$3*AW26+$AX$3*AX26)*AY26*IF(AQ26&lt;5,0.95,IF(AQ26&lt;7,0.975,1))+$I$3*VLOOKUP(I26,COND!$A$2:$E$7,4,FALSE)+$J$3*VLOOKUP(J26,COND!$A$2:$E$7,2,FALSE)+$K$3*VLOOKUP(K26,COND!$A$2:$E$7,3,FALSE)+IF(BB26="SP",$BB$3,0)+IF($AW26&lt;3,-5,0)+IF(AND($B$2&gt;0,$E26&lt;20),$B$2*25,0)</f>
        <v>69.588607602544542</v>
      </c>
      <c r="BA26" s="47">
        <f t="shared" si="7"/>
        <v>2.2633885279493153</v>
      </c>
      <c r="BB26" s="45" t="str">
        <f t="shared" si="5"/>
        <v>SP</v>
      </c>
      <c r="BC26" s="45">
        <v>14</v>
      </c>
      <c r="BD26" s="45">
        <v>22</v>
      </c>
      <c r="BE26" s="45"/>
      <c r="BF26" s="45" t="str">
        <f t="shared" si="6"/>
        <v>Possible</v>
      </c>
      <c r="BG26" s="45"/>
      <c r="BH26" s="45">
        <f>INDEX(Table5[[#All],[Ovr]],MATCH(Table3[[#This Row],[PID]],Table5[[#All],[PID]],0))</f>
        <v>62</v>
      </c>
      <c r="BI26" s="45" t="str">
        <f>INDEX(Table5[[#All],[Rnd]],MATCH(Table3[[#This Row],[PID]],Table5[[#All],[PID]],0))</f>
        <v>2</v>
      </c>
      <c r="BJ26" s="45">
        <f>INDEX(Table5[[#All],[Pick]],MATCH(Table3[[#This Row],[PID]],Table5[[#All],[PID]],0))</f>
        <v>26</v>
      </c>
      <c r="BK26" s="45" t="str">
        <f>INDEX(Table5[[#All],[Team]],MATCH(Table3[[#This Row],[PID]],Table5[[#All],[PID]],0))</f>
        <v>Reno Zephyrs</v>
      </c>
      <c r="BL26" s="45" t="str">
        <f>IF(OR(Table3[[#This Row],[POS]]="SP",Table3[[#This Row],[POS]]="RP",Table3[[#This Row],[POS]]="CL"),"P",INDEX(Batters[[#All],[zScore]],MATCH(Table3[[#This Row],[PID]],Batters[[#All],[PID]],0)))</f>
        <v>P</v>
      </c>
    </row>
    <row r="27" spans="1:64" ht="15" customHeight="1" x14ac:dyDescent="0.3">
      <c r="A27" s="40">
        <v>7783</v>
      </c>
      <c r="B27" s="40" t="s">
        <v>24</v>
      </c>
      <c r="C27" s="40" t="s">
        <v>891</v>
      </c>
      <c r="D27" s="40" t="s">
        <v>556</v>
      </c>
      <c r="E27" s="40">
        <v>21</v>
      </c>
      <c r="F27" s="40" t="s">
        <v>53</v>
      </c>
      <c r="G27" s="40" t="s">
        <v>53</v>
      </c>
      <c r="H27" s="41" t="s">
        <v>550</v>
      </c>
      <c r="I27" s="42" t="s">
        <v>43</v>
      </c>
      <c r="J27" s="40" t="s">
        <v>43</v>
      </c>
      <c r="K27" s="41" t="s">
        <v>43</v>
      </c>
      <c r="L27" s="40">
        <v>2</v>
      </c>
      <c r="M27" s="40">
        <v>2</v>
      </c>
      <c r="N27" s="41">
        <v>3</v>
      </c>
      <c r="O27" s="40">
        <v>6</v>
      </c>
      <c r="P27" s="40">
        <v>4</v>
      </c>
      <c r="Q27" s="41">
        <v>5</v>
      </c>
      <c r="R27" s="40">
        <v>5</v>
      </c>
      <c r="S27" s="40">
        <v>8</v>
      </c>
      <c r="T27" s="40" t="s">
        <v>45</v>
      </c>
      <c r="U27" s="40" t="s">
        <v>45</v>
      </c>
      <c r="V27" s="40" t="s">
        <v>45</v>
      </c>
      <c r="W27" s="40" t="s">
        <v>45</v>
      </c>
      <c r="X27" s="40">
        <v>3</v>
      </c>
      <c r="Y27" s="40">
        <v>8</v>
      </c>
      <c r="Z27" s="40" t="s">
        <v>45</v>
      </c>
      <c r="AA27" s="40" t="s">
        <v>45</v>
      </c>
      <c r="AB27" s="40" t="s">
        <v>45</v>
      </c>
      <c r="AC27" s="40" t="s">
        <v>45</v>
      </c>
      <c r="AD27" s="40" t="s">
        <v>45</v>
      </c>
      <c r="AE27" s="40" t="s">
        <v>45</v>
      </c>
      <c r="AF27" s="40" t="s">
        <v>45</v>
      </c>
      <c r="AG27" s="40" t="s">
        <v>45</v>
      </c>
      <c r="AH27" s="40">
        <v>1</v>
      </c>
      <c r="AI27" s="40">
        <v>7</v>
      </c>
      <c r="AJ27" s="40" t="s">
        <v>45</v>
      </c>
      <c r="AK27" s="40" t="s">
        <v>45</v>
      </c>
      <c r="AL27" s="40" t="s">
        <v>45</v>
      </c>
      <c r="AM27" s="40" t="s">
        <v>45</v>
      </c>
      <c r="AN27" s="40" t="s">
        <v>45</v>
      </c>
      <c r="AO27" s="41" t="s">
        <v>45</v>
      </c>
      <c r="AP27" s="40" t="s">
        <v>54</v>
      </c>
      <c r="AQ27" s="40">
        <v>4</v>
      </c>
      <c r="AR27" s="48" t="s">
        <v>14</v>
      </c>
      <c r="AS27" s="43" t="s">
        <v>1106</v>
      </c>
      <c r="AT27" s="43" t="s">
        <v>103</v>
      </c>
      <c r="AU27" s="44">
        <f t="shared" si="0"/>
        <v>-1.8267200649201485</v>
      </c>
      <c r="AV27" s="44">
        <f t="shared" si="1"/>
        <v>0.27304454882194901</v>
      </c>
      <c r="AW27" s="45">
        <f t="shared" si="2"/>
        <v>3</v>
      </c>
      <c r="AX27" s="45">
        <f t="shared" si="3"/>
        <v>3</v>
      </c>
      <c r="AY27" s="46">
        <f>VLOOKUP(AP27,COND!$A$10:$B$32,2,FALSE)</f>
        <v>1.0249999999999999</v>
      </c>
      <c r="AZ27" s="44">
        <f>($AU$3*AU27+$AV$3*AV27+$AW$3*AW27+$AX$3*AX27)*AY27*IF(AQ27&lt;5,0.95,IF(AQ27&lt;7,0.975,1))+$I$3*VLOOKUP(I27,COND!$A$2:$E$7,4,FALSE)+$J$3*VLOOKUP(J27,COND!$A$2:$E$7,2,FALSE)+$K$3*VLOOKUP(K27,COND!$A$2:$E$7,3,FALSE)+IF(BB27="SP",$BB$3,0)+IF($AW27&lt;3,-5,0)+IF(AND($B$2&gt;0,$E27&lt;20),$B$2*25,0)</f>
        <v>55.073976355664257</v>
      </c>
      <c r="BA27" s="47">
        <f t="shared" si="7"/>
        <v>1.2298447036135933</v>
      </c>
      <c r="BB27" s="45" t="str">
        <f t="shared" si="5"/>
        <v>RP</v>
      </c>
      <c r="BC27" s="45">
        <v>9</v>
      </c>
      <c r="BD27" s="45">
        <v>23</v>
      </c>
      <c r="BE27" s="45"/>
      <c r="BF27" s="45" t="str">
        <f t="shared" si="6"/>
        <v>Possible</v>
      </c>
      <c r="BG27" s="45"/>
      <c r="BH27" s="45">
        <f>INDEX(Table5[[#All],[Ovr]],MATCH(Table3[[#This Row],[PID]],Table5[[#All],[PID]],0))</f>
        <v>100</v>
      </c>
      <c r="BI27" s="45" t="str">
        <f>INDEX(Table5[[#All],[Rnd]],MATCH(Table3[[#This Row],[PID]],Table5[[#All],[PID]],0))</f>
        <v>3</v>
      </c>
      <c r="BJ27" s="45">
        <f>INDEX(Table5[[#All],[Pick]],MATCH(Table3[[#This Row],[PID]],Table5[[#All],[PID]],0))</f>
        <v>28</v>
      </c>
      <c r="BK27" s="45" t="str">
        <f>INDEX(Table5[[#All],[Team]],MATCH(Table3[[#This Row],[PID]],Table5[[#All],[PID]],0))</f>
        <v>Havana Leones</v>
      </c>
      <c r="BL27" s="45" t="str">
        <f>IF(OR(Table3[[#This Row],[POS]]="SP",Table3[[#This Row],[POS]]="RP",Table3[[#This Row],[POS]]="CL"),"P",INDEX(Batters[[#All],[zScore]],MATCH(Table3[[#This Row],[PID]],Batters[[#All],[PID]],0)))</f>
        <v>P</v>
      </c>
    </row>
    <row r="28" spans="1:64" ht="15" customHeight="1" x14ac:dyDescent="0.3">
      <c r="A28" s="40">
        <v>10405</v>
      </c>
      <c r="B28" s="40" t="s">
        <v>24</v>
      </c>
      <c r="C28" s="40" t="s">
        <v>128</v>
      </c>
      <c r="D28" s="40" t="s">
        <v>135</v>
      </c>
      <c r="E28" s="40">
        <v>17</v>
      </c>
      <c r="F28" s="40" t="s">
        <v>42</v>
      </c>
      <c r="G28" s="40" t="s">
        <v>42</v>
      </c>
      <c r="H28" s="41" t="s">
        <v>550</v>
      </c>
      <c r="I28" s="42" t="s">
        <v>43</v>
      </c>
      <c r="J28" s="40" t="s">
        <v>43</v>
      </c>
      <c r="K28" s="41" t="s">
        <v>44</v>
      </c>
      <c r="L28" s="40">
        <v>4</v>
      </c>
      <c r="M28" s="40">
        <v>2</v>
      </c>
      <c r="N28" s="41">
        <v>1</v>
      </c>
      <c r="O28" s="40">
        <v>6</v>
      </c>
      <c r="P28" s="40">
        <v>4</v>
      </c>
      <c r="Q28" s="41">
        <v>5</v>
      </c>
      <c r="R28" s="40">
        <v>6</v>
      </c>
      <c r="S28" s="40">
        <v>8</v>
      </c>
      <c r="T28" s="40">
        <v>1</v>
      </c>
      <c r="U28" s="40">
        <v>7</v>
      </c>
      <c r="V28" s="40" t="s">
        <v>45</v>
      </c>
      <c r="W28" s="40" t="s">
        <v>45</v>
      </c>
      <c r="X28" s="40">
        <v>3</v>
      </c>
      <c r="Y28" s="40">
        <v>6</v>
      </c>
      <c r="Z28" s="40" t="s">
        <v>45</v>
      </c>
      <c r="AA28" s="40" t="s">
        <v>45</v>
      </c>
      <c r="AB28" s="40" t="s">
        <v>45</v>
      </c>
      <c r="AC28" s="40" t="s">
        <v>45</v>
      </c>
      <c r="AD28" s="40" t="s">
        <v>45</v>
      </c>
      <c r="AE28" s="40" t="s">
        <v>45</v>
      </c>
      <c r="AF28" s="40">
        <v>5</v>
      </c>
      <c r="AG28" s="40">
        <v>6</v>
      </c>
      <c r="AH28" s="40" t="s">
        <v>45</v>
      </c>
      <c r="AI28" s="40" t="s">
        <v>45</v>
      </c>
      <c r="AJ28" s="40" t="s">
        <v>45</v>
      </c>
      <c r="AK28" s="40" t="s">
        <v>45</v>
      </c>
      <c r="AL28" s="40" t="s">
        <v>45</v>
      </c>
      <c r="AM28" s="40" t="s">
        <v>45</v>
      </c>
      <c r="AN28" s="40" t="s">
        <v>45</v>
      </c>
      <c r="AO28" s="41" t="s">
        <v>45</v>
      </c>
      <c r="AP28" s="40" t="s">
        <v>59</v>
      </c>
      <c r="AQ28" s="40">
        <v>6</v>
      </c>
      <c r="AR28" s="48" t="s">
        <v>326</v>
      </c>
      <c r="AS28" s="43" t="s">
        <v>476</v>
      </c>
      <c r="AT28" s="43" t="s">
        <v>103</v>
      </c>
      <c r="AU28" s="44">
        <f t="shared" si="0"/>
        <v>-1.9219785480100218</v>
      </c>
      <c r="AV28" s="44">
        <f t="shared" si="1"/>
        <v>0.27304454882194901</v>
      </c>
      <c r="AW28" s="45">
        <f t="shared" si="2"/>
        <v>4</v>
      </c>
      <c r="AX28" s="45">
        <f t="shared" si="3"/>
        <v>4</v>
      </c>
      <c r="AY28" s="46">
        <f>VLOOKUP(AP28,COND!$A$10:$B$32,2,FALSE)</f>
        <v>1.075</v>
      </c>
      <c r="AZ28" s="44">
        <f>($AU$3*AU28+$AV$3*AV28+$AW$3*AW28+$AX$3*AX28)*AY28*IF(AQ28&lt;5,0.95,IF(AQ28&lt;7,0.975,1))+$I$3*VLOOKUP(I28,COND!$A$2:$E$7,4,FALSE)+$J$3*VLOOKUP(J28,COND!$A$2:$E$7,2,FALSE)+$K$3*VLOOKUP(K28,COND!$A$2:$E$7,3,FALSE)+IF(BB28="SP",$BB$3,0)+IF($AW28&lt;3,-5,0)+IF(AND($B$2&gt;0,$E28&lt;20),$B$2*25,0)</f>
        <v>64.357676601553507</v>
      </c>
      <c r="BA28" s="47">
        <f t="shared" si="7"/>
        <v>1.8909094522054801</v>
      </c>
      <c r="BB28" s="45" t="str">
        <f t="shared" si="5"/>
        <v>SP</v>
      </c>
      <c r="BC28" s="45">
        <v>15</v>
      </c>
      <c r="BD28" s="45">
        <v>24</v>
      </c>
      <c r="BE28" s="45"/>
      <c r="BF28" s="45" t="str">
        <f t="shared" si="6"/>
        <v>Possible</v>
      </c>
      <c r="BG28" s="45"/>
      <c r="BH28" s="45">
        <f>INDEX(Table5[[#All],[Ovr]],MATCH(Table3[[#This Row],[PID]],Table5[[#All],[PID]],0))</f>
        <v>66</v>
      </c>
      <c r="BI28" s="45" t="str">
        <f>INDEX(Table5[[#All],[Rnd]],MATCH(Table3[[#This Row],[PID]],Table5[[#All],[PID]],0))</f>
        <v>2</v>
      </c>
      <c r="BJ28" s="45">
        <f>INDEX(Table5[[#All],[Pick]],MATCH(Table3[[#This Row],[PID]],Table5[[#All],[PID]],0))</f>
        <v>30</v>
      </c>
      <c r="BK28" s="45" t="str">
        <f>INDEX(Table5[[#All],[Team]],MATCH(Table3[[#This Row],[PID]],Table5[[#All],[PID]],0))</f>
        <v>Okinawa Shisa</v>
      </c>
      <c r="BL28" s="45" t="str">
        <f>IF(OR(Table3[[#This Row],[POS]]="SP",Table3[[#This Row],[POS]]="RP",Table3[[#This Row],[POS]]="CL"),"P",INDEX(Batters[[#All],[zScore]],MATCH(Table3[[#This Row],[PID]],Batters[[#All],[PID]],0)))</f>
        <v>P</v>
      </c>
    </row>
    <row r="29" spans="1:64" ht="15" customHeight="1" x14ac:dyDescent="0.3">
      <c r="A29" s="40">
        <v>21027</v>
      </c>
      <c r="B29" s="40" t="s">
        <v>24</v>
      </c>
      <c r="C29" s="40" t="s">
        <v>391</v>
      </c>
      <c r="D29" s="40" t="s">
        <v>145</v>
      </c>
      <c r="E29" s="40">
        <v>16</v>
      </c>
      <c r="F29" s="40" t="s">
        <v>53</v>
      </c>
      <c r="G29" s="40" t="s">
        <v>53</v>
      </c>
      <c r="H29" s="41" t="s">
        <v>549</v>
      </c>
      <c r="I29" s="42" t="s">
        <v>44</v>
      </c>
      <c r="J29" s="40" t="s">
        <v>47</v>
      </c>
      <c r="K29" s="41" t="s">
        <v>43</v>
      </c>
      <c r="L29" s="40">
        <v>3</v>
      </c>
      <c r="M29" s="40">
        <v>3</v>
      </c>
      <c r="N29" s="41">
        <v>2</v>
      </c>
      <c r="O29" s="40">
        <v>6</v>
      </c>
      <c r="P29" s="40">
        <v>7</v>
      </c>
      <c r="Q29" s="41">
        <v>6</v>
      </c>
      <c r="R29" s="40">
        <v>5</v>
      </c>
      <c r="S29" s="40">
        <v>9</v>
      </c>
      <c r="T29" s="40">
        <v>1</v>
      </c>
      <c r="U29" s="40">
        <v>2</v>
      </c>
      <c r="V29" s="40" t="s">
        <v>45</v>
      </c>
      <c r="W29" s="40" t="s">
        <v>45</v>
      </c>
      <c r="X29" s="40" t="s">
        <v>45</v>
      </c>
      <c r="Y29" s="40" t="s">
        <v>45</v>
      </c>
      <c r="Z29" s="40">
        <v>4</v>
      </c>
      <c r="AA29" s="40">
        <v>8</v>
      </c>
      <c r="AB29" s="40" t="s">
        <v>45</v>
      </c>
      <c r="AC29" s="40" t="s">
        <v>45</v>
      </c>
      <c r="AD29" s="40" t="s">
        <v>45</v>
      </c>
      <c r="AE29" s="40" t="s">
        <v>45</v>
      </c>
      <c r="AF29" s="40" t="s">
        <v>45</v>
      </c>
      <c r="AG29" s="40" t="s">
        <v>45</v>
      </c>
      <c r="AH29" s="40" t="s">
        <v>45</v>
      </c>
      <c r="AI29" s="40" t="s">
        <v>45</v>
      </c>
      <c r="AJ29" s="40" t="s">
        <v>45</v>
      </c>
      <c r="AK29" s="40" t="s">
        <v>45</v>
      </c>
      <c r="AL29" s="40" t="s">
        <v>45</v>
      </c>
      <c r="AM29" s="40" t="s">
        <v>45</v>
      </c>
      <c r="AN29" s="40" t="s">
        <v>45</v>
      </c>
      <c r="AO29" s="41" t="s">
        <v>45</v>
      </c>
      <c r="AP29" s="40" t="s">
        <v>48</v>
      </c>
      <c r="AQ29" s="40">
        <v>8</v>
      </c>
      <c r="AR29" s="48" t="s">
        <v>325</v>
      </c>
      <c r="AS29" s="43" t="s">
        <v>376</v>
      </c>
      <c r="AT29" s="43" t="s">
        <v>103</v>
      </c>
      <c r="AU29" s="44">
        <f t="shared" si="0"/>
        <v>-1.6789175900350299</v>
      </c>
      <c r="AV29" s="44">
        <f t="shared" si="1"/>
        <v>1.1016602641662256</v>
      </c>
      <c r="AW29" s="45">
        <f t="shared" si="2"/>
        <v>3</v>
      </c>
      <c r="AX29" s="45">
        <f t="shared" si="3"/>
        <v>2</v>
      </c>
      <c r="AY29" s="46">
        <f>VLOOKUP(AP29,COND!$A$10:$B$32,2,FALSE)</f>
        <v>1.05</v>
      </c>
      <c r="AZ29" s="44">
        <f>($AU$3*AU29+$AV$3*AV29+$AW$3*AW29+$AX$3*AX29)*AY29*IF(AQ29&lt;5,0.95,IF(AQ29&lt;7,0.975,1))+$I$3*VLOOKUP(I29,COND!$A$2:$E$7,4,FALSE)+$J$3*VLOOKUP(J29,COND!$A$2:$E$7,2,FALSE)+$K$3*VLOOKUP(K29,COND!$A$2:$E$7,3,FALSE)+IF(BB29="SP",$BB$3,0)+IF($AW29&lt;3,-5,0)+IF(AND($B$2&gt;0,$E29&lt;20),$B$2*25,0)</f>
        <v>79.13229285358338</v>
      </c>
      <c r="BA29" s="47">
        <f t="shared" si="7"/>
        <v>2.9429660373493696</v>
      </c>
      <c r="BB29" s="45" t="str">
        <f t="shared" si="5"/>
        <v>SP</v>
      </c>
      <c r="BC29" s="45">
        <v>16</v>
      </c>
      <c r="BD29" s="45">
        <v>25</v>
      </c>
      <c r="BE29" s="45"/>
      <c r="BF29" s="45" t="str">
        <f t="shared" si="6"/>
        <v>Likely</v>
      </c>
      <c r="BG29" s="45"/>
      <c r="BH29" s="45">
        <f>INDEX(Table5[[#All],[Ovr]],MATCH(Table3[[#This Row],[PID]],Table5[[#All],[PID]],0))</f>
        <v>26</v>
      </c>
      <c r="BI29" s="45" t="str">
        <f>INDEX(Table5[[#All],[Rnd]],MATCH(Table3[[#This Row],[PID]],Table5[[#All],[PID]],0))</f>
        <v>1</v>
      </c>
      <c r="BJ29" s="45">
        <f>INDEX(Table5[[#All],[Pick]],MATCH(Table3[[#This Row],[PID]],Table5[[#All],[PID]],0))</f>
        <v>26</v>
      </c>
      <c r="BK29" s="45" t="str">
        <f>INDEX(Table5[[#All],[Team]],MATCH(Table3[[#This Row],[PID]],Table5[[#All],[PID]],0))</f>
        <v>Florida Farstriders</v>
      </c>
      <c r="BL29" s="45" t="str">
        <f>IF(OR(Table3[[#This Row],[POS]]="SP",Table3[[#This Row],[POS]]="RP",Table3[[#This Row],[POS]]="CL"),"P",INDEX(Batters[[#All],[zScore]],MATCH(Table3[[#This Row],[PID]],Batters[[#All],[PID]],0)))</f>
        <v>P</v>
      </c>
    </row>
    <row r="30" spans="1:64" ht="15" customHeight="1" x14ac:dyDescent="0.3">
      <c r="A30" s="40">
        <v>10465</v>
      </c>
      <c r="B30" s="40" t="s">
        <v>24</v>
      </c>
      <c r="C30" s="40" t="s">
        <v>593</v>
      </c>
      <c r="D30" s="40" t="s">
        <v>784</v>
      </c>
      <c r="E30" s="40">
        <v>17</v>
      </c>
      <c r="F30" s="40" t="s">
        <v>42</v>
      </c>
      <c r="G30" s="40" t="s">
        <v>42</v>
      </c>
      <c r="H30" s="41" t="s">
        <v>550</v>
      </c>
      <c r="I30" s="42" t="s">
        <v>43</v>
      </c>
      <c r="J30" s="40" t="s">
        <v>43</v>
      </c>
      <c r="K30" s="41" t="s">
        <v>43</v>
      </c>
      <c r="L30" s="40">
        <v>2</v>
      </c>
      <c r="M30" s="40">
        <v>3</v>
      </c>
      <c r="N30" s="41">
        <v>1</v>
      </c>
      <c r="O30" s="40">
        <v>6</v>
      </c>
      <c r="P30" s="40">
        <v>6</v>
      </c>
      <c r="Q30" s="41">
        <v>5</v>
      </c>
      <c r="R30" s="40" t="s">
        <v>45</v>
      </c>
      <c r="S30" s="40" t="s">
        <v>45</v>
      </c>
      <c r="T30" s="40">
        <v>1</v>
      </c>
      <c r="U30" s="40">
        <v>7</v>
      </c>
      <c r="V30" s="40" t="s">
        <v>45</v>
      </c>
      <c r="W30" s="40" t="s">
        <v>45</v>
      </c>
      <c r="X30" s="40">
        <v>3</v>
      </c>
      <c r="Y30" s="40">
        <v>6</v>
      </c>
      <c r="Z30" s="40" t="s">
        <v>45</v>
      </c>
      <c r="AA30" s="40" t="s">
        <v>45</v>
      </c>
      <c r="AB30" s="40" t="s">
        <v>45</v>
      </c>
      <c r="AC30" s="40" t="s">
        <v>45</v>
      </c>
      <c r="AD30" s="40">
        <v>5</v>
      </c>
      <c r="AE30" s="40">
        <v>8</v>
      </c>
      <c r="AF30" s="40" t="s">
        <v>45</v>
      </c>
      <c r="AG30" s="40" t="s">
        <v>45</v>
      </c>
      <c r="AH30" s="40" t="s">
        <v>45</v>
      </c>
      <c r="AI30" s="40" t="s">
        <v>45</v>
      </c>
      <c r="AJ30" s="40" t="s">
        <v>45</v>
      </c>
      <c r="AK30" s="40" t="s">
        <v>45</v>
      </c>
      <c r="AL30" s="40" t="s">
        <v>45</v>
      </c>
      <c r="AM30" s="40" t="s">
        <v>45</v>
      </c>
      <c r="AN30" s="40" t="s">
        <v>45</v>
      </c>
      <c r="AO30" s="41" t="s">
        <v>45</v>
      </c>
      <c r="AP30" s="40" t="s">
        <v>61</v>
      </c>
      <c r="AQ30" s="40">
        <v>4</v>
      </c>
      <c r="AR30" s="48" t="s">
        <v>325</v>
      </c>
      <c r="AS30" s="43" t="s">
        <v>379</v>
      </c>
      <c r="AT30" s="43" t="s">
        <v>103</v>
      </c>
      <c r="AU30" s="44">
        <f t="shared" si="0"/>
        <v>-2.1159294805983135</v>
      </c>
      <c r="AV30" s="44">
        <f t="shared" si="1"/>
        <v>0.66390798168205989</v>
      </c>
      <c r="AW30" s="45">
        <f t="shared" si="2"/>
        <v>3</v>
      </c>
      <c r="AX30" s="45">
        <f t="shared" si="3"/>
        <v>3</v>
      </c>
      <c r="AY30" s="46">
        <f>VLOOKUP(AP30,COND!$A$10:$B$32,2,FALSE)</f>
        <v>1.05</v>
      </c>
      <c r="AZ30" s="44">
        <f>($AU$3*AU30+$AV$3*AV30+$AW$3*AW30+$AX$3*AX30)*AY30*IF(AQ30&lt;5,0.95,IF(AQ30&lt;7,0.975,1))+$I$3*VLOOKUP(I30,COND!$A$2:$E$7,4,FALSE)+$J$3*VLOOKUP(J30,COND!$A$2:$E$7,2,FALSE)+$K$3*VLOOKUP(K30,COND!$A$2:$E$7,3,FALSE)+IF(BB30="SP",$BB$3,0)+IF($AW30&lt;3,-5,0)+IF(AND($B$2&gt;0,$E30&lt;20),$B$2*25,0)</f>
        <v>68.059711303177735</v>
      </c>
      <c r="BA30" s="47">
        <f t="shared" si="7"/>
        <v>2.1545203589009327</v>
      </c>
      <c r="BB30" s="45" t="str">
        <f t="shared" si="5"/>
        <v>RP</v>
      </c>
      <c r="BC30" s="45">
        <v>10</v>
      </c>
      <c r="BD30" s="45">
        <v>26</v>
      </c>
      <c r="BE30" s="45"/>
      <c r="BF30" s="45" t="str">
        <f t="shared" si="6"/>
        <v>Possible</v>
      </c>
      <c r="BG30" s="45"/>
      <c r="BH30" s="45">
        <f>INDEX(Table5[[#All],[Ovr]],MATCH(Table3[[#This Row],[PID]],Table5[[#All],[PID]],0))</f>
        <v>61</v>
      </c>
      <c r="BI30" s="45" t="str">
        <f>INDEX(Table5[[#All],[Rnd]],MATCH(Table3[[#This Row],[PID]],Table5[[#All],[PID]],0))</f>
        <v>2</v>
      </c>
      <c r="BJ30" s="45">
        <f>INDEX(Table5[[#All],[Pick]],MATCH(Table3[[#This Row],[PID]],Table5[[#All],[PID]],0))</f>
        <v>25</v>
      </c>
      <c r="BK30" s="45" t="str">
        <f>INDEX(Table5[[#All],[Team]],MATCH(Table3[[#This Row],[PID]],Table5[[#All],[PID]],0))</f>
        <v>Bakersfield Bears</v>
      </c>
      <c r="BL30" s="45" t="str">
        <f>IF(OR(Table3[[#This Row],[POS]]="SP",Table3[[#This Row],[POS]]="RP",Table3[[#This Row],[POS]]="CL"),"P",INDEX(Batters[[#All],[zScore]],MATCH(Table3[[#This Row],[PID]],Batters[[#All],[PID]],0)))</f>
        <v>P</v>
      </c>
    </row>
    <row r="31" spans="1:64" ht="15" customHeight="1" x14ac:dyDescent="0.3">
      <c r="A31" s="40">
        <v>13376</v>
      </c>
      <c r="B31" s="40" t="s">
        <v>24</v>
      </c>
      <c r="C31" s="40" t="s">
        <v>1018</v>
      </c>
      <c r="D31" s="40" t="s">
        <v>356</v>
      </c>
      <c r="E31" s="40">
        <v>17</v>
      </c>
      <c r="F31" s="40" t="s">
        <v>62</v>
      </c>
      <c r="G31" s="40" t="s">
        <v>42</v>
      </c>
      <c r="H31" s="41" t="s">
        <v>549</v>
      </c>
      <c r="I31" s="42" t="s">
        <v>43</v>
      </c>
      <c r="J31" s="40" t="s">
        <v>43</v>
      </c>
      <c r="K31" s="41" t="s">
        <v>43</v>
      </c>
      <c r="L31" s="40">
        <v>2</v>
      </c>
      <c r="M31" s="40">
        <v>2</v>
      </c>
      <c r="N31" s="41">
        <v>6</v>
      </c>
      <c r="O31" s="40">
        <v>5</v>
      </c>
      <c r="P31" s="40">
        <v>6</v>
      </c>
      <c r="Q31" s="41">
        <v>8</v>
      </c>
      <c r="R31" s="40">
        <v>4</v>
      </c>
      <c r="S31" s="40">
        <v>6</v>
      </c>
      <c r="T31" s="40" t="s">
        <v>45</v>
      </c>
      <c r="U31" s="40" t="s">
        <v>45</v>
      </c>
      <c r="V31" s="40">
        <v>2</v>
      </c>
      <c r="W31" s="40">
        <v>7</v>
      </c>
      <c r="X31" s="40">
        <v>3</v>
      </c>
      <c r="Y31" s="40">
        <v>6</v>
      </c>
      <c r="Z31" s="40" t="s">
        <v>45</v>
      </c>
      <c r="AA31" s="40" t="s">
        <v>45</v>
      </c>
      <c r="AB31" s="40" t="s">
        <v>45</v>
      </c>
      <c r="AC31" s="40" t="s">
        <v>45</v>
      </c>
      <c r="AD31" s="40" t="s">
        <v>45</v>
      </c>
      <c r="AE31" s="40" t="s">
        <v>45</v>
      </c>
      <c r="AF31" s="40" t="s">
        <v>45</v>
      </c>
      <c r="AG31" s="40" t="s">
        <v>45</v>
      </c>
      <c r="AH31" s="40" t="s">
        <v>45</v>
      </c>
      <c r="AI31" s="40" t="s">
        <v>45</v>
      </c>
      <c r="AJ31" s="40" t="s">
        <v>45</v>
      </c>
      <c r="AK31" s="40" t="s">
        <v>45</v>
      </c>
      <c r="AL31" s="40" t="s">
        <v>45</v>
      </c>
      <c r="AM31" s="40" t="s">
        <v>45</v>
      </c>
      <c r="AN31" s="40" t="s">
        <v>45</v>
      </c>
      <c r="AO31" s="41" t="s">
        <v>45</v>
      </c>
      <c r="AP31" s="40" t="s">
        <v>57</v>
      </c>
      <c r="AQ31" s="40">
        <v>6</v>
      </c>
      <c r="AR31" s="48" t="s">
        <v>326</v>
      </c>
      <c r="AS31" s="43" t="s">
        <v>901</v>
      </c>
      <c r="AT31" s="43" t="s">
        <v>103</v>
      </c>
      <c r="AU31" s="44">
        <f t="shared" si="0"/>
        <v>-1.099758366757817</v>
      </c>
      <c r="AV31" s="44">
        <f t="shared" si="1"/>
        <v>1.196178355335217</v>
      </c>
      <c r="AW31" s="45">
        <f t="shared" si="2"/>
        <v>3</v>
      </c>
      <c r="AX31" s="45">
        <f t="shared" si="3"/>
        <v>3</v>
      </c>
      <c r="AY31" s="46">
        <f>VLOOKUP(AP31,COND!$A$10:$B$32,2,FALSE)</f>
        <v>1</v>
      </c>
      <c r="AZ31" s="44">
        <f>($AU$3*AU31+$AV$3*AV31+$AW$3*AW31+$AX$3*AX31)*AY31*IF(AQ31&lt;5,0.95,IF(AQ31&lt;7,0.975,1))+$I$3*VLOOKUP(I31,COND!$A$2:$E$7,4,FALSE)+$J$3*VLOOKUP(J31,COND!$A$2:$E$7,2,FALSE)+$K$3*VLOOKUP(K31,COND!$A$2:$E$7,3,FALSE)+IF(BB31="SP",$BB$3,0)+IF($AW31&lt;3,-5,0)+IF(AND($B$2&gt;0,$E31&lt;20),$B$2*25,0)</f>
        <v>80.229775047518956</v>
      </c>
      <c r="BA31" s="47">
        <f t="shared" si="7"/>
        <v>3.0211144880104457</v>
      </c>
      <c r="BB31" s="45" t="str">
        <f t="shared" si="5"/>
        <v>SP</v>
      </c>
      <c r="BC31" s="45">
        <v>17</v>
      </c>
      <c r="BD31" s="45">
        <v>27</v>
      </c>
      <c r="BE31" s="45"/>
      <c r="BF31" s="45" t="str">
        <f t="shared" si="6"/>
        <v>Likely</v>
      </c>
      <c r="BG31" s="45"/>
      <c r="BH31" s="45">
        <f>INDEX(Table5[[#All],[Ovr]],MATCH(Table3[[#This Row],[PID]],Table5[[#All],[PID]],0))</f>
        <v>31</v>
      </c>
      <c r="BI31" s="45" t="str">
        <f>INDEX(Table5[[#All],[Rnd]],MATCH(Table3[[#This Row],[PID]],Table5[[#All],[PID]],0))</f>
        <v>1</v>
      </c>
      <c r="BJ31" s="45">
        <f>INDEX(Table5[[#All],[Pick]],MATCH(Table3[[#This Row],[PID]],Table5[[#All],[PID]],0))</f>
        <v>31</v>
      </c>
      <c r="BK31" s="45" t="str">
        <f>INDEX(Table5[[#All],[Team]],MATCH(Table3[[#This Row],[PID]],Table5[[#All],[PID]],0))</f>
        <v>Toyama Wind Dancers</v>
      </c>
      <c r="BL31" s="45" t="str">
        <f>IF(OR(Table3[[#This Row],[POS]]="SP",Table3[[#This Row],[POS]]="RP",Table3[[#This Row],[POS]]="CL"),"P",INDEX(Batters[[#All],[zScore]],MATCH(Table3[[#This Row],[PID]],Batters[[#All],[PID]],0)))</f>
        <v>P</v>
      </c>
    </row>
    <row r="32" spans="1:64" ht="15" customHeight="1" x14ac:dyDescent="0.3">
      <c r="A32" s="40">
        <v>21052</v>
      </c>
      <c r="B32" s="40" t="s">
        <v>24</v>
      </c>
      <c r="C32" s="40" t="s">
        <v>1429</v>
      </c>
      <c r="D32" s="40" t="s">
        <v>194</v>
      </c>
      <c r="E32" s="40">
        <v>17</v>
      </c>
      <c r="F32" s="40" t="s">
        <v>53</v>
      </c>
      <c r="G32" s="40" t="s">
        <v>53</v>
      </c>
      <c r="H32" s="41" t="s">
        <v>549</v>
      </c>
      <c r="I32" s="42" t="s">
        <v>43</v>
      </c>
      <c r="J32" s="40" t="s">
        <v>43</v>
      </c>
      <c r="K32" s="41" t="s">
        <v>47</v>
      </c>
      <c r="L32" s="40">
        <v>3</v>
      </c>
      <c r="M32" s="40">
        <v>3</v>
      </c>
      <c r="N32" s="41">
        <v>1</v>
      </c>
      <c r="O32" s="40">
        <v>6</v>
      </c>
      <c r="P32" s="40">
        <v>5</v>
      </c>
      <c r="Q32" s="41">
        <v>6</v>
      </c>
      <c r="R32" s="40">
        <v>5</v>
      </c>
      <c r="S32" s="40">
        <v>8</v>
      </c>
      <c r="T32" s="40">
        <v>1</v>
      </c>
      <c r="U32" s="40">
        <v>4</v>
      </c>
      <c r="V32" s="40">
        <v>2</v>
      </c>
      <c r="W32" s="40">
        <v>5</v>
      </c>
      <c r="X32" s="40" t="s">
        <v>45</v>
      </c>
      <c r="Y32" s="40" t="s">
        <v>45</v>
      </c>
      <c r="Z32" s="40" t="s">
        <v>45</v>
      </c>
      <c r="AA32" s="40" t="s">
        <v>45</v>
      </c>
      <c r="AB32" s="40">
        <v>4</v>
      </c>
      <c r="AC32" s="40">
        <v>6</v>
      </c>
      <c r="AD32" s="40" t="s">
        <v>45</v>
      </c>
      <c r="AE32" s="40" t="s">
        <v>45</v>
      </c>
      <c r="AF32" s="40">
        <v>4</v>
      </c>
      <c r="AG32" s="40">
        <v>6</v>
      </c>
      <c r="AH32" s="40" t="s">
        <v>45</v>
      </c>
      <c r="AI32" s="40" t="s">
        <v>45</v>
      </c>
      <c r="AJ32" s="40" t="s">
        <v>45</v>
      </c>
      <c r="AK32" s="40" t="s">
        <v>45</v>
      </c>
      <c r="AL32" s="40">
        <v>2</v>
      </c>
      <c r="AM32" s="40">
        <v>5</v>
      </c>
      <c r="AN32" s="40" t="s">
        <v>45</v>
      </c>
      <c r="AO32" s="41" t="s">
        <v>45</v>
      </c>
      <c r="AP32" s="40" t="s">
        <v>61</v>
      </c>
      <c r="AQ32" s="40">
        <v>7</v>
      </c>
      <c r="AR32" s="48" t="s">
        <v>325</v>
      </c>
      <c r="AS32" s="43" t="s">
        <v>476</v>
      </c>
      <c r="AT32" s="43" t="s">
        <v>103</v>
      </c>
      <c r="AU32" s="44">
        <f t="shared" si="0"/>
        <v>-1.9212381560891401</v>
      </c>
      <c r="AV32" s="44">
        <f t="shared" si="1"/>
        <v>0.71079683130611471</v>
      </c>
      <c r="AW32" s="45">
        <f t="shared" si="2"/>
        <v>6</v>
      </c>
      <c r="AX32" s="45">
        <f t="shared" si="3"/>
        <v>3</v>
      </c>
      <c r="AY32" s="46">
        <f>VLOOKUP(AP32,COND!$A$10:$B$32,2,FALSE)</f>
        <v>1.05</v>
      </c>
      <c r="AZ32" s="44">
        <f>($AU$3*AU32+$AV$3*AV32+$AW$3*AW32+$AX$3*AX32)*AY32*IF(AQ32&lt;5,0.95,IF(AQ32&lt;7,0.975,1))+$I$3*VLOOKUP(I32,COND!$A$2:$E$7,4,FALSE)+$J$3*VLOOKUP(J32,COND!$A$2:$E$7,2,FALSE)+$K$3*VLOOKUP(K32,COND!$A$2:$E$7,3,FALSE)+IF(BB32="SP",$BB$3,0)+IF($AW32&lt;3,-5,0)+IF(AND($B$2&gt;0,$E32&lt;20),$B$2*25,0)</f>
        <v>73.910773444649692</v>
      </c>
      <c r="BA32" s="47">
        <f t="shared" si="7"/>
        <v>2.5711571331505487</v>
      </c>
      <c r="BB32" s="45" t="str">
        <f t="shared" si="5"/>
        <v>SP</v>
      </c>
      <c r="BC32" s="45">
        <v>18</v>
      </c>
      <c r="BD32" s="45">
        <v>28</v>
      </c>
      <c r="BE32" s="45"/>
      <c r="BF32" s="45" t="str">
        <f t="shared" si="6"/>
        <v>Possible</v>
      </c>
      <c r="BG32" s="45"/>
      <c r="BH32" s="45">
        <f>INDEX(Table5[[#All],[Ovr]],MATCH(Table3[[#This Row],[PID]],Table5[[#All],[PID]],0))</f>
        <v>40</v>
      </c>
      <c r="BI32" s="45" t="str">
        <f>INDEX(Table5[[#All],[Rnd]],MATCH(Table3[[#This Row],[PID]],Table5[[#All],[PID]],0))</f>
        <v>2</v>
      </c>
      <c r="BJ32" s="45">
        <f>INDEX(Table5[[#All],[Pick]],MATCH(Table3[[#This Row],[PID]],Table5[[#All],[PID]],0))</f>
        <v>4</v>
      </c>
      <c r="BK32" s="45" t="str">
        <f>INDEX(Table5[[#All],[Team]],MATCH(Table3[[#This Row],[PID]],Table5[[#All],[PID]],0))</f>
        <v>Palm Springs Codgers</v>
      </c>
      <c r="BL32" s="45" t="str">
        <f>IF(OR(Table3[[#This Row],[POS]]="SP",Table3[[#This Row],[POS]]="RP",Table3[[#This Row],[POS]]="CL"),"P",INDEX(Batters[[#All],[zScore]],MATCH(Table3[[#This Row],[PID]],Batters[[#All],[PID]],0)))</f>
        <v>P</v>
      </c>
    </row>
    <row r="33" spans="1:64" ht="15" customHeight="1" x14ac:dyDescent="0.3">
      <c r="A33" s="40">
        <v>9755</v>
      </c>
      <c r="B33" s="40" t="s">
        <v>24</v>
      </c>
      <c r="C33" s="40" t="s">
        <v>923</v>
      </c>
      <c r="D33" s="40" t="s">
        <v>144</v>
      </c>
      <c r="E33" s="40">
        <v>17</v>
      </c>
      <c r="F33" s="40" t="s">
        <v>62</v>
      </c>
      <c r="G33" s="40" t="s">
        <v>42</v>
      </c>
      <c r="H33" s="41" t="s">
        <v>550</v>
      </c>
      <c r="I33" s="42" t="s">
        <v>43</v>
      </c>
      <c r="J33" s="40" t="s">
        <v>43</v>
      </c>
      <c r="K33" s="41" t="s">
        <v>43</v>
      </c>
      <c r="L33" s="40">
        <v>2</v>
      </c>
      <c r="M33" s="40">
        <v>2</v>
      </c>
      <c r="N33" s="41">
        <v>2</v>
      </c>
      <c r="O33" s="40">
        <v>6</v>
      </c>
      <c r="P33" s="40">
        <v>5</v>
      </c>
      <c r="Q33" s="41">
        <v>6</v>
      </c>
      <c r="R33" s="40">
        <v>5</v>
      </c>
      <c r="S33" s="40">
        <v>9</v>
      </c>
      <c r="T33" s="40">
        <v>1</v>
      </c>
      <c r="U33" s="40">
        <v>2</v>
      </c>
      <c r="V33" s="40">
        <v>3</v>
      </c>
      <c r="W33" s="40">
        <v>8</v>
      </c>
      <c r="X33" s="40" t="s">
        <v>45</v>
      </c>
      <c r="Y33" s="40" t="s">
        <v>45</v>
      </c>
      <c r="Z33" s="40" t="s">
        <v>45</v>
      </c>
      <c r="AA33" s="40" t="s">
        <v>45</v>
      </c>
      <c r="AB33" s="40" t="s">
        <v>45</v>
      </c>
      <c r="AC33" s="40" t="s">
        <v>45</v>
      </c>
      <c r="AD33" s="40" t="s">
        <v>45</v>
      </c>
      <c r="AE33" s="40" t="s">
        <v>45</v>
      </c>
      <c r="AF33" s="40" t="s">
        <v>45</v>
      </c>
      <c r="AG33" s="40" t="s">
        <v>45</v>
      </c>
      <c r="AH33" s="40" t="s">
        <v>45</v>
      </c>
      <c r="AI33" s="40" t="s">
        <v>45</v>
      </c>
      <c r="AJ33" s="40" t="s">
        <v>45</v>
      </c>
      <c r="AK33" s="40" t="s">
        <v>45</v>
      </c>
      <c r="AL33" s="40" t="s">
        <v>45</v>
      </c>
      <c r="AM33" s="40" t="s">
        <v>45</v>
      </c>
      <c r="AN33" s="40" t="s">
        <v>45</v>
      </c>
      <c r="AO33" s="41" t="s">
        <v>45</v>
      </c>
      <c r="AP33" s="40" t="s">
        <v>48</v>
      </c>
      <c r="AQ33" s="40">
        <v>8</v>
      </c>
      <c r="AR33" s="48" t="s">
        <v>326</v>
      </c>
      <c r="AS33" s="43" t="s">
        <v>661</v>
      </c>
      <c r="AT33" s="43" t="s">
        <v>103</v>
      </c>
      <c r="AU33" s="44">
        <f t="shared" si="0"/>
        <v>-2.0690406309742588</v>
      </c>
      <c r="AV33" s="44">
        <f t="shared" si="1"/>
        <v>0.71079683130611471</v>
      </c>
      <c r="AW33" s="45">
        <f t="shared" si="2"/>
        <v>3</v>
      </c>
      <c r="AX33" s="45">
        <f t="shared" si="3"/>
        <v>2</v>
      </c>
      <c r="AY33" s="46">
        <f>VLOOKUP(AP33,COND!$A$10:$B$32,2,FALSE)</f>
        <v>1.05</v>
      </c>
      <c r="AZ33" s="44">
        <f>($AU$3*AU33+$AV$3*AV33+$AW$3*AW33+$AX$3*AX33)*AY33*IF(AQ33&lt;5,0.95,IF(AQ33&lt;7,0.975,1))+$I$3*VLOOKUP(I33,COND!$A$2:$E$7,4,FALSE)+$J$3*VLOOKUP(J33,COND!$A$2:$E$7,2,FALSE)+$K$3*VLOOKUP(K33,COND!$A$2:$E$7,3,FALSE)+IF(BB33="SP",$BB$3,0)+IF($AW33&lt;3,-5,0)+IF(AND($B$2&gt;0,$E33&lt;20),$B$2*25,0)</f>
        <v>70.69223492492381</v>
      </c>
      <c r="BA33" s="47">
        <f t="shared" si="7"/>
        <v>2.3419745549734898</v>
      </c>
      <c r="BB33" s="45" t="str">
        <f t="shared" si="5"/>
        <v>SP</v>
      </c>
      <c r="BC33" s="45">
        <v>19</v>
      </c>
      <c r="BD33" s="45">
        <v>28</v>
      </c>
      <c r="BE33" s="45"/>
      <c r="BF33" s="45" t="str">
        <f t="shared" si="6"/>
        <v>Possible</v>
      </c>
      <c r="BG33" s="45"/>
      <c r="BH33" s="45">
        <f>INDEX(Table5[[#All],[Ovr]],MATCH(Table3[[#This Row],[PID]],Table5[[#All],[PID]],0))</f>
        <v>90</v>
      </c>
      <c r="BI33" s="45" t="str">
        <f>INDEX(Table5[[#All],[Rnd]],MATCH(Table3[[#This Row],[PID]],Table5[[#All],[PID]],0))</f>
        <v>3</v>
      </c>
      <c r="BJ33" s="45">
        <f>INDEX(Table5[[#All],[Pick]],MATCH(Table3[[#This Row],[PID]],Table5[[#All],[PID]],0))</f>
        <v>18</v>
      </c>
      <c r="BK33" s="45" t="str">
        <f>INDEX(Table5[[#All],[Team]],MATCH(Table3[[#This Row],[PID]],Table5[[#All],[PID]],0))</f>
        <v>Duluth Warriors</v>
      </c>
      <c r="BL33" s="45" t="str">
        <f>IF(OR(Table3[[#This Row],[POS]]="SP",Table3[[#This Row],[POS]]="RP",Table3[[#This Row],[POS]]="CL"),"P",INDEX(Batters[[#All],[zScore]],MATCH(Table3[[#This Row],[PID]],Batters[[#All],[PID]],0)))</f>
        <v>P</v>
      </c>
    </row>
    <row r="34" spans="1:64" ht="15" customHeight="1" x14ac:dyDescent="0.3">
      <c r="A34" s="40">
        <v>10920</v>
      </c>
      <c r="B34" s="40" t="s">
        <v>24</v>
      </c>
      <c r="C34" s="40" t="s">
        <v>127</v>
      </c>
      <c r="D34" s="40" t="s">
        <v>1217</v>
      </c>
      <c r="E34" s="40">
        <v>17</v>
      </c>
      <c r="F34" s="40" t="s">
        <v>42</v>
      </c>
      <c r="G34" s="40" t="s">
        <v>42</v>
      </c>
      <c r="H34" s="41" t="s">
        <v>548</v>
      </c>
      <c r="I34" s="42" t="s">
        <v>43</v>
      </c>
      <c r="J34" s="40" t="s">
        <v>43</v>
      </c>
      <c r="K34" s="41" t="s">
        <v>43</v>
      </c>
      <c r="L34" s="40">
        <v>2</v>
      </c>
      <c r="M34" s="40">
        <v>3</v>
      </c>
      <c r="N34" s="41">
        <v>2</v>
      </c>
      <c r="O34" s="40">
        <v>6</v>
      </c>
      <c r="P34" s="40">
        <v>6</v>
      </c>
      <c r="Q34" s="41">
        <v>6</v>
      </c>
      <c r="R34" s="40">
        <v>4</v>
      </c>
      <c r="S34" s="40">
        <v>5</v>
      </c>
      <c r="T34" s="40">
        <v>1</v>
      </c>
      <c r="U34" s="40">
        <v>6</v>
      </c>
      <c r="V34" s="40" t="s">
        <v>45</v>
      </c>
      <c r="W34" s="40" t="s">
        <v>45</v>
      </c>
      <c r="X34" s="40">
        <v>3</v>
      </c>
      <c r="Y34" s="40">
        <v>9</v>
      </c>
      <c r="Z34" s="40" t="s">
        <v>45</v>
      </c>
      <c r="AA34" s="40" t="s">
        <v>45</v>
      </c>
      <c r="AB34" s="40" t="s">
        <v>45</v>
      </c>
      <c r="AC34" s="40" t="s">
        <v>45</v>
      </c>
      <c r="AD34" s="40" t="s">
        <v>45</v>
      </c>
      <c r="AE34" s="40" t="s">
        <v>45</v>
      </c>
      <c r="AF34" s="40" t="s">
        <v>45</v>
      </c>
      <c r="AG34" s="40" t="s">
        <v>45</v>
      </c>
      <c r="AH34" s="40" t="s">
        <v>45</v>
      </c>
      <c r="AI34" s="40" t="s">
        <v>45</v>
      </c>
      <c r="AJ34" s="40" t="s">
        <v>45</v>
      </c>
      <c r="AK34" s="40" t="s">
        <v>45</v>
      </c>
      <c r="AL34" s="40" t="s">
        <v>45</v>
      </c>
      <c r="AM34" s="40" t="s">
        <v>45</v>
      </c>
      <c r="AN34" s="40" t="s">
        <v>45</v>
      </c>
      <c r="AO34" s="41" t="s">
        <v>45</v>
      </c>
      <c r="AP34" s="40" t="s">
        <v>56</v>
      </c>
      <c r="AQ34" s="40">
        <v>10</v>
      </c>
      <c r="AR34" s="48" t="s">
        <v>325</v>
      </c>
      <c r="AS34" s="43" t="s">
        <v>980</v>
      </c>
      <c r="AT34" s="43" t="s">
        <v>103</v>
      </c>
      <c r="AU34" s="44">
        <f t="shared" si="0"/>
        <v>-1.8736089145442034</v>
      </c>
      <c r="AV34" s="44">
        <f t="shared" si="1"/>
        <v>0.90622854773617023</v>
      </c>
      <c r="AW34" s="45">
        <f t="shared" si="2"/>
        <v>3</v>
      </c>
      <c r="AX34" s="45">
        <f t="shared" si="3"/>
        <v>2</v>
      </c>
      <c r="AY34" s="46">
        <f>VLOOKUP(AP34,COND!$A$10:$B$32,2,FALSE)</f>
        <v>1</v>
      </c>
      <c r="AZ34" s="44">
        <f>($AU$3*AU34+$AV$3*AV34+$AW$3*AW34+$AX$3*AX34)*AY34*IF(AQ34&lt;5,0.95,IF(AQ34&lt;7,0.975,1))+$I$3*VLOOKUP(I34,COND!$A$2:$E$7,4,FALSE)+$J$3*VLOOKUP(J34,COND!$A$2:$E$7,2,FALSE)+$K$3*VLOOKUP(K34,COND!$A$2:$E$7,3,FALSE)+IF(BB34="SP",$BB$3,0)+IF($AW34&lt;3,-5,0)+IF(AND($B$2&gt;0,$E34&lt;20),$B$2*25,0)</f>
        <v>73.74984917181456</v>
      </c>
      <c r="BA34" s="47">
        <f>STANDARDIZE(AZ34,AVERAGE($AZ$5:$AZ$445),STDEVP($AZ$5:$AZ$445))</f>
        <v>2.5636488009135063</v>
      </c>
      <c r="BB34" s="45" t="str">
        <f t="shared" si="5"/>
        <v>SP</v>
      </c>
      <c r="BC34" s="45">
        <v>20</v>
      </c>
      <c r="BD34" s="45">
        <v>29</v>
      </c>
      <c r="BE34" s="45"/>
      <c r="BF34" s="45" t="str">
        <f t="shared" si="6"/>
        <v>Likely</v>
      </c>
      <c r="BG34" s="45"/>
      <c r="BH34" s="63">
        <f>INDEX(Table5[[#All],[Ovr]],MATCH(Table3[[#This Row],[PID]],Table5[[#All],[PID]],0))</f>
        <v>38</v>
      </c>
      <c r="BI34" s="63" t="str">
        <f>INDEX(Table5[[#All],[Rnd]],MATCH(Table3[[#This Row],[PID]],Table5[[#All],[PID]],0))</f>
        <v>2</v>
      </c>
      <c r="BJ34" s="63">
        <f>INDEX(Table5[[#All],[Pick]],MATCH(Table3[[#This Row],[PID]],Table5[[#All],[PID]],0))</f>
        <v>2</v>
      </c>
      <c r="BK34" s="63" t="str">
        <f>INDEX(Table5[[#All],[Team]],MATCH(Table3[[#This Row],[PID]],Table5[[#All],[PID]],0))</f>
        <v>Charleston Statesmen</v>
      </c>
      <c r="BL34" s="63" t="str">
        <f>IF(OR(Table3[[#This Row],[POS]]="SP",Table3[[#This Row],[POS]]="RP",Table3[[#This Row],[POS]]="CL"),"P",INDEX(Batters[[#All],[zScore]],MATCH(Table3[[#This Row],[PID]],Batters[[#All],[PID]],0)))</f>
        <v>P</v>
      </c>
    </row>
    <row r="35" spans="1:64" ht="15" customHeight="1" x14ac:dyDescent="0.3">
      <c r="A35" s="40">
        <v>15995</v>
      </c>
      <c r="B35" s="40" t="s">
        <v>24</v>
      </c>
      <c r="C35" s="40" t="s">
        <v>564</v>
      </c>
      <c r="D35" s="40" t="s">
        <v>1399</v>
      </c>
      <c r="E35" s="40">
        <v>21</v>
      </c>
      <c r="F35" s="40" t="s">
        <v>53</v>
      </c>
      <c r="G35" s="40" t="s">
        <v>53</v>
      </c>
      <c r="H35" s="41" t="s">
        <v>549</v>
      </c>
      <c r="I35" s="42" t="s">
        <v>43</v>
      </c>
      <c r="J35" s="40" t="s">
        <v>43</v>
      </c>
      <c r="K35" s="41" t="s">
        <v>43</v>
      </c>
      <c r="L35" s="40">
        <v>3</v>
      </c>
      <c r="M35" s="40">
        <v>3</v>
      </c>
      <c r="N35" s="41">
        <v>4</v>
      </c>
      <c r="O35" s="40">
        <v>5</v>
      </c>
      <c r="P35" s="40">
        <v>6</v>
      </c>
      <c r="Q35" s="41">
        <v>5</v>
      </c>
      <c r="R35" s="40">
        <v>5</v>
      </c>
      <c r="S35" s="40">
        <v>8</v>
      </c>
      <c r="T35" s="40">
        <v>2</v>
      </c>
      <c r="U35" s="40">
        <v>7</v>
      </c>
      <c r="V35" s="40" t="s">
        <v>45</v>
      </c>
      <c r="W35" s="40" t="s">
        <v>45</v>
      </c>
      <c r="X35" s="40">
        <v>4</v>
      </c>
      <c r="Y35" s="40">
        <v>7</v>
      </c>
      <c r="Z35" s="40" t="s">
        <v>45</v>
      </c>
      <c r="AA35" s="40" t="s">
        <v>45</v>
      </c>
      <c r="AB35" s="40" t="s">
        <v>45</v>
      </c>
      <c r="AC35" s="40" t="s">
        <v>45</v>
      </c>
      <c r="AD35" s="40" t="s">
        <v>45</v>
      </c>
      <c r="AE35" s="40" t="s">
        <v>45</v>
      </c>
      <c r="AF35" s="40" t="s">
        <v>45</v>
      </c>
      <c r="AG35" s="40" t="s">
        <v>45</v>
      </c>
      <c r="AH35" s="40" t="s">
        <v>45</v>
      </c>
      <c r="AI35" s="40" t="s">
        <v>45</v>
      </c>
      <c r="AJ35" s="40" t="s">
        <v>45</v>
      </c>
      <c r="AK35" s="40" t="s">
        <v>45</v>
      </c>
      <c r="AL35" s="40" t="s">
        <v>45</v>
      </c>
      <c r="AM35" s="40" t="s">
        <v>45</v>
      </c>
      <c r="AN35" s="40" t="s">
        <v>45</v>
      </c>
      <c r="AO35" s="41" t="s">
        <v>45</v>
      </c>
      <c r="AP35" s="40" t="s">
        <v>54</v>
      </c>
      <c r="AQ35" s="40">
        <v>7</v>
      </c>
      <c r="AR35" s="48" t="s">
        <v>325</v>
      </c>
      <c r="AS35" s="43" t="s">
        <v>1611</v>
      </c>
      <c r="AT35" s="43" t="s">
        <v>103</v>
      </c>
      <c r="AU35" s="44">
        <f t="shared" si="0"/>
        <v>-1.1942764579268088</v>
      </c>
      <c r="AV35" s="44">
        <f t="shared" si="1"/>
        <v>0.4692166571728863</v>
      </c>
      <c r="AW35" s="45">
        <f t="shared" si="2"/>
        <v>3</v>
      </c>
      <c r="AX35" s="45">
        <f t="shared" si="3"/>
        <v>3</v>
      </c>
      <c r="AY35" s="46">
        <f>VLOOKUP(AP35,COND!$A$10:$B$32,2,FALSE)</f>
        <v>1.0249999999999999</v>
      </c>
      <c r="AZ35" s="44">
        <f>($AU$3*AU35+$AV$3*AV35+$AW$3*AW35+$AX$3*AX35)*AY35*IF(AQ35&lt;5,0.95,IF(AQ35&lt;7,0.975,1))+$I$3*VLOOKUP(I35,COND!$A$2:$E$7,4,FALSE)+$J$3*VLOOKUP(J35,COND!$A$2:$E$7,2,FALSE)+$K$3*VLOOKUP(K35,COND!$A$2:$E$7,3,FALSE)+IF(BB35="SP",$BB$3,0)+IF($AW35&lt;3,-5,0)+IF(AND($B$2&gt;0,$E35&lt;20),$B$2*25,0)</f>
        <v>61.755364798169168</v>
      </c>
      <c r="BA35" s="47">
        <f>STANDARDIZE(AZ35,AVERAGE($AZ$5:$AZ$445),STDEVP($AZ$5:$AZ$445))</f>
        <v>1.7103175914508197</v>
      </c>
      <c r="BB35" s="45" t="str">
        <f t="shared" si="5"/>
        <v>SP</v>
      </c>
      <c r="BC35" s="45">
        <v>21</v>
      </c>
      <c r="BD35" s="45">
        <v>30</v>
      </c>
      <c r="BE35" s="45"/>
      <c r="BF35" s="45" t="str">
        <f t="shared" si="6"/>
        <v>Possible</v>
      </c>
      <c r="BG35" s="45"/>
      <c r="BH35" s="63">
        <f>INDEX(Table5[[#All],[Ovr]],MATCH(Table3[[#This Row],[PID]],Table5[[#All],[PID]],0))</f>
        <v>33</v>
      </c>
      <c r="BI35" s="63" t="str">
        <f>INDEX(Table5[[#All],[Rnd]],MATCH(Table3[[#This Row],[PID]],Table5[[#All],[PID]],0))</f>
        <v>1</v>
      </c>
      <c r="BJ35" s="63">
        <f>INDEX(Table5[[#All],[Pick]],MATCH(Table3[[#This Row],[PID]],Table5[[#All],[PID]],0))</f>
        <v>33</v>
      </c>
      <c r="BK35" s="63" t="str">
        <f>INDEX(Table5[[#All],[Team]],MATCH(Table3[[#This Row],[PID]],Table5[[#All],[PID]],0))</f>
        <v>Kalamazoo Badgers</v>
      </c>
      <c r="BL35" s="63" t="str">
        <f>IF(OR(Table3[[#This Row],[POS]]="SP",Table3[[#This Row],[POS]]="RP",Table3[[#This Row],[POS]]="CL"),"P",INDEX(Batters[[#All],[zScore]],MATCH(Table3[[#This Row],[PID]],Batters[[#All],[PID]],0)))</f>
        <v>P</v>
      </c>
    </row>
    <row r="36" spans="1:64" ht="15" customHeight="1" x14ac:dyDescent="0.3">
      <c r="A36" s="40">
        <v>10290</v>
      </c>
      <c r="B36" s="40" t="s">
        <v>24</v>
      </c>
      <c r="C36" s="40" t="s">
        <v>176</v>
      </c>
      <c r="D36" s="40" t="s">
        <v>1114</v>
      </c>
      <c r="E36" s="40">
        <v>17</v>
      </c>
      <c r="F36" s="40" t="s">
        <v>53</v>
      </c>
      <c r="G36" s="40" t="s">
        <v>53</v>
      </c>
      <c r="H36" s="41" t="s">
        <v>550</v>
      </c>
      <c r="I36" s="42" t="s">
        <v>43</v>
      </c>
      <c r="J36" s="40" t="s">
        <v>43</v>
      </c>
      <c r="K36" s="41" t="s">
        <v>43</v>
      </c>
      <c r="L36" s="40">
        <v>2</v>
      </c>
      <c r="M36" s="40">
        <v>3</v>
      </c>
      <c r="N36" s="41">
        <v>2</v>
      </c>
      <c r="O36" s="40">
        <v>6</v>
      </c>
      <c r="P36" s="40">
        <v>7</v>
      </c>
      <c r="Q36" s="41">
        <v>4</v>
      </c>
      <c r="R36" s="40" t="s">
        <v>45</v>
      </c>
      <c r="S36" s="40" t="s">
        <v>45</v>
      </c>
      <c r="T36" s="40">
        <v>1</v>
      </c>
      <c r="U36" s="40">
        <v>5</v>
      </c>
      <c r="V36" s="40" t="s">
        <v>45</v>
      </c>
      <c r="W36" s="40" t="s">
        <v>45</v>
      </c>
      <c r="X36" s="40">
        <v>3</v>
      </c>
      <c r="Y36" s="40">
        <v>9</v>
      </c>
      <c r="Z36" s="40">
        <v>4</v>
      </c>
      <c r="AA36" s="40">
        <v>7</v>
      </c>
      <c r="AB36" s="40" t="s">
        <v>45</v>
      </c>
      <c r="AC36" s="40" t="s">
        <v>45</v>
      </c>
      <c r="AD36" s="40" t="s">
        <v>45</v>
      </c>
      <c r="AE36" s="40" t="s">
        <v>45</v>
      </c>
      <c r="AF36" s="40" t="s">
        <v>45</v>
      </c>
      <c r="AG36" s="40" t="s">
        <v>45</v>
      </c>
      <c r="AH36" s="40" t="s">
        <v>45</v>
      </c>
      <c r="AI36" s="40" t="s">
        <v>45</v>
      </c>
      <c r="AJ36" s="40" t="s">
        <v>45</v>
      </c>
      <c r="AK36" s="40" t="s">
        <v>45</v>
      </c>
      <c r="AL36" s="40" t="s">
        <v>45</v>
      </c>
      <c r="AM36" s="40" t="s">
        <v>45</v>
      </c>
      <c r="AN36" s="40" t="s">
        <v>45</v>
      </c>
      <c r="AO36" s="41" t="s">
        <v>45</v>
      </c>
      <c r="AP36" s="40" t="s">
        <v>328</v>
      </c>
      <c r="AQ36" s="40">
        <v>3</v>
      </c>
      <c r="AR36" s="48" t="s">
        <v>327</v>
      </c>
      <c r="AS36" s="43" t="s">
        <v>377</v>
      </c>
      <c r="AT36" s="43" t="s">
        <v>103</v>
      </c>
      <c r="AU36" s="44">
        <f t="shared" si="0"/>
        <v>-1.8736089145442034</v>
      </c>
      <c r="AV36" s="44">
        <f t="shared" si="1"/>
        <v>0.61701913205800485</v>
      </c>
      <c r="AW36" s="45">
        <f t="shared" si="2"/>
        <v>3</v>
      </c>
      <c r="AX36" s="45">
        <f t="shared" si="3"/>
        <v>2</v>
      </c>
      <c r="AY36" s="46">
        <f>VLOOKUP(AP36,COND!$A$10:$B$32,2,FALSE)</f>
        <v>1</v>
      </c>
      <c r="AZ36" s="44">
        <f>($AU$3*AU36+$AV$3*AV36+$AW$3*AW36+$AX$3*AX36)*AY36*IF(AQ36&lt;5,0.95,IF(AQ36&lt;7,0.975,1))+$I$3*VLOOKUP(I36,COND!$A$2:$E$7,4,FALSE)+$J$3*VLOOKUP(J36,COND!$A$2:$E$7,2,FALSE)+$K$3*VLOOKUP(K36,COND!$A$2:$E$7,3,FALSE)+IF(BB36="SP",$BB$3,0)+IF($AW36&lt;3,-5,0)+IF(AND($B$2&gt;0,$E36&lt;20),$B$2*25,0)</f>
        <v>65.167377815338696</v>
      </c>
      <c r="BA36" s="47">
        <f>STANDARDIZE(AZ36,AVERAGE($AZ$5:$AZ$428),STDEVP($AZ$5:$AZ$428))</f>
        <v>1.9485658731527702</v>
      </c>
      <c r="BB36" s="45" t="str">
        <f t="shared" si="5"/>
        <v>RP</v>
      </c>
      <c r="BC36" s="45">
        <v>11</v>
      </c>
      <c r="BD36" s="45">
        <v>31</v>
      </c>
      <c r="BE36" s="45"/>
      <c r="BF36" s="45" t="str">
        <f t="shared" si="6"/>
        <v>Possible</v>
      </c>
      <c r="BG36" s="45"/>
      <c r="BH36" s="45">
        <f>INDEX(Table5[[#All],[Ovr]],MATCH(Table3[[#This Row],[PID]],Table5[[#All],[PID]],0))</f>
        <v>72</v>
      </c>
      <c r="BI36" s="45" t="str">
        <f>INDEX(Table5[[#All],[Rnd]],MATCH(Table3[[#This Row],[PID]],Table5[[#All],[PID]],0))</f>
        <v>2</v>
      </c>
      <c r="BJ36" s="45">
        <f>INDEX(Table5[[#All],[Pick]],MATCH(Table3[[#This Row],[PID]],Table5[[#All],[PID]],0))</f>
        <v>36</v>
      </c>
      <c r="BK36" s="45" t="str">
        <f>INDEX(Table5[[#All],[Team]],MATCH(Table3[[#This Row],[PID]],Table5[[#All],[PID]],0))</f>
        <v>Kentucky Thoroughbreds</v>
      </c>
      <c r="BL36" s="45" t="str">
        <f>IF(OR(Table3[[#This Row],[POS]]="SP",Table3[[#This Row],[POS]]="RP",Table3[[#This Row],[POS]]="CL"),"P",INDEX(Batters[[#All],[zScore]],MATCH(Table3[[#This Row],[PID]],Batters[[#All],[PID]],0)))</f>
        <v>P</v>
      </c>
    </row>
    <row r="37" spans="1:64" ht="15" customHeight="1" x14ac:dyDescent="0.3">
      <c r="A37" s="40">
        <v>21011</v>
      </c>
      <c r="B37" s="40" t="s">
        <v>380</v>
      </c>
      <c r="C37" s="40" t="s">
        <v>167</v>
      </c>
      <c r="D37" s="40" t="s">
        <v>604</v>
      </c>
      <c r="E37" s="40">
        <v>17</v>
      </c>
      <c r="F37" s="40" t="s">
        <v>42</v>
      </c>
      <c r="G37" s="40" t="s">
        <v>42</v>
      </c>
      <c r="H37" s="41" t="s">
        <v>550</v>
      </c>
      <c r="I37" s="42" t="s">
        <v>44</v>
      </c>
      <c r="J37" s="40" t="s">
        <v>44</v>
      </c>
      <c r="K37" s="41" t="s">
        <v>43</v>
      </c>
      <c r="L37" s="40">
        <v>4</v>
      </c>
      <c r="M37" s="40">
        <v>2</v>
      </c>
      <c r="N37" s="41">
        <v>1</v>
      </c>
      <c r="O37" s="40">
        <v>7</v>
      </c>
      <c r="P37" s="40">
        <v>4</v>
      </c>
      <c r="Q37" s="41">
        <v>4</v>
      </c>
      <c r="R37" s="40">
        <v>5</v>
      </c>
      <c r="S37" s="40">
        <v>9</v>
      </c>
      <c r="T37" s="40">
        <v>1</v>
      </c>
      <c r="U37" s="40">
        <v>1</v>
      </c>
      <c r="V37" s="40" t="s">
        <v>45</v>
      </c>
      <c r="W37" s="40" t="s">
        <v>45</v>
      </c>
      <c r="X37" s="40" t="s">
        <v>45</v>
      </c>
      <c r="Y37" s="40" t="s">
        <v>45</v>
      </c>
      <c r="Z37" s="40">
        <v>4</v>
      </c>
      <c r="AA37" s="40">
        <v>6</v>
      </c>
      <c r="AB37" s="40" t="s">
        <v>45</v>
      </c>
      <c r="AC37" s="40" t="s">
        <v>45</v>
      </c>
      <c r="AD37" s="40" t="s">
        <v>45</v>
      </c>
      <c r="AE37" s="40" t="s">
        <v>45</v>
      </c>
      <c r="AF37" s="40" t="s">
        <v>45</v>
      </c>
      <c r="AG37" s="40" t="s">
        <v>45</v>
      </c>
      <c r="AH37" s="40" t="s">
        <v>45</v>
      </c>
      <c r="AI37" s="40" t="s">
        <v>45</v>
      </c>
      <c r="AJ37" s="40" t="s">
        <v>45</v>
      </c>
      <c r="AK37" s="40" t="s">
        <v>45</v>
      </c>
      <c r="AL37" s="40" t="s">
        <v>45</v>
      </c>
      <c r="AM37" s="40" t="s">
        <v>45</v>
      </c>
      <c r="AN37" s="40" t="s">
        <v>45</v>
      </c>
      <c r="AO37" s="41" t="s">
        <v>45</v>
      </c>
      <c r="AP37" s="40" t="s">
        <v>48</v>
      </c>
      <c r="AQ37" s="40">
        <v>4</v>
      </c>
      <c r="AR37" s="48" t="s">
        <v>326</v>
      </c>
      <c r="AS37" s="43" t="s">
        <v>558</v>
      </c>
      <c r="AT37" s="43" t="s">
        <v>103</v>
      </c>
      <c r="AU37" s="44">
        <f t="shared" si="0"/>
        <v>-1.9219785480100218</v>
      </c>
      <c r="AV37" s="44">
        <f t="shared" si="1"/>
        <v>0.22541530727701206</v>
      </c>
      <c r="AW37" s="45">
        <f t="shared" si="2"/>
        <v>3</v>
      </c>
      <c r="AX37" s="45">
        <f t="shared" si="3"/>
        <v>2</v>
      </c>
      <c r="AY37" s="46">
        <f>VLOOKUP(AP37,COND!$A$10:$B$32,2,FALSE)</f>
        <v>1.05</v>
      </c>
      <c r="AZ37" s="44">
        <f>($AU$3*AU37+$AV$3*AV37+$AW$3*AW37+$AX$3*AX37)*AY37*IF(AQ37&lt;5,0.95,IF(AQ37&lt;7,0.975,1))+$I$3*VLOOKUP(I37,COND!$A$2:$E$7,4,FALSE)+$J$3*VLOOKUP(J37,COND!$A$2:$E$7,2,FALSE)+$K$3*VLOOKUP(K37,COND!$A$2:$E$7,3,FALSE)+IF(BB37="SP",$BB$3,0)+IF($AW37&lt;3,-5,0)+IF(AND($B$2&gt;0,$E37&lt;20),$B$2*25,0)</f>
        <v>57.653600659848394</v>
      </c>
      <c r="BA37" s="47">
        <f>STANDARDIZE(AZ37,AVERAGE($AZ$5:$AZ$428),STDEVP($AZ$5:$AZ$428))</f>
        <v>1.4135320962415598</v>
      </c>
      <c r="BB37" s="45" t="str">
        <f t="shared" si="5"/>
        <v>RP</v>
      </c>
      <c r="BC37" s="45">
        <v>12</v>
      </c>
      <c r="BD37" s="45">
        <v>32</v>
      </c>
      <c r="BE37" s="45"/>
      <c r="BF37" s="45" t="str">
        <f t="shared" si="6"/>
        <v>Possible</v>
      </c>
      <c r="BG37" s="45"/>
      <c r="BH37" s="45">
        <f>INDEX(Table5[[#All],[Ovr]],MATCH(Table3[[#This Row],[PID]],Table5[[#All],[PID]],0))</f>
        <v>159</v>
      </c>
      <c r="BI37" s="45" t="str">
        <f>INDEX(Table5[[#All],[Rnd]],MATCH(Table3[[#This Row],[PID]],Table5[[#All],[PID]],0))</f>
        <v>5</v>
      </c>
      <c r="BJ37" s="45">
        <f>INDEX(Table5[[#All],[Pick]],MATCH(Table3[[#This Row],[PID]],Table5[[#All],[PID]],0))</f>
        <v>22</v>
      </c>
      <c r="BK37" s="45" t="str">
        <f>INDEX(Table5[[#All],[Team]],MATCH(Table3[[#This Row],[PID]],Table5[[#All],[PID]],0))</f>
        <v>Bakersfield Bears</v>
      </c>
      <c r="BL37" s="45" t="str">
        <f>IF(OR(Table3[[#This Row],[POS]]="SP",Table3[[#This Row],[POS]]="RP",Table3[[#This Row],[POS]]="CL"),"P",INDEX(Batters[[#All],[zScore]],MATCH(Table3[[#This Row],[PID]],Batters[[#All],[PID]],0)))</f>
        <v>P</v>
      </c>
    </row>
    <row r="38" spans="1:64" ht="15" customHeight="1" x14ac:dyDescent="0.3">
      <c r="A38" s="40">
        <v>21008</v>
      </c>
      <c r="B38" s="40" t="s">
        <v>49</v>
      </c>
      <c r="C38" s="40" t="s">
        <v>519</v>
      </c>
      <c r="D38" s="40" t="s">
        <v>1535</v>
      </c>
      <c r="E38" s="40">
        <v>18</v>
      </c>
      <c r="F38" s="40" t="s">
        <v>62</v>
      </c>
      <c r="G38" s="40" t="s">
        <v>53</v>
      </c>
      <c r="H38" s="41" t="s">
        <v>549</v>
      </c>
      <c r="I38" s="42" t="s">
        <v>43</v>
      </c>
      <c r="J38" s="40" t="s">
        <v>47</v>
      </c>
      <c r="K38" s="41" t="s">
        <v>43</v>
      </c>
      <c r="L38" s="40">
        <v>2</v>
      </c>
      <c r="M38" s="40">
        <v>3</v>
      </c>
      <c r="N38" s="41">
        <v>2</v>
      </c>
      <c r="O38" s="40">
        <v>5</v>
      </c>
      <c r="P38" s="40">
        <v>6</v>
      </c>
      <c r="Q38" s="41">
        <v>6</v>
      </c>
      <c r="R38" s="40">
        <v>3</v>
      </c>
      <c r="S38" s="40">
        <v>5</v>
      </c>
      <c r="T38" s="40">
        <v>1</v>
      </c>
      <c r="U38" s="40">
        <v>1</v>
      </c>
      <c r="V38" s="40" t="s">
        <v>45</v>
      </c>
      <c r="W38" s="40" t="s">
        <v>45</v>
      </c>
      <c r="X38" s="40">
        <v>2</v>
      </c>
      <c r="Y38" s="40">
        <v>7</v>
      </c>
      <c r="Z38" s="40" t="s">
        <v>45</v>
      </c>
      <c r="AA38" s="40" t="s">
        <v>45</v>
      </c>
      <c r="AB38" s="40" t="s">
        <v>45</v>
      </c>
      <c r="AC38" s="40" t="s">
        <v>45</v>
      </c>
      <c r="AD38" s="40" t="s">
        <v>45</v>
      </c>
      <c r="AE38" s="40" t="s">
        <v>45</v>
      </c>
      <c r="AF38" s="40" t="s">
        <v>45</v>
      </c>
      <c r="AG38" s="40" t="s">
        <v>45</v>
      </c>
      <c r="AH38" s="40" t="s">
        <v>45</v>
      </c>
      <c r="AI38" s="40" t="s">
        <v>45</v>
      </c>
      <c r="AJ38" s="40" t="s">
        <v>45</v>
      </c>
      <c r="AK38" s="40" t="s">
        <v>45</v>
      </c>
      <c r="AL38" s="40" t="s">
        <v>45</v>
      </c>
      <c r="AM38" s="40" t="s">
        <v>45</v>
      </c>
      <c r="AN38" s="40" t="s">
        <v>45</v>
      </c>
      <c r="AO38" s="41" t="s">
        <v>45</v>
      </c>
      <c r="AP38" s="40" t="s">
        <v>329</v>
      </c>
      <c r="AQ38" s="40">
        <v>2</v>
      </c>
      <c r="AR38" s="48" t="s">
        <v>326</v>
      </c>
      <c r="AS38" s="43" t="s">
        <v>558</v>
      </c>
      <c r="AT38" s="43" t="s">
        <v>103</v>
      </c>
      <c r="AU38" s="44">
        <f t="shared" si="0"/>
        <v>-1.8736089145442034</v>
      </c>
      <c r="AV38" s="44">
        <f t="shared" si="1"/>
        <v>0.71153722322699664</v>
      </c>
      <c r="AW38" s="45">
        <f t="shared" si="2"/>
        <v>3</v>
      </c>
      <c r="AX38" s="45">
        <f t="shared" si="3"/>
        <v>1</v>
      </c>
      <c r="AY38" s="46">
        <f>VLOOKUP(AP38,COND!$A$10:$B$32,2,FALSE)</f>
        <v>1</v>
      </c>
      <c r="AZ38" s="44">
        <f>($AU$3*AU38+$AV$3*AV38+$AW$3*AW38+$AX$3*AX38)*AY38*IF(AQ38&lt;5,0.95,IF(AQ38&lt;7,0.975,1))+$I$3*VLOOKUP(I38,COND!$A$2:$E$7,4,FALSE)+$J$3*VLOOKUP(J38,COND!$A$2:$E$7,2,FALSE)+$K$3*VLOOKUP(K38,COND!$A$2:$E$7,3,FALSE)+IF(BB38="SP",$BB$3,0)+IF($AW38&lt;3,-5,0)+IF(AND($B$2&gt;0,$E38&lt;20),$B$2*25,0)</f>
        <v>66.075721547549534</v>
      </c>
      <c r="BA38" s="47">
        <f>STANDARDIZE(AZ38,AVERAGE($AZ$5:$AZ$428),STDEVP($AZ$5:$AZ$428))</f>
        <v>2.0132463351522687</v>
      </c>
      <c r="BB38" s="45" t="str">
        <f t="shared" si="5"/>
        <v>RP</v>
      </c>
      <c r="BC38" s="45">
        <v>13</v>
      </c>
      <c r="BD38" s="45">
        <v>33</v>
      </c>
      <c r="BE38" s="45"/>
      <c r="BF38" s="45" t="str">
        <f t="shared" si="6"/>
        <v>Possible</v>
      </c>
      <c r="BG38" s="45"/>
      <c r="BH38" s="45">
        <f>INDEX(Table5[[#All],[Ovr]],MATCH(Table3[[#This Row],[PID]],Table5[[#All],[PID]],0))</f>
        <v>140</v>
      </c>
      <c r="BI38" s="45" t="str">
        <f>INDEX(Table5[[#All],[Rnd]],MATCH(Table3[[#This Row],[PID]],Table5[[#All],[PID]],0))</f>
        <v>5</v>
      </c>
      <c r="BJ38" s="45">
        <f>INDEX(Table5[[#All],[Pick]],MATCH(Table3[[#This Row],[PID]],Table5[[#All],[PID]],0))</f>
        <v>3</v>
      </c>
      <c r="BK38" s="45" t="str">
        <f>INDEX(Table5[[#All],[Team]],MATCH(Table3[[#This Row],[PID]],Table5[[#All],[PID]],0))</f>
        <v>West Virginia Alleghenies</v>
      </c>
      <c r="BL38" s="45" t="str">
        <f>IF(OR(Table3[[#This Row],[POS]]="SP",Table3[[#This Row],[POS]]="RP",Table3[[#This Row],[POS]]="CL"),"P",INDEX(Batters[[#All],[zScore]],MATCH(Table3[[#This Row],[PID]],Batters[[#All],[PID]],0)))</f>
        <v>P</v>
      </c>
    </row>
    <row r="39" spans="1:64" ht="15" customHeight="1" x14ac:dyDescent="0.3">
      <c r="A39" s="40">
        <v>13736</v>
      </c>
      <c r="B39" s="40" t="s">
        <v>24</v>
      </c>
      <c r="C39" s="40" t="s">
        <v>283</v>
      </c>
      <c r="D39" s="40" t="s">
        <v>1431</v>
      </c>
      <c r="E39" s="40">
        <v>21</v>
      </c>
      <c r="F39" s="40" t="s">
        <v>53</v>
      </c>
      <c r="G39" s="40" t="s">
        <v>42</v>
      </c>
      <c r="H39" s="41" t="s">
        <v>550</v>
      </c>
      <c r="I39" s="42" t="s">
        <v>43</v>
      </c>
      <c r="J39" s="40" t="s">
        <v>44</v>
      </c>
      <c r="K39" s="41" t="s">
        <v>43</v>
      </c>
      <c r="L39" s="40">
        <v>2</v>
      </c>
      <c r="M39" s="40">
        <v>3</v>
      </c>
      <c r="N39" s="41">
        <v>1</v>
      </c>
      <c r="O39" s="40">
        <v>5</v>
      </c>
      <c r="P39" s="40">
        <v>6</v>
      </c>
      <c r="Q39" s="41">
        <v>4</v>
      </c>
      <c r="R39" s="40">
        <v>4</v>
      </c>
      <c r="S39" s="40">
        <v>6</v>
      </c>
      <c r="T39" s="40" t="s">
        <v>45</v>
      </c>
      <c r="U39" s="40" t="s">
        <v>45</v>
      </c>
      <c r="V39" s="40">
        <v>2</v>
      </c>
      <c r="W39" s="40">
        <v>7</v>
      </c>
      <c r="X39" s="40">
        <v>2</v>
      </c>
      <c r="Y39" s="40">
        <v>7</v>
      </c>
      <c r="Z39" s="40" t="s">
        <v>45</v>
      </c>
      <c r="AA39" s="40" t="s">
        <v>45</v>
      </c>
      <c r="AB39" s="40" t="s">
        <v>45</v>
      </c>
      <c r="AC39" s="40" t="s">
        <v>45</v>
      </c>
      <c r="AD39" s="40" t="s">
        <v>45</v>
      </c>
      <c r="AE39" s="40" t="s">
        <v>45</v>
      </c>
      <c r="AF39" s="40" t="s">
        <v>45</v>
      </c>
      <c r="AG39" s="40" t="s">
        <v>45</v>
      </c>
      <c r="AH39" s="40" t="s">
        <v>45</v>
      </c>
      <c r="AI39" s="40" t="s">
        <v>45</v>
      </c>
      <c r="AJ39" s="40" t="s">
        <v>45</v>
      </c>
      <c r="AK39" s="40" t="s">
        <v>45</v>
      </c>
      <c r="AL39" s="40" t="s">
        <v>45</v>
      </c>
      <c r="AM39" s="40" t="s">
        <v>45</v>
      </c>
      <c r="AN39" s="40" t="s">
        <v>45</v>
      </c>
      <c r="AO39" s="41" t="s">
        <v>45</v>
      </c>
      <c r="AP39" s="40" t="s">
        <v>57</v>
      </c>
      <c r="AQ39" s="40">
        <v>8</v>
      </c>
      <c r="AR39" s="48" t="s">
        <v>325</v>
      </c>
      <c r="AS39" s="43" t="s">
        <v>384</v>
      </c>
      <c r="AT39" s="43" t="s">
        <v>103</v>
      </c>
      <c r="AU39" s="44">
        <f t="shared" si="0"/>
        <v>-2.1159294805983135</v>
      </c>
      <c r="AV39" s="44">
        <f t="shared" si="1"/>
        <v>0.22689609111877593</v>
      </c>
      <c r="AW39" s="45">
        <f t="shared" si="2"/>
        <v>3</v>
      </c>
      <c r="AX39" s="45">
        <f t="shared" si="3"/>
        <v>3</v>
      </c>
      <c r="AY39" s="46">
        <f>VLOOKUP(AP39,COND!$A$10:$B$32,2,FALSE)</f>
        <v>1</v>
      </c>
      <c r="AZ39" s="44">
        <f>($AU$3*AU39+$AV$3*AV39+$AW$3*AW39+$AX$3*AX39)*AY39*IF(AQ39&lt;5,0.95,IF(AQ39&lt;7,0.975,1))+$I$3*VLOOKUP(I39,COND!$A$2:$E$7,4,FALSE)+$J$3*VLOOKUP(J39,COND!$A$2:$E$7,2,FALSE)+$K$3*VLOOKUP(K39,COND!$A$2:$E$7,3,FALSE)+IF(BB39="SP",$BB$3,0)+IF($AW39&lt;3,-5,0)+IF(AND($B$2&gt;0,$E39&lt;20),$B$2*25,0)</f>
        <v>56.06473592625585</v>
      </c>
      <c r="BA39" s="47">
        <f>STANDARDIZE(AZ39,AVERAGE($AZ$5:$AZ$428),STDEVP($AZ$5:$AZ$428))</f>
        <v>1.300393752925924</v>
      </c>
      <c r="BB39" s="45" t="str">
        <f t="shared" si="5"/>
        <v>SP</v>
      </c>
      <c r="BC39" s="45">
        <v>22</v>
      </c>
      <c r="BD39" s="45">
        <v>34</v>
      </c>
      <c r="BE39" s="45"/>
      <c r="BF39" s="45" t="str">
        <f t="shared" si="6"/>
        <v>Possible</v>
      </c>
      <c r="BG39" s="45"/>
      <c r="BH39" s="45">
        <f>INDEX(Table5[[#All],[Ovr]],MATCH(Table3[[#This Row],[PID]],Table5[[#All],[PID]],0))</f>
        <v>151</v>
      </c>
      <c r="BI39" s="45" t="str">
        <f>INDEX(Table5[[#All],[Rnd]],MATCH(Table3[[#This Row],[PID]],Table5[[#All],[PID]],0))</f>
        <v>5</v>
      </c>
      <c r="BJ39" s="45">
        <f>INDEX(Table5[[#All],[Pick]],MATCH(Table3[[#This Row],[PID]],Table5[[#All],[PID]],0))</f>
        <v>14</v>
      </c>
      <c r="BK39" s="45" t="str">
        <f>INDEX(Table5[[#All],[Team]],MATCH(Table3[[#This Row],[PID]],Table5[[#All],[PID]],0))</f>
        <v>San Antonio Calzones of Laredo</v>
      </c>
      <c r="BL39" s="45" t="str">
        <f>IF(OR(Table3[[#This Row],[POS]]="SP",Table3[[#This Row],[POS]]="RP",Table3[[#This Row],[POS]]="CL"),"P",INDEX(Batters[[#All],[zScore]],MATCH(Table3[[#This Row],[PID]],Batters[[#All],[PID]],0)))</f>
        <v>P</v>
      </c>
    </row>
    <row r="40" spans="1:64" ht="15" customHeight="1" x14ac:dyDescent="0.3">
      <c r="A40" s="40">
        <v>9371</v>
      </c>
      <c r="B40" s="40" t="s">
        <v>24</v>
      </c>
      <c r="C40" s="40" t="s">
        <v>320</v>
      </c>
      <c r="D40" s="40" t="s">
        <v>1132</v>
      </c>
      <c r="E40" s="40">
        <v>17</v>
      </c>
      <c r="F40" s="40" t="s">
        <v>42</v>
      </c>
      <c r="G40" s="40" t="s">
        <v>42</v>
      </c>
      <c r="H40" s="41" t="s">
        <v>549</v>
      </c>
      <c r="I40" s="42" t="s">
        <v>43</v>
      </c>
      <c r="J40" s="40" t="s">
        <v>43</v>
      </c>
      <c r="K40" s="41" t="s">
        <v>43</v>
      </c>
      <c r="L40" s="40">
        <v>2</v>
      </c>
      <c r="M40" s="40">
        <v>2</v>
      </c>
      <c r="N40" s="41">
        <v>2</v>
      </c>
      <c r="O40" s="40">
        <v>5</v>
      </c>
      <c r="P40" s="40">
        <v>4</v>
      </c>
      <c r="Q40" s="41">
        <v>6</v>
      </c>
      <c r="R40" s="40">
        <v>5</v>
      </c>
      <c r="S40" s="40">
        <v>8</v>
      </c>
      <c r="T40" s="40">
        <v>1</v>
      </c>
      <c r="U40" s="40">
        <v>3</v>
      </c>
      <c r="V40" s="40">
        <v>3</v>
      </c>
      <c r="W40" s="40">
        <v>8</v>
      </c>
      <c r="X40" s="40" t="s">
        <v>45</v>
      </c>
      <c r="Y40" s="40" t="s">
        <v>45</v>
      </c>
      <c r="Z40" s="40" t="s">
        <v>45</v>
      </c>
      <c r="AA40" s="40" t="s">
        <v>45</v>
      </c>
      <c r="AB40" s="40" t="s">
        <v>45</v>
      </c>
      <c r="AC40" s="40" t="s">
        <v>45</v>
      </c>
      <c r="AD40" s="40" t="s">
        <v>45</v>
      </c>
      <c r="AE40" s="40" t="s">
        <v>45</v>
      </c>
      <c r="AF40" s="40" t="s">
        <v>45</v>
      </c>
      <c r="AG40" s="40" t="s">
        <v>45</v>
      </c>
      <c r="AH40" s="40" t="s">
        <v>45</v>
      </c>
      <c r="AI40" s="40" t="s">
        <v>45</v>
      </c>
      <c r="AJ40" s="40" t="s">
        <v>45</v>
      </c>
      <c r="AK40" s="40" t="s">
        <v>45</v>
      </c>
      <c r="AL40" s="40" t="s">
        <v>45</v>
      </c>
      <c r="AM40" s="40" t="s">
        <v>45</v>
      </c>
      <c r="AN40" s="40" t="s">
        <v>45</v>
      </c>
      <c r="AO40" s="41" t="s">
        <v>45</v>
      </c>
      <c r="AP40" s="40" t="s">
        <v>48</v>
      </c>
      <c r="AQ40" s="40">
        <v>8</v>
      </c>
      <c r="AR40" s="48" t="s">
        <v>326</v>
      </c>
      <c r="AS40" s="43" t="s">
        <v>528</v>
      </c>
      <c r="AT40" s="43" t="s">
        <v>103</v>
      </c>
      <c r="AU40" s="44">
        <f t="shared" si="0"/>
        <v>-2.0690406309742588</v>
      </c>
      <c r="AV40" s="44">
        <f t="shared" si="1"/>
        <v>0.32067379036688581</v>
      </c>
      <c r="AW40" s="45">
        <f t="shared" si="2"/>
        <v>3</v>
      </c>
      <c r="AX40" s="45">
        <f t="shared" si="3"/>
        <v>2</v>
      </c>
      <c r="AY40" s="46">
        <f>VLOOKUP(AP40,COND!$A$10:$B$32,2,FALSE)</f>
        <v>1.05</v>
      </c>
      <c r="AZ40" s="44">
        <f>($AU$3*AU40+$AV$3*AV40+$AW$3*AW40+$AX$3*AX40)*AY40*IF(AQ40&lt;5,0.95,IF(AQ40&lt;7,0.975,1))+$I$3*VLOOKUP(I40,COND!$A$2:$E$7,4,FALSE)+$J$3*VLOOKUP(J40,COND!$A$2:$E$7,2,FALSE)+$K$3*VLOOKUP(K40,COND!$A$2:$E$7,3,FALSE)+IF(BB40="SP",$BB$3,0)+IF($AW40&lt;3,-5,0)+IF(AND($B$2&gt;0,$E40&lt;20),$B$2*25,0)</f>
        <v>62.499651065200013</v>
      </c>
      <c r="BA40" s="47">
        <f>STANDARDIZE(AZ40,AVERAGE($AZ$5:$AZ$445),STDEVP($AZ$5:$AZ$445))</f>
        <v>1.7632688214201053</v>
      </c>
      <c r="BB40" s="45" t="str">
        <f t="shared" si="5"/>
        <v>SP</v>
      </c>
      <c r="BC40" s="45">
        <v>23</v>
      </c>
      <c r="BD40" s="45">
        <v>35</v>
      </c>
      <c r="BE40" s="45"/>
      <c r="BF40" s="45" t="str">
        <f t="shared" si="6"/>
        <v>Possible</v>
      </c>
      <c r="BG40" s="45"/>
      <c r="BH40" s="63">
        <f>INDEX(Table5[[#All],[Ovr]],MATCH(Table3[[#This Row],[PID]],Table5[[#All],[PID]],0))</f>
        <v>59</v>
      </c>
      <c r="BI40" s="63" t="str">
        <f>INDEX(Table5[[#All],[Rnd]],MATCH(Table3[[#This Row],[PID]],Table5[[#All],[PID]],0))</f>
        <v>2</v>
      </c>
      <c r="BJ40" s="63">
        <f>INDEX(Table5[[#All],[Pick]],MATCH(Table3[[#This Row],[PID]],Table5[[#All],[PID]],0))</f>
        <v>23</v>
      </c>
      <c r="BK40" s="63" t="str">
        <f>INDEX(Table5[[#All],[Team]],MATCH(Table3[[#This Row],[PID]],Table5[[#All],[PID]],0))</f>
        <v>Aurora Borealis</v>
      </c>
      <c r="BL40" s="63" t="str">
        <f>IF(OR(Table3[[#This Row],[POS]]="SP",Table3[[#This Row],[POS]]="RP",Table3[[#This Row],[POS]]="CL"),"P",INDEX(Batters[[#All],[zScore]],MATCH(Table3[[#This Row],[PID]],Batters[[#All],[PID]],0)))</f>
        <v>P</v>
      </c>
    </row>
    <row r="41" spans="1:64" ht="15" customHeight="1" x14ac:dyDescent="0.3">
      <c r="A41" s="40">
        <v>9094</v>
      </c>
      <c r="B41" s="40" t="s">
        <v>24</v>
      </c>
      <c r="C41" s="40" t="s">
        <v>175</v>
      </c>
      <c r="D41" s="40" t="s">
        <v>937</v>
      </c>
      <c r="E41" s="40">
        <v>18</v>
      </c>
      <c r="F41" s="40" t="s">
        <v>53</v>
      </c>
      <c r="G41" s="40" t="s">
        <v>53</v>
      </c>
      <c r="H41" s="41" t="s">
        <v>549</v>
      </c>
      <c r="I41" s="42" t="s">
        <v>43</v>
      </c>
      <c r="J41" s="40" t="s">
        <v>43</v>
      </c>
      <c r="K41" s="41" t="s">
        <v>43</v>
      </c>
      <c r="L41" s="40">
        <v>1</v>
      </c>
      <c r="M41" s="40">
        <v>3</v>
      </c>
      <c r="N41" s="41">
        <v>1</v>
      </c>
      <c r="O41" s="40">
        <v>5</v>
      </c>
      <c r="P41" s="40">
        <v>7</v>
      </c>
      <c r="Q41" s="41">
        <v>7</v>
      </c>
      <c r="R41" s="40">
        <v>3</v>
      </c>
      <c r="S41" s="40">
        <v>5</v>
      </c>
      <c r="T41" s="40" t="s">
        <v>45</v>
      </c>
      <c r="U41" s="40" t="s">
        <v>45</v>
      </c>
      <c r="V41" s="40">
        <v>1</v>
      </c>
      <c r="W41" s="40">
        <v>7</v>
      </c>
      <c r="X41" s="40">
        <v>2</v>
      </c>
      <c r="Y41" s="40">
        <v>6</v>
      </c>
      <c r="Z41" s="40" t="s">
        <v>45</v>
      </c>
      <c r="AA41" s="40" t="s">
        <v>45</v>
      </c>
      <c r="AB41" s="40">
        <v>3</v>
      </c>
      <c r="AC41" s="40">
        <v>6</v>
      </c>
      <c r="AD41" s="40" t="s">
        <v>45</v>
      </c>
      <c r="AE41" s="40" t="s">
        <v>45</v>
      </c>
      <c r="AF41" s="40" t="s">
        <v>45</v>
      </c>
      <c r="AG41" s="40" t="s">
        <v>45</v>
      </c>
      <c r="AH41" s="40" t="s">
        <v>45</v>
      </c>
      <c r="AI41" s="40" t="s">
        <v>45</v>
      </c>
      <c r="AJ41" s="40" t="s">
        <v>45</v>
      </c>
      <c r="AK41" s="40" t="s">
        <v>45</v>
      </c>
      <c r="AL41" s="40" t="s">
        <v>45</v>
      </c>
      <c r="AM41" s="40" t="s">
        <v>45</v>
      </c>
      <c r="AN41" s="40" t="s">
        <v>45</v>
      </c>
      <c r="AO41" s="41" t="s">
        <v>45</v>
      </c>
      <c r="AP41" s="40" t="s">
        <v>64</v>
      </c>
      <c r="AQ41" s="40">
        <v>6</v>
      </c>
      <c r="AR41" s="48" t="s">
        <v>325</v>
      </c>
      <c r="AS41" s="43" t="s">
        <v>383</v>
      </c>
      <c r="AT41" s="43" t="s">
        <v>103</v>
      </c>
      <c r="AU41" s="44">
        <f t="shared" si="0"/>
        <v>-2.310620805107487</v>
      </c>
      <c r="AV41" s="44">
        <f t="shared" si="1"/>
        <v>1.1492895057111625</v>
      </c>
      <c r="AW41" s="45">
        <f t="shared" si="2"/>
        <v>4</v>
      </c>
      <c r="AX41" s="45">
        <f t="shared" si="3"/>
        <v>3</v>
      </c>
      <c r="AY41" s="46">
        <f>VLOOKUP(AP41,COND!$A$10:$B$32,2,FALSE)</f>
        <v>1</v>
      </c>
      <c r="AZ41" s="44">
        <f>($AU$3*AU41+$AV$3*AV41+$AW$3*AW41+$AX$3*AX41)*AY41*IF(AQ41&lt;5,0.95,IF(AQ41&lt;7,0.975,1))+$I$3*VLOOKUP(I41,COND!$A$2:$E$7,4,FALSE)+$J$3*VLOOKUP(J41,COND!$A$2:$E$7,2,FALSE)+$K$3*VLOOKUP(K41,COND!$A$2:$E$7,3,FALSE)+IF(BB41="SP",$BB$3,0)+IF($AW41&lt;3,-5,0)+IF(AND($B$2&gt;0,$E41&lt;20),$B$2*25,0)</f>
        <v>79.566824304371707</v>
      </c>
      <c r="BA41" s="47">
        <f t="shared" ref="BA41:BA54" si="8">STANDARDIZE(AZ41,AVERAGE($AZ$5:$AZ$428),STDEVP($AZ$5:$AZ$428))</f>
        <v>2.9739077326499959</v>
      </c>
      <c r="BB41" s="45" t="str">
        <f t="shared" si="5"/>
        <v>SP</v>
      </c>
      <c r="BC41" s="45">
        <v>24</v>
      </c>
      <c r="BD41" s="45">
        <v>36</v>
      </c>
      <c r="BE41" s="45"/>
      <c r="BF41" s="45" t="str">
        <f t="shared" si="6"/>
        <v>Likely</v>
      </c>
      <c r="BG41" s="45"/>
      <c r="BH41" s="45">
        <f>INDEX(Table5[[#All],[Ovr]],MATCH(Table3[[#This Row],[PID]],Table5[[#All],[PID]],0))</f>
        <v>69</v>
      </c>
      <c r="BI41" s="45" t="str">
        <f>INDEX(Table5[[#All],[Rnd]],MATCH(Table3[[#This Row],[PID]],Table5[[#All],[PID]],0))</f>
        <v>2</v>
      </c>
      <c r="BJ41" s="45">
        <f>INDEX(Table5[[#All],[Pick]],MATCH(Table3[[#This Row],[PID]],Table5[[#All],[PID]],0))</f>
        <v>33</v>
      </c>
      <c r="BK41" s="45" t="str">
        <f>INDEX(Table5[[#All],[Team]],MATCH(Table3[[#This Row],[PID]],Table5[[#All],[PID]],0))</f>
        <v>Charleston Statesmen</v>
      </c>
      <c r="BL41" s="45" t="str">
        <f>IF(OR(Table3[[#This Row],[POS]]="SP",Table3[[#This Row],[POS]]="RP",Table3[[#This Row],[POS]]="CL"),"P",INDEX(Batters[[#All],[zScore]],MATCH(Table3[[#This Row],[PID]],Batters[[#All],[PID]],0)))</f>
        <v>P</v>
      </c>
    </row>
    <row r="42" spans="1:64" ht="15" customHeight="1" x14ac:dyDescent="0.3">
      <c r="A42" s="40">
        <v>9906</v>
      </c>
      <c r="B42" s="40" t="s">
        <v>380</v>
      </c>
      <c r="C42" s="40" t="s">
        <v>862</v>
      </c>
      <c r="D42" s="40" t="s">
        <v>146</v>
      </c>
      <c r="E42" s="40">
        <v>17</v>
      </c>
      <c r="F42" s="40" t="s">
        <v>42</v>
      </c>
      <c r="G42" s="40" t="s">
        <v>42</v>
      </c>
      <c r="H42" s="41" t="s">
        <v>548</v>
      </c>
      <c r="I42" s="42" t="s">
        <v>47</v>
      </c>
      <c r="J42" s="40" t="s">
        <v>43</v>
      </c>
      <c r="K42" s="41" t="s">
        <v>43</v>
      </c>
      <c r="L42" s="40">
        <v>3</v>
      </c>
      <c r="M42" s="40">
        <v>3</v>
      </c>
      <c r="N42" s="41">
        <v>1</v>
      </c>
      <c r="O42" s="40">
        <v>7</v>
      </c>
      <c r="P42" s="40">
        <v>5</v>
      </c>
      <c r="Q42" s="41">
        <v>6</v>
      </c>
      <c r="R42" s="40">
        <v>5</v>
      </c>
      <c r="S42" s="40">
        <v>8</v>
      </c>
      <c r="T42" s="40">
        <v>1</v>
      </c>
      <c r="U42" s="40">
        <v>1</v>
      </c>
      <c r="V42" s="40">
        <v>3</v>
      </c>
      <c r="W42" s="40">
        <v>9</v>
      </c>
      <c r="X42" s="40" t="s">
        <v>45</v>
      </c>
      <c r="Y42" s="40" t="s">
        <v>45</v>
      </c>
      <c r="Z42" s="40" t="s">
        <v>45</v>
      </c>
      <c r="AA42" s="40" t="s">
        <v>45</v>
      </c>
      <c r="AB42" s="40" t="s">
        <v>45</v>
      </c>
      <c r="AC42" s="40" t="s">
        <v>45</v>
      </c>
      <c r="AD42" s="40" t="s">
        <v>45</v>
      </c>
      <c r="AE42" s="40" t="s">
        <v>45</v>
      </c>
      <c r="AF42" s="40" t="s">
        <v>45</v>
      </c>
      <c r="AG42" s="40" t="s">
        <v>45</v>
      </c>
      <c r="AH42" s="40" t="s">
        <v>45</v>
      </c>
      <c r="AI42" s="40" t="s">
        <v>45</v>
      </c>
      <c r="AJ42" s="40" t="s">
        <v>45</v>
      </c>
      <c r="AK42" s="40" t="s">
        <v>45</v>
      </c>
      <c r="AL42" s="40" t="s">
        <v>45</v>
      </c>
      <c r="AM42" s="40" t="s">
        <v>45</v>
      </c>
      <c r="AN42" s="40" t="s">
        <v>45</v>
      </c>
      <c r="AO42" s="41" t="s">
        <v>45</v>
      </c>
      <c r="AP42" s="40" t="s">
        <v>58</v>
      </c>
      <c r="AQ42" s="40">
        <v>9</v>
      </c>
      <c r="AR42" s="48" t="s">
        <v>326</v>
      </c>
      <c r="AS42" s="43" t="s">
        <v>378</v>
      </c>
      <c r="AT42" s="43" t="s">
        <v>103</v>
      </c>
      <c r="AU42" s="44">
        <f t="shared" si="0"/>
        <v>-1.9212381560891401</v>
      </c>
      <c r="AV42" s="44">
        <f t="shared" si="1"/>
        <v>0.90548815581528819</v>
      </c>
      <c r="AW42" s="45">
        <f t="shared" si="2"/>
        <v>3</v>
      </c>
      <c r="AX42" s="45">
        <f t="shared" si="3"/>
        <v>2</v>
      </c>
      <c r="AY42" s="46">
        <f>VLOOKUP(AP42,COND!$A$10:$B$32,2,FALSE)</f>
        <v>1</v>
      </c>
      <c r="AZ42" s="44">
        <f>($AU$3*AU42+$AV$3*AV42+$AW$3*AW42+$AX$3*AX42)*AY42*IF(AQ42&lt;5,0.95,IF(AQ42&lt;7,0.975,1))+$I$3*VLOOKUP(I42,COND!$A$2:$E$7,4,FALSE)+$J$3*VLOOKUP(J42,COND!$A$2:$E$7,2,FALSE)+$K$3*VLOOKUP(K42,COND!$A$2:$E$7,3,FALSE)+IF(BB42="SP",$BB$3,0)+IF($AW42&lt;3,-5,0)+IF(AND($B$2&gt;0,$E42&lt;20),$B$2*25,0)</f>
        <v>73.950515485087934</v>
      </c>
      <c r="BA42" s="47">
        <f t="shared" si="8"/>
        <v>2.5739870459304739</v>
      </c>
      <c r="BB42" s="45" t="str">
        <f t="shared" si="5"/>
        <v>SP</v>
      </c>
      <c r="BC42" s="45">
        <v>25</v>
      </c>
      <c r="BD42" s="45">
        <v>37</v>
      </c>
      <c r="BE42" s="45"/>
      <c r="BF42" s="45" t="str">
        <f t="shared" si="6"/>
        <v>Likely</v>
      </c>
      <c r="BG42" s="45"/>
      <c r="BH42" s="45">
        <f>INDEX(Table5[[#All],[Ovr]],MATCH(Table3[[#This Row],[PID]],Table5[[#All],[PID]],0))</f>
        <v>22</v>
      </c>
      <c r="BI42" s="45" t="str">
        <f>INDEX(Table5[[#All],[Rnd]],MATCH(Table3[[#This Row],[PID]],Table5[[#All],[PID]],0))</f>
        <v>1</v>
      </c>
      <c r="BJ42" s="45">
        <f>INDEX(Table5[[#All],[Pick]],MATCH(Table3[[#This Row],[PID]],Table5[[#All],[PID]],0))</f>
        <v>22</v>
      </c>
      <c r="BK42" s="45" t="str">
        <f>INDEX(Table5[[#All],[Team]],MATCH(Table3[[#This Row],[PID]],Table5[[#All],[PID]],0))</f>
        <v>West Virginia Alleghenies</v>
      </c>
      <c r="BL42" s="45" t="str">
        <f>IF(OR(Table3[[#This Row],[POS]]="SP",Table3[[#This Row],[POS]]="RP",Table3[[#This Row],[POS]]="CL"),"P",INDEX(Batters[[#All],[zScore]],MATCH(Table3[[#This Row],[PID]],Batters[[#All],[PID]],0)))</f>
        <v>P</v>
      </c>
    </row>
    <row r="43" spans="1:64" ht="15" customHeight="1" x14ac:dyDescent="0.3">
      <c r="A43" s="40">
        <v>13921</v>
      </c>
      <c r="B43" s="40" t="s">
        <v>49</v>
      </c>
      <c r="C43" s="40" t="s">
        <v>986</v>
      </c>
      <c r="D43" s="40" t="s">
        <v>358</v>
      </c>
      <c r="E43" s="40">
        <v>21</v>
      </c>
      <c r="F43" s="40" t="s">
        <v>42</v>
      </c>
      <c r="G43" s="40" t="s">
        <v>42</v>
      </c>
      <c r="H43" s="41" t="s">
        <v>548</v>
      </c>
      <c r="I43" s="42" t="s">
        <v>43</v>
      </c>
      <c r="J43" s="40" t="s">
        <v>43</v>
      </c>
      <c r="K43" s="41" t="s">
        <v>43</v>
      </c>
      <c r="L43" s="40">
        <v>3</v>
      </c>
      <c r="M43" s="40">
        <v>5</v>
      </c>
      <c r="N43" s="41">
        <v>4</v>
      </c>
      <c r="O43" s="40">
        <v>7</v>
      </c>
      <c r="P43" s="40">
        <v>6</v>
      </c>
      <c r="Q43" s="41">
        <v>5</v>
      </c>
      <c r="R43" s="40" t="s">
        <v>45</v>
      </c>
      <c r="S43" s="40" t="s">
        <v>45</v>
      </c>
      <c r="T43" s="40" t="s">
        <v>45</v>
      </c>
      <c r="U43" s="40" t="s">
        <v>45</v>
      </c>
      <c r="V43" s="40" t="s">
        <v>45</v>
      </c>
      <c r="W43" s="40" t="s">
        <v>45</v>
      </c>
      <c r="X43" s="40">
        <v>4</v>
      </c>
      <c r="Y43" s="40">
        <v>7</v>
      </c>
      <c r="Z43" s="40" t="s">
        <v>45</v>
      </c>
      <c r="AA43" s="40" t="s">
        <v>45</v>
      </c>
      <c r="AB43" s="40" t="s">
        <v>45</v>
      </c>
      <c r="AC43" s="40" t="s">
        <v>45</v>
      </c>
      <c r="AD43" s="40">
        <v>5</v>
      </c>
      <c r="AE43" s="40">
        <v>9</v>
      </c>
      <c r="AF43" s="40" t="s">
        <v>45</v>
      </c>
      <c r="AG43" s="40" t="s">
        <v>45</v>
      </c>
      <c r="AH43" s="40" t="s">
        <v>45</v>
      </c>
      <c r="AI43" s="40" t="s">
        <v>45</v>
      </c>
      <c r="AJ43" s="40" t="s">
        <v>45</v>
      </c>
      <c r="AK43" s="40" t="s">
        <v>45</v>
      </c>
      <c r="AL43" s="40" t="s">
        <v>45</v>
      </c>
      <c r="AM43" s="40" t="s">
        <v>45</v>
      </c>
      <c r="AN43" s="40" t="s">
        <v>45</v>
      </c>
      <c r="AO43" s="41" t="s">
        <v>45</v>
      </c>
      <c r="AP43" s="40" t="s">
        <v>54</v>
      </c>
      <c r="AQ43" s="40">
        <v>8</v>
      </c>
      <c r="AR43" s="48" t="s">
        <v>325</v>
      </c>
      <c r="AS43" s="43" t="s">
        <v>504</v>
      </c>
      <c r="AT43" s="43" t="s">
        <v>103</v>
      </c>
      <c r="AU43" s="44">
        <f t="shared" si="0"/>
        <v>-0.80341302506669809</v>
      </c>
      <c r="AV43" s="44">
        <f t="shared" si="1"/>
        <v>0.85859930619123326</v>
      </c>
      <c r="AW43" s="45">
        <f t="shared" si="2"/>
        <v>2</v>
      </c>
      <c r="AX43" s="45">
        <f t="shared" si="3"/>
        <v>2</v>
      </c>
      <c r="AY43" s="46">
        <f>VLOOKUP(AP43,COND!$A$10:$B$32,2,FALSE)</f>
        <v>1.0249999999999999</v>
      </c>
      <c r="AZ43" s="44">
        <f>($AU$3*AU43+$AV$3*AV43+$AW$3*AW43+$AX$3*AX43)*AY43*IF(AQ43&lt;5,0.95,IF(AQ43&lt;7,0.975,1))+$I$3*VLOOKUP(I43,COND!$A$2:$E$7,4,FALSE)+$J$3*VLOOKUP(J43,COND!$A$2:$E$7,2,FALSE)+$K$3*VLOOKUP(K43,COND!$A$2:$E$7,3,FALSE)+IF(BB43="SP",$BB$3,0)+IF($AW43&lt;3,-5,0)+IF(AND($B$2&gt;0,$E43&lt;20),$B$2*25,0)</f>
        <v>63.02408610678161</v>
      </c>
      <c r="BA43" s="47">
        <f t="shared" si="8"/>
        <v>1.79594843000517</v>
      </c>
      <c r="BB43" s="45" t="str">
        <f t="shared" si="5"/>
        <v>SP</v>
      </c>
      <c r="BC43" s="45">
        <v>26</v>
      </c>
      <c r="BD43" s="45">
        <v>38</v>
      </c>
      <c r="BE43" s="45"/>
      <c r="BF43" s="45" t="str">
        <f t="shared" si="6"/>
        <v>Likely</v>
      </c>
      <c r="BG43" s="45"/>
      <c r="BH43" s="45">
        <f>INDEX(Table5[[#All],[Ovr]],MATCH(Table3[[#This Row],[PID]],Table5[[#All],[PID]],0))</f>
        <v>6</v>
      </c>
      <c r="BI43" s="45" t="str">
        <f>INDEX(Table5[[#All],[Rnd]],MATCH(Table3[[#This Row],[PID]],Table5[[#All],[PID]],0))</f>
        <v>1</v>
      </c>
      <c r="BJ43" s="45">
        <f>INDEX(Table5[[#All],[Pick]],MATCH(Table3[[#This Row],[PID]],Table5[[#All],[PID]],0))</f>
        <v>6</v>
      </c>
      <c r="BK43" s="45" t="str">
        <f>INDEX(Table5[[#All],[Team]],MATCH(Table3[[#This Row],[PID]],Table5[[#All],[PID]],0))</f>
        <v>New Orleans Trendsetters</v>
      </c>
      <c r="BL43" s="45" t="str">
        <f>IF(OR(Table3[[#This Row],[POS]]="SP",Table3[[#This Row],[POS]]="RP",Table3[[#This Row],[POS]]="CL"),"P",INDEX(Batters[[#All],[zScore]],MATCH(Table3[[#This Row],[PID]],Batters[[#All],[PID]],0)))</f>
        <v>P</v>
      </c>
    </row>
    <row r="44" spans="1:64" ht="15" customHeight="1" x14ac:dyDescent="0.3">
      <c r="A44" s="40">
        <v>20535</v>
      </c>
      <c r="B44" s="40" t="s">
        <v>24</v>
      </c>
      <c r="C44" s="40" t="s">
        <v>1524</v>
      </c>
      <c r="D44" s="40" t="s">
        <v>1525</v>
      </c>
      <c r="E44" s="40">
        <v>17</v>
      </c>
      <c r="F44" s="40" t="s">
        <v>42</v>
      </c>
      <c r="G44" s="40" t="s">
        <v>42</v>
      </c>
      <c r="H44" s="41" t="s">
        <v>552</v>
      </c>
      <c r="I44" s="42" t="s">
        <v>43</v>
      </c>
      <c r="J44" s="40" t="s">
        <v>43</v>
      </c>
      <c r="K44" s="41" t="s">
        <v>43</v>
      </c>
      <c r="L44" s="40">
        <v>3</v>
      </c>
      <c r="M44" s="40">
        <v>2</v>
      </c>
      <c r="N44" s="41">
        <v>4</v>
      </c>
      <c r="O44" s="40">
        <v>6</v>
      </c>
      <c r="P44" s="40">
        <v>4</v>
      </c>
      <c r="Q44" s="41">
        <v>6</v>
      </c>
      <c r="R44" s="40">
        <v>6</v>
      </c>
      <c r="S44" s="40">
        <v>9</v>
      </c>
      <c r="T44" s="40" t="s">
        <v>45</v>
      </c>
      <c r="U44" s="40" t="s">
        <v>45</v>
      </c>
      <c r="V44" s="40" t="s">
        <v>45</v>
      </c>
      <c r="W44" s="40" t="s">
        <v>45</v>
      </c>
      <c r="X44" s="40">
        <v>3</v>
      </c>
      <c r="Y44" s="40">
        <v>7</v>
      </c>
      <c r="Z44" s="40" t="s">
        <v>45</v>
      </c>
      <c r="AA44" s="40" t="s">
        <v>45</v>
      </c>
      <c r="AB44" s="40" t="s">
        <v>45</v>
      </c>
      <c r="AC44" s="40" t="s">
        <v>45</v>
      </c>
      <c r="AD44" s="40" t="s">
        <v>45</v>
      </c>
      <c r="AE44" s="40" t="s">
        <v>45</v>
      </c>
      <c r="AF44" s="40" t="s">
        <v>45</v>
      </c>
      <c r="AG44" s="40" t="s">
        <v>45</v>
      </c>
      <c r="AH44" s="40" t="s">
        <v>45</v>
      </c>
      <c r="AI44" s="40" t="s">
        <v>45</v>
      </c>
      <c r="AJ44" s="40" t="s">
        <v>45</v>
      </c>
      <c r="AK44" s="40" t="s">
        <v>45</v>
      </c>
      <c r="AL44" s="40" t="s">
        <v>45</v>
      </c>
      <c r="AM44" s="40" t="s">
        <v>45</v>
      </c>
      <c r="AN44" s="40" t="s">
        <v>45</v>
      </c>
      <c r="AO44" s="41" t="s">
        <v>45</v>
      </c>
      <c r="AP44" s="40" t="s">
        <v>61</v>
      </c>
      <c r="AQ44" s="40">
        <v>9</v>
      </c>
      <c r="AR44" s="48" t="s">
        <v>326</v>
      </c>
      <c r="AS44" s="43" t="s">
        <v>528</v>
      </c>
      <c r="AT44" s="43" t="s">
        <v>103</v>
      </c>
      <c r="AU44" s="44">
        <f t="shared" si="0"/>
        <v>-1.3897081743568644</v>
      </c>
      <c r="AV44" s="44">
        <f t="shared" si="1"/>
        <v>0.5153651148760594</v>
      </c>
      <c r="AW44" s="45">
        <f t="shared" si="2"/>
        <v>2</v>
      </c>
      <c r="AX44" s="45">
        <f t="shared" si="3"/>
        <v>2</v>
      </c>
      <c r="AY44" s="46">
        <f>VLOOKUP(AP44,COND!$A$10:$B$32,2,FALSE)</f>
        <v>1.05</v>
      </c>
      <c r="AZ44" s="44">
        <f>($AU$3*AU44+$AV$3*AV44+$AW$3*AW44+$AX$3*AX44)*AY44*IF(AQ44&lt;5,0.95,IF(AQ44&lt;7,0.975,1))+$I$3*VLOOKUP(I44,COND!$A$2:$E$7,4,FALSE)+$J$3*VLOOKUP(J44,COND!$A$2:$E$7,2,FALSE)+$K$3*VLOOKUP(K44,COND!$A$2:$E$7,3,FALSE)+IF(BB44="SP",$BB$3,0)+IF($AW44&lt;3,-5,0)+IF(AND($B$2&gt;0,$E44&lt;20),$B$2*25,0)</f>
        <v>61.205828695782309</v>
      </c>
      <c r="BA44" s="47">
        <f t="shared" si="8"/>
        <v>1.6664757147686113</v>
      </c>
      <c r="BB44" s="45" t="str">
        <f t="shared" si="5"/>
        <v>SP</v>
      </c>
      <c r="BC44" s="45">
        <v>27</v>
      </c>
      <c r="BD44" s="45">
        <v>39</v>
      </c>
      <c r="BE44" s="45"/>
      <c r="BF44" s="45" t="str">
        <f t="shared" si="6"/>
        <v>Possible</v>
      </c>
      <c r="BG44" s="45"/>
      <c r="BH44" s="45">
        <f>INDEX(Table5[[#All],[Ovr]],MATCH(Table3[[#This Row],[PID]],Table5[[#All],[PID]],0))</f>
        <v>110</v>
      </c>
      <c r="BI44" s="45" t="str">
        <f>INDEX(Table5[[#All],[Rnd]],MATCH(Table3[[#This Row],[PID]],Table5[[#All],[PID]],0))</f>
        <v>4</v>
      </c>
      <c r="BJ44" s="45">
        <f>INDEX(Table5[[#All],[Pick]],MATCH(Table3[[#This Row],[PID]],Table5[[#All],[PID]],0))</f>
        <v>5</v>
      </c>
      <c r="BK44" s="45" t="str">
        <f>INDEX(Table5[[#All],[Team]],MATCH(Table3[[#This Row],[PID]],Table5[[#All],[PID]],0))</f>
        <v>Tempe Knights</v>
      </c>
      <c r="BL44" s="45" t="str">
        <f>IF(OR(Table3[[#This Row],[POS]]="SP",Table3[[#This Row],[POS]]="RP",Table3[[#This Row],[POS]]="CL"),"P",INDEX(Batters[[#All],[zScore]],MATCH(Table3[[#This Row],[PID]],Batters[[#All],[PID]],0)))</f>
        <v>P</v>
      </c>
    </row>
    <row r="45" spans="1:64" ht="15" customHeight="1" x14ac:dyDescent="0.3">
      <c r="A45" s="40">
        <v>20219</v>
      </c>
      <c r="B45" s="40" t="s">
        <v>49</v>
      </c>
      <c r="C45" s="40" t="s">
        <v>391</v>
      </c>
      <c r="D45" s="40" t="s">
        <v>1333</v>
      </c>
      <c r="E45" s="40">
        <v>21</v>
      </c>
      <c r="F45" s="40" t="s">
        <v>42</v>
      </c>
      <c r="G45" s="40" t="s">
        <v>42</v>
      </c>
      <c r="H45" s="41" t="s">
        <v>549</v>
      </c>
      <c r="I45" s="42" t="s">
        <v>43</v>
      </c>
      <c r="J45" s="40" t="s">
        <v>47</v>
      </c>
      <c r="K45" s="41" t="s">
        <v>44</v>
      </c>
      <c r="L45" s="40">
        <v>4</v>
      </c>
      <c r="M45" s="40">
        <v>4</v>
      </c>
      <c r="N45" s="41">
        <v>4</v>
      </c>
      <c r="O45" s="40">
        <v>5</v>
      </c>
      <c r="P45" s="40">
        <v>7</v>
      </c>
      <c r="Q45" s="41">
        <v>5</v>
      </c>
      <c r="R45" s="40">
        <v>5</v>
      </c>
      <c r="S45" s="40">
        <v>7</v>
      </c>
      <c r="T45" s="40" t="s">
        <v>45</v>
      </c>
      <c r="U45" s="40" t="s">
        <v>45</v>
      </c>
      <c r="V45" s="40" t="s">
        <v>45</v>
      </c>
      <c r="W45" s="40" t="s">
        <v>45</v>
      </c>
      <c r="X45" s="40" t="s">
        <v>45</v>
      </c>
      <c r="Y45" s="40" t="s">
        <v>45</v>
      </c>
      <c r="Z45" s="40" t="s">
        <v>45</v>
      </c>
      <c r="AA45" s="40" t="s">
        <v>45</v>
      </c>
      <c r="AB45" s="40">
        <v>5</v>
      </c>
      <c r="AC45" s="40">
        <v>7</v>
      </c>
      <c r="AD45" s="40" t="s">
        <v>45</v>
      </c>
      <c r="AE45" s="40" t="s">
        <v>45</v>
      </c>
      <c r="AF45" s="40" t="s">
        <v>45</v>
      </c>
      <c r="AG45" s="40" t="s">
        <v>45</v>
      </c>
      <c r="AH45" s="40" t="s">
        <v>45</v>
      </c>
      <c r="AI45" s="40" t="s">
        <v>45</v>
      </c>
      <c r="AJ45" s="40" t="s">
        <v>45</v>
      </c>
      <c r="AK45" s="40" t="s">
        <v>45</v>
      </c>
      <c r="AL45" s="40" t="s">
        <v>45</v>
      </c>
      <c r="AM45" s="40" t="s">
        <v>45</v>
      </c>
      <c r="AN45" s="40" t="s">
        <v>45</v>
      </c>
      <c r="AO45" s="41" t="s">
        <v>45</v>
      </c>
      <c r="AP45" s="40" t="s">
        <v>56</v>
      </c>
      <c r="AQ45" s="40">
        <v>3</v>
      </c>
      <c r="AR45" s="48" t="s">
        <v>325</v>
      </c>
      <c r="AS45" s="43" t="s">
        <v>504</v>
      </c>
      <c r="AT45" s="43" t="s">
        <v>103</v>
      </c>
      <c r="AU45" s="44">
        <f t="shared" si="0"/>
        <v>-0.80415341698758003</v>
      </c>
      <c r="AV45" s="44">
        <f t="shared" si="1"/>
        <v>0.66464837360294171</v>
      </c>
      <c r="AW45" s="45">
        <f t="shared" si="2"/>
        <v>2</v>
      </c>
      <c r="AX45" s="45">
        <f t="shared" si="3"/>
        <v>2</v>
      </c>
      <c r="AY45" s="46">
        <f>VLOOKUP(AP45,COND!$A$10:$B$32,2,FALSE)</f>
        <v>1</v>
      </c>
      <c r="AZ45" s="44">
        <f>($AU$3*AU45+$AV$3*AV45+$AW$3*AW45+$AX$3*AX45)*AY45*IF(AQ45&lt;5,0.95,IF(AQ45&lt;7,0.975,1))+$I$3*VLOOKUP(I45,COND!$A$2:$E$7,4,FALSE)+$J$3*VLOOKUP(J45,COND!$A$2:$E$7,2,FALSE)+$K$3*VLOOKUP(K45,COND!$A$2:$E$7,3,FALSE)+IF(BB45="SP",$BB$3,0)+IF($AW45&lt;3,-5,0)+IF(AND($B$2&gt;0,$E45&lt;20),$B$2*25,0)</f>
        <v>55.800529949228263</v>
      </c>
      <c r="BA45" s="47">
        <f t="shared" si="8"/>
        <v>1.2815804292344839</v>
      </c>
      <c r="BB45" s="45" t="str">
        <f t="shared" si="5"/>
        <v>RP</v>
      </c>
      <c r="BC45" s="45">
        <v>14</v>
      </c>
      <c r="BD45" s="45">
        <v>40</v>
      </c>
      <c r="BE45" s="45"/>
      <c r="BF45" s="45" t="str">
        <f t="shared" si="6"/>
        <v>Possible</v>
      </c>
      <c r="BG45" s="45"/>
      <c r="BH45" s="45">
        <f>INDEX(Table5[[#All],[Ovr]],MATCH(Table3[[#This Row],[PID]],Table5[[#All],[PID]],0))</f>
        <v>152</v>
      </c>
      <c r="BI45" s="45" t="str">
        <f>INDEX(Table5[[#All],[Rnd]],MATCH(Table3[[#This Row],[PID]],Table5[[#All],[PID]],0))</f>
        <v>5</v>
      </c>
      <c r="BJ45" s="45">
        <f>INDEX(Table5[[#All],[Pick]],MATCH(Table3[[#This Row],[PID]],Table5[[#All],[PID]],0))</f>
        <v>15</v>
      </c>
      <c r="BK45" s="45" t="str">
        <f>INDEX(Table5[[#All],[Team]],MATCH(Table3[[#This Row],[PID]],Table5[[#All],[PID]],0))</f>
        <v>London Underground</v>
      </c>
      <c r="BL45" s="45" t="str">
        <f>IF(OR(Table3[[#This Row],[POS]]="SP",Table3[[#This Row],[POS]]="RP",Table3[[#This Row],[POS]]="CL"),"P",INDEX(Batters[[#All],[zScore]],MATCH(Table3[[#This Row],[PID]],Batters[[#All],[PID]],0)))</f>
        <v>P</v>
      </c>
    </row>
    <row r="46" spans="1:64" ht="15" customHeight="1" x14ac:dyDescent="0.3">
      <c r="A46" s="40">
        <v>21033</v>
      </c>
      <c r="B46" s="40" t="s">
        <v>24</v>
      </c>
      <c r="C46" s="40" t="s">
        <v>1137</v>
      </c>
      <c r="D46" s="40" t="s">
        <v>131</v>
      </c>
      <c r="E46" s="40">
        <v>17</v>
      </c>
      <c r="F46" s="40" t="s">
        <v>42</v>
      </c>
      <c r="G46" s="40" t="s">
        <v>42</v>
      </c>
      <c r="H46" s="41" t="s">
        <v>552</v>
      </c>
      <c r="I46" s="42" t="s">
        <v>43</v>
      </c>
      <c r="J46" s="40" t="s">
        <v>47</v>
      </c>
      <c r="K46" s="41" t="s">
        <v>43</v>
      </c>
      <c r="L46" s="40">
        <v>2</v>
      </c>
      <c r="M46" s="40">
        <v>3</v>
      </c>
      <c r="N46" s="41">
        <v>1</v>
      </c>
      <c r="O46" s="40">
        <v>5</v>
      </c>
      <c r="P46" s="40">
        <v>4</v>
      </c>
      <c r="Q46" s="41">
        <v>5</v>
      </c>
      <c r="R46" s="40">
        <v>4</v>
      </c>
      <c r="S46" s="40">
        <v>8</v>
      </c>
      <c r="T46" s="40" t="s">
        <v>45</v>
      </c>
      <c r="U46" s="40" t="s">
        <v>45</v>
      </c>
      <c r="V46" s="40" t="s">
        <v>45</v>
      </c>
      <c r="W46" s="40" t="s">
        <v>45</v>
      </c>
      <c r="X46" s="40" t="s">
        <v>45</v>
      </c>
      <c r="Y46" s="40" t="s">
        <v>45</v>
      </c>
      <c r="Z46" s="40" t="s">
        <v>45</v>
      </c>
      <c r="AA46" s="40" t="s">
        <v>45</v>
      </c>
      <c r="AB46" s="40">
        <v>4</v>
      </c>
      <c r="AC46" s="40">
        <v>7</v>
      </c>
      <c r="AD46" s="40" t="s">
        <v>45</v>
      </c>
      <c r="AE46" s="40" t="s">
        <v>45</v>
      </c>
      <c r="AF46" s="40" t="s">
        <v>45</v>
      </c>
      <c r="AG46" s="40" t="s">
        <v>45</v>
      </c>
      <c r="AH46" s="40" t="s">
        <v>45</v>
      </c>
      <c r="AI46" s="40" t="s">
        <v>45</v>
      </c>
      <c r="AJ46" s="40" t="s">
        <v>45</v>
      </c>
      <c r="AK46" s="40" t="s">
        <v>45</v>
      </c>
      <c r="AL46" s="40" t="s">
        <v>45</v>
      </c>
      <c r="AM46" s="40" t="s">
        <v>45</v>
      </c>
      <c r="AN46" s="40" t="s">
        <v>45</v>
      </c>
      <c r="AO46" s="41" t="s">
        <v>45</v>
      </c>
      <c r="AP46" s="40" t="s">
        <v>58</v>
      </c>
      <c r="AQ46" s="40">
        <v>5</v>
      </c>
      <c r="AR46" s="48" t="s">
        <v>326</v>
      </c>
      <c r="AS46" s="43" t="s">
        <v>780</v>
      </c>
      <c r="AT46" s="43" t="s">
        <v>103</v>
      </c>
      <c r="AU46" s="44">
        <f t="shared" si="0"/>
        <v>-2.1159294805983135</v>
      </c>
      <c r="AV46" s="44">
        <f t="shared" si="1"/>
        <v>7.8353224312775444E-2</v>
      </c>
      <c r="AW46" s="45">
        <f t="shared" si="2"/>
        <v>2</v>
      </c>
      <c r="AX46" s="45">
        <f t="shared" si="3"/>
        <v>2</v>
      </c>
      <c r="AY46" s="46">
        <f>VLOOKUP(AP46,COND!$A$10:$B$32,2,FALSE)</f>
        <v>1</v>
      </c>
      <c r="AZ46" s="44">
        <f>($AU$3*AU46+$AV$3*AV46+$AW$3*AW46+$AX$3*AX46)*AY46*IF(AQ46&lt;5,0.95,IF(AQ46&lt;7,0.975,1))+$I$3*VLOOKUP(I46,COND!$A$2:$E$7,4,FALSE)+$J$3*VLOOKUP(J46,COND!$A$2:$E$7,2,FALSE)+$K$3*VLOOKUP(K46,COND!$A$2:$E$7,3,FALSE)+IF(BB46="SP",$BB$3,0)+IF($AW46&lt;3,-5,0)+IF(AND($B$2&gt;0,$E46&lt;20),$B$2*25,0)</f>
        <v>49.827781625382457</v>
      </c>
      <c r="BA46" s="47">
        <f t="shared" si="8"/>
        <v>0.85627874299638618</v>
      </c>
      <c r="BB46" s="45" t="str">
        <f t="shared" si="5"/>
        <v>RP</v>
      </c>
      <c r="BC46" s="45">
        <v>15</v>
      </c>
      <c r="BD46" s="45">
        <v>41</v>
      </c>
      <c r="BE46" s="45"/>
      <c r="BF46" s="45" t="str">
        <f t="shared" si="6"/>
        <v>Possible</v>
      </c>
      <c r="BG46" s="45"/>
      <c r="BH46" s="45">
        <f>INDEX(Table5[[#All],[Ovr]],MATCH(Table3[[#This Row],[PID]],Table5[[#All],[PID]],0))</f>
        <v>141</v>
      </c>
      <c r="BI46" s="45" t="str">
        <f>INDEX(Table5[[#All],[Rnd]],MATCH(Table3[[#This Row],[PID]],Table5[[#All],[PID]],0))</f>
        <v>5</v>
      </c>
      <c r="BJ46" s="45">
        <f>INDEX(Table5[[#All],[Pick]],MATCH(Table3[[#This Row],[PID]],Table5[[#All],[PID]],0))</f>
        <v>4</v>
      </c>
      <c r="BK46" s="45" t="str">
        <f>INDEX(Table5[[#All],[Team]],MATCH(Table3[[#This Row],[PID]],Table5[[#All],[PID]],0))</f>
        <v>Palm Springs Codgers</v>
      </c>
      <c r="BL46" s="45" t="str">
        <f>IF(OR(Table3[[#This Row],[POS]]="SP",Table3[[#This Row],[POS]]="RP",Table3[[#This Row],[POS]]="CL"),"P",INDEX(Batters[[#All],[zScore]],MATCH(Table3[[#This Row],[PID]],Batters[[#All],[PID]],0)))</f>
        <v>P</v>
      </c>
    </row>
    <row r="47" spans="1:64" ht="15" customHeight="1" x14ac:dyDescent="0.3">
      <c r="A47" s="40">
        <v>9871</v>
      </c>
      <c r="B47" s="40" t="s">
        <v>24</v>
      </c>
      <c r="C47" s="40" t="s">
        <v>1534</v>
      </c>
      <c r="D47" s="40" t="s">
        <v>616</v>
      </c>
      <c r="E47" s="40">
        <v>17</v>
      </c>
      <c r="F47" s="40" t="s">
        <v>42</v>
      </c>
      <c r="G47" s="40" t="s">
        <v>42</v>
      </c>
      <c r="H47" s="41" t="s">
        <v>550</v>
      </c>
      <c r="I47" s="42" t="s">
        <v>44</v>
      </c>
      <c r="J47" s="40" t="s">
        <v>43</v>
      </c>
      <c r="K47" s="41" t="s">
        <v>43</v>
      </c>
      <c r="L47" s="40">
        <v>2</v>
      </c>
      <c r="M47" s="40">
        <v>1</v>
      </c>
      <c r="N47" s="41">
        <v>1</v>
      </c>
      <c r="O47" s="40">
        <v>6</v>
      </c>
      <c r="P47" s="40">
        <v>3</v>
      </c>
      <c r="Q47" s="41">
        <v>4</v>
      </c>
      <c r="R47" s="40">
        <v>4</v>
      </c>
      <c r="S47" s="40">
        <v>6</v>
      </c>
      <c r="T47" s="40">
        <v>1</v>
      </c>
      <c r="U47" s="40">
        <v>8</v>
      </c>
      <c r="V47" s="40">
        <v>2</v>
      </c>
      <c r="W47" s="40">
        <v>7</v>
      </c>
      <c r="X47" s="40">
        <v>2</v>
      </c>
      <c r="Y47" s="40">
        <v>6</v>
      </c>
      <c r="Z47" s="40" t="s">
        <v>45</v>
      </c>
      <c r="AA47" s="40" t="s">
        <v>45</v>
      </c>
      <c r="AB47" s="40" t="s">
        <v>45</v>
      </c>
      <c r="AC47" s="40" t="s">
        <v>45</v>
      </c>
      <c r="AD47" s="40" t="s">
        <v>45</v>
      </c>
      <c r="AE47" s="40" t="s">
        <v>45</v>
      </c>
      <c r="AF47" s="40" t="s">
        <v>45</v>
      </c>
      <c r="AG47" s="40" t="s">
        <v>45</v>
      </c>
      <c r="AH47" s="40" t="s">
        <v>45</v>
      </c>
      <c r="AI47" s="40" t="s">
        <v>45</v>
      </c>
      <c r="AJ47" s="40" t="s">
        <v>45</v>
      </c>
      <c r="AK47" s="40" t="s">
        <v>45</v>
      </c>
      <c r="AL47" s="40" t="s">
        <v>45</v>
      </c>
      <c r="AM47" s="40" t="s">
        <v>45</v>
      </c>
      <c r="AN47" s="40" t="s">
        <v>45</v>
      </c>
      <c r="AO47" s="41" t="s">
        <v>45</v>
      </c>
      <c r="AP47" s="40" t="s">
        <v>56</v>
      </c>
      <c r="AQ47" s="40">
        <v>8</v>
      </c>
      <c r="AR47" s="48" t="s">
        <v>14</v>
      </c>
      <c r="AS47" s="43" t="s">
        <v>783</v>
      </c>
      <c r="AT47" s="43" t="s">
        <v>103</v>
      </c>
      <c r="AU47" s="44">
        <f t="shared" si="0"/>
        <v>-2.5067929134584248</v>
      </c>
      <c r="AV47" s="44">
        <f t="shared" si="1"/>
        <v>-0.16470773366221675</v>
      </c>
      <c r="AW47" s="45">
        <f t="shared" si="2"/>
        <v>4</v>
      </c>
      <c r="AX47" s="45">
        <f t="shared" si="3"/>
        <v>4</v>
      </c>
      <c r="AY47" s="46">
        <f>VLOOKUP(AP47,COND!$A$10:$B$32,2,FALSE)</f>
        <v>1</v>
      </c>
      <c r="AZ47" s="44">
        <f>($AU$3*AU47+$AV$3*AV47+$AW$3*AW47+$AX$3*AX47)*AY47*IF(AQ47&lt;5,0.95,IF(AQ47&lt;7,0.975,1))+$I$3*VLOOKUP(I47,COND!$A$2:$E$7,4,FALSE)+$J$3*VLOOKUP(J47,COND!$A$2:$E$7,2,FALSE)+$K$3*VLOOKUP(K47,COND!$A$2:$E$7,3,FALSE)+IF(BB47="SP",$BB$3,0)+IF($AW47&lt;3,-5,0)+IF(AND($B$2&gt;0,$E47&lt;20),$B$2*25,0)</f>
        <v>55.054486744063979</v>
      </c>
      <c r="BA47" s="47">
        <f t="shared" si="8"/>
        <v>1.2284569061996908</v>
      </c>
      <c r="BB47" s="45" t="str">
        <f t="shared" si="5"/>
        <v>SP</v>
      </c>
      <c r="BC47" s="45">
        <v>28</v>
      </c>
      <c r="BD47" s="45">
        <v>42</v>
      </c>
      <c r="BE47" s="45"/>
      <c r="BF47" s="45" t="str">
        <f t="shared" si="6"/>
        <v>Possible</v>
      </c>
      <c r="BG47" s="45"/>
      <c r="BH47" s="45">
        <f>INDEX(Table5[[#All],[Ovr]],MATCH(Table3[[#This Row],[PID]],Table5[[#All],[PID]],0))</f>
        <v>129</v>
      </c>
      <c r="BI47" s="45" t="str">
        <f>INDEX(Table5[[#All],[Rnd]],MATCH(Table3[[#This Row],[PID]],Table5[[#All],[PID]],0))</f>
        <v>4</v>
      </c>
      <c r="BJ47" s="45">
        <f>INDEX(Table5[[#All],[Pick]],MATCH(Table3[[#This Row],[PID]],Table5[[#All],[PID]],0))</f>
        <v>24</v>
      </c>
      <c r="BK47" s="45" t="str">
        <f>INDEX(Table5[[#All],[Team]],MATCH(Table3[[#This Row],[PID]],Table5[[#All],[PID]],0))</f>
        <v>Tempe Knights</v>
      </c>
      <c r="BL47" s="45" t="str">
        <f>IF(OR(Table3[[#This Row],[POS]]="SP",Table3[[#This Row],[POS]]="RP",Table3[[#This Row],[POS]]="CL"),"P",INDEX(Batters[[#All],[zScore]],MATCH(Table3[[#This Row],[PID]],Batters[[#All],[PID]],0)))</f>
        <v>P</v>
      </c>
    </row>
    <row r="48" spans="1:64" ht="15" customHeight="1" x14ac:dyDescent="0.3">
      <c r="A48" s="40">
        <v>8928</v>
      </c>
      <c r="B48" s="40" t="s">
        <v>24</v>
      </c>
      <c r="C48" s="40" t="s">
        <v>1587</v>
      </c>
      <c r="D48" s="40" t="s">
        <v>657</v>
      </c>
      <c r="E48" s="40">
        <v>21</v>
      </c>
      <c r="F48" s="40" t="s">
        <v>42</v>
      </c>
      <c r="G48" s="40" t="s">
        <v>42</v>
      </c>
      <c r="H48" s="41" t="s">
        <v>552</v>
      </c>
      <c r="I48" s="42" t="s">
        <v>43</v>
      </c>
      <c r="J48" s="40" t="s">
        <v>47</v>
      </c>
      <c r="K48" s="41" t="s">
        <v>43</v>
      </c>
      <c r="L48" s="40">
        <v>3</v>
      </c>
      <c r="M48" s="40">
        <v>2</v>
      </c>
      <c r="N48" s="41">
        <v>6</v>
      </c>
      <c r="O48" s="40">
        <v>4</v>
      </c>
      <c r="P48" s="40">
        <v>3</v>
      </c>
      <c r="Q48" s="41">
        <v>7</v>
      </c>
      <c r="R48" s="40">
        <v>5</v>
      </c>
      <c r="S48" s="40">
        <v>6</v>
      </c>
      <c r="T48" s="40">
        <v>2</v>
      </c>
      <c r="U48" s="40">
        <v>6</v>
      </c>
      <c r="V48" s="40" t="s">
        <v>45</v>
      </c>
      <c r="W48" s="40" t="s">
        <v>45</v>
      </c>
      <c r="X48" s="40" t="s">
        <v>45</v>
      </c>
      <c r="Y48" s="40" t="s">
        <v>45</v>
      </c>
      <c r="Z48" s="40" t="s">
        <v>45</v>
      </c>
      <c r="AA48" s="40" t="s">
        <v>45</v>
      </c>
      <c r="AB48" s="40">
        <v>4</v>
      </c>
      <c r="AC48" s="40">
        <v>5</v>
      </c>
      <c r="AD48" s="40" t="s">
        <v>45</v>
      </c>
      <c r="AE48" s="40" t="s">
        <v>45</v>
      </c>
      <c r="AF48" s="40" t="s">
        <v>45</v>
      </c>
      <c r="AG48" s="40" t="s">
        <v>45</v>
      </c>
      <c r="AH48" s="40" t="s">
        <v>45</v>
      </c>
      <c r="AI48" s="40" t="s">
        <v>45</v>
      </c>
      <c r="AJ48" s="40" t="s">
        <v>45</v>
      </c>
      <c r="AK48" s="40" t="s">
        <v>45</v>
      </c>
      <c r="AL48" s="40" t="s">
        <v>45</v>
      </c>
      <c r="AM48" s="40" t="s">
        <v>45</v>
      </c>
      <c r="AN48" s="40" t="s">
        <v>45</v>
      </c>
      <c r="AO48" s="41" t="s">
        <v>45</v>
      </c>
      <c r="AP48" s="40" t="s">
        <v>56</v>
      </c>
      <c r="AQ48" s="40">
        <v>7</v>
      </c>
      <c r="AR48" s="48" t="s">
        <v>326</v>
      </c>
      <c r="AS48" s="43" t="s">
        <v>557</v>
      </c>
      <c r="AT48" s="43" t="s">
        <v>103</v>
      </c>
      <c r="AU48" s="44">
        <f t="shared" si="0"/>
        <v>-0.90506704224864365</v>
      </c>
      <c r="AV48" s="44">
        <f t="shared" si="1"/>
        <v>0.17287131548176726</v>
      </c>
      <c r="AW48" s="45">
        <f t="shared" si="2"/>
        <v>3</v>
      </c>
      <c r="AX48" s="45">
        <f t="shared" si="3"/>
        <v>2</v>
      </c>
      <c r="AY48" s="46">
        <f>VLOOKUP(AP48,COND!$A$10:$B$32,2,FALSE)</f>
        <v>1</v>
      </c>
      <c r="AZ48" s="44">
        <f>($AU$3*AU48+$AV$3*AV48+$AW$3*AW48+$AX$3*AX48)*AY48*IF(AQ48&lt;5,0.95,IF(AQ48&lt;7,0.975,1))+$I$3*VLOOKUP(I48,COND!$A$2:$E$7,4,FALSE)+$J$3*VLOOKUP(J48,COND!$A$2:$E$7,2,FALSE)+$K$3*VLOOKUP(K48,COND!$A$2:$E$7,3,FALSE)+IF(BB48="SP",$BB$3,0)+IF($AW48&lt;3,-5,0)+IF(AND($B$2&gt;0,$E48&lt;20),$B$2*25,0)</f>
        <v>54.57641290118562</v>
      </c>
      <c r="BA48" s="47">
        <f t="shared" si="8"/>
        <v>1.1944146863541418</v>
      </c>
      <c r="BB48" s="45" t="str">
        <f t="shared" si="5"/>
        <v>SP</v>
      </c>
      <c r="BC48" s="45">
        <v>29</v>
      </c>
      <c r="BD48" s="45">
        <v>43</v>
      </c>
      <c r="BE48" s="45"/>
      <c r="BF48" s="45" t="str">
        <f t="shared" si="6"/>
        <v>Possible</v>
      </c>
      <c r="BG48" s="45"/>
      <c r="BH48" s="45">
        <f>INDEX(Table5[[#All],[Ovr]],MATCH(Table3[[#This Row],[PID]],Table5[[#All],[PID]],0))</f>
        <v>78</v>
      </c>
      <c r="BI48" s="45" t="str">
        <f>INDEX(Table5[[#All],[Rnd]],MATCH(Table3[[#This Row],[PID]],Table5[[#All],[PID]],0))</f>
        <v>3</v>
      </c>
      <c r="BJ48" s="45">
        <f>INDEX(Table5[[#All],[Pick]],MATCH(Table3[[#This Row],[PID]],Table5[[#All],[PID]],0))</f>
        <v>6</v>
      </c>
      <c r="BK48" s="45" t="str">
        <f>INDEX(Table5[[#All],[Team]],MATCH(Table3[[#This Row],[PID]],Table5[[#All],[PID]],0))</f>
        <v>New Orleans Trendsetters</v>
      </c>
      <c r="BL48" s="45" t="str">
        <f>IF(OR(Table3[[#This Row],[POS]]="SP",Table3[[#This Row],[POS]]="RP",Table3[[#This Row],[POS]]="CL"),"P",INDEX(Batters[[#All],[zScore]],MATCH(Table3[[#This Row],[PID]],Batters[[#All],[PID]],0)))</f>
        <v>P</v>
      </c>
    </row>
    <row r="49" spans="1:64" ht="15" customHeight="1" x14ac:dyDescent="0.3">
      <c r="A49" s="40">
        <v>10913</v>
      </c>
      <c r="B49" s="40" t="s">
        <v>380</v>
      </c>
      <c r="C49" s="40" t="s">
        <v>318</v>
      </c>
      <c r="D49" s="40" t="s">
        <v>181</v>
      </c>
      <c r="E49" s="40">
        <v>17</v>
      </c>
      <c r="F49" s="40" t="s">
        <v>42</v>
      </c>
      <c r="G49" s="40" t="s">
        <v>42</v>
      </c>
      <c r="H49" s="41" t="s">
        <v>549</v>
      </c>
      <c r="I49" s="42" t="s">
        <v>43</v>
      </c>
      <c r="J49" s="40" t="s">
        <v>47</v>
      </c>
      <c r="K49" s="41" t="s">
        <v>47</v>
      </c>
      <c r="L49" s="40">
        <v>3</v>
      </c>
      <c r="M49" s="40">
        <v>2</v>
      </c>
      <c r="N49" s="41">
        <v>1</v>
      </c>
      <c r="O49" s="40">
        <v>6</v>
      </c>
      <c r="P49" s="40">
        <v>3</v>
      </c>
      <c r="Q49" s="41">
        <v>6</v>
      </c>
      <c r="R49" s="40">
        <v>5</v>
      </c>
      <c r="S49" s="40">
        <v>7</v>
      </c>
      <c r="T49" s="40">
        <v>1</v>
      </c>
      <c r="U49" s="40">
        <v>1</v>
      </c>
      <c r="V49" s="40" t="s">
        <v>45</v>
      </c>
      <c r="W49" s="40" t="s">
        <v>45</v>
      </c>
      <c r="X49" s="40" t="s">
        <v>45</v>
      </c>
      <c r="Y49" s="40" t="s">
        <v>45</v>
      </c>
      <c r="Z49" s="40">
        <v>4</v>
      </c>
      <c r="AA49" s="40">
        <v>6</v>
      </c>
      <c r="AB49" s="40" t="s">
        <v>45</v>
      </c>
      <c r="AC49" s="40" t="s">
        <v>45</v>
      </c>
      <c r="AD49" s="40" t="s">
        <v>45</v>
      </c>
      <c r="AE49" s="40" t="s">
        <v>45</v>
      </c>
      <c r="AF49" s="40" t="s">
        <v>45</v>
      </c>
      <c r="AG49" s="40" t="s">
        <v>45</v>
      </c>
      <c r="AH49" s="40" t="s">
        <v>45</v>
      </c>
      <c r="AI49" s="40" t="s">
        <v>45</v>
      </c>
      <c r="AJ49" s="40" t="s">
        <v>45</v>
      </c>
      <c r="AK49" s="40" t="s">
        <v>45</v>
      </c>
      <c r="AL49" s="40" t="s">
        <v>45</v>
      </c>
      <c r="AM49" s="40" t="s">
        <v>45</v>
      </c>
      <c r="AN49" s="40" t="s">
        <v>45</v>
      </c>
      <c r="AO49" s="41" t="s">
        <v>45</v>
      </c>
      <c r="AP49" s="40" t="s">
        <v>58</v>
      </c>
      <c r="AQ49" s="40">
        <v>6</v>
      </c>
      <c r="AR49" s="48" t="s">
        <v>326</v>
      </c>
      <c r="AS49" s="43" t="s">
        <v>498</v>
      </c>
      <c r="AT49" s="43" t="s">
        <v>103</v>
      </c>
      <c r="AU49" s="44">
        <f t="shared" si="0"/>
        <v>-2.1166698725191955</v>
      </c>
      <c r="AV49" s="44">
        <f t="shared" si="1"/>
        <v>0.31993339844600399</v>
      </c>
      <c r="AW49" s="45">
        <f t="shared" si="2"/>
        <v>3</v>
      </c>
      <c r="AX49" s="45">
        <f t="shared" si="3"/>
        <v>2</v>
      </c>
      <c r="AY49" s="46">
        <f>VLOOKUP(AP49,COND!$A$10:$B$32,2,FALSE)</f>
        <v>1</v>
      </c>
      <c r="AZ49" s="44">
        <f>($AU$3*AU49+$AV$3*AV49+$AW$3*AW49+$AX$3*AX49)*AY49*IF(AQ49&lt;5,0.95,IF(AQ49&lt;7,0.975,1))+$I$3*VLOOKUP(I49,COND!$A$2:$E$7,4,FALSE)+$J$3*VLOOKUP(J49,COND!$A$2:$E$7,2,FALSE)+$K$3*VLOOKUP(K49,COND!$A$2:$E$7,3,FALSE)+IF(BB49="SP",$BB$3,0)+IF($AW49&lt;3,-5,0)+IF(AND($B$2&gt;0,$E49&lt;20),$B$2*25,0)</f>
        <v>62.325950644555832</v>
      </c>
      <c r="BA49" s="47">
        <f t="shared" si="8"/>
        <v>1.7462362751966689</v>
      </c>
      <c r="BB49" s="45" t="str">
        <f t="shared" si="5"/>
        <v>SP</v>
      </c>
      <c r="BC49" s="45">
        <v>30</v>
      </c>
      <c r="BD49" s="45">
        <v>44</v>
      </c>
      <c r="BE49" s="45"/>
      <c r="BF49" s="45" t="str">
        <f t="shared" si="6"/>
        <v>Possible</v>
      </c>
      <c r="BG49" s="45"/>
      <c r="BH49" s="45">
        <f>INDEX(Table5[[#All],[Ovr]],MATCH(Table3[[#This Row],[PID]],Table5[[#All],[PID]],0))</f>
        <v>95</v>
      </c>
      <c r="BI49" s="45" t="str">
        <f>INDEX(Table5[[#All],[Rnd]],MATCH(Table3[[#This Row],[PID]],Table5[[#All],[PID]],0))</f>
        <v>3</v>
      </c>
      <c r="BJ49" s="45">
        <f>INDEX(Table5[[#All],[Pick]],MATCH(Table3[[#This Row],[PID]],Table5[[#All],[PID]],0))</f>
        <v>23</v>
      </c>
      <c r="BK49" s="45" t="str">
        <f>INDEX(Table5[[#All],[Team]],MATCH(Table3[[#This Row],[PID]],Table5[[#All],[PID]],0))</f>
        <v>Bakersfield Bears</v>
      </c>
      <c r="BL49" s="45" t="str">
        <f>IF(OR(Table3[[#This Row],[POS]]="SP",Table3[[#This Row],[POS]]="RP",Table3[[#This Row],[POS]]="CL"),"P",INDEX(Batters[[#All],[zScore]],MATCH(Table3[[#This Row],[PID]],Batters[[#All],[PID]],0)))</f>
        <v>P</v>
      </c>
    </row>
    <row r="50" spans="1:64" ht="15" customHeight="1" x14ac:dyDescent="0.3">
      <c r="A50" s="40">
        <v>14930</v>
      </c>
      <c r="B50" s="40" t="s">
        <v>24</v>
      </c>
      <c r="C50" s="40" t="s">
        <v>343</v>
      </c>
      <c r="D50" s="40" t="s">
        <v>696</v>
      </c>
      <c r="E50" s="40">
        <v>21</v>
      </c>
      <c r="F50" s="40" t="s">
        <v>42</v>
      </c>
      <c r="G50" s="40" t="s">
        <v>42</v>
      </c>
      <c r="H50" s="41" t="s">
        <v>549</v>
      </c>
      <c r="I50" s="42" t="s">
        <v>43</v>
      </c>
      <c r="J50" s="40" t="s">
        <v>43</v>
      </c>
      <c r="K50" s="41" t="s">
        <v>43</v>
      </c>
      <c r="L50" s="40">
        <v>3</v>
      </c>
      <c r="M50" s="40">
        <v>2</v>
      </c>
      <c r="N50" s="41">
        <v>4</v>
      </c>
      <c r="O50" s="40">
        <v>6</v>
      </c>
      <c r="P50" s="40">
        <v>4</v>
      </c>
      <c r="Q50" s="41">
        <v>5</v>
      </c>
      <c r="R50" s="40">
        <v>6</v>
      </c>
      <c r="S50" s="40">
        <v>9</v>
      </c>
      <c r="T50" s="40">
        <v>1</v>
      </c>
      <c r="U50" s="40">
        <v>4</v>
      </c>
      <c r="V50" s="40">
        <v>2</v>
      </c>
      <c r="W50" s="40">
        <v>3</v>
      </c>
      <c r="X50" s="40">
        <v>3</v>
      </c>
      <c r="Y50" s="40">
        <v>6</v>
      </c>
      <c r="Z50" s="40" t="s">
        <v>45</v>
      </c>
      <c r="AA50" s="40" t="s">
        <v>45</v>
      </c>
      <c r="AB50" s="40" t="s">
        <v>45</v>
      </c>
      <c r="AC50" s="40" t="s">
        <v>45</v>
      </c>
      <c r="AD50" s="40" t="s">
        <v>45</v>
      </c>
      <c r="AE50" s="40" t="s">
        <v>45</v>
      </c>
      <c r="AF50" s="40" t="s">
        <v>45</v>
      </c>
      <c r="AG50" s="40" t="s">
        <v>45</v>
      </c>
      <c r="AH50" s="40" t="s">
        <v>45</v>
      </c>
      <c r="AI50" s="40" t="s">
        <v>45</v>
      </c>
      <c r="AJ50" s="40" t="s">
        <v>45</v>
      </c>
      <c r="AK50" s="40" t="s">
        <v>45</v>
      </c>
      <c r="AL50" s="40" t="s">
        <v>45</v>
      </c>
      <c r="AM50" s="40" t="s">
        <v>45</v>
      </c>
      <c r="AN50" s="40" t="s">
        <v>45</v>
      </c>
      <c r="AO50" s="41" t="s">
        <v>45</v>
      </c>
      <c r="AP50" s="40" t="s">
        <v>46</v>
      </c>
      <c r="AQ50" s="40">
        <v>8</v>
      </c>
      <c r="AR50" s="48" t="s">
        <v>326</v>
      </c>
      <c r="AS50" s="43" t="s">
        <v>579</v>
      </c>
      <c r="AT50" s="43" t="s">
        <v>103</v>
      </c>
      <c r="AU50" s="44">
        <f t="shared" si="0"/>
        <v>-1.3897081743568644</v>
      </c>
      <c r="AV50" s="44">
        <f t="shared" si="1"/>
        <v>0.27304454882194901</v>
      </c>
      <c r="AW50" s="45">
        <f t="shared" si="2"/>
        <v>4</v>
      </c>
      <c r="AX50" s="45">
        <f t="shared" si="3"/>
        <v>2</v>
      </c>
      <c r="AY50" s="46">
        <f>VLOOKUP(AP50,COND!$A$10:$B$32,2,FALSE)</f>
        <v>1.05</v>
      </c>
      <c r="AZ50" s="44">
        <f>($AU$3*AU50+$AV$3*AV50+$AW$3*AW50+$AX$3*AX50)*AY50*IF(AQ50&lt;5,0.95,IF(AQ50&lt;7,0.975,1))+$I$3*VLOOKUP(I50,COND!$A$2:$E$7,4,FALSE)+$J$3*VLOOKUP(J50,COND!$A$2:$E$7,2,FALSE)+$K$3*VLOOKUP(K50,COND!$A$2:$E$7,3,FALSE)+IF(BB50="SP",$BB$3,0)+IF($AW50&lt;3,-5,0)+IF(AND($B$2&gt;0,$E50&lt;20),$B$2*25,0)</f>
        <v>57.167096808645987</v>
      </c>
      <c r="BA50" s="47">
        <f t="shared" si="8"/>
        <v>1.3788896005161608</v>
      </c>
      <c r="BB50" s="45" t="str">
        <f t="shared" si="5"/>
        <v>SP</v>
      </c>
      <c r="BC50" s="45">
        <v>31</v>
      </c>
      <c r="BD50" s="45">
        <v>45</v>
      </c>
      <c r="BE50" s="45"/>
      <c r="BF50" s="45" t="str">
        <f t="shared" si="6"/>
        <v>Possible</v>
      </c>
      <c r="BG50" s="45"/>
      <c r="BH50" s="45">
        <f>INDEX(Table5[[#All],[Ovr]],MATCH(Table3[[#This Row],[PID]],Table5[[#All],[PID]],0))</f>
        <v>65</v>
      </c>
      <c r="BI50" s="45" t="str">
        <f>INDEX(Table5[[#All],[Rnd]],MATCH(Table3[[#This Row],[PID]],Table5[[#All],[PID]],0))</f>
        <v>2</v>
      </c>
      <c r="BJ50" s="45">
        <f>INDEX(Table5[[#All],[Pick]],MATCH(Table3[[#This Row],[PID]],Table5[[#All],[PID]],0))</f>
        <v>29</v>
      </c>
      <c r="BK50" s="45" t="str">
        <f>INDEX(Table5[[#All],[Team]],MATCH(Table3[[#This Row],[PID]],Table5[[#All],[PID]],0))</f>
        <v>Neo-Tokyo Akira</v>
      </c>
      <c r="BL50" s="45" t="str">
        <f>IF(OR(Table3[[#This Row],[POS]]="SP",Table3[[#This Row],[POS]]="RP",Table3[[#This Row],[POS]]="CL"),"P",INDEX(Batters[[#All],[zScore]],MATCH(Table3[[#This Row],[PID]],Batters[[#All],[PID]],0)))</f>
        <v>P</v>
      </c>
    </row>
    <row r="51" spans="1:64" ht="15" customHeight="1" x14ac:dyDescent="0.3">
      <c r="A51" s="40">
        <v>13516</v>
      </c>
      <c r="B51" s="40" t="s">
        <v>380</v>
      </c>
      <c r="C51" s="40" t="s">
        <v>1599</v>
      </c>
      <c r="D51" s="40" t="s">
        <v>641</v>
      </c>
      <c r="E51" s="40">
        <v>17</v>
      </c>
      <c r="F51" s="40" t="s">
        <v>62</v>
      </c>
      <c r="G51" s="40" t="s">
        <v>42</v>
      </c>
      <c r="H51" s="41" t="s">
        <v>552</v>
      </c>
      <c r="I51" s="42" t="s">
        <v>43</v>
      </c>
      <c r="J51" s="40" t="s">
        <v>47</v>
      </c>
      <c r="K51" s="41" t="s">
        <v>43</v>
      </c>
      <c r="L51" s="40">
        <v>3</v>
      </c>
      <c r="M51" s="40">
        <v>1</v>
      </c>
      <c r="N51" s="41">
        <v>2</v>
      </c>
      <c r="O51" s="40">
        <v>6</v>
      </c>
      <c r="P51" s="40">
        <v>3</v>
      </c>
      <c r="Q51" s="41">
        <v>4</v>
      </c>
      <c r="R51" s="40">
        <v>5</v>
      </c>
      <c r="S51" s="40">
        <v>7</v>
      </c>
      <c r="T51" s="40">
        <v>2</v>
      </c>
      <c r="U51" s="40">
        <v>6</v>
      </c>
      <c r="V51" s="40">
        <v>2</v>
      </c>
      <c r="W51" s="40">
        <v>7</v>
      </c>
      <c r="X51" s="40">
        <v>3</v>
      </c>
      <c r="Y51" s="40">
        <v>5</v>
      </c>
      <c r="Z51" s="40" t="s">
        <v>45</v>
      </c>
      <c r="AA51" s="40" t="s">
        <v>45</v>
      </c>
      <c r="AB51" s="40">
        <v>4</v>
      </c>
      <c r="AC51" s="40">
        <v>5</v>
      </c>
      <c r="AD51" s="40" t="s">
        <v>45</v>
      </c>
      <c r="AE51" s="40" t="s">
        <v>45</v>
      </c>
      <c r="AF51" s="40" t="s">
        <v>45</v>
      </c>
      <c r="AG51" s="40" t="s">
        <v>45</v>
      </c>
      <c r="AH51" s="40" t="s">
        <v>45</v>
      </c>
      <c r="AI51" s="40" t="s">
        <v>45</v>
      </c>
      <c r="AJ51" s="40" t="s">
        <v>45</v>
      </c>
      <c r="AK51" s="40" t="s">
        <v>45</v>
      </c>
      <c r="AL51" s="40" t="s">
        <v>45</v>
      </c>
      <c r="AM51" s="40" t="s">
        <v>45</v>
      </c>
      <c r="AN51" s="40" t="s">
        <v>45</v>
      </c>
      <c r="AO51" s="41" t="s">
        <v>45</v>
      </c>
      <c r="AP51" s="40" t="s">
        <v>60</v>
      </c>
      <c r="AQ51" s="40">
        <v>3</v>
      </c>
      <c r="AR51" s="48" t="s">
        <v>14</v>
      </c>
      <c r="AS51" s="43" t="s">
        <v>558</v>
      </c>
      <c r="AT51" s="43" t="s">
        <v>103</v>
      </c>
      <c r="AU51" s="44">
        <f t="shared" si="0"/>
        <v>-2.0697810228951408</v>
      </c>
      <c r="AV51" s="44">
        <f t="shared" si="1"/>
        <v>-0.16470773366221675</v>
      </c>
      <c r="AW51" s="45">
        <f t="shared" si="2"/>
        <v>5</v>
      </c>
      <c r="AX51" s="45">
        <f t="shared" si="3"/>
        <v>3</v>
      </c>
      <c r="AY51" s="46">
        <f>VLOOKUP(AP51,COND!$A$10:$B$32,2,FALSE)</f>
        <v>1.0249999999999999</v>
      </c>
      <c r="AZ51" s="44">
        <f>($AU$3*AU51+$AV$3*AV51+$AW$3*AW51+$AX$3*AX51)*AY51*IF(AQ51&lt;5,0.95,IF(AQ51&lt;7,0.975,1))+$I$3*VLOOKUP(I51,COND!$A$2:$E$7,4,FALSE)+$J$3*VLOOKUP(J51,COND!$A$2:$E$7,2,FALSE)+$K$3*VLOOKUP(K51,COND!$A$2:$E$7,3,FALSE)+IF(BB51="SP",$BB$3,0)+IF($AW51&lt;3,-5,0)+IF(AND($B$2&gt;0,$E51&lt;20),$B$2*25,0)</f>
        <v>52.775164532719501</v>
      </c>
      <c r="BA51" s="47">
        <f t="shared" si="8"/>
        <v>1.0661531345683812</v>
      </c>
      <c r="BB51" s="45" t="str">
        <f t="shared" si="5"/>
        <v>RP</v>
      </c>
      <c r="BC51" s="45">
        <v>16</v>
      </c>
      <c r="BD51" s="45">
        <v>46</v>
      </c>
      <c r="BE51" s="45"/>
      <c r="BF51" s="45" t="str">
        <f t="shared" si="6"/>
        <v>Possible</v>
      </c>
      <c r="BG51" s="45"/>
      <c r="BH51" s="45">
        <f>INDEX(Table5[[#All],[Ovr]],MATCH(Table3[[#This Row],[PID]],Table5[[#All],[PID]],0))</f>
        <v>236</v>
      </c>
      <c r="BI51" s="45" t="str">
        <f>INDEX(Table5[[#All],[Rnd]],MATCH(Table3[[#This Row],[PID]],Table5[[#All],[PID]],0))</f>
        <v>8</v>
      </c>
      <c r="BJ51" s="45">
        <f>INDEX(Table5[[#All],[Pick]],MATCH(Table3[[#This Row],[PID]],Table5[[#All],[PID]],0))</f>
        <v>3</v>
      </c>
      <c r="BK51" s="45" t="str">
        <f>INDEX(Table5[[#All],[Team]],MATCH(Table3[[#This Row],[PID]],Table5[[#All],[PID]],0))</f>
        <v>Okinawa Shisa</v>
      </c>
      <c r="BL51" s="45" t="str">
        <f>IF(OR(Table3[[#This Row],[POS]]="SP",Table3[[#This Row],[POS]]="RP",Table3[[#This Row],[POS]]="CL"),"P",INDEX(Batters[[#All],[zScore]],MATCH(Table3[[#This Row],[PID]],Batters[[#All],[PID]],0)))</f>
        <v>P</v>
      </c>
    </row>
    <row r="52" spans="1:64" ht="15" customHeight="1" x14ac:dyDescent="0.3">
      <c r="A52" s="40">
        <v>13155</v>
      </c>
      <c r="B52" s="40" t="s">
        <v>24</v>
      </c>
      <c r="C52" s="40" t="s">
        <v>144</v>
      </c>
      <c r="D52" s="40" t="s">
        <v>1405</v>
      </c>
      <c r="E52" s="40">
        <v>17</v>
      </c>
      <c r="F52" s="40" t="s">
        <v>62</v>
      </c>
      <c r="G52" s="40" t="s">
        <v>42</v>
      </c>
      <c r="H52" s="41" t="s">
        <v>550</v>
      </c>
      <c r="I52" s="42" t="s">
        <v>43</v>
      </c>
      <c r="J52" s="40" t="s">
        <v>43</v>
      </c>
      <c r="K52" s="41" t="s">
        <v>43</v>
      </c>
      <c r="L52" s="40">
        <v>2</v>
      </c>
      <c r="M52" s="40">
        <v>2</v>
      </c>
      <c r="N52" s="41">
        <v>2</v>
      </c>
      <c r="O52" s="40">
        <v>4</v>
      </c>
      <c r="P52" s="40">
        <v>6</v>
      </c>
      <c r="Q52" s="41">
        <v>4</v>
      </c>
      <c r="R52" s="40">
        <v>4</v>
      </c>
      <c r="S52" s="40">
        <v>6</v>
      </c>
      <c r="T52" s="40" t="s">
        <v>45</v>
      </c>
      <c r="U52" s="40" t="s">
        <v>45</v>
      </c>
      <c r="V52" s="40">
        <v>2</v>
      </c>
      <c r="W52" s="40">
        <v>6</v>
      </c>
      <c r="X52" s="40">
        <v>3</v>
      </c>
      <c r="Y52" s="40">
        <v>6</v>
      </c>
      <c r="Z52" s="40" t="s">
        <v>45</v>
      </c>
      <c r="AA52" s="40" t="s">
        <v>45</v>
      </c>
      <c r="AB52" s="40" t="s">
        <v>45</v>
      </c>
      <c r="AC52" s="40" t="s">
        <v>45</v>
      </c>
      <c r="AD52" s="40" t="s">
        <v>45</v>
      </c>
      <c r="AE52" s="40" t="s">
        <v>45</v>
      </c>
      <c r="AF52" s="40" t="s">
        <v>45</v>
      </c>
      <c r="AG52" s="40" t="s">
        <v>45</v>
      </c>
      <c r="AH52" s="40" t="s">
        <v>45</v>
      </c>
      <c r="AI52" s="40" t="s">
        <v>45</v>
      </c>
      <c r="AJ52" s="40" t="s">
        <v>45</v>
      </c>
      <c r="AK52" s="40" t="s">
        <v>45</v>
      </c>
      <c r="AL52" s="40" t="s">
        <v>45</v>
      </c>
      <c r="AM52" s="40" t="s">
        <v>45</v>
      </c>
      <c r="AN52" s="40" t="s">
        <v>45</v>
      </c>
      <c r="AO52" s="41" t="s">
        <v>45</v>
      </c>
      <c r="AP52" s="40" t="s">
        <v>56</v>
      </c>
      <c r="AQ52" s="40">
        <v>4</v>
      </c>
      <c r="AR52" s="48" t="s">
        <v>326</v>
      </c>
      <c r="AS52" s="43" t="s">
        <v>492</v>
      </c>
      <c r="AT52" s="43" t="s">
        <v>103</v>
      </c>
      <c r="AU52" s="44">
        <f t="shared" si="0"/>
        <v>-2.0690406309742588</v>
      </c>
      <c r="AV52" s="44">
        <f t="shared" si="1"/>
        <v>3.2204766609602385E-2</v>
      </c>
      <c r="AW52" s="45">
        <f t="shared" si="2"/>
        <v>3</v>
      </c>
      <c r="AX52" s="45">
        <f t="shared" si="3"/>
        <v>3</v>
      </c>
      <c r="AY52" s="46">
        <f>VLOOKUP(AP52,COND!$A$10:$B$32,2,FALSE)</f>
        <v>1</v>
      </c>
      <c r="AZ52" s="44">
        <f>($AU$3*AU52+$AV$3*AV52+$AW$3*AW52+$AX$3*AX52)*AY52*IF(AQ52&lt;5,0.95,IF(AQ52&lt;7,0.975,1))+$I$3*VLOOKUP(I52,COND!$A$2:$E$7,4,FALSE)+$J$3*VLOOKUP(J52,COND!$A$2:$E$7,2,FALSE)+$K$3*VLOOKUP(K52,COND!$A$2:$E$7,3,FALSE)+IF(BB52="SP",$BB$3,0)+IF($AW52&lt;3,-5,0)+IF(AND($B$2&gt;0,$E52&lt;20),$B$2*25,0)</f>
        <v>55.206272845697335</v>
      </c>
      <c r="BA52" s="47">
        <f t="shared" si="8"/>
        <v>1.239265144128358</v>
      </c>
      <c r="BB52" s="45" t="str">
        <f t="shared" si="5"/>
        <v>RP</v>
      </c>
      <c r="BC52" s="45">
        <v>17</v>
      </c>
      <c r="BD52" s="45">
        <v>47</v>
      </c>
      <c r="BE52" s="45"/>
      <c r="BF52" s="45" t="str">
        <f t="shared" si="6"/>
        <v>Possible</v>
      </c>
      <c r="BG52" s="45"/>
      <c r="BH52" s="45">
        <f>INDEX(Table5[[#All],[Ovr]],MATCH(Table3[[#This Row],[PID]],Table5[[#All],[PID]],0))</f>
        <v>166</v>
      </c>
      <c r="BI52" s="45" t="str">
        <f>INDEX(Table5[[#All],[Rnd]],MATCH(Table3[[#This Row],[PID]],Table5[[#All],[PID]],0))</f>
        <v>5</v>
      </c>
      <c r="BJ52" s="45">
        <f>INDEX(Table5[[#All],[Pick]],MATCH(Table3[[#This Row],[PID]],Table5[[#All],[PID]],0))</f>
        <v>29</v>
      </c>
      <c r="BK52" s="45" t="str">
        <f>INDEX(Table5[[#All],[Team]],MATCH(Table3[[#This Row],[PID]],Table5[[#All],[PID]],0))</f>
        <v>Charleston Statesmen</v>
      </c>
      <c r="BL52" s="45" t="str">
        <f>IF(OR(Table3[[#This Row],[POS]]="SP",Table3[[#This Row],[POS]]="RP",Table3[[#This Row],[POS]]="CL"),"P",INDEX(Batters[[#All],[zScore]],MATCH(Table3[[#This Row],[PID]],Batters[[#All],[PID]],0)))</f>
        <v>P</v>
      </c>
    </row>
    <row r="53" spans="1:64" ht="15" customHeight="1" x14ac:dyDescent="0.3">
      <c r="A53" s="40">
        <v>20833</v>
      </c>
      <c r="B53" s="40" t="s">
        <v>24</v>
      </c>
      <c r="C53" s="40" t="s">
        <v>1400</v>
      </c>
      <c r="D53" s="40" t="s">
        <v>1401</v>
      </c>
      <c r="E53" s="40">
        <v>17</v>
      </c>
      <c r="F53" s="40" t="s">
        <v>53</v>
      </c>
      <c r="G53" s="40" t="s">
        <v>42</v>
      </c>
      <c r="H53" s="41" t="s">
        <v>561</v>
      </c>
      <c r="I53" s="42" t="s">
        <v>43</v>
      </c>
      <c r="J53" s="40" t="s">
        <v>43</v>
      </c>
      <c r="K53" s="41" t="s">
        <v>43</v>
      </c>
      <c r="L53" s="40">
        <v>2</v>
      </c>
      <c r="M53" s="40">
        <v>2</v>
      </c>
      <c r="N53" s="41">
        <v>1</v>
      </c>
      <c r="O53" s="40">
        <v>6</v>
      </c>
      <c r="P53" s="40">
        <v>2</v>
      </c>
      <c r="Q53" s="41">
        <v>4</v>
      </c>
      <c r="R53" s="40">
        <v>5</v>
      </c>
      <c r="S53" s="40">
        <v>8</v>
      </c>
      <c r="T53" s="40">
        <v>1</v>
      </c>
      <c r="U53" s="40">
        <v>9</v>
      </c>
      <c r="V53" s="40">
        <v>2</v>
      </c>
      <c r="W53" s="40">
        <v>4</v>
      </c>
      <c r="X53" s="40" t="s">
        <v>45</v>
      </c>
      <c r="Y53" s="40" t="s">
        <v>45</v>
      </c>
      <c r="Z53" s="40" t="s">
        <v>45</v>
      </c>
      <c r="AA53" s="40" t="s">
        <v>45</v>
      </c>
      <c r="AB53" s="40" t="s">
        <v>45</v>
      </c>
      <c r="AC53" s="40" t="s">
        <v>45</v>
      </c>
      <c r="AD53" s="40" t="s">
        <v>45</v>
      </c>
      <c r="AE53" s="40" t="s">
        <v>45</v>
      </c>
      <c r="AF53" s="40" t="s">
        <v>45</v>
      </c>
      <c r="AG53" s="40" t="s">
        <v>45</v>
      </c>
      <c r="AH53" s="40" t="s">
        <v>45</v>
      </c>
      <c r="AI53" s="40" t="s">
        <v>45</v>
      </c>
      <c r="AJ53" s="40" t="s">
        <v>45</v>
      </c>
      <c r="AK53" s="40" t="s">
        <v>45</v>
      </c>
      <c r="AL53" s="40" t="s">
        <v>45</v>
      </c>
      <c r="AM53" s="40" t="s">
        <v>45</v>
      </c>
      <c r="AN53" s="40" t="s">
        <v>45</v>
      </c>
      <c r="AO53" s="41" t="s">
        <v>45</v>
      </c>
      <c r="AP53" s="40" t="s">
        <v>48</v>
      </c>
      <c r="AQ53" s="40">
        <v>7</v>
      </c>
      <c r="AR53" s="48" t="s">
        <v>326</v>
      </c>
      <c r="AS53" s="43" t="s">
        <v>498</v>
      </c>
      <c r="AT53" s="43" t="s">
        <v>103</v>
      </c>
      <c r="AU53" s="44">
        <f t="shared" si="0"/>
        <v>-2.311361197028369</v>
      </c>
      <c r="AV53" s="44">
        <f t="shared" si="1"/>
        <v>-0.36013945009227222</v>
      </c>
      <c r="AW53" s="45">
        <f t="shared" si="2"/>
        <v>3</v>
      </c>
      <c r="AX53" s="45">
        <f t="shared" si="3"/>
        <v>2</v>
      </c>
      <c r="AY53" s="46">
        <f>VLOOKUP(AP53,COND!$A$10:$B$32,2,FALSE)</f>
        <v>1.05</v>
      </c>
      <c r="AZ53" s="44">
        <f>($AU$3*AU53+$AV$3*AV53+$AW$3*AW53+$AX$3*AX53)*AY53*IF(AQ53&lt;5,0.95,IF(AQ53&lt;7,0.975,1))+$I$3*VLOOKUP(I53,COND!$A$2:$E$7,4,FALSE)+$J$3*VLOOKUP(J53,COND!$A$2:$E$7,2,FALSE)+$K$3*VLOOKUP(K53,COND!$A$2:$E$7,3,FALSE)+IF(BB53="SP",$BB$3,0)+IF($AW53&lt;3,-5,0)+IF(AND($B$2&gt;0,$E53&lt;20),$B$2*25,0)</f>
        <v>48.151685696686329</v>
      </c>
      <c r="BA53" s="47">
        <f t="shared" si="8"/>
        <v>0.73692892510346064</v>
      </c>
      <c r="BB53" s="45" t="str">
        <f t="shared" si="5"/>
        <v>SP</v>
      </c>
      <c r="BC53" s="45">
        <v>32</v>
      </c>
      <c r="BD53" s="45">
        <v>48</v>
      </c>
      <c r="BE53" s="45"/>
      <c r="BF53" s="45" t="str">
        <f t="shared" si="6"/>
        <v>Possible</v>
      </c>
      <c r="BG53" s="45"/>
      <c r="BH53" s="45">
        <f>INDEX(Table5[[#All],[Ovr]],MATCH(Table3[[#This Row],[PID]],Table5[[#All],[PID]],0))</f>
        <v>181</v>
      </c>
      <c r="BI53" s="45" t="str">
        <f>INDEX(Table5[[#All],[Rnd]],MATCH(Table3[[#This Row],[PID]],Table5[[#All],[PID]],0))</f>
        <v>6</v>
      </c>
      <c r="BJ53" s="45">
        <f>INDEX(Table5[[#All],[Pick]],MATCH(Table3[[#This Row],[PID]],Table5[[#All],[PID]],0))</f>
        <v>12</v>
      </c>
      <c r="BK53" s="45" t="str">
        <f>INDEX(Table5[[#All],[Team]],MATCH(Table3[[#This Row],[PID]],Table5[[#All],[PID]],0))</f>
        <v>Manchester Maulers</v>
      </c>
      <c r="BL53" s="45" t="str">
        <f>IF(OR(Table3[[#This Row],[POS]]="SP",Table3[[#This Row],[POS]]="RP",Table3[[#This Row],[POS]]="CL"),"P",INDEX(Batters[[#All],[zScore]],MATCH(Table3[[#This Row],[PID]],Batters[[#All],[PID]],0)))</f>
        <v>P</v>
      </c>
    </row>
    <row r="54" spans="1:64" ht="15" customHeight="1" x14ac:dyDescent="0.3">
      <c r="A54" s="40">
        <v>9126</v>
      </c>
      <c r="B54" s="40" t="s">
        <v>24</v>
      </c>
      <c r="C54" s="40" t="s">
        <v>903</v>
      </c>
      <c r="D54" s="40" t="s">
        <v>1559</v>
      </c>
      <c r="E54" s="40">
        <v>17</v>
      </c>
      <c r="F54" s="40" t="s">
        <v>53</v>
      </c>
      <c r="G54" s="40" t="s">
        <v>42</v>
      </c>
      <c r="H54" s="41" t="s">
        <v>550</v>
      </c>
      <c r="I54" s="42" t="s">
        <v>44</v>
      </c>
      <c r="J54" s="40" t="s">
        <v>43</v>
      </c>
      <c r="K54" s="41" t="s">
        <v>43</v>
      </c>
      <c r="L54" s="40">
        <v>3</v>
      </c>
      <c r="M54" s="40">
        <v>2</v>
      </c>
      <c r="N54" s="41">
        <v>1</v>
      </c>
      <c r="O54" s="40">
        <v>5</v>
      </c>
      <c r="P54" s="40">
        <v>4</v>
      </c>
      <c r="Q54" s="41">
        <v>4</v>
      </c>
      <c r="R54" s="40">
        <v>5</v>
      </c>
      <c r="S54" s="40">
        <v>8</v>
      </c>
      <c r="T54" s="40" t="s">
        <v>45</v>
      </c>
      <c r="U54" s="40" t="s">
        <v>45</v>
      </c>
      <c r="V54" s="40">
        <v>2</v>
      </c>
      <c r="W54" s="40">
        <v>5</v>
      </c>
      <c r="X54" s="40" t="s">
        <v>45</v>
      </c>
      <c r="Y54" s="40" t="s">
        <v>45</v>
      </c>
      <c r="Z54" s="40" t="s">
        <v>45</v>
      </c>
      <c r="AA54" s="40" t="s">
        <v>45</v>
      </c>
      <c r="AB54" s="40" t="s">
        <v>45</v>
      </c>
      <c r="AC54" s="40" t="s">
        <v>45</v>
      </c>
      <c r="AD54" s="40" t="s">
        <v>45</v>
      </c>
      <c r="AE54" s="40" t="s">
        <v>45</v>
      </c>
      <c r="AF54" s="40" t="s">
        <v>45</v>
      </c>
      <c r="AG54" s="40" t="s">
        <v>45</v>
      </c>
      <c r="AH54" s="40" t="s">
        <v>45</v>
      </c>
      <c r="AI54" s="40" t="s">
        <v>45</v>
      </c>
      <c r="AJ54" s="40" t="s">
        <v>45</v>
      </c>
      <c r="AK54" s="40" t="s">
        <v>45</v>
      </c>
      <c r="AL54" s="40">
        <v>2</v>
      </c>
      <c r="AM54" s="40">
        <v>7</v>
      </c>
      <c r="AN54" s="40" t="s">
        <v>45</v>
      </c>
      <c r="AO54" s="41" t="s">
        <v>45</v>
      </c>
      <c r="AP54" s="40" t="s">
        <v>61</v>
      </c>
      <c r="AQ54" s="40">
        <v>6</v>
      </c>
      <c r="AR54" s="48" t="s">
        <v>14</v>
      </c>
      <c r="AS54" s="43" t="s">
        <v>1432</v>
      </c>
      <c r="AT54" s="43" t="s">
        <v>103</v>
      </c>
      <c r="AU54" s="44">
        <f t="shared" si="0"/>
        <v>-2.1166698725191955</v>
      </c>
      <c r="AV54" s="44">
        <f t="shared" si="1"/>
        <v>-0.16396734174133493</v>
      </c>
      <c r="AW54" s="45">
        <f t="shared" si="2"/>
        <v>3</v>
      </c>
      <c r="AX54" s="45">
        <f t="shared" si="3"/>
        <v>2</v>
      </c>
      <c r="AY54" s="46">
        <f>VLOOKUP(AP54,COND!$A$10:$B$32,2,FALSE)</f>
        <v>1.05</v>
      </c>
      <c r="AZ54" s="44">
        <f>($AU$3*AU54+$AV$3*AV54+$AW$3*AW54+$AX$3*AX54)*AY54*IF(AQ54&lt;5,0.95,IF(AQ54&lt;7,0.975,1))+$I$3*VLOOKUP(I54,COND!$A$2:$E$7,4,FALSE)+$J$3*VLOOKUP(J54,COND!$A$2:$E$7,2,FALSE)+$K$3*VLOOKUP(K54,COND!$A$2:$E$7,3,FALSE)+IF(BB54="SP",$BB$3,0)+IF($AW54&lt;3,-5,0)+IF(AND($B$2&gt;0,$E54&lt;20),$B$2*25,0)</f>
        <v>52.154380521447862</v>
      </c>
      <c r="BA54" s="47">
        <f t="shared" si="8"/>
        <v>1.0219489470707441</v>
      </c>
      <c r="BB54" s="45" t="str">
        <f t="shared" si="5"/>
        <v>SP</v>
      </c>
      <c r="BC54" s="45">
        <v>33</v>
      </c>
      <c r="BD54" s="45">
        <v>49</v>
      </c>
      <c r="BE54" s="45"/>
      <c r="BF54" s="45" t="str">
        <f t="shared" si="6"/>
        <v>Possible</v>
      </c>
      <c r="BG54" s="45"/>
      <c r="BH54" s="45">
        <f>INDEX(Table5[[#All],[Ovr]],MATCH(Table3[[#This Row],[PID]],Table5[[#All],[PID]],0))</f>
        <v>257</v>
      </c>
      <c r="BI54" s="45" t="str">
        <f>INDEX(Table5[[#All],[Rnd]],MATCH(Table3[[#This Row],[PID]],Table5[[#All],[PID]],0))</f>
        <v>8</v>
      </c>
      <c r="BJ54" s="45">
        <f>INDEX(Table5[[#All],[Pick]],MATCH(Table3[[#This Row],[PID]],Table5[[#All],[PID]],0))</f>
        <v>24</v>
      </c>
      <c r="BK54" s="45" t="str">
        <f>INDEX(Table5[[#All],[Team]],MATCH(Table3[[#This Row],[PID]],Table5[[#All],[PID]],0))</f>
        <v>Reno Zephyrs</v>
      </c>
      <c r="BL54" s="45" t="str">
        <f>IF(OR(Table3[[#This Row],[POS]]="SP",Table3[[#This Row],[POS]]="RP",Table3[[#This Row],[POS]]="CL"),"P",INDEX(Batters[[#All],[zScore]],MATCH(Table3[[#This Row],[PID]],Batters[[#All],[PID]],0)))</f>
        <v>P</v>
      </c>
    </row>
    <row r="55" spans="1:64" ht="15" customHeight="1" x14ac:dyDescent="0.3">
      <c r="A55" s="40">
        <v>12752</v>
      </c>
      <c r="B55" s="40" t="s">
        <v>380</v>
      </c>
      <c r="C55" s="40" t="s">
        <v>142</v>
      </c>
      <c r="D55" s="40" t="s">
        <v>1079</v>
      </c>
      <c r="E55" s="40">
        <v>18</v>
      </c>
      <c r="F55" s="40" t="s">
        <v>42</v>
      </c>
      <c r="G55" s="40" t="s">
        <v>42</v>
      </c>
      <c r="H55" s="41" t="s">
        <v>550</v>
      </c>
      <c r="I55" s="42" t="s">
        <v>47</v>
      </c>
      <c r="J55" s="40" t="s">
        <v>47</v>
      </c>
      <c r="K55" s="41" t="s">
        <v>43</v>
      </c>
      <c r="L55" s="40">
        <v>4</v>
      </c>
      <c r="M55" s="40">
        <v>2</v>
      </c>
      <c r="N55" s="41">
        <v>1</v>
      </c>
      <c r="O55" s="40">
        <v>7</v>
      </c>
      <c r="P55" s="40">
        <v>3</v>
      </c>
      <c r="Q55" s="41">
        <v>4</v>
      </c>
      <c r="R55" s="40">
        <v>6</v>
      </c>
      <c r="S55" s="40">
        <v>9</v>
      </c>
      <c r="T55" s="40">
        <v>1</v>
      </c>
      <c r="U55" s="40">
        <v>1</v>
      </c>
      <c r="V55" s="40">
        <v>3</v>
      </c>
      <c r="W55" s="40">
        <v>7</v>
      </c>
      <c r="X55" s="40" t="s">
        <v>45</v>
      </c>
      <c r="Y55" s="40" t="s">
        <v>45</v>
      </c>
      <c r="Z55" s="40" t="s">
        <v>45</v>
      </c>
      <c r="AA55" s="40" t="s">
        <v>45</v>
      </c>
      <c r="AB55" s="40" t="s">
        <v>45</v>
      </c>
      <c r="AC55" s="40" t="s">
        <v>45</v>
      </c>
      <c r="AD55" s="40" t="s">
        <v>45</v>
      </c>
      <c r="AE55" s="40" t="s">
        <v>45</v>
      </c>
      <c r="AF55" s="40" t="s">
        <v>45</v>
      </c>
      <c r="AG55" s="40" t="s">
        <v>45</v>
      </c>
      <c r="AH55" s="40" t="s">
        <v>45</v>
      </c>
      <c r="AI55" s="40" t="s">
        <v>45</v>
      </c>
      <c r="AJ55" s="40" t="s">
        <v>45</v>
      </c>
      <c r="AK55" s="40" t="s">
        <v>45</v>
      </c>
      <c r="AL55" s="40" t="s">
        <v>45</v>
      </c>
      <c r="AM55" s="40" t="s">
        <v>45</v>
      </c>
      <c r="AN55" s="40" t="s">
        <v>45</v>
      </c>
      <c r="AO55" s="41" t="s">
        <v>45</v>
      </c>
      <c r="AP55" s="40" t="s">
        <v>61</v>
      </c>
      <c r="AQ55" s="40">
        <v>7</v>
      </c>
      <c r="AR55" s="48" t="s">
        <v>326</v>
      </c>
      <c r="AS55" s="43" t="s">
        <v>384</v>
      </c>
      <c r="AT55" s="43" t="s">
        <v>103</v>
      </c>
      <c r="AU55" s="44">
        <f t="shared" si="0"/>
        <v>-1.9219785480100218</v>
      </c>
      <c r="AV55" s="44">
        <f t="shared" si="1"/>
        <v>2.9983590846956665E-2</v>
      </c>
      <c r="AW55" s="45">
        <f t="shared" si="2"/>
        <v>3</v>
      </c>
      <c r="AX55" s="45">
        <f t="shared" si="3"/>
        <v>2</v>
      </c>
      <c r="AY55" s="46">
        <f>VLOOKUP(AP55,COND!$A$10:$B$32,2,FALSE)</f>
        <v>1.05</v>
      </c>
      <c r="AZ55" s="44">
        <f>($AU$3*AU55+$AV$3*AV55+$AW$3*AW55+$AX$3*AX55)*AY55*IF(AQ55&lt;5,0.95,IF(AQ55&lt;7,0.975,1))+$I$3*VLOOKUP(I55,COND!$A$2:$E$7,4,FALSE)+$J$3*VLOOKUP(J55,COND!$A$2:$E$7,2,FALSE)+$K$3*VLOOKUP(K55,COND!$A$2:$E$7,3,FALSE)+IF(BB55="SP",$BB$3,0)+IF($AW55&lt;3,-5,0)+IF(AND($B$2&gt;0,$E55&lt;20),$B$2*25,0)</f>
        <v>56.951039912703983</v>
      </c>
      <c r="BA55" s="47">
        <f>STANDARDIZE(AZ55,AVERAGE($AZ$5:$AZ$445),STDEVP($AZ$5:$AZ$445))</f>
        <v>1.3685204589143336</v>
      </c>
      <c r="BB55" s="45" t="str">
        <f t="shared" si="5"/>
        <v>SP</v>
      </c>
      <c r="BC55" s="45">
        <v>34</v>
      </c>
      <c r="BD55" s="45">
        <v>50</v>
      </c>
      <c r="BE55" s="45"/>
      <c r="BF55" s="45" t="str">
        <f t="shared" si="6"/>
        <v>Possible</v>
      </c>
      <c r="BG55" s="45"/>
      <c r="BH55" s="63">
        <f>INDEX(Table5[[#All],[Ovr]],MATCH(Table3[[#This Row],[PID]],Table5[[#All],[PID]],0))</f>
        <v>77</v>
      </c>
      <c r="BI55" s="63" t="str">
        <f>INDEX(Table5[[#All],[Rnd]],MATCH(Table3[[#This Row],[PID]],Table5[[#All],[PID]],0))</f>
        <v>3</v>
      </c>
      <c r="BJ55" s="63">
        <f>INDEX(Table5[[#All],[Pick]],MATCH(Table3[[#This Row],[PID]],Table5[[#All],[PID]],0))</f>
        <v>5</v>
      </c>
      <c r="BK55" s="63" t="str">
        <f>INDEX(Table5[[#All],[Team]],MATCH(Table3[[#This Row],[PID]],Table5[[#All],[PID]],0))</f>
        <v>Tempe Knights</v>
      </c>
      <c r="BL55" s="63" t="str">
        <f>IF(OR(Table3[[#This Row],[POS]]="SP",Table3[[#This Row],[POS]]="RP",Table3[[#This Row],[POS]]="CL"),"P",INDEX(Batters[[#All],[zScore]],MATCH(Table3[[#This Row],[PID]],Batters[[#All],[PID]],0)))</f>
        <v>P</v>
      </c>
    </row>
    <row r="56" spans="1:64" ht="15" customHeight="1" x14ac:dyDescent="0.3">
      <c r="A56" s="40">
        <v>12710</v>
      </c>
      <c r="B56" s="40" t="s">
        <v>380</v>
      </c>
      <c r="C56" s="40" t="s">
        <v>1204</v>
      </c>
      <c r="D56" s="40" t="s">
        <v>529</v>
      </c>
      <c r="E56" s="40">
        <v>17</v>
      </c>
      <c r="F56" s="40" t="s">
        <v>42</v>
      </c>
      <c r="G56" s="40" t="s">
        <v>42</v>
      </c>
      <c r="H56" s="41" t="s">
        <v>552</v>
      </c>
      <c r="I56" s="42" t="s">
        <v>43</v>
      </c>
      <c r="J56" s="40" t="s">
        <v>43</v>
      </c>
      <c r="K56" s="41" t="s">
        <v>47</v>
      </c>
      <c r="L56" s="40">
        <v>3</v>
      </c>
      <c r="M56" s="40">
        <v>1</v>
      </c>
      <c r="N56" s="41">
        <v>1</v>
      </c>
      <c r="O56" s="40">
        <v>6</v>
      </c>
      <c r="P56" s="40">
        <v>2</v>
      </c>
      <c r="Q56" s="41">
        <v>4</v>
      </c>
      <c r="R56" s="40">
        <v>5</v>
      </c>
      <c r="S56" s="40">
        <v>7</v>
      </c>
      <c r="T56" s="40">
        <v>1</v>
      </c>
      <c r="U56" s="40">
        <v>2</v>
      </c>
      <c r="V56" s="40" t="s">
        <v>45</v>
      </c>
      <c r="W56" s="40" t="s">
        <v>45</v>
      </c>
      <c r="X56" s="40" t="s">
        <v>45</v>
      </c>
      <c r="Y56" s="40" t="s">
        <v>45</v>
      </c>
      <c r="Z56" s="40" t="s">
        <v>45</v>
      </c>
      <c r="AA56" s="40" t="s">
        <v>45</v>
      </c>
      <c r="AB56" s="40" t="s">
        <v>45</v>
      </c>
      <c r="AC56" s="40" t="s">
        <v>45</v>
      </c>
      <c r="AD56" s="40" t="s">
        <v>45</v>
      </c>
      <c r="AE56" s="40" t="s">
        <v>45</v>
      </c>
      <c r="AF56" s="40" t="s">
        <v>45</v>
      </c>
      <c r="AG56" s="40" t="s">
        <v>45</v>
      </c>
      <c r="AH56" s="40" t="s">
        <v>45</v>
      </c>
      <c r="AI56" s="40" t="s">
        <v>45</v>
      </c>
      <c r="AJ56" s="40" t="s">
        <v>45</v>
      </c>
      <c r="AK56" s="40" t="s">
        <v>45</v>
      </c>
      <c r="AL56" s="40">
        <v>3</v>
      </c>
      <c r="AM56" s="40">
        <v>8</v>
      </c>
      <c r="AN56" s="40" t="s">
        <v>45</v>
      </c>
      <c r="AO56" s="41" t="s">
        <v>45</v>
      </c>
      <c r="AP56" s="40" t="s">
        <v>54</v>
      </c>
      <c r="AQ56" s="40">
        <v>8</v>
      </c>
      <c r="AR56" s="48" t="s">
        <v>14</v>
      </c>
      <c r="AS56" s="43" t="s">
        <v>568</v>
      </c>
      <c r="AT56" s="43" t="s">
        <v>103</v>
      </c>
      <c r="AU56" s="44">
        <f t="shared" si="0"/>
        <v>-2.3121015889492513</v>
      </c>
      <c r="AV56" s="44">
        <f t="shared" si="1"/>
        <v>-0.36013945009227222</v>
      </c>
      <c r="AW56" s="45">
        <f t="shared" si="2"/>
        <v>3</v>
      </c>
      <c r="AX56" s="45">
        <f t="shared" si="3"/>
        <v>2</v>
      </c>
      <c r="AY56" s="46">
        <f>VLOOKUP(AP56,COND!$A$10:$B$32,2,FALSE)</f>
        <v>1.0249999999999999</v>
      </c>
      <c r="AZ56" s="44">
        <f>($AU$3*AU56+$AV$3*AV56+$AW$3*AW56+$AX$3*AX56)*AY56*IF(AQ56&lt;5,0.95,IF(AQ56&lt;7,0.975,1))+$I$3*VLOOKUP(I56,COND!$A$2:$E$7,4,FALSE)+$J$3*VLOOKUP(J56,COND!$A$2:$E$7,2,FALSE)+$K$3*VLOOKUP(K56,COND!$A$2:$E$7,3,FALSE)+IF(BB56="SP",$BB$3,0)+IF($AW56&lt;3,-5,0)+IF(AND($B$2&gt;0,$E56&lt;20),$B$2*25,0)</f>
        <v>48.543160447373822</v>
      </c>
      <c r="BA56" s="47">
        <f>STANDARDIZE(AZ56,AVERAGE($AZ$5:$AZ$445),STDEVP($AZ$5:$AZ$445))</f>
        <v>0.77035335729793308</v>
      </c>
      <c r="BB56" s="45" t="str">
        <f t="shared" si="5"/>
        <v>SP</v>
      </c>
      <c r="BC56" s="45">
        <v>900</v>
      </c>
      <c r="BD56" s="45">
        <v>51</v>
      </c>
      <c r="BE56" s="45"/>
      <c r="BF56" s="45" t="str">
        <f t="shared" si="6"/>
        <v>Possible</v>
      </c>
      <c r="BG56" s="45"/>
      <c r="BH56" s="63">
        <f>INDEX(Table5[[#All],[Ovr]],MATCH(Table3[[#This Row],[PID]],Table5[[#All],[PID]],0))</f>
        <v>206</v>
      </c>
      <c r="BI56" s="63" t="str">
        <f>INDEX(Table5[[#All],[Rnd]],MATCH(Table3[[#This Row],[PID]],Table5[[#All],[PID]],0))</f>
        <v>7</v>
      </c>
      <c r="BJ56" s="63">
        <f>INDEX(Table5[[#All],[Pick]],MATCH(Table3[[#This Row],[PID]],Table5[[#All],[PID]],0))</f>
        <v>5</v>
      </c>
      <c r="BK56" s="63" t="str">
        <f>INDEX(Table5[[#All],[Team]],MATCH(Table3[[#This Row],[PID]],Table5[[#All],[PID]],0))</f>
        <v>Tempe Knights</v>
      </c>
      <c r="BL56" s="63" t="str">
        <f>IF(OR(Table3[[#This Row],[POS]]="SP",Table3[[#This Row],[POS]]="RP",Table3[[#This Row],[POS]]="CL"),"P",INDEX(Batters[[#All],[zScore]],MATCH(Table3[[#This Row],[PID]],Batters[[#All],[PID]],0)))</f>
        <v>P</v>
      </c>
    </row>
    <row r="57" spans="1:64" ht="15" customHeight="1" x14ac:dyDescent="0.3">
      <c r="A57" s="40">
        <v>12127</v>
      </c>
      <c r="B57" s="40" t="s">
        <v>24</v>
      </c>
      <c r="C57" s="40" t="s">
        <v>393</v>
      </c>
      <c r="D57" s="40" t="s">
        <v>1480</v>
      </c>
      <c r="E57" s="40">
        <v>17</v>
      </c>
      <c r="F57" s="40" t="s">
        <v>42</v>
      </c>
      <c r="G57" s="40" t="s">
        <v>42</v>
      </c>
      <c r="H57" s="41" t="s">
        <v>561</v>
      </c>
      <c r="I57" s="42" t="s">
        <v>44</v>
      </c>
      <c r="J57" s="40" t="s">
        <v>43</v>
      </c>
      <c r="K57" s="41" t="s">
        <v>47</v>
      </c>
      <c r="L57" s="40">
        <v>3</v>
      </c>
      <c r="M57" s="40">
        <v>2</v>
      </c>
      <c r="N57" s="41">
        <v>2</v>
      </c>
      <c r="O57" s="40">
        <v>5</v>
      </c>
      <c r="P57" s="40">
        <v>2</v>
      </c>
      <c r="Q57" s="41">
        <v>4</v>
      </c>
      <c r="R57" s="40">
        <v>6</v>
      </c>
      <c r="S57" s="40">
        <v>8</v>
      </c>
      <c r="T57" s="40">
        <v>1</v>
      </c>
      <c r="U57" s="40">
        <v>2</v>
      </c>
      <c r="V57" s="40">
        <v>4</v>
      </c>
      <c r="W57" s="40">
        <v>8</v>
      </c>
      <c r="X57" s="40" t="s">
        <v>45</v>
      </c>
      <c r="Y57" s="40" t="s">
        <v>45</v>
      </c>
      <c r="Z57" s="40" t="s">
        <v>45</v>
      </c>
      <c r="AA57" s="40" t="s">
        <v>45</v>
      </c>
      <c r="AB57" s="40" t="s">
        <v>45</v>
      </c>
      <c r="AC57" s="40" t="s">
        <v>45</v>
      </c>
      <c r="AD57" s="40" t="s">
        <v>45</v>
      </c>
      <c r="AE57" s="40" t="s">
        <v>45</v>
      </c>
      <c r="AF57" s="40" t="s">
        <v>45</v>
      </c>
      <c r="AG57" s="40" t="s">
        <v>45</v>
      </c>
      <c r="AH57" s="40" t="s">
        <v>45</v>
      </c>
      <c r="AI57" s="40" t="s">
        <v>45</v>
      </c>
      <c r="AJ57" s="40" t="s">
        <v>45</v>
      </c>
      <c r="AK57" s="40" t="s">
        <v>45</v>
      </c>
      <c r="AL57" s="40" t="s">
        <v>45</v>
      </c>
      <c r="AM57" s="40" t="s">
        <v>45</v>
      </c>
      <c r="AN57" s="40" t="s">
        <v>45</v>
      </c>
      <c r="AO57" s="41" t="s">
        <v>45</v>
      </c>
      <c r="AP57" s="40" t="s">
        <v>54</v>
      </c>
      <c r="AQ57" s="40">
        <v>7</v>
      </c>
      <c r="AR57" s="48" t="s">
        <v>326</v>
      </c>
      <c r="AS57" s="43" t="s">
        <v>558</v>
      </c>
      <c r="AT57" s="43" t="s">
        <v>103</v>
      </c>
      <c r="AU57" s="44">
        <f t="shared" si="0"/>
        <v>-1.8743493064650851</v>
      </c>
      <c r="AV57" s="44">
        <f t="shared" si="1"/>
        <v>-0.55483077460144581</v>
      </c>
      <c r="AW57" s="45">
        <f t="shared" si="2"/>
        <v>3</v>
      </c>
      <c r="AX57" s="45">
        <f t="shared" si="3"/>
        <v>2</v>
      </c>
      <c r="AY57" s="46">
        <f>VLOOKUP(AP57,COND!$A$10:$B$32,2,FALSE)</f>
        <v>1.0249999999999999</v>
      </c>
      <c r="AZ57" s="44">
        <f>($AU$3*AU57+$AV$3*AV57+$AW$3*AW57+$AX$3*AX57)*AY57*IF(AQ57&lt;5,0.95,IF(AQ57&lt;7,0.975,1))+$I$3*VLOOKUP(I57,COND!$A$2:$E$7,4,FALSE)+$J$3*VLOOKUP(J57,COND!$A$2:$E$7,2,FALSE)+$K$3*VLOOKUP(K57,COND!$A$2:$E$7,3,FALSE)+IF(BB57="SP",$BB$3,0)+IF($AW57&lt;3,-5,0)+IF(AND($B$2&gt;0,$E57&lt;20),$B$2*25,0)</f>
        <v>44.491727512845017</v>
      </c>
      <c r="BA57" s="47">
        <f>STANDARDIZE(AZ57,AVERAGE($AZ$5:$AZ$428),STDEVP($AZ$5:$AZ$428))</f>
        <v>0.47631416239295654</v>
      </c>
      <c r="BB57" s="45" t="str">
        <f t="shared" si="5"/>
        <v>SP</v>
      </c>
      <c r="BC57" s="45">
        <v>900</v>
      </c>
      <c r="BD57" s="45">
        <v>52</v>
      </c>
      <c r="BE57" s="45"/>
      <c r="BF57" s="45" t="str">
        <f t="shared" si="6"/>
        <v>Unlikely</v>
      </c>
      <c r="BG57" s="45"/>
      <c r="BH57" s="45">
        <f>INDEX(Table5[[#All],[Ovr]],MATCH(Table3[[#This Row],[PID]],Table5[[#All],[PID]],0))</f>
        <v>284</v>
      </c>
      <c r="BI57" s="45" t="str">
        <f>INDEX(Table5[[#All],[Rnd]],MATCH(Table3[[#This Row],[PID]],Table5[[#All],[PID]],0))</f>
        <v>9</v>
      </c>
      <c r="BJ57" s="45">
        <f>INDEX(Table5[[#All],[Pick]],MATCH(Table3[[#This Row],[PID]],Table5[[#All],[PID]],0))</f>
        <v>19</v>
      </c>
      <c r="BK57" s="45" t="str">
        <f>INDEX(Table5[[#All],[Team]],MATCH(Table3[[#This Row],[PID]],Table5[[#All],[PID]],0))</f>
        <v>Fargo Dinosaurs</v>
      </c>
      <c r="BL57" s="45" t="str">
        <f>IF(OR(Table3[[#This Row],[POS]]="SP",Table3[[#This Row],[POS]]="RP",Table3[[#This Row],[POS]]="CL"),"P",INDEX(Batters[[#All],[zScore]],MATCH(Table3[[#This Row],[PID]],Batters[[#All],[PID]],0)))</f>
        <v>P</v>
      </c>
    </row>
    <row r="58" spans="1:64" ht="15" customHeight="1" x14ac:dyDescent="0.3">
      <c r="A58" s="40">
        <v>9260</v>
      </c>
      <c r="B58" s="40" t="s">
        <v>49</v>
      </c>
      <c r="C58" s="40" t="s">
        <v>172</v>
      </c>
      <c r="D58" s="40" t="s">
        <v>135</v>
      </c>
      <c r="E58" s="40">
        <v>17</v>
      </c>
      <c r="F58" s="40" t="s">
        <v>42</v>
      </c>
      <c r="G58" s="40" t="s">
        <v>42</v>
      </c>
      <c r="H58" s="41" t="s">
        <v>550</v>
      </c>
      <c r="I58" s="42" t="s">
        <v>43</v>
      </c>
      <c r="J58" s="40" t="s">
        <v>47</v>
      </c>
      <c r="K58" s="41" t="s">
        <v>43</v>
      </c>
      <c r="L58" s="40">
        <v>2</v>
      </c>
      <c r="M58" s="40">
        <v>2</v>
      </c>
      <c r="N58" s="41">
        <v>1</v>
      </c>
      <c r="O58" s="40">
        <v>6</v>
      </c>
      <c r="P58" s="40">
        <v>4</v>
      </c>
      <c r="Q58" s="41">
        <v>5</v>
      </c>
      <c r="R58" s="40">
        <v>3</v>
      </c>
      <c r="S58" s="40">
        <v>7</v>
      </c>
      <c r="T58" s="40">
        <v>1</v>
      </c>
      <c r="U58" s="40">
        <v>2</v>
      </c>
      <c r="V58" s="40" t="s">
        <v>45</v>
      </c>
      <c r="W58" s="40" t="s">
        <v>45</v>
      </c>
      <c r="X58" s="40" t="s">
        <v>45</v>
      </c>
      <c r="Y58" s="40" t="s">
        <v>45</v>
      </c>
      <c r="Z58" s="40">
        <v>3</v>
      </c>
      <c r="AA58" s="40">
        <v>6</v>
      </c>
      <c r="AB58" s="40" t="s">
        <v>45</v>
      </c>
      <c r="AC58" s="40" t="s">
        <v>45</v>
      </c>
      <c r="AD58" s="40" t="s">
        <v>45</v>
      </c>
      <c r="AE58" s="40" t="s">
        <v>45</v>
      </c>
      <c r="AF58" s="40" t="s">
        <v>45</v>
      </c>
      <c r="AG58" s="40" t="s">
        <v>45</v>
      </c>
      <c r="AH58" s="40" t="s">
        <v>45</v>
      </c>
      <c r="AI58" s="40" t="s">
        <v>45</v>
      </c>
      <c r="AJ58" s="40" t="s">
        <v>45</v>
      </c>
      <c r="AK58" s="40" t="s">
        <v>45</v>
      </c>
      <c r="AL58" s="40" t="s">
        <v>45</v>
      </c>
      <c r="AM58" s="40" t="s">
        <v>45</v>
      </c>
      <c r="AN58" s="40" t="s">
        <v>45</v>
      </c>
      <c r="AO58" s="41" t="s">
        <v>45</v>
      </c>
      <c r="AP58" s="40" t="s">
        <v>329</v>
      </c>
      <c r="AQ58" s="40">
        <v>9</v>
      </c>
      <c r="AR58" s="48" t="s">
        <v>326</v>
      </c>
      <c r="AS58" s="43" t="s">
        <v>558</v>
      </c>
      <c r="AT58" s="43" t="s">
        <v>103</v>
      </c>
      <c r="AU58" s="44">
        <f t="shared" si="0"/>
        <v>-2.311361197028369</v>
      </c>
      <c r="AV58" s="44">
        <f t="shared" si="1"/>
        <v>0.27304454882194901</v>
      </c>
      <c r="AW58" s="45">
        <f t="shared" si="2"/>
        <v>3</v>
      </c>
      <c r="AX58" s="45">
        <f t="shared" si="3"/>
        <v>2</v>
      </c>
      <c r="AY58" s="46">
        <f>VLOOKUP(AP58,COND!$A$10:$B$32,2,FALSE)</f>
        <v>1</v>
      </c>
      <c r="AZ58" s="44">
        <f>($AU$3*AU58+$AV$3*AV58+$AW$3*AW58+$AX$3*AX58)*AY58*IF(AQ58&lt;5,0.95,IF(AQ58&lt;7,0.975,1))+$I$3*VLOOKUP(I58,COND!$A$2:$E$7,4,FALSE)+$J$3*VLOOKUP(J58,COND!$A$2:$E$7,2,FALSE)+$K$3*VLOOKUP(K58,COND!$A$2:$E$7,3,FALSE)+IF(BB58="SP",$BB$3,0)+IF($AW58&lt;3,-5,0)+IF(AND($B$2&gt;0,$E58&lt;20),$B$2*25,0)</f>
        <v>61.298618737033308</v>
      </c>
      <c r="BA58" s="47">
        <f>STANDARDIZE(AZ58,AVERAGE($AZ$5:$AZ$445),STDEVP($AZ$5:$AZ$445))</f>
        <v>1.6778230167258936</v>
      </c>
      <c r="BB58" s="45" t="str">
        <f t="shared" si="5"/>
        <v>SP</v>
      </c>
      <c r="BC58" s="45">
        <v>900</v>
      </c>
      <c r="BD58" s="45">
        <v>53</v>
      </c>
      <c r="BE58" s="45"/>
      <c r="BF58" s="45" t="str">
        <f t="shared" si="6"/>
        <v>Possible</v>
      </c>
      <c r="BG58" s="45"/>
      <c r="BH58" s="63">
        <f>INDEX(Table5[[#All],[Ovr]],MATCH(Table3[[#This Row],[PID]],Table5[[#All],[PID]],0))</f>
        <v>116</v>
      </c>
      <c r="BI58" s="63" t="str">
        <f>INDEX(Table5[[#All],[Rnd]],MATCH(Table3[[#This Row],[PID]],Table5[[#All],[PID]],0))</f>
        <v>4</v>
      </c>
      <c r="BJ58" s="63">
        <f>INDEX(Table5[[#All],[Pick]],MATCH(Table3[[#This Row],[PID]],Table5[[#All],[PID]],0))</f>
        <v>11</v>
      </c>
      <c r="BK58" s="63" t="str">
        <f>INDEX(Table5[[#All],[Team]],MATCH(Table3[[#This Row],[PID]],Table5[[#All],[PID]],0))</f>
        <v>London Underground</v>
      </c>
      <c r="BL58" s="63" t="str">
        <f>IF(OR(Table3[[#This Row],[POS]]="SP",Table3[[#This Row],[POS]]="RP",Table3[[#This Row],[POS]]="CL"),"P",INDEX(Batters[[#All],[zScore]],MATCH(Table3[[#This Row],[PID]],Batters[[#All],[PID]],0)))</f>
        <v>P</v>
      </c>
    </row>
    <row r="59" spans="1:64" ht="15" customHeight="1" x14ac:dyDescent="0.3">
      <c r="A59" s="40">
        <v>20350</v>
      </c>
      <c r="B59" s="40" t="s">
        <v>24</v>
      </c>
      <c r="C59" s="40" t="s">
        <v>914</v>
      </c>
      <c r="D59" s="40" t="s">
        <v>1568</v>
      </c>
      <c r="E59" s="40">
        <v>17</v>
      </c>
      <c r="F59" s="40" t="s">
        <v>42</v>
      </c>
      <c r="G59" s="40" t="s">
        <v>42</v>
      </c>
      <c r="H59" s="41" t="s">
        <v>552</v>
      </c>
      <c r="I59" s="42" t="s">
        <v>47</v>
      </c>
      <c r="J59" s="40" t="s">
        <v>47</v>
      </c>
      <c r="K59" s="41" t="s">
        <v>43</v>
      </c>
      <c r="L59" s="40">
        <v>3</v>
      </c>
      <c r="M59" s="40">
        <v>2</v>
      </c>
      <c r="N59" s="41">
        <v>1</v>
      </c>
      <c r="O59" s="40">
        <v>6</v>
      </c>
      <c r="P59" s="40">
        <v>3</v>
      </c>
      <c r="Q59" s="41">
        <v>4</v>
      </c>
      <c r="R59" s="40">
        <v>5</v>
      </c>
      <c r="S59" s="40">
        <v>8</v>
      </c>
      <c r="T59" s="40">
        <v>1</v>
      </c>
      <c r="U59" s="40">
        <v>1</v>
      </c>
      <c r="V59" s="40">
        <v>2</v>
      </c>
      <c r="W59" s="40">
        <v>6</v>
      </c>
      <c r="X59" s="40">
        <v>3</v>
      </c>
      <c r="Y59" s="40">
        <v>6</v>
      </c>
      <c r="Z59" s="40" t="s">
        <v>45</v>
      </c>
      <c r="AA59" s="40" t="s">
        <v>45</v>
      </c>
      <c r="AB59" s="40">
        <v>4</v>
      </c>
      <c r="AC59" s="40">
        <v>6</v>
      </c>
      <c r="AD59" s="40" t="s">
        <v>45</v>
      </c>
      <c r="AE59" s="40" t="s">
        <v>45</v>
      </c>
      <c r="AF59" s="40">
        <v>4</v>
      </c>
      <c r="AG59" s="40">
        <v>6</v>
      </c>
      <c r="AH59" s="40" t="s">
        <v>45</v>
      </c>
      <c r="AI59" s="40" t="s">
        <v>45</v>
      </c>
      <c r="AJ59" s="40" t="s">
        <v>45</v>
      </c>
      <c r="AK59" s="40" t="s">
        <v>45</v>
      </c>
      <c r="AL59" s="40" t="s">
        <v>45</v>
      </c>
      <c r="AM59" s="40" t="s">
        <v>45</v>
      </c>
      <c r="AN59" s="40" t="s">
        <v>45</v>
      </c>
      <c r="AO59" s="41" t="s">
        <v>45</v>
      </c>
      <c r="AP59" s="40" t="s">
        <v>54</v>
      </c>
      <c r="AQ59" s="40">
        <v>7</v>
      </c>
      <c r="AR59" s="48" t="s">
        <v>326</v>
      </c>
      <c r="AS59" s="43" t="s">
        <v>780</v>
      </c>
      <c r="AT59" s="43" t="s">
        <v>103</v>
      </c>
      <c r="AU59" s="44">
        <f t="shared" si="0"/>
        <v>-2.1166698725191955</v>
      </c>
      <c r="AV59" s="44">
        <f t="shared" si="1"/>
        <v>-0.16470773366221675</v>
      </c>
      <c r="AW59" s="45">
        <f t="shared" si="2"/>
        <v>6</v>
      </c>
      <c r="AX59" s="45">
        <f t="shared" si="3"/>
        <v>5</v>
      </c>
      <c r="AY59" s="46">
        <f>VLOOKUP(AP59,COND!$A$10:$B$32,2,FALSE)</f>
        <v>1.0249999999999999</v>
      </c>
      <c r="AZ59" s="44">
        <f>($AU$3*AU59+$AV$3*AV59+$AW$3*AW59+$AX$3*AX59)*AY59*IF(AQ59&lt;5,0.95,IF(AQ59&lt;7,0.975,1))+$I$3*VLOOKUP(I59,COND!$A$2:$E$7,4,FALSE)+$J$3*VLOOKUP(J59,COND!$A$2:$E$7,2,FALSE)+$K$3*VLOOKUP(K59,COND!$A$2:$E$7,3,FALSE)+IF(BB59="SP",$BB$3,0)+IF($AW59&lt;3,-5,0)+IF(AND($B$2&gt;0,$E59&lt;20),$B$2*25,0)</f>
        <v>58.195824136058121</v>
      </c>
      <c r="BA59" s="47">
        <f t="shared" ref="BA59:BA69" si="9">STANDARDIZE(AZ59,AVERAGE($AZ$5:$AZ$428),STDEVP($AZ$5:$AZ$428))</f>
        <v>1.4521422211365249</v>
      </c>
      <c r="BB59" s="45" t="str">
        <f t="shared" si="5"/>
        <v>SP</v>
      </c>
      <c r="BC59" s="45">
        <v>900</v>
      </c>
      <c r="BD59" s="45">
        <v>54</v>
      </c>
      <c r="BE59" s="45"/>
      <c r="BF59" s="45" t="str">
        <f t="shared" si="6"/>
        <v>Possible</v>
      </c>
      <c r="BG59" s="45"/>
      <c r="BH59" s="45">
        <f>INDEX(Table5[[#All],[Ovr]],MATCH(Table3[[#This Row],[PID]],Table5[[#All],[PID]],0))</f>
        <v>213</v>
      </c>
      <c r="BI59" s="45" t="str">
        <f>INDEX(Table5[[#All],[Rnd]],MATCH(Table3[[#This Row],[PID]],Table5[[#All],[PID]],0))</f>
        <v>7</v>
      </c>
      <c r="BJ59" s="45">
        <f>INDEX(Table5[[#All],[Pick]],MATCH(Table3[[#This Row],[PID]],Table5[[#All],[PID]],0))</f>
        <v>12</v>
      </c>
      <c r="BK59" s="45" t="str">
        <f>INDEX(Table5[[#All],[Team]],MATCH(Table3[[#This Row],[PID]],Table5[[#All],[PID]],0))</f>
        <v>Manchester Maulers</v>
      </c>
      <c r="BL59" s="45" t="str">
        <f>IF(OR(Table3[[#This Row],[POS]]="SP",Table3[[#This Row],[POS]]="RP",Table3[[#This Row],[POS]]="CL"),"P",INDEX(Batters[[#All],[zScore]],MATCH(Table3[[#This Row],[PID]],Batters[[#All],[PID]],0)))</f>
        <v>P</v>
      </c>
    </row>
    <row r="60" spans="1:64" ht="15" customHeight="1" x14ac:dyDescent="0.3">
      <c r="A60" s="40">
        <v>11831</v>
      </c>
      <c r="B60" s="40" t="s">
        <v>380</v>
      </c>
      <c r="C60" s="40" t="s">
        <v>599</v>
      </c>
      <c r="D60" s="40" t="s">
        <v>1239</v>
      </c>
      <c r="E60" s="40">
        <v>17</v>
      </c>
      <c r="F60" s="40" t="s">
        <v>42</v>
      </c>
      <c r="G60" s="40" t="s">
        <v>42</v>
      </c>
      <c r="H60" s="41" t="s">
        <v>561</v>
      </c>
      <c r="I60" s="42" t="s">
        <v>47</v>
      </c>
      <c r="J60" s="40" t="s">
        <v>47</v>
      </c>
      <c r="K60" s="41" t="s">
        <v>43</v>
      </c>
      <c r="L60" s="40">
        <v>3</v>
      </c>
      <c r="M60" s="40">
        <v>2</v>
      </c>
      <c r="N60" s="41">
        <v>1</v>
      </c>
      <c r="O60" s="40">
        <v>6</v>
      </c>
      <c r="P60" s="40">
        <v>2</v>
      </c>
      <c r="Q60" s="41">
        <v>3</v>
      </c>
      <c r="R60" s="40">
        <v>4</v>
      </c>
      <c r="S60" s="40">
        <v>7</v>
      </c>
      <c r="T60" s="40">
        <v>1</v>
      </c>
      <c r="U60" s="40">
        <v>1</v>
      </c>
      <c r="V60" s="40" t="s">
        <v>45</v>
      </c>
      <c r="W60" s="40" t="s">
        <v>45</v>
      </c>
      <c r="X60" s="40">
        <v>3</v>
      </c>
      <c r="Y60" s="40">
        <v>7</v>
      </c>
      <c r="Z60" s="40" t="s">
        <v>45</v>
      </c>
      <c r="AA60" s="40" t="s">
        <v>45</v>
      </c>
      <c r="AB60" s="40" t="s">
        <v>45</v>
      </c>
      <c r="AC60" s="40" t="s">
        <v>45</v>
      </c>
      <c r="AD60" s="40" t="s">
        <v>45</v>
      </c>
      <c r="AE60" s="40" t="s">
        <v>45</v>
      </c>
      <c r="AF60" s="40" t="s">
        <v>45</v>
      </c>
      <c r="AG60" s="40" t="s">
        <v>45</v>
      </c>
      <c r="AH60" s="40" t="s">
        <v>45</v>
      </c>
      <c r="AI60" s="40" t="s">
        <v>45</v>
      </c>
      <c r="AJ60" s="40" t="s">
        <v>45</v>
      </c>
      <c r="AK60" s="40" t="s">
        <v>45</v>
      </c>
      <c r="AL60" s="40" t="s">
        <v>45</v>
      </c>
      <c r="AM60" s="40" t="s">
        <v>45</v>
      </c>
      <c r="AN60" s="40" t="s">
        <v>45</v>
      </c>
      <c r="AO60" s="41" t="s">
        <v>45</v>
      </c>
      <c r="AP60" s="40" t="s">
        <v>60</v>
      </c>
      <c r="AQ60" s="40">
        <v>6</v>
      </c>
      <c r="AR60" s="48" t="s">
        <v>326</v>
      </c>
      <c r="AS60" s="43" t="s">
        <v>558</v>
      </c>
      <c r="AT60" s="43" t="s">
        <v>103</v>
      </c>
      <c r="AU60" s="44">
        <f t="shared" si="0"/>
        <v>-2.1166698725191955</v>
      </c>
      <c r="AV60" s="44">
        <f t="shared" si="1"/>
        <v>-0.60246001614638267</v>
      </c>
      <c r="AW60" s="45">
        <f t="shared" si="2"/>
        <v>3</v>
      </c>
      <c r="AX60" s="45">
        <f t="shared" si="3"/>
        <v>2</v>
      </c>
      <c r="AY60" s="46">
        <f>VLOOKUP(AP60,COND!$A$10:$B$32,2,FALSE)</f>
        <v>1.0249999999999999</v>
      </c>
      <c r="AZ60" s="44">
        <f>($AU$3*AU60+$AV$3*AV60+$AW$3*AW60+$AX$3*AX60)*AY60*IF(AQ60&lt;5,0.95,IF(AQ60&lt;7,0.975,1))+$I$3*VLOOKUP(I60,COND!$A$2:$E$7,4,FALSE)+$J$3*VLOOKUP(J60,COND!$A$2:$E$7,2,FALSE)+$K$3*VLOOKUP(K60,COND!$A$2:$E$7,3,FALSE)+IF(BB60="SP",$BB$3,0)+IF($AW60&lt;3,-5,0)+IF(AND($B$2&gt;0,$E60&lt;20),$B$2*25,0)</f>
        <v>44.057761036504402</v>
      </c>
      <c r="BA60" s="47">
        <f t="shared" si="9"/>
        <v>0.44541269724640103</v>
      </c>
      <c r="BB60" s="45" t="str">
        <f t="shared" si="5"/>
        <v>SP</v>
      </c>
      <c r="BC60" s="45">
        <v>900</v>
      </c>
      <c r="BD60" s="45">
        <v>55</v>
      </c>
      <c r="BE60" s="45"/>
      <c r="BF60" s="45" t="str">
        <f t="shared" si="6"/>
        <v>Unlikely</v>
      </c>
      <c r="BG60" s="45"/>
      <c r="BH60" s="45">
        <f>INDEX(Table5[[#All],[Ovr]],MATCH(Table3[[#This Row],[PID]],Table5[[#All],[PID]],0))</f>
        <v>325</v>
      </c>
      <c r="BI60" s="45" t="str">
        <f>INDEX(Table5[[#All],[Rnd]],MATCH(Table3[[#This Row],[PID]],Table5[[#All],[PID]],0))</f>
        <v>10</v>
      </c>
      <c r="BJ60" s="45">
        <f>INDEX(Table5[[#All],[Pick]],MATCH(Table3[[#This Row],[PID]],Table5[[#All],[PID]],0))</f>
        <v>28</v>
      </c>
      <c r="BK60" s="45" t="str">
        <f>INDEX(Table5[[#All],[Team]],MATCH(Table3[[#This Row],[PID]],Table5[[#All],[PID]],0))</f>
        <v>Amsterdam Lions</v>
      </c>
      <c r="BL60" s="45" t="str">
        <f>IF(OR(Table3[[#This Row],[POS]]="SP",Table3[[#This Row],[POS]]="RP",Table3[[#This Row],[POS]]="CL"),"P",INDEX(Batters[[#All],[zScore]],MATCH(Table3[[#This Row],[PID]],Batters[[#All],[PID]],0)))</f>
        <v>P</v>
      </c>
    </row>
    <row r="61" spans="1:64" ht="15" customHeight="1" x14ac:dyDescent="0.3">
      <c r="A61" s="40">
        <v>15046</v>
      </c>
      <c r="B61" s="40" t="s">
        <v>49</v>
      </c>
      <c r="C61" s="40" t="s">
        <v>1485</v>
      </c>
      <c r="D61" s="40" t="s">
        <v>1486</v>
      </c>
      <c r="E61" s="40">
        <v>21</v>
      </c>
      <c r="F61" s="40" t="s">
        <v>42</v>
      </c>
      <c r="G61" s="40" t="s">
        <v>42</v>
      </c>
      <c r="H61" s="41" t="s">
        <v>548</v>
      </c>
      <c r="I61" s="42" t="s">
        <v>44</v>
      </c>
      <c r="J61" s="40" t="s">
        <v>43</v>
      </c>
      <c r="K61" s="41" t="s">
        <v>43</v>
      </c>
      <c r="L61" s="40">
        <v>3</v>
      </c>
      <c r="M61" s="40">
        <v>3</v>
      </c>
      <c r="N61" s="41">
        <v>4</v>
      </c>
      <c r="O61" s="40">
        <v>5</v>
      </c>
      <c r="P61" s="40">
        <v>6</v>
      </c>
      <c r="Q61" s="41">
        <v>6</v>
      </c>
      <c r="R61" s="40">
        <v>5</v>
      </c>
      <c r="S61" s="40">
        <v>7</v>
      </c>
      <c r="T61" s="40">
        <v>1</v>
      </c>
      <c r="U61" s="40">
        <v>1</v>
      </c>
      <c r="V61" s="40">
        <v>2</v>
      </c>
      <c r="W61" s="40">
        <v>6</v>
      </c>
      <c r="X61" s="40" t="s">
        <v>45</v>
      </c>
      <c r="Y61" s="40" t="s">
        <v>45</v>
      </c>
      <c r="Z61" s="40" t="s">
        <v>45</v>
      </c>
      <c r="AA61" s="40" t="s">
        <v>45</v>
      </c>
      <c r="AB61" s="40" t="s">
        <v>45</v>
      </c>
      <c r="AC61" s="40" t="s">
        <v>45</v>
      </c>
      <c r="AD61" s="40" t="s">
        <v>45</v>
      </c>
      <c r="AE61" s="40" t="s">
        <v>45</v>
      </c>
      <c r="AF61" s="40" t="s">
        <v>45</v>
      </c>
      <c r="AG61" s="40" t="s">
        <v>45</v>
      </c>
      <c r="AH61" s="40" t="s">
        <v>45</v>
      </c>
      <c r="AI61" s="40" t="s">
        <v>45</v>
      </c>
      <c r="AJ61" s="40" t="s">
        <v>45</v>
      </c>
      <c r="AK61" s="40" t="s">
        <v>45</v>
      </c>
      <c r="AL61" s="40" t="s">
        <v>45</v>
      </c>
      <c r="AM61" s="40" t="s">
        <v>45</v>
      </c>
      <c r="AN61" s="40" t="s">
        <v>45</v>
      </c>
      <c r="AO61" s="41" t="s">
        <v>45</v>
      </c>
      <c r="AP61" s="40" t="s">
        <v>54</v>
      </c>
      <c r="AQ61" s="40">
        <v>10</v>
      </c>
      <c r="AR61" s="48" t="s">
        <v>325</v>
      </c>
      <c r="AS61" s="43" t="s">
        <v>513</v>
      </c>
      <c r="AT61" s="43" t="s">
        <v>117</v>
      </c>
      <c r="AU61" s="44">
        <f t="shared" si="0"/>
        <v>-1.1942764579268088</v>
      </c>
      <c r="AV61" s="44">
        <f t="shared" si="1"/>
        <v>0.71153722322699664</v>
      </c>
      <c r="AW61" s="45">
        <f t="shared" si="2"/>
        <v>3</v>
      </c>
      <c r="AX61" s="45">
        <f t="shared" si="3"/>
        <v>2</v>
      </c>
      <c r="AY61" s="46">
        <f>VLOOKUP(AP61,COND!$A$10:$B$32,2,FALSE)</f>
        <v>1.0249999999999999</v>
      </c>
      <c r="AZ61" s="44">
        <f>($AU$3*AU61+$AV$3*AV61+$AW$3*AW61+$AX$3*AX61)*AY61*IF(AQ61&lt;5,0.95,IF(AQ61&lt;7,0.975,1))+$I$3*VLOOKUP(I61,COND!$A$2:$E$7,4,FALSE)+$J$3*VLOOKUP(J61,COND!$A$2:$E$7,2,FALSE)+$K$3*VLOOKUP(K61,COND!$A$2:$E$7,3,FALSE)+IF(BB61="SP",$BB$3,0)+IF($AW61&lt;3,-5,0)+IF(AND($B$2&gt;0,$E61&lt;20),$B$2*25,0)</f>
        <v>65.29168640227843</v>
      </c>
      <c r="BA61" s="47">
        <f t="shared" si="9"/>
        <v>1.957417518789381</v>
      </c>
      <c r="BB61" s="45" t="str">
        <f t="shared" si="5"/>
        <v>SP</v>
      </c>
      <c r="BC61" s="45">
        <v>900</v>
      </c>
      <c r="BD61" s="45">
        <v>56</v>
      </c>
      <c r="BE61" s="45"/>
      <c r="BF61" s="45" t="str">
        <f t="shared" si="6"/>
        <v>Possible</v>
      </c>
      <c r="BG61" s="45"/>
      <c r="BH61" s="45">
        <f>INDEX(Table5[[#All],[Ovr]],MATCH(Table3[[#This Row],[PID]],Table5[[#All],[PID]],0))</f>
        <v>80</v>
      </c>
      <c r="BI61" s="45" t="str">
        <f>INDEX(Table5[[#All],[Rnd]],MATCH(Table3[[#This Row],[PID]],Table5[[#All],[PID]],0))</f>
        <v>3</v>
      </c>
      <c r="BJ61" s="45">
        <f>INDEX(Table5[[#All],[Pick]],MATCH(Table3[[#This Row],[PID]],Table5[[#All],[PID]],0))</f>
        <v>8</v>
      </c>
      <c r="BK61" s="45" t="str">
        <f>INDEX(Table5[[#All],[Team]],MATCH(Table3[[#This Row],[PID]],Table5[[#All],[PID]],0))</f>
        <v>Gloucester Fishermen</v>
      </c>
      <c r="BL61" s="45" t="str">
        <f>IF(OR(Table3[[#This Row],[POS]]="SP",Table3[[#This Row],[POS]]="RP",Table3[[#This Row],[POS]]="CL"),"P",INDEX(Batters[[#All],[zScore]],MATCH(Table3[[#This Row],[PID]],Batters[[#All],[PID]],0)))</f>
        <v>P</v>
      </c>
    </row>
    <row r="62" spans="1:64" ht="15" customHeight="1" x14ac:dyDescent="0.3">
      <c r="A62" s="40">
        <v>20264</v>
      </c>
      <c r="B62" s="40" t="s">
        <v>24</v>
      </c>
      <c r="C62" s="40" t="s">
        <v>201</v>
      </c>
      <c r="D62" s="40" t="s">
        <v>975</v>
      </c>
      <c r="E62" s="40">
        <v>21</v>
      </c>
      <c r="F62" s="40" t="s">
        <v>42</v>
      </c>
      <c r="G62" s="40" t="s">
        <v>42</v>
      </c>
      <c r="H62" s="41" t="s">
        <v>550</v>
      </c>
      <c r="I62" s="42" t="s">
        <v>44</v>
      </c>
      <c r="J62" s="40" t="s">
        <v>43</v>
      </c>
      <c r="K62" s="41" t="s">
        <v>43</v>
      </c>
      <c r="L62" s="40">
        <v>4</v>
      </c>
      <c r="M62" s="40">
        <v>3</v>
      </c>
      <c r="N62" s="41">
        <v>2</v>
      </c>
      <c r="O62" s="40">
        <v>5</v>
      </c>
      <c r="P62" s="40">
        <v>5</v>
      </c>
      <c r="Q62" s="41">
        <v>4</v>
      </c>
      <c r="R62" s="40" t="s">
        <v>45</v>
      </c>
      <c r="S62" s="40" t="s">
        <v>45</v>
      </c>
      <c r="T62" s="40">
        <v>4</v>
      </c>
      <c r="U62" s="40">
        <v>5</v>
      </c>
      <c r="V62" s="40" t="s">
        <v>45</v>
      </c>
      <c r="W62" s="40" t="s">
        <v>45</v>
      </c>
      <c r="X62" s="40">
        <v>3</v>
      </c>
      <c r="Y62" s="40">
        <v>3</v>
      </c>
      <c r="Z62" s="40" t="s">
        <v>45</v>
      </c>
      <c r="AA62" s="40" t="s">
        <v>45</v>
      </c>
      <c r="AB62" s="40" t="s">
        <v>45</v>
      </c>
      <c r="AC62" s="40" t="s">
        <v>45</v>
      </c>
      <c r="AD62" s="40">
        <v>5</v>
      </c>
      <c r="AE62" s="40">
        <v>7</v>
      </c>
      <c r="AF62" s="40">
        <v>5</v>
      </c>
      <c r="AG62" s="40">
        <v>6</v>
      </c>
      <c r="AH62" s="40" t="s">
        <v>45</v>
      </c>
      <c r="AI62" s="40" t="s">
        <v>45</v>
      </c>
      <c r="AJ62" s="40" t="s">
        <v>45</v>
      </c>
      <c r="AK62" s="40" t="s">
        <v>45</v>
      </c>
      <c r="AL62" s="40" t="s">
        <v>45</v>
      </c>
      <c r="AM62" s="40" t="s">
        <v>45</v>
      </c>
      <c r="AN62" s="40" t="s">
        <v>45</v>
      </c>
      <c r="AO62" s="41" t="s">
        <v>45</v>
      </c>
      <c r="AP62" s="40" t="s">
        <v>54</v>
      </c>
      <c r="AQ62" s="40">
        <v>8</v>
      </c>
      <c r="AR62" s="48" t="s">
        <v>326</v>
      </c>
      <c r="AS62" s="43" t="s">
        <v>570</v>
      </c>
      <c r="AT62" s="43" t="s">
        <v>103</v>
      </c>
      <c r="AU62" s="44">
        <f t="shared" si="0"/>
        <v>-1.4842262655258562</v>
      </c>
      <c r="AV62" s="44">
        <f t="shared" si="1"/>
        <v>3.146437468872048E-2</v>
      </c>
      <c r="AW62" s="45">
        <f t="shared" si="2"/>
        <v>4</v>
      </c>
      <c r="AX62" s="45">
        <f t="shared" si="3"/>
        <v>2</v>
      </c>
      <c r="AY62" s="46">
        <f>VLOOKUP(AP62,COND!$A$10:$B$32,2,FALSE)</f>
        <v>1.0249999999999999</v>
      </c>
      <c r="AZ62" s="44">
        <f>($AU$3*AU62+$AV$3*AV62+$AW$3*AW62+$AX$3*AX62)*AY62*IF(AQ62&lt;5,0.95,IF(AQ62&lt;7,0.975,1))+$I$3*VLOOKUP(I62,COND!$A$2:$E$7,4,FALSE)+$J$3*VLOOKUP(J62,COND!$A$2:$E$7,2,FALSE)+$K$3*VLOOKUP(K62,COND!$A$2:$E$7,3,FALSE)+IF(BB62="SP",$BB$3,0)+IF($AW62&lt;3,-5,0)+IF(AND($B$2&gt;0,$E62&lt;20),$B$2*25,0)</f>
        <v>51.803253296685966</v>
      </c>
      <c r="BA62" s="47">
        <f t="shared" si="9"/>
        <v>0.99694621923452709</v>
      </c>
      <c r="BB62" s="45" t="str">
        <f t="shared" si="5"/>
        <v>SP</v>
      </c>
      <c r="BC62" s="45">
        <v>900</v>
      </c>
      <c r="BD62" s="45">
        <v>57</v>
      </c>
      <c r="BE62" s="45"/>
      <c r="BF62" s="45" t="str">
        <f t="shared" si="6"/>
        <v>Possible</v>
      </c>
      <c r="BG62" s="45"/>
      <c r="BH62" s="45">
        <f>INDEX(Table5[[#All],[Ovr]],MATCH(Table3[[#This Row],[PID]],Table5[[#All],[PID]],0))</f>
        <v>147</v>
      </c>
      <c r="BI62" s="45" t="str">
        <f>INDEX(Table5[[#All],[Rnd]],MATCH(Table3[[#This Row],[PID]],Table5[[#All],[PID]],0))</f>
        <v>5</v>
      </c>
      <c r="BJ62" s="45">
        <f>INDEX(Table5[[#All],[Pick]],MATCH(Table3[[#This Row],[PID]],Table5[[#All],[PID]],0))</f>
        <v>10</v>
      </c>
      <c r="BK62" s="45" t="str">
        <f>INDEX(Table5[[#All],[Team]],MATCH(Table3[[#This Row],[PID]],Table5[[#All],[PID]],0))</f>
        <v>London Underground</v>
      </c>
      <c r="BL62" s="45" t="str">
        <f>IF(OR(Table3[[#This Row],[POS]]="SP",Table3[[#This Row],[POS]]="RP",Table3[[#This Row],[POS]]="CL"),"P",INDEX(Batters[[#All],[zScore]],MATCH(Table3[[#This Row],[PID]],Batters[[#All],[PID]],0)))</f>
        <v>P</v>
      </c>
    </row>
    <row r="63" spans="1:64" ht="15" customHeight="1" x14ac:dyDescent="0.3">
      <c r="A63" s="40">
        <v>20703</v>
      </c>
      <c r="B63" s="40" t="s">
        <v>24</v>
      </c>
      <c r="C63" s="40" t="s">
        <v>161</v>
      </c>
      <c r="D63" s="40" t="s">
        <v>1356</v>
      </c>
      <c r="E63" s="40">
        <v>17</v>
      </c>
      <c r="F63" s="40" t="s">
        <v>42</v>
      </c>
      <c r="G63" s="40" t="s">
        <v>42</v>
      </c>
      <c r="H63" s="41" t="s">
        <v>552</v>
      </c>
      <c r="I63" s="42" t="s">
        <v>43</v>
      </c>
      <c r="J63" s="40" t="s">
        <v>43</v>
      </c>
      <c r="K63" s="41" t="s">
        <v>43</v>
      </c>
      <c r="L63" s="40">
        <v>2</v>
      </c>
      <c r="M63" s="40">
        <v>3</v>
      </c>
      <c r="N63" s="41">
        <v>1</v>
      </c>
      <c r="O63" s="40">
        <v>5</v>
      </c>
      <c r="P63" s="40">
        <v>5</v>
      </c>
      <c r="Q63" s="41">
        <v>5</v>
      </c>
      <c r="R63" s="40">
        <v>5</v>
      </c>
      <c r="S63" s="40">
        <v>8</v>
      </c>
      <c r="T63" s="40">
        <v>1</v>
      </c>
      <c r="U63" s="40">
        <v>1</v>
      </c>
      <c r="V63" s="40">
        <v>2</v>
      </c>
      <c r="W63" s="40">
        <v>9</v>
      </c>
      <c r="X63" s="40" t="s">
        <v>45</v>
      </c>
      <c r="Y63" s="40" t="s">
        <v>45</v>
      </c>
      <c r="Z63" s="40" t="s">
        <v>45</v>
      </c>
      <c r="AA63" s="40" t="s">
        <v>45</v>
      </c>
      <c r="AB63" s="40" t="s">
        <v>45</v>
      </c>
      <c r="AC63" s="40" t="s">
        <v>45</v>
      </c>
      <c r="AD63" s="40" t="s">
        <v>45</v>
      </c>
      <c r="AE63" s="40" t="s">
        <v>45</v>
      </c>
      <c r="AF63" s="40" t="s">
        <v>45</v>
      </c>
      <c r="AG63" s="40" t="s">
        <v>45</v>
      </c>
      <c r="AH63" s="40" t="s">
        <v>45</v>
      </c>
      <c r="AI63" s="40" t="s">
        <v>45</v>
      </c>
      <c r="AJ63" s="40" t="s">
        <v>45</v>
      </c>
      <c r="AK63" s="40" t="s">
        <v>45</v>
      </c>
      <c r="AL63" s="40" t="s">
        <v>45</v>
      </c>
      <c r="AM63" s="40" t="s">
        <v>45</v>
      </c>
      <c r="AN63" s="40" t="s">
        <v>45</v>
      </c>
      <c r="AO63" s="41" t="s">
        <v>45</v>
      </c>
      <c r="AP63" s="40" t="s">
        <v>60</v>
      </c>
      <c r="AQ63" s="40">
        <v>8</v>
      </c>
      <c r="AR63" s="48" t="s">
        <v>325</v>
      </c>
      <c r="AS63" s="43" t="s">
        <v>757</v>
      </c>
      <c r="AT63" s="43" t="s">
        <v>103</v>
      </c>
      <c r="AU63" s="44">
        <f t="shared" si="0"/>
        <v>-2.1159294805983135</v>
      </c>
      <c r="AV63" s="44">
        <f t="shared" si="1"/>
        <v>0.27378494074283088</v>
      </c>
      <c r="AW63" s="45">
        <f t="shared" si="2"/>
        <v>3</v>
      </c>
      <c r="AX63" s="45">
        <f t="shared" si="3"/>
        <v>2</v>
      </c>
      <c r="AY63" s="46">
        <f>VLOOKUP(AP63,COND!$A$10:$B$32,2,FALSE)</f>
        <v>1.0249999999999999</v>
      </c>
      <c r="AZ63" s="44">
        <f>($AU$3*AU63+$AV$3*AV63+$AW$3*AW63+$AX$3*AX63)*AY63*IF(AQ63&lt;5,0.95,IF(AQ63&lt;7,0.975,1))+$I$3*VLOOKUP(I63,COND!$A$2:$E$7,4,FALSE)+$J$3*VLOOKUP(J63,COND!$A$2:$E$7,2,FALSE)+$K$3*VLOOKUP(K63,COND!$A$2:$E$7,3,FALSE)+IF(BB63="SP",$BB$3,0)+IF($AW63&lt;3,-5,0)+IF(AND($B$2&gt;0,$E63&lt;20),$B$2*25,0)</f>
        <v>61.278825741705376</v>
      </c>
      <c r="BA63" s="47">
        <f t="shared" si="9"/>
        <v>1.6716736178172853</v>
      </c>
      <c r="BB63" s="45" t="str">
        <f t="shared" si="5"/>
        <v>SP</v>
      </c>
      <c r="BC63" s="45">
        <v>900</v>
      </c>
      <c r="BD63" s="45">
        <v>58</v>
      </c>
      <c r="BE63" s="45"/>
      <c r="BF63" s="45" t="str">
        <f t="shared" si="6"/>
        <v>Possible</v>
      </c>
      <c r="BG63" s="45"/>
      <c r="BH63" s="45">
        <f>INDEX(Table5[[#All],[Ovr]],MATCH(Table3[[#This Row],[PID]],Table5[[#All],[PID]],0))</f>
        <v>102</v>
      </c>
      <c r="BI63" s="45" t="str">
        <f>INDEX(Table5[[#All],[Rnd]],MATCH(Table3[[#This Row],[PID]],Table5[[#All],[PID]],0))</f>
        <v>3</v>
      </c>
      <c r="BJ63" s="45">
        <f>INDEX(Table5[[#All],[Pick]],MATCH(Table3[[#This Row],[PID]],Table5[[#All],[PID]],0))</f>
        <v>30</v>
      </c>
      <c r="BK63" s="45" t="str">
        <f>INDEX(Table5[[#All],[Team]],MATCH(Table3[[#This Row],[PID]],Table5[[#All],[PID]],0))</f>
        <v>Niihama-shi Ghosts</v>
      </c>
      <c r="BL63" s="45" t="str">
        <f>IF(OR(Table3[[#This Row],[POS]]="SP",Table3[[#This Row],[POS]]="RP",Table3[[#This Row],[POS]]="CL"),"P",INDEX(Batters[[#All],[zScore]],MATCH(Table3[[#This Row],[PID]],Batters[[#All],[PID]],0)))</f>
        <v>P</v>
      </c>
    </row>
    <row r="64" spans="1:64" ht="15" customHeight="1" x14ac:dyDescent="0.3">
      <c r="A64" s="40">
        <v>11334</v>
      </c>
      <c r="B64" s="40" t="s">
        <v>24</v>
      </c>
      <c r="C64" s="40" t="s">
        <v>737</v>
      </c>
      <c r="D64" s="40" t="s">
        <v>1360</v>
      </c>
      <c r="E64" s="40">
        <v>17</v>
      </c>
      <c r="F64" s="40" t="s">
        <v>42</v>
      </c>
      <c r="G64" s="40" t="s">
        <v>42</v>
      </c>
      <c r="H64" s="41" t="s">
        <v>550</v>
      </c>
      <c r="I64" s="42" t="s">
        <v>47</v>
      </c>
      <c r="J64" s="40" t="s">
        <v>43</v>
      </c>
      <c r="K64" s="41" t="s">
        <v>43</v>
      </c>
      <c r="L64" s="40">
        <v>3</v>
      </c>
      <c r="M64" s="40">
        <v>1</v>
      </c>
      <c r="N64" s="41">
        <v>1</v>
      </c>
      <c r="O64" s="40">
        <v>6</v>
      </c>
      <c r="P64" s="40">
        <v>3</v>
      </c>
      <c r="Q64" s="41">
        <v>4</v>
      </c>
      <c r="R64" s="40">
        <v>5</v>
      </c>
      <c r="S64" s="40">
        <v>9</v>
      </c>
      <c r="T64" s="40">
        <v>2</v>
      </c>
      <c r="U64" s="40">
        <v>6</v>
      </c>
      <c r="V64" s="40" t="s">
        <v>45</v>
      </c>
      <c r="W64" s="40" t="s">
        <v>45</v>
      </c>
      <c r="X64" s="40">
        <v>3</v>
      </c>
      <c r="Y64" s="40">
        <v>3</v>
      </c>
      <c r="Z64" s="40" t="s">
        <v>45</v>
      </c>
      <c r="AA64" s="40" t="s">
        <v>45</v>
      </c>
      <c r="AB64" s="40">
        <v>4</v>
      </c>
      <c r="AC64" s="40">
        <v>6</v>
      </c>
      <c r="AD64" s="40" t="s">
        <v>45</v>
      </c>
      <c r="AE64" s="40" t="s">
        <v>45</v>
      </c>
      <c r="AF64" s="40" t="s">
        <v>45</v>
      </c>
      <c r="AG64" s="40" t="s">
        <v>45</v>
      </c>
      <c r="AH64" s="40" t="s">
        <v>45</v>
      </c>
      <c r="AI64" s="40" t="s">
        <v>45</v>
      </c>
      <c r="AJ64" s="40" t="s">
        <v>45</v>
      </c>
      <c r="AK64" s="40" t="s">
        <v>45</v>
      </c>
      <c r="AL64" s="40" t="s">
        <v>45</v>
      </c>
      <c r="AM64" s="40" t="s">
        <v>45</v>
      </c>
      <c r="AN64" s="40" t="s">
        <v>45</v>
      </c>
      <c r="AO64" s="41" t="s">
        <v>45</v>
      </c>
      <c r="AP64" s="40" t="s">
        <v>60</v>
      </c>
      <c r="AQ64" s="40">
        <v>6</v>
      </c>
      <c r="AR64" s="48" t="s">
        <v>14</v>
      </c>
      <c r="AS64" s="43" t="s">
        <v>783</v>
      </c>
      <c r="AT64" s="43" t="s">
        <v>103</v>
      </c>
      <c r="AU64" s="44">
        <f t="shared" si="0"/>
        <v>-2.3121015889492513</v>
      </c>
      <c r="AV64" s="44">
        <f t="shared" si="1"/>
        <v>-0.16470773366221675</v>
      </c>
      <c r="AW64" s="45">
        <f t="shared" si="2"/>
        <v>4</v>
      </c>
      <c r="AX64" s="45">
        <f t="shared" si="3"/>
        <v>3</v>
      </c>
      <c r="AY64" s="46">
        <f>VLOOKUP(AP64,COND!$A$10:$B$32,2,FALSE)</f>
        <v>1.0249999999999999</v>
      </c>
      <c r="AZ64" s="44">
        <f>($AU$3*AU64+$AV$3*AV64+$AW$3*AW64+$AX$3*AX64)*AY64*IF(AQ64&lt;5,0.95,IF(AQ64&lt;7,0.975,1))+$I$3*VLOOKUP(I64,COND!$A$2:$E$7,4,FALSE)+$J$3*VLOOKUP(J64,COND!$A$2:$E$7,2,FALSE)+$K$3*VLOOKUP(K64,COND!$A$2:$E$7,3,FALSE)+IF(BB64="SP",$BB$3,0)+IF($AW64&lt;3,-5,0)+IF(AND($B$2&gt;0,$E64&lt;20),$B$2*25,0)</f>
        <v>54.21717911833521</v>
      </c>
      <c r="BA64" s="47">
        <f t="shared" si="9"/>
        <v>1.1688347145696292</v>
      </c>
      <c r="BB64" s="45" t="str">
        <f t="shared" si="5"/>
        <v>SP</v>
      </c>
      <c r="BC64" s="45">
        <v>900</v>
      </c>
      <c r="BD64" s="45">
        <v>59</v>
      </c>
      <c r="BE64" s="45"/>
      <c r="BF64" s="45" t="str">
        <f t="shared" si="6"/>
        <v>Possible</v>
      </c>
      <c r="BG64" s="45"/>
      <c r="BH64" s="45">
        <f>INDEX(Table5[[#All],[Ovr]],MATCH(Table3[[#This Row],[PID]],Table5[[#All],[PID]],0))</f>
        <v>126</v>
      </c>
      <c r="BI64" s="45" t="str">
        <f>INDEX(Table5[[#All],[Rnd]],MATCH(Table3[[#This Row],[PID]],Table5[[#All],[PID]],0))</f>
        <v>4</v>
      </c>
      <c r="BJ64" s="45">
        <f>INDEX(Table5[[#All],[Pick]],MATCH(Table3[[#This Row],[PID]],Table5[[#All],[PID]],0))</f>
        <v>21</v>
      </c>
      <c r="BK64" s="45" t="str">
        <f>INDEX(Table5[[#All],[Team]],MATCH(Table3[[#This Row],[PID]],Table5[[#All],[PID]],0))</f>
        <v>Neo-Tokyo Akira</v>
      </c>
      <c r="BL64" s="45" t="str">
        <f>IF(OR(Table3[[#This Row],[POS]]="SP",Table3[[#This Row],[POS]]="RP",Table3[[#This Row],[POS]]="CL"),"P",INDEX(Batters[[#All],[zScore]],MATCH(Table3[[#This Row],[PID]],Batters[[#All],[PID]],0)))</f>
        <v>P</v>
      </c>
    </row>
    <row r="65" spans="1:64" ht="15" customHeight="1" x14ac:dyDescent="0.3">
      <c r="A65" s="40">
        <v>7728</v>
      </c>
      <c r="B65" s="40" t="s">
        <v>49</v>
      </c>
      <c r="C65" s="40" t="s">
        <v>151</v>
      </c>
      <c r="D65" s="40" t="s">
        <v>1477</v>
      </c>
      <c r="E65" s="40">
        <v>21</v>
      </c>
      <c r="F65" s="40" t="s">
        <v>42</v>
      </c>
      <c r="G65" s="40" t="s">
        <v>53</v>
      </c>
      <c r="H65" s="41" t="s">
        <v>548</v>
      </c>
      <c r="I65" s="42" t="s">
        <v>43</v>
      </c>
      <c r="J65" s="40" t="s">
        <v>43</v>
      </c>
      <c r="K65" s="41" t="s">
        <v>43</v>
      </c>
      <c r="L65" s="40">
        <v>2</v>
      </c>
      <c r="M65" s="40">
        <v>2</v>
      </c>
      <c r="N65" s="41">
        <v>4</v>
      </c>
      <c r="O65" s="40">
        <v>6</v>
      </c>
      <c r="P65" s="40">
        <v>5</v>
      </c>
      <c r="Q65" s="41">
        <v>6</v>
      </c>
      <c r="R65" s="40" t="s">
        <v>45</v>
      </c>
      <c r="S65" s="40" t="s">
        <v>45</v>
      </c>
      <c r="T65" s="40">
        <v>1</v>
      </c>
      <c r="U65" s="40">
        <v>2</v>
      </c>
      <c r="V65" s="40" t="s">
        <v>45</v>
      </c>
      <c r="W65" s="40" t="s">
        <v>45</v>
      </c>
      <c r="X65" s="40">
        <v>3</v>
      </c>
      <c r="Y65" s="40">
        <v>8</v>
      </c>
      <c r="Z65" s="40" t="s">
        <v>45</v>
      </c>
      <c r="AA65" s="40" t="s">
        <v>45</v>
      </c>
      <c r="AB65" s="40" t="s">
        <v>45</v>
      </c>
      <c r="AC65" s="40" t="s">
        <v>45</v>
      </c>
      <c r="AD65" s="40">
        <v>3</v>
      </c>
      <c r="AE65" s="40">
        <v>6</v>
      </c>
      <c r="AF65" s="40" t="s">
        <v>45</v>
      </c>
      <c r="AG65" s="40" t="s">
        <v>45</v>
      </c>
      <c r="AH65" s="40" t="s">
        <v>45</v>
      </c>
      <c r="AI65" s="40" t="s">
        <v>45</v>
      </c>
      <c r="AJ65" s="40" t="s">
        <v>45</v>
      </c>
      <c r="AK65" s="40" t="s">
        <v>45</v>
      </c>
      <c r="AL65" s="40" t="s">
        <v>45</v>
      </c>
      <c r="AM65" s="40" t="s">
        <v>45</v>
      </c>
      <c r="AN65" s="40" t="s">
        <v>45</v>
      </c>
      <c r="AO65" s="41" t="s">
        <v>45</v>
      </c>
      <c r="AP65" s="40" t="s">
        <v>328</v>
      </c>
      <c r="AQ65" s="40">
        <v>8</v>
      </c>
      <c r="AR65" s="48" t="s">
        <v>326</v>
      </c>
      <c r="AS65" s="43" t="s">
        <v>493</v>
      </c>
      <c r="AT65" s="43" t="s">
        <v>103</v>
      </c>
      <c r="AU65" s="44">
        <f t="shared" si="0"/>
        <v>-1.5843994988660377</v>
      </c>
      <c r="AV65" s="44">
        <f t="shared" si="1"/>
        <v>0.71079683130611471</v>
      </c>
      <c r="AW65" s="45">
        <f t="shared" si="2"/>
        <v>3</v>
      </c>
      <c r="AX65" s="45">
        <f t="shared" si="3"/>
        <v>2</v>
      </c>
      <c r="AY65" s="46">
        <f>VLOOKUP(AP65,COND!$A$10:$B$32,2,FALSE)</f>
        <v>1</v>
      </c>
      <c r="AZ65" s="44">
        <f>($AU$3*AU65+$AV$3*AV65+$AW$3*AW65+$AX$3*AX65)*AY65*IF(AQ65&lt;5,0.95,IF(AQ65&lt;7,0.975,1))+$I$3*VLOOKUP(I65,COND!$A$2:$E$7,4,FALSE)+$J$3*VLOOKUP(J65,COND!$A$2:$E$7,2,FALSE)+$K$3*VLOOKUP(K65,COND!$A$2:$E$7,3,FALSE)+IF(BB65="SP",$BB$3,0)+IF($AW65&lt;3,-5,0)+IF(AND($B$2&gt;0,$E65&lt;20),$B$2*25,0)</f>
        <v>64.899056726349087</v>
      </c>
      <c r="BA65" s="47">
        <f t="shared" si="9"/>
        <v>1.9294595245485746</v>
      </c>
      <c r="BB65" s="45" t="str">
        <f t="shared" si="5"/>
        <v>SP</v>
      </c>
      <c r="BC65" s="45">
        <v>900</v>
      </c>
      <c r="BD65" s="45">
        <v>60</v>
      </c>
      <c r="BE65" s="45"/>
      <c r="BF65" s="45" t="str">
        <f t="shared" si="6"/>
        <v>Possible</v>
      </c>
      <c r="BG65" s="45"/>
      <c r="BH65" s="45">
        <f>INDEX(Table5[[#All],[Ovr]],MATCH(Table3[[#This Row],[PID]],Table5[[#All],[PID]],0))</f>
        <v>109</v>
      </c>
      <c r="BI65" s="45" t="str">
        <f>INDEX(Table5[[#All],[Rnd]],MATCH(Table3[[#This Row],[PID]],Table5[[#All],[PID]],0))</f>
        <v>4</v>
      </c>
      <c r="BJ65" s="45">
        <f>INDEX(Table5[[#All],[Pick]],MATCH(Table3[[#This Row],[PID]],Table5[[#All],[PID]],0))</f>
        <v>4</v>
      </c>
      <c r="BK65" s="45" t="str">
        <f>INDEX(Table5[[#All],[Team]],MATCH(Table3[[#This Row],[PID]],Table5[[#All],[PID]],0))</f>
        <v>Palm Springs Codgers</v>
      </c>
      <c r="BL65" s="45" t="str">
        <f>IF(OR(Table3[[#This Row],[POS]]="SP",Table3[[#This Row],[POS]]="RP",Table3[[#This Row],[POS]]="CL"),"P",INDEX(Batters[[#All],[zScore]],MATCH(Table3[[#This Row],[PID]],Batters[[#All],[PID]],0)))</f>
        <v>P</v>
      </c>
    </row>
    <row r="66" spans="1:64" ht="15" customHeight="1" x14ac:dyDescent="0.3">
      <c r="A66" s="40">
        <v>14331</v>
      </c>
      <c r="B66" s="40" t="s">
        <v>24</v>
      </c>
      <c r="C66" s="40" t="s">
        <v>1369</v>
      </c>
      <c r="D66" s="40" t="s">
        <v>1370</v>
      </c>
      <c r="E66" s="40">
        <v>21</v>
      </c>
      <c r="F66" s="40" t="s">
        <v>53</v>
      </c>
      <c r="G66" s="40" t="s">
        <v>53</v>
      </c>
      <c r="H66" s="41" t="s">
        <v>550</v>
      </c>
      <c r="I66" s="42" t="s">
        <v>43</v>
      </c>
      <c r="J66" s="40" t="s">
        <v>43</v>
      </c>
      <c r="K66" s="41" t="s">
        <v>43</v>
      </c>
      <c r="L66" s="40">
        <v>2</v>
      </c>
      <c r="M66" s="40">
        <v>3</v>
      </c>
      <c r="N66" s="41">
        <v>2</v>
      </c>
      <c r="O66" s="40">
        <v>5</v>
      </c>
      <c r="P66" s="40">
        <v>6</v>
      </c>
      <c r="Q66" s="41">
        <v>5</v>
      </c>
      <c r="R66" s="40">
        <v>4</v>
      </c>
      <c r="S66" s="40">
        <v>6</v>
      </c>
      <c r="T66" s="40" t="s">
        <v>45</v>
      </c>
      <c r="U66" s="40" t="s">
        <v>45</v>
      </c>
      <c r="V66" s="40" t="s">
        <v>45</v>
      </c>
      <c r="W66" s="40" t="s">
        <v>45</v>
      </c>
      <c r="X66" s="40">
        <v>2</v>
      </c>
      <c r="Y66" s="40">
        <v>7</v>
      </c>
      <c r="Z66" s="40" t="s">
        <v>45</v>
      </c>
      <c r="AA66" s="40" t="s">
        <v>45</v>
      </c>
      <c r="AB66" s="40" t="s">
        <v>45</v>
      </c>
      <c r="AC66" s="40" t="s">
        <v>45</v>
      </c>
      <c r="AD66" s="40" t="s">
        <v>45</v>
      </c>
      <c r="AE66" s="40" t="s">
        <v>45</v>
      </c>
      <c r="AF66" s="40">
        <v>3</v>
      </c>
      <c r="AG66" s="40">
        <v>6</v>
      </c>
      <c r="AH66" s="40" t="s">
        <v>45</v>
      </c>
      <c r="AI66" s="40" t="s">
        <v>45</v>
      </c>
      <c r="AJ66" s="40" t="s">
        <v>45</v>
      </c>
      <c r="AK66" s="40" t="s">
        <v>45</v>
      </c>
      <c r="AL66" s="40" t="s">
        <v>45</v>
      </c>
      <c r="AM66" s="40" t="s">
        <v>45</v>
      </c>
      <c r="AN66" s="40" t="s">
        <v>45</v>
      </c>
      <c r="AO66" s="41" t="s">
        <v>45</v>
      </c>
      <c r="AP66" s="40" t="s">
        <v>57</v>
      </c>
      <c r="AQ66" s="40">
        <v>6</v>
      </c>
      <c r="AR66" s="48" t="s">
        <v>325</v>
      </c>
      <c r="AS66" s="43" t="s">
        <v>514</v>
      </c>
      <c r="AT66" s="43" t="s">
        <v>103</v>
      </c>
      <c r="AU66" s="44">
        <f t="shared" si="0"/>
        <v>-1.8736089145442034</v>
      </c>
      <c r="AV66" s="44">
        <f t="shared" si="1"/>
        <v>0.4692166571728863</v>
      </c>
      <c r="AW66" s="45">
        <f t="shared" si="2"/>
        <v>3</v>
      </c>
      <c r="AX66" s="45">
        <f t="shared" si="3"/>
        <v>3</v>
      </c>
      <c r="AY66" s="46">
        <f>VLOOKUP(AP66,COND!$A$10:$B$32,2,FALSE)</f>
        <v>1</v>
      </c>
      <c r="AZ66" s="44">
        <f>($AU$3*AU66+$AV$3*AV66+$AW$3*AW66+$AX$3*AX66)*AY66*IF(AQ66&lt;5,0.95,IF(AQ66&lt;7,0.975,1))+$I$3*VLOOKUP(I66,COND!$A$2:$E$7,4,FALSE)+$J$3*VLOOKUP(J66,COND!$A$2:$E$7,2,FALSE)+$K$3*VLOOKUP(K66,COND!$A$2:$E$7,3,FALSE)+IF(BB66="SP",$BB$3,0)+IF($AW66&lt;3,-5,0)+IF(AND($B$2&gt;0,$E66&lt;20),$B$2*25,0)</f>
        <v>60.903121076535164</v>
      </c>
      <c r="BA66" s="47">
        <f t="shared" si="9"/>
        <v>1.6449208033739797</v>
      </c>
      <c r="BB66" s="45" t="str">
        <f t="shared" si="5"/>
        <v>SP</v>
      </c>
      <c r="BC66" s="45">
        <v>900</v>
      </c>
      <c r="BD66" s="45">
        <v>61</v>
      </c>
      <c r="BE66" s="45"/>
      <c r="BF66" s="45" t="str">
        <f t="shared" si="6"/>
        <v>Possible</v>
      </c>
      <c r="BG66" s="45"/>
      <c r="BH66" s="45">
        <f>INDEX(Table5[[#All],[Ovr]],MATCH(Table3[[#This Row],[PID]],Table5[[#All],[PID]],0))</f>
        <v>87</v>
      </c>
      <c r="BI66" s="45" t="str">
        <f>INDEX(Table5[[#All],[Rnd]],MATCH(Table3[[#This Row],[PID]],Table5[[#All],[PID]],0))</f>
        <v>3</v>
      </c>
      <c r="BJ66" s="45">
        <f>INDEX(Table5[[#All],[Pick]],MATCH(Table3[[#This Row],[PID]],Table5[[#All],[PID]],0))</f>
        <v>15</v>
      </c>
      <c r="BK66" s="45" t="str">
        <f>INDEX(Table5[[#All],[Team]],MATCH(Table3[[#This Row],[PID]],Table5[[#All],[PID]],0))</f>
        <v>San Antonio Calzones of Laredo</v>
      </c>
      <c r="BL66" s="45" t="str">
        <f>IF(OR(Table3[[#This Row],[POS]]="SP",Table3[[#This Row],[POS]]="RP",Table3[[#This Row],[POS]]="CL"),"P",INDEX(Batters[[#All],[zScore]],MATCH(Table3[[#This Row],[PID]],Batters[[#All],[PID]],0)))</f>
        <v>P</v>
      </c>
    </row>
    <row r="67" spans="1:64" ht="15" customHeight="1" x14ac:dyDescent="0.3">
      <c r="A67" s="40">
        <v>10801</v>
      </c>
      <c r="B67" s="40" t="s">
        <v>49</v>
      </c>
      <c r="C67" s="40" t="s">
        <v>807</v>
      </c>
      <c r="D67" s="40" t="s">
        <v>1359</v>
      </c>
      <c r="E67" s="40">
        <v>18</v>
      </c>
      <c r="F67" s="40" t="s">
        <v>53</v>
      </c>
      <c r="G67" s="40" t="s">
        <v>42</v>
      </c>
      <c r="H67" s="41" t="s">
        <v>550</v>
      </c>
      <c r="I67" s="42" t="s">
        <v>44</v>
      </c>
      <c r="J67" s="40" t="s">
        <v>43</v>
      </c>
      <c r="K67" s="41" t="s">
        <v>43</v>
      </c>
      <c r="L67" s="40">
        <v>1</v>
      </c>
      <c r="M67" s="40">
        <v>3</v>
      </c>
      <c r="N67" s="41">
        <v>2</v>
      </c>
      <c r="O67" s="40">
        <v>5</v>
      </c>
      <c r="P67" s="40">
        <v>6</v>
      </c>
      <c r="Q67" s="41">
        <v>4</v>
      </c>
      <c r="R67" s="40">
        <v>3</v>
      </c>
      <c r="S67" s="40">
        <v>4</v>
      </c>
      <c r="T67" s="40">
        <v>1</v>
      </c>
      <c r="U67" s="40">
        <v>1</v>
      </c>
      <c r="V67" s="40">
        <v>2</v>
      </c>
      <c r="W67" s="40">
        <v>8</v>
      </c>
      <c r="X67" s="40" t="s">
        <v>45</v>
      </c>
      <c r="Y67" s="40" t="s">
        <v>45</v>
      </c>
      <c r="Z67" s="40" t="s">
        <v>45</v>
      </c>
      <c r="AA67" s="40" t="s">
        <v>45</v>
      </c>
      <c r="AB67" s="40" t="s">
        <v>45</v>
      </c>
      <c r="AC67" s="40" t="s">
        <v>45</v>
      </c>
      <c r="AD67" s="40" t="s">
        <v>45</v>
      </c>
      <c r="AE67" s="40" t="s">
        <v>45</v>
      </c>
      <c r="AF67" s="40" t="s">
        <v>45</v>
      </c>
      <c r="AG67" s="40" t="s">
        <v>45</v>
      </c>
      <c r="AH67" s="40" t="s">
        <v>45</v>
      </c>
      <c r="AI67" s="40" t="s">
        <v>45</v>
      </c>
      <c r="AJ67" s="40" t="s">
        <v>45</v>
      </c>
      <c r="AK67" s="40" t="s">
        <v>45</v>
      </c>
      <c r="AL67" s="40" t="s">
        <v>45</v>
      </c>
      <c r="AM67" s="40" t="s">
        <v>45</v>
      </c>
      <c r="AN67" s="40" t="s">
        <v>45</v>
      </c>
      <c r="AO67" s="41" t="s">
        <v>45</v>
      </c>
      <c r="AP67" s="40" t="s">
        <v>68</v>
      </c>
      <c r="AQ67" s="40">
        <v>9</v>
      </c>
      <c r="AR67" s="48" t="s">
        <v>326</v>
      </c>
      <c r="AS67" s="43" t="s">
        <v>558</v>
      </c>
      <c r="AT67" s="43" t="s">
        <v>103</v>
      </c>
      <c r="AU67" s="44">
        <f t="shared" si="0"/>
        <v>-2.0683002390533769</v>
      </c>
      <c r="AV67" s="44">
        <f t="shared" si="1"/>
        <v>0.22689609111877593</v>
      </c>
      <c r="AW67" s="45">
        <f t="shared" si="2"/>
        <v>3</v>
      </c>
      <c r="AX67" s="45">
        <f t="shared" si="3"/>
        <v>1</v>
      </c>
      <c r="AY67" s="46">
        <f>VLOOKUP(AP67,COND!$A$10:$B$32,2,FALSE)</f>
        <v>0.95</v>
      </c>
      <c r="AZ67" s="44">
        <f>($AU$3*AU67+$AV$3*AV67+$AW$3*AW67+$AX$3*AX67)*AY67*IF(AQ67&lt;5,0.95,IF(AQ67&lt;7,0.975,1))+$I$3*VLOOKUP(I67,COND!$A$2:$E$7,4,FALSE)+$J$3*VLOOKUP(J67,COND!$A$2:$E$7,2,FALSE)+$K$3*VLOOKUP(K67,COND!$A$2:$E$7,3,FALSE)+IF(BB67="SP",$BB$3,0)+IF($AW67&lt;3,-5,0)+IF(AND($B$2&gt;0,$E67&lt;20),$B$2*25,0)</f>
        <v>58.380548685836601</v>
      </c>
      <c r="BA67" s="47">
        <f t="shared" si="9"/>
        <v>1.4652959082250467</v>
      </c>
      <c r="BB67" s="45" t="str">
        <f t="shared" si="5"/>
        <v>SP</v>
      </c>
      <c r="BC67" s="45">
        <v>900</v>
      </c>
      <c r="BD67" s="45">
        <v>62</v>
      </c>
      <c r="BE67" s="45"/>
      <c r="BF67" s="45" t="str">
        <f t="shared" si="6"/>
        <v>Possible</v>
      </c>
      <c r="BG67" s="45"/>
      <c r="BH67" s="45">
        <f>INDEX(Table5[[#All],[Ovr]],MATCH(Table3[[#This Row],[PID]],Table5[[#All],[PID]],0))</f>
        <v>108</v>
      </c>
      <c r="BI67" s="45" t="str">
        <f>INDEX(Table5[[#All],[Rnd]],MATCH(Table3[[#This Row],[PID]],Table5[[#All],[PID]],0))</f>
        <v>4</v>
      </c>
      <c r="BJ67" s="45">
        <f>INDEX(Table5[[#All],[Pick]],MATCH(Table3[[#This Row],[PID]],Table5[[#All],[PID]],0))</f>
        <v>3</v>
      </c>
      <c r="BK67" s="45" t="str">
        <f>INDEX(Table5[[#All],[Team]],MATCH(Table3[[#This Row],[PID]],Table5[[#All],[PID]],0))</f>
        <v>Okinawa Shisa</v>
      </c>
      <c r="BL67" s="45" t="str">
        <f>IF(OR(Table3[[#This Row],[POS]]="SP",Table3[[#This Row],[POS]]="RP",Table3[[#This Row],[POS]]="CL"),"P",INDEX(Batters[[#All],[zScore]],MATCH(Table3[[#This Row],[PID]],Batters[[#All],[PID]],0)))</f>
        <v>P</v>
      </c>
    </row>
    <row r="68" spans="1:64" ht="15" customHeight="1" x14ac:dyDescent="0.3">
      <c r="A68" s="40">
        <v>20775</v>
      </c>
      <c r="B68" s="40" t="s">
        <v>24</v>
      </c>
      <c r="C68" s="40" t="s">
        <v>389</v>
      </c>
      <c r="D68" s="40" t="s">
        <v>520</v>
      </c>
      <c r="E68" s="40">
        <v>17</v>
      </c>
      <c r="F68" s="40" t="s">
        <v>42</v>
      </c>
      <c r="G68" s="40" t="s">
        <v>42</v>
      </c>
      <c r="H68" s="41" t="s">
        <v>552</v>
      </c>
      <c r="I68" s="42" t="s">
        <v>43</v>
      </c>
      <c r="J68" s="40" t="s">
        <v>43</v>
      </c>
      <c r="K68" s="41" t="s">
        <v>43</v>
      </c>
      <c r="L68" s="40">
        <v>2</v>
      </c>
      <c r="M68" s="40">
        <v>1</v>
      </c>
      <c r="N68" s="41">
        <v>2</v>
      </c>
      <c r="O68" s="40">
        <v>5</v>
      </c>
      <c r="P68" s="40">
        <v>2</v>
      </c>
      <c r="Q68" s="41">
        <v>5</v>
      </c>
      <c r="R68" s="40" t="s">
        <v>45</v>
      </c>
      <c r="S68" s="40" t="s">
        <v>45</v>
      </c>
      <c r="T68" s="40" t="s">
        <v>45</v>
      </c>
      <c r="U68" s="40" t="s">
        <v>45</v>
      </c>
      <c r="V68" s="40">
        <v>2</v>
      </c>
      <c r="W68" s="40">
        <v>6</v>
      </c>
      <c r="X68" s="40">
        <v>2</v>
      </c>
      <c r="Y68" s="40">
        <v>6</v>
      </c>
      <c r="Z68" s="40" t="s">
        <v>45</v>
      </c>
      <c r="AA68" s="40" t="s">
        <v>45</v>
      </c>
      <c r="AB68" s="40">
        <v>3</v>
      </c>
      <c r="AC68" s="40">
        <v>6</v>
      </c>
      <c r="AD68" s="40">
        <v>3</v>
      </c>
      <c r="AE68" s="40">
        <v>6</v>
      </c>
      <c r="AF68" s="40" t="s">
        <v>45</v>
      </c>
      <c r="AG68" s="40" t="s">
        <v>45</v>
      </c>
      <c r="AH68" s="40" t="s">
        <v>45</v>
      </c>
      <c r="AI68" s="40" t="s">
        <v>45</v>
      </c>
      <c r="AJ68" s="40" t="s">
        <v>45</v>
      </c>
      <c r="AK68" s="40" t="s">
        <v>45</v>
      </c>
      <c r="AL68" s="40" t="s">
        <v>45</v>
      </c>
      <c r="AM68" s="40" t="s">
        <v>45</v>
      </c>
      <c r="AN68" s="40" t="s">
        <v>45</v>
      </c>
      <c r="AO68" s="41" t="s">
        <v>45</v>
      </c>
      <c r="AP68" s="40" t="s">
        <v>57</v>
      </c>
      <c r="AQ68" s="40">
        <v>9</v>
      </c>
      <c r="AR68" s="48" t="s">
        <v>326</v>
      </c>
      <c r="AS68" s="43" t="s">
        <v>498</v>
      </c>
      <c r="AT68" s="43" t="s">
        <v>103</v>
      </c>
      <c r="AU68" s="44">
        <f t="shared" si="0"/>
        <v>-2.2644723474043147</v>
      </c>
      <c r="AV68" s="44">
        <f t="shared" si="1"/>
        <v>-0.31251020854733541</v>
      </c>
      <c r="AW68" s="45">
        <f t="shared" si="2"/>
        <v>4</v>
      </c>
      <c r="AX68" s="45">
        <f t="shared" si="3"/>
        <v>4</v>
      </c>
      <c r="AY68" s="46">
        <f>VLOOKUP(AP68,COND!$A$10:$B$32,2,FALSE)</f>
        <v>1</v>
      </c>
      <c r="AZ68" s="44">
        <f>($AU$3*AU68+$AV$3*AV68+$AW$3*AW68+$AX$3*AX68)*AY68*IF(AQ68&lt;5,0.95,IF(AQ68&lt;7,0.975,1))+$I$3*VLOOKUP(I68,COND!$A$2:$E$7,4,FALSE)+$J$3*VLOOKUP(J68,COND!$A$2:$E$7,2,FALSE)+$K$3*VLOOKUP(K68,COND!$A$2:$E$7,3,FALSE)+IF(BB68="SP",$BB$3,0)+IF($AW68&lt;3,-5,0)+IF(AND($B$2&gt;0,$E68&lt;20),$B$2*25,0)</f>
        <v>52.296901359572431</v>
      </c>
      <c r="BA68" s="47">
        <f t="shared" si="9"/>
        <v>1.0320974330761643</v>
      </c>
      <c r="BB68" s="45" t="str">
        <f t="shared" si="5"/>
        <v>SP</v>
      </c>
      <c r="BC68" s="45">
        <v>900</v>
      </c>
      <c r="BD68" s="45">
        <v>63</v>
      </c>
      <c r="BE68" s="45"/>
      <c r="BF68" s="45" t="str">
        <f t="shared" si="6"/>
        <v>Possible</v>
      </c>
      <c r="BG68" s="45"/>
      <c r="BH68" s="45">
        <f>INDEX(Table5[[#All],[Ovr]],MATCH(Table3[[#This Row],[PID]],Table5[[#All],[PID]],0))</f>
        <v>216</v>
      </c>
      <c r="BI68" s="45" t="str">
        <f>INDEX(Table5[[#All],[Rnd]],MATCH(Table3[[#This Row],[PID]],Table5[[#All],[PID]],0))</f>
        <v>7</v>
      </c>
      <c r="BJ68" s="45">
        <f>INDEX(Table5[[#All],[Pick]],MATCH(Table3[[#This Row],[PID]],Table5[[#All],[PID]],0))</f>
        <v>15</v>
      </c>
      <c r="BK68" s="45" t="str">
        <f>INDEX(Table5[[#All],[Team]],MATCH(Table3[[#This Row],[PID]],Table5[[#All],[PID]],0))</f>
        <v>Scottish Claymores</v>
      </c>
      <c r="BL68" s="45" t="str">
        <f>IF(OR(Table3[[#This Row],[POS]]="SP",Table3[[#This Row],[POS]]="RP",Table3[[#This Row],[POS]]="CL"),"P",INDEX(Batters[[#All],[zScore]],MATCH(Table3[[#This Row],[PID]],Batters[[#All],[PID]],0)))</f>
        <v>P</v>
      </c>
    </row>
    <row r="69" spans="1:64" ht="15" customHeight="1" x14ac:dyDescent="0.3">
      <c r="A69" s="40">
        <v>11075</v>
      </c>
      <c r="B69" s="40" t="s">
        <v>49</v>
      </c>
      <c r="C69" s="40" t="s">
        <v>1388</v>
      </c>
      <c r="D69" s="40" t="s">
        <v>1389</v>
      </c>
      <c r="E69" s="40">
        <v>17</v>
      </c>
      <c r="F69" s="40" t="s">
        <v>42</v>
      </c>
      <c r="G69" s="40" t="s">
        <v>53</v>
      </c>
      <c r="H69" s="41" t="s">
        <v>552</v>
      </c>
      <c r="I69" s="42" t="s">
        <v>43</v>
      </c>
      <c r="J69" s="40" t="s">
        <v>43</v>
      </c>
      <c r="K69" s="41" t="s">
        <v>43</v>
      </c>
      <c r="L69" s="40">
        <v>2</v>
      </c>
      <c r="M69" s="40">
        <v>3</v>
      </c>
      <c r="N69" s="41">
        <v>1</v>
      </c>
      <c r="O69" s="40">
        <v>6</v>
      </c>
      <c r="P69" s="40">
        <v>3</v>
      </c>
      <c r="Q69" s="41">
        <v>4</v>
      </c>
      <c r="R69" s="40">
        <v>3</v>
      </c>
      <c r="S69" s="40">
        <v>6</v>
      </c>
      <c r="T69" s="40">
        <v>1</v>
      </c>
      <c r="U69" s="40">
        <v>2</v>
      </c>
      <c r="V69" s="40" t="s">
        <v>45</v>
      </c>
      <c r="W69" s="40" t="s">
        <v>45</v>
      </c>
      <c r="X69" s="40" t="s">
        <v>45</v>
      </c>
      <c r="Y69" s="40" t="s">
        <v>45</v>
      </c>
      <c r="Z69" s="40">
        <v>3</v>
      </c>
      <c r="AA69" s="40">
        <v>6</v>
      </c>
      <c r="AB69" s="40" t="s">
        <v>45</v>
      </c>
      <c r="AC69" s="40" t="s">
        <v>45</v>
      </c>
      <c r="AD69" s="40" t="s">
        <v>45</v>
      </c>
      <c r="AE69" s="40" t="s">
        <v>45</v>
      </c>
      <c r="AF69" s="40" t="s">
        <v>45</v>
      </c>
      <c r="AG69" s="40" t="s">
        <v>45</v>
      </c>
      <c r="AH69" s="40" t="s">
        <v>45</v>
      </c>
      <c r="AI69" s="40" t="s">
        <v>45</v>
      </c>
      <c r="AJ69" s="40" t="s">
        <v>45</v>
      </c>
      <c r="AK69" s="40" t="s">
        <v>45</v>
      </c>
      <c r="AL69" s="40" t="s">
        <v>45</v>
      </c>
      <c r="AM69" s="40" t="s">
        <v>45</v>
      </c>
      <c r="AN69" s="40" t="s">
        <v>45</v>
      </c>
      <c r="AO69" s="41" t="s">
        <v>45</v>
      </c>
      <c r="AP69" s="40" t="s">
        <v>328</v>
      </c>
      <c r="AQ69" s="40">
        <v>6</v>
      </c>
      <c r="AR69" s="48" t="s">
        <v>325</v>
      </c>
      <c r="AS69" s="43" t="s">
        <v>558</v>
      </c>
      <c r="AT69" s="43" t="s">
        <v>103</v>
      </c>
      <c r="AU69" s="44">
        <f t="shared" ref="AU69:AU132" si="10">($O$3*(L69-$O$1)/$O$2+$P$3*(M69-$P$1)/$P$2+$Q$3*(N69-$P$1)/$Q$2)/SUM($O$3:$Q$3)</f>
        <v>-2.1159294805983135</v>
      </c>
      <c r="AV69" s="44">
        <f t="shared" ref="AV69:AV132" si="11">($O$3*(O69-$O$1)/$O$2+$P$3*(P69-$P$1)/$P$2+$Q$3*(Q69-$Q$1)/$Q$2)/SUM($O$3:$Q$3)</f>
        <v>-0.16470773366221675</v>
      </c>
      <c r="AW69" s="45">
        <f t="shared" ref="AW69:AW132" si="12">COUNT(R69:AO69)/2</f>
        <v>3</v>
      </c>
      <c r="AX69" s="45">
        <f t="shared" ref="AX69:AX132" si="13">IF(AND(S69&lt;&gt;"-",S69&gt;5),1,0)+IF(AND(U69&lt;&gt;"-",U69&gt;5),1,0)+IF(AND(W69&lt;&gt;"-",W69&gt;5),1,0)+IF(AND(Y69&lt;&gt;"-",Y69&gt;5),1,0)+IF(AND(AA69&lt;&gt;"-",AA69&gt;5),1,0)+IF(AND(AC69&lt;&gt;"-",AC69&gt;5),1,0)+IF(AND(AE69&lt;&gt;"-",AE69&gt;5),1,0)+IF(AND(AG69&lt;&gt;"-",AG69&gt;5),1,0)+IF(AND(AI69&lt;&gt;"-",AI69&gt;5),1,0)+IF(AND(AK69&lt;&gt;"-",AK69&gt;5),1,0)+IF(AND(AM69&lt;&gt;"-",AM69&gt;5),1,0)+IF(AND(AO69&lt;&gt;"-",AO69&gt;5),1,0)</f>
        <v>2</v>
      </c>
      <c r="AY69" s="46">
        <f>VLOOKUP(AP69,COND!$A$10:$B$32,2,FALSE)</f>
        <v>1</v>
      </c>
      <c r="AZ69" s="44">
        <f>($AU$3*AU69+$AV$3*AV69+$AW$3*AW69+$AX$3*AX69)*AY69*IF(AQ69&lt;5,0.95,IF(AQ69&lt;7,0.975,1))+$I$3*VLOOKUP(I69,COND!$A$2:$E$7,4,FALSE)+$J$3*VLOOKUP(J69,COND!$A$2:$E$7,2,FALSE)+$K$3*VLOOKUP(K69,COND!$A$2:$E$7,3,FALSE)+IF(BB69="SP",$BB$3,0)+IF($AW69&lt;3,-5,0)+IF(AND($B$2&gt;0,$E69&lt;20),$B$2*25,0)</f>
        <v>52.275592944870098</v>
      </c>
      <c r="BA69" s="47">
        <f t="shared" si="9"/>
        <v>1.0305801240899843</v>
      </c>
      <c r="BB69" s="45" t="str">
        <f t="shared" ref="BB69:BB132" si="14">IF(OR(AND(AQ69&gt;7,AX69&gt;1),AND(AQ69&gt;4,AW69&gt;2)),"SP","RP")</f>
        <v>SP</v>
      </c>
      <c r="BC69" s="45">
        <v>900</v>
      </c>
      <c r="BD69" s="45">
        <v>64</v>
      </c>
      <c r="BE69" s="45"/>
      <c r="BF69" s="45" t="str">
        <f t="shared" ref="BF69:BF132" si="15">IF(AVERAGE($O69:$Q69)&gt;=6,"Likely",IF(AVERAGE($O69:$Q69)&gt;=4,"Possible","Unlikely"))</f>
        <v>Possible</v>
      </c>
      <c r="BG69" s="45"/>
      <c r="BH69" s="45">
        <f>INDEX(Table5[[#All],[Ovr]],MATCH(Table3[[#This Row],[PID]],Table5[[#All],[PID]],0))</f>
        <v>172</v>
      </c>
      <c r="BI69" s="45" t="str">
        <f>INDEX(Table5[[#All],[Rnd]],MATCH(Table3[[#This Row],[PID]],Table5[[#All],[PID]],0))</f>
        <v>6</v>
      </c>
      <c r="BJ69" s="45">
        <f>INDEX(Table5[[#All],[Pick]],MATCH(Table3[[#This Row],[PID]],Table5[[#All],[PID]],0))</f>
        <v>3</v>
      </c>
      <c r="BK69" s="45" t="str">
        <f>INDEX(Table5[[#All],[Team]],MATCH(Table3[[#This Row],[PID]],Table5[[#All],[PID]],0))</f>
        <v>Okinawa Shisa</v>
      </c>
      <c r="BL69" s="45" t="str">
        <f>IF(OR(Table3[[#This Row],[POS]]="SP",Table3[[#This Row],[POS]]="RP",Table3[[#This Row],[POS]]="CL"),"P",INDEX(Batters[[#All],[zScore]],MATCH(Table3[[#This Row],[PID]],Batters[[#All],[PID]],0)))</f>
        <v>P</v>
      </c>
    </row>
    <row r="70" spans="1:64" ht="15" customHeight="1" x14ac:dyDescent="0.3">
      <c r="A70" s="40">
        <v>13102</v>
      </c>
      <c r="B70" s="40" t="s">
        <v>24</v>
      </c>
      <c r="C70" s="40" t="s">
        <v>841</v>
      </c>
      <c r="D70" s="40" t="s">
        <v>1384</v>
      </c>
      <c r="E70" s="40">
        <v>18</v>
      </c>
      <c r="F70" s="40" t="s">
        <v>62</v>
      </c>
      <c r="G70" s="40" t="s">
        <v>42</v>
      </c>
      <c r="H70" s="41" t="s">
        <v>552</v>
      </c>
      <c r="I70" s="42" t="s">
        <v>43</v>
      </c>
      <c r="J70" s="40" t="s">
        <v>43</v>
      </c>
      <c r="K70" s="41" t="s">
        <v>43</v>
      </c>
      <c r="L70" s="40">
        <v>3</v>
      </c>
      <c r="M70" s="40">
        <v>2</v>
      </c>
      <c r="N70" s="41">
        <v>2</v>
      </c>
      <c r="O70" s="40">
        <v>5</v>
      </c>
      <c r="P70" s="40">
        <v>2</v>
      </c>
      <c r="Q70" s="41">
        <v>5</v>
      </c>
      <c r="R70" s="40">
        <v>5</v>
      </c>
      <c r="S70" s="40">
        <v>7</v>
      </c>
      <c r="T70" s="40">
        <v>3</v>
      </c>
      <c r="U70" s="40">
        <v>6</v>
      </c>
      <c r="V70" s="40">
        <v>3</v>
      </c>
      <c r="W70" s="40">
        <v>6</v>
      </c>
      <c r="X70" s="40" t="s">
        <v>45</v>
      </c>
      <c r="Y70" s="40" t="s">
        <v>45</v>
      </c>
      <c r="Z70" s="40" t="s">
        <v>45</v>
      </c>
      <c r="AA70" s="40" t="s">
        <v>45</v>
      </c>
      <c r="AB70" s="40" t="s">
        <v>45</v>
      </c>
      <c r="AC70" s="40" t="s">
        <v>45</v>
      </c>
      <c r="AD70" s="40" t="s">
        <v>45</v>
      </c>
      <c r="AE70" s="40" t="s">
        <v>45</v>
      </c>
      <c r="AF70" s="40" t="s">
        <v>45</v>
      </c>
      <c r="AG70" s="40" t="s">
        <v>45</v>
      </c>
      <c r="AH70" s="40">
        <v>1</v>
      </c>
      <c r="AI70" s="40">
        <v>1</v>
      </c>
      <c r="AJ70" s="40" t="s">
        <v>45</v>
      </c>
      <c r="AK70" s="40" t="s">
        <v>45</v>
      </c>
      <c r="AL70" s="40" t="s">
        <v>45</v>
      </c>
      <c r="AM70" s="40" t="s">
        <v>45</v>
      </c>
      <c r="AN70" s="40" t="s">
        <v>45</v>
      </c>
      <c r="AO70" s="41" t="s">
        <v>45</v>
      </c>
      <c r="AP70" s="40" t="s">
        <v>56</v>
      </c>
      <c r="AQ70" s="40">
        <v>9</v>
      </c>
      <c r="AR70" s="48" t="s">
        <v>14</v>
      </c>
      <c r="AS70" s="43" t="s">
        <v>526</v>
      </c>
      <c r="AT70" s="43" t="s">
        <v>117</v>
      </c>
      <c r="AU70" s="44">
        <f t="shared" si="10"/>
        <v>-1.8743493064650851</v>
      </c>
      <c r="AV70" s="44">
        <f t="shared" si="11"/>
        <v>-0.31251020854733541</v>
      </c>
      <c r="AW70" s="45">
        <f t="shared" si="12"/>
        <v>4</v>
      </c>
      <c r="AX70" s="45">
        <f t="shared" si="13"/>
        <v>3</v>
      </c>
      <c r="AY70" s="46">
        <f>VLOOKUP(AP70,COND!$A$10:$B$32,2,FALSE)</f>
        <v>1</v>
      </c>
      <c r="AZ70" s="44">
        <f>($AU$3*AU70+$AV$3*AV70+$AW$3*AW70+$AX$3*AX70)*AY70*IF(AQ70&lt;5,0.95,IF(AQ70&lt;7,0.975,1))+$I$3*VLOOKUP(I70,COND!$A$2:$E$7,4,FALSE)+$J$3*VLOOKUP(J70,COND!$A$2:$E$7,2,FALSE)+$K$3*VLOOKUP(K70,COND!$A$2:$E$7,3,FALSE)+IF(BB70="SP",$BB$3,0)+IF($AW70&lt;3,-5,0)+IF(AND($B$2&gt;0,$E70&lt;20),$B$2*25,0)</f>
        <v>51.124925967760277</v>
      </c>
      <c r="BA70" s="47">
        <f>STANDARDIZE(AZ70,AVERAGE($AZ$5:$AZ$445),STDEVP($AZ$5:$AZ$445))</f>
        <v>0.95402953923545331</v>
      </c>
      <c r="BB70" s="45" t="str">
        <f t="shared" si="14"/>
        <v>SP</v>
      </c>
      <c r="BC70" s="45">
        <v>900</v>
      </c>
      <c r="BD70" s="45">
        <v>65</v>
      </c>
      <c r="BE70" s="45"/>
      <c r="BF70" s="45" t="str">
        <f t="shared" si="15"/>
        <v>Possible</v>
      </c>
      <c r="BG70" s="45"/>
      <c r="BH70" s="63">
        <f>INDEX(Table5[[#All],[Ovr]],MATCH(Table3[[#This Row],[PID]],Table5[[#All],[PID]],0))</f>
        <v>231</v>
      </c>
      <c r="BI70" s="63" t="str">
        <f>INDEX(Table5[[#All],[Rnd]],MATCH(Table3[[#This Row],[PID]],Table5[[#All],[PID]],0))</f>
        <v>7</v>
      </c>
      <c r="BJ70" s="63">
        <f>INDEX(Table5[[#All],[Pick]],MATCH(Table3[[#This Row],[PID]],Table5[[#All],[PID]],0))</f>
        <v>30</v>
      </c>
      <c r="BK70" s="63" t="str">
        <f>INDEX(Table5[[#All],[Team]],MATCH(Table3[[#This Row],[PID]],Table5[[#All],[PID]],0))</f>
        <v>Toyama Wind Dancers</v>
      </c>
      <c r="BL70" s="63" t="str">
        <f>IF(OR(Table3[[#This Row],[POS]]="SP",Table3[[#This Row],[POS]]="RP",Table3[[#This Row],[POS]]="CL"),"P",INDEX(Batters[[#All],[zScore]],MATCH(Table3[[#This Row],[PID]],Batters[[#All],[PID]],0)))</f>
        <v>P</v>
      </c>
    </row>
    <row r="71" spans="1:64" ht="15" customHeight="1" x14ac:dyDescent="0.3">
      <c r="A71" s="40">
        <v>9998</v>
      </c>
      <c r="B71" s="40" t="s">
        <v>24</v>
      </c>
      <c r="C71" s="40" t="s">
        <v>508</v>
      </c>
      <c r="D71" s="40" t="s">
        <v>891</v>
      </c>
      <c r="E71" s="40">
        <v>18</v>
      </c>
      <c r="F71" s="40" t="s">
        <v>53</v>
      </c>
      <c r="G71" s="40" t="s">
        <v>42</v>
      </c>
      <c r="H71" s="41" t="s">
        <v>552</v>
      </c>
      <c r="I71" s="42" t="s">
        <v>43</v>
      </c>
      <c r="J71" s="40" t="s">
        <v>43</v>
      </c>
      <c r="K71" s="41" t="s">
        <v>43</v>
      </c>
      <c r="L71" s="40">
        <v>2</v>
      </c>
      <c r="M71" s="40">
        <v>3</v>
      </c>
      <c r="N71" s="41">
        <v>2</v>
      </c>
      <c r="O71" s="40">
        <v>5</v>
      </c>
      <c r="P71" s="40">
        <v>3</v>
      </c>
      <c r="Q71" s="41">
        <v>4</v>
      </c>
      <c r="R71" s="40">
        <v>4</v>
      </c>
      <c r="S71" s="40">
        <v>6</v>
      </c>
      <c r="T71" s="40">
        <v>1</v>
      </c>
      <c r="U71" s="40">
        <v>1</v>
      </c>
      <c r="V71" s="40" t="s">
        <v>45</v>
      </c>
      <c r="W71" s="40" t="s">
        <v>45</v>
      </c>
      <c r="X71" s="40">
        <v>3</v>
      </c>
      <c r="Y71" s="40">
        <v>5</v>
      </c>
      <c r="Z71" s="40" t="s">
        <v>45</v>
      </c>
      <c r="AA71" s="40" t="s">
        <v>45</v>
      </c>
      <c r="AB71" s="40">
        <v>4</v>
      </c>
      <c r="AC71" s="40">
        <v>6</v>
      </c>
      <c r="AD71" s="40" t="s">
        <v>45</v>
      </c>
      <c r="AE71" s="40" t="s">
        <v>45</v>
      </c>
      <c r="AF71" s="40">
        <v>4</v>
      </c>
      <c r="AG71" s="40">
        <v>5</v>
      </c>
      <c r="AH71" s="40" t="s">
        <v>45</v>
      </c>
      <c r="AI71" s="40" t="s">
        <v>45</v>
      </c>
      <c r="AJ71" s="40" t="s">
        <v>45</v>
      </c>
      <c r="AK71" s="40" t="s">
        <v>45</v>
      </c>
      <c r="AL71" s="40" t="s">
        <v>45</v>
      </c>
      <c r="AM71" s="40" t="s">
        <v>45</v>
      </c>
      <c r="AN71" s="40" t="s">
        <v>45</v>
      </c>
      <c r="AO71" s="41" t="s">
        <v>45</v>
      </c>
      <c r="AP71" s="40" t="s">
        <v>58</v>
      </c>
      <c r="AQ71" s="40">
        <v>6</v>
      </c>
      <c r="AR71" s="48" t="s">
        <v>326</v>
      </c>
      <c r="AS71" s="43" t="s">
        <v>695</v>
      </c>
      <c r="AT71" s="43" t="s">
        <v>103</v>
      </c>
      <c r="AU71" s="44">
        <f t="shared" si="10"/>
        <v>-1.8736089145442034</v>
      </c>
      <c r="AV71" s="44">
        <f t="shared" si="11"/>
        <v>-0.35939905817139028</v>
      </c>
      <c r="AW71" s="45">
        <f t="shared" si="12"/>
        <v>5</v>
      </c>
      <c r="AX71" s="45">
        <f t="shared" si="13"/>
        <v>2</v>
      </c>
      <c r="AY71" s="46">
        <f>VLOOKUP(AP71,COND!$A$10:$B$32,2,FALSE)</f>
        <v>1</v>
      </c>
      <c r="AZ71" s="44">
        <f>($AU$3*AU71+$AV$3*AV71+$AW$3*AW71+$AX$3*AX71)*AY71*IF(AQ71&lt;5,0.95,IF(AQ71&lt;7,0.975,1))+$I$3*VLOOKUP(I71,COND!$A$2:$E$7,4,FALSE)+$J$3*VLOOKUP(J71,COND!$A$2:$E$7,2,FALSE)+$K$3*VLOOKUP(K71,COND!$A$2:$E$7,3,FALSE)+IF(BB71="SP",$BB$3,0)+IF($AW71&lt;3,-5,0)+IF(AND($B$2&gt;0,$E71&lt;20),$B$2*25,0)</f>
        <v>49.50136462732177</v>
      </c>
      <c r="BA71" s="47">
        <f t="shared" ref="BA71:BA77" si="16">STANDARDIZE(AZ71,AVERAGE($AZ$5:$AZ$428),STDEVP($AZ$5:$AZ$428))</f>
        <v>0.83303555708518096</v>
      </c>
      <c r="BB71" s="45" t="str">
        <f t="shared" si="14"/>
        <v>SP</v>
      </c>
      <c r="BC71" s="45">
        <v>900</v>
      </c>
      <c r="BD71" s="45">
        <v>66</v>
      </c>
      <c r="BE71" s="45"/>
      <c r="BF71" s="45" t="str">
        <f t="shared" si="15"/>
        <v>Possible</v>
      </c>
      <c r="BG71" s="45"/>
      <c r="BH71" s="45">
        <f>INDEX(Table5[[#All],[Ovr]],MATCH(Table3[[#This Row],[PID]],Table5[[#All],[PID]],0))</f>
        <v>262</v>
      </c>
      <c r="BI71" s="45" t="str">
        <f>INDEX(Table5[[#All],[Rnd]],MATCH(Table3[[#This Row],[PID]],Table5[[#All],[PID]],0))</f>
        <v>8</v>
      </c>
      <c r="BJ71" s="45">
        <f>INDEX(Table5[[#All],[Pick]],MATCH(Table3[[#This Row],[PID]],Table5[[#All],[PID]],0))</f>
        <v>29</v>
      </c>
      <c r="BK71" s="45" t="str">
        <f>INDEX(Table5[[#All],[Team]],MATCH(Table3[[#This Row],[PID]],Table5[[#All],[PID]],0))</f>
        <v>Charleston Statesmen</v>
      </c>
      <c r="BL71" s="45" t="str">
        <f>IF(OR(Table3[[#This Row],[POS]]="SP",Table3[[#This Row],[POS]]="RP",Table3[[#This Row],[POS]]="CL"),"P",INDEX(Batters[[#All],[zScore]],MATCH(Table3[[#This Row],[PID]],Batters[[#All],[PID]],0)))</f>
        <v>P</v>
      </c>
    </row>
    <row r="72" spans="1:64" ht="15" customHeight="1" x14ac:dyDescent="0.3">
      <c r="A72" s="40">
        <v>10970</v>
      </c>
      <c r="B72" s="40" t="s">
        <v>380</v>
      </c>
      <c r="C72" s="40" t="s">
        <v>1448</v>
      </c>
      <c r="D72" s="40" t="s">
        <v>1449</v>
      </c>
      <c r="E72" s="40">
        <v>21</v>
      </c>
      <c r="F72" s="40" t="s">
        <v>42</v>
      </c>
      <c r="G72" s="40" t="s">
        <v>42</v>
      </c>
      <c r="H72" s="41" t="s">
        <v>550</v>
      </c>
      <c r="I72" s="42" t="s">
        <v>43</v>
      </c>
      <c r="J72" s="40" t="s">
        <v>43</v>
      </c>
      <c r="K72" s="41" t="s">
        <v>43</v>
      </c>
      <c r="L72" s="40">
        <v>4</v>
      </c>
      <c r="M72" s="40">
        <v>2</v>
      </c>
      <c r="N72" s="41">
        <v>3</v>
      </c>
      <c r="O72" s="40">
        <v>5</v>
      </c>
      <c r="P72" s="40">
        <v>3</v>
      </c>
      <c r="Q72" s="41">
        <v>5</v>
      </c>
      <c r="R72" s="40">
        <v>5</v>
      </c>
      <c r="S72" s="40">
        <v>7</v>
      </c>
      <c r="T72" s="40">
        <v>1</v>
      </c>
      <c r="U72" s="40">
        <v>1</v>
      </c>
      <c r="V72" s="40" t="s">
        <v>45</v>
      </c>
      <c r="W72" s="40" t="s">
        <v>45</v>
      </c>
      <c r="X72" s="40" t="s">
        <v>45</v>
      </c>
      <c r="Y72" s="40" t="s">
        <v>45</v>
      </c>
      <c r="Z72" s="40" t="s">
        <v>45</v>
      </c>
      <c r="AA72" s="40" t="s">
        <v>45</v>
      </c>
      <c r="AB72" s="40">
        <v>5</v>
      </c>
      <c r="AC72" s="40">
        <v>6</v>
      </c>
      <c r="AD72" s="40" t="s">
        <v>45</v>
      </c>
      <c r="AE72" s="40" t="s">
        <v>45</v>
      </c>
      <c r="AF72" s="40" t="s">
        <v>45</v>
      </c>
      <c r="AG72" s="40" t="s">
        <v>45</v>
      </c>
      <c r="AH72" s="40" t="s">
        <v>45</v>
      </c>
      <c r="AI72" s="40" t="s">
        <v>45</v>
      </c>
      <c r="AJ72" s="40" t="s">
        <v>45</v>
      </c>
      <c r="AK72" s="40" t="s">
        <v>45</v>
      </c>
      <c r="AL72" s="40" t="s">
        <v>45</v>
      </c>
      <c r="AM72" s="40" t="s">
        <v>45</v>
      </c>
      <c r="AN72" s="40" t="s">
        <v>45</v>
      </c>
      <c r="AO72" s="41" t="s">
        <v>45</v>
      </c>
      <c r="AP72" s="40" t="s">
        <v>60</v>
      </c>
      <c r="AQ72" s="40">
        <v>5</v>
      </c>
      <c r="AR72" s="48" t="s">
        <v>326</v>
      </c>
      <c r="AS72" s="43" t="s">
        <v>557</v>
      </c>
      <c r="AT72" s="43" t="s">
        <v>103</v>
      </c>
      <c r="AU72" s="44">
        <f t="shared" si="10"/>
        <v>-1.4373374159018013</v>
      </c>
      <c r="AV72" s="44">
        <f t="shared" si="11"/>
        <v>-0.11707849211727993</v>
      </c>
      <c r="AW72" s="45">
        <f t="shared" si="12"/>
        <v>3</v>
      </c>
      <c r="AX72" s="45">
        <f t="shared" si="13"/>
        <v>2</v>
      </c>
      <c r="AY72" s="46">
        <f>VLOOKUP(AP72,COND!$A$10:$B$32,2,FALSE)</f>
        <v>1.0249999999999999</v>
      </c>
      <c r="AZ72" s="44">
        <f>($AU$3*AU72+$AV$3*AV72+$AW$3*AW72+$AX$3*AX72)*AY72*IF(AQ72&lt;5,0.95,IF(AQ72&lt;7,0.975,1))+$I$3*VLOOKUP(I72,COND!$A$2:$E$7,4,FALSE)+$J$3*VLOOKUP(J72,COND!$A$2:$E$7,2,FALSE)+$K$3*VLOOKUP(K72,COND!$A$2:$E$7,3,FALSE)+IF(BB72="SP",$BB$3,0)+IF($AW72&lt;3,-5,0)+IF(AND($B$2&gt;0,$E72&lt;20),$B$2*25,0)</f>
        <v>48.370105822802493</v>
      </c>
      <c r="BA72" s="47">
        <f t="shared" si="16"/>
        <v>0.75248197420393381</v>
      </c>
      <c r="BB72" s="45" t="str">
        <f t="shared" si="14"/>
        <v>SP</v>
      </c>
      <c r="BC72" s="45">
        <v>900</v>
      </c>
      <c r="BD72" s="45">
        <v>67</v>
      </c>
      <c r="BE72" s="45"/>
      <c r="BF72" s="45" t="str">
        <f t="shared" si="15"/>
        <v>Possible</v>
      </c>
      <c r="BG72" s="45"/>
      <c r="BH72" s="45">
        <f>INDEX(Table5[[#All],[Ovr]],MATCH(Table3[[#This Row],[PID]],Table5[[#All],[PID]],0))</f>
        <v>220</v>
      </c>
      <c r="BI72" s="45" t="str">
        <f>INDEX(Table5[[#All],[Rnd]],MATCH(Table3[[#This Row],[PID]],Table5[[#All],[PID]],0))</f>
        <v>7</v>
      </c>
      <c r="BJ72" s="45">
        <f>INDEX(Table5[[#All],[Pick]],MATCH(Table3[[#This Row],[PID]],Table5[[#All],[PID]],0))</f>
        <v>19</v>
      </c>
      <c r="BK72" s="45" t="str">
        <f>INDEX(Table5[[#All],[Team]],MATCH(Table3[[#This Row],[PID]],Table5[[#All],[PID]],0))</f>
        <v>Fargo Dinosaurs</v>
      </c>
      <c r="BL72" s="45" t="str">
        <f>IF(OR(Table3[[#This Row],[POS]]="SP",Table3[[#This Row],[POS]]="RP",Table3[[#This Row],[POS]]="CL"),"P",INDEX(Batters[[#All],[zScore]],MATCH(Table3[[#This Row],[PID]],Batters[[#All],[PID]],0)))</f>
        <v>P</v>
      </c>
    </row>
    <row r="73" spans="1:64" ht="15" customHeight="1" x14ac:dyDescent="0.3">
      <c r="A73" s="40">
        <v>13764</v>
      </c>
      <c r="B73" s="40" t="s">
        <v>24</v>
      </c>
      <c r="C73" s="40" t="s">
        <v>393</v>
      </c>
      <c r="D73" s="40" t="s">
        <v>686</v>
      </c>
      <c r="E73" s="40">
        <v>21</v>
      </c>
      <c r="F73" s="40" t="s">
        <v>42</v>
      </c>
      <c r="G73" s="40" t="s">
        <v>42</v>
      </c>
      <c r="H73" s="41" t="s">
        <v>553</v>
      </c>
      <c r="I73" s="42" t="s">
        <v>43</v>
      </c>
      <c r="J73" s="40" t="s">
        <v>47</v>
      </c>
      <c r="K73" s="41" t="s">
        <v>43</v>
      </c>
      <c r="L73" s="40">
        <v>2</v>
      </c>
      <c r="M73" s="40">
        <v>3</v>
      </c>
      <c r="N73" s="41">
        <v>2</v>
      </c>
      <c r="O73" s="40">
        <v>5</v>
      </c>
      <c r="P73" s="40">
        <v>4</v>
      </c>
      <c r="Q73" s="41">
        <v>4</v>
      </c>
      <c r="R73" s="40" t="s">
        <v>45</v>
      </c>
      <c r="S73" s="40" t="s">
        <v>45</v>
      </c>
      <c r="T73" s="40">
        <v>2</v>
      </c>
      <c r="U73" s="40">
        <v>8</v>
      </c>
      <c r="V73" s="40" t="s">
        <v>45</v>
      </c>
      <c r="W73" s="40" t="s">
        <v>45</v>
      </c>
      <c r="X73" s="40">
        <v>2</v>
      </c>
      <c r="Y73" s="40">
        <v>3</v>
      </c>
      <c r="Z73" s="40" t="s">
        <v>45</v>
      </c>
      <c r="AA73" s="40" t="s">
        <v>45</v>
      </c>
      <c r="AB73" s="40" t="s">
        <v>45</v>
      </c>
      <c r="AC73" s="40" t="s">
        <v>45</v>
      </c>
      <c r="AD73" s="40">
        <v>5</v>
      </c>
      <c r="AE73" s="40">
        <v>7</v>
      </c>
      <c r="AF73" s="40" t="s">
        <v>45</v>
      </c>
      <c r="AG73" s="40" t="s">
        <v>45</v>
      </c>
      <c r="AH73" s="40" t="s">
        <v>45</v>
      </c>
      <c r="AI73" s="40" t="s">
        <v>45</v>
      </c>
      <c r="AJ73" s="40" t="s">
        <v>45</v>
      </c>
      <c r="AK73" s="40" t="s">
        <v>45</v>
      </c>
      <c r="AL73" s="40" t="s">
        <v>45</v>
      </c>
      <c r="AM73" s="40" t="s">
        <v>45</v>
      </c>
      <c r="AN73" s="40" t="s">
        <v>45</v>
      </c>
      <c r="AO73" s="41" t="s">
        <v>45</v>
      </c>
      <c r="AP73" s="40" t="s">
        <v>56</v>
      </c>
      <c r="AQ73" s="40">
        <v>7</v>
      </c>
      <c r="AR73" s="48" t="s">
        <v>326</v>
      </c>
      <c r="AS73" s="43" t="s">
        <v>557</v>
      </c>
      <c r="AT73" s="43" t="s">
        <v>103</v>
      </c>
      <c r="AU73" s="44">
        <f t="shared" si="10"/>
        <v>-1.8736089145442034</v>
      </c>
      <c r="AV73" s="44">
        <f t="shared" si="11"/>
        <v>-0.16396734174133493</v>
      </c>
      <c r="AW73" s="45">
        <f t="shared" si="12"/>
        <v>3</v>
      </c>
      <c r="AX73" s="45">
        <f t="shared" si="13"/>
        <v>2</v>
      </c>
      <c r="AY73" s="46">
        <f>VLOOKUP(AP73,COND!$A$10:$B$32,2,FALSE)</f>
        <v>1</v>
      </c>
      <c r="AZ73" s="44">
        <f>($AU$3*AU73+$AV$3*AV73+$AW$3*AW73+$AX$3*AX73)*AY73*IF(AQ73&lt;5,0.95,IF(AQ73&lt;7,0.975,1))+$I$3*VLOOKUP(I73,COND!$A$2:$E$7,4,FALSE)+$J$3*VLOOKUP(J73,COND!$A$2:$E$7,2,FALSE)+$K$3*VLOOKUP(K73,COND!$A$2:$E$7,3,FALSE)+IF(BB73="SP",$BB$3,0)+IF($AW73&lt;3,-5,0)+IF(AND($B$2&gt;0,$E73&lt;20),$B$2*25,0)</f>
        <v>47.645931382264465</v>
      </c>
      <c r="BA73" s="47">
        <f t="shared" si="16"/>
        <v>0.70091566101077374</v>
      </c>
      <c r="BB73" s="45" t="str">
        <f t="shared" si="14"/>
        <v>SP</v>
      </c>
      <c r="BC73" s="45">
        <v>900</v>
      </c>
      <c r="BD73" s="45">
        <v>68</v>
      </c>
      <c r="BE73" s="45"/>
      <c r="BF73" s="45" t="str">
        <f t="shared" si="15"/>
        <v>Possible</v>
      </c>
      <c r="BG73" s="45"/>
      <c r="BH73" s="45">
        <f>INDEX(Table5[[#All],[Ovr]],MATCH(Table3[[#This Row],[PID]],Table5[[#All],[PID]],0))</f>
        <v>111</v>
      </c>
      <c r="BI73" s="45" t="str">
        <f>INDEX(Table5[[#All],[Rnd]],MATCH(Table3[[#This Row],[PID]],Table5[[#All],[PID]],0))</f>
        <v>4</v>
      </c>
      <c r="BJ73" s="45">
        <f>INDEX(Table5[[#All],[Pick]],MATCH(Table3[[#This Row],[PID]],Table5[[#All],[PID]],0))</f>
        <v>6</v>
      </c>
      <c r="BK73" s="45" t="str">
        <f>INDEX(Table5[[#All],[Team]],MATCH(Table3[[#This Row],[PID]],Table5[[#All],[PID]],0))</f>
        <v>New Orleans Trendsetters</v>
      </c>
      <c r="BL73" s="45" t="str">
        <f>IF(OR(Table3[[#This Row],[POS]]="SP",Table3[[#This Row],[POS]]="RP",Table3[[#This Row],[POS]]="CL"),"P",INDEX(Batters[[#All],[zScore]],MATCH(Table3[[#This Row],[PID]],Batters[[#All],[PID]],0)))</f>
        <v>P</v>
      </c>
    </row>
    <row r="74" spans="1:64" ht="15" customHeight="1" x14ac:dyDescent="0.3">
      <c r="A74" s="40">
        <v>9607</v>
      </c>
      <c r="B74" s="40" t="s">
        <v>49</v>
      </c>
      <c r="C74" s="40" t="s">
        <v>403</v>
      </c>
      <c r="D74" s="40" t="s">
        <v>931</v>
      </c>
      <c r="E74" s="40">
        <v>17</v>
      </c>
      <c r="F74" s="40" t="s">
        <v>62</v>
      </c>
      <c r="G74" s="40" t="s">
        <v>42</v>
      </c>
      <c r="H74" s="41" t="s">
        <v>552</v>
      </c>
      <c r="I74" s="42" t="s">
        <v>43</v>
      </c>
      <c r="J74" s="40" t="s">
        <v>43</v>
      </c>
      <c r="K74" s="41" t="s">
        <v>43</v>
      </c>
      <c r="L74" s="40">
        <v>3</v>
      </c>
      <c r="M74" s="40">
        <v>2</v>
      </c>
      <c r="N74" s="41">
        <v>1</v>
      </c>
      <c r="O74" s="40">
        <v>6</v>
      </c>
      <c r="P74" s="40">
        <v>2</v>
      </c>
      <c r="Q74" s="41">
        <v>4</v>
      </c>
      <c r="R74" s="40">
        <v>5</v>
      </c>
      <c r="S74" s="40">
        <v>8</v>
      </c>
      <c r="T74" s="40">
        <v>1</v>
      </c>
      <c r="U74" s="40">
        <v>1</v>
      </c>
      <c r="V74" s="40" t="s">
        <v>45</v>
      </c>
      <c r="W74" s="40" t="s">
        <v>45</v>
      </c>
      <c r="X74" s="40" t="s">
        <v>45</v>
      </c>
      <c r="Y74" s="40" t="s">
        <v>45</v>
      </c>
      <c r="Z74" s="40" t="s">
        <v>45</v>
      </c>
      <c r="AA74" s="40" t="s">
        <v>45</v>
      </c>
      <c r="AB74" s="40">
        <v>4</v>
      </c>
      <c r="AC74" s="40">
        <v>7</v>
      </c>
      <c r="AD74" s="40" t="s">
        <v>45</v>
      </c>
      <c r="AE74" s="40" t="s">
        <v>45</v>
      </c>
      <c r="AF74" s="40" t="s">
        <v>45</v>
      </c>
      <c r="AG74" s="40" t="s">
        <v>45</v>
      </c>
      <c r="AH74" s="40" t="s">
        <v>45</v>
      </c>
      <c r="AI74" s="40" t="s">
        <v>45</v>
      </c>
      <c r="AJ74" s="40" t="s">
        <v>45</v>
      </c>
      <c r="AK74" s="40" t="s">
        <v>45</v>
      </c>
      <c r="AL74" s="40" t="s">
        <v>45</v>
      </c>
      <c r="AM74" s="40" t="s">
        <v>45</v>
      </c>
      <c r="AN74" s="40" t="s">
        <v>45</v>
      </c>
      <c r="AO74" s="41" t="s">
        <v>45</v>
      </c>
      <c r="AP74" s="40" t="s">
        <v>54</v>
      </c>
      <c r="AQ74" s="40">
        <v>7</v>
      </c>
      <c r="AR74" s="48" t="s">
        <v>326</v>
      </c>
      <c r="AS74" s="43" t="s">
        <v>558</v>
      </c>
      <c r="AT74" s="43" t="s">
        <v>103</v>
      </c>
      <c r="AU74" s="44">
        <f t="shared" si="10"/>
        <v>-2.1166698725191955</v>
      </c>
      <c r="AV74" s="44">
        <f t="shared" si="11"/>
        <v>-0.36013945009227222</v>
      </c>
      <c r="AW74" s="45">
        <f t="shared" si="12"/>
        <v>3</v>
      </c>
      <c r="AX74" s="45">
        <f t="shared" si="13"/>
        <v>2</v>
      </c>
      <c r="AY74" s="46">
        <f>VLOOKUP(AP74,COND!$A$10:$B$32,2,FALSE)</f>
        <v>1.0249999999999999</v>
      </c>
      <c r="AZ74" s="44">
        <f>($AU$3*AU74+$AV$3*AV74+$AW$3*AW74+$AX$3*AX74)*AY74*IF(AQ74&lt;5,0.95,IF(AQ74&lt;7,0.975,1))+$I$3*VLOOKUP(I74,COND!$A$2:$E$7,4,FALSE)+$J$3*VLOOKUP(J74,COND!$A$2:$E$7,2,FALSE)+$K$3*VLOOKUP(K74,COND!$A$2:$E$7,3,FALSE)+IF(BB74="SP",$BB$3,0)+IF($AW74&lt;3,-5,0)+IF(AND($B$2&gt;0,$E74&lt;20),$B$2*25,0)</f>
        <v>48.283223949241986</v>
      </c>
      <c r="BA74" s="47">
        <f t="shared" si="16"/>
        <v>0.74629537377724509</v>
      </c>
      <c r="BB74" s="45" t="str">
        <f t="shared" si="14"/>
        <v>SP</v>
      </c>
      <c r="BC74" s="45">
        <v>900</v>
      </c>
      <c r="BD74" s="45">
        <v>69</v>
      </c>
      <c r="BE74" s="45"/>
      <c r="BF74" s="45" t="str">
        <f t="shared" si="15"/>
        <v>Possible</v>
      </c>
      <c r="BG74" s="45"/>
      <c r="BH74" s="45">
        <f>INDEX(Table5[[#All],[Ovr]],MATCH(Table3[[#This Row],[PID]],Table5[[#All],[PID]],0))</f>
        <v>204</v>
      </c>
      <c r="BI74" s="45" t="str">
        <f>INDEX(Table5[[#All],[Rnd]],MATCH(Table3[[#This Row],[PID]],Table5[[#All],[PID]],0))</f>
        <v>7</v>
      </c>
      <c r="BJ74" s="45">
        <f>INDEX(Table5[[#All],[Pick]],MATCH(Table3[[#This Row],[PID]],Table5[[#All],[PID]],0))</f>
        <v>3</v>
      </c>
      <c r="BK74" s="45" t="str">
        <f>INDEX(Table5[[#All],[Team]],MATCH(Table3[[#This Row],[PID]],Table5[[#All],[PID]],0))</f>
        <v>Okinawa Shisa</v>
      </c>
      <c r="BL74" s="45" t="str">
        <f>IF(OR(Table3[[#This Row],[POS]]="SP",Table3[[#This Row],[POS]]="RP",Table3[[#This Row],[POS]]="CL"),"P",INDEX(Batters[[#All],[zScore]],MATCH(Table3[[#This Row],[PID]],Batters[[#All],[PID]],0)))</f>
        <v>P</v>
      </c>
    </row>
    <row r="75" spans="1:64" ht="15" customHeight="1" x14ac:dyDescent="0.3">
      <c r="A75" s="40">
        <v>20900</v>
      </c>
      <c r="B75" s="40" t="s">
        <v>380</v>
      </c>
      <c r="C75" s="40" t="s">
        <v>161</v>
      </c>
      <c r="D75" s="40" t="s">
        <v>1349</v>
      </c>
      <c r="E75" s="40">
        <v>17</v>
      </c>
      <c r="F75" s="40" t="s">
        <v>53</v>
      </c>
      <c r="G75" s="40" t="s">
        <v>42</v>
      </c>
      <c r="H75" s="41" t="s">
        <v>552</v>
      </c>
      <c r="I75" s="42" t="s">
        <v>43</v>
      </c>
      <c r="J75" s="40" t="s">
        <v>43</v>
      </c>
      <c r="K75" s="41" t="s">
        <v>43</v>
      </c>
      <c r="L75" s="40">
        <v>3</v>
      </c>
      <c r="M75" s="40">
        <v>2</v>
      </c>
      <c r="N75" s="41">
        <v>1</v>
      </c>
      <c r="O75" s="40">
        <v>6</v>
      </c>
      <c r="P75" s="40">
        <v>3</v>
      </c>
      <c r="Q75" s="41">
        <v>3</v>
      </c>
      <c r="R75" s="40">
        <v>5</v>
      </c>
      <c r="S75" s="40">
        <v>8</v>
      </c>
      <c r="T75" s="40">
        <v>1</v>
      </c>
      <c r="U75" s="40">
        <v>2</v>
      </c>
      <c r="V75" s="40">
        <v>2</v>
      </c>
      <c r="W75" s="40">
        <v>8</v>
      </c>
      <c r="X75" s="40" t="s">
        <v>45</v>
      </c>
      <c r="Y75" s="40" t="s">
        <v>45</v>
      </c>
      <c r="Z75" s="40" t="s">
        <v>45</v>
      </c>
      <c r="AA75" s="40" t="s">
        <v>45</v>
      </c>
      <c r="AB75" s="40" t="s">
        <v>45</v>
      </c>
      <c r="AC75" s="40" t="s">
        <v>45</v>
      </c>
      <c r="AD75" s="40" t="s">
        <v>45</v>
      </c>
      <c r="AE75" s="40" t="s">
        <v>45</v>
      </c>
      <c r="AF75" s="40" t="s">
        <v>45</v>
      </c>
      <c r="AG75" s="40" t="s">
        <v>45</v>
      </c>
      <c r="AH75" s="40" t="s">
        <v>45</v>
      </c>
      <c r="AI75" s="40" t="s">
        <v>45</v>
      </c>
      <c r="AJ75" s="40" t="s">
        <v>45</v>
      </c>
      <c r="AK75" s="40" t="s">
        <v>45</v>
      </c>
      <c r="AL75" s="40" t="s">
        <v>45</v>
      </c>
      <c r="AM75" s="40" t="s">
        <v>45</v>
      </c>
      <c r="AN75" s="40" t="s">
        <v>45</v>
      </c>
      <c r="AO75" s="41" t="s">
        <v>45</v>
      </c>
      <c r="AP75" s="40" t="s">
        <v>54</v>
      </c>
      <c r="AQ75" s="40">
        <v>9</v>
      </c>
      <c r="AR75" s="48" t="s">
        <v>326</v>
      </c>
      <c r="AS75" s="43" t="s">
        <v>583</v>
      </c>
      <c r="AT75" s="43" t="s">
        <v>103</v>
      </c>
      <c r="AU75" s="44">
        <f t="shared" si="10"/>
        <v>-2.1166698725191955</v>
      </c>
      <c r="AV75" s="44">
        <f t="shared" si="11"/>
        <v>-0.40702829971632715</v>
      </c>
      <c r="AW75" s="45">
        <f t="shared" si="12"/>
        <v>3</v>
      </c>
      <c r="AX75" s="45">
        <f t="shared" si="13"/>
        <v>2</v>
      </c>
      <c r="AY75" s="46">
        <f>VLOOKUP(AP75,COND!$A$10:$B$32,2,FALSE)</f>
        <v>1.0249999999999999</v>
      </c>
      <c r="AZ75" s="44">
        <f>($AU$3*AU75+$AV$3*AV75+$AW$3*AW75+$AX$3*AX75)*AY75*IF(AQ75&lt;5,0.95,IF(AQ75&lt;7,0.975,1))+$I$3*VLOOKUP(I75,COND!$A$2:$E$7,4,FALSE)+$J$3*VLOOKUP(J75,COND!$A$2:$E$7,2,FALSE)+$K$3*VLOOKUP(K75,COND!$A$2:$E$7,3,FALSE)+IF(BB75="SP",$BB$3,0)+IF($AW75&lt;3,-5,0)+IF(AND($B$2&gt;0,$E75&lt;20),$B$2*25,0)</f>
        <v>47.322002531948854</v>
      </c>
      <c r="BA75" s="47">
        <f t="shared" si="16"/>
        <v>0.67784964871784492</v>
      </c>
      <c r="BB75" s="45" t="str">
        <f t="shared" si="14"/>
        <v>SP</v>
      </c>
      <c r="BC75" s="45">
        <v>900</v>
      </c>
      <c r="BD75" s="45">
        <v>70</v>
      </c>
      <c r="BE75" s="45"/>
      <c r="BF75" s="45" t="str">
        <f t="shared" si="15"/>
        <v>Possible</v>
      </c>
      <c r="BG75" s="45"/>
      <c r="BH75" s="45">
        <f>INDEX(Table5[[#All],[Ovr]],MATCH(Table3[[#This Row],[PID]],Table5[[#All],[PID]],0))</f>
        <v>168</v>
      </c>
      <c r="BI75" s="45" t="str">
        <f>INDEX(Table5[[#All],[Rnd]],MATCH(Table3[[#This Row],[PID]],Table5[[#All],[PID]],0))</f>
        <v>5</v>
      </c>
      <c r="BJ75" s="45">
        <f>INDEX(Table5[[#All],[Pick]],MATCH(Table3[[#This Row],[PID]],Table5[[#All],[PID]],0))</f>
        <v>31</v>
      </c>
      <c r="BK75" s="45" t="str">
        <f>INDEX(Table5[[#All],[Team]],MATCH(Table3[[#This Row],[PID]],Table5[[#All],[PID]],0))</f>
        <v>Kentucky Thoroughbreds</v>
      </c>
      <c r="BL75" s="45" t="str">
        <f>IF(OR(Table3[[#This Row],[POS]]="SP",Table3[[#This Row],[POS]]="RP",Table3[[#This Row],[POS]]="CL"),"P",INDEX(Batters[[#All],[zScore]],MATCH(Table3[[#This Row],[PID]],Batters[[#All],[PID]],0)))</f>
        <v>P</v>
      </c>
    </row>
    <row r="76" spans="1:64" ht="15" customHeight="1" x14ac:dyDescent="0.3">
      <c r="A76" s="40">
        <v>12479</v>
      </c>
      <c r="B76" s="40" t="s">
        <v>49</v>
      </c>
      <c r="C76" s="40" t="s">
        <v>693</v>
      </c>
      <c r="D76" s="40" t="s">
        <v>157</v>
      </c>
      <c r="E76" s="40">
        <v>18</v>
      </c>
      <c r="F76" s="40" t="s">
        <v>53</v>
      </c>
      <c r="G76" s="40" t="s">
        <v>53</v>
      </c>
      <c r="H76" s="41" t="s">
        <v>552</v>
      </c>
      <c r="I76" s="42" t="s">
        <v>43</v>
      </c>
      <c r="J76" s="40" t="s">
        <v>43</v>
      </c>
      <c r="K76" s="41" t="s">
        <v>47</v>
      </c>
      <c r="L76" s="40">
        <v>2</v>
      </c>
      <c r="M76" s="40">
        <v>2</v>
      </c>
      <c r="N76" s="41">
        <v>1</v>
      </c>
      <c r="O76" s="40">
        <v>5</v>
      </c>
      <c r="P76" s="40">
        <v>3</v>
      </c>
      <c r="Q76" s="41">
        <v>4</v>
      </c>
      <c r="R76" s="40">
        <v>3</v>
      </c>
      <c r="S76" s="40">
        <v>5</v>
      </c>
      <c r="T76" s="40">
        <v>1</v>
      </c>
      <c r="U76" s="40">
        <v>1</v>
      </c>
      <c r="V76" s="40" t="s">
        <v>45</v>
      </c>
      <c r="W76" s="40" t="s">
        <v>45</v>
      </c>
      <c r="X76" s="40" t="s">
        <v>45</v>
      </c>
      <c r="Y76" s="40" t="s">
        <v>45</v>
      </c>
      <c r="Z76" s="40">
        <v>3</v>
      </c>
      <c r="AA76" s="40">
        <v>5</v>
      </c>
      <c r="AB76" s="40" t="s">
        <v>45</v>
      </c>
      <c r="AC76" s="40" t="s">
        <v>45</v>
      </c>
      <c r="AD76" s="40" t="s">
        <v>45</v>
      </c>
      <c r="AE76" s="40" t="s">
        <v>45</v>
      </c>
      <c r="AF76" s="40" t="s">
        <v>45</v>
      </c>
      <c r="AG76" s="40" t="s">
        <v>45</v>
      </c>
      <c r="AH76" s="40" t="s">
        <v>45</v>
      </c>
      <c r="AI76" s="40" t="s">
        <v>45</v>
      </c>
      <c r="AJ76" s="40" t="s">
        <v>45</v>
      </c>
      <c r="AK76" s="40" t="s">
        <v>45</v>
      </c>
      <c r="AL76" s="40" t="s">
        <v>45</v>
      </c>
      <c r="AM76" s="40" t="s">
        <v>45</v>
      </c>
      <c r="AN76" s="40" t="s">
        <v>45</v>
      </c>
      <c r="AO76" s="41" t="s">
        <v>45</v>
      </c>
      <c r="AP76" s="40" t="s">
        <v>64</v>
      </c>
      <c r="AQ76" s="40">
        <v>8</v>
      </c>
      <c r="AR76" s="48" t="s">
        <v>326</v>
      </c>
      <c r="AS76" s="43" t="s">
        <v>571</v>
      </c>
      <c r="AT76" s="43" t="s">
        <v>103</v>
      </c>
      <c r="AU76" s="44">
        <f t="shared" si="10"/>
        <v>-2.311361197028369</v>
      </c>
      <c r="AV76" s="44">
        <f t="shared" si="11"/>
        <v>-0.35939905817139028</v>
      </c>
      <c r="AW76" s="45">
        <f t="shared" si="12"/>
        <v>3</v>
      </c>
      <c r="AX76" s="45">
        <f t="shared" si="13"/>
        <v>0</v>
      </c>
      <c r="AY76" s="46">
        <f>VLOOKUP(AP76,COND!$A$10:$B$32,2,FALSE)</f>
        <v>1</v>
      </c>
      <c r="AZ76" s="44">
        <f>($AU$3*AU76+$AV$3*AV76+$AW$3*AW76+$AX$3*AX76)*AY76*IF(AQ76&lt;5,0.95,IF(AQ76&lt;7,0.975,1))+$I$3*VLOOKUP(I76,COND!$A$2:$E$7,4,FALSE)+$J$3*VLOOKUP(J76,COND!$A$2:$E$7,2,FALSE)+$K$3*VLOOKUP(K76,COND!$A$2:$E$7,3,FALSE)+IF(BB76="SP",$BB$3,0)+IF($AW76&lt;3,-5,0)+IF(AND($B$2&gt;0,$E76&lt;20),$B$2*25,0)</f>
        <v>46.149746597166526</v>
      </c>
      <c r="BA76" s="47">
        <f t="shared" si="16"/>
        <v>0.59437678183425902</v>
      </c>
      <c r="BB76" s="45" t="str">
        <f t="shared" si="14"/>
        <v>SP</v>
      </c>
      <c r="BC76" s="45">
        <v>900</v>
      </c>
      <c r="BD76" s="45">
        <v>71</v>
      </c>
      <c r="BE76" s="45"/>
      <c r="BF76" s="45" t="str">
        <f t="shared" si="15"/>
        <v>Possible</v>
      </c>
      <c r="BG76" s="45"/>
      <c r="BH76" s="45">
        <f>INDEX(Table5[[#All],[Ovr]],MATCH(Table3[[#This Row],[PID]],Table5[[#All],[PID]],0))</f>
        <v>263</v>
      </c>
      <c r="BI76" s="45" t="str">
        <f>INDEX(Table5[[#All],[Rnd]],MATCH(Table3[[#This Row],[PID]],Table5[[#All],[PID]],0))</f>
        <v>8</v>
      </c>
      <c r="BJ76" s="45">
        <f>INDEX(Table5[[#All],[Pick]],MATCH(Table3[[#This Row],[PID]],Table5[[#All],[PID]],0))</f>
        <v>30</v>
      </c>
      <c r="BK76" s="45" t="str">
        <f>INDEX(Table5[[#All],[Team]],MATCH(Table3[[#This Row],[PID]],Table5[[#All],[PID]],0))</f>
        <v>Toyama Wind Dancers</v>
      </c>
      <c r="BL76" s="45" t="str">
        <f>IF(OR(Table3[[#This Row],[POS]]="SP",Table3[[#This Row],[POS]]="RP",Table3[[#This Row],[POS]]="CL"),"P",INDEX(Batters[[#All],[zScore]],MATCH(Table3[[#This Row],[PID]],Batters[[#All],[PID]],0)))</f>
        <v>P</v>
      </c>
    </row>
    <row r="77" spans="1:64" ht="15" customHeight="1" x14ac:dyDescent="0.3">
      <c r="A77" s="40">
        <v>11179</v>
      </c>
      <c r="B77" s="40" t="s">
        <v>24</v>
      </c>
      <c r="C77" s="40" t="s">
        <v>681</v>
      </c>
      <c r="D77" s="40" t="s">
        <v>1437</v>
      </c>
      <c r="E77" s="40">
        <v>18</v>
      </c>
      <c r="F77" s="40" t="s">
        <v>42</v>
      </c>
      <c r="G77" s="40" t="s">
        <v>42</v>
      </c>
      <c r="H77" s="41" t="s">
        <v>561</v>
      </c>
      <c r="I77" s="42" t="s">
        <v>44</v>
      </c>
      <c r="J77" s="40" t="s">
        <v>43</v>
      </c>
      <c r="K77" s="41" t="s">
        <v>43</v>
      </c>
      <c r="L77" s="40">
        <v>2</v>
      </c>
      <c r="M77" s="40">
        <v>2</v>
      </c>
      <c r="N77" s="41">
        <v>2</v>
      </c>
      <c r="O77" s="40">
        <v>4</v>
      </c>
      <c r="P77" s="40">
        <v>2</v>
      </c>
      <c r="Q77" s="41">
        <v>5</v>
      </c>
      <c r="R77" s="40">
        <v>4</v>
      </c>
      <c r="S77" s="40">
        <v>6</v>
      </c>
      <c r="T77" s="40" t="s">
        <v>45</v>
      </c>
      <c r="U77" s="40" t="s">
        <v>45</v>
      </c>
      <c r="V77" s="40">
        <v>2</v>
      </c>
      <c r="W77" s="40">
        <v>6</v>
      </c>
      <c r="X77" s="40">
        <v>2</v>
      </c>
      <c r="Y77" s="40">
        <v>6</v>
      </c>
      <c r="Z77" s="40" t="s">
        <v>45</v>
      </c>
      <c r="AA77" s="40" t="s">
        <v>45</v>
      </c>
      <c r="AB77" s="40" t="s">
        <v>45</v>
      </c>
      <c r="AC77" s="40" t="s">
        <v>45</v>
      </c>
      <c r="AD77" s="40" t="s">
        <v>45</v>
      </c>
      <c r="AE77" s="40" t="s">
        <v>45</v>
      </c>
      <c r="AF77" s="40" t="s">
        <v>45</v>
      </c>
      <c r="AG77" s="40" t="s">
        <v>45</v>
      </c>
      <c r="AH77" s="40" t="s">
        <v>45</v>
      </c>
      <c r="AI77" s="40" t="s">
        <v>45</v>
      </c>
      <c r="AJ77" s="40" t="s">
        <v>45</v>
      </c>
      <c r="AK77" s="40" t="s">
        <v>45</v>
      </c>
      <c r="AL77" s="40" t="s">
        <v>45</v>
      </c>
      <c r="AM77" s="40" t="s">
        <v>45</v>
      </c>
      <c r="AN77" s="40" t="s">
        <v>45</v>
      </c>
      <c r="AO77" s="41" t="s">
        <v>45</v>
      </c>
      <c r="AP77" s="40" t="s">
        <v>56</v>
      </c>
      <c r="AQ77" s="40">
        <v>9</v>
      </c>
      <c r="AR77" s="48" t="s">
        <v>326</v>
      </c>
      <c r="AS77" s="43" t="s">
        <v>576</v>
      </c>
      <c r="AT77" s="43" t="s">
        <v>103</v>
      </c>
      <c r="AU77" s="44">
        <f t="shared" si="10"/>
        <v>-2.0690406309742588</v>
      </c>
      <c r="AV77" s="44">
        <f t="shared" si="11"/>
        <v>-0.50720153305650884</v>
      </c>
      <c r="AW77" s="45">
        <f t="shared" si="12"/>
        <v>3</v>
      </c>
      <c r="AX77" s="45">
        <f t="shared" si="13"/>
        <v>3</v>
      </c>
      <c r="AY77" s="46">
        <f>VLOOKUP(AP77,COND!$A$10:$B$32,2,FALSE)</f>
        <v>1</v>
      </c>
      <c r="AZ77" s="44">
        <f>($AU$3*AU77+$AV$3*AV77+$AW$3*AW77+$AX$3*AX77)*AY77*IF(AQ77&lt;5,0.95,IF(AQ77&lt;7,0.975,1))+$I$3*VLOOKUP(I77,COND!$A$2:$E$7,4,FALSE)+$J$3*VLOOKUP(J77,COND!$A$2:$E$7,2,FALSE)+$K$3*VLOOKUP(K77,COND!$A$2:$E$7,3,FALSE)+IF(BB77="SP",$BB$3,0)+IF($AW77&lt;3,-5,0)+IF(AND($B$2&gt;0,$E77&lt;20),$B$2*25,0)</f>
        <v>46.542161212674969</v>
      </c>
      <c r="BA77" s="47">
        <f t="shared" si="16"/>
        <v>0.62231946226060475</v>
      </c>
      <c r="BB77" s="45" t="str">
        <f t="shared" si="14"/>
        <v>SP</v>
      </c>
      <c r="BC77" s="45">
        <v>900</v>
      </c>
      <c r="BD77" s="45">
        <v>72</v>
      </c>
      <c r="BE77" s="45"/>
      <c r="BF77" s="45" t="str">
        <f t="shared" si="15"/>
        <v>Unlikely</v>
      </c>
      <c r="BG77" s="45"/>
      <c r="BH77" s="45">
        <f>INDEX(Table5[[#All],[Ovr]],MATCH(Table3[[#This Row],[PID]],Table5[[#All],[PID]],0))</f>
        <v>326</v>
      </c>
      <c r="BI77" s="45" t="str">
        <f>INDEX(Table5[[#All],[Rnd]],MATCH(Table3[[#This Row],[PID]],Table5[[#All],[PID]],0))</f>
        <v>10</v>
      </c>
      <c r="BJ77" s="45">
        <f>INDEX(Table5[[#All],[Pick]],MATCH(Table3[[#This Row],[PID]],Table5[[#All],[PID]],0))</f>
        <v>29</v>
      </c>
      <c r="BK77" s="45" t="str">
        <f>INDEX(Table5[[#All],[Team]],MATCH(Table3[[#This Row],[PID]],Table5[[#All],[PID]],0))</f>
        <v>Charleston Statesmen</v>
      </c>
      <c r="BL77" s="45" t="str">
        <f>IF(OR(Table3[[#This Row],[POS]]="SP",Table3[[#This Row],[POS]]="RP",Table3[[#This Row],[POS]]="CL"),"P",INDEX(Batters[[#All],[zScore]],MATCH(Table3[[#This Row],[PID]],Batters[[#All],[PID]],0)))</f>
        <v>P</v>
      </c>
    </row>
    <row r="78" spans="1:64" ht="15" customHeight="1" x14ac:dyDescent="0.3">
      <c r="A78" s="40">
        <v>9507</v>
      </c>
      <c r="B78" s="40" t="s">
        <v>24</v>
      </c>
      <c r="C78" s="40" t="s">
        <v>134</v>
      </c>
      <c r="D78" s="40" t="s">
        <v>1365</v>
      </c>
      <c r="E78" s="40">
        <v>17</v>
      </c>
      <c r="F78" s="40" t="s">
        <v>42</v>
      </c>
      <c r="G78" s="40" t="s">
        <v>42</v>
      </c>
      <c r="H78" s="41" t="s">
        <v>561</v>
      </c>
      <c r="I78" s="42" t="s">
        <v>43</v>
      </c>
      <c r="J78" s="40" t="s">
        <v>43</v>
      </c>
      <c r="K78" s="41" t="s">
        <v>43</v>
      </c>
      <c r="L78" s="40">
        <v>3</v>
      </c>
      <c r="M78" s="40">
        <v>2</v>
      </c>
      <c r="N78" s="41">
        <v>2</v>
      </c>
      <c r="O78" s="40">
        <v>5</v>
      </c>
      <c r="P78" s="40">
        <v>2</v>
      </c>
      <c r="Q78" s="41">
        <v>4</v>
      </c>
      <c r="R78" s="40">
        <v>5</v>
      </c>
      <c r="S78" s="40">
        <v>6</v>
      </c>
      <c r="T78" s="40">
        <v>1</v>
      </c>
      <c r="U78" s="40">
        <v>3</v>
      </c>
      <c r="V78" s="40" t="s">
        <v>45</v>
      </c>
      <c r="W78" s="40" t="s">
        <v>45</v>
      </c>
      <c r="X78" s="40">
        <v>3</v>
      </c>
      <c r="Y78" s="40">
        <v>6</v>
      </c>
      <c r="Z78" s="40" t="s">
        <v>45</v>
      </c>
      <c r="AA78" s="40" t="s">
        <v>45</v>
      </c>
      <c r="AB78" s="40" t="s">
        <v>45</v>
      </c>
      <c r="AC78" s="40" t="s">
        <v>45</v>
      </c>
      <c r="AD78" s="40" t="s">
        <v>45</v>
      </c>
      <c r="AE78" s="40" t="s">
        <v>45</v>
      </c>
      <c r="AF78" s="40">
        <v>4</v>
      </c>
      <c r="AG78" s="40">
        <v>6</v>
      </c>
      <c r="AH78" s="40" t="s">
        <v>45</v>
      </c>
      <c r="AI78" s="40" t="s">
        <v>45</v>
      </c>
      <c r="AJ78" s="40" t="s">
        <v>45</v>
      </c>
      <c r="AK78" s="40" t="s">
        <v>45</v>
      </c>
      <c r="AL78" s="40" t="s">
        <v>45</v>
      </c>
      <c r="AM78" s="40" t="s">
        <v>45</v>
      </c>
      <c r="AN78" s="40" t="s">
        <v>45</v>
      </c>
      <c r="AO78" s="41" t="s">
        <v>45</v>
      </c>
      <c r="AP78" s="40" t="s">
        <v>54</v>
      </c>
      <c r="AQ78" s="40">
        <v>6</v>
      </c>
      <c r="AR78" s="48" t="s">
        <v>326</v>
      </c>
      <c r="AS78" s="43" t="s">
        <v>558</v>
      </c>
      <c r="AT78" s="43" t="s">
        <v>103</v>
      </c>
      <c r="AU78" s="44">
        <f t="shared" si="10"/>
        <v>-1.8743493064650851</v>
      </c>
      <c r="AV78" s="44">
        <f t="shared" si="11"/>
        <v>-0.55483077460144581</v>
      </c>
      <c r="AW78" s="45">
        <f t="shared" si="12"/>
        <v>4</v>
      </c>
      <c r="AX78" s="45">
        <f t="shared" si="13"/>
        <v>3</v>
      </c>
      <c r="AY78" s="46">
        <f>VLOOKUP(AP78,COND!$A$10:$B$32,2,FALSE)</f>
        <v>1.0249999999999999</v>
      </c>
      <c r="AZ78" s="44">
        <f>($AU$3*AU78+$AV$3*AV78+$AW$3*AW78+$AX$3*AX78)*AY78*IF(AQ78&lt;5,0.95,IF(AQ78&lt;7,0.975,1))+$I$3*VLOOKUP(I78,COND!$A$2:$E$7,4,FALSE)+$J$3*VLOOKUP(J78,COND!$A$2:$E$7,2,FALSE)+$K$3*VLOOKUP(K78,COND!$A$2:$E$7,3,FALSE)+IF(BB78="SP",$BB$3,0)+IF($AW78&lt;3,-5,0)+IF(AND($B$2&gt;0,$E78&lt;20),$B$2*25,0)</f>
        <v>46.282090575023894</v>
      </c>
      <c r="BA78" s="47">
        <f>STANDARDIZE(AZ78,AVERAGE($AZ$5:$AZ$445),STDEVP($AZ$5:$AZ$445))</f>
        <v>0.60949262925434766</v>
      </c>
      <c r="BB78" s="45" t="str">
        <f t="shared" si="14"/>
        <v>SP</v>
      </c>
      <c r="BC78" s="45">
        <v>900</v>
      </c>
      <c r="BD78" s="45">
        <v>73</v>
      </c>
      <c r="BE78" s="45"/>
      <c r="BF78" s="45" t="str">
        <f t="shared" si="15"/>
        <v>Unlikely</v>
      </c>
      <c r="BG78" s="45"/>
      <c r="BH78" s="63">
        <f>INDEX(Table5[[#All],[Ovr]],MATCH(Table3[[#This Row],[PID]],Table5[[#All],[PID]],0))</f>
        <v>335</v>
      </c>
      <c r="BI78" s="63" t="str">
        <f>INDEX(Table5[[#All],[Rnd]],MATCH(Table3[[#This Row],[PID]],Table5[[#All],[PID]],0))</f>
        <v>11</v>
      </c>
      <c r="BJ78" s="63">
        <f>INDEX(Table5[[#All],[Pick]],MATCH(Table3[[#This Row],[PID]],Table5[[#All],[PID]],0))</f>
        <v>4</v>
      </c>
      <c r="BK78" s="63" t="str">
        <f>INDEX(Table5[[#All],[Team]],MATCH(Table3[[#This Row],[PID]],Table5[[#All],[PID]],0))</f>
        <v>Palm Springs Codgers</v>
      </c>
      <c r="BL78" s="63" t="str">
        <f>IF(OR(Table3[[#This Row],[POS]]="SP",Table3[[#This Row],[POS]]="RP",Table3[[#This Row],[POS]]="CL"),"P",INDEX(Batters[[#All],[zScore]],MATCH(Table3[[#This Row],[PID]],Batters[[#All],[PID]],0)))</f>
        <v>P</v>
      </c>
    </row>
    <row r="79" spans="1:64" ht="15" customHeight="1" x14ac:dyDescent="0.3">
      <c r="A79" s="40">
        <v>9087</v>
      </c>
      <c r="B79" s="40" t="s">
        <v>24</v>
      </c>
      <c r="C79" s="40" t="s">
        <v>161</v>
      </c>
      <c r="D79" s="40" t="s">
        <v>1406</v>
      </c>
      <c r="E79" s="40">
        <v>17</v>
      </c>
      <c r="F79" s="40" t="s">
        <v>53</v>
      </c>
      <c r="G79" s="40" t="s">
        <v>53</v>
      </c>
      <c r="H79" s="41" t="s">
        <v>561</v>
      </c>
      <c r="I79" s="42" t="s">
        <v>47</v>
      </c>
      <c r="J79" s="40" t="s">
        <v>43</v>
      </c>
      <c r="K79" s="41" t="s">
        <v>43</v>
      </c>
      <c r="L79" s="40">
        <v>1</v>
      </c>
      <c r="M79" s="40">
        <v>2</v>
      </c>
      <c r="N79" s="41">
        <v>1</v>
      </c>
      <c r="O79" s="40">
        <v>4</v>
      </c>
      <c r="P79" s="40">
        <v>4</v>
      </c>
      <c r="Q79" s="41">
        <v>4</v>
      </c>
      <c r="R79" s="40">
        <v>3</v>
      </c>
      <c r="S79" s="40">
        <v>4</v>
      </c>
      <c r="T79" s="40">
        <v>1</v>
      </c>
      <c r="U79" s="40">
        <v>7</v>
      </c>
      <c r="V79" s="40">
        <v>1</v>
      </c>
      <c r="W79" s="40">
        <v>1</v>
      </c>
      <c r="X79" s="40" t="s">
        <v>45</v>
      </c>
      <c r="Y79" s="40" t="s">
        <v>45</v>
      </c>
      <c r="Z79" s="40" t="s">
        <v>45</v>
      </c>
      <c r="AA79" s="40" t="s">
        <v>45</v>
      </c>
      <c r="AB79" s="40">
        <v>3</v>
      </c>
      <c r="AC79" s="40">
        <v>5</v>
      </c>
      <c r="AD79" s="40" t="s">
        <v>45</v>
      </c>
      <c r="AE79" s="40" t="s">
        <v>45</v>
      </c>
      <c r="AF79" s="40" t="s">
        <v>45</v>
      </c>
      <c r="AG79" s="40" t="s">
        <v>45</v>
      </c>
      <c r="AH79" s="40" t="s">
        <v>45</v>
      </c>
      <c r="AI79" s="40" t="s">
        <v>45</v>
      </c>
      <c r="AJ79" s="40" t="s">
        <v>45</v>
      </c>
      <c r="AK79" s="40" t="s">
        <v>45</v>
      </c>
      <c r="AL79" s="40" t="s">
        <v>45</v>
      </c>
      <c r="AM79" s="40" t="s">
        <v>45</v>
      </c>
      <c r="AN79" s="40" t="s">
        <v>45</v>
      </c>
      <c r="AO79" s="41" t="s">
        <v>45</v>
      </c>
      <c r="AP79" s="40" t="s">
        <v>64</v>
      </c>
      <c r="AQ79" s="40">
        <v>3</v>
      </c>
      <c r="AR79" s="48" t="s">
        <v>326</v>
      </c>
      <c r="AS79" s="43" t="s">
        <v>558</v>
      </c>
      <c r="AT79" s="43" t="s">
        <v>103</v>
      </c>
      <c r="AU79" s="44">
        <f t="shared" si="10"/>
        <v>-2.5060525215375429</v>
      </c>
      <c r="AV79" s="44">
        <f t="shared" si="11"/>
        <v>-0.35865866625050846</v>
      </c>
      <c r="AW79" s="45">
        <f t="shared" si="12"/>
        <v>4</v>
      </c>
      <c r="AX79" s="45">
        <f t="shared" si="13"/>
        <v>1</v>
      </c>
      <c r="AY79" s="46">
        <f>VLOOKUP(AP79,COND!$A$10:$B$32,2,FALSE)</f>
        <v>1</v>
      </c>
      <c r="AZ79" s="44">
        <f>($AU$3*AU79+$AV$3*AV79+$AW$3*AW79+$AX$3*AX79)*AY79*IF(AQ79&lt;5,0.95,IF(AQ79&lt;7,0.975,1))+$I$3*VLOOKUP(I79,COND!$A$2:$E$7,4,FALSE)+$J$3*VLOOKUP(J79,COND!$A$2:$E$7,2,FALSE)+$K$3*VLOOKUP(K79,COND!$A$2:$E$7,3,FALSE)+IF(BB79="SP",$BB$3,0)+IF($AW79&lt;3,-5,0)+IF(AND($B$2&gt;0,$E79&lt;20),$B$2*25,0)</f>
        <v>46.021835362148202</v>
      </c>
      <c r="BA79" s="47">
        <f>STANDARDIZE(AZ79,AVERAGE($AZ$5:$AZ$428),STDEVP($AZ$5:$AZ$428))</f>
        <v>0.58526860231748634</v>
      </c>
      <c r="BB79" s="45" t="str">
        <f t="shared" si="14"/>
        <v>RP</v>
      </c>
      <c r="BC79" s="45">
        <v>900</v>
      </c>
      <c r="BD79" s="45">
        <v>74</v>
      </c>
      <c r="BE79" s="45"/>
      <c r="BF79" s="45" t="str">
        <f t="shared" si="15"/>
        <v>Possible</v>
      </c>
      <c r="BG79" s="45"/>
      <c r="BH79" s="45">
        <f>INDEX(Table5[[#All],[Ovr]],MATCH(Table3[[#This Row],[PID]],Table5[[#All],[PID]],0))</f>
        <v>305</v>
      </c>
      <c r="BI79" s="45" t="str">
        <f>INDEX(Table5[[#All],[Rnd]],MATCH(Table3[[#This Row],[PID]],Table5[[#All],[PID]],0))</f>
        <v>10</v>
      </c>
      <c r="BJ79" s="45">
        <f>INDEX(Table5[[#All],[Pick]],MATCH(Table3[[#This Row],[PID]],Table5[[#All],[PID]],0))</f>
        <v>8</v>
      </c>
      <c r="BK79" s="45" t="str">
        <f>INDEX(Table5[[#All],[Team]],MATCH(Table3[[#This Row],[PID]],Table5[[#All],[PID]],0))</f>
        <v>New Jersey Hitmen</v>
      </c>
      <c r="BL79" s="45" t="str">
        <f>IF(OR(Table3[[#This Row],[POS]]="SP",Table3[[#This Row],[POS]]="RP",Table3[[#This Row],[POS]]="CL"),"P",INDEX(Batters[[#All],[zScore]],MATCH(Table3[[#This Row],[PID]],Batters[[#All],[PID]],0)))</f>
        <v>P</v>
      </c>
    </row>
    <row r="80" spans="1:64" ht="15" customHeight="1" x14ac:dyDescent="0.3">
      <c r="A80" s="40">
        <v>20975</v>
      </c>
      <c r="B80" s="40" t="s">
        <v>380</v>
      </c>
      <c r="C80" s="40" t="s">
        <v>168</v>
      </c>
      <c r="D80" s="40" t="s">
        <v>284</v>
      </c>
      <c r="E80" s="40">
        <v>16</v>
      </c>
      <c r="F80" s="40" t="s">
        <v>42</v>
      </c>
      <c r="G80" s="40" t="s">
        <v>42</v>
      </c>
      <c r="H80" s="41" t="s">
        <v>561</v>
      </c>
      <c r="I80" s="42" t="s">
        <v>43</v>
      </c>
      <c r="J80" s="40" t="s">
        <v>43</v>
      </c>
      <c r="K80" s="41" t="s">
        <v>47</v>
      </c>
      <c r="L80" s="40">
        <v>2</v>
      </c>
      <c r="M80" s="40">
        <v>2</v>
      </c>
      <c r="N80" s="41">
        <v>1</v>
      </c>
      <c r="O80" s="40">
        <v>5</v>
      </c>
      <c r="P80" s="40">
        <v>2</v>
      </c>
      <c r="Q80" s="41">
        <v>4</v>
      </c>
      <c r="R80" s="40">
        <v>4</v>
      </c>
      <c r="S80" s="40">
        <v>6</v>
      </c>
      <c r="T80" s="40" t="s">
        <v>45</v>
      </c>
      <c r="U80" s="40" t="s">
        <v>45</v>
      </c>
      <c r="V80" s="40">
        <v>2</v>
      </c>
      <c r="W80" s="40">
        <v>6</v>
      </c>
      <c r="X80" s="40" t="s">
        <v>45</v>
      </c>
      <c r="Y80" s="40" t="s">
        <v>45</v>
      </c>
      <c r="Z80" s="40" t="s">
        <v>45</v>
      </c>
      <c r="AA80" s="40" t="s">
        <v>45</v>
      </c>
      <c r="AB80" s="40">
        <v>3</v>
      </c>
      <c r="AC80" s="40">
        <v>3</v>
      </c>
      <c r="AD80" s="40" t="s">
        <v>45</v>
      </c>
      <c r="AE80" s="40" t="s">
        <v>45</v>
      </c>
      <c r="AF80" s="40">
        <v>3</v>
      </c>
      <c r="AG80" s="40">
        <v>4</v>
      </c>
      <c r="AH80" s="40" t="s">
        <v>45</v>
      </c>
      <c r="AI80" s="40" t="s">
        <v>45</v>
      </c>
      <c r="AJ80" s="40" t="s">
        <v>45</v>
      </c>
      <c r="AK80" s="40" t="s">
        <v>45</v>
      </c>
      <c r="AL80" s="40" t="s">
        <v>45</v>
      </c>
      <c r="AM80" s="40" t="s">
        <v>45</v>
      </c>
      <c r="AN80" s="40" t="s">
        <v>45</v>
      </c>
      <c r="AO80" s="41" t="s">
        <v>45</v>
      </c>
      <c r="AP80" s="40" t="s">
        <v>57</v>
      </c>
      <c r="AQ80" s="40">
        <v>8</v>
      </c>
      <c r="AR80" s="48" t="s">
        <v>14</v>
      </c>
      <c r="AS80" s="43" t="s">
        <v>558</v>
      </c>
      <c r="AT80" s="43" t="s">
        <v>103</v>
      </c>
      <c r="AU80" s="44">
        <f t="shared" si="10"/>
        <v>-2.311361197028369</v>
      </c>
      <c r="AV80" s="44">
        <f t="shared" si="11"/>
        <v>-0.55483077460144581</v>
      </c>
      <c r="AW80" s="45">
        <f t="shared" si="12"/>
        <v>4</v>
      </c>
      <c r="AX80" s="45">
        <f t="shared" si="13"/>
        <v>2</v>
      </c>
      <c r="AY80" s="46">
        <f>VLOOKUP(AP80,COND!$A$10:$B$32,2,FALSE)</f>
        <v>1</v>
      </c>
      <c r="AZ80" s="44">
        <f>($AU$3*AU80+$AV$3*AV80+$AW$3*AW80+$AX$3*AX80)*AY80*IF(AQ80&lt;5,0.95,IF(AQ80&lt;7,0.975,1))+$I$3*VLOOKUP(I80,COND!$A$2:$E$7,4,FALSE)+$J$3*VLOOKUP(J80,COND!$A$2:$E$7,2,FALSE)+$K$3*VLOOKUP(K80,COND!$A$2:$E$7,3,FALSE)+IF(BB80="SP",$BB$3,0)+IF($AW80&lt;3,-5,0)+IF(AND($B$2&gt;0,$E80&lt;20),$B$2*25,0)</f>
        <v>45.241112268565409</v>
      </c>
      <c r="BA80" s="47">
        <f>STANDARDIZE(AZ80,AVERAGE($AZ$5:$AZ$428),STDEVP($AZ$5:$AZ$428))</f>
        <v>0.52967562732804518</v>
      </c>
      <c r="BB80" s="45" t="str">
        <f t="shared" si="14"/>
        <v>SP</v>
      </c>
      <c r="BC80" s="45">
        <v>900</v>
      </c>
      <c r="BD80" s="45">
        <v>75</v>
      </c>
      <c r="BE80" s="45"/>
      <c r="BF80" s="45" t="str">
        <f t="shared" si="15"/>
        <v>Unlikely</v>
      </c>
      <c r="BG80" s="45"/>
      <c r="BH80" s="45">
        <f>INDEX(Table5[[#All],[Ovr]],MATCH(Table3[[#This Row],[PID]],Table5[[#All],[PID]],0))</f>
        <v>348</v>
      </c>
      <c r="BI80" s="45" t="str">
        <f>INDEX(Table5[[#All],[Rnd]],MATCH(Table3[[#This Row],[PID]],Table5[[#All],[PID]],0))</f>
        <v>11</v>
      </c>
      <c r="BJ80" s="45">
        <f>INDEX(Table5[[#All],[Pick]],MATCH(Table3[[#This Row],[PID]],Table5[[#All],[PID]],0))</f>
        <v>17</v>
      </c>
      <c r="BK80" s="45" t="str">
        <f>INDEX(Table5[[#All],[Team]],MATCH(Table3[[#This Row],[PID]],Table5[[#All],[PID]],0))</f>
        <v>Duluth Warriors</v>
      </c>
      <c r="BL80" s="45" t="str">
        <f>IF(OR(Table3[[#This Row],[POS]]="SP",Table3[[#This Row],[POS]]="RP",Table3[[#This Row],[POS]]="CL"),"P",INDEX(Batters[[#All],[zScore]],MATCH(Table3[[#This Row],[PID]],Batters[[#All],[PID]],0)))</f>
        <v>P</v>
      </c>
    </row>
    <row r="81" spans="1:64" ht="15" customHeight="1" x14ac:dyDescent="0.3">
      <c r="A81" s="40">
        <v>14899</v>
      </c>
      <c r="B81" s="40" t="s">
        <v>49</v>
      </c>
      <c r="C81" s="40" t="s">
        <v>1271</v>
      </c>
      <c r="D81" s="40" t="s">
        <v>880</v>
      </c>
      <c r="E81" s="40">
        <v>21</v>
      </c>
      <c r="F81" s="40" t="s">
        <v>42</v>
      </c>
      <c r="G81" s="40" t="s">
        <v>42</v>
      </c>
      <c r="H81" s="41" t="s">
        <v>552</v>
      </c>
      <c r="I81" s="42" t="s">
        <v>43</v>
      </c>
      <c r="J81" s="40" t="s">
        <v>43</v>
      </c>
      <c r="K81" s="41" t="s">
        <v>43</v>
      </c>
      <c r="L81" s="40">
        <v>4</v>
      </c>
      <c r="M81" s="40">
        <v>2</v>
      </c>
      <c r="N81" s="41">
        <v>2</v>
      </c>
      <c r="O81" s="40">
        <v>5</v>
      </c>
      <c r="P81" s="40">
        <v>4</v>
      </c>
      <c r="Q81" s="41">
        <v>4</v>
      </c>
      <c r="R81" s="40">
        <v>5</v>
      </c>
      <c r="S81" s="40">
        <v>6</v>
      </c>
      <c r="T81" s="40">
        <v>1</v>
      </c>
      <c r="U81" s="40">
        <v>2</v>
      </c>
      <c r="V81" s="40">
        <v>2</v>
      </c>
      <c r="W81" s="40">
        <v>5</v>
      </c>
      <c r="X81" s="40" t="s">
        <v>45</v>
      </c>
      <c r="Y81" s="40" t="s">
        <v>45</v>
      </c>
      <c r="Z81" s="40" t="s">
        <v>45</v>
      </c>
      <c r="AA81" s="40" t="s">
        <v>45</v>
      </c>
      <c r="AB81" s="40" t="s">
        <v>45</v>
      </c>
      <c r="AC81" s="40" t="s">
        <v>45</v>
      </c>
      <c r="AD81" s="40">
        <v>4</v>
      </c>
      <c r="AE81" s="40">
        <v>6</v>
      </c>
      <c r="AF81" s="40" t="s">
        <v>45</v>
      </c>
      <c r="AG81" s="40" t="s">
        <v>45</v>
      </c>
      <c r="AH81" s="40" t="s">
        <v>45</v>
      </c>
      <c r="AI81" s="40" t="s">
        <v>45</v>
      </c>
      <c r="AJ81" s="40" t="s">
        <v>45</v>
      </c>
      <c r="AK81" s="40" t="s">
        <v>45</v>
      </c>
      <c r="AL81" s="40" t="s">
        <v>45</v>
      </c>
      <c r="AM81" s="40" t="s">
        <v>45</v>
      </c>
      <c r="AN81" s="40" t="s">
        <v>45</v>
      </c>
      <c r="AO81" s="41" t="s">
        <v>45</v>
      </c>
      <c r="AP81" s="40" t="s">
        <v>54</v>
      </c>
      <c r="AQ81" s="40">
        <v>1</v>
      </c>
      <c r="AR81" s="48" t="s">
        <v>14</v>
      </c>
      <c r="AS81" s="43" t="s">
        <v>45</v>
      </c>
      <c r="AT81" s="43" t="s">
        <v>103</v>
      </c>
      <c r="AU81" s="44">
        <f t="shared" si="10"/>
        <v>-1.6796579819559116</v>
      </c>
      <c r="AV81" s="44">
        <f t="shared" si="11"/>
        <v>-0.16396734174133493</v>
      </c>
      <c r="AW81" s="45">
        <f t="shared" si="12"/>
        <v>4</v>
      </c>
      <c r="AX81" s="45">
        <f t="shared" si="13"/>
        <v>2</v>
      </c>
      <c r="AY81" s="46">
        <f>VLOOKUP(AP81,COND!$A$10:$B$32,2,FALSE)</f>
        <v>1.0249999999999999</v>
      </c>
      <c r="AZ81" s="44">
        <f>($AU$3*AU81+$AV$3*AV81+$AW$3*AW81+$AX$3*AX81)*AY81*IF(AQ81&lt;5,0.95,IF(AQ81&lt;7,0.975,1))+$I$3*VLOOKUP(I81,COND!$A$2:$E$7,4,FALSE)+$J$3*VLOOKUP(J81,COND!$A$2:$E$7,2,FALSE)+$K$3*VLOOKUP(K81,COND!$A$2:$E$7,3,FALSE)+IF(BB81="SP",$BB$3,0)+IF($AW81&lt;3,-5,0)+IF(AND($B$2&gt;0,$E81&lt;20),$B$2*25,0)</f>
        <v>45.861497627601587</v>
      </c>
      <c r="BA81" s="47">
        <f>STANDARDIZE(AZ81,AVERAGE($AZ$5:$AZ$428),STDEVP($AZ$5:$AZ$428))</f>
        <v>0.57385142798284705</v>
      </c>
      <c r="BB81" s="45" t="str">
        <f t="shared" si="14"/>
        <v>RP</v>
      </c>
      <c r="BC81" s="45">
        <v>900</v>
      </c>
      <c r="BD81" s="45">
        <v>76</v>
      </c>
      <c r="BE81" s="45"/>
      <c r="BF81" s="45" t="str">
        <f t="shared" si="15"/>
        <v>Possible</v>
      </c>
      <c r="BG81" s="45"/>
      <c r="BH81" s="45">
        <f>INDEX(Table5[[#All],[Ovr]],MATCH(Table3[[#This Row],[PID]],Table5[[#All],[PID]],0))</f>
        <v>222</v>
      </c>
      <c r="BI81" s="45" t="str">
        <f>INDEX(Table5[[#All],[Rnd]],MATCH(Table3[[#This Row],[PID]],Table5[[#All],[PID]],0))</f>
        <v>7</v>
      </c>
      <c r="BJ81" s="45">
        <f>INDEX(Table5[[#All],[Pick]],MATCH(Table3[[#This Row],[PID]],Table5[[#All],[PID]],0))</f>
        <v>21</v>
      </c>
      <c r="BK81" s="45" t="str">
        <f>INDEX(Table5[[#All],[Team]],MATCH(Table3[[#This Row],[PID]],Table5[[#All],[PID]],0))</f>
        <v>Neo-Tokyo Akira</v>
      </c>
      <c r="BL81" s="45" t="str">
        <f>IF(OR(Table3[[#This Row],[POS]]="SP",Table3[[#This Row],[POS]]="RP",Table3[[#This Row],[POS]]="CL"),"P",INDEX(Batters[[#All],[zScore]],MATCH(Table3[[#This Row],[PID]],Batters[[#All],[PID]],0)))</f>
        <v>P</v>
      </c>
    </row>
    <row r="82" spans="1:64" ht="15" customHeight="1" x14ac:dyDescent="0.3">
      <c r="A82" s="40">
        <v>13618</v>
      </c>
      <c r="B82" s="40" t="s">
        <v>24</v>
      </c>
      <c r="C82" s="40" t="s">
        <v>396</v>
      </c>
      <c r="D82" s="40" t="s">
        <v>357</v>
      </c>
      <c r="E82" s="40">
        <v>21</v>
      </c>
      <c r="F82" s="40" t="s">
        <v>53</v>
      </c>
      <c r="G82" s="40" t="s">
        <v>42</v>
      </c>
      <c r="H82" s="41" t="s">
        <v>552</v>
      </c>
      <c r="I82" s="42" t="s">
        <v>44</v>
      </c>
      <c r="J82" s="40" t="s">
        <v>47</v>
      </c>
      <c r="K82" s="41" t="s">
        <v>43</v>
      </c>
      <c r="L82" s="40">
        <v>2</v>
      </c>
      <c r="M82" s="40">
        <v>2</v>
      </c>
      <c r="N82" s="41">
        <v>2</v>
      </c>
      <c r="O82" s="40">
        <v>4</v>
      </c>
      <c r="P82" s="40">
        <v>3</v>
      </c>
      <c r="Q82" s="41">
        <v>5</v>
      </c>
      <c r="R82" s="40">
        <v>4</v>
      </c>
      <c r="S82" s="40">
        <v>6</v>
      </c>
      <c r="T82" s="40">
        <v>1</v>
      </c>
      <c r="U82" s="40">
        <v>6</v>
      </c>
      <c r="V82" s="40" t="s">
        <v>45</v>
      </c>
      <c r="W82" s="40" t="s">
        <v>45</v>
      </c>
      <c r="X82" s="40">
        <v>2</v>
      </c>
      <c r="Y82" s="40">
        <v>2</v>
      </c>
      <c r="Z82" s="40" t="s">
        <v>45</v>
      </c>
      <c r="AA82" s="40" t="s">
        <v>45</v>
      </c>
      <c r="AB82" s="40" t="s">
        <v>45</v>
      </c>
      <c r="AC82" s="40" t="s">
        <v>45</v>
      </c>
      <c r="AD82" s="40" t="s">
        <v>45</v>
      </c>
      <c r="AE82" s="40" t="s">
        <v>45</v>
      </c>
      <c r="AF82" s="40">
        <v>4</v>
      </c>
      <c r="AG82" s="40">
        <v>5</v>
      </c>
      <c r="AH82" s="40" t="s">
        <v>45</v>
      </c>
      <c r="AI82" s="40" t="s">
        <v>45</v>
      </c>
      <c r="AJ82" s="40" t="s">
        <v>45</v>
      </c>
      <c r="AK82" s="40" t="s">
        <v>45</v>
      </c>
      <c r="AL82" s="40" t="s">
        <v>45</v>
      </c>
      <c r="AM82" s="40" t="s">
        <v>45</v>
      </c>
      <c r="AN82" s="40" t="s">
        <v>45</v>
      </c>
      <c r="AO82" s="41" t="s">
        <v>45</v>
      </c>
      <c r="AP82" s="40" t="s">
        <v>58</v>
      </c>
      <c r="AQ82" s="40">
        <v>5</v>
      </c>
      <c r="AR82" s="48" t="s">
        <v>326</v>
      </c>
      <c r="AS82" s="43" t="s">
        <v>592</v>
      </c>
      <c r="AT82" s="43" t="s">
        <v>103</v>
      </c>
      <c r="AU82" s="44">
        <f t="shared" si="10"/>
        <v>-2.0690406309742588</v>
      </c>
      <c r="AV82" s="44">
        <f t="shared" si="11"/>
        <v>-0.31176981662645348</v>
      </c>
      <c r="AW82" s="45">
        <f t="shared" si="12"/>
        <v>4</v>
      </c>
      <c r="AX82" s="45">
        <f t="shared" si="13"/>
        <v>2</v>
      </c>
      <c r="AY82" s="46">
        <f>VLOOKUP(AP82,COND!$A$10:$B$32,2,FALSE)</f>
        <v>1</v>
      </c>
      <c r="AZ82" s="44">
        <f>($AU$3*AU82+$AV$3*AV82+$AW$3*AW82+$AX$3*AX82)*AY82*IF(AQ82&lt;5,0.95,IF(AQ82&lt;7,0.975,1))+$I$3*VLOOKUP(I82,COND!$A$2:$E$7,4,FALSE)+$J$3*VLOOKUP(J82,COND!$A$2:$E$7,2,FALSE)+$K$3*VLOOKUP(K82,COND!$A$2:$E$7,3,FALSE)+IF(BB82="SP",$BB$3,0)+IF($AW82&lt;3,-5,0)+IF(AND($B$2&gt;0,$E82&lt;20),$B$2*25,0)</f>
        <v>45.054525652744175</v>
      </c>
      <c r="BA82" s="47">
        <f>STANDARDIZE(AZ82,AVERAGE($AZ$5:$AZ$445),STDEVP($AZ$5:$AZ$445))</f>
        <v>0.52215919938848709</v>
      </c>
      <c r="BB82" s="45" t="str">
        <f t="shared" si="14"/>
        <v>SP</v>
      </c>
      <c r="BC82" s="45">
        <v>900</v>
      </c>
      <c r="BD82" s="45">
        <v>77</v>
      </c>
      <c r="BE82" s="45"/>
      <c r="BF82" s="45" t="str">
        <f t="shared" si="15"/>
        <v>Possible</v>
      </c>
      <c r="BG82" s="45"/>
      <c r="BH82" s="63">
        <f>INDEX(Table5[[#All],[Ovr]],MATCH(Table3[[#This Row],[PID]],Table5[[#All],[PID]],0))</f>
        <v>280</v>
      </c>
      <c r="BI82" s="63" t="str">
        <f>INDEX(Table5[[#All],[Rnd]],MATCH(Table3[[#This Row],[PID]],Table5[[#All],[PID]],0))</f>
        <v>9</v>
      </c>
      <c r="BJ82" s="63">
        <f>INDEX(Table5[[#All],[Pick]],MATCH(Table3[[#This Row],[PID]],Table5[[#All],[PID]],0))</f>
        <v>15</v>
      </c>
      <c r="BK82" s="63" t="str">
        <f>INDEX(Table5[[#All],[Team]],MATCH(Table3[[#This Row],[PID]],Table5[[#All],[PID]],0))</f>
        <v>Niihama-shi Ghosts</v>
      </c>
      <c r="BL82" s="63" t="str">
        <f>IF(OR(Table3[[#This Row],[POS]]="SP",Table3[[#This Row],[POS]]="RP",Table3[[#This Row],[POS]]="CL"),"P",INDEX(Batters[[#All],[zScore]],MATCH(Table3[[#This Row],[PID]],Batters[[#All],[PID]],0)))</f>
        <v>P</v>
      </c>
    </row>
    <row r="83" spans="1:64" ht="15" customHeight="1" x14ac:dyDescent="0.3">
      <c r="A83" s="40">
        <v>20927</v>
      </c>
      <c r="B83" s="40" t="s">
        <v>24</v>
      </c>
      <c r="C83" s="40" t="s">
        <v>807</v>
      </c>
      <c r="D83" s="40" t="s">
        <v>525</v>
      </c>
      <c r="E83" s="40">
        <v>17</v>
      </c>
      <c r="F83" s="40" t="s">
        <v>53</v>
      </c>
      <c r="G83" s="40" t="s">
        <v>53</v>
      </c>
      <c r="H83" s="41" t="s">
        <v>553</v>
      </c>
      <c r="I83" s="42" t="s">
        <v>43</v>
      </c>
      <c r="J83" s="40" t="s">
        <v>43</v>
      </c>
      <c r="K83" s="41" t="s">
        <v>43</v>
      </c>
      <c r="L83" s="40">
        <v>1</v>
      </c>
      <c r="M83" s="40">
        <v>2</v>
      </c>
      <c r="N83" s="41">
        <v>2</v>
      </c>
      <c r="O83" s="40">
        <v>4</v>
      </c>
      <c r="P83" s="40">
        <v>2</v>
      </c>
      <c r="Q83" s="41">
        <v>5</v>
      </c>
      <c r="R83" s="40">
        <v>3</v>
      </c>
      <c r="S83" s="40">
        <v>5</v>
      </c>
      <c r="T83" s="40" t="s">
        <v>45</v>
      </c>
      <c r="U83" s="40" t="s">
        <v>45</v>
      </c>
      <c r="V83" s="40">
        <v>2</v>
      </c>
      <c r="W83" s="40">
        <v>6</v>
      </c>
      <c r="X83" s="40">
        <v>2</v>
      </c>
      <c r="Y83" s="40">
        <v>6</v>
      </c>
      <c r="Z83" s="40" t="s">
        <v>45</v>
      </c>
      <c r="AA83" s="40" t="s">
        <v>45</v>
      </c>
      <c r="AB83" s="40" t="s">
        <v>45</v>
      </c>
      <c r="AC83" s="40" t="s">
        <v>45</v>
      </c>
      <c r="AD83" s="40" t="s">
        <v>45</v>
      </c>
      <c r="AE83" s="40" t="s">
        <v>45</v>
      </c>
      <c r="AF83" s="40" t="s">
        <v>45</v>
      </c>
      <c r="AG83" s="40" t="s">
        <v>45</v>
      </c>
      <c r="AH83" s="40" t="s">
        <v>45</v>
      </c>
      <c r="AI83" s="40" t="s">
        <v>45</v>
      </c>
      <c r="AJ83" s="40" t="s">
        <v>45</v>
      </c>
      <c r="AK83" s="40" t="s">
        <v>45</v>
      </c>
      <c r="AL83" s="40" t="s">
        <v>45</v>
      </c>
      <c r="AM83" s="40" t="s">
        <v>45</v>
      </c>
      <c r="AN83" s="40" t="s">
        <v>45</v>
      </c>
      <c r="AO83" s="41" t="s">
        <v>45</v>
      </c>
      <c r="AP83" s="40" t="s">
        <v>64</v>
      </c>
      <c r="AQ83" s="40">
        <v>9</v>
      </c>
      <c r="AR83" s="48" t="s">
        <v>326</v>
      </c>
      <c r="AS83" s="43" t="s">
        <v>558</v>
      </c>
      <c r="AT83" s="43" t="s">
        <v>103</v>
      </c>
      <c r="AU83" s="44">
        <f t="shared" si="10"/>
        <v>-2.2637319554834323</v>
      </c>
      <c r="AV83" s="44">
        <f t="shared" si="11"/>
        <v>-0.50720153305650884</v>
      </c>
      <c r="AW83" s="45">
        <f t="shared" si="12"/>
        <v>3</v>
      </c>
      <c r="AX83" s="45">
        <f t="shared" si="13"/>
        <v>2</v>
      </c>
      <c r="AY83" s="46">
        <f>VLOOKUP(AP83,COND!$A$10:$B$32,2,FALSE)</f>
        <v>1</v>
      </c>
      <c r="AZ83" s="44">
        <f>($AU$3*AU83+$AV$3*AV83+$AW$3*AW83+$AX$3*AX83)*AY83*IF(AQ83&lt;5,0.95,IF(AQ83&lt;7,0.975,1))+$I$3*VLOOKUP(I83,COND!$A$2:$E$7,4,FALSE)+$J$3*VLOOKUP(J83,COND!$A$2:$E$7,2,FALSE)+$K$3*VLOOKUP(K83,COND!$A$2:$E$7,3,FALSE)+IF(BB83="SP",$BB$3,0)+IF($AW83&lt;3,-5,0)+IF(AND($B$2&gt;0,$E83&lt;20),$B$2*25,0)</f>
        <v>45.403222947773138</v>
      </c>
      <c r="BA83" s="47">
        <f>STANDARDIZE(AZ83,AVERAGE($AZ$5:$AZ$445),STDEVP($AZ$5:$AZ$445))</f>
        <v>0.54696679221483868</v>
      </c>
      <c r="BB83" s="45" t="str">
        <f t="shared" si="14"/>
        <v>SP</v>
      </c>
      <c r="BC83" s="45">
        <v>900</v>
      </c>
      <c r="BD83" s="45">
        <v>78</v>
      </c>
      <c r="BE83" s="45"/>
      <c r="BF83" s="45" t="str">
        <f t="shared" si="15"/>
        <v>Unlikely</v>
      </c>
      <c r="BG83" s="45"/>
      <c r="BH83" s="63">
        <f>INDEX(Table5[[#All],[Ovr]],MATCH(Table3[[#This Row],[PID]],Table5[[#All],[PID]],0))</f>
        <v>235</v>
      </c>
      <c r="BI83" s="63" t="str">
        <f>INDEX(Table5[[#All],[Rnd]],MATCH(Table3[[#This Row],[PID]],Table5[[#All],[PID]],0))</f>
        <v>8</v>
      </c>
      <c r="BJ83" s="63">
        <f>INDEX(Table5[[#All],[Pick]],MATCH(Table3[[#This Row],[PID]],Table5[[#All],[PID]],0))</f>
        <v>2</v>
      </c>
      <c r="BK83" s="63" t="str">
        <f>INDEX(Table5[[#All],[Team]],MATCH(Table3[[#This Row],[PID]],Table5[[#All],[PID]],0))</f>
        <v>Charleston Statesmen</v>
      </c>
      <c r="BL83" s="63" t="str">
        <f>IF(OR(Table3[[#This Row],[POS]]="SP",Table3[[#This Row],[POS]]="RP",Table3[[#This Row],[POS]]="CL"),"P",INDEX(Batters[[#All],[zScore]],MATCH(Table3[[#This Row],[PID]],Batters[[#All],[PID]],0)))</f>
        <v>P</v>
      </c>
    </row>
    <row r="84" spans="1:64" ht="15" customHeight="1" x14ac:dyDescent="0.3">
      <c r="A84" s="40">
        <v>11125</v>
      </c>
      <c r="B84" s="40" t="s">
        <v>380</v>
      </c>
      <c r="C84" s="40" t="s">
        <v>125</v>
      </c>
      <c r="D84" s="40" t="s">
        <v>1381</v>
      </c>
      <c r="E84" s="40">
        <v>17</v>
      </c>
      <c r="F84" s="40" t="s">
        <v>42</v>
      </c>
      <c r="G84" s="40" t="s">
        <v>42</v>
      </c>
      <c r="H84" s="41" t="s">
        <v>552</v>
      </c>
      <c r="I84" s="42" t="s">
        <v>43</v>
      </c>
      <c r="J84" s="40" t="s">
        <v>43</v>
      </c>
      <c r="K84" s="41" t="s">
        <v>47</v>
      </c>
      <c r="L84" s="40">
        <v>2</v>
      </c>
      <c r="M84" s="40">
        <v>2</v>
      </c>
      <c r="N84" s="41">
        <v>1</v>
      </c>
      <c r="O84" s="40">
        <v>5</v>
      </c>
      <c r="P84" s="40">
        <v>2</v>
      </c>
      <c r="Q84" s="41">
        <v>4</v>
      </c>
      <c r="R84" s="40">
        <v>4</v>
      </c>
      <c r="S84" s="40">
        <v>6</v>
      </c>
      <c r="T84" s="40">
        <v>1</v>
      </c>
      <c r="U84" s="40">
        <v>1</v>
      </c>
      <c r="V84" s="40">
        <v>2</v>
      </c>
      <c r="W84" s="40">
        <v>8</v>
      </c>
      <c r="X84" s="40" t="s">
        <v>45</v>
      </c>
      <c r="Y84" s="40" t="s">
        <v>45</v>
      </c>
      <c r="Z84" s="40" t="s">
        <v>45</v>
      </c>
      <c r="AA84" s="40" t="s">
        <v>45</v>
      </c>
      <c r="AB84" s="40" t="s">
        <v>45</v>
      </c>
      <c r="AC84" s="40" t="s">
        <v>45</v>
      </c>
      <c r="AD84" s="40" t="s">
        <v>45</v>
      </c>
      <c r="AE84" s="40" t="s">
        <v>45</v>
      </c>
      <c r="AF84" s="40" t="s">
        <v>45</v>
      </c>
      <c r="AG84" s="40" t="s">
        <v>45</v>
      </c>
      <c r="AH84" s="40" t="s">
        <v>45</v>
      </c>
      <c r="AI84" s="40" t="s">
        <v>45</v>
      </c>
      <c r="AJ84" s="40" t="s">
        <v>45</v>
      </c>
      <c r="AK84" s="40" t="s">
        <v>45</v>
      </c>
      <c r="AL84" s="40" t="s">
        <v>45</v>
      </c>
      <c r="AM84" s="40" t="s">
        <v>45</v>
      </c>
      <c r="AN84" s="40" t="s">
        <v>45</v>
      </c>
      <c r="AO84" s="41" t="s">
        <v>45</v>
      </c>
      <c r="AP84" s="40" t="s">
        <v>329</v>
      </c>
      <c r="AQ84" s="40">
        <v>7</v>
      </c>
      <c r="AR84" s="48" t="s">
        <v>326</v>
      </c>
      <c r="AS84" s="43" t="s">
        <v>511</v>
      </c>
      <c r="AT84" s="43" t="s">
        <v>103</v>
      </c>
      <c r="AU84" s="44">
        <f t="shared" si="10"/>
        <v>-2.311361197028369</v>
      </c>
      <c r="AV84" s="44">
        <f t="shared" si="11"/>
        <v>-0.55483077460144581</v>
      </c>
      <c r="AW84" s="45">
        <f t="shared" si="12"/>
        <v>3</v>
      </c>
      <c r="AX84" s="45">
        <f t="shared" si="13"/>
        <v>2</v>
      </c>
      <c r="AY84" s="46">
        <f>VLOOKUP(AP84,COND!$A$10:$B$32,2,FALSE)</f>
        <v>1</v>
      </c>
      <c r="AZ84" s="44">
        <f>($AU$3*AU84+$AV$3*AV84+$AW$3*AW84+$AX$3*AX84)*AY84*IF(AQ84&lt;5,0.95,IF(AQ84&lt;7,0.975,1))+$I$3*VLOOKUP(I84,COND!$A$2:$E$7,4,FALSE)+$J$3*VLOOKUP(J84,COND!$A$2:$E$7,2,FALSE)+$K$3*VLOOKUP(K84,COND!$A$2:$E$7,3,FALSE)+IF(BB84="SP",$BB$3,0)+IF($AW84&lt;3,-5,0)+IF(AND($B$2&gt;0,$E84&lt;20),$B$2*25,0)</f>
        <v>44.741112268565409</v>
      </c>
      <c r="BA84" s="47">
        <f t="shared" ref="BA84:BA94" si="17">STANDARDIZE(AZ84,AVERAGE($AZ$5:$AZ$428),STDEVP($AZ$5:$AZ$428))</f>
        <v>0.49407211089155745</v>
      </c>
      <c r="BB84" s="45" t="str">
        <f t="shared" si="14"/>
        <v>SP</v>
      </c>
      <c r="BC84" s="45">
        <v>900</v>
      </c>
      <c r="BD84" s="45">
        <v>79</v>
      </c>
      <c r="BE84" s="45"/>
      <c r="BF84" s="45" t="str">
        <f t="shared" si="15"/>
        <v>Unlikely</v>
      </c>
      <c r="BG84" s="45"/>
      <c r="BH84" s="45">
        <f>INDEX(Table5[[#All],[Ovr]],MATCH(Table3[[#This Row],[PID]],Table5[[#All],[PID]],0))</f>
        <v>254</v>
      </c>
      <c r="BI84" s="45" t="str">
        <f>INDEX(Table5[[#All],[Rnd]],MATCH(Table3[[#This Row],[PID]],Table5[[#All],[PID]],0))</f>
        <v>8</v>
      </c>
      <c r="BJ84" s="45">
        <f>INDEX(Table5[[#All],[Pick]],MATCH(Table3[[#This Row],[PID]],Table5[[#All],[PID]],0))</f>
        <v>21</v>
      </c>
      <c r="BK84" s="45" t="str">
        <f>INDEX(Table5[[#All],[Team]],MATCH(Table3[[#This Row],[PID]],Table5[[#All],[PID]],0))</f>
        <v>Neo-Tokyo Akira</v>
      </c>
      <c r="BL84" s="45" t="str">
        <f>IF(OR(Table3[[#This Row],[POS]]="SP",Table3[[#This Row],[POS]]="RP",Table3[[#This Row],[POS]]="CL"),"P",INDEX(Batters[[#All],[zScore]],MATCH(Table3[[#This Row],[PID]],Batters[[#All],[PID]],0)))</f>
        <v>P</v>
      </c>
    </row>
    <row r="85" spans="1:64" ht="15" customHeight="1" x14ac:dyDescent="0.3">
      <c r="A85" s="40">
        <v>10297</v>
      </c>
      <c r="B85" s="40" t="s">
        <v>24</v>
      </c>
      <c r="C85" s="40" t="s">
        <v>201</v>
      </c>
      <c r="D85" s="40" t="s">
        <v>191</v>
      </c>
      <c r="E85" s="40">
        <v>18</v>
      </c>
      <c r="F85" s="40" t="s">
        <v>53</v>
      </c>
      <c r="G85" s="40" t="s">
        <v>42</v>
      </c>
      <c r="H85" s="41" t="s">
        <v>561</v>
      </c>
      <c r="I85" s="42" t="s">
        <v>43</v>
      </c>
      <c r="J85" s="40" t="s">
        <v>43</v>
      </c>
      <c r="K85" s="41" t="s">
        <v>43</v>
      </c>
      <c r="L85" s="40">
        <v>3</v>
      </c>
      <c r="M85" s="40">
        <v>1</v>
      </c>
      <c r="N85" s="41">
        <v>2</v>
      </c>
      <c r="O85" s="40">
        <v>5</v>
      </c>
      <c r="P85" s="40">
        <v>2</v>
      </c>
      <c r="Q85" s="41">
        <v>4</v>
      </c>
      <c r="R85" s="40">
        <v>5</v>
      </c>
      <c r="S85" s="40">
        <v>6</v>
      </c>
      <c r="T85" s="40" t="s">
        <v>45</v>
      </c>
      <c r="U85" s="40" t="s">
        <v>45</v>
      </c>
      <c r="V85" s="40">
        <v>2</v>
      </c>
      <c r="W85" s="40">
        <v>6</v>
      </c>
      <c r="X85" s="40">
        <v>3</v>
      </c>
      <c r="Y85" s="40">
        <v>6</v>
      </c>
      <c r="Z85" s="40" t="s">
        <v>45</v>
      </c>
      <c r="AA85" s="40" t="s">
        <v>45</v>
      </c>
      <c r="AB85" s="40" t="s">
        <v>45</v>
      </c>
      <c r="AC85" s="40" t="s">
        <v>45</v>
      </c>
      <c r="AD85" s="40" t="s">
        <v>45</v>
      </c>
      <c r="AE85" s="40" t="s">
        <v>45</v>
      </c>
      <c r="AF85" s="40" t="s">
        <v>45</v>
      </c>
      <c r="AG85" s="40" t="s">
        <v>45</v>
      </c>
      <c r="AH85" s="40" t="s">
        <v>45</v>
      </c>
      <c r="AI85" s="40" t="s">
        <v>45</v>
      </c>
      <c r="AJ85" s="40" t="s">
        <v>45</v>
      </c>
      <c r="AK85" s="40" t="s">
        <v>45</v>
      </c>
      <c r="AL85" s="40" t="s">
        <v>45</v>
      </c>
      <c r="AM85" s="40" t="s">
        <v>45</v>
      </c>
      <c r="AN85" s="40" t="s">
        <v>45</v>
      </c>
      <c r="AO85" s="41" t="s">
        <v>45</v>
      </c>
      <c r="AP85" s="40" t="s">
        <v>61</v>
      </c>
      <c r="AQ85" s="40">
        <v>8</v>
      </c>
      <c r="AR85" s="48" t="s">
        <v>14</v>
      </c>
      <c r="AS85" s="43" t="s">
        <v>568</v>
      </c>
      <c r="AT85" s="43" t="s">
        <v>103</v>
      </c>
      <c r="AU85" s="44">
        <f t="shared" si="10"/>
        <v>-2.0697810228951408</v>
      </c>
      <c r="AV85" s="44">
        <f t="shared" si="11"/>
        <v>-0.55483077460144581</v>
      </c>
      <c r="AW85" s="45">
        <f t="shared" si="12"/>
        <v>3</v>
      </c>
      <c r="AX85" s="45">
        <f t="shared" si="13"/>
        <v>3</v>
      </c>
      <c r="AY85" s="46">
        <f>VLOOKUP(AP85,COND!$A$10:$B$32,2,FALSE)</f>
        <v>1.05</v>
      </c>
      <c r="AZ85" s="44">
        <f>($AU$3*AU85+$AV$3*AV85+$AW$3*AW85+$AX$3*AX85)*AY85*IF(AQ85&lt;5,0.95,IF(AQ85&lt;7,0.975,1))+$I$3*VLOOKUP(I85,COND!$A$2:$E$7,4,FALSE)+$J$3*VLOOKUP(J85,COND!$A$2:$E$7,2,FALSE)+$K$3*VLOOKUP(K85,COND!$A$2:$E$7,3,FALSE)+IF(BB85="SP",$BB$3,0)+IF($AW85&lt;3,-5,0)+IF(AND($B$2&gt;0,$E85&lt;20),$B$2*25,0)</f>
        <v>45.426399718561655</v>
      </c>
      <c r="BA85" s="47">
        <f t="shared" si="17"/>
        <v>0.54286939687087765</v>
      </c>
      <c r="BB85" s="45" t="str">
        <f t="shared" si="14"/>
        <v>SP</v>
      </c>
      <c r="BC85" s="45">
        <v>900</v>
      </c>
      <c r="BD85" s="45">
        <v>80</v>
      </c>
      <c r="BE85" s="45"/>
      <c r="BF85" s="45" t="str">
        <f t="shared" si="15"/>
        <v>Unlikely</v>
      </c>
      <c r="BG85" s="45"/>
      <c r="BH85" s="45">
        <f>INDEX(Table5[[#All],[Ovr]],MATCH(Table3[[#This Row],[PID]],Table5[[#All],[PID]],0))</f>
        <v>384</v>
      </c>
      <c r="BI85" s="45" t="str">
        <f>INDEX(Table5[[#All],[Rnd]],MATCH(Table3[[#This Row],[PID]],Table5[[#All],[PID]],0))</f>
        <v>12</v>
      </c>
      <c r="BJ85" s="45">
        <f>INDEX(Table5[[#All],[Pick]],MATCH(Table3[[#This Row],[PID]],Table5[[#All],[PID]],0))</f>
        <v>19</v>
      </c>
      <c r="BK85" s="45" t="str">
        <f>INDEX(Table5[[#All],[Team]],MATCH(Table3[[#This Row],[PID]],Table5[[#All],[PID]],0))</f>
        <v>Fargo Dinosaurs</v>
      </c>
      <c r="BL85" s="45" t="str">
        <f>IF(OR(Table3[[#This Row],[POS]]="SP",Table3[[#This Row],[POS]]="RP",Table3[[#This Row],[POS]]="CL"),"P",INDEX(Batters[[#All],[zScore]],MATCH(Table3[[#This Row],[PID]],Batters[[#All],[PID]],0)))</f>
        <v>P</v>
      </c>
    </row>
    <row r="86" spans="1:64" ht="15" customHeight="1" x14ac:dyDescent="0.3">
      <c r="A86" s="40">
        <v>12767</v>
      </c>
      <c r="B86" s="40" t="s">
        <v>49</v>
      </c>
      <c r="C86" s="40" t="s">
        <v>401</v>
      </c>
      <c r="D86" s="40" t="s">
        <v>1363</v>
      </c>
      <c r="E86" s="40">
        <v>18</v>
      </c>
      <c r="F86" s="40" t="s">
        <v>42</v>
      </c>
      <c r="G86" s="40" t="s">
        <v>42</v>
      </c>
      <c r="H86" s="41" t="s">
        <v>548</v>
      </c>
      <c r="I86" s="42" t="s">
        <v>43</v>
      </c>
      <c r="J86" s="40" t="s">
        <v>44</v>
      </c>
      <c r="K86" s="41" t="s">
        <v>44</v>
      </c>
      <c r="L86" s="40">
        <v>3</v>
      </c>
      <c r="M86" s="40">
        <v>3</v>
      </c>
      <c r="N86" s="41">
        <v>3</v>
      </c>
      <c r="O86" s="40">
        <v>7</v>
      </c>
      <c r="P86" s="40">
        <v>7</v>
      </c>
      <c r="Q86" s="41">
        <v>5</v>
      </c>
      <c r="R86" s="40">
        <v>5</v>
      </c>
      <c r="S86" s="40">
        <v>8</v>
      </c>
      <c r="T86" s="40">
        <v>1</v>
      </c>
      <c r="U86" s="40">
        <v>1</v>
      </c>
      <c r="V86" s="40">
        <v>4</v>
      </c>
      <c r="W86" s="40">
        <v>8</v>
      </c>
      <c r="X86" s="40" t="s">
        <v>45</v>
      </c>
      <c r="Y86" s="40" t="s">
        <v>45</v>
      </c>
      <c r="Z86" s="40" t="s">
        <v>45</v>
      </c>
      <c r="AA86" s="40" t="s">
        <v>45</v>
      </c>
      <c r="AB86" s="40" t="s">
        <v>45</v>
      </c>
      <c r="AC86" s="40" t="s">
        <v>45</v>
      </c>
      <c r="AD86" s="40" t="s">
        <v>45</v>
      </c>
      <c r="AE86" s="40" t="s">
        <v>45</v>
      </c>
      <c r="AF86" s="40" t="s">
        <v>45</v>
      </c>
      <c r="AG86" s="40" t="s">
        <v>45</v>
      </c>
      <c r="AH86" s="40" t="s">
        <v>45</v>
      </c>
      <c r="AI86" s="40" t="s">
        <v>45</v>
      </c>
      <c r="AJ86" s="40" t="s">
        <v>45</v>
      </c>
      <c r="AK86" s="40" t="s">
        <v>45</v>
      </c>
      <c r="AL86" s="40" t="s">
        <v>45</v>
      </c>
      <c r="AM86" s="40" t="s">
        <v>45</v>
      </c>
      <c r="AN86" s="40" t="s">
        <v>45</v>
      </c>
      <c r="AO86" s="41" t="s">
        <v>45</v>
      </c>
      <c r="AP86" s="40" t="s">
        <v>60</v>
      </c>
      <c r="AQ86" s="40">
        <v>6</v>
      </c>
      <c r="AR86" s="48" t="s">
        <v>325</v>
      </c>
      <c r="AS86" s="43" t="s">
        <v>502</v>
      </c>
      <c r="AT86" s="43" t="s">
        <v>103</v>
      </c>
      <c r="AU86" s="44">
        <f t="shared" si="10"/>
        <v>-1.4365970239809194</v>
      </c>
      <c r="AV86" s="44">
        <f t="shared" si="11"/>
        <v>1.0540310226212888</v>
      </c>
      <c r="AW86" s="45">
        <f t="shared" si="12"/>
        <v>3</v>
      </c>
      <c r="AX86" s="45">
        <f t="shared" si="13"/>
        <v>2</v>
      </c>
      <c r="AY86" s="46">
        <f>VLOOKUP(AP86,COND!$A$10:$B$32,2,FALSE)</f>
        <v>1.0249999999999999</v>
      </c>
      <c r="AZ86" s="44">
        <f>($AU$3*AU86+$AV$3*AV86+$AW$3*AW86+$AX$3*AX86)*AY86*IF(AQ86&lt;5,0.95,IF(AQ86&lt;7,0.975,1))+$I$3*VLOOKUP(I86,COND!$A$2:$E$7,4,FALSE)+$J$3*VLOOKUP(J86,COND!$A$2:$E$7,2,FALSE)+$K$3*VLOOKUP(K86,COND!$A$2:$E$7,3,FALSE)+IF(BB86="SP",$BB$3,0)+IF($AW86&lt;3,-5,0)+IF(AND($B$2&gt;0,$E86&lt;20),$B$2*25,0)</f>
        <v>76.177805234474832</v>
      </c>
      <c r="BA86" s="47">
        <f t="shared" si="17"/>
        <v>2.7325857403327078</v>
      </c>
      <c r="BB86" s="45" t="str">
        <f t="shared" si="14"/>
        <v>SP</v>
      </c>
      <c r="BC86" s="45">
        <v>950</v>
      </c>
      <c r="BD86" s="45">
        <v>81</v>
      </c>
      <c r="BE86" s="45"/>
      <c r="BF86" s="45" t="str">
        <f t="shared" si="15"/>
        <v>Likely</v>
      </c>
      <c r="BG86" s="45"/>
      <c r="BH86" s="45">
        <f>INDEX(Table5[[#All],[Ovr]],MATCH(Table3[[#This Row],[PID]],Table5[[#All],[PID]],0))</f>
        <v>64</v>
      </c>
      <c r="BI86" s="45" t="str">
        <f>INDEX(Table5[[#All],[Rnd]],MATCH(Table3[[#This Row],[PID]],Table5[[#All],[PID]],0))</f>
        <v>2</v>
      </c>
      <c r="BJ86" s="45">
        <f>INDEX(Table5[[#All],[Pick]],MATCH(Table3[[#This Row],[PID]],Table5[[#All],[PID]],0))</f>
        <v>28</v>
      </c>
      <c r="BK86" s="45" t="str">
        <f>INDEX(Table5[[#All],[Team]],MATCH(Table3[[#This Row],[PID]],Table5[[#All],[PID]],0))</f>
        <v>West Virginia Alleghenies</v>
      </c>
      <c r="BL86" s="45" t="str">
        <f>IF(OR(Table3[[#This Row],[POS]]="SP",Table3[[#This Row],[POS]]="RP",Table3[[#This Row],[POS]]="CL"),"P",INDEX(Batters[[#All],[zScore]],MATCH(Table3[[#This Row],[PID]],Batters[[#All],[PID]],0)))</f>
        <v>P</v>
      </c>
    </row>
    <row r="87" spans="1:64" ht="15" customHeight="1" x14ac:dyDescent="0.3">
      <c r="A87" s="40">
        <v>11364</v>
      </c>
      <c r="B87" s="40" t="s">
        <v>24</v>
      </c>
      <c r="C87" s="40" t="s">
        <v>382</v>
      </c>
      <c r="D87" s="40" t="s">
        <v>915</v>
      </c>
      <c r="E87" s="40">
        <v>17</v>
      </c>
      <c r="F87" s="40" t="s">
        <v>42</v>
      </c>
      <c r="G87" s="40" t="s">
        <v>42</v>
      </c>
      <c r="H87" s="41" t="s">
        <v>553</v>
      </c>
      <c r="I87" s="42" t="s">
        <v>47</v>
      </c>
      <c r="J87" s="40" t="s">
        <v>43</v>
      </c>
      <c r="K87" s="41" t="s">
        <v>43</v>
      </c>
      <c r="L87" s="40">
        <v>2</v>
      </c>
      <c r="M87" s="40">
        <v>2</v>
      </c>
      <c r="N87" s="41">
        <v>1</v>
      </c>
      <c r="O87" s="40">
        <v>5</v>
      </c>
      <c r="P87" s="40">
        <v>3</v>
      </c>
      <c r="Q87" s="41">
        <v>3</v>
      </c>
      <c r="R87" s="40">
        <v>4</v>
      </c>
      <c r="S87" s="40">
        <v>6</v>
      </c>
      <c r="T87" s="40">
        <v>1</v>
      </c>
      <c r="U87" s="40">
        <v>3</v>
      </c>
      <c r="V87" s="40">
        <v>2</v>
      </c>
      <c r="W87" s="40">
        <v>6</v>
      </c>
      <c r="X87" s="40">
        <v>3</v>
      </c>
      <c r="Y87" s="40">
        <v>5</v>
      </c>
      <c r="Z87" s="40" t="s">
        <v>45</v>
      </c>
      <c r="AA87" s="40" t="s">
        <v>45</v>
      </c>
      <c r="AB87" s="40" t="s">
        <v>45</v>
      </c>
      <c r="AC87" s="40" t="s">
        <v>45</v>
      </c>
      <c r="AD87" s="40" t="s">
        <v>45</v>
      </c>
      <c r="AE87" s="40" t="s">
        <v>45</v>
      </c>
      <c r="AF87" s="40">
        <v>4</v>
      </c>
      <c r="AG87" s="40">
        <v>5</v>
      </c>
      <c r="AH87" s="40" t="s">
        <v>45</v>
      </c>
      <c r="AI87" s="40" t="s">
        <v>45</v>
      </c>
      <c r="AJ87" s="40" t="s">
        <v>45</v>
      </c>
      <c r="AK87" s="40" t="s">
        <v>45</v>
      </c>
      <c r="AL87" s="40" t="s">
        <v>45</v>
      </c>
      <c r="AM87" s="40" t="s">
        <v>45</v>
      </c>
      <c r="AN87" s="40" t="s">
        <v>45</v>
      </c>
      <c r="AO87" s="41" t="s">
        <v>45</v>
      </c>
      <c r="AP87" s="40" t="s">
        <v>58</v>
      </c>
      <c r="AQ87" s="40">
        <v>6</v>
      </c>
      <c r="AR87" s="48" t="s">
        <v>326</v>
      </c>
      <c r="AS87" s="43" t="s">
        <v>568</v>
      </c>
      <c r="AT87" s="43" t="s">
        <v>103</v>
      </c>
      <c r="AU87" s="44">
        <f t="shared" si="10"/>
        <v>-2.311361197028369</v>
      </c>
      <c r="AV87" s="44">
        <f t="shared" si="11"/>
        <v>-0.60171962422550074</v>
      </c>
      <c r="AW87" s="45">
        <f t="shared" si="12"/>
        <v>5</v>
      </c>
      <c r="AX87" s="45">
        <f t="shared" si="13"/>
        <v>2</v>
      </c>
      <c r="AY87" s="46">
        <f>VLOOKUP(AP87,COND!$A$10:$B$32,2,FALSE)</f>
        <v>1</v>
      </c>
      <c r="AZ87" s="44">
        <f>($AU$3*AU87+$AV$3*AV87+$AW$3*AW87+$AX$3*AX87)*AY87*IF(AQ87&lt;5,0.95,IF(AQ87&lt;7,0.975,1))+$I$3*VLOOKUP(I87,COND!$A$2:$E$7,4,FALSE)+$J$3*VLOOKUP(J87,COND!$A$2:$E$7,2,FALSE)+$K$3*VLOOKUP(K87,COND!$A$2:$E$7,3,FALSE)+IF(BB87="SP",$BB$3,0)+IF($AW87&lt;3,-5,0)+IF(AND($B$2&gt;0,$E87&lt;20),$B$2*25,0)</f>
        <v>44.9157518941822</v>
      </c>
      <c r="BA87" s="47">
        <f t="shared" si="17"/>
        <v>0.50650768045377648</v>
      </c>
      <c r="BB87" s="45" t="str">
        <f t="shared" si="14"/>
        <v>SP</v>
      </c>
      <c r="BC87" s="45">
        <v>900</v>
      </c>
      <c r="BD87" s="45">
        <v>82</v>
      </c>
      <c r="BE87" s="45"/>
      <c r="BF87" s="45" t="str">
        <f t="shared" si="15"/>
        <v>Unlikely</v>
      </c>
      <c r="BG87" s="45"/>
      <c r="BH87" s="45">
        <f>INDEX(Table5[[#All],[Ovr]],MATCH(Table3[[#This Row],[PID]],Table5[[#All],[PID]],0))</f>
        <v>267</v>
      </c>
      <c r="BI87" s="45" t="str">
        <f>INDEX(Table5[[#All],[Rnd]],MATCH(Table3[[#This Row],[PID]],Table5[[#All],[PID]],0))</f>
        <v>9</v>
      </c>
      <c r="BJ87" s="45">
        <f>INDEX(Table5[[#All],[Pick]],MATCH(Table3[[#This Row],[PID]],Table5[[#All],[PID]],0))</f>
        <v>2</v>
      </c>
      <c r="BK87" s="45" t="str">
        <f>INDEX(Table5[[#All],[Team]],MATCH(Table3[[#This Row],[PID]],Table5[[#All],[PID]],0))</f>
        <v>Charleston Statesmen</v>
      </c>
      <c r="BL87" s="45" t="str">
        <f>IF(OR(Table3[[#This Row],[POS]]="SP",Table3[[#This Row],[POS]]="RP",Table3[[#This Row],[POS]]="CL"),"P",INDEX(Batters[[#All],[zScore]],MATCH(Table3[[#This Row],[PID]],Batters[[#All],[PID]],0)))</f>
        <v>P</v>
      </c>
    </row>
    <row r="88" spans="1:64" ht="15" customHeight="1" x14ac:dyDescent="0.3">
      <c r="A88" s="40">
        <v>10473</v>
      </c>
      <c r="B88" s="40" t="s">
        <v>24</v>
      </c>
      <c r="C88" s="40" t="s">
        <v>343</v>
      </c>
      <c r="D88" s="40" t="s">
        <v>1344</v>
      </c>
      <c r="E88" s="40">
        <v>18</v>
      </c>
      <c r="F88" s="40" t="s">
        <v>53</v>
      </c>
      <c r="G88" s="40" t="s">
        <v>53</v>
      </c>
      <c r="H88" s="41" t="s">
        <v>561</v>
      </c>
      <c r="I88" s="42" t="s">
        <v>47</v>
      </c>
      <c r="J88" s="40" t="s">
        <v>43</v>
      </c>
      <c r="K88" s="41" t="s">
        <v>43</v>
      </c>
      <c r="L88" s="40">
        <v>1</v>
      </c>
      <c r="M88" s="40">
        <v>2</v>
      </c>
      <c r="N88" s="41">
        <v>1</v>
      </c>
      <c r="O88" s="40">
        <v>5</v>
      </c>
      <c r="P88" s="40">
        <v>2</v>
      </c>
      <c r="Q88" s="41">
        <v>4</v>
      </c>
      <c r="R88" s="40">
        <v>3</v>
      </c>
      <c r="S88" s="40">
        <v>6</v>
      </c>
      <c r="T88" s="40">
        <v>1</v>
      </c>
      <c r="U88" s="40">
        <v>6</v>
      </c>
      <c r="V88" s="40" t="s">
        <v>45</v>
      </c>
      <c r="W88" s="40" t="s">
        <v>45</v>
      </c>
      <c r="X88" s="40">
        <v>2</v>
      </c>
      <c r="Y88" s="40">
        <v>6</v>
      </c>
      <c r="Z88" s="40" t="s">
        <v>45</v>
      </c>
      <c r="AA88" s="40" t="s">
        <v>45</v>
      </c>
      <c r="AB88" s="40" t="s">
        <v>45</v>
      </c>
      <c r="AC88" s="40" t="s">
        <v>45</v>
      </c>
      <c r="AD88" s="40" t="s">
        <v>45</v>
      </c>
      <c r="AE88" s="40" t="s">
        <v>45</v>
      </c>
      <c r="AF88" s="40">
        <v>3</v>
      </c>
      <c r="AG88" s="40">
        <v>3</v>
      </c>
      <c r="AH88" s="40" t="s">
        <v>45</v>
      </c>
      <c r="AI88" s="40" t="s">
        <v>45</v>
      </c>
      <c r="AJ88" s="40" t="s">
        <v>45</v>
      </c>
      <c r="AK88" s="40" t="s">
        <v>45</v>
      </c>
      <c r="AL88" s="40" t="s">
        <v>45</v>
      </c>
      <c r="AM88" s="40" t="s">
        <v>45</v>
      </c>
      <c r="AN88" s="40" t="s">
        <v>45</v>
      </c>
      <c r="AO88" s="41" t="s">
        <v>45</v>
      </c>
      <c r="AP88" s="40" t="s">
        <v>329</v>
      </c>
      <c r="AQ88" s="40">
        <v>4</v>
      </c>
      <c r="AR88" s="48" t="s">
        <v>326</v>
      </c>
      <c r="AS88" s="43" t="s">
        <v>576</v>
      </c>
      <c r="AT88" s="43" t="s">
        <v>103</v>
      </c>
      <c r="AU88" s="44">
        <f t="shared" si="10"/>
        <v>-2.5060525215375429</v>
      </c>
      <c r="AV88" s="44">
        <f t="shared" si="11"/>
        <v>-0.55483077460144581</v>
      </c>
      <c r="AW88" s="45">
        <f t="shared" si="12"/>
        <v>4</v>
      </c>
      <c r="AX88" s="45">
        <f t="shared" si="13"/>
        <v>3</v>
      </c>
      <c r="AY88" s="46">
        <f>VLOOKUP(AP88,COND!$A$10:$B$32,2,FALSE)</f>
        <v>1</v>
      </c>
      <c r="AZ88" s="44">
        <f>($AU$3*AU88+$AV$3*AV88+$AW$3*AW88+$AX$3*AX88)*AY88*IF(AQ88&lt;5,0.95,IF(AQ88&lt;7,0.975,1))+$I$3*VLOOKUP(I88,COND!$A$2:$E$7,4,FALSE)+$J$3*VLOOKUP(J88,COND!$A$2:$E$7,2,FALSE)+$K$3*VLOOKUP(K88,COND!$A$2:$E$7,3,FALSE)+IF(BB88="SP",$BB$3,0)+IF($AW88&lt;3,-5,0)+IF(AND($B$2&gt;0,$E88&lt;20),$B$2*25,0)</f>
        <v>44.669565303480397</v>
      </c>
      <c r="BA88" s="47">
        <f t="shared" si="17"/>
        <v>0.48897746379678736</v>
      </c>
      <c r="BB88" s="45" t="str">
        <f t="shared" si="14"/>
        <v>RP</v>
      </c>
      <c r="BC88" s="45">
        <v>900</v>
      </c>
      <c r="BD88" s="45">
        <v>83</v>
      </c>
      <c r="BE88" s="45"/>
      <c r="BF88" s="45" t="str">
        <f t="shared" si="15"/>
        <v>Unlikely</v>
      </c>
      <c r="BG88" s="45"/>
      <c r="BH88" s="45">
        <f>INDEX(Table5[[#All],[Ovr]],MATCH(Table3[[#This Row],[PID]],Table5[[#All],[PID]],0))</f>
        <v>171</v>
      </c>
      <c r="BI88" s="45" t="str">
        <f>INDEX(Table5[[#All],[Rnd]],MATCH(Table3[[#This Row],[PID]],Table5[[#All],[PID]],0))</f>
        <v>6</v>
      </c>
      <c r="BJ88" s="45">
        <f>INDEX(Table5[[#All],[Pick]],MATCH(Table3[[#This Row],[PID]],Table5[[#All],[PID]],0))</f>
        <v>2</v>
      </c>
      <c r="BK88" s="45" t="str">
        <f>INDEX(Table5[[#All],[Team]],MATCH(Table3[[#This Row],[PID]],Table5[[#All],[PID]],0))</f>
        <v>Charleston Statesmen</v>
      </c>
      <c r="BL88" s="45" t="str">
        <f>IF(OR(Table3[[#This Row],[POS]]="SP",Table3[[#This Row],[POS]]="RP",Table3[[#This Row],[POS]]="CL"),"P",INDEX(Batters[[#All],[zScore]],MATCH(Table3[[#This Row],[PID]],Batters[[#All],[PID]],0)))</f>
        <v>P</v>
      </c>
    </row>
    <row r="89" spans="1:64" ht="15" customHeight="1" x14ac:dyDescent="0.3">
      <c r="A89" s="40">
        <v>6127</v>
      </c>
      <c r="B89" s="40" t="s">
        <v>24</v>
      </c>
      <c r="C89" s="40" t="s">
        <v>512</v>
      </c>
      <c r="D89" s="40" t="s">
        <v>1504</v>
      </c>
      <c r="E89" s="40">
        <v>21</v>
      </c>
      <c r="F89" s="40" t="s">
        <v>42</v>
      </c>
      <c r="G89" s="40" t="s">
        <v>42</v>
      </c>
      <c r="H89" s="41" t="s">
        <v>552</v>
      </c>
      <c r="I89" s="42" t="s">
        <v>43</v>
      </c>
      <c r="J89" s="40" t="s">
        <v>43</v>
      </c>
      <c r="K89" s="41" t="s">
        <v>43</v>
      </c>
      <c r="L89" s="40">
        <v>2</v>
      </c>
      <c r="M89" s="40">
        <v>2</v>
      </c>
      <c r="N89" s="41">
        <v>2</v>
      </c>
      <c r="O89" s="40">
        <v>5</v>
      </c>
      <c r="P89" s="40">
        <v>3</v>
      </c>
      <c r="Q89" s="41">
        <v>4</v>
      </c>
      <c r="R89" s="40">
        <v>4</v>
      </c>
      <c r="S89" s="40">
        <v>6</v>
      </c>
      <c r="T89" s="40">
        <v>3</v>
      </c>
      <c r="U89" s="40">
        <v>7</v>
      </c>
      <c r="V89" s="40">
        <v>2</v>
      </c>
      <c r="W89" s="40">
        <v>7</v>
      </c>
      <c r="X89" s="40" t="s">
        <v>45</v>
      </c>
      <c r="Y89" s="40" t="s">
        <v>45</v>
      </c>
      <c r="Z89" s="40" t="s">
        <v>45</v>
      </c>
      <c r="AA89" s="40" t="s">
        <v>45</v>
      </c>
      <c r="AB89" s="40" t="s">
        <v>45</v>
      </c>
      <c r="AC89" s="40" t="s">
        <v>45</v>
      </c>
      <c r="AD89" s="40" t="s">
        <v>45</v>
      </c>
      <c r="AE89" s="40" t="s">
        <v>45</v>
      </c>
      <c r="AF89" s="40" t="s">
        <v>45</v>
      </c>
      <c r="AG89" s="40" t="s">
        <v>45</v>
      </c>
      <c r="AH89" s="40" t="s">
        <v>45</v>
      </c>
      <c r="AI89" s="40" t="s">
        <v>45</v>
      </c>
      <c r="AJ89" s="40" t="s">
        <v>45</v>
      </c>
      <c r="AK89" s="40" t="s">
        <v>45</v>
      </c>
      <c r="AL89" s="40" t="s">
        <v>45</v>
      </c>
      <c r="AM89" s="40" t="s">
        <v>45</v>
      </c>
      <c r="AN89" s="40" t="s">
        <v>45</v>
      </c>
      <c r="AO89" s="41" t="s">
        <v>45</v>
      </c>
      <c r="AP89" s="40" t="s">
        <v>56</v>
      </c>
      <c r="AQ89" s="40">
        <v>10</v>
      </c>
      <c r="AR89" s="48" t="s">
        <v>326</v>
      </c>
      <c r="AS89" s="43" t="s">
        <v>1043</v>
      </c>
      <c r="AT89" s="43" t="s">
        <v>103</v>
      </c>
      <c r="AU89" s="44">
        <f t="shared" si="10"/>
        <v>-2.0690406309742588</v>
      </c>
      <c r="AV89" s="44">
        <f t="shared" si="11"/>
        <v>-0.35939905817139028</v>
      </c>
      <c r="AW89" s="45">
        <f t="shared" si="12"/>
        <v>3</v>
      </c>
      <c r="AX89" s="45">
        <f t="shared" si="13"/>
        <v>3</v>
      </c>
      <c r="AY89" s="46">
        <f>VLOOKUP(AP89,COND!$A$10:$B$32,2,FALSE)</f>
        <v>1</v>
      </c>
      <c r="AZ89" s="44">
        <f>($AU$3*AU89+$AV$3*AV89+$AW$3*AW89+$AX$3*AX89)*AY89*IF(AQ89&lt;5,0.95,IF(AQ89&lt;7,0.975,1))+$I$3*VLOOKUP(I89,COND!$A$2:$E$7,4,FALSE)+$J$3*VLOOKUP(J89,COND!$A$2:$E$7,2,FALSE)+$K$3*VLOOKUP(K89,COND!$A$2:$E$7,3,FALSE)+IF(BB89="SP",$BB$3,0)+IF($AW89&lt;3,-5,0)+IF(AND($B$2&gt;0,$E89&lt;20),$B$2*25,0)</f>
        <v>44.648210710377342</v>
      </c>
      <c r="BA89" s="47">
        <f t="shared" si="17"/>
        <v>0.48745686658370907</v>
      </c>
      <c r="BB89" s="45" t="str">
        <f t="shared" si="14"/>
        <v>SP</v>
      </c>
      <c r="BC89" s="45">
        <v>900</v>
      </c>
      <c r="BD89" s="45">
        <v>84</v>
      </c>
      <c r="BE89" s="45"/>
      <c r="BF89" s="45" t="str">
        <f t="shared" si="15"/>
        <v>Possible</v>
      </c>
      <c r="BG89" s="45"/>
      <c r="BH89" s="45">
        <f>INDEX(Table5[[#All],[Ovr]],MATCH(Table3[[#This Row],[PID]],Table5[[#All],[PID]],0))</f>
        <v>178</v>
      </c>
      <c r="BI89" s="45" t="str">
        <f>INDEX(Table5[[#All],[Rnd]],MATCH(Table3[[#This Row],[PID]],Table5[[#All],[PID]],0))</f>
        <v>6</v>
      </c>
      <c r="BJ89" s="45">
        <f>INDEX(Table5[[#All],[Pick]],MATCH(Table3[[#This Row],[PID]],Table5[[#All],[PID]],0))</f>
        <v>9</v>
      </c>
      <c r="BK89" s="45" t="str">
        <f>INDEX(Table5[[#All],[Team]],MATCH(Table3[[#This Row],[PID]],Table5[[#All],[PID]],0))</f>
        <v>Hartford Harpoon</v>
      </c>
      <c r="BL89" s="45" t="str">
        <f>IF(OR(Table3[[#This Row],[POS]]="SP",Table3[[#This Row],[POS]]="RP",Table3[[#This Row],[POS]]="CL"),"P",INDEX(Batters[[#All],[zScore]],MATCH(Table3[[#This Row],[PID]],Batters[[#All],[PID]],0)))</f>
        <v>P</v>
      </c>
    </row>
    <row r="90" spans="1:64" ht="15" customHeight="1" x14ac:dyDescent="0.3">
      <c r="A90" s="40">
        <v>12951</v>
      </c>
      <c r="B90" s="40" t="s">
        <v>380</v>
      </c>
      <c r="C90" s="40" t="s">
        <v>1350</v>
      </c>
      <c r="D90" s="40" t="s">
        <v>181</v>
      </c>
      <c r="E90" s="40">
        <v>17</v>
      </c>
      <c r="F90" s="40" t="s">
        <v>42</v>
      </c>
      <c r="G90" s="40" t="s">
        <v>42</v>
      </c>
      <c r="H90" s="41" t="s">
        <v>553</v>
      </c>
      <c r="I90" s="42" t="s">
        <v>43</v>
      </c>
      <c r="J90" s="40" t="s">
        <v>43</v>
      </c>
      <c r="K90" s="41" t="s">
        <v>43</v>
      </c>
      <c r="L90" s="40">
        <v>3</v>
      </c>
      <c r="M90" s="40">
        <v>1</v>
      </c>
      <c r="N90" s="41">
        <v>1</v>
      </c>
      <c r="O90" s="40">
        <v>5</v>
      </c>
      <c r="P90" s="40">
        <v>2</v>
      </c>
      <c r="Q90" s="41">
        <v>4</v>
      </c>
      <c r="R90" s="40">
        <v>4</v>
      </c>
      <c r="S90" s="40">
        <v>6</v>
      </c>
      <c r="T90" s="40" t="s">
        <v>45</v>
      </c>
      <c r="U90" s="40" t="s">
        <v>45</v>
      </c>
      <c r="V90" s="40">
        <v>2</v>
      </c>
      <c r="W90" s="40">
        <v>4</v>
      </c>
      <c r="X90" s="40">
        <v>3</v>
      </c>
      <c r="Y90" s="40">
        <v>6</v>
      </c>
      <c r="Z90" s="40" t="s">
        <v>45</v>
      </c>
      <c r="AA90" s="40" t="s">
        <v>45</v>
      </c>
      <c r="AB90" s="40" t="s">
        <v>45</v>
      </c>
      <c r="AC90" s="40" t="s">
        <v>45</v>
      </c>
      <c r="AD90" s="40" t="s">
        <v>45</v>
      </c>
      <c r="AE90" s="40" t="s">
        <v>45</v>
      </c>
      <c r="AF90" s="40" t="s">
        <v>45</v>
      </c>
      <c r="AG90" s="40" t="s">
        <v>45</v>
      </c>
      <c r="AH90" s="40" t="s">
        <v>45</v>
      </c>
      <c r="AI90" s="40" t="s">
        <v>45</v>
      </c>
      <c r="AJ90" s="40" t="s">
        <v>45</v>
      </c>
      <c r="AK90" s="40" t="s">
        <v>45</v>
      </c>
      <c r="AL90" s="40" t="s">
        <v>45</v>
      </c>
      <c r="AM90" s="40" t="s">
        <v>45</v>
      </c>
      <c r="AN90" s="40" t="s">
        <v>45</v>
      </c>
      <c r="AO90" s="41" t="s">
        <v>45</v>
      </c>
      <c r="AP90" s="40" t="s">
        <v>58</v>
      </c>
      <c r="AQ90" s="40">
        <v>6</v>
      </c>
      <c r="AR90" s="48" t="s">
        <v>326</v>
      </c>
      <c r="AS90" s="43" t="s">
        <v>558</v>
      </c>
      <c r="AT90" s="43" t="s">
        <v>103</v>
      </c>
      <c r="AU90" s="44">
        <f t="shared" si="10"/>
        <v>-2.3121015889492513</v>
      </c>
      <c r="AV90" s="44">
        <f t="shared" si="11"/>
        <v>-0.55483077460144581</v>
      </c>
      <c r="AW90" s="45">
        <f t="shared" si="12"/>
        <v>3</v>
      </c>
      <c r="AX90" s="45">
        <f t="shared" si="13"/>
        <v>2</v>
      </c>
      <c r="AY90" s="46">
        <f>VLOOKUP(AP90,COND!$A$10:$B$32,2,FALSE)</f>
        <v>1</v>
      </c>
      <c r="AZ90" s="44">
        <f>($AU$3*AU90+$AV$3*AV90+$AW$3*AW90+$AX$3*AX90)*AY90*IF(AQ90&lt;5,0.95,IF(AQ90&lt;7,0.975,1))+$I$3*VLOOKUP(I90,COND!$A$2:$E$7,4,FALSE)+$J$3*VLOOKUP(J90,COND!$A$2:$E$7,2,FALSE)+$K$3*VLOOKUP(K90,COND!$A$2:$E$7,3,FALSE)+IF(BB90="SP",$BB$3,0)+IF($AW90&lt;3,-5,0)+IF(AND($B$2&gt;0,$E90&lt;20),$B$2*25,0)</f>
        <v>44.629940085426703</v>
      </c>
      <c r="BA90" s="47">
        <f t="shared" si="17"/>
        <v>0.48615586959223916</v>
      </c>
      <c r="BB90" s="45" t="str">
        <f t="shared" si="14"/>
        <v>SP</v>
      </c>
      <c r="BC90" s="45">
        <v>900</v>
      </c>
      <c r="BD90" s="45">
        <v>85</v>
      </c>
      <c r="BE90" s="45"/>
      <c r="BF90" s="45" t="str">
        <f t="shared" si="15"/>
        <v>Unlikely</v>
      </c>
      <c r="BG90" s="45"/>
      <c r="BH90" s="45">
        <f>INDEX(Table5[[#All],[Ovr]],MATCH(Table3[[#This Row],[PID]],Table5[[#All],[PID]],0))</f>
        <v>389</v>
      </c>
      <c r="BI90" s="45" t="str">
        <f>INDEX(Table5[[#All],[Rnd]],MATCH(Table3[[#This Row],[PID]],Table5[[#All],[PID]],0))</f>
        <v>12</v>
      </c>
      <c r="BJ90" s="45">
        <f>INDEX(Table5[[#All],[Pick]],MATCH(Table3[[#This Row],[PID]],Table5[[#All],[PID]],0))</f>
        <v>24</v>
      </c>
      <c r="BK90" s="45" t="str">
        <f>INDEX(Table5[[#All],[Team]],MATCH(Table3[[#This Row],[PID]],Table5[[#All],[PID]],0))</f>
        <v>Reno Zephyrs</v>
      </c>
      <c r="BL90" s="45" t="str">
        <f>IF(OR(Table3[[#This Row],[POS]]="SP",Table3[[#This Row],[POS]]="RP",Table3[[#This Row],[POS]]="CL"),"P",INDEX(Batters[[#All],[zScore]],MATCH(Table3[[#This Row],[PID]],Batters[[#All],[PID]],0)))</f>
        <v>P</v>
      </c>
    </row>
    <row r="91" spans="1:64" ht="15" customHeight="1" x14ac:dyDescent="0.3">
      <c r="A91" s="40">
        <v>11430</v>
      </c>
      <c r="B91" s="40" t="s">
        <v>380</v>
      </c>
      <c r="C91" s="40" t="s">
        <v>130</v>
      </c>
      <c r="D91" s="40" t="s">
        <v>1526</v>
      </c>
      <c r="E91" s="40">
        <v>17</v>
      </c>
      <c r="F91" s="40" t="s">
        <v>42</v>
      </c>
      <c r="G91" s="40" t="s">
        <v>42</v>
      </c>
      <c r="H91" s="41" t="s">
        <v>553</v>
      </c>
      <c r="I91" s="42" t="s">
        <v>44</v>
      </c>
      <c r="J91" s="40" t="s">
        <v>47</v>
      </c>
      <c r="K91" s="41" t="s">
        <v>43</v>
      </c>
      <c r="L91" s="40">
        <v>3</v>
      </c>
      <c r="M91" s="40">
        <v>2</v>
      </c>
      <c r="N91" s="41">
        <v>2</v>
      </c>
      <c r="O91" s="40">
        <v>5</v>
      </c>
      <c r="P91" s="40">
        <v>2</v>
      </c>
      <c r="Q91" s="41">
        <v>4</v>
      </c>
      <c r="R91" s="40">
        <v>4</v>
      </c>
      <c r="S91" s="40">
        <v>6</v>
      </c>
      <c r="T91" s="40">
        <v>1</v>
      </c>
      <c r="U91" s="40">
        <v>1</v>
      </c>
      <c r="V91" s="40" t="s">
        <v>45</v>
      </c>
      <c r="W91" s="40" t="s">
        <v>45</v>
      </c>
      <c r="X91" s="40" t="s">
        <v>45</v>
      </c>
      <c r="Y91" s="40" t="s">
        <v>45</v>
      </c>
      <c r="Z91" s="40">
        <v>3</v>
      </c>
      <c r="AA91" s="40">
        <v>4</v>
      </c>
      <c r="AB91" s="40" t="s">
        <v>45</v>
      </c>
      <c r="AC91" s="40" t="s">
        <v>45</v>
      </c>
      <c r="AD91" s="40" t="s">
        <v>45</v>
      </c>
      <c r="AE91" s="40" t="s">
        <v>45</v>
      </c>
      <c r="AF91" s="40" t="s">
        <v>45</v>
      </c>
      <c r="AG91" s="40" t="s">
        <v>45</v>
      </c>
      <c r="AH91" s="40" t="s">
        <v>45</v>
      </c>
      <c r="AI91" s="40" t="s">
        <v>45</v>
      </c>
      <c r="AJ91" s="40" t="s">
        <v>45</v>
      </c>
      <c r="AK91" s="40" t="s">
        <v>45</v>
      </c>
      <c r="AL91" s="40">
        <v>2</v>
      </c>
      <c r="AM91" s="40">
        <v>3</v>
      </c>
      <c r="AN91" s="40" t="s">
        <v>45</v>
      </c>
      <c r="AO91" s="41" t="s">
        <v>45</v>
      </c>
      <c r="AP91" s="40" t="s">
        <v>56</v>
      </c>
      <c r="AQ91" s="40">
        <v>8</v>
      </c>
      <c r="AR91" s="48" t="s">
        <v>326</v>
      </c>
      <c r="AS91" s="43" t="s">
        <v>504</v>
      </c>
      <c r="AT91" s="43" t="s">
        <v>103</v>
      </c>
      <c r="AU91" s="44">
        <f t="shared" si="10"/>
        <v>-1.8743493064650851</v>
      </c>
      <c r="AV91" s="44">
        <f t="shared" si="11"/>
        <v>-0.55483077460144581</v>
      </c>
      <c r="AW91" s="45">
        <f t="shared" si="12"/>
        <v>4</v>
      </c>
      <c r="AX91" s="45">
        <f t="shared" si="13"/>
        <v>1</v>
      </c>
      <c r="AY91" s="46">
        <f>VLOOKUP(AP91,COND!$A$10:$B$32,2,FALSE)</f>
        <v>1</v>
      </c>
      <c r="AZ91" s="44">
        <f>($AU$3*AU91+$AV$3*AV91+$AW$3*AW91+$AX$3*AX91)*AY91*IF(AQ91&lt;5,0.95,IF(AQ91&lt;7,0.975,1))+$I$3*VLOOKUP(I91,COND!$A$2:$E$7,4,FALSE)+$J$3*VLOOKUP(J91,COND!$A$2:$E$7,2,FALSE)+$K$3*VLOOKUP(K91,COND!$A$2:$E$7,3,FALSE)+IF(BB91="SP",$BB$3,0)+IF($AW91&lt;3,-5,0)+IF(AND($B$2&gt;0,$E91&lt;20),$B$2*25,0)</f>
        <v>43.928514646678067</v>
      </c>
      <c r="BA91" s="47">
        <f t="shared" si="17"/>
        <v>0.43620944531732381</v>
      </c>
      <c r="BB91" s="45" t="str">
        <f t="shared" si="14"/>
        <v>SP</v>
      </c>
      <c r="BC91" s="45">
        <v>900</v>
      </c>
      <c r="BD91" s="45">
        <v>86</v>
      </c>
      <c r="BE91" s="45"/>
      <c r="BF91" s="45" t="str">
        <f t="shared" si="15"/>
        <v>Unlikely</v>
      </c>
      <c r="BG91" s="45"/>
      <c r="BH91" s="45">
        <f>INDEX(Table5[[#All],[Ovr]],MATCH(Table3[[#This Row],[PID]],Table5[[#All],[PID]],0))</f>
        <v>320</v>
      </c>
      <c r="BI91" s="45" t="str">
        <f>INDEX(Table5[[#All],[Rnd]],MATCH(Table3[[#This Row],[PID]],Table5[[#All],[PID]],0))</f>
        <v>10</v>
      </c>
      <c r="BJ91" s="45">
        <f>INDEX(Table5[[#All],[Pick]],MATCH(Table3[[#This Row],[PID]],Table5[[#All],[PID]],0))</f>
        <v>23</v>
      </c>
      <c r="BK91" s="45" t="str">
        <f>INDEX(Table5[[#All],[Team]],MATCH(Table3[[#This Row],[PID]],Table5[[#All],[PID]],0))</f>
        <v>Kentucky Thoroughbreds</v>
      </c>
      <c r="BL91" s="45" t="str">
        <f>IF(OR(Table3[[#This Row],[POS]]="SP",Table3[[#This Row],[POS]]="RP",Table3[[#This Row],[POS]]="CL"),"P",INDEX(Batters[[#All],[zScore]],MATCH(Table3[[#This Row],[PID]],Batters[[#All],[PID]],0)))</f>
        <v>P</v>
      </c>
    </row>
    <row r="92" spans="1:64" ht="15" customHeight="1" x14ac:dyDescent="0.3">
      <c r="A92" s="40">
        <v>10971</v>
      </c>
      <c r="B92" s="40" t="s">
        <v>380</v>
      </c>
      <c r="C92" s="40" t="s">
        <v>370</v>
      </c>
      <c r="D92" s="40" t="s">
        <v>619</v>
      </c>
      <c r="E92" s="40">
        <v>18</v>
      </c>
      <c r="F92" s="40" t="s">
        <v>42</v>
      </c>
      <c r="G92" s="40" t="s">
        <v>42</v>
      </c>
      <c r="H92" s="41" t="s">
        <v>552</v>
      </c>
      <c r="I92" s="42" t="s">
        <v>43</v>
      </c>
      <c r="J92" s="40" t="s">
        <v>47</v>
      </c>
      <c r="K92" s="41" t="s">
        <v>43</v>
      </c>
      <c r="L92" s="40">
        <v>3</v>
      </c>
      <c r="M92" s="40">
        <v>2</v>
      </c>
      <c r="N92" s="41">
        <v>1</v>
      </c>
      <c r="O92" s="40">
        <v>6</v>
      </c>
      <c r="P92" s="40">
        <v>2</v>
      </c>
      <c r="Q92" s="41">
        <v>3</v>
      </c>
      <c r="R92" s="40">
        <v>6</v>
      </c>
      <c r="S92" s="40">
        <v>8</v>
      </c>
      <c r="T92" s="40">
        <v>1</v>
      </c>
      <c r="U92" s="40">
        <v>1</v>
      </c>
      <c r="V92" s="40">
        <v>3</v>
      </c>
      <c r="W92" s="40">
        <v>7</v>
      </c>
      <c r="X92" s="40" t="s">
        <v>45</v>
      </c>
      <c r="Y92" s="40" t="s">
        <v>45</v>
      </c>
      <c r="Z92" s="40" t="s">
        <v>45</v>
      </c>
      <c r="AA92" s="40" t="s">
        <v>45</v>
      </c>
      <c r="AB92" s="40" t="s">
        <v>45</v>
      </c>
      <c r="AC92" s="40" t="s">
        <v>45</v>
      </c>
      <c r="AD92" s="40" t="s">
        <v>45</v>
      </c>
      <c r="AE92" s="40" t="s">
        <v>45</v>
      </c>
      <c r="AF92" s="40" t="s">
        <v>45</v>
      </c>
      <c r="AG92" s="40" t="s">
        <v>45</v>
      </c>
      <c r="AH92" s="40" t="s">
        <v>45</v>
      </c>
      <c r="AI92" s="40" t="s">
        <v>45</v>
      </c>
      <c r="AJ92" s="40" t="s">
        <v>45</v>
      </c>
      <c r="AK92" s="40" t="s">
        <v>45</v>
      </c>
      <c r="AL92" s="40" t="s">
        <v>45</v>
      </c>
      <c r="AM92" s="40" t="s">
        <v>45</v>
      </c>
      <c r="AN92" s="40" t="s">
        <v>45</v>
      </c>
      <c r="AO92" s="41" t="s">
        <v>45</v>
      </c>
      <c r="AP92" s="40" t="s">
        <v>61</v>
      </c>
      <c r="AQ92" s="40">
        <v>6</v>
      </c>
      <c r="AR92" s="48" t="s">
        <v>326</v>
      </c>
      <c r="AS92" s="43" t="s">
        <v>558</v>
      </c>
      <c r="AT92" s="43" t="s">
        <v>103</v>
      </c>
      <c r="AU92" s="44">
        <f t="shared" si="10"/>
        <v>-2.1166698725191955</v>
      </c>
      <c r="AV92" s="44">
        <f t="shared" si="11"/>
        <v>-0.60246001614638267</v>
      </c>
      <c r="AW92" s="45">
        <f t="shared" si="12"/>
        <v>3</v>
      </c>
      <c r="AX92" s="45">
        <f t="shared" si="13"/>
        <v>2</v>
      </c>
      <c r="AY92" s="46">
        <f>VLOOKUP(AP92,COND!$A$10:$B$32,2,FALSE)</f>
        <v>1.05</v>
      </c>
      <c r="AZ92" s="44">
        <f>($AU$3*AU92+$AV$3*AV92+$AW$3*AW92+$AX$3*AX92)*AY92*IF(AQ92&lt;5,0.95,IF(AQ92&lt;7,0.975,1))+$I$3*VLOOKUP(I92,COND!$A$2:$E$7,4,FALSE)+$J$3*VLOOKUP(J92,COND!$A$2:$E$7,2,FALSE)+$K$3*VLOOKUP(K92,COND!$A$2:$E$7,3,FALSE)+IF(BB92="SP",$BB$3,0)+IF($AW92&lt;3,-5,0)+IF(AND($B$2&gt;0,$E92&lt;20),$B$2*25,0)</f>
        <v>43.626243013004512</v>
      </c>
      <c r="BA92" s="47">
        <f t="shared" si="17"/>
        <v>0.41468557916176291</v>
      </c>
      <c r="BB92" s="45" t="str">
        <f t="shared" si="14"/>
        <v>SP</v>
      </c>
      <c r="BC92" s="45">
        <v>900</v>
      </c>
      <c r="BD92" s="45">
        <v>87</v>
      </c>
      <c r="BE92" s="45"/>
      <c r="BF92" s="45" t="str">
        <f t="shared" si="15"/>
        <v>Unlikely</v>
      </c>
      <c r="BG92" s="45"/>
      <c r="BH92" s="45">
        <f>INDEX(Table5[[#All],[Ovr]],MATCH(Table3[[#This Row],[PID]],Table5[[#All],[PID]],0))</f>
        <v>270</v>
      </c>
      <c r="BI92" s="45" t="str">
        <f>INDEX(Table5[[#All],[Rnd]],MATCH(Table3[[#This Row],[PID]],Table5[[#All],[PID]],0))</f>
        <v>9</v>
      </c>
      <c r="BJ92" s="45">
        <f>INDEX(Table5[[#All],[Pick]],MATCH(Table3[[#This Row],[PID]],Table5[[#All],[PID]],0))</f>
        <v>5</v>
      </c>
      <c r="BK92" s="45" t="str">
        <f>INDEX(Table5[[#All],[Team]],MATCH(Table3[[#This Row],[PID]],Table5[[#All],[PID]],0))</f>
        <v>Tempe Knights</v>
      </c>
      <c r="BL92" s="45" t="str">
        <f>IF(OR(Table3[[#This Row],[POS]]="SP",Table3[[#This Row],[POS]]="RP",Table3[[#This Row],[POS]]="CL"),"P",INDEX(Batters[[#All],[zScore]],MATCH(Table3[[#This Row],[PID]],Batters[[#All],[PID]],0)))</f>
        <v>P</v>
      </c>
    </row>
    <row r="93" spans="1:64" ht="15" customHeight="1" x14ac:dyDescent="0.3">
      <c r="A93" s="40">
        <v>20961</v>
      </c>
      <c r="B93" s="40" t="s">
        <v>380</v>
      </c>
      <c r="C93" s="40" t="s">
        <v>820</v>
      </c>
      <c r="D93" s="40" t="s">
        <v>814</v>
      </c>
      <c r="E93" s="40">
        <v>16</v>
      </c>
      <c r="F93" s="40" t="s">
        <v>53</v>
      </c>
      <c r="G93" s="40" t="s">
        <v>53</v>
      </c>
      <c r="H93" s="41" t="s">
        <v>561</v>
      </c>
      <c r="I93" s="42" t="s">
        <v>43</v>
      </c>
      <c r="J93" s="40" t="s">
        <v>43</v>
      </c>
      <c r="K93" s="41" t="s">
        <v>43</v>
      </c>
      <c r="L93" s="40">
        <v>2</v>
      </c>
      <c r="M93" s="40">
        <v>1</v>
      </c>
      <c r="N93" s="41">
        <v>1</v>
      </c>
      <c r="O93" s="40">
        <v>6</v>
      </c>
      <c r="P93" s="40">
        <v>1</v>
      </c>
      <c r="Q93" s="41">
        <v>4</v>
      </c>
      <c r="R93" s="40">
        <v>4</v>
      </c>
      <c r="S93" s="40">
        <v>6</v>
      </c>
      <c r="T93" s="40" t="s">
        <v>45</v>
      </c>
      <c r="U93" s="40" t="s">
        <v>45</v>
      </c>
      <c r="V93" s="40">
        <v>2</v>
      </c>
      <c r="W93" s="40">
        <v>7</v>
      </c>
      <c r="X93" s="40" t="s">
        <v>45</v>
      </c>
      <c r="Y93" s="40" t="s">
        <v>45</v>
      </c>
      <c r="Z93" s="40" t="s">
        <v>45</v>
      </c>
      <c r="AA93" s="40" t="s">
        <v>45</v>
      </c>
      <c r="AB93" s="40" t="s">
        <v>45</v>
      </c>
      <c r="AC93" s="40" t="s">
        <v>45</v>
      </c>
      <c r="AD93" s="40" t="s">
        <v>45</v>
      </c>
      <c r="AE93" s="40" t="s">
        <v>45</v>
      </c>
      <c r="AF93" s="40" t="s">
        <v>45</v>
      </c>
      <c r="AG93" s="40" t="s">
        <v>45</v>
      </c>
      <c r="AH93" s="40">
        <v>1</v>
      </c>
      <c r="AI93" s="40">
        <v>8</v>
      </c>
      <c r="AJ93" s="40" t="s">
        <v>45</v>
      </c>
      <c r="AK93" s="40" t="s">
        <v>45</v>
      </c>
      <c r="AL93" s="40" t="s">
        <v>45</v>
      </c>
      <c r="AM93" s="40" t="s">
        <v>45</v>
      </c>
      <c r="AN93" s="40" t="s">
        <v>45</v>
      </c>
      <c r="AO93" s="41" t="s">
        <v>45</v>
      </c>
      <c r="AP93" s="40" t="s">
        <v>57</v>
      </c>
      <c r="AQ93" s="40">
        <v>3</v>
      </c>
      <c r="AR93" s="48" t="s">
        <v>14</v>
      </c>
      <c r="AS93" s="43" t="s">
        <v>558</v>
      </c>
      <c r="AT93" s="43" t="s">
        <v>103</v>
      </c>
      <c r="AU93" s="44">
        <f t="shared" si="10"/>
        <v>-2.5067929134584248</v>
      </c>
      <c r="AV93" s="44">
        <f t="shared" si="11"/>
        <v>-0.55557116652232774</v>
      </c>
      <c r="AW93" s="45">
        <f t="shared" si="12"/>
        <v>3</v>
      </c>
      <c r="AX93" s="45">
        <f t="shared" si="13"/>
        <v>3</v>
      </c>
      <c r="AY93" s="46">
        <f>VLOOKUP(AP93,COND!$A$10:$B$32,2,FALSE)</f>
        <v>1</v>
      </c>
      <c r="AZ93" s="44">
        <f>($AU$3*AU93+$AV$3*AV93+$AW$3*AW93+$AX$3*AX93)*AY93*IF(AQ93&lt;5,0.95,IF(AQ93&lt;7,0.975,1))+$I$3*VLOOKUP(I93,COND!$A$2:$E$7,4,FALSE)+$J$3*VLOOKUP(J93,COND!$A$2:$E$7,2,FALSE)+$K$3*VLOOKUP(K93,COND!$A$2:$E$7,3,FALSE)+IF(BB93="SP",$BB$3,0)+IF($AW93&lt;3,-5,0)+IF(AND($B$2&gt;0,$E93&lt;20),$B$2*25,0)</f>
        <v>43.955357182518668</v>
      </c>
      <c r="BA93" s="47">
        <f t="shared" si="17"/>
        <v>0.43812082264931945</v>
      </c>
      <c r="BB93" s="45" t="str">
        <f t="shared" si="14"/>
        <v>RP</v>
      </c>
      <c r="BC93" s="45">
        <v>900</v>
      </c>
      <c r="BD93" s="45">
        <v>88</v>
      </c>
      <c r="BE93" s="45"/>
      <c r="BF93" s="45" t="str">
        <f t="shared" si="15"/>
        <v>Unlikely</v>
      </c>
      <c r="BG93" s="45"/>
      <c r="BH93" s="45">
        <f>INDEX(Table5[[#All],[Ovr]],MATCH(Table3[[#This Row],[PID]],Table5[[#All],[PID]],0))</f>
        <v>478</v>
      </c>
      <c r="BI93" s="45" t="str">
        <f>INDEX(Table5[[#All],[Rnd]],MATCH(Table3[[#This Row],[PID]],Table5[[#All],[PID]],0))</f>
        <v>15</v>
      </c>
      <c r="BJ93" s="45">
        <f>INDEX(Table5[[#All],[Pick]],MATCH(Table3[[#This Row],[PID]],Table5[[#All],[PID]],0))</f>
        <v>11</v>
      </c>
      <c r="BK93" s="45" t="str">
        <f>INDEX(Table5[[#All],[Team]],MATCH(Table3[[#This Row],[PID]],Table5[[#All],[PID]],0))</f>
        <v>Arlington Bureaucrats</v>
      </c>
      <c r="BL93" s="45" t="str">
        <f>IF(OR(Table3[[#This Row],[POS]]="SP",Table3[[#This Row],[POS]]="RP",Table3[[#This Row],[POS]]="CL"),"P",INDEX(Batters[[#All],[zScore]],MATCH(Table3[[#This Row],[PID]],Batters[[#All],[PID]],0)))</f>
        <v>P</v>
      </c>
    </row>
    <row r="94" spans="1:64" ht="15" customHeight="1" x14ac:dyDescent="0.3">
      <c r="A94" s="40">
        <v>11514</v>
      </c>
      <c r="B94" s="40" t="s">
        <v>24</v>
      </c>
      <c r="C94" s="40" t="s">
        <v>765</v>
      </c>
      <c r="D94" s="40" t="s">
        <v>722</v>
      </c>
      <c r="E94" s="40">
        <v>18</v>
      </c>
      <c r="F94" s="40" t="s">
        <v>42</v>
      </c>
      <c r="G94" s="40" t="s">
        <v>42</v>
      </c>
      <c r="H94" s="41" t="s">
        <v>561</v>
      </c>
      <c r="I94" s="42" t="s">
        <v>43</v>
      </c>
      <c r="J94" s="40" t="s">
        <v>47</v>
      </c>
      <c r="K94" s="41" t="s">
        <v>43</v>
      </c>
      <c r="L94" s="40">
        <v>1</v>
      </c>
      <c r="M94" s="40">
        <v>2</v>
      </c>
      <c r="N94" s="41">
        <v>1</v>
      </c>
      <c r="O94" s="40">
        <v>4</v>
      </c>
      <c r="P94" s="40">
        <v>3</v>
      </c>
      <c r="Q94" s="41">
        <v>4</v>
      </c>
      <c r="R94" s="40">
        <v>4</v>
      </c>
      <c r="S94" s="40">
        <v>6</v>
      </c>
      <c r="T94" s="40">
        <v>1</v>
      </c>
      <c r="U94" s="40">
        <v>1</v>
      </c>
      <c r="V94" s="40">
        <v>2</v>
      </c>
      <c r="W94" s="40">
        <v>6</v>
      </c>
      <c r="X94" s="40" t="s">
        <v>45</v>
      </c>
      <c r="Y94" s="40" t="s">
        <v>45</v>
      </c>
      <c r="Z94" s="40" t="s">
        <v>45</v>
      </c>
      <c r="AA94" s="40" t="s">
        <v>45</v>
      </c>
      <c r="AB94" s="40" t="s">
        <v>45</v>
      </c>
      <c r="AC94" s="40" t="s">
        <v>45</v>
      </c>
      <c r="AD94" s="40" t="s">
        <v>45</v>
      </c>
      <c r="AE94" s="40" t="s">
        <v>45</v>
      </c>
      <c r="AF94" s="40" t="s">
        <v>45</v>
      </c>
      <c r="AG94" s="40" t="s">
        <v>45</v>
      </c>
      <c r="AH94" s="40" t="s">
        <v>45</v>
      </c>
      <c r="AI94" s="40" t="s">
        <v>45</v>
      </c>
      <c r="AJ94" s="40" t="s">
        <v>45</v>
      </c>
      <c r="AK94" s="40" t="s">
        <v>45</v>
      </c>
      <c r="AL94" s="40" t="s">
        <v>45</v>
      </c>
      <c r="AM94" s="40" t="s">
        <v>45</v>
      </c>
      <c r="AN94" s="40" t="s">
        <v>45</v>
      </c>
      <c r="AO94" s="41" t="s">
        <v>45</v>
      </c>
      <c r="AP94" s="40" t="s">
        <v>57</v>
      </c>
      <c r="AQ94" s="40">
        <v>4</v>
      </c>
      <c r="AR94" s="48" t="s">
        <v>326</v>
      </c>
      <c r="AS94" s="43" t="s">
        <v>558</v>
      </c>
      <c r="AT94" s="43" t="s">
        <v>103</v>
      </c>
      <c r="AU94" s="44">
        <f t="shared" si="10"/>
        <v>-2.5060525215375429</v>
      </c>
      <c r="AV94" s="44">
        <f t="shared" si="11"/>
        <v>-0.55409038268056388</v>
      </c>
      <c r="AW94" s="45">
        <f t="shared" si="12"/>
        <v>3</v>
      </c>
      <c r="AX94" s="45">
        <f t="shared" si="13"/>
        <v>2</v>
      </c>
      <c r="AY94" s="46">
        <f>VLOOKUP(AP94,COND!$A$10:$B$32,2,FALSE)</f>
        <v>1</v>
      </c>
      <c r="AZ94" s="44">
        <f>($AU$3*AU94+$AV$3*AV94+$AW$3*AW94+$AX$3*AX94)*AY94*IF(AQ94&lt;5,0.95,IF(AQ94&lt;7,0.975,1))+$I$3*VLOOKUP(I94,COND!$A$2:$E$7,4,FALSE)+$J$3*VLOOKUP(J94,COND!$A$2:$E$7,2,FALSE)+$K$3*VLOOKUP(K94,COND!$A$2:$E$7,3,FALSE)+IF(BB94="SP",$BB$3,0)+IF($AW94&lt;3,-5,0)+IF(AND($B$2&gt;0,$E94&lt;20),$B$2*25,0)</f>
        <v>43.096132749977158</v>
      </c>
      <c r="BA94" s="47">
        <f t="shared" si="17"/>
        <v>0.37693800023607243</v>
      </c>
      <c r="BB94" s="45" t="str">
        <f t="shared" si="14"/>
        <v>RP</v>
      </c>
      <c r="BC94" s="45">
        <v>900</v>
      </c>
      <c r="BD94" s="45">
        <v>89</v>
      </c>
      <c r="BE94" s="45"/>
      <c r="BF94" s="45" t="str">
        <f t="shared" si="15"/>
        <v>Unlikely</v>
      </c>
      <c r="BG94" s="45"/>
      <c r="BH94" s="45">
        <f>INDEX(Table5[[#All],[Ovr]],MATCH(Table3[[#This Row],[PID]],Table5[[#All],[PID]],0))</f>
        <v>510</v>
      </c>
      <c r="BI94" s="45" t="str">
        <f>INDEX(Table5[[#All],[Rnd]],MATCH(Table3[[#This Row],[PID]],Table5[[#All],[PID]],0))</f>
        <v>16</v>
      </c>
      <c r="BJ94" s="45">
        <f>INDEX(Table5[[#All],[Pick]],MATCH(Table3[[#This Row],[PID]],Table5[[#All],[PID]],0))</f>
        <v>9</v>
      </c>
      <c r="BK94" s="45" t="str">
        <f>INDEX(Table5[[#All],[Team]],MATCH(Table3[[#This Row],[PID]],Table5[[#All],[PID]],0))</f>
        <v>New Jersey Hitmen</v>
      </c>
      <c r="BL94" s="45" t="str">
        <f>IF(OR(Table3[[#This Row],[POS]]="SP",Table3[[#This Row],[POS]]="RP",Table3[[#This Row],[POS]]="CL"),"P",INDEX(Batters[[#All],[zScore]],MATCH(Table3[[#This Row],[PID]],Batters[[#All],[PID]],0)))</f>
        <v>P</v>
      </c>
    </row>
    <row r="95" spans="1:64" ht="15" customHeight="1" x14ac:dyDescent="0.3">
      <c r="A95" s="40">
        <v>13233</v>
      </c>
      <c r="B95" s="40" t="s">
        <v>24</v>
      </c>
      <c r="C95" s="40" t="s">
        <v>1491</v>
      </c>
      <c r="D95" s="40" t="s">
        <v>833</v>
      </c>
      <c r="E95" s="40">
        <v>17</v>
      </c>
      <c r="F95" s="40" t="s">
        <v>42</v>
      </c>
      <c r="G95" s="40" t="s">
        <v>53</v>
      </c>
      <c r="H95" s="41" t="s">
        <v>561</v>
      </c>
      <c r="I95" s="42" t="s">
        <v>43</v>
      </c>
      <c r="J95" s="40" t="s">
        <v>43</v>
      </c>
      <c r="K95" s="41" t="s">
        <v>43</v>
      </c>
      <c r="L95" s="40">
        <v>2</v>
      </c>
      <c r="M95" s="40">
        <v>1</v>
      </c>
      <c r="N95" s="41">
        <v>1</v>
      </c>
      <c r="O95" s="40">
        <v>4</v>
      </c>
      <c r="P95" s="40">
        <v>3</v>
      </c>
      <c r="Q95" s="41">
        <v>4</v>
      </c>
      <c r="R95" s="40">
        <v>5</v>
      </c>
      <c r="S95" s="40">
        <v>7</v>
      </c>
      <c r="T95" s="40">
        <v>2</v>
      </c>
      <c r="U95" s="40">
        <v>5</v>
      </c>
      <c r="V95" s="40">
        <v>2</v>
      </c>
      <c r="W95" s="40">
        <v>2</v>
      </c>
      <c r="X95" s="40" t="s">
        <v>45</v>
      </c>
      <c r="Y95" s="40" t="s">
        <v>45</v>
      </c>
      <c r="Z95" s="40" t="s">
        <v>45</v>
      </c>
      <c r="AA95" s="40" t="s">
        <v>45</v>
      </c>
      <c r="AB95" s="40" t="s">
        <v>45</v>
      </c>
      <c r="AC95" s="40" t="s">
        <v>45</v>
      </c>
      <c r="AD95" s="40" t="s">
        <v>45</v>
      </c>
      <c r="AE95" s="40" t="s">
        <v>45</v>
      </c>
      <c r="AF95" s="40">
        <v>3</v>
      </c>
      <c r="AG95" s="40">
        <v>5</v>
      </c>
      <c r="AH95" s="40" t="s">
        <v>45</v>
      </c>
      <c r="AI95" s="40" t="s">
        <v>45</v>
      </c>
      <c r="AJ95" s="40" t="s">
        <v>45</v>
      </c>
      <c r="AK95" s="40" t="s">
        <v>45</v>
      </c>
      <c r="AL95" s="40" t="s">
        <v>45</v>
      </c>
      <c r="AM95" s="40" t="s">
        <v>45</v>
      </c>
      <c r="AN95" s="40" t="s">
        <v>45</v>
      </c>
      <c r="AO95" s="41" t="s">
        <v>45</v>
      </c>
      <c r="AP95" s="40" t="s">
        <v>56</v>
      </c>
      <c r="AQ95" s="40">
        <v>10</v>
      </c>
      <c r="AR95" s="48" t="s">
        <v>14</v>
      </c>
      <c r="AS95" s="43" t="s">
        <v>528</v>
      </c>
      <c r="AT95" s="43" t="s">
        <v>103</v>
      </c>
      <c r="AU95" s="44">
        <f t="shared" si="10"/>
        <v>-2.5067929134584248</v>
      </c>
      <c r="AV95" s="44">
        <f t="shared" si="11"/>
        <v>-0.55409038268056388</v>
      </c>
      <c r="AW95" s="45">
        <f t="shared" si="12"/>
        <v>4</v>
      </c>
      <c r="AX95" s="45">
        <f t="shared" si="13"/>
        <v>1</v>
      </c>
      <c r="AY95" s="46">
        <f>VLOOKUP(AP95,COND!$A$10:$B$32,2,FALSE)</f>
        <v>1</v>
      </c>
      <c r="AZ95" s="44">
        <f>($AU$3*AU95+$AV$3*AV95+$AW$3*AW95+$AX$3*AX95)*AY95*IF(AQ95&lt;5,0.95,IF(AQ95&lt;7,0.975,1))+$I$3*VLOOKUP(I95,COND!$A$2:$E$7,4,FALSE)+$J$3*VLOOKUP(J95,COND!$A$2:$E$7,2,FALSE)+$K$3*VLOOKUP(K95,COND!$A$2:$E$7,3,FALSE)+IF(BB95="SP",$BB$3,0)+IF($AW95&lt;3,-5,0)+IF(AND($B$2&gt;0,$E95&lt;20),$B$2*25,0)</f>
        <v>43.666833763697035</v>
      </c>
      <c r="BA95" s="47">
        <f>STANDARDIZE(AZ95,AVERAGE($AZ$5:$AZ$445),STDEVP($AZ$5:$AZ$445))</f>
        <v>0.42343375516313742</v>
      </c>
      <c r="BB95" s="45" t="str">
        <f t="shared" si="14"/>
        <v>SP</v>
      </c>
      <c r="BC95" s="45">
        <v>900</v>
      </c>
      <c r="BD95" s="45">
        <v>90</v>
      </c>
      <c r="BE95" s="45"/>
      <c r="BF95" s="45" t="str">
        <f t="shared" si="15"/>
        <v>Unlikely</v>
      </c>
      <c r="BG95" s="45"/>
      <c r="BH95" s="63">
        <f>INDEX(Table5[[#All],[Ovr]],MATCH(Table3[[#This Row],[PID]],Table5[[#All],[PID]],0))</f>
        <v>307</v>
      </c>
      <c r="BI95" s="63" t="str">
        <f>INDEX(Table5[[#All],[Rnd]],MATCH(Table3[[#This Row],[PID]],Table5[[#All],[PID]],0))</f>
        <v>10</v>
      </c>
      <c r="BJ95" s="63">
        <f>INDEX(Table5[[#All],[Pick]],MATCH(Table3[[#This Row],[PID]],Table5[[#All],[PID]],0))</f>
        <v>10</v>
      </c>
      <c r="BK95" s="63" t="str">
        <f>INDEX(Table5[[#All],[Team]],MATCH(Table3[[#This Row],[PID]],Table5[[#All],[PID]],0))</f>
        <v>London Underground</v>
      </c>
      <c r="BL95" s="63" t="str">
        <f>IF(OR(Table3[[#This Row],[POS]]="SP",Table3[[#This Row],[POS]]="RP",Table3[[#This Row],[POS]]="CL"),"P",INDEX(Batters[[#All],[zScore]],MATCH(Table3[[#This Row],[PID]],Batters[[#All],[PID]],0)))</f>
        <v>P</v>
      </c>
    </row>
    <row r="96" spans="1:64" ht="15" customHeight="1" x14ac:dyDescent="0.3">
      <c r="A96" s="40">
        <v>5840</v>
      </c>
      <c r="B96" s="40" t="s">
        <v>24</v>
      </c>
      <c r="C96" s="40" t="s">
        <v>970</v>
      </c>
      <c r="D96" s="40" t="s">
        <v>1418</v>
      </c>
      <c r="E96" s="40">
        <v>21</v>
      </c>
      <c r="F96" s="40" t="s">
        <v>53</v>
      </c>
      <c r="G96" s="40" t="s">
        <v>42</v>
      </c>
      <c r="H96" s="41" t="s">
        <v>552</v>
      </c>
      <c r="I96" s="42" t="s">
        <v>43</v>
      </c>
      <c r="J96" s="40" t="s">
        <v>43</v>
      </c>
      <c r="K96" s="41" t="s">
        <v>43</v>
      </c>
      <c r="L96" s="40">
        <v>2</v>
      </c>
      <c r="M96" s="40">
        <v>2</v>
      </c>
      <c r="N96" s="41">
        <v>1</v>
      </c>
      <c r="O96" s="40">
        <v>5</v>
      </c>
      <c r="P96" s="40">
        <v>4</v>
      </c>
      <c r="Q96" s="41">
        <v>3</v>
      </c>
      <c r="R96" s="40">
        <v>5</v>
      </c>
      <c r="S96" s="40">
        <v>7</v>
      </c>
      <c r="T96" s="40" t="s">
        <v>45</v>
      </c>
      <c r="U96" s="40" t="s">
        <v>45</v>
      </c>
      <c r="V96" s="40">
        <v>2</v>
      </c>
      <c r="W96" s="40">
        <v>8</v>
      </c>
      <c r="X96" s="40">
        <v>3</v>
      </c>
      <c r="Y96" s="40">
        <v>7</v>
      </c>
      <c r="Z96" s="40" t="s">
        <v>45</v>
      </c>
      <c r="AA96" s="40" t="s">
        <v>45</v>
      </c>
      <c r="AB96" s="40" t="s">
        <v>45</v>
      </c>
      <c r="AC96" s="40" t="s">
        <v>45</v>
      </c>
      <c r="AD96" s="40" t="s">
        <v>45</v>
      </c>
      <c r="AE96" s="40" t="s">
        <v>45</v>
      </c>
      <c r="AF96" s="40" t="s">
        <v>45</v>
      </c>
      <c r="AG96" s="40" t="s">
        <v>45</v>
      </c>
      <c r="AH96" s="40" t="s">
        <v>45</v>
      </c>
      <c r="AI96" s="40" t="s">
        <v>45</v>
      </c>
      <c r="AJ96" s="40" t="s">
        <v>45</v>
      </c>
      <c r="AK96" s="40" t="s">
        <v>45</v>
      </c>
      <c r="AL96" s="40" t="s">
        <v>45</v>
      </c>
      <c r="AM96" s="40" t="s">
        <v>45</v>
      </c>
      <c r="AN96" s="40" t="s">
        <v>45</v>
      </c>
      <c r="AO96" s="41" t="s">
        <v>45</v>
      </c>
      <c r="AP96" s="40" t="s">
        <v>60</v>
      </c>
      <c r="AQ96" s="40">
        <v>8</v>
      </c>
      <c r="AR96" s="48" t="s">
        <v>326</v>
      </c>
      <c r="AS96" s="43" t="s">
        <v>528</v>
      </c>
      <c r="AT96" s="43" t="s">
        <v>103</v>
      </c>
      <c r="AU96" s="44">
        <f t="shared" si="10"/>
        <v>-2.311361197028369</v>
      </c>
      <c r="AV96" s="44">
        <f t="shared" si="11"/>
        <v>-0.40628790779544532</v>
      </c>
      <c r="AW96" s="45">
        <f t="shared" si="12"/>
        <v>3</v>
      </c>
      <c r="AX96" s="45">
        <f t="shared" si="13"/>
        <v>3</v>
      </c>
      <c r="AY96" s="46">
        <f>VLOOKUP(AP96,COND!$A$10:$B$32,2,FALSE)</f>
        <v>1.0249999999999999</v>
      </c>
      <c r="AZ96" s="44">
        <f>($AU$3*AU96+$AV$3*AV96+$AW$3*AW96+$AX$3*AX96)*AY96*IF(AQ96&lt;5,0.95,IF(AQ96&lt;7,0.975,1))+$I$3*VLOOKUP(I96,COND!$A$2:$E$7,4,FALSE)+$J$3*VLOOKUP(J96,COND!$A$2:$E$7,2,FALSE)+$K$3*VLOOKUP(K96,COND!$A$2:$E$7,3,FALSE)+IF(BB96="SP",$BB$3,0)+IF($AW96&lt;3,-5,0)+IF(AND($B$2&gt;0,$E96&lt;20),$B$2*25,0)</f>
        <v>43.578518844802559</v>
      </c>
      <c r="BA96" s="47">
        <f>STANDARDIZE(AZ96,AVERAGE($AZ$5:$AZ$428),STDEVP($AZ$5:$AZ$428))</f>
        <v>0.41128728274777104</v>
      </c>
      <c r="BB96" s="45" t="str">
        <f t="shared" si="14"/>
        <v>SP</v>
      </c>
      <c r="BC96" s="45">
        <v>900</v>
      </c>
      <c r="BD96" s="45">
        <v>91</v>
      </c>
      <c r="BE96" s="45"/>
      <c r="BF96" s="45" t="str">
        <f t="shared" si="15"/>
        <v>Possible</v>
      </c>
      <c r="BG96" s="45"/>
      <c r="BH96" s="45">
        <f>INDEX(Table5[[#All],[Ovr]],MATCH(Table3[[#This Row],[PID]],Table5[[#All],[PID]],0))</f>
        <v>153</v>
      </c>
      <c r="BI96" s="45" t="str">
        <f>INDEX(Table5[[#All],[Rnd]],MATCH(Table3[[#This Row],[PID]],Table5[[#All],[PID]],0))</f>
        <v>5</v>
      </c>
      <c r="BJ96" s="45">
        <f>INDEX(Table5[[#All],[Pick]],MATCH(Table3[[#This Row],[PID]],Table5[[#All],[PID]],0))</f>
        <v>16</v>
      </c>
      <c r="BK96" s="45" t="str">
        <f>INDEX(Table5[[#All],[Team]],MATCH(Table3[[#This Row],[PID]],Table5[[#All],[PID]],0))</f>
        <v>Madison Malts</v>
      </c>
      <c r="BL96" s="45" t="str">
        <f>IF(OR(Table3[[#This Row],[POS]]="SP",Table3[[#This Row],[POS]]="RP",Table3[[#This Row],[POS]]="CL"),"P",INDEX(Batters[[#All],[zScore]],MATCH(Table3[[#This Row],[PID]],Batters[[#All],[PID]],0)))</f>
        <v>P</v>
      </c>
    </row>
    <row r="97" spans="1:64" ht="15" customHeight="1" x14ac:dyDescent="0.3">
      <c r="A97" s="40">
        <v>5814</v>
      </c>
      <c r="B97" s="40" t="s">
        <v>24</v>
      </c>
      <c r="C97" s="40" t="s">
        <v>1546</v>
      </c>
      <c r="D97" s="40" t="s">
        <v>1547</v>
      </c>
      <c r="E97" s="40">
        <v>21</v>
      </c>
      <c r="F97" s="40" t="s">
        <v>53</v>
      </c>
      <c r="G97" s="40" t="s">
        <v>53</v>
      </c>
      <c r="H97" s="41" t="s">
        <v>553</v>
      </c>
      <c r="I97" s="42" t="s">
        <v>43</v>
      </c>
      <c r="J97" s="40" t="s">
        <v>43</v>
      </c>
      <c r="K97" s="41" t="s">
        <v>43</v>
      </c>
      <c r="L97" s="40">
        <v>2</v>
      </c>
      <c r="M97" s="40">
        <v>2</v>
      </c>
      <c r="N97" s="41">
        <v>2</v>
      </c>
      <c r="O97" s="40">
        <v>5</v>
      </c>
      <c r="P97" s="40">
        <v>3</v>
      </c>
      <c r="Q97" s="41">
        <v>4</v>
      </c>
      <c r="R97" s="40" t="s">
        <v>45</v>
      </c>
      <c r="S97" s="40" t="s">
        <v>45</v>
      </c>
      <c r="T97" s="40" t="s">
        <v>45</v>
      </c>
      <c r="U97" s="40" t="s">
        <v>45</v>
      </c>
      <c r="V97" s="40">
        <v>3</v>
      </c>
      <c r="W97" s="40">
        <v>7</v>
      </c>
      <c r="X97" s="40">
        <v>2</v>
      </c>
      <c r="Y97" s="40">
        <v>7</v>
      </c>
      <c r="Z97" s="40" t="s">
        <v>45</v>
      </c>
      <c r="AA97" s="40" t="s">
        <v>45</v>
      </c>
      <c r="AB97" s="40" t="s">
        <v>45</v>
      </c>
      <c r="AC97" s="40" t="s">
        <v>45</v>
      </c>
      <c r="AD97" s="40">
        <v>4</v>
      </c>
      <c r="AE97" s="40">
        <v>5</v>
      </c>
      <c r="AF97" s="40" t="s">
        <v>45</v>
      </c>
      <c r="AG97" s="40" t="s">
        <v>45</v>
      </c>
      <c r="AH97" s="40" t="s">
        <v>45</v>
      </c>
      <c r="AI97" s="40" t="s">
        <v>45</v>
      </c>
      <c r="AJ97" s="40" t="s">
        <v>45</v>
      </c>
      <c r="AK97" s="40" t="s">
        <v>45</v>
      </c>
      <c r="AL97" s="40" t="s">
        <v>45</v>
      </c>
      <c r="AM97" s="40" t="s">
        <v>45</v>
      </c>
      <c r="AN97" s="40" t="s">
        <v>45</v>
      </c>
      <c r="AO97" s="41" t="s">
        <v>45</v>
      </c>
      <c r="AP97" s="40" t="s">
        <v>57</v>
      </c>
      <c r="AQ97" s="40">
        <v>7</v>
      </c>
      <c r="AR97" s="48" t="s">
        <v>326</v>
      </c>
      <c r="AS97" s="43" t="s">
        <v>997</v>
      </c>
      <c r="AT97" s="43" t="s">
        <v>103</v>
      </c>
      <c r="AU97" s="44">
        <f t="shared" si="10"/>
        <v>-2.0690406309742588</v>
      </c>
      <c r="AV97" s="44">
        <f t="shared" si="11"/>
        <v>-0.35939905817139028</v>
      </c>
      <c r="AW97" s="45">
        <f t="shared" si="12"/>
        <v>3</v>
      </c>
      <c r="AX97" s="45">
        <f t="shared" si="13"/>
        <v>2</v>
      </c>
      <c r="AY97" s="46">
        <f>VLOOKUP(AP97,COND!$A$10:$B$32,2,FALSE)</f>
        <v>1</v>
      </c>
      <c r="AZ97" s="44">
        <f>($AU$3*AU97+$AV$3*AV97+$AW$3*AW97+$AX$3*AX97)*AY97*IF(AQ97&lt;5,0.95,IF(AQ97&lt;7,0.975,1))+$I$3*VLOOKUP(I97,COND!$A$2:$E$7,4,FALSE)+$J$3*VLOOKUP(J97,COND!$A$2:$E$7,2,FALSE)+$K$3*VLOOKUP(K97,COND!$A$2:$E$7,3,FALSE)+IF(BB97="SP",$BB$3,0)+IF($AW97&lt;3,-5,0)+IF(AND($B$2&gt;0,$E97&lt;20),$B$2*25,0)</f>
        <v>43.398210710377342</v>
      </c>
      <c r="BA97" s="47">
        <f>STANDARDIZE(AZ97,AVERAGE($AZ$5:$AZ$445),STDEVP($AZ$5:$AZ$445))</f>
        <v>0.40432293490290916</v>
      </c>
      <c r="BB97" s="45" t="str">
        <f t="shared" si="14"/>
        <v>SP</v>
      </c>
      <c r="BC97" s="45">
        <v>900</v>
      </c>
      <c r="BD97" s="45">
        <v>92</v>
      </c>
      <c r="BE97" s="45"/>
      <c r="BF97" s="45" t="str">
        <f t="shared" si="15"/>
        <v>Possible</v>
      </c>
      <c r="BG97" s="45"/>
      <c r="BH97" s="63">
        <f>INDEX(Table5[[#All],[Ovr]],MATCH(Table3[[#This Row],[PID]],Table5[[#All],[PID]],0))</f>
        <v>260</v>
      </c>
      <c r="BI97" s="63" t="str">
        <f>INDEX(Table5[[#All],[Rnd]],MATCH(Table3[[#This Row],[PID]],Table5[[#All],[PID]],0))</f>
        <v>8</v>
      </c>
      <c r="BJ97" s="63">
        <f>INDEX(Table5[[#All],[Pick]],MATCH(Table3[[#This Row],[PID]],Table5[[#All],[PID]],0))</f>
        <v>27</v>
      </c>
      <c r="BK97" s="63" t="str">
        <f>INDEX(Table5[[#All],[Team]],MATCH(Table3[[#This Row],[PID]],Table5[[#All],[PID]],0))</f>
        <v>Havana Leones</v>
      </c>
      <c r="BL97" s="63" t="str">
        <f>IF(OR(Table3[[#This Row],[POS]]="SP",Table3[[#This Row],[POS]]="RP",Table3[[#This Row],[POS]]="CL"),"P",INDEX(Batters[[#All],[zScore]],MATCH(Table3[[#This Row],[PID]],Batters[[#All],[PID]],0)))</f>
        <v>P</v>
      </c>
    </row>
    <row r="98" spans="1:64" ht="15" customHeight="1" x14ac:dyDescent="0.3">
      <c r="A98" s="40">
        <v>20550</v>
      </c>
      <c r="B98" s="40" t="s">
        <v>49</v>
      </c>
      <c r="C98" s="40" t="s">
        <v>621</v>
      </c>
      <c r="D98" s="40" t="s">
        <v>872</v>
      </c>
      <c r="E98" s="40">
        <v>16</v>
      </c>
      <c r="F98" s="40" t="s">
        <v>42</v>
      </c>
      <c r="G98" s="40" t="s">
        <v>42</v>
      </c>
      <c r="H98" s="41" t="s">
        <v>561</v>
      </c>
      <c r="I98" s="42" t="s">
        <v>43</v>
      </c>
      <c r="J98" s="40" t="s">
        <v>43</v>
      </c>
      <c r="K98" s="41" t="s">
        <v>43</v>
      </c>
      <c r="L98" s="40">
        <v>3</v>
      </c>
      <c r="M98" s="40">
        <v>2</v>
      </c>
      <c r="N98" s="41">
        <v>1</v>
      </c>
      <c r="O98" s="40">
        <v>5</v>
      </c>
      <c r="P98" s="40">
        <v>2</v>
      </c>
      <c r="Q98" s="41">
        <v>4</v>
      </c>
      <c r="R98" s="40">
        <v>4</v>
      </c>
      <c r="S98" s="40">
        <v>7</v>
      </c>
      <c r="T98" s="40">
        <v>1</v>
      </c>
      <c r="U98" s="40">
        <v>1</v>
      </c>
      <c r="V98" s="40" t="s">
        <v>45</v>
      </c>
      <c r="W98" s="40" t="s">
        <v>45</v>
      </c>
      <c r="X98" s="40" t="s">
        <v>45</v>
      </c>
      <c r="Y98" s="40" t="s">
        <v>45</v>
      </c>
      <c r="Z98" s="40">
        <v>3</v>
      </c>
      <c r="AA98" s="40">
        <v>5</v>
      </c>
      <c r="AB98" s="40" t="s">
        <v>45</v>
      </c>
      <c r="AC98" s="40" t="s">
        <v>45</v>
      </c>
      <c r="AD98" s="40" t="s">
        <v>45</v>
      </c>
      <c r="AE98" s="40" t="s">
        <v>45</v>
      </c>
      <c r="AF98" s="40" t="s">
        <v>45</v>
      </c>
      <c r="AG98" s="40" t="s">
        <v>45</v>
      </c>
      <c r="AH98" s="40" t="s">
        <v>45</v>
      </c>
      <c r="AI98" s="40" t="s">
        <v>45</v>
      </c>
      <c r="AJ98" s="40" t="s">
        <v>45</v>
      </c>
      <c r="AK98" s="40" t="s">
        <v>45</v>
      </c>
      <c r="AL98" s="40" t="s">
        <v>45</v>
      </c>
      <c r="AM98" s="40" t="s">
        <v>45</v>
      </c>
      <c r="AN98" s="40" t="s">
        <v>45</v>
      </c>
      <c r="AO98" s="41" t="s">
        <v>45</v>
      </c>
      <c r="AP98" s="40" t="s">
        <v>57</v>
      </c>
      <c r="AQ98" s="40">
        <v>7</v>
      </c>
      <c r="AR98" s="48" t="s">
        <v>326</v>
      </c>
      <c r="AS98" s="43" t="s">
        <v>558</v>
      </c>
      <c r="AT98" s="43" t="s">
        <v>1025</v>
      </c>
      <c r="AU98" s="44">
        <f t="shared" si="10"/>
        <v>-2.1166698725191955</v>
      </c>
      <c r="AV98" s="44">
        <f t="shared" si="11"/>
        <v>-0.55483077460144581</v>
      </c>
      <c r="AW98" s="45">
        <f t="shared" si="12"/>
        <v>3</v>
      </c>
      <c r="AX98" s="45">
        <f t="shared" si="13"/>
        <v>1</v>
      </c>
      <c r="AY98" s="46">
        <f>VLOOKUP(AP98,COND!$A$10:$B$32,2,FALSE)</f>
        <v>1</v>
      </c>
      <c r="AZ98" s="44">
        <f>($AU$3*AU98+$AV$3*AV98+$AW$3*AW98+$AX$3*AX98)*AY98*IF(AQ98&lt;5,0.95,IF(AQ98&lt;7,0.975,1))+$I$3*VLOOKUP(I98,COND!$A$2:$E$7,4,FALSE)+$J$3*VLOOKUP(J98,COND!$A$2:$E$7,2,FALSE)+$K$3*VLOOKUP(K98,COND!$A$2:$E$7,3,FALSE)+IF(BB98="SP",$BB$3,0)+IF($AW98&lt;3,-5,0)+IF(AND($B$2&gt;0,$E98&lt;20),$B$2*25,0)</f>
        <v>43.230050533467242</v>
      </c>
      <c r="BA98" s="47">
        <f>STANDARDIZE(AZ98,AVERAGE($AZ$5:$AZ$428),STDEVP($AZ$5:$AZ$428))</f>
        <v>0.38647388824732687</v>
      </c>
      <c r="BB98" s="45" t="str">
        <f t="shared" si="14"/>
        <v>SP</v>
      </c>
      <c r="BC98" s="45">
        <v>900</v>
      </c>
      <c r="BD98" s="45">
        <v>93</v>
      </c>
      <c r="BE98" s="45"/>
      <c r="BF98" s="45" t="str">
        <f t="shared" si="15"/>
        <v>Unlikely</v>
      </c>
      <c r="BG98" s="45"/>
      <c r="BH98" s="45">
        <f>INDEX(Table5[[#All],[Ovr]],MATCH(Table3[[#This Row],[PID]],Table5[[#All],[PID]],0))</f>
        <v>516</v>
      </c>
      <c r="BI98" s="45" t="str">
        <f>INDEX(Table5[[#All],[Rnd]],MATCH(Table3[[#This Row],[PID]],Table5[[#All],[PID]],0))</f>
        <v>16</v>
      </c>
      <c r="BJ98" s="45">
        <f>INDEX(Table5[[#All],[Pick]],MATCH(Table3[[#This Row],[PID]],Table5[[#All],[PID]],0))</f>
        <v>15</v>
      </c>
      <c r="BK98" s="45" t="str">
        <f>INDEX(Table5[[#All],[Team]],MATCH(Table3[[#This Row],[PID]],Table5[[#All],[PID]],0))</f>
        <v>Niihama-shi Ghosts</v>
      </c>
      <c r="BL98" s="45" t="str">
        <f>IF(OR(Table3[[#This Row],[POS]]="SP",Table3[[#This Row],[POS]]="RP",Table3[[#This Row],[POS]]="CL"),"P",INDEX(Batters[[#All],[zScore]],MATCH(Table3[[#This Row],[PID]],Batters[[#All],[PID]],0)))</f>
        <v>P</v>
      </c>
    </row>
    <row r="99" spans="1:64" ht="15" customHeight="1" x14ac:dyDescent="0.3">
      <c r="A99" s="40">
        <v>14993</v>
      </c>
      <c r="B99" s="40" t="s">
        <v>24</v>
      </c>
      <c r="C99" s="40" t="s">
        <v>1518</v>
      </c>
      <c r="D99" s="40" t="s">
        <v>505</v>
      </c>
      <c r="E99" s="40">
        <v>21</v>
      </c>
      <c r="F99" s="40" t="s">
        <v>62</v>
      </c>
      <c r="G99" s="40" t="s">
        <v>42</v>
      </c>
      <c r="H99" s="41" t="s">
        <v>561</v>
      </c>
      <c r="I99" s="42" t="s">
        <v>47</v>
      </c>
      <c r="J99" s="40" t="s">
        <v>43</v>
      </c>
      <c r="K99" s="41" t="s">
        <v>43</v>
      </c>
      <c r="L99" s="40">
        <v>3</v>
      </c>
      <c r="M99" s="40">
        <v>3</v>
      </c>
      <c r="N99" s="41">
        <v>2</v>
      </c>
      <c r="O99" s="40">
        <v>4</v>
      </c>
      <c r="P99" s="40">
        <v>5</v>
      </c>
      <c r="Q99" s="41">
        <v>3</v>
      </c>
      <c r="R99" s="40" t="s">
        <v>45</v>
      </c>
      <c r="S99" s="40" t="s">
        <v>45</v>
      </c>
      <c r="T99" s="40" t="s">
        <v>45</v>
      </c>
      <c r="U99" s="40" t="s">
        <v>45</v>
      </c>
      <c r="V99" s="40" t="s">
        <v>45</v>
      </c>
      <c r="W99" s="40" t="s">
        <v>45</v>
      </c>
      <c r="X99" s="40">
        <v>3</v>
      </c>
      <c r="Y99" s="40">
        <v>5</v>
      </c>
      <c r="Z99" s="40" t="s">
        <v>45</v>
      </c>
      <c r="AA99" s="40" t="s">
        <v>45</v>
      </c>
      <c r="AB99" s="40">
        <v>4</v>
      </c>
      <c r="AC99" s="40">
        <v>6</v>
      </c>
      <c r="AD99" s="40">
        <v>4</v>
      </c>
      <c r="AE99" s="40">
        <v>6</v>
      </c>
      <c r="AF99" s="40" t="s">
        <v>45</v>
      </c>
      <c r="AG99" s="40" t="s">
        <v>45</v>
      </c>
      <c r="AH99" s="40" t="s">
        <v>45</v>
      </c>
      <c r="AI99" s="40" t="s">
        <v>45</v>
      </c>
      <c r="AJ99" s="40" t="s">
        <v>45</v>
      </c>
      <c r="AK99" s="40" t="s">
        <v>45</v>
      </c>
      <c r="AL99" s="40" t="s">
        <v>45</v>
      </c>
      <c r="AM99" s="40" t="s">
        <v>45</v>
      </c>
      <c r="AN99" s="40" t="s">
        <v>45</v>
      </c>
      <c r="AO99" s="41" t="s">
        <v>45</v>
      </c>
      <c r="AP99" s="40" t="s">
        <v>54</v>
      </c>
      <c r="AQ99" s="40">
        <v>9</v>
      </c>
      <c r="AR99" s="48" t="s">
        <v>325</v>
      </c>
      <c r="AS99" s="43" t="s">
        <v>558</v>
      </c>
      <c r="AT99" s="43" t="s">
        <v>103</v>
      </c>
      <c r="AU99" s="44">
        <f t="shared" si="10"/>
        <v>-1.6789175900350299</v>
      </c>
      <c r="AV99" s="44">
        <f t="shared" si="11"/>
        <v>-0.40554751587456339</v>
      </c>
      <c r="AW99" s="45">
        <f t="shared" si="12"/>
        <v>3</v>
      </c>
      <c r="AX99" s="45">
        <f t="shared" si="13"/>
        <v>2</v>
      </c>
      <c r="AY99" s="46">
        <f>VLOOKUP(AP99,COND!$A$10:$B$32,2,FALSE)</f>
        <v>1.0249999999999999</v>
      </c>
      <c r="AZ99" s="44">
        <f>($AU$3*AU99+$AV$3*AV99+$AW$3*AW99+$AX$3*AX99)*AY99*IF(AQ99&lt;5,0.95,IF(AQ99&lt;7,0.975,1))+$I$3*VLOOKUP(I99,COND!$A$2:$E$7,4,FALSE)+$J$3*VLOOKUP(J99,COND!$A$2:$E$7,2,FALSE)+$K$3*VLOOKUP(K99,COND!$A$2:$E$7,3,FALSE)+IF(BB99="SP",$BB$3,0)+IF($AW99&lt;3,-5,0)+IF(AND($B$2&gt;0,$E99&lt;20),$B$2*25,0)</f>
        <v>42.667097818614266</v>
      </c>
      <c r="BA99" s="47">
        <f>STANDARDIZE(AZ99,AVERAGE($AZ$5:$AZ$428),STDEVP($AZ$5:$AZ$428))</f>
        <v>0.34638769577486017</v>
      </c>
      <c r="BB99" s="45" t="str">
        <f t="shared" si="14"/>
        <v>SP</v>
      </c>
      <c r="BC99" s="45">
        <v>900</v>
      </c>
      <c r="BD99" s="45">
        <v>94</v>
      </c>
      <c r="BE99" s="45"/>
      <c r="BF99" s="45" t="str">
        <f t="shared" si="15"/>
        <v>Possible</v>
      </c>
      <c r="BG99" s="45"/>
      <c r="BH99" s="45">
        <f>INDEX(Table5[[#All],[Ovr]],MATCH(Table3[[#This Row],[PID]],Table5[[#All],[PID]],0))</f>
        <v>209</v>
      </c>
      <c r="BI99" s="45" t="str">
        <f>INDEX(Table5[[#All],[Rnd]],MATCH(Table3[[#This Row],[PID]],Table5[[#All],[PID]],0))</f>
        <v>7</v>
      </c>
      <c r="BJ99" s="45">
        <f>INDEX(Table5[[#All],[Pick]],MATCH(Table3[[#This Row],[PID]],Table5[[#All],[PID]],0))</f>
        <v>8</v>
      </c>
      <c r="BK99" s="45" t="str">
        <f>INDEX(Table5[[#All],[Team]],MATCH(Table3[[#This Row],[PID]],Table5[[#All],[PID]],0))</f>
        <v>Gloucester Fishermen</v>
      </c>
      <c r="BL99" s="45" t="str">
        <f>IF(OR(Table3[[#This Row],[POS]]="SP",Table3[[#This Row],[POS]]="RP",Table3[[#This Row],[POS]]="CL"),"P",INDEX(Batters[[#All],[zScore]],MATCH(Table3[[#This Row],[PID]],Batters[[#All],[PID]],0)))</f>
        <v>P</v>
      </c>
    </row>
    <row r="100" spans="1:64" ht="15" customHeight="1" x14ac:dyDescent="0.3">
      <c r="A100" s="40">
        <v>20406</v>
      </c>
      <c r="B100" s="40" t="s">
        <v>24</v>
      </c>
      <c r="C100" s="40" t="s">
        <v>519</v>
      </c>
      <c r="D100" s="40" t="s">
        <v>1352</v>
      </c>
      <c r="E100" s="40">
        <v>17</v>
      </c>
      <c r="F100" s="40" t="s">
        <v>42</v>
      </c>
      <c r="G100" s="40" t="s">
        <v>42</v>
      </c>
      <c r="H100" s="41" t="s">
        <v>561</v>
      </c>
      <c r="I100" s="42" t="s">
        <v>43</v>
      </c>
      <c r="J100" s="40" t="s">
        <v>43</v>
      </c>
      <c r="K100" s="41" t="s">
        <v>43</v>
      </c>
      <c r="L100" s="40">
        <v>1</v>
      </c>
      <c r="M100" s="40">
        <v>2</v>
      </c>
      <c r="N100" s="41">
        <v>1</v>
      </c>
      <c r="O100" s="40">
        <v>4</v>
      </c>
      <c r="P100" s="40">
        <v>4</v>
      </c>
      <c r="Q100" s="41">
        <v>3</v>
      </c>
      <c r="R100" s="40">
        <v>3</v>
      </c>
      <c r="S100" s="40">
        <v>5</v>
      </c>
      <c r="T100" s="40">
        <v>2</v>
      </c>
      <c r="U100" s="40">
        <v>8</v>
      </c>
      <c r="V100" s="40">
        <v>1</v>
      </c>
      <c r="W100" s="40">
        <v>1</v>
      </c>
      <c r="X100" s="40" t="s">
        <v>45</v>
      </c>
      <c r="Y100" s="40" t="s">
        <v>45</v>
      </c>
      <c r="Z100" s="40" t="s">
        <v>45</v>
      </c>
      <c r="AA100" s="40" t="s">
        <v>45</v>
      </c>
      <c r="AB100" s="40" t="s">
        <v>45</v>
      </c>
      <c r="AC100" s="40" t="s">
        <v>45</v>
      </c>
      <c r="AD100" s="40" t="s">
        <v>45</v>
      </c>
      <c r="AE100" s="40" t="s">
        <v>45</v>
      </c>
      <c r="AF100" s="40" t="s">
        <v>45</v>
      </c>
      <c r="AG100" s="40" t="s">
        <v>45</v>
      </c>
      <c r="AH100" s="40" t="s">
        <v>45</v>
      </c>
      <c r="AI100" s="40" t="s">
        <v>45</v>
      </c>
      <c r="AJ100" s="40" t="s">
        <v>45</v>
      </c>
      <c r="AK100" s="40" t="s">
        <v>45</v>
      </c>
      <c r="AL100" s="40" t="s">
        <v>45</v>
      </c>
      <c r="AM100" s="40" t="s">
        <v>45</v>
      </c>
      <c r="AN100" s="40" t="s">
        <v>45</v>
      </c>
      <c r="AO100" s="41" t="s">
        <v>45</v>
      </c>
      <c r="AP100" s="40" t="s">
        <v>64</v>
      </c>
      <c r="AQ100" s="40">
        <v>9</v>
      </c>
      <c r="AR100" s="48" t="s">
        <v>326</v>
      </c>
      <c r="AS100" s="43" t="s">
        <v>558</v>
      </c>
      <c r="AT100" s="43" t="s">
        <v>103</v>
      </c>
      <c r="AU100" s="44">
        <f t="shared" si="10"/>
        <v>-2.5060525215375429</v>
      </c>
      <c r="AV100" s="44">
        <f t="shared" si="11"/>
        <v>-0.6009792323046188</v>
      </c>
      <c r="AW100" s="45">
        <f t="shared" si="12"/>
        <v>3</v>
      </c>
      <c r="AX100" s="45">
        <f t="shared" si="13"/>
        <v>1</v>
      </c>
      <c r="AY100" s="46">
        <f>VLOOKUP(AP100,COND!$A$10:$B$32,2,FALSE)</f>
        <v>1</v>
      </c>
      <c r="AZ100" s="44">
        <f>($AU$3*AU100+$AV$3*AV100+$AW$3*AW100+$AX$3*AX100)*AY100*IF(AQ100&lt;5,0.95,IF(AQ100&lt;7,0.975,1))+$I$3*VLOOKUP(I100,COND!$A$2:$E$7,4,FALSE)+$J$3*VLOOKUP(J100,COND!$A$2:$E$7,2,FALSE)+$K$3*VLOOKUP(K100,COND!$A$2:$E$7,3,FALSE)+IF(BB100="SP",$BB$3,0)+IF($AW100&lt;3,-5,0)+IF(AND($B$2&gt;0,$E100&lt;20),$B$2*25,0)</f>
        <v>42.229204849600116</v>
      </c>
      <c r="BA100" s="47">
        <f>STANDARDIZE(AZ100,AVERAGE($AZ$5:$AZ$445),STDEVP($AZ$5:$AZ$445))</f>
        <v>0.32115560949141914</v>
      </c>
      <c r="BB100" s="45" t="str">
        <f t="shared" si="14"/>
        <v>SP</v>
      </c>
      <c r="BC100" s="45">
        <v>900</v>
      </c>
      <c r="BD100" s="45">
        <v>95</v>
      </c>
      <c r="BE100" s="45"/>
      <c r="BF100" s="45" t="str">
        <f t="shared" si="15"/>
        <v>Unlikely</v>
      </c>
      <c r="BG100" s="45"/>
      <c r="BH100" s="63">
        <f>INDEX(Table5[[#All],[Ovr]],MATCH(Table3[[#This Row],[PID]],Table5[[#All],[PID]],0))</f>
        <v>330</v>
      </c>
      <c r="BI100" s="63" t="str">
        <f>INDEX(Table5[[#All],[Rnd]],MATCH(Table3[[#This Row],[PID]],Table5[[#All],[PID]],0))</f>
        <v>10</v>
      </c>
      <c r="BJ100" s="63">
        <f>INDEX(Table5[[#All],[Pick]],MATCH(Table3[[#This Row],[PID]],Table5[[#All],[PID]],0))</f>
        <v>33</v>
      </c>
      <c r="BK100" s="63" t="str">
        <f>INDEX(Table5[[#All],[Team]],MATCH(Table3[[#This Row],[PID]],Table5[[#All],[PID]],0))</f>
        <v>New Jersey Hitmen</v>
      </c>
      <c r="BL100" s="63" t="str">
        <f>IF(OR(Table3[[#This Row],[POS]]="SP",Table3[[#This Row],[POS]]="RP",Table3[[#This Row],[POS]]="CL"),"P",INDEX(Batters[[#All],[zScore]],MATCH(Table3[[#This Row],[PID]],Batters[[#All],[PID]],0)))</f>
        <v>P</v>
      </c>
    </row>
    <row r="101" spans="1:64" ht="15" customHeight="1" x14ac:dyDescent="0.3">
      <c r="A101" s="40">
        <v>14562</v>
      </c>
      <c r="B101" s="40" t="s">
        <v>24</v>
      </c>
      <c r="C101" s="40" t="s">
        <v>593</v>
      </c>
      <c r="D101" s="40" t="s">
        <v>626</v>
      </c>
      <c r="E101" s="40">
        <v>21</v>
      </c>
      <c r="F101" s="40" t="s">
        <v>42</v>
      </c>
      <c r="G101" s="40" t="s">
        <v>42</v>
      </c>
      <c r="H101" s="41" t="s">
        <v>553</v>
      </c>
      <c r="I101" s="42" t="s">
        <v>43</v>
      </c>
      <c r="J101" s="40" t="s">
        <v>47</v>
      </c>
      <c r="K101" s="41" t="s">
        <v>43</v>
      </c>
      <c r="L101" s="40">
        <v>2</v>
      </c>
      <c r="M101" s="40">
        <v>2</v>
      </c>
      <c r="N101" s="41">
        <v>2</v>
      </c>
      <c r="O101" s="40">
        <v>5</v>
      </c>
      <c r="P101" s="40">
        <v>2</v>
      </c>
      <c r="Q101" s="41">
        <v>4</v>
      </c>
      <c r="R101" s="40">
        <v>5</v>
      </c>
      <c r="S101" s="40">
        <v>6</v>
      </c>
      <c r="T101" s="40">
        <v>1</v>
      </c>
      <c r="U101" s="40">
        <v>7</v>
      </c>
      <c r="V101" s="40">
        <v>2</v>
      </c>
      <c r="W101" s="40">
        <v>2</v>
      </c>
      <c r="X101" s="40" t="s">
        <v>45</v>
      </c>
      <c r="Y101" s="40" t="s">
        <v>45</v>
      </c>
      <c r="Z101" s="40" t="s">
        <v>45</v>
      </c>
      <c r="AA101" s="40" t="s">
        <v>45</v>
      </c>
      <c r="AB101" s="40" t="s">
        <v>45</v>
      </c>
      <c r="AC101" s="40" t="s">
        <v>45</v>
      </c>
      <c r="AD101" s="40" t="s">
        <v>45</v>
      </c>
      <c r="AE101" s="40" t="s">
        <v>45</v>
      </c>
      <c r="AF101" s="40">
        <v>4</v>
      </c>
      <c r="AG101" s="40">
        <v>6</v>
      </c>
      <c r="AH101" s="40" t="s">
        <v>45</v>
      </c>
      <c r="AI101" s="40" t="s">
        <v>45</v>
      </c>
      <c r="AJ101" s="40" t="s">
        <v>45</v>
      </c>
      <c r="AK101" s="40" t="s">
        <v>45</v>
      </c>
      <c r="AL101" s="40" t="s">
        <v>45</v>
      </c>
      <c r="AM101" s="40" t="s">
        <v>45</v>
      </c>
      <c r="AN101" s="40" t="s">
        <v>45</v>
      </c>
      <c r="AO101" s="41" t="s">
        <v>45</v>
      </c>
      <c r="AP101" s="40" t="s">
        <v>58</v>
      </c>
      <c r="AQ101" s="40">
        <v>8</v>
      </c>
      <c r="AR101" s="48" t="s">
        <v>326</v>
      </c>
      <c r="AS101" s="43" t="s">
        <v>563</v>
      </c>
      <c r="AT101" s="43" t="s">
        <v>103</v>
      </c>
      <c r="AU101" s="44">
        <f t="shared" si="10"/>
        <v>-2.0690406309742588</v>
      </c>
      <c r="AV101" s="44">
        <f t="shared" si="11"/>
        <v>-0.55483077460144581</v>
      </c>
      <c r="AW101" s="45">
        <f t="shared" si="12"/>
        <v>4</v>
      </c>
      <c r="AX101" s="45">
        <f t="shared" si="13"/>
        <v>3</v>
      </c>
      <c r="AY101" s="46">
        <f>VLOOKUP(AP101,COND!$A$10:$B$32,2,FALSE)</f>
        <v>1</v>
      </c>
      <c r="AZ101" s="44">
        <f>($AU$3*AU101+$AV$3*AV101+$AW$3*AW101+$AX$3*AX101)*AY101*IF(AQ101&lt;5,0.95,IF(AQ101&lt;7,0.975,1))+$I$3*VLOOKUP(I101,COND!$A$2:$E$7,4,FALSE)+$J$3*VLOOKUP(J101,COND!$A$2:$E$7,2,FALSE)+$K$3*VLOOKUP(K101,COND!$A$2:$E$7,3,FALSE)+IF(BB101="SP",$BB$3,0)+IF($AW101&lt;3,-5,0)+IF(AND($B$2&gt;0,$E101&lt;20),$B$2*25,0)</f>
        <v>41.539576381776229</v>
      </c>
      <c r="BA101" s="47">
        <f>STANDARDIZE(AZ101,AVERAGE($AZ$5:$AZ$428),STDEVP($AZ$5:$AZ$428))</f>
        <v>0.26610023975694946</v>
      </c>
      <c r="BB101" s="45" t="str">
        <f t="shared" si="14"/>
        <v>SP</v>
      </c>
      <c r="BC101" s="45">
        <v>900</v>
      </c>
      <c r="BD101" s="45">
        <v>96</v>
      </c>
      <c r="BE101" s="45"/>
      <c r="BF101" s="45" t="str">
        <f t="shared" si="15"/>
        <v>Unlikely</v>
      </c>
      <c r="BG101" s="45"/>
      <c r="BH101" s="45">
        <f>INDEX(Table5[[#All],[Ovr]],MATCH(Table3[[#This Row],[PID]],Table5[[#All],[PID]],0))</f>
        <v>234</v>
      </c>
      <c r="BI101" s="45" t="str">
        <f>INDEX(Table5[[#All],[Rnd]],MATCH(Table3[[#This Row],[PID]],Table5[[#All],[PID]],0))</f>
        <v>8</v>
      </c>
      <c r="BJ101" s="45">
        <f>INDEX(Table5[[#All],[Pick]],MATCH(Table3[[#This Row],[PID]],Table5[[#All],[PID]],0))</f>
        <v>1</v>
      </c>
      <c r="BK101" s="45" t="str">
        <f>INDEX(Table5[[#All],[Team]],MATCH(Table3[[#This Row],[PID]],Table5[[#All],[PID]],0))</f>
        <v>Yuma Arroyos</v>
      </c>
      <c r="BL101" s="45" t="str">
        <f>IF(OR(Table3[[#This Row],[POS]]="SP",Table3[[#This Row],[POS]]="RP",Table3[[#This Row],[POS]]="CL"),"P",INDEX(Batters[[#All],[zScore]],MATCH(Table3[[#This Row],[PID]],Batters[[#All],[PID]],0)))</f>
        <v>P</v>
      </c>
    </row>
    <row r="102" spans="1:64" ht="15" customHeight="1" x14ac:dyDescent="0.3">
      <c r="A102" s="40">
        <v>9754</v>
      </c>
      <c r="B102" s="40" t="s">
        <v>24</v>
      </c>
      <c r="C102" s="40" t="s">
        <v>737</v>
      </c>
      <c r="D102" s="40" t="s">
        <v>388</v>
      </c>
      <c r="E102" s="40">
        <v>17</v>
      </c>
      <c r="F102" s="40" t="s">
        <v>42</v>
      </c>
      <c r="G102" s="40" t="s">
        <v>42</v>
      </c>
      <c r="H102" s="41" t="s">
        <v>561</v>
      </c>
      <c r="I102" s="42" t="s">
        <v>44</v>
      </c>
      <c r="J102" s="40" t="s">
        <v>43</v>
      </c>
      <c r="K102" s="41" t="s">
        <v>47</v>
      </c>
      <c r="L102" s="40">
        <v>1</v>
      </c>
      <c r="M102" s="40">
        <v>1</v>
      </c>
      <c r="N102" s="41">
        <v>1</v>
      </c>
      <c r="O102" s="40">
        <v>5</v>
      </c>
      <c r="P102" s="40">
        <v>1</v>
      </c>
      <c r="Q102" s="41">
        <v>4</v>
      </c>
      <c r="R102" s="40">
        <v>3</v>
      </c>
      <c r="S102" s="40">
        <v>7</v>
      </c>
      <c r="T102" s="40">
        <v>1</v>
      </c>
      <c r="U102" s="40">
        <v>2</v>
      </c>
      <c r="V102" s="40">
        <v>1</v>
      </c>
      <c r="W102" s="40">
        <v>6</v>
      </c>
      <c r="X102" s="40">
        <v>2</v>
      </c>
      <c r="Y102" s="40">
        <v>5</v>
      </c>
      <c r="Z102" s="40" t="s">
        <v>45</v>
      </c>
      <c r="AA102" s="40" t="s">
        <v>45</v>
      </c>
      <c r="AB102" s="40" t="s">
        <v>45</v>
      </c>
      <c r="AC102" s="40" t="s">
        <v>45</v>
      </c>
      <c r="AD102" s="40" t="s">
        <v>45</v>
      </c>
      <c r="AE102" s="40" t="s">
        <v>45</v>
      </c>
      <c r="AF102" s="40" t="s">
        <v>45</v>
      </c>
      <c r="AG102" s="40" t="s">
        <v>45</v>
      </c>
      <c r="AH102" s="40" t="s">
        <v>45</v>
      </c>
      <c r="AI102" s="40" t="s">
        <v>45</v>
      </c>
      <c r="AJ102" s="40" t="s">
        <v>45</v>
      </c>
      <c r="AK102" s="40" t="s">
        <v>45</v>
      </c>
      <c r="AL102" s="40" t="s">
        <v>45</v>
      </c>
      <c r="AM102" s="40" t="s">
        <v>45</v>
      </c>
      <c r="AN102" s="40" t="s">
        <v>45</v>
      </c>
      <c r="AO102" s="41" t="s">
        <v>45</v>
      </c>
      <c r="AP102" s="40" t="s">
        <v>329</v>
      </c>
      <c r="AQ102" s="40">
        <v>6</v>
      </c>
      <c r="AR102" s="48" t="s">
        <v>14</v>
      </c>
      <c r="AS102" s="43" t="s">
        <v>500</v>
      </c>
      <c r="AT102" s="43" t="s">
        <v>103</v>
      </c>
      <c r="AU102" s="44">
        <f t="shared" si="10"/>
        <v>-2.7014842379675978</v>
      </c>
      <c r="AV102" s="44">
        <f t="shared" si="11"/>
        <v>-0.75026249103150122</v>
      </c>
      <c r="AW102" s="45">
        <f t="shared" si="12"/>
        <v>4</v>
      </c>
      <c r="AX102" s="45">
        <f t="shared" si="13"/>
        <v>2</v>
      </c>
      <c r="AY102" s="46">
        <f>VLOOKUP(AP102,COND!$A$10:$B$32,2,FALSE)</f>
        <v>1</v>
      </c>
      <c r="AZ102" s="44">
        <f>($AU$3*AU102+$AV$3*AV102+$AW$3*AW102+$AX$3*AX102)*AY102*IF(AQ102&lt;5,0.95,IF(AQ102&lt;7,0.975,1))+$I$3*VLOOKUP(I102,COND!$A$2:$E$7,4,FALSE)+$J$3*VLOOKUP(J102,COND!$A$2:$E$7,2,FALSE)+$K$3*VLOOKUP(K102,COND!$A$2:$E$7,3,FALSE)+IF(BB102="SP",$BB$3,0)+IF($AW102&lt;3,-5,0)+IF(AND($B$2&gt;0,$E102&lt;20),$B$2*25,0)</f>
        <v>41.380591998482046</v>
      </c>
      <c r="BA102" s="47">
        <f>STANDARDIZE(AZ102,AVERAGE($AZ$5:$AZ$428),STDEVP($AZ$5:$AZ$428))</f>
        <v>0.25477943354943083</v>
      </c>
      <c r="BB102" s="45" t="str">
        <f t="shared" si="14"/>
        <v>SP</v>
      </c>
      <c r="BC102" s="45">
        <v>900</v>
      </c>
      <c r="BD102" s="45">
        <v>97</v>
      </c>
      <c r="BE102" s="45"/>
      <c r="BF102" s="45" t="str">
        <f t="shared" si="15"/>
        <v>Unlikely</v>
      </c>
      <c r="BG102" s="45"/>
      <c r="BH102" s="45">
        <f>INDEX(Table5[[#All],[Ovr]],MATCH(Table3[[#This Row],[PID]],Table5[[#All],[PID]],0))</f>
        <v>299</v>
      </c>
      <c r="BI102" s="45" t="str">
        <f>INDEX(Table5[[#All],[Rnd]],MATCH(Table3[[#This Row],[PID]],Table5[[#All],[PID]],0))</f>
        <v>10</v>
      </c>
      <c r="BJ102" s="45">
        <f>INDEX(Table5[[#All],[Pick]],MATCH(Table3[[#This Row],[PID]],Table5[[#All],[PID]],0))</f>
        <v>2</v>
      </c>
      <c r="BK102" s="45" t="str">
        <f>INDEX(Table5[[#All],[Team]],MATCH(Table3[[#This Row],[PID]],Table5[[#All],[PID]],0))</f>
        <v>Charleston Statesmen</v>
      </c>
      <c r="BL102" s="45" t="str">
        <f>IF(OR(Table3[[#This Row],[POS]]="SP",Table3[[#This Row],[POS]]="RP",Table3[[#This Row],[POS]]="CL"),"P",INDEX(Batters[[#All],[zScore]],MATCH(Table3[[#This Row],[PID]],Batters[[#All],[PID]],0)))</f>
        <v>P</v>
      </c>
    </row>
    <row r="103" spans="1:64" ht="15" customHeight="1" x14ac:dyDescent="0.3">
      <c r="A103" s="40">
        <v>11689</v>
      </c>
      <c r="B103" s="40" t="s">
        <v>24</v>
      </c>
      <c r="C103" s="40" t="s">
        <v>190</v>
      </c>
      <c r="D103" s="40" t="s">
        <v>785</v>
      </c>
      <c r="E103" s="40">
        <v>17</v>
      </c>
      <c r="F103" s="40" t="s">
        <v>42</v>
      </c>
      <c r="G103" s="40" t="s">
        <v>42</v>
      </c>
      <c r="H103" s="41" t="s">
        <v>561</v>
      </c>
      <c r="I103" s="42" t="s">
        <v>43</v>
      </c>
      <c r="J103" s="40" t="s">
        <v>43</v>
      </c>
      <c r="K103" s="41" t="s">
        <v>43</v>
      </c>
      <c r="L103" s="40">
        <v>2</v>
      </c>
      <c r="M103" s="40">
        <v>1</v>
      </c>
      <c r="N103" s="41">
        <v>2</v>
      </c>
      <c r="O103" s="40">
        <v>4</v>
      </c>
      <c r="P103" s="40">
        <v>2</v>
      </c>
      <c r="Q103" s="41">
        <v>4</v>
      </c>
      <c r="R103" s="40">
        <v>4</v>
      </c>
      <c r="S103" s="40">
        <v>6</v>
      </c>
      <c r="T103" s="40">
        <v>1</v>
      </c>
      <c r="U103" s="40">
        <v>6</v>
      </c>
      <c r="V103" s="40" t="s">
        <v>45</v>
      </c>
      <c r="W103" s="40" t="s">
        <v>45</v>
      </c>
      <c r="X103" s="40">
        <v>2</v>
      </c>
      <c r="Y103" s="40">
        <v>7</v>
      </c>
      <c r="Z103" s="40" t="s">
        <v>45</v>
      </c>
      <c r="AA103" s="40" t="s">
        <v>45</v>
      </c>
      <c r="AB103" s="40" t="s">
        <v>45</v>
      </c>
      <c r="AC103" s="40" t="s">
        <v>45</v>
      </c>
      <c r="AD103" s="40" t="s">
        <v>45</v>
      </c>
      <c r="AE103" s="40" t="s">
        <v>45</v>
      </c>
      <c r="AF103" s="40" t="s">
        <v>45</v>
      </c>
      <c r="AG103" s="40" t="s">
        <v>45</v>
      </c>
      <c r="AH103" s="40" t="s">
        <v>45</v>
      </c>
      <c r="AI103" s="40" t="s">
        <v>45</v>
      </c>
      <c r="AJ103" s="40" t="s">
        <v>45</v>
      </c>
      <c r="AK103" s="40" t="s">
        <v>45</v>
      </c>
      <c r="AL103" s="40" t="s">
        <v>45</v>
      </c>
      <c r="AM103" s="40" t="s">
        <v>45</v>
      </c>
      <c r="AN103" s="40" t="s">
        <v>45</v>
      </c>
      <c r="AO103" s="41" t="s">
        <v>45</v>
      </c>
      <c r="AP103" s="40" t="s">
        <v>56</v>
      </c>
      <c r="AQ103" s="40">
        <v>6</v>
      </c>
      <c r="AR103" s="48" t="s">
        <v>14</v>
      </c>
      <c r="AS103" s="43" t="s">
        <v>583</v>
      </c>
      <c r="AT103" s="43" t="s">
        <v>103</v>
      </c>
      <c r="AU103" s="44">
        <f t="shared" si="10"/>
        <v>-2.2644723474043147</v>
      </c>
      <c r="AV103" s="44">
        <f t="shared" si="11"/>
        <v>-0.74952209911061918</v>
      </c>
      <c r="AW103" s="45">
        <f t="shared" si="12"/>
        <v>3</v>
      </c>
      <c r="AX103" s="45">
        <f t="shared" si="13"/>
        <v>3</v>
      </c>
      <c r="AY103" s="46">
        <f>VLOOKUP(AP103,COND!$A$10:$B$32,2,FALSE)</f>
        <v>1</v>
      </c>
      <c r="AZ103" s="44">
        <f>($AU$3*AU103+$AV$3*AV103+$AW$3*AW103+$AX$3*AX103)*AY103*IF(AQ103&lt;5,0.95,IF(AQ103&lt;7,0.975,1))+$I$3*VLOOKUP(I103,COND!$A$2:$E$7,4,FALSE)+$J$3*VLOOKUP(J103,COND!$A$2:$E$7,2,FALSE)+$K$3*VLOOKUP(K103,COND!$A$2:$E$7,3,FALSE)+IF(BB103="SP",$BB$3,0)+IF($AW103&lt;3,-5,0)+IF(AND($B$2&gt;0,$E103&lt;20),$B$2*25,0)</f>
        <v>42.061496959599083</v>
      </c>
      <c r="BA103" s="47">
        <f>STANDARDIZE(AZ103,AVERAGE($AZ$5:$AZ$428),STDEVP($AZ$5:$AZ$428))</f>
        <v>0.30326465549906378</v>
      </c>
      <c r="BB103" s="45" t="str">
        <f t="shared" si="14"/>
        <v>SP</v>
      </c>
      <c r="BC103" s="45">
        <v>900</v>
      </c>
      <c r="BD103" s="45">
        <v>98</v>
      </c>
      <c r="BE103" s="45"/>
      <c r="BF103" s="45" t="str">
        <f t="shared" si="15"/>
        <v>Unlikely</v>
      </c>
      <c r="BG103" s="45"/>
      <c r="BH103" s="45">
        <f>INDEX(Table5[[#All],[Ovr]],MATCH(Table3[[#This Row],[PID]],Table5[[#All],[PID]],0))</f>
        <v>294</v>
      </c>
      <c r="BI103" s="45" t="str">
        <f>INDEX(Table5[[#All],[Rnd]],MATCH(Table3[[#This Row],[PID]],Table5[[#All],[PID]],0))</f>
        <v>9</v>
      </c>
      <c r="BJ103" s="45">
        <f>INDEX(Table5[[#All],[Pick]],MATCH(Table3[[#This Row],[PID]],Table5[[#All],[PID]],0))</f>
        <v>29</v>
      </c>
      <c r="BK103" s="45" t="str">
        <f>INDEX(Table5[[#All],[Team]],MATCH(Table3[[#This Row],[PID]],Table5[[#All],[PID]],0))</f>
        <v>Charleston Statesmen</v>
      </c>
      <c r="BL103" s="45" t="str">
        <f>IF(OR(Table3[[#This Row],[POS]]="SP",Table3[[#This Row],[POS]]="RP",Table3[[#This Row],[POS]]="CL"),"P",INDEX(Batters[[#All],[zScore]],MATCH(Table3[[#This Row],[PID]],Batters[[#All],[PID]],0)))</f>
        <v>P</v>
      </c>
    </row>
    <row r="104" spans="1:64" ht="15" customHeight="1" x14ac:dyDescent="0.3">
      <c r="A104" s="40">
        <v>9401</v>
      </c>
      <c r="B104" s="40" t="s">
        <v>380</v>
      </c>
      <c r="C104" s="40" t="s">
        <v>168</v>
      </c>
      <c r="D104" s="40" t="s">
        <v>659</v>
      </c>
      <c r="E104" s="40">
        <v>18</v>
      </c>
      <c r="F104" s="40" t="s">
        <v>53</v>
      </c>
      <c r="G104" s="40" t="s">
        <v>53</v>
      </c>
      <c r="H104" s="41" t="s">
        <v>561</v>
      </c>
      <c r="I104" s="42" t="s">
        <v>44</v>
      </c>
      <c r="J104" s="40" t="s">
        <v>43</v>
      </c>
      <c r="K104" s="41" t="s">
        <v>47</v>
      </c>
      <c r="L104" s="40">
        <v>2</v>
      </c>
      <c r="M104" s="40">
        <v>1</v>
      </c>
      <c r="N104" s="41">
        <v>1</v>
      </c>
      <c r="O104" s="40">
        <v>5</v>
      </c>
      <c r="P104" s="40">
        <v>1</v>
      </c>
      <c r="Q104" s="41">
        <v>4</v>
      </c>
      <c r="R104" s="40">
        <v>3</v>
      </c>
      <c r="S104" s="40">
        <v>6</v>
      </c>
      <c r="T104" s="40">
        <v>1</v>
      </c>
      <c r="U104" s="40">
        <v>1</v>
      </c>
      <c r="V104" s="40" t="s">
        <v>45</v>
      </c>
      <c r="W104" s="40" t="s">
        <v>45</v>
      </c>
      <c r="X104" s="40">
        <v>2</v>
      </c>
      <c r="Y104" s="40">
        <v>7</v>
      </c>
      <c r="Z104" s="40" t="s">
        <v>45</v>
      </c>
      <c r="AA104" s="40" t="s">
        <v>45</v>
      </c>
      <c r="AB104" s="40" t="s">
        <v>45</v>
      </c>
      <c r="AC104" s="40" t="s">
        <v>45</v>
      </c>
      <c r="AD104" s="40" t="s">
        <v>45</v>
      </c>
      <c r="AE104" s="40" t="s">
        <v>45</v>
      </c>
      <c r="AF104" s="40" t="s">
        <v>45</v>
      </c>
      <c r="AG104" s="40" t="s">
        <v>45</v>
      </c>
      <c r="AH104" s="40" t="s">
        <v>45</v>
      </c>
      <c r="AI104" s="40" t="s">
        <v>45</v>
      </c>
      <c r="AJ104" s="40" t="s">
        <v>45</v>
      </c>
      <c r="AK104" s="40" t="s">
        <v>45</v>
      </c>
      <c r="AL104" s="40" t="s">
        <v>45</v>
      </c>
      <c r="AM104" s="40" t="s">
        <v>45</v>
      </c>
      <c r="AN104" s="40" t="s">
        <v>45</v>
      </c>
      <c r="AO104" s="41" t="s">
        <v>45</v>
      </c>
      <c r="AP104" s="40" t="s">
        <v>64</v>
      </c>
      <c r="AQ104" s="40">
        <v>6</v>
      </c>
      <c r="AR104" s="48" t="s">
        <v>14</v>
      </c>
      <c r="AS104" s="43" t="s">
        <v>572</v>
      </c>
      <c r="AT104" s="43" t="s">
        <v>103</v>
      </c>
      <c r="AU104" s="44">
        <f t="shared" si="10"/>
        <v>-2.5067929134584248</v>
      </c>
      <c r="AV104" s="44">
        <f t="shared" si="11"/>
        <v>-0.75026249103150122</v>
      </c>
      <c r="AW104" s="45">
        <f t="shared" si="12"/>
        <v>3</v>
      </c>
      <c r="AX104" s="45">
        <f t="shared" si="13"/>
        <v>2</v>
      </c>
      <c r="AY104" s="46">
        <f>VLOOKUP(AP104,COND!$A$10:$B$32,2,FALSE)</f>
        <v>1</v>
      </c>
      <c r="AZ104" s="44">
        <f>($AU$3*AU104+$AV$3*AV104+$AW$3*AW104+$AX$3*AX104)*AY104*IF(AQ104&lt;5,0.95,IF(AQ104&lt;7,0.975,1))+$I$3*VLOOKUP(I104,COND!$A$2:$E$7,4,FALSE)+$J$3*VLOOKUP(J104,COND!$A$2:$E$7,2,FALSE)+$K$3*VLOOKUP(K104,COND!$A$2:$E$7,3,FALSE)+IF(BB104="SP",$BB$3,0)+IF($AW104&lt;3,-5,0)+IF(AND($B$2&gt;0,$E104&lt;20),$B$2*25,0)</f>
        <v>40.931056806761333</v>
      </c>
      <c r="BA104" s="47">
        <f>STANDARDIZE(AZ104,AVERAGE($AZ$5:$AZ$455),STDEVP($AZ$5:$AZ$455))</f>
        <v>0.22880063991129973</v>
      </c>
      <c r="BB104" s="45" t="str">
        <f t="shared" si="14"/>
        <v>SP</v>
      </c>
      <c r="BC104" s="45">
        <v>900</v>
      </c>
      <c r="BD104" s="45">
        <v>99</v>
      </c>
      <c r="BE104" s="45"/>
      <c r="BF104" s="45" t="str">
        <f t="shared" si="15"/>
        <v>Unlikely</v>
      </c>
      <c r="BG104" s="45"/>
      <c r="BH104" s="63">
        <f>INDEX(Table5[[#All],[Ovr]],MATCH(Table3[[#This Row],[PID]],Table5[[#All],[PID]],0))</f>
        <v>309</v>
      </c>
      <c r="BI104" s="63" t="str">
        <f>INDEX(Table5[[#All],[Rnd]],MATCH(Table3[[#This Row],[PID]],Table5[[#All],[PID]],0))</f>
        <v>10</v>
      </c>
      <c r="BJ104" s="63">
        <f>INDEX(Table5[[#All],[Pick]],MATCH(Table3[[#This Row],[PID]],Table5[[#All],[PID]],0))</f>
        <v>12</v>
      </c>
      <c r="BK104" s="63" t="str">
        <f>INDEX(Table5[[#All],[Team]],MATCH(Table3[[#This Row],[PID]],Table5[[#All],[PID]],0))</f>
        <v>Manchester Maulers</v>
      </c>
      <c r="BL104" s="63" t="str">
        <f>IF(OR(Table3[[#This Row],[POS]]="SP",Table3[[#This Row],[POS]]="RP",Table3[[#This Row],[POS]]="CL"),"P",INDEX(Batters[[#All],[zScore]],MATCH(Table3[[#This Row],[PID]],Batters[[#All],[PID]],0)))</f>
        <v>P</v>
      </c>
    </row>
    <row r="105" spans="1:64" ht="15" customHeight="1" x14ac:dyDescent="0.3">
      <c r="A105" s="40">
        <v>20293</v>
      </c>
      <c r="B105" s="40" t="s">
        <v>24</v>
      </c>
      <c r="C105" s="40" t="s">
        <v>1562</v>
      </c>
      <c r="D105" s="40" t="s">
        <v>1117</v>
      </c>
      <c r="E105" s="40">
        <v>21</v>
      </c>
      <c r="F105" s="40" t="s">
        <v>42</v>
      </c>
      <c r="G105" s="40" t="s">
        <v>53</v>
      </c>
      <c r="H105" s="41" t="s">
        <v>552</v>
      </c>
      <c r="I105" s="42" t="s">
        <v>43</v>
      </c>
      <c r="J105" s="40" t="s">
        <v>47</v>
      </c>
      <c r="K105" s="41" t="s">
        <v>43</v>
      </c>
      <c r="L105" s="40">
        <v>4</v>
      </c>
      <c r="M105" s="40">
        <v>1</v>
      </c>
      <c r="N105" s="41">
        <v>3</v>
      </c>
      <c r="O105" s="40">
        <v>5</v>
      </c>
      <c r="P105" s="40">
        <v>2</v>
      </c>
      <c r="Q105" s="41">
        <v>4</v>
      </c>
      <c r="R105" s="40">
        <v>5</v>
      </c>
      <c r="S105" s="40">
        <v>5</v>
      </c>
      <c r="T105" s="40">
        <v>7</v>
      </c>
      <c r="U105" s="40">
        <v>7</v>
      </c>
      <c r="V105" s="40">
        <v>5</v>
      </c>
      <c r="W105" s="40">
        <v>6</v>
      </c>
      <c r="X105" s="40">
        <v>3</v>
      </c>
      <c r="Y105" s="40">
        <v>4</v>
      </c>
      <c r="Z105" s="40" t="s">
        <v>45</v>
      </c>
      <c r="AA105" s="40" t="s">
        <v>45</v>
      </c>
      <c r="AB105" s="40" t="s">
        <v>45</v>
      </c>
      <c r="AC105" s="40" t="s">
        <v>45</v>
      </c>
      <c r="AD105" s="40" t="s">
        <v>45</v>
      </c>
      <c r="AE105" s="40" t="s">
        <v>45</v>
      </c>
      <c r="AF105" s="40">
        <v>3</v>
      </c>
      <c r="AG105" s="40">
        <v>5</v>
      </c>
      <c r="AH105" s="40" t="s">
        <v>45</v>
      </c>
      <c r="AI105" s="40" t="s">
        <v>45</v>
      </c>
      <c r="AJ105" s="40" t="s">
        <v>45</v>
      </c>
      <c r="AK105" s="40" t="s">
        <v>45</v>
      </c>
      <c r="AL105" s="40" t="s">
        <v>45</v>
      </c>
      <c r="AM105" s="40" t="s">
        <v>45</v>
      </c>
      <c r="AN105" s="40" t="s">
        <v>45</v>
      </c>
      <c r="AO105" s="41" t="s">
        <v>45</v>
      </c>
      <c r="AP105" s="40" t="s">
        <v>57</v>
      </c>
      <c r="AQ105" s="40">
        <v>8</v>
      </c>
      <c r="AR105" s="48" t="s">
        <v>14</v>
      </c>
      <c r="AS105" s="43" t="s">
        <v>527</v>
      </c>
      <c r="AT105" s="43" t="s">
        <v>103</v>
      </c>
      <c r="AU105" s="44">
        <f t="shared" si="10"/>
        <v>-1.6327691323318567</v>
      </c>
      <c r="AV105" s="44">
        <f t="shared" si="11"/>
        <v>-0.55483077460144581</v>
      </c>
      <c r="AW105" s="45">
        <f t="shared" si="12"/>
        <v>5</v>
      </c>
      <c r="AX105" s="45">
        <f t="shared" si="13"/>
        <v>2</v>
      </c>
      <c r="AY105" s="46">
        <f>VLOOKUP(AP105,COND!$A$10:$B$32,2,FALSE)</f>
        <v>1</v>
      </c>
      <c r="AZ105" s="44">
        <f>($AU$3*AU105+$AV$3*AV105+$AW$3*AW105+$AX$3*AX105)*AY105*IF(AQ105&lt;5,0.95,IF(AQ105&lt;7,0.975,1))+$I$3*VLOOKUP(I105,COND!$A$2:$E$7,4,FALSE)+$J$3*VLOOKUP(J105,COND!$A$2:$E$7,2,FALSE)+$K$3*VLOOKUP(K105,COND!$A$2:$E$7,3,FALSE)+IF(BB105="SP",$BB$3,0)+IF($AW105&lt;3,-5,0)+IF(AND($B$2&gt;0,$E105&lt;20),$B$2*25,0)</f>
        <v>40.876830681504714</v>
      </c>
      <c r="BA105" s="47">
        <f>STANDARDIZE(AZ105,AVERAGE($AZ$5:$AZ$428),STDEVP($AZ$5:$AZ$428))</f>
        <v>0.21890808489129251</v>
      </c>
      <c r="BB105" s="45" t="str">
        <f t="shared" si="14"/>
        <v>SP</v>
      </c>
      <c r="BC105" s="45">
        <v>900</v>
      </c>
      <c r="BD105" s="45">
        <v>100</v>
      </c>
      <c r="BE105" s="45"/>
      <c r="BF105" s="45" t="str">
        <f t="shared" si="15"/>
        <v>Unlikely</v>
      </c>
      <c r="BG105" s="45"/>
      <c r="BH105" s="45">
        <f>INDEX(Table5[[#All],[Ovr]],MATCH(Table3[[#This Row],[PID]],Table5[[#All],[PID]],0))</f>
        <v>238</v>
      </c>
      <c r="BI105" s="45" t="str">
        <f>INDEX(Table5[[#All],[Rnd]],MATCH(Table3[[#This Row],[PID]],Table5[[#All],[PID]],0))</f>
        <v>8</v>
      </c>
      <c r="BJ105" s="45">
        <f>INDEX(Table5[[#All],[Pick]],MATCH(Table3[[#This Row],[PID]],Table5[[#All],[PID]],0))</f>
        <v>5</v>
      </c>
      <c r="BK105" s="45" t="str">
        <f>INDEX(Table5[[#All],[Team]],MATCH(Table3[[#This Row],[PID]],Table5[[#All],[PID]],0))</f>
        <v>Tempe Knights</v>
      </c>
      <c r="BL105" s="45" t="str">
        <f>IF(OR(Table3[[#This Row],[POS]]="SP",Table3[[#This Row],[POS]]="RP",Table3[[#This Row],[POS]]="CL"),"P",INDEX(Batters[[#All],[zScore]],MATCH(Table3[[#This Row],[PID]],Batters[[#All],[PID]],0)))</f>
        <v>P</v>
      </c>
    </row>
    <row r="106" spans="1:64" ht="15" customHeight="1" x14ac:dyDescent="0.3">
      <c r="A106" s="40">
        <v>20428</v>
      </c>
      <c r="B106" s="40" t="s">
        <v>24</v>
      </c>
      <c r="C106" s="40" t="s">
        <v>792</v>
      </c>
      <c r="D106" s="40" t="s">
        <v>602</v>
      </c>
      <c r="E106" s="40">
        <v>16</v>
      </c>
      <c r="F106" s="40" t="s">
        <v>42</v>
      </c>
      <c r="G106" s="40" t="s">
        <v>42</v>
      </c>
      <c r="H106" s="41" t="s">
        <v>561</v>
      </c>
      <c r="I106" s="42" t="s">
        <v>47</v>
      </c>
      <c r="J106" s="40" t="s">
        <v>43</v>
      </c>
      <c r="K106" s="41" t="s">
        <v>43</v>
      </c>
      <c r="L106" s="40">
        <v>2</v>
      </c>
      <c r="M106" s="40">
        <v>2</v>
      </c>
      <c r="N106" s="41">
        <v>1</v>
      </c>
      <c r="O106" s="40">
        <v>4</v>
      </c>
      <c r="P106" s="40">
        <v>2</v>
      </c>
      <c r="Q106" s="41">
        <v>4</v>
      </c>
      <c r="R106" s="40">
        <v>6</v>
      </c>
      <c r="S106" s="40">
        <v>7</v>
      </c>
      <c r="T106" s="40" t="s">
        <v>45</v>
      </c>
      <c r="U106" s="40" t="s">
        <v>45</v>
      </c>
      <c r="V106" s="40">
        <v>3</v>
      </c>
      <c r="W106" s="40">
        <v>6</v>
      </c>
      <c r="X106" s="40" t="s">
        <v>45</v>
      </c>
      <c r="Y106" s="40" t="s">
        <v>45</v>
      </c>
      <c r="Z106" s="40" t="s">
        <v>45</v>
      </c>
      <c r="AA106" s="40" t="s">
        <v>45</v>
      </c>
      <c r="AB106" s="40" t="s">
        <v>45</v>
      </c>
      <c r="AC106" s="40" t="s">
        <v>45</v>
      </c>
      <c r="AD106" s="40" t="s">
        <v>45</v>
      </c>
      <c r="AE106" s="40" t="s">
        <v>45</v>
      </c>
      <c r="AF106" s="40" t="s">
        <v>45</v>
      </c>
      <c r="AG106" s="40" t="s">
        <v>45</v>
      </c>
      <c r="AH106" s="40">
        <v>1</v>
      </c>
      <c r="AI106" s="40">
        <v>5</v>
      </c>
      <c r="AJ106" s="40" t="s">
        <v>45</v>
      </c>
      <c r="AK106" s="40" t="s">
        <v>45</v>
      </c>
      <c r="AL106" s="40" t="s">
        <v>45</v>
      </c>
      <c r="AM106" s="40" t="s">
        <v>45</v>
      </c>
      <c r="AN106" s="40" t="s">
        <v>45</v>
      </c>
      <c r="AO106" s="41" t="s">
        <v>45</v>
      </c>
      <c r="AP106" s="40" t="s">
        <v>54</v>
      </c>
      <c r="AQ106" s="40">
        <v>6</v>
      </c>
      <c r="AR106" s="48" t="s">
        <v>326</v>
      </c>
      <c r="AS106" s="43" t="s">
        <v>558</v>
      </c>
      <c r="AT106" s="43" t="s">
        <v>103</v>
      </c>
      <c r="AU106" s="44">
        <f t="shared" si="10"/>
        <v>-2.311361197028369</v>
      </c>
      <c r="AV106" s="44">
        <f t="shared" si="11"/>
        <v>-0.74952209911061918</v>
      </c>
      <c r="AW106" s="45">
        <f t="shared" si="12"/>
        <v>3</v>
      </c>
      <c r="AX106" s="45">
        <f t="shared" si="13"/>
        <v>2</v>
      </c>
      <c r="AY106" s="46">
        <f>VLOOKUP(AP106,COND!$A$10:$B$32,2,FALSE)</f>
        <v>1.0249999999999999</v>
      </c>
      <c r="AZ106" s="44">
        <f>($AU$3*AU106+$AV$3*AV106+$AW$3*AW106+$AX$3*AX106)*AY106*IF(AQ106&lt;5,0.95,IF(AQ106&lt;7,0.975,1))+$I$3*VLOOKUP(I106,COND!$A$2:$E$7,4,FALSE)+$J$3*VLOOKUP(J106,COND!$A$2:$E$7,2,FALSE)+$K$3*VLOOKUP(K106,COND!$A$2:$E$7,3,FALSE)+IF(BB106="SP",$BB$3,0)+IF($AW106&lt;3,-5,0)+IF(AND($B$2&gt;0,$E106&lt;20),$B$2*25,0)</f>
        <v>40.779443724770452</v>
      </c>
      <c r="BA106" s="47">
        <f>STANDARDIZE(AZ106,AVERAGE($AZ$5:$AZ$428),STDEVP($AZ$5:$AZ$428))</f>
        <v>0.21197344866171688</v>
      </c>
      <c r="BB106" s="45" t="str">
        <f t="shared" si="14"/>
        <v>SP</v>
      </c>
      <c r="BC106" s="45">
        <v>900</v>
      </c>
      <c r="BD106" s="45">
        <v>101</v>
      </c>
      <c r="BE106" s="45"/>
      <c r="BF106" s="45" t="str">
        <f t="shared" si="15"/>
        <v>Unlikely</v>
      </c>
      <c r="BG106" s="45"/>
      <c r="BH106" s="45">
        <f>INDEX(Table5[[#All],[Ovr]],MATCH(Table3[[#This Row],[PID]],Table5[[#All],[PID]],0))</f>
        <v>482</v>
      </c>
      <c r="BI106" s="45" t="str">
        <f>INDEX(Table5[[#All],[Rnd]],MATCH(Table3[[#This Row],[PID]],Table5[[#All],[PID]],0))</f>
        <v>15</v>
      </c>
      <c r="BJ106" s="45">
        <f>INDEX(Table5[[#All],[Pick]],MATCH(Table3[[#This Row],[PID]],Table5[[#All],[PID]],0))</f>
        <v>15</v>
      </c>
      <c r="BK106" s="45" t="str">
        <f>INDEX(Table5[[#All],[Team]],MATCH(Table3[[#This Row],[PID]],Table5[[#All],[PID]],0))</f>
        <v>Niihama-shi Ghosts</v>
      </c>
      <c r="BL106" s="45" t="str">
        <f>IF(OR(Table3[[#This Row],[POS]]="SP",Table3[[#This Row],[POS]]="RP",Table3[[#This Row],[POS]]="CL"),"P",INDEX(Batters[[#All],[zScore]],MATCH(Table3[[#This Row],[PID]],Batters[[#All],[PID]],0)))</f>
        <v>P</v>
      </c>
    </row>
    <row r="107" spans="1:64" ht="15" customHeight="1" x14ac:dyDescent="0.3">
      <c r="A107" s="40">
        <v>20352</v>
      </c>
      <c r="B107" s="40" t="s">
        <v>380</v>
      </c>
      <c r="C107" s="40" t="s">
        <v>386</v>
      </c>
      <c r="D107" s="40" t="s">
        <v>738</v>
      </c>
      <c r="E107" s="40">
        <v>17</v>
      </c>
      <c r="F107" s="40" t="s">
        <v>42</v>
      </c>
      <c r="G107" s="40" t="s">
        <v>42</v>
      </c>
      <c r="H107" s="41" t="s">
        <v>561</v>
      </c>
      <c r="I107" s="42" t="s">
        <v>43</v>
      </c>
      <c r="J107" s="40" t="s">
        <v>47</v>
      </c>
      <c r="K107" s="41" t="s">
        <v>43</v>
      </c>
      <c r="L107" s="40">
        <v>3</v>
      </c>
      <c r="M107" s="40">
        <v>2</v>
      </c>
      <c r="N107" s="41">
        <v>1</v>
      </c>
      <c r="O107" s="40">
        <v>5</v>
      </c>
      <c r="P107" s="40">
        <v>2</v>
      </c>
      <c r="Q107" s="41">
        <v>3</v>
      </c>
      <c r="R107" s="40">
        <v>4</v>
      </c>
      <c r="S107" s="40">
        <v>6</v>
      </c>
      <c r="T107" s="40">
        <v>1</v>
      </c>
      <c r="U107" s="40">
        <v>1</v>
      </c>
      <c r="V107" s="40">
        <v>3</v>
      </c>
      <c r="W107" s="40">
        <v>7</v>
      </c>
      <c r="X107" s="40" t="s">
        <v>45</v>
      </c>
      <c r="Y107" s="40" t="s">
        <v>45</v>
      </c>
      <c r="Z107" s="40" t="s">
        <v>45</v>
      </c>
      <c r="AA107" s="40" t="s">
        <v>45</v>
      </c>
      <c r="AB107" s="40" t="s">
        <v>45</v>
      </c>
      <c r="AC107" s="40" t="s">
        <v>45</v>
      </c>
      <c r="AD107" s="40" t="s">
        <v>45</v>
      </c>
      <c r="AE107" s="40" t="s">
        <v>45</v>
      </c>
      <c r="AF107" s="40" t="s">
        <v>45</v>
      </c>
      <c r="AG107" s="40" t="s">
        <v>45</v>
      </c>
      <c r="AH107" s="40" t="s">
        <v>45</v>
      </c>
      <c r="AI107" s="40" t="s">
        <v>45</v>
      </c>
      <c r="AJ107" s="40" t="s">
        <v>45</v>
      </c>
      <c r="AK107" s="40" t="s">
        <v>45</v>
      </c>
      <c r="AL107" s="40" t="s">
        <v>45</v>
      </c>
      <c r="AM107" s="40" t="s">
        <v>45</v>
      </c>
      <c r="AN107" s="40" t="s">
        <v>45</v>
      </c>
      <c r="AO107" s="41" t="s">
        <v>45</v>
      </c>
      <c r="AP107" s="40" t="s">
        <v>328</v>
      </c>
      <c r="AQ107" s="40">
        <v>10</v>
      </c>
      <c r="AR107" s="48" t="s">
        <v>326</v>
      </c>
      <c r="AS107" s="43" t="s">
        <v>583</v>
      </c>
      <c r="AT107" s="43" t="s">
        <v>103</v>
      </c>
      <c r="AU107" s="44">
        <f t="shared" si="10"/>
        <v>-2.1166698725191955</v>
      </c>
      <c r="AV107" s="44">
        <f t="shared" si="11"/>
        <v>-0.79715134065555615</v>
      </c>
      <c r="AW107" s="45">
        <f t="shared" si="12"/>
        <v>3</v>
      </c>
      <c r="AX107" s="45">
        <f t="shared" si="13"/>
        <v>2</v>
      </c>
      <c r="AY107" s="46">
        <f>VLOOKUP(AP107,COND!$A$10:$B$32,2,FALSE)</f>
        <v>1</v>
      </c>
      <c r="AZ107" s="44">
        <f>($AU$3*AU107+$AV$3*AV107+$AW$3*AW107+$AX$3*AX107)*AY107*IF(AQ107&lt;5,0.95,IF(AQ107&lt;7,0.975,1))+$I$3*VLOOKUP(I107,COND!$A$2:$E$7,4,FALSE)+$J$3*VLOOKUP(J107,COND!$A$2:$E$7,2,FALSE)+$K$3*VLOOKUP(K107,COND!$A$2:$E$7,3,FALSE)+IF(BB107="SP",$BB$3,0)+IF($AW107&lt;3,-5,0)+IF(AND($B$2&gt;0,$E107&lt;20),$B$2*25,0)</f>
        <v>39.933639212385039</v>
      </c>
      <c r="BA107" s="47">
        <f>STANDARDIZE(AZ107,AVERAGE($AZ$5:$AZ$428),STDEVP($AZ$5:$AZ$428))</f>
        <v>0.15174621894417772</v>
      </c>
      <c r="BB107" s="45" t="str">
        <f t="shared" si="14"/>
        <v>SP</v>
      </c>
      <c r="BC107" s="45">
        <v>900</v>
      </c>
      <c r="BD107" s="45">
        <v>102</v>
      </c>
      <c r="BE107" s="45"/>
      <c r="BF107" s="45" t="str">
        <f t="shared" si="15"/>
        <v>Unlikely</v>
      </c>
      <c r="BG107" s="45"/>
      <c r="BH107" s="45">
        <f>INDEX(Table5[[#All],[Ovr]],MATCH(Table3[[#This Row],[PID]],Table5[[#All],[PID]],0))</f>
        <v>337</v>
      </c>
      <c r="BI107" s="45" t="str">
        <f>INDEX(Table5[[#All],[Rnd]],MATCH(Table3[[#This Row],[PID]],Table5[[#All],[PID]],0))</f>
        <v>11</v>
      </c>
      <c r="BJ107" s="45">
        <f>INDEX(Table5[[#All],[Pick]],MATCH(Table3[[#This Row],[PID]],Table5[[#All],[PID]],0))</f>
        <v>6</v>
      </c>
      <c r="BK107" s="45" t="str">
        <f>INDEX(Table5[[#All],[Team]],MATCH(Table3[[#This Row],[PID]],Table5[[#All],[PID]],0))</f>
        <v>New Orleans Trendsetters</v>
      </c>
      <c r="BL107" s="45" t="str">
        <f>IF(OR(Table3[[#This Row],[POS]]="SP",Table3[[#This Row],[POS]]="RP",Table3[[#This Row],[POS]]="CL"),"P",INDEX(Batters[[#All],[zScore]],MATCH(Table3[[#This Row],[PID]],Batters[[#All],[PID]],0)))</f>
        <v>P</v>
      </c>
    </row>
    <row r="108" spans="1:64" ht="15" customHeight="1" x14ac:dyDescent="0.3">
      <c r="A108" s="40">
        <v>20500</v>
      </c>
      <c r="B108" s="40" t="s">
        <v>380</v>
      </c>
      <c r="C108" s="40" t="s">
        <v>1564</v>
      </c>
      <c r="D108" s="40" t="s">
        <v>1565</v>
      </c>
      <c r="E108" s="40">
        <v>17</v>
      </c>
      <c r="F108" s="40" t="s">
        <v>42</v>
      </c>
      <c r="G108" s="40" t="s">
        <v>42</v>
      </c>
      <c r="H108" s="41" t="s">
        <v>561</v>
      </c>
      <c r="I108" s="42" t="s">
        <v>43</v>
      </c>
      <c r="J108" s="40" t="s">
        <v>47</v>
      </c>
      <c r="K108" s="41" t="s">
        <v>43</v>
      </c>
      <c r="L108" s="40">
        <v>3</v>
      </c>
      <c r="M108" s="40">
        <v>1</v>
      </c>
      <c r="N108" s="41">
        <v>1</v>
      </c>
      <c r="O108" s="40">
        <v>5</v>
      </c>
      <c r="P108" s="40">
        <v>2</v>
      </c>
      <c r="Q108" s="41">
        <v>3</v>
      </c>
      <c r="R108" s="40">
        <v>5</v>
      </c>
      <c r="S108" s="40">
        <v>6</v>
      </c>
      <c r="T108" s="40">
        <v>1</v>
      </c>
      <c r="U108" s="40">
        <v>2</v>
      </c>
      <c r="V108" s="40">
        <v>4</v>
      </c>
      <c r="W108" s="40">
        <v>7</v>
      </c>
      <c r="X108" s="40" t="s">
        <v>45</v>
      </c>
      <c r="Y108" s="40" t="s">
        <v>45</v>
      </c>
      <c r="Z108" s="40" t="s">
        <v>45</v>
      </c>
      <c r="AA108" s="40" t="s">
        <v>45</v>
      </c>
      <c r="AB108" s="40" t="s">
        <v>45</v>
      </c>
      <c r="AC108" s="40" t="s">
        <v>45</v>
      </c>
      <c r="AD108" s="40" t="s">
        <v>45</v>
      </c>
      <c r="AE108" s="40" t="s">
        <v>45</v>
      </c>
      <c r="AF108" s="40" t="s">
        <v>45</v>
      </c>
      <c r="AG108" s="40" t="s">
        <v>45</v>
      </c>
      <c r="AH108" s="40" t="s">
        <v>45</v>
      </c>
      <c r="AI108" s="40" t="s">
        <v>45</v>
      </c>
      <c r="AJ108" s="40" t="s">
        <v>45</v>
      </c>
      <c r="AK108" s="40" t="s">
        <v>45</v>
      </c>
      <c r="AL108" s="40" t="s">
        <v>45</v>
      </c>
      <c r="AM108" s="40" t="s">
        <v>45</v>
      </c>
      <c r="AN108" s="40" t="s">
        <v>45</v>
      </c>
      <c r="AO108" s="41" t="s">
        <v>45</v>
      </c>
      <c r="AP108" s="40" t="s">
        <v>56</v>
      </c>
      <c r="AQ108" s="40">
        <v>8</v>
      </c>
      <c r="AR108" s="48" t="s">
        <v>14</v>
      </c>
      <c r="AS108" s="43" t="s">
        <v>558</v>
      </c>
      <c r="AT108" s="43" t="s">
        <v>103</v>
      </c>
      <c r="AU108" s="44">
        <f t="shared" si="10"/>
        <v>-2.3121015889492513</v>
      </c>
      <c r="AV108" s="44">
        <f t="shared" si="11"/>
        <v>-0.79715134065555615</v>
      </c>
      <c r="AW108" s="45">
        <f t="shared" si="12"/>
        <v>3</v>
      </c>
      <c r="AX108" s="45">
        <f t="shared" si="13"/>
        <v>2</v>
      </c>
      <c r="AY108" s="46">
        <f>VLOOKUP(AP108,COND!$A$10:$B$32,2,FALSE)</f>
        <v>1</v>
      </c>
      <c r="AZ108" s="44">
        <f>($AU$3*AU108+$AV$3*AV108+$AW$3*AW108+$AX$3*AX108)*AY108*IF(AQ108&lt;5,0.95,IF(AQ108&lt;7,0.975,1))+$I$3*VLOOKUP(I108,COND!$A$2:$E$7,4,FALSE)+$J$3*VLOOKUP(J108,COND!$A$2:$E$7,2,FALSE)+$K$3*VLOOKUP(K108,COND!$A$2:$E$7,3,FALSE)+IF(BB108="SP",$BB$3,0)+IF($AW108&lt;3,-5,0)+IF(AND($B$2&gt;0,$E108&lt;20),$B$2*25,0)</f>
        <v>39.89455286909903</v>
      </c>
      <c r="BA108" s="47">
        <f>STANDARDIZE(AZ108,AVERAGE($AZ$5:$AZ$428),STDEVP($AZ$5:$AZ$428))</f>
        <v>0.14896299641292651</v>
      </c>
      <c r="BB108" s="45" t="str">
        <f t="shared" si="14"/>
        <v>SP</v>
      </c>
      <c r="BC108" s="45">
        <v>900</v>
      </c>
      <c r="BD108" s="45">
        <v>103</v>
      </c>
      <c r="BE108" s="45"/>
      <c r="BF108" s="45" t="str">
        <f t="shared" si="15"/>
        <v>Unlikely</v>
      </c>
      <c r="BG108" s="45"/>
      <c r="BH108" s="45">
        <f>INDEX(Table5[[#All],[Ovr]],MATCH(Table3[[#This Row],[PID]],Table5[[#All],[PID]],0))</f>
        <v>400</v>
      </c>
      <c r="BI108" s="45" t="str">
        <f>INDEX(Table5[[#All],[Rnd]],MATCH(Table3[[#This Row],[PID]],Table5[[#All],[PID]],0))</f>
        <v>13</v>
      </c>
      <c r="BJ108" s="45">
        <f>INDEX(Table5[[#All],[Pick]],MATCH(Table3[[#This Row],[PID]],Table5[[#All],[PID]],0))</f>
        <v>1</v>
      </c>
      <c r="BK108" s="45" t="str">
        <f>INDEX(Table5[[#All],[Team]],MATCH(Table3[[#This Row],[PID]],Table5[[#All],[PID]],0))</f>
        <v>Yuma Arroyos</v>
      </c>
      <c r="BL108" s="45" t="str">
        <f>IF(OR(Table3[[#This Row],[POS]]="SP",Table3[[#This Row],[POS]]="RP",Table3[[#This Row],[POS]]="CL"),"P",INDEX(Batters[[#All],[zScore]],MATCH(Table3[[#This Row],[PID]],Batters[[#All],[PID]],0)))</f>
        <v>P</v>
      </c>
    </row>
    <row r="109" spans="1:64" ht="15" customHeight="1" x14ac:dyDescent="0.3">
      <c r="A109" s="40">
        <v>11324</v>
      </c>
      <c r="B109" s="40" t="s">
        <v>380</v>
      </c>
      <c r="C109" s="40" t="s">
        <v>1001</v>
      </c>
      <c r="D109" s="40" t="s">
        <v>620</v>
      </c>
      <c r="E109" s="40">
        <v>18</v>
      </c>
      <c r="F109" s="40" t="s">
        <v>42</v>
      </c>
      <c r="G109" s="40" t="s">
        <v>42</v>
      </c>
      <c r="H109" s="41" t="s">
        <v>553</v>
      </c>
      <c r="I109" s="42" t="s">
        <v>43</v>
      </c>
      <c r="J109" s="40" t="s">
        <v>43</v>
      </c>
      <c r="K109" s="41" t="s">
        <v>43</v>
      </c>
      <c r="L109" s="40">
        <v>2</v>
      </c>
      <c r="M109" s="40">
        <v>1</v>
      </c>
      <c r="N109" s="41">
        <v>1</v>
      </c>
      <c r="O109" s="40">
        <v>5</v>
      </c>
      <c r="P109" s="40">
        <v>1</v>
      </c>
      <c r="Q109" s="41">
        <v>4</v>
      </c>
      <c r="R109" s="40">
        <v>3</v>
      </c>
      <c r="S109" s="40">
        <v>5</v>
      </c>
      <c r="T109" s="40">
        <v>1</v>
      </c>
      <c r="U109" s="40">
        <v>6</v>
      </c>
      <c r="V109" s="40" t="s">
        <v>45</v>
      </c>
      <c r="W109" s="40" t="s">
        <v>45</v>
      </c>
      <c r="X109" s="40">
        <v>2</v>
      </c>
      <c r="Y109" s="40">
        <v>7</v>
      </c>
      <c r="Z109" s="40" t="s">
        <v>45</v>
      </c>
      <c r="AA109" s="40" t="s">
        <v>45</v>
      </c>
      <c r="AB109" s="40" t="s">
        <v>45</v>
      </c>
      <c r="AC109" s="40" t="s">
        <v>45</v>
      </c>
      <c r="AD109" s="40" t="s">
        <v>45</v>
      </c>
      <c r="AE109" s="40" t="s">
        <v>45</v>
      </c>
      <c r="AF109" s="40" t="s">
        <v>45</v>
      </c>
      <c r="AG109" s="40" t="s">
        <v>45</v>
      </c>
      <c r="AH109" s="40" t="s">
        <v>45</v>
      </c>
      <c r="AI109" s="40" t="s">
        <v>45</v>
      </c>
      <c r="AJ109" s="40" t="s">
        <v>45</v>
      </c>
      <c r="AK109" s="40" t="s">
        <v>45</v>
      </c>
      <c r="AL109" s="40" t="s">
        <v>45</v>
      </c>
      <c r="AM109" s="40" t="s">
        <v>45</v>
      </c>
      <c r="AN109" s="40" t="s">
        <v>45</v>
      </c>
      <c r="AO109" s="41" t="s">
        <v>45</v>
      </c>
      <c r="AP109" s="40" t="s">
        <v>64</v>
      </c>
      <c r="AQ109" s="40">
        <v>8</v>
      </c>
      <c r="AR109" s="48" t="s">
        <v>14</v>
      </c>
      <c r="AS109" s="43" t="s">
        <v>558</v>
      </c>
      <c r="AT109" s="43" t="s">
        <v>103</v>
      </c>
      <c r="AU109" s="44">
        <f t="shared" si="10"/>
        <v>-2.5067929134584248</v>
      </c>
      <c r="AV109" s="44">
        <f t="shared" si="11"/>
        <v>-0.75026249103150122</v>
      </c>
      <c r="AW109" s="45">
        <f t="shared" si="12"/>
        <v>3</v>
      </c>
      <c r="AX109" s="45">
        <f t="shared" si="13"/>
        <v>2</v>
      </c>
      <c r="AY109" s="46">
        <f>VLOOKUP(AP109,COND!$A$10:$B$32,2,FALSE)</f>
        <v>1</v>
      </c>
      <c r="AZ109" s="44">
        <f>($AU$3*AU109+$AV$3*AV109+$AW$3*AW109+$AX$3*AX109)*AY109*IF(AQ109&lt;5,0.95,IF(AQ109&lt;7,0.975,1))+$I$3*VLOOKUP(I109,COND!$A$2:$E$7,4,FALSE)+$J$3*VLOOKUP(J109,COND!$A$2:$E$7,2,FALSE)+$K$3*VLOOKUP(K109,COND!$A$2:$E$7,3,FALSE)+IF(BB109="SP",$BB$3,0)+IF($AW109&lt;3,-5,0)+IF(AND($B$2&gt;0,$E109&lt;20),$B$2*25,0)</f>
        <v>40.493391596678293</v>
      </c>
      <c r="BA109" s="47">
        <f>STANDARDIZE(AZ109,AVERAGE($AZ$5:$AZ$445),STDEVP($AZ$5:$AZ$445))</f>
        <v>0.19766354627511917</v>
      </c>
      <c r="BB109" s="45" t="str">
        <f t="shared" si="14"/>
        <v>SP</v>
      </c>
      <c r="BC109" s="45">
        <v>900</v>
      </c>
      <c r="BD109" s="45">
        <v>104</v>
      </c>
      <c r="BE109" s="45"/>
      <c r="BF109" s="45" t="str">
        <f t="shared" si="15"/>
        <v>Unlikely</v>
      </c>
      <c r="BG109" s="45"/>
      <c r="BH109" s="63">
        <f>INDEX(Table5[[#All],[Ovr]],MATCH(Table3[[#This Row],[PID]],Table5[[#All],[PID]],0))</f>
        <v>338</v>
      </c>
      <c r="BI109" s="63" t="str">
        <f>INDEX(Table5[[#All],[Rnd]],MATCH(Table3[[#This Row],[PID]],Table5[[#All],[PID]],0))</f>
        <v>11</v>
      </c>
      <c r="BJ109" s="63">
        <f>INDEX(Table5[[#All],[Pick]],MATCH(Table3[[#This Row],[PID]],Table5[[#All],[PID]],0))</f>
        <v>7</v>
      </c>
      <c r="BK109" s="63" t="str">
        <f>INDEX(Table5[[#All],[Team]],MATCH(Table3[[#This Row],[PID]],Table5[[#All],[PID]],0))</f>
        <v>Hartford Harpoon</v>
      </c>
      <c r="BL109" s="63" t="str">
        <f>IF(OR(Table3[[#This Row],[POS]]="SP",Table3[[#This Row],[POS]]="RP",Table3[[#This Row],[POS]]="CL"),"P",INDEX(Batters[[#All],[zScore]],MATCH(Table3[[#This Row],[PID]],Batters[[#All],[PID]],0)))</f>
        <v>P</v>
      </c>
    </row>
    <row r="110" spans="1:64" ht="15" customHeight="1" x14ac:dyDescent="0.3">
      <c r="A110" s="40">
        <v>20377</v>
      </c>
      <c r="B110" s="40" t="s">
        <v>24</v>
      </c>
      <c r="C110" s="40" t="s">
        <v>1557</v>
      </c>
      <c r="D110" s="40" t="s">
        <v>1558</v>
      </c>
      <c r="E110" s="40">
        <v>16</v>
      </c>
      <c r="F110" s="40" t="s">
        <v>42</v>
      </c>
      <c r="G110" s="40" t="s">
        <v>42</v>
      </c>
      <c r="H110" s="41" t="s">
        <v>561</v>
      </c>
      <c r="I110" s="42" t="s">
        <v>43</v>
      </c>
      <c r="J110" s="40" t="s">
        <v>43</v>
      </c>
      <c r="K110" s="41" t="s">
        <v>43</v>
      </c>
      <c r="L110" s="40">
        <v>3</v>
      </c>
      <c r="M110" s="40">
        <v>1</v>
      </c>
      <c r="N110" s="41">
        <v>1</v>
      </c>
      <c r="O110" s="40">
        <v>5</v>
      </c>
      <c r="P110" s="40">
        <v>1</v>
      </c>
      <c r="Q110" s="41">
        <v>4</v>
      </c>
      <c r="R110" s="40">
        <v>5</v>
      </c>
      <c r="S110" s="40">
        <v>7</v>
      </c>
      <c r="T110" s="40">
        <v>3</v>
      </c>
      <c r="U110" s="40">
        <v>6</v>
      </c>
      <c r="V110" s="40" t="s">
        <v>45</v>
      </c>
      <c r="W110" s="40" t="s">
        <v>45</v>
      </c>
      <c r="X110" s="40">
        <v>4</v>
      </c>
      <c r="Y110" s="40">
        <v>5</v>
      </c>
      <c r="Z110" s="40" t="s">
        <v>45</v>
      </c>
      <c r="AA110" s="40" t="s">
        <v>45</v>
      </c>
      <c r="AB110" s="40" t="s">
        <v>45</v>
      </c>
      <c r="AC110" s="40" t="s">
        <v>45</v>
      </c>
      <c r="AD110" s="40" t="s">
        <v>45</v>
      </c>
      <c r="AE110" s="40" t="s">
        <v>45</v>
      </c>
      <c r="AF110" s="40" t="s">
        <v>45</v>
      </c>
      <c r="AG110" s="40" t="s">
        <v>45</v>
      </c>
      <c r="AH110" s="40" t="s">
        <v>45</v>
      </c>
      <c r="AI110" s="40" t="s">
        <v>45</v>
      </c>
      <c r="AJ110" s="40" t="s">
        <v>45</v>
      </c>
      <c r="AK110" s="40" t="s">
        <v>45</v>
      </c>
      <c r="AL110" s="40" t="s">
        <v>45</v>
      </c>
      <c r="AM110" s="40" t="s">
        <v>45</v>
      </c>
      <c r="AN110" s="40" t="s">
        <v>45</v>
      </c>
      <c r="AO110" s="41" t="s">
        <v>45</v>
      </c>
      <c r="AP110" s="40" t="s">
        <v>58</v>
      </c>
      <c r="AQ110" s="40">
        <v>9</v>
      </c>
      <c r="AR110" s="48" t="s">
        <v>14</v>
      </c>
      <c r="AS110" s="43" t="s">
        <v>572</v>
      </c>
      <c r="AT110" s="43" t="s">
        <v>103</v>
      </c>
      <c r="AU110" s="44">
        <f t="shared" si="10"/>
        <v>-2.3121015889492513</v>
      </c>
      <c r="AV110" s="44">
        <f t="shared" si="11"/>
        <v>-0.75026249103150122</v>
      </c>
      <c r="AW110" s="45">
        <f t="shared" si="12"/>
        <v>3</v>
      </c>
      <c r="AX110" s="45">
        <f t="shared" si="13"/>
        <v>2</v>
      </c>
      <c r="AY110" s="46">
        <f>VLOOKUP(AP110,COND!$A$10:$B$32,2,FALSE)</f>
        <v>1</v>
      </c>
      <c r="AZ110" s="44">
        <f>($AU$3*AU110+$AV$3*AV110+$AW$3*AW110+$AX$3*AX110)*AY110*IF(AQ110&lt;5,0.95,IF(AQ110&lt;7,0.975,1))+$I$3*VLOOKUP(I110,COND!$A$2:$E$7,4,FALSE)+$J$3*VLOOKUP(J110,COND!$A$2:$E$7,2,FALSE)+$K$3*VLOOKUP(K110,COND!$A$2:$E$7,3,FALSE)+IF(BB110="SP",$BB$3,0)+IF($AW110&lt;3,-5,0)+IF(AND($B$2&gt;0,$E110&lt;20),$B$2*25,0)</f>
        <v>40.532329861580124</v>
      </c>
      <c r="BA110" s="47">
        <f>STANDARDIZE(AZ110,AVERAGE($AZ$5:$AZ$428),STDEVP($AZ$5:$AZ$428))</f>
        <v>0.19437720368215519</v>
      </c>
      <c r="BB110" s="45" t="str">
        <f t="shared" si="14"/>
        <v>SP</v>
      </c>
      <c r="BC110" s="45">
        <v>900</v>
      </c>
      <c r="BD110" s="45">
        <v>105</v>
      </c>
      <c r="BE110" s="45"/>
      <c r="BF110" s="45" t="str">
        <f t="shared" si="15"/>
        <v>Unlikely</v>
      </c>
      <c r="BG110" s="45"/>
      <c r="BH110" s="45">
        <f>INDEX(Table5[[#All],[Ovr]],MATCH(Table3[[#This Row],[PID]],Table5[[#All],[PID]],0))</f>
        <v>249</v>
      </c>
      <c r="BI110" s="45" t="str">
        <f>INDEX(Table5[[#All],[Rnd]],MATCH(Table3[[#This Row],[PID]],Table5[[#All],[PID]],0))</f>
        <v>8</v>
      </c>
      <c r="BJ110" s="45">
        <f>INDEX(Table5[[#All],[Pick]],MATCH(Table3[[#This Row],[PID]],Table5[[#All],[PID]],0))</f>
        <v>16</v>
      </c>
      <c r="BK110" s="45" t="str">
        <f>INDEX(Table5[[#All],[Team]],MATCH(Table3[[#This Row],[PID]],Table5[[#All],[PID]],0))</f>
        <v>Madison Malts</v>
      </c>
      <c r="BL110" s="45" t="str">
        <f>IF(OR(Table3[[#This Row],[POS]]="SP",Table3[[#This Row],[POS]]="RP",Table3[[#This Row],[POS]]="CL"),"P",INDEX(Batters[[#All],[zScore]],MATCH(Table3[[#This Row],[PID]],Batters[[#All],[PID]],0)))</f>
        <v>P</v>
      </c>
    </row>
    <row r="111" spans="1:64" ht="15" customHeight="1" x14ac:dyDescent="0.3">
      <c r="A111" s="40">
        <v>11865</v>
      </c>
      <c r="B111" s="40" t="s">
        <v>49</v>
      </c>
      <c r="C111" s="40" t="s">
        <v>920</v>
      </c>
      <c r="D111" s="40" t="s">
        <v>494</v>
      </c>
      <c r="E111" s="40">
        <v>21</v>
      </c>
      <c r="F111" s="40" t="s">
        <v>42</v>
      </c>
      <c r="G111" s="40" t="s">
        <v>42</v>
      </c>
      <c r="H111" s="41" t="s">
        <v>561</v>
      </c>
      <c r="I111" s="42" t="s">
        <v>43</v>
      </c>
      <c r="J111" s="40" t="s">
        <v>47</v>
      </c>
      <c r="K111" s="41" t="s">
        <v>43</v>
      </c>
      <c r="L111" s="40">
        <v>3</v>
      </c>
      <c r="M111" s="40">
        <v>1</v>
      </c>
      <c r="N111" s="41">
        <v>2</v>
      </c>
      <c r="O111" s="40">
        <v>5</v>
      </c>
      <c r="P111" s="40">
        <v>2</v>
      </c>
      <c r="Q111" s="41">
        <v>4</v>
      </c>
      <c r="R111" s="40">
        <v>5</v>
      </c>
      <c r="S111" s="40">
        <v>6</v>
      </c>
      <c r="T111" s="40">
        <v>1</v>
      </c>
      <c r="U111" s="40">
        <v>2</v>
      </c>
      <c r="V111" s="40">
        <v>4</v>
      </c>
      <c r="W111" s="40">
        <v>7</v>
      </c>
      <c r="X111" s="40" t="s">
        <v>45</v>
      </c>
      <c r="Y111" s="40" t="s">
        <v>45</v>
      </c>
      <c r="Z111" s="40" t="s">
        <v>45</v>
      </c>
      <c r="AA111" s="40" t="s">
        <v>45</v>
      </c>
      <c r="AB111" s="40" t="s">
        <v>45</v>
      </c>
      <c r="AC111" s="40" t="s">
        <v>45</v>
      </c>
      <c r="AD111" s="40" t="s">
        <v>45</v>
      </c>
      <c r="AE111" s="40" t="s">
        <v>45</v>
      </c>
      <c r="AF111" s="40" t="s">
        <v>45</v>
      </c>
      <c r="AG111" s="40" t="s">
        <v>45</v>
      </c>
      <c r="AH111" s="40" t="s">
        <v>45</v>
      </c>
      <c r="AI111" s="40" t="s">
        <v>45</v>
      </c>
      <c r="AJ111" s="40" t="s">
        <v>45</v>
      </c>
      <c r="AK111" s="40" t="s">
        <v>45</v>
      </c>
      <c r="AL111" s="40" t="s">
        <v>45</v>
      </c>
      <c r="AM111" s="40" t="s">
        <v>45</v>
      </c>
      <c r="AN111" s="40" t="s">
        <v>45</v>
      </c>
      <c r="AO111" s="41" t="s">
        <v>45</v>
      </c>
      <c r="AP111" s="40" t="s">
        <v>58</v>
      </c>
      <c r="AQ111" s="40">
        <v>8</v>
      </c>
      <c r="AR111" s="48" t="s">
        <v>14</v>
      </c>
      <c r="AS111" s="43" t="s">
        <v>45</v>
      </c>
      <c r="AT111" s="43" t="s">
        <v>103</v>
      </c>
      <c r="AU111" s="44">
        <f t="shared" si="10"/>
        <v>-2.0697810228951408</v>
      </c>
      <c r="AV111" s="44">
        <f t="shared" si="11"/>
        <v>-0.55483077460144581</v>
      </c>
      <c r="AW111" s="45">
        <f t="shared" si="12"/>
        <v>3</v>
      </c>
      <c r="AX111" s="45">
        <f t="shared" si="13"/>
        <v>2</v>
      </c>
      <c r="AY111" s="46">
        <f>VLOOKUP(AP111,COND!$A$10:$B$32,2,FALSE)</f>
        <v>1</v>
      </c>
      <c r="AZ111" s="44">
        <f>($AU$3*AU111+$AV$3*AV111+$AW$3*AW111+$AX$3*AX111)*AY111*IF(AQ111&lt;5,0.95,IF(AQ111&lt;7,0.975,1))+$I$3*VLOOKUP(I111,COND!$A$2:$E$7,4,FALSE)+$J$3*VLOOKUP(J111,COND!$A$2:$E$7,2,FALSE)+$K$3*VLOOKUP(K111,COND!$A$2:$E$7,3,FALSE)+IF(BB111="SP",$BB$3,0)+IF($AW111&lt;3,-5,0)+IF(AND($B$2&gt;0,$E111&lt;20),$B$2*25,0)</f>
        <v>39.789428303392057</v>
      </c>
      <c r="BA111" s="47">
        <f>STANDARDIZE(AZ111,AVERAGE($AZ$5:$AZ$428),STDEVP($AZ$5:$AZ$428))</f>
        <v>0.14147738800687282</v>
      </c>
      <c r="BB111" s="45" t="str">
        <f t="shared" si="14"/>
        <v>SP</v>
      </c>
      <c r="BC111" s="45">
        <v>900</v>
      </c>
      <c r="BD111" s="45">
        <v>106</v>
      </c>
      <c r="BE111" s="45"/>
      <c r="BF111" s="45" t="str">
        <f t="shared" si="15"/>
        <v>Unlikely</v>
      </c>
      <c r="BG111" s="45"/>
      <c r="BH111" s="45">
        <f>INDEX(Table5[[#All],[Ovr]],MATCH(Table3[[#This Row],[PID]],Table5[[#All],[PID]],0))</f>
        <v>143</v>
      </c>
      <c r="BI111" s="45" t="str">
        <f>INDEX(Table5[[#All],[Rnd]],MATCH(Table3[[#This Row],[PID]],Table5[[#All],[PID]],0))</f>
        <v>5</v>
      </c>
      <c r="BJ111" s="45">
        <f>INDEX(Table5[[#All],[Pick]],MATCH(Table3[[#This Row],[PID]],Table5[[#All],[PID]],0))</f>
        <v>6</v>
      </c>
      <c r="BK111" s="45" t="str">
        <f>INDEX(Table5[[#All],[Team]],MATCH(Table3[[#This Row],[PID]],Table5[[#All],[PID]],0))</f>
        <v>New Orleans Trendsetters</v>
      </c>
      <c r="BL111" s="45" t="str">
        <f>IF(OR(Table3[[#This Row],[POS]]="SP",Table3[[#This Row],[POS]]="RP",Table3[[#This Row],[POS]]="CL"),"P",INDEX(Batters[[#All],[zScore]],MATCH(Table3[[#This Row],[PID]],Batters[[#All],[PID]],0)))</f>
        <v>P</v>
      </c>
    </row>
    <row r="112" spans="1:64" ht="15" customHeight="1" x14ac:dyDescent="0.3">
      <c r="A112" s="40">
        <v>20304</v>
      </c>
      <c r="B112" s="40" t="s">
        <v>380</v>
      </c>
      <c r="C112" s="40" t="s">
        <v>1605</v>
      </c>
      <c r="D112" s="40" t="s">
        <v>977</v>
      </c>
      <c r="E112" s="40">
        <v>18</v>
      </c>
      <c r="F112" s="40" t="s">
        <v>42</v>
      </c>
      <c r="G112" s="40" t="s">
        <v>42</v>
      </c>
      <c r="H112" s="41" t="s">
        <v>561</v>
      </c>
      <c r="I112" s="42" t="s">
        <v>43</v>
      </c>
      <c r="J112" s="40" t="s">
        <v>43</v>
      </c>
      <c r="K112" s="41" t="s">
        <v>47</v>
      </c>
      <c r="L112" s="40">
        <v>3</v>
      </c>
      <c r="M112" s="40">
        <v>1</v>
      </c>
      <c r="N112" s="41">
        <v>1</v>
      </c>
      <c r="O112" s="40">
        <v>5</v>
      </c>
      <c r="P112" s="40">
        <v>1</v>
      </c>
      <c r="Q112" s="41">
        <v>4</v>
      </c>
      <c r="R112" s="40" t="s">
        <v>45</v>
      </c>
      <c r="S112" s="40" t="s">
        <v>45</v>
      </c>
      <c r="T112" s="40" t="s">
        <v>45</v>
      </c>
      <c r="U112" s="40" t="s">
        <v>45</v>
      </c>
      <c r="V112" s="40">
        <v>4</v>
      </c>
      <c r="W112" s="40">
        <v>6</v>
      </c>
      <c r="X112" s="40">
        <v>4</v>
      </c>
      <c r="Y112" s="40">
        <v>6</v>
      </c>
      <c r="Z112" s="40" t="s">
        <v>45</v>
      </c>
      <c r="AA112" s="40" t="s">
        <v>45</v>
      </c>
      <c r="AB112" s="40" t="s">
        <v>45</v>
      </c>
      <c r="AC112" s="40" t="s">
        <v>45</v>
      </c>
      <c r="AD112" s="40">
        <v>3</v>
      </c>
      <c r="AE112" s="40">
        <v>4</v>
      </c>
      <c r="AF112" s="40" t="s">
        <v>45</v>
      </c>
      <c r="AG112" s="40" t="s">
        <v>45</v>
      </c>
      <c r="AH112" s="40" t="s">
        <v>45</v>
      </c>
      <c r="AI112" s="40" t="s">
        <v>45</v>
      </c>
      <c r="AJ112" s="40" t="s">
        <v>45</v>
      </c>
      <c r="AK112" s="40" t="s">
        <v>45</v>
      </c>
      <c r="AL112" s="40" t="s">
        <v>45</v>
      </c>
      <c r="AM112" s="40" t="s">
        <v>45</v>
      </c>
      <c r="AN112" s="40" t="s">
        <v>45</v>
      </c>
      <c r="AO112" s="41" t="s">
        <v>45</v>
      </c>
      <c r="AP112" s="40" t="s">
        <v>58</v>
      </c>
      <c r="AQ112" s="40">
        <v>1</v>
      </c>
      <c r="AR112" s="48" t="s">
        <v>14</v>
      </c>
      <c r="AS112" s="43" t="s">
        <v>583</v>
      </c>
      <c r="AT112" s="43" t="s">
        <v>103</v>
      </c>
      <c r="AU112" s="44">
        <f t="shared" si="10"/>
        <v>-2.3121015889492513</v>
      </c>
      <c r="AV112" s="44">
        <f t="shared" si="11"/>
        <v>-0.75026249103150122</v>
      </c>
      <c r="AW112" s="45">
        <f t="shared" si="12"/>
        <v>3</v>
      </c>
      <c r="AX112" s="45">
        <f t="shared" si="13"/>
        <v>2</v>
      </c>
      <c r="AY112" s="46">
        <f>VLOOKUP(AP112,COND!$A$10:$B$32,2,FALSE)</f>
        <v>1</v>
      </c>
      <c r="AZ112" s="44">
        <f>($AU$3*AU112+$AV$3*AV112+$AW$3*AW112+$AX$3*AX112)*AY112*IF(AQ112&lt;5,0.95,IF(AQ112&lt;7,0.975,1))+$I$3*VLOOKUP(I112,COND!$A$2:$E$7,4,FALSE)+$J$3*VLOOKUP(J112,COND!$A$2:$E$7,2,FALSE)+$K$3*VLOOKUP(K112,COND!$A$2:$E$7,3,FALSE)+IF(BB112="SP",$BB$3,0)+IF($AW112&lt;3,-5,0)+IF(AND($B$2&gt;0,$E112&lt;20),$B$2*25,0)</f>
        <v>39.405713368501125</v>
      </c>
      <c r="BA112" s="47">
        <f>STANDARDIZE(AZ112,AVERAGE($AZ$5:$AZ$455),STDEVP($AZ$5:$AZ$455))</f>
        <v>0.12028216421287641</v>
      </c>
      <c r="BB112" s="45" t="str">
        <f t="shared" si="14"/>
        <v>RP</v>
      </c>
      <c r="BC112" s="45">
        <v>900</v>
      </c>
      <c r="BD112" s="45">
        <v>107</v>
      </c>
      <c r="BE112" s="45"/>
      <c r="BF112" s="45" t="str">
        <f t="shared" si="15"/>
        <v>Unlikely</v>
      </c>
      <c r="BG112" s="45"/>
      <c r="BH112" s="63">
        <f>INDEX(Table5[[#All],[Ovr]],MATCH(Table3[[#This Row],[PID]],Table5[[#All],[PID]],0))</f>
        <v>614</v>
      </c>
      <c r="BI112" s="63" t="str">
        <f>INDEX(Table5[[#All],[Rnd]],MATCH(Table3[[#This Row],[PID]],Table5[[#All],[PID]],0))</f>
        <v>19</v>
      </c>
      <c r="BJ112" s="63">
        <f>INDEX(Table5[[#All],[Pick]],MATCH(Table3[[#This Row],[PID]],Table5[[#All],[PID]],0))</f>
        <v>11</v>
      </c>
      <c r="BK112" s="63" t="str">
        <f>INDEX(Table5[[#All],[Team]],MATCH(Table3[[#This Row],[PID]],Table5[[#All],[PID]],0))</f>
        <v>Arlington Bureaucrats</v>
      </c>
      <c r="BL112" s="63" t="str">
        <f>IF(OR(Table3[[#This Row],[POS]]="SP",Table3[[#This Row],[POS]]="RP",Table3[[#This Row],[POS]]="CL"),"P",INDEX(Batters[[#All],[zScore]],MATCH(Table3[[#This Row],[PID]],Batters[[#All],[PID]],0)))</f>
        <v>P</v>
      </c>
    </row>
    <row r="113" spans="1:64" ht="15" customHeight="1" x14ac:dyDescent="0.3">
      <c r="A113" s="40">
        <v>20575</v>
      </c>
      <c r="B113" s="40" t="s">
        <v>380</v>
      </c>
      <c r="C113" s="40" t="s">
        <v>1521</v>
      </c>
      <c r="D113" s="40" t="s">
        <v>1522</v>
      </c>
      <c r="E113" s="40">
        <v>17</v>
      </c>
      <c r="F113" s="40" t="s">
        <v>53</v>
      </c>
      <c r="G113" s="40" t="s">
        <v>42</v>
      </c>
      <c r="H113" s="41" t="s">
        <v>561</v>
      </c>
      <c r="I113" s="42" t="s">
        <v>43</v>
      </c>
      <c r="J113" s="40" t="s">
        <v>47</v>
      </c>
      <c r="K113" s="41" t="s">
        <v>43</v>
      </c>
      <c r="L113" s="40">
        <v>2</v>
      </c>
      <c r="M113" s="40">
        <v>2</v>
      </c>
      <c r="N113" s="41">
        <v>1</v>
      </c>
      <c r="O113" s="40">
        <v>4</v>
      </c>
      <c r="P113" s="40">
        <v>2</v>
      </c>
      <c r="Q113" s="41">
        <v>4</v>
      </c>
      <c r="R113" s="40">
        <v>3</v>
      </c>
      <c r="S113" s="40">
        <v>4</v>
      </c>
      <c r="T113" s="40">
        <v>1</v>
      </c>
      <c r="U113" s="40">
        <v>3</v>
      </c>
      <c r="V113" s="40" t="s">
        <v>45</v>
      </c>
      <c r="W113" s="40" t="s">
        <v>45</v>
      </c>
      <c r="X113" s="40">
        <v>2</v>
      </c>
      <c r="Y113" s="40">
        <v>4</v>
      </c>
      <c r="Z113" s="40" t="s">
        <v>45</v>
      </c>
      <c r="AA113" s="40" t="s">
        <v>45</v>
      </c>
      <c r="AB113" s="40" t="s">
        <v>45</v>
      </c>
      <c r="AC113" s="40" t="s">
        <v>45</v>
      </c>
      <c r="AD113" s="40" t="s">
        <v>45</v>
      </c>
      <c r="AE113" s="40" t="s">
        <v>45</v>
      </c>
      <c r="AF113" s="40">
        <v>3</v>
      </c>
      <c r="AG113" s="40">
        <v>5</v>
      </c>
      <c r="AH113" s="40" t="s">
        <v>45</v>
      </c>
      <c r="AI113" s="40" t="s">
        <v>45</v>
      </c>
      <c r="AJ113" s="40" t="s">
        <v>45</v>
      </c>
      <c r="AK113" s="40" t="s">
        <v>45</v>
      </c>
      <c r="AL113" s="40" t="s">
        <v>45</v>
      </c>
      <c r="AM113" s="40" t="s">
        <v>45</v>
      </c>
      <c r="AN113" s="40" t="s">
        <v>45</v>
      </c>
      <c r="AO113" s="41" t="s">
        <v>45</v>
      </c>
      <c r="AP113" s="40" t="s">
        <v>64</v>
      </c>
      <c r="AQ113" s="40">
        <v>5</v>
      </c>
      <c r="AR113" s="48" t="s">
        <v>326</v>
      </c>
      <c r="AS113" s="43" t="s">
        <v>583</v>
      </c>
      <c r="AT113" s="43" t="s">
        <v>103</v>
      </c>
      <c r="AU113" s="44">
        <f t="shared" si="10"/>
        <v>-2.311361197028369</v>
      </c>
      <c r="AV113" s="44">
        <f t="shared" si="11"/>
        <v>-0.74952209911061918</v>
      </c>
      <c r="AW113" s="45">
        <f t="shared" si="12"/>
        <v>4</v>
      </c>
      <c r="AX113" s="45">
        <f t="shared" si="13"/>
        <v>0</v>
      </c>
      <c r="AY113" s="46">
        <f>VLOOKUP(AP113,COND!$A$10:$B$32,2,FALSE)</f>
        <v>1</v>
      </c>
      <c r="AZ113" s="44">
        <f>($AU$3*AU113+$AV$3*AV113+$AW$3*AW113+$AX$3*AX113)*AY113*IF(AQ113&lt;5,0.95,IF(AQ113&lt;7,0.975,1))+$I$3*VLOOKUP(I113,COND!$A$2:$E$7,4,FALSE)+$J$3*VLOOKUP(J113,COND!$A$2:$E$7,2,FALSE)+$K$3*VLOOKUP(K113,COND!$A$2:$E$7,3,FALSE)+IF(BB113="SP",$BB$3,0)+IF($AW113&lt;3,-5,0)+IF(AND($B$2&gt;0,$E113&lt;20),$B$2*25,0)</f>
        <v>39.183603633922395</v>
      </c>
      <c r="BA113" s="47">
        <f>STANDARDIZE(AZ113,AVERAGE($AZ$5:$AZ$445),STDEVP($AZ$5:$AZ$445))</f>
        <v>0.10448047048955544</v>
      </c>
      <c r="BB113" s="45" t="str">
        <f t="shared" si="14"/>
        <v>SP</v>
      </c>
      <c r="BC113" s="45">
        <v>900</v>
      </c>
      <c r="BD113" s="45">
        <v>108</v>
      </c>
      <c r="BE113" s="45"/>
      <c r="BF113" s="45" t="str">
        <f t="shared" si="15"/>
        <v>Unlikely</v>
      </c>
      <c r="BG113" s="45"/>
      <c r="BH113" s="63">
        <f>INDEX(Table5[[#All],[Ovr]],MATCH(Table3[[#This Row],[PID]],Table5[[#All],[PID]],0))</f>
        <v>374</v>
      </c>
      <c r="BI113" s="63" t="str">
        <f>INDEX(Table5[[#All],[Rnd]],MATCH(Table3[[#This Row],[PID]],Table5[[#All],[PID]],0))</f>
        <v>12</v>
      </c>
      <c r="BJ113" s="63">
        <f>INDEX(Table5[[#All],[Pick]],MATCH(Table3[[#This Row],[PID]],Table5[[#All],[PID]],0))</f>
        <v>9</v>
      </c>
      <c r="BK113" s="63" t="str">
        <f>INDEX(Table5[[#All],[Team]],MATCH(Table3[[#This Row],[PID]],Table5[[#All],[PID]],0))</f>
        <v>Gloucester Fishermen</v>
      </c>
      <c r="BL113" s="63" t="str">
        <f>IF(OR(Table3[[#This Row],[POS]]="SP",Table3[[#This Row],[POS]]="RP",Table3[[#This Row],[POS]]="CL"),"P",INDEX(Batters[[#All],[zScore]],MATCH(Table3[[#This Row],[PID]],Batters[[#All],[PID]],0)))</f>
        <v>P</v>
      </c>
    </row>
    <row r="114" spans="1:64" ht="15" customHeight="1" x14ac:dyDescent="0.3">
      <c r="A114" s="40">
        <v>11264</v>
      </c>
      <c r="B114" s="40" t="s">
        <v>380</v>
      </c>
      <c r="C114" s="40" t="s">
        <v>180</v>
      </c>
      <c r="D114" s="40" t="s">
        <v>610</v>
      </c>
      <c r="E114" s="40">
        <v>17</v>
      </c>
      <c r="F114" s="40" t="s">
        <v>42</v>
      </c>
      <c r="G114" s="40" t="s">
        <v>42</v>
      </c>
      <c r="H114" s="41" t="s">
        <v>561</v>
      </c>
      <c r="I114" s="42" t="s">
        <v>43</v>
      </c>
      <c r="J114" s="40" t="s">
        <v>43</v>
      </c>
      <c r="K114" s="41" t="s">
        <v>43</v>
      </c>
      <c r="L114" s="40">
        <v>2</v>
      </c>
      <c r="M114" s="40">
        <v>1</v>
      </c>
      <c r="N114" s="41">
        <v>1</v>
      </c>
      <c r="O114" s="40">
        <v>5</v>
      </c>
      <c r="P114" s="40">
        <v>2</v>
      </c>
      <c r="Q114" s="41">
        <v>3</v>
      </c>
      <c r="R114" s="40">
        <v>4</v>
      </c>
      <c r="S114" s="40">
        <v>6</v>
      </c>
      <c r="T114" s="40">
        <v>1</v>
      </c>
      <c r="U114" s="40">
        <v>1</v>
      </c>
      <c r="V114" s="40" t="s">
        <v>45</v>
      </c>
      <c r="W114" s="40" t="s">
        <v>45</v>
      </c>
      <c r="X114" s="40">
        <v>2</v>
      </c>
      <c r="Y114" s="40">
        <v>7</v>
      </c>
      <c r="Z114" s="40" t="s">
        <v>45</v>
      </c>
      <c r="AA114" s="40" t="s">
        <v>45</v>
      </c>
      <c r="AB114" s="40" t="s">
        <v>45</v>
      </c>
      <c r="AC114" s="40" t="s">
        <v>45</v>
      </c>
      <c r="AD114" s="40" t="s">
        <v>45</v>
      </c>
      <c r="AE114" s="40" t="s">
        <v>45</v>
      </c>
      <c r="AF114" s="40" t="s">
        <v>45</v>
      </c>
      <c r="AG114" s="40" t="s">
        <v>45</v>
      </c>
      <c r="AH114" s="40" t="s">
        <v>45</v>
      </c>
      <c r="AI114" s="40" t="s">
        <v>45</v>
      </c>
      <c r="AJ114" s="40" t="s">
        <v>45</v>
      </c>
      <c r="AK114" s="40" t="s">
        <v>45</v>
      </c>
      <c r="AL114" s="40" t="s">
        <v>45</v>
      </c>
      <c r="AM114" s="40" t="s">
        <v>45</v>
      </c>
      <c r="AN114" s="40" t="s">
        <v>45</v>
      </c>
      <c r="AO114" s="41" t="s">
        <v>45</v>
      </c>
      <c r="AP114" s="40" t="s">
        <v>57</v>
      </c>
      <c r="AQ114" s="40">
        <v>6</v>
      </c>
      <c r="AR114" s="48" t="s">
        <v>14</v>
      </c>
      <c r="AS114" s="43" t="s">
        <v>558</v>
      </c>
      <c r="AT114" s="43" t="s">
        <v>103</v>
      </c>
      <c r="AU114" s="44">
        <f t="shared" si="10"/>
        <v>-2.5067929134584248</v>
      </c>
      <c r="AV114" s="44">
        <f t="shared" si="11"/>
        <v>-0.79715134065555615</v>
      </c>
      <c r="AW114" s="45">
        <f t="shared" si="12"/>
        <v>3</v>
      </c>
      <c r="AX114" s="45">
        <f t="shared" si="13"/>
        <v>2</v>
      </c>
      <c r="AY114" s="46">
        <f>VLOOKUP(AP114,COND!$A$10:$B$32,2,FALSE)</f>
        <v>1</v>
      </c>
      <c r="AZ114" s="44">
        <f>($AU$3*AU114+$AV$3*AV114+$AW$3*AW114+$AX$3*AX114)*AY114*IF(AQ114&lt;5,0.95,IF(AQ114&lt;7,0.975,1))+$I$3*VLOOKUP(I114,COND!$A$2:$E$7,4,FALSE)+$J$3*VLOOKUP(J114,COND!$A$2:$E$7,2,FALSE)+$K$3*VLOOKUP(K114,COND!$A$2:$E$7,3,FALSE)+IF(BB114="SP",$BB$3,0)+IF($AW114&lt;3,-5,0)+IF(AND($B$2&gt;0,$E114&lt;20),$B$2*25,0)</f>
        <v>39.866724239092264</v>
      </c>
      <c r="BA114" s="47">
        <f>STANDARDIZE(AZ114,AVERAGE($AZ$5:$AZ$445),STDEVP($AZ$5:$AZ$445))</f>
        <v>0.15308015298189431</v>
      </c>
      <c r="BB114" s="45" t="str">
        <f t="shared" si="14"/>
        <v>SP</v>
      </c>
      <c r="BC114" s="45">
        <v>900</v>
      </c>
      <c r="BD114" s="45">
        <v>109</v>
      </c>
      <c r="BE114" s="45"/>
      <c r="BF114" s="45" t="str">
        <f t="shared" si="15"/>
        <v>Unlikely</v>
      </c>
      <c r="BG114" s="45"/>
      <c r="BH114" s="63" t="str">
        <f>INDEX(Table5[[#All],[Ovr]],MATCH(Table3[[#This Row],[PID]],Table5[[#All],[PID]],0))</f>
        <v/>
      </c>
      <c r="BI114" s="63" t="str">
        <f>INDEX(Table5[[#All],[Rnd]],MATCH(Table3[[#This Row],[PID]],Table5[[#All],[PID]],0))</f>
        <v/>
      </c>
      <c r="BJ114" s="63" t="str">
        <f>INDEX(Table5[[#All],[Pick]],MATCH(Table3[[#This Row],[PID]],Table5[[#All],[PID]],0))</f>
        <v/>
      </c>
      <c r="BK114" s="63" t="str">
        <f>INDEX(Table5[[#All],[Team]],MATCH(Table3[[#This Row],[PID]],Table5[[#All],[PID]],0))</f>
        <v/>
      </c>
      <c r="BL114" s="63" t="str">
        <f>IF(OR(Table3[[#This Row],[POS]]="SP",Table3[[#This Row],[POS]]="RP",Table3[[#This Row],[POS]]="CL"),"P",INDEX(Batters[[#All],[zScore]],MATCH(Table3[[#This Row],[PID]],Batters[[#All],[PID]],0)))</f>
        <v>P</v>
      </c>
    </row>
    <row r="115" spans="1:64" ht="15" customHeight="1" x14ac:dyDescent="0.3">
      <c r="A115" s="40">
        <v>12283</v>
      </c>
      <c r="B115" s="40" t="s">
        <v>380</v>
      </c>
      <c r="C115" s="40" t="s">
        <v>142</v>
      </c>
      <c r="D115" s="40" t="s">
        <v>1461</v>
      </c>
      <c r="E115" s="40">
        <v>18</v>
      </c>
      <c r="F115" s="40" t="s">
        <v>53</v>
      </c>
      <c r="G115" s="40" t="s">
        <v>53</v>
      </c>
      <c r="H115" s="41" t="s">
        <v>561</v>
      </c>
      <c r="I115" s="42" t="s">
        <v>43</v>
      </c>
      <c r="J115" s="40" t="s">
        <v>43</v>
      </c>
      <c r="K115" s="41" t="s">
        <v>43</v>
      </c>
      <c r="L115" s="40">
        <v>3</v>
      </c>
      <c r="M115" s="40">
        <v>1</v>
      </c>
      <c r="N115" s="41">
        <v>1</v>
      </c>
      <c r="O115" s="40">
        <v>5</v>
      </c>
      <c r="P115" s="40">
        <v>2</v>
      </c>
      <c r="Q115" s="41">
        <v>3</v>
      </c>
      <c r="R115" s="40">
        <v>5</v>
      </c>
      <c r="S115" s="40">
        <v>6</v>
      </c>
      <c r="T115" s="40">
        <v>1</v>
      </c>
      <c r="U115" s="40">
        <v>1</v>
      </c>
      <c r="V115" s="40">
        <v>3</v>
      </c>
      <c r="W115" s="40">
        <v>6</v>
      </c>
      <c r="X115" s="40" t="s">
        <v>45</v>
      </c>
      <c r="Y115" s="40" t="s">
        <v>45</v>
      </c>
      <c r="Z115" s="40" t="s">
        <v>45</v>
      </c>
      <c r="AA115" s="40" t="s">
        <v>45</v>
      </c>
      <c r="AB115" s="40" t="s">
        <v>45</v>
      </c>
      <c r="AC115" s="40" t="s">
        <v>45</v>
      </c>
      <c r="AD115" s="40" t="s">
        <v>45</v>
      </c>
      <c r="AE115" s="40" t="s">
        <v>45</v>
      </c>
      <c r="AF115" s="40" t="s">
        <v>45</v>
      </c>
      <c r="AG115" s="40" t="s">
        <v>45</v>
      </c>
      <c r="AH115" s="40" t="s">
        <v>45</v>
      </c>
      <c r="AI115" s="40" t="s">
        <v>45</v>
      </c>
      <c r="AJ115" s="40" t="s">
        <v>45</v>
      </c>
      <c r="AK115" s="40" t="s">
        <v>45</v>
      </c>
      <c r="AL115" s="40" t="s">
        <v>45</v>
      </c>
      <c r="AM115" s="40" t="s">
        <v>45</v>
      </c>
      <c r="AN115" s="40" t="s">
        <v>45</v>
      </c>
      <c r="AO115" s="41" t="s">
        <v>45</v>
      </c>
      <c r="AP115" s="40" t="s">
        <v>56</v>
      </c>
      <c r="AQ115" s="40">
        <v>6</v>
      </c>
      <c r="AR115" s="48" t="s">
        <v>14</v>
      </c>
      <c r="AS115" s="43" t="s">
        <v>583</v>
      </c>
      <c r="AT115" s="43" t="s">
        <v>103</v>
      </c>
      <c r="AU115" s="44">
        <f t="shared" si="10"/>
        <v>-2.3121015889492513</v>
      </c>
      <c r="AV115" s="44">
        <f t="shared" si="11"/>
        <v>-0.79715134065555615</v>
      </c>
      <c r="AW115" s="45">
        <f t="shared" si="12"/>
        <v>3</v>
      </c>
      <c r="AX115" s="45">
        <f t="shared" si="13"/>
        <v>2</v>
      </c>
      <c r="AY115" s="46">
        <f>VLOOKUP(AP115,COND!$A$10:$B$32,2,FALSE)</f>
        <v>1</v>
      </c>
      <c r="AZ115" s="44">
        <f>($AU$3*AU115+$AV$3*AV115+$AW$3*AW115+$AX$3*AX115)*AY115*IF(AQ115&lt;5,0.95,IF(AQ115&lt;7,0.975,1))+$I$3*VLOOKUP(I115,COND!$A$2:$E$7,4,FALSE)+$J$3*VLOOKUP(J115,COND!$A$2:$E$7,2,FALSE)+$K$3*VLOOKUP(K115,COND!$A$2:$E$7,3,FALSE)+IF(BB115="SP",$BB$3,0)+IF($AW115&lt;3,-5,0)+IF(AND($B$2&gt;0,$E115&lt;20),$B$2*25,0)</f>
        <v>39.904689047371548</v>
      </c>
      <c r="BA115" s="47">
        <f t="shared" ref="BA115:BA121" si="18">STANDARDIZE(AZ115,AVERAGE($AZ$5:$AZ$428),STDEVP($AZ$5:$AZ$428))</f>
        <v>0.14968476359238403</v>
      </c>
      <c r="BB115" s="45" t="str">
        <f t="shared" si="14"/>
        <v>SP</v>
      </c>
      <c r="BC115" s="45">
        <v>900</v>
      </c>
      <c r="BD115" s="45">
        <v>110</v>
      </c>
      <c r="BE115" s="45"/>
      <c r="BF115" s="45" t="str">
        <f t="shared" si="15"/>
        <v>Unlikely</v>
      </c>
      <c r="BG115" s="45"/>
      <c r="BH115" s="45" t="str">
        <f>INDEX(Table5[[#All],[Ovr]],MATCH(Table3[[#This Row],[PID]],Table5[[#All],[PID]],0))</f>
        <v/>
      </c>
      <c r="BI115" s="45" t="str">
        <f>INDEX(Table5[[#All],[Rnd]],MATCH(Table3[[#This Row],[PID]],Table5[[#All],[PID]],0))</f>
        <v/>
      </c>
      <c r="BJ115" s="45" t="str">
        <f>INDEX(Table5[[#All],[Pick]],MATCH(Table3[[#This Row],[PID]],Table5[[#All],[PID]],0))</f>
        <v/>
      </c>
      <c r="BK115" s="45" t="str">
        <f>INDEX(Table5[[#All],[Team]],MATCH(Table3[[#This Row],[PID]],Table5[[#All],[PID]],0))</f>
        <v/>
      </c>
      <c r="BL115" s="45" t="str">
        <f>IF(OR(Table3[[#This Row],[POS]]="SP",Table3[[#This Row],[POS]]="RP",Table3[[#This Row],[POS]]="CL"),"P",INDEX(Batters[[#All],[zScore]],MATCH(Table3[[#This Row],[PID]],Batters[[#All],[PID]],0)))</f>
        <v>P</v>
      </c>
    </row>
    <row r="116" spans="1:64" ht="15" customHeight="1" x14ac:dyDescent="0.3">
      <c r="A116" s="40">
        <v>10795</v>
      </c>
      <c r="B116" s="40" t="s">
        <v>380</v>
      </c>
      <c r="C116" s="40" t="s">
        <v>789</v>
      </c>
      <c r="D116" s="40" t="s">
        <v>1548</v>
      </c>
      <c r="E116" s="40">
        <v>17</v>
      </c>
      <c r="F116" s="40" t="s">
        <v>42</v>
      </c>
      <c r="G116" s="40" t="s">
        <v>42</v>
      </c>
      <c r="H116" s="41" t="s">
        <v>561</v>
      </c>
      <c r="I116" s="42" t="s">
        <v>43</v>
      </c>
      <c r="J116" s="40" t="s">
        <v>43</v>
      </c>
      <c r="K116" s="41" t="s">
        <v>43</v>
      </c>
      <c r="L116" s="40">
        <v>1</v>
      </c>
      <c r="M116" s="40">
        <v>2</v>
      </c>
      <c r="N116" s="41">
        <v>1</v>
      </c>
      <c r="O116" s="40">
        <v>4</v>
      </c>
      <c r="P116" s="40">
        <v>2</v>
      </c>
      <c r="Q116" s="41">
        <v>4</v>
      </c>
      <c r="R116" s="40">
        <v>2</v>
      </c>
      <c r="S116" s="40">
        <v>4</v>
      </c>
      <c r="T116" s="40">
        <v>1</v>
      </c>
      <c r="U116" s="40">
        <v>2</v>
      </c>
      <c r="V116" s="40">
        <v>2</v>
      </c>
      <c r="W116" s="40">
        <v>6</v>
      </c>
      <c r="X116" s="40" t="s">
        <v>45</v>
      </c>
      <c r="Y116" s="40" t="s">
        <v>45</v>
      </c>
      <c r="Z116" s="40" t="s">
        <v>45</v>
      </c>
      <c r="AA116" s="40" t="s">
        <v>45</v>
      </c>
      <c r="AB116" s="40" t="s">
        <v>45</v>
      </c>
      <c r="AC116" s="40" t="s">
        <v>45</v>
      </c>
      <c r="AD116" s="40" t="s">
        <v>45</v>
      </c>
      <c r="AE116" s="40" t="s">
        <v>45</v>
      </c>
      <c r="AF116" s="40" t="s">
        <v>45</v>
      </c>
      <c r="AG116" s="40" t="s">
        <v>45</v>
      </c>
      <c r="AH116" s="40" t="s">
        <v>45</v>
      </c>
      <c r="AI116" s="40" t="s">
        <v>45</v>
      </c>
      <c r="AJ116" s="40" t="s">
        <v>45</v>
      </c>
      <c r="AK116" s="40" t="s">
        <v>45</v>
      </c>
      <c r="AL116" s="40" t="s">
        <v>45</v>
      </c>
      <c r="AM116" s="40" t="s">
        <v>45</v>
      </c>
      <c r="AN116" s="40" t="s">
        <v>45</v>
      </c>
      <c r="AO116" s="41" t="s">
        <v>45</v>
      </c>
      <c r="AP116" s="40" t="s">
        <v>65</v>
      </c>
      <c r="AQ116" s="40">
        <v>7</v>
      </c>
      <c r="AR116" s="48" t="s">
        <v>326</v>
      </c>
      <c r="AS116" s="43" t="s">
        <v>558</v>
      </c>
      <c r="AT116" s="43" t="s">
        <v>103</v>
      </c>
      <c r="AU116" s="44">
        <f t="shared" si="10"/>
        <v>-2.5060525215375429</v>
      </c>
      <c r="AV116" s="44">
        <f t="shared" si="11"/>
        <v>-0.74952209911061918</v>
      </c>
      <c r="AW116" s="45">
        <f t="shared" si="12"/>
        <v>3</v>
      </c>
      <c r="AX116" s="45">
        <f t="shared" si="13"/>
        <v>1</v>
      </c>
      <c r="AY116" s="46">
        <f>VLOOKUP(AP116,COND!$A$10:$B$32,2,FALSE)</f>
        <v>0.95</v>
      </c>
      <c r="AZ116" s="44">
        <f>($AU$3*AU116+$AV$3*AV116+$AW$3*AW116+$AX$3*AX116)*AY116*IF(AQ116&lt;5,0.95,IF(AQ116&lt;7,0.975,1))+$I$3*VLOOKUP(I116,COND!$A$2:$E$7,4,FALSE)+$J$3*VLOOKUP(J116,COND!$A$2:$E$7,2,FALSE)+$K$3*VLOOKUP(K116,COND!$A$2:$E$7,3,FALSE)+IF(BB116="SP",$BB$3,0)+IF($AW116&lt;3,-5,0)+IF(AND($B$2&gt;0,$E116&lt;20),$B$2*25,0)</f>
        <v>39.895430137806102</v>
      </c>
      <c r="BA116" s="47">
        <f t="shared" si="18"/>
        <v>0.14902546411458939</v>
      </c>
      <c r="BB116" s="45" t="str">
        <f t="shared" si="14"/>
        <v>SP</v>
      </c>
      <c r="BC116" s="45">
        <v>900</v>
      </c>
      <c r="BD116" s="45">
        <v>111</v>
      </c>
      <c r="BE116" s="45"/>
      <c r="BF116" s="45" t="str">
        <f t="shared" si="15"/>
        <v>Unlikely</v>
      </c>
      <c r="BG116" s="45"/>
      <c r="BH116" s="45">
        <f>INDEX(Table5[[#All],[Ovr]],MATCH(Table3[[#This Row],[PID]],Table5[[#All],[PID]],0))</f>
        <v>491</v>
      </c>
      <c r="BI116" s="45" t="str">
        <f>INDEX(Table5[[#All],[Rnd]],MATCH(Table3[[#This Row],[PID]],Table5[[#All],[PID]],0))</f>
        <v>15</v>
      </c>
      <c r="BJ116" s="45">
        <f>INDEX(Table5[[#All],[Pick]],MATCH(Table3[[#This Row],[PID]],Table5[[#All],[PID]],0))</f>
        <v>24</v>
      </c>
      <c r="BK116" s="45" t="str">
        <f>INDEX(Table5[[#All],[Team]],MATCH(Table3[[#This Row],[PID]],Table5[[#All],[PID]],0))</f>
        <v>Reno Zephyrs</v>
      </c>
      <c r="BL116" s="45" t="str">
        <f>IF(OR(Table3[[#This Row],[POS]]="SP",Table3[[#This Row],[POS]]="RP",Table3[[#This Row],[POS]]="CL"),"P",INDEX(Batters[[#All],[zScore]],MATCH(Table3[[#This Row],[PID]],Batters[[#All],[PID]],0)))</f>
        <v>P</v>
      </c>
    </row>
    <row r="117" spans="1:64" ht="15" customHeight="1" x14ac:dyDescent="0.3">
      <c r="A117" s="40">
        <v>11355</v>
      </c>
      <c r="B117" s="40" t="s">
        <v>24</v>
      </c>
      <c r="C117" s="40" t="s">
        <v>130</v>
      </c>
      <c r="D117" s="40" t="s">
        <v>1426</v>
      </c>
      <c r="E117" s="40">
        <v>17</v>
      </c>
      <c r="F117" s="40" t="s">
        <v>42</v>
      </c>
      <c r="G117" s="40" t="s">
        <v>42</v>
      </c>
      <c r="H117" s="41" t="s">
        <v>553</v>
      </c>
      <c r="I117" s="42" t="s">
        <v>43</v>
      </c>
      <c r="J117" s="40" t="s">
        <v>43</v>
      </c>
      <c r="K117" s="41" t="s">
        <v>43</v>
      </c>
      <c r="L117" s="40">
        <v>2</v>
      </c>
      <c r="M117" s="40">
        <v>2</v>
      </c>
      <c r="N117" s="41">
        <v>2</v>
      </c>
      <c r="O117" s="40">
        <v>4</v>
      </c>
      <c r="P117" s="40">
        <v>2</v>
      </c>
      <c r="Q117" s="41">
        <v>4</v>
      </c>
      <c r="R117" s="40">
        <v>3</v>
      </c>
      <c r="S117" s="40">
        <v>5</v>
      </c>
      <c r="T117" s="40">
        <v>1</v>
      </c>
      <c r="U117" s="40">
        <v>7</v>
      </c>
      <c r="V117" s="40" t="s">
        <v>45</v>
      </c>
      <c r="W117" s="40" t="s">
        <v>45</v>
      </c>
      <c r="X117" s="40">
        <v>2</v>
      </c>
      <c r="Y117" s="40">
        <v>5</v>
      </c>
      <c r="Z117" s="40" t="s">
        <v>45</v>
      </c>
      <c r="AA117" s="40" t="s">
        <v>45</v>
      </c>
      <c r="AB117" s="40" t="s">
        <v>45</v>
      </c>
      <c r="AC117" s="40" t="s">
        <v>45</v>
      </c>
      <c r="AD117" s="40">
        <v>3</v>
      </c>
      <c r="AE117" s="40">
        <v>5</v>
      </c>
      <c r="AF117" s="40" t="s">
        <v>45</v>
      </c>
      <c r="AG117" s="40" t="s">
        <v>45</v>
      </c>
      <c r="AH117" s="40" t="s">
        <v>45</v>
      </c>
      <c r="AI117" s="40" t="s">
        <v>45</v>
      </c>
      <c r="AJ117" s="40" t="s">
        <v>45</v>
      </c>
      <c r="AK117" s="40" t="s">
        <v>45</v>
      </c>
      <c r="AL117" s="40" t="s">
        <v>45</v>
      </c>
      <c r="AM117" s="40" t="s">
        <v>45</v>
      </c>
      <c r="AN117" s="40" t="s">
        <v>45</v>
      </c>
      <c r="AO117" s="41" t="s">
        <v>45</v>
      </c>
      <c r="AP117" s="40" t="s">
        <v>328</v>
      </c>
      <c r="AQ117" s="40">
        <v>7</v>
      </c>
      <c r="AR117" s="48" t="s">
        <v>326</v>
      </c>
      <c r="AS117" s="43" t="s">
        <v>576</v>
      </c>
      <c r="AT117" s="43" t="s">
        <v>103</v>
      </c>
      <c r="AU117" s="44">
        <f t="shared" si="10"/>
        <v>-2.0690406309742588</v>
      </c>
      <c r="AV117" s="44">
        <f t="shared" si="11"/>
        <v>-0.74952209911061918</v>
      </c>
      <c r="AW117" s="45">
        <f t="shared" si="12"/>
        <v>4</v>
      </c>
      <c r="AX117" s="45">
        <f t="shared" si="13"/>
        <v>1</v>
      </c>
      <c r="AY117" s="46">
        <f>VLOOKUP(AP117,COND!$A$10:$B$32,2,FALSE)</f>
        <v>1</v>
      </c>
      <c r="AZ117" s="44">
        <f>($AU$3*AU117+$AV$3*AV117+$AW$3*AW117+$AX$3*AX117)*AY117*IF(AQ117&lt;5,0.95,IF(AQ117&lt;7,0.975,1))+$I$3*VLOOKUP(I117,COND!$A$2:$E$7,4,FALSE)+$J$3*VLOOKUP(J117,COND!$A$2:$E$7,2,FALSE)+$K$3*VLOOKUP(K117,COND!$A$2:$E$7,3,FALSE)+IF(BB117="SP",$BB$3,0)+IF($AW117&lt;3,-5,0)+IF(AND($B$2&gt;0,$E117&lt;20),$B$2*25,0)</f>
        <v>39.845749891592767</v>
      </c>
      <c r="BA117" s="47">
        <f t="shared" si="18"/>
        <v>0.14548788118933895</v>
      </c>
      <c r="BB117" s="45" t="str">
        <f t="shared" si="14"/>
        <v>SP</v>
      </c>
      <c r="BC117" s="45">
        <v>900</v>
      </c>
      <c r="BD117" s="45">
        <v>112</v>
      </c>
      <c r="BE117" s="45"/>
      <c r="BF117" s="45" t="str">
        <f t="shared" si="15"/>
        <v>Unlikely</v>
      </c>
      <c r="BG117" s="45"/>
      <c r="BH117" s="45">
        <f>INDEX(Table5[[#All],[Ovr]],MATCH(Table3[[#This Row],[PID]],Table5[[#All],[PID]],0))</f>
        <v>203</v>
      </c>
      <c r="BI117" s="45" t="str">
        <f>INDEX(Table5[[#All],[Rnd]],MATCH(Table3[[#This Row],[PID]],Table5[[#All],[PID]],0))</f>
        <v>7</v>
      </c>
      <c r="BJ117" s="45">
        <f>INDEX(Table5[[#All],[Pick]],MATCH(Table3[[#This Row],[PID]],Table5[[#All],[PID]],0))</f>
        <v>2</v>
      </c>
      <c r="BK117" s="45" t="str">
        <f>INDEX(Table5[[#All],[Team]],MATCH(Table3[[#This Row],[PID]],Table5[[#All],[PID]],0))</f>
        <v>Charleston Statesmen</v>
      </c>
      <c r="BL117" s="45" t="str">
        <f>IF(OR(Table3[[#This Row],[POS]]="SP",Table3[[#This Row],[POS]]="RP",Table3[[#This Row],[POS]]="CL"),"P",INDEX(Batters[[#All],[zScore]],MATCH(Table3[[#This Row],[PID]],Batters[[#All],[PID]],0)))</f>
        <v>P</v>
      </c>
    </row>
    <row r="118" spans="1:64" ht="15" customHeight="1" x14ac:dyDescent="0.3">
      <c r="A118" s="40">
        <v>7725</v>
      </c>
      <c r="B118" s="40" t="s">
        <v>380</v>
      </c>
      <c r="C118" s="40" t="s">
        <v>180</v>
      </c>
      <c r="D118" s="40" t="s">
        <v>688</v>
      </c>
      <c r="E118" s="40">
        <v>21</v>
      </c>
      <c r="F118" s="40" t="s">
        <v>42</v>
      </c>
      <c r="G118" s="40" t="s">
        <v>53</v>
      </c>
      <c r="H118" s="41" t="s">
        <v>561</v>
      </c>
      <c r="I118" s="42" t="s">
        <v>43</v>
      </c>
      <c r="J118" s="40" t="s">
        <v>47</v>
      </c>
      <c r="K118" s="41" t="s">
        <v>43</v>
      </c>
      <c r="L118" s="40">
        <v>3</v>
      </c>
      <c r="M118" s="40">
        <v>2</v>
      </c>
      <c r="N118" s="41">
        <v>2</v>
      </c>
      <c r="O118" s="40">
        <v>4</v>
      </c>
      <c r="P118" s="40">
        <v>3</v>
      </c>
      <c r="Q118" s="41">
        <v>4</v>
      </c>
      <c r="R118" s="40">
        <v>3</v>
      </c>
      <c r="S118" s="40">
        <v>4</v>
      </c>
      <c r="T118" s="40">
        <v>1</v>
      </c>
      <c r="U118" s="40">
        <v>2</v>
      </c>
      <c r="V118" s="40" t="s">
        <v>45</v>
      </c>
      <c r="W118" s="40" t="s">
        <v>45</v>
      </c>
      <c r="X118" s="40">
        <v>4</v>
      </c>
      <c r="Y118" s="40">
        <v>6</v>
      </c>
      <c r="Z118" s="40" t="s">
        <v>45</v>
      </c>
      <c r="AA118" s="40" t="s">
        <v>45</v>
      </c>
      <c r="AB118" s="40" t="s">
        <v>45</v>
      </c>
      <c r="AC118" s="40" t="s">
        <v>45</v>
      </c>
      <c r="AD118" s="40" t="s">
        <v>45</v>
      </c>
      <c r="AE118" s="40" t="s">
        <v>45</v>
      </c>
      <c r="AF118" s="40" t="s">
        <v>45</v>
      </c>
      <c r="AG118" s="40" t="s">
        <v>45</v>
      </c>
      <c r="AH118" s="40" t="s">
        <v>45</v>
      </c>
      <c r="AI118" s="40" t="s">
        <v>45</v>
      </c>
      <c r="AJ118" s="40" t="s">
        <v>45</v>
      </c>
      <c r="AK118" s="40" t="s">
        <v>45</v>
      </c>
      <c r="AL118" s="40" t="s">
        <v>45</v>
      </c>
      <c r="AM118" s="40" t="s">
        <v>45</v>
      </c>
      <c r="AN118" s="40" t="s">
        <v>45</v>
      </c>
      <c r="AO118" s="41" t="s">
        <v>45</v>
      </c>
      <c r="AP118" s="40" t="s">
        <v>65</v>
      </c>
      <c r="AQ118" s="40">
        <v>7</v>
      </c>
      <c r="AR118" s="48" t="s">
        <v>326</v>
      </c>
      <c r="AS118" s="43" t="s">
        <v>45</v>
      </c>
      <c r="AT118" s="43" t="s">
        <v>103</v>
      </c>
      <c r="AU118" s="44">
        <f t="shared" si="10"/>
        <v>-1.8743493064650851</v>
      </c>
      <c r="AV118" s="44">
        <f t="shared" si="11"/>
        <v>-0.55409038268056388</v>
      </c>
      <c r="AW118" s="45">
        <f t="shared" si="12"/>
        <v>3</v>
      </c>
      <c r="AX118" s="45">
        <f t="shared" si="13"/>
        <v>1</v>
      </c>
      <c r="AY118" s="46">
        <f>VLOOKUP(AP118,COND!$A$10:$B$32,2,FALSE)</f>
        <v>0.95</v>
      </c>
      <c r="AZ118" s="44">
        <f>($AU$3*AU118+$AV$3*AV118+$AW$3*AW118+$AX$3*AX118)*AY118*IF(AQ118&lt;5,0.95,IF(AQ118&lt;7,0.975,1))+$I$3*VLOOKUP(I118,COND!$A$2:$E$7,4,FALSE)+$J$3*VLOOKUP(J118,COND!$A$2:$E$7,2,FALSE)+$K$3*VLOOKUP(K118,COND!$A$2:$E$7,3,FALSE)+IF(BB118="SP",$BB$3,0)+IF($AW118&lt;3,-5,0)+IF(AND($B$2&gt;0,$E118&lt;20),$B$2*25,0)</f>
        <v>39.02865636084092</v>
      </c>
      <c r="BA118" s="47">
        <f t="shared" si="18"/>
        <v>8.7305075284796502E-2</v>
      </c>
      <c r="BB118" s="45" t="str">
        <f t="shared" si="14"/>
        <v>SP</v>
      </c>
      <c r="BC118" s="45">
        <v>900</v>
      </c>
      <c r="BD118" s="45">
        <v>113</v>
      </c>
      <c r="BE118" s="45"/>
      <c r="BF118" s="45" t="str">
        <f t="shared" si="15"/>
        <v>Unlikely</v>
      </c>
      <c r="BG118" s="45"/>
      <c r="BH118" s="45">
        <f>INDEX(Table5[[#All],[Ovr]],MATCH(Table3[[#This Row],[PID]],Table5[[#All],[PID]],0))</f>
        <v>346</v>
      </c>
      <c r="BI118" s="45" t="str">
        <f>INDEX(Table5[[#All],[Rnd]],MATCH(Table3[[#This Row],[PID]],Table5[[#All],[PID]],0))</f>
        <v>11</v>
      </c>
      <c r="BJ118" s="45">
        <f>INDEX(Table5[[#All],[Pick]],MATCH(Table3[[#This Row],[PID]],Table5[[#All],[PID]],0))</f>
        <v>15</v>
      </c>
      <c r="BK118" s="45" t="str">
        <f>INDEX(Table5[[#All],[Team]],MATCH(Table3[[#This Row],[PID]],Table5[[#All],[PID]],0))</f>
        <v>Niihama-shi Ghosts</v>
      </c>
      <c r="BL118" s="45" t="str">
        <f>IF(OR(Table3[[#This Row],[POS]]="SP",Table3[[#This Row],[POS]]="RP",Table3[[#This Row],[POS]]="CL"),"P",INDEX(Batters[[#All],[zScore]],MATCH(Table3[[#This Row],[PID]],Batters[[#All],[PID]],0)))</f>
        <v>P</v>
      </c>
    </row>
    <row r="119" spans="1:64" ht="15" customHeight="1" x14ac:dyDescent="0.3">
      <c r="A119" s="40">
        <v>13484</v>
      </c>
      <c r="B119" s="40" t="s">
        <v>380</v>
      </c>
      <c r="C119" s="40" t="s">
        <v>624</v>
      </c>
      <c r="D119" s="40" t="s">
        <v>1343</v>
      </c>
      <c r="E119" s="40">
        <v>21</v>
      </c>
      <c r="F119" s="40" t="s">
        <v>42</v>
      </c>
      <c r="G119" s="40" t="s">
        <v>42</v>
      </c>
      <c r="H119" s="41" t="s">
        <v>561</v>
      </c>
      <c r="I119" s="42" t="s">
        <v>43</v>
      </c>
      <c r="J119" s="40" t="s">
        <v>47</v>
      </c>
      <c r="K119" s="41" t="s">
        <v>43</v>
      </c>
      <c r="L119" s="40">
        <v>3</v>
      </c>
      <c r="M119" s="40">
        <v>3</v>
      </c>
      <c r="N119" s="41">
        <v>1</v>
      </c>
      <c r="O119" s="40">
        <v>5</v>
      </c>
      <c r="P119" s="40">
        <v>3</v>
      </c>
      <c r="Q119" s="41">
        <v>3</v>
      </c>
      <c r="R119" s="40">
        <v>5</v>
      </c>
      <c r="S119" s="40">
        <v>6</v>
      </c>
      <c r="T119" s="40">
        <v>1</v>
      </c>
      <c r="U119" s="40">
        <v>1</v>
      </c>
      <c r="V119" s="40">
        <v>3</v>
      </c>
      <c r="W119" s="40">
        <v>6</v>
      </c>
      <c r="X119" s="40" t="s">
        <v>45</v>
      </c>
      <c r="Y119" s="40" t="s">
        <v>45</v>
      </c>
      <c r="Z119" s="40" t="s">
        <v>45</v>
      </c>
      <c r="AA119" s="40" t="s">
        <v>45</v>
      </c>
      <c r="AB119" s="40" t="s">
        <v>45</v>
      </c>
      <c r="AC119" s="40" t="s">
        <v>45</v>
      </c>
      <c r="AD119" s="40" t="s">
        <v>45</v>
      </c>
      <c r="AE119" s="40" t="s">
        <v>45</v>
      </c>
      <c r="AF119" s="40" t="s">
        <v>45</v>
      </c>
      <c r="AG119" s="40" t="s">
        <v>45</v>
      </c>
      <c r="AH119" s="40" t="s">
        <v>45</v>
      </c>
      <c r="AI119" s="40" t="s">
        <v>45</v>
      </c>
      <c r="AJ119" s="40" t="s">
        <v>45</v>
      </c>
      <c r="AK119" s="40" t="s">
        <v>45</v>
      </c>
      <c r="AL119" s="40" t="s">
        <v>45</v>
      </c>
      <c r="AM119" s="40" t="s">
        <v>45</v>
      </c>
      <c r="AN119" s="40" t="s">
        <v>45</v>
      </c>
      <c r="AO119" s="41" t="s">
        <v>45</v>
      </c>
      <c r="AP119" s="40" t="s">
        <v>57</v>
      </c>
      <c r="AQ119" s="40">
        <v>7</v>
      </c>
      <c r="AR119" s="48" t="s">
        <v>326</v>
      </c>
      <c r="AS119" s="43" t="s">
        <v>45</v>
      </c>
      <c r="AT119" s="43" t="s">
        <v>103</v>
      </c>
      <c r="AU119" s="44">
        <f t="shared" si="10"/>
        <v>-1.9212381560891401</v>
      </c>
      <c r="AV119" s="44">
        <f t="shared" si="11"/>
        <v>-0.60171962422550074</v>
      </c>
      <c r="AW119" s="45">
        <f t="shared" si="12"/>
        <v>3</v>
      </c>
      <c r="AX119" s="45">
        <f t="shared" si="13"/>
        <v>2</v>
      </c>
      <c r="AY119" s="46">
        <f>VLOOKUP(AP119,COND!$A$10:$B$32,2,FALSE)</f>
        <v>1</v>
      </c>
      <c r="AZ119" s="44">
        <f>($AU$3*AU119+$AV$3*AV119+$AW$3*AW119+$AX$3*AX119)*AY119*IF(AQ119&lt;5,0.95,IF(AQ119&lt;7,0.975,1))+$I$3*VLOOKUP(I119,COND!$A$2:$E$7,4,FALSE)+$J$3*VLOOKUP(J119,COND!$A$2:$E$7,2,FALSE)+$K$3*VLOOKUP(K119,COND!$A$2:$E$7,3,FALSE)+IF(BB119="SP",$BB$3,0)+IF($AW119&lt;3,-5,0)+IF(AND($B$2&gt;0,$E119&lt;20),$B$2*25,0)</f>
        <v>38.881359884272158</v>
      </c>
      <c r="BA119" s="47">
        <f t="shared" si="18"/>
        <v>7.6816530235691197E-2</v>
      </c>
      <c r="BB119" s="45" t="str">
        <f t="shared" si="14"/>
        <v>SP</v>
      </c>
      <c r="BC119" s="45">
        <v>900</v>
      </c>
      <c r="BD119" s="45">
        <v>114</v>
      </c>
      <c r="BE119" s="45"/>
      <c r="BF119" s="45" t="str">
        <f t="shared" si="15"/>
        <v>Unlikely</v>
      </c>
      <c r="BG119" s="45"/>
      <c r="BH119" s="45">
        <f>INDEX(Table5[[#All],[Ovr]],MATCH(Table3[[#This Row],[PID]],Table5[[#All],[PID]],0))</f>
        <v>522</v>
      </c>
      <c r="BI119" s="45" t="str">
        <f>INDEX(Table5[[#All],[Rnd]],MATCH(Table3[[#This Row],[PID]],Table5[[#All],[PID]],0))</f>
        <v>16</v>
      </c>
      <c r="BJ119" s="45">
        <f>INDEX(Table5[[#All],[Pick]],MATCH(Table3[[#This Row],[PID]],Table5[[#All],[PID]],0))</f>
        <v>21</v>
      </c>
      <c r="BK119" s="45" t="str">
        <f>INDEX(Table5[[#All],[Team]],MATCH(Table3[[#This Row],[PID]],Table5[[#All],[PID]],0))</f>
        <v>Neo-Tokyo Akira</v>
      </c>
      <c r="BL119" s="45" t="str">
        <f>IF(OR(Table3[[#This Row],[POS]]="SP",Table3[[#This Row],[POS]]="RP",Table3[[#This Row],[POS]]="CL"),"P",INDEX(Batters[[#All],[zScore]],MATCH(Table3[[#This Row],[PID]],Batters[[#All],[PID]],0)))</f>
        <v>P</v>
      </c>
    </row>
    <row r="120" spans="1:64" ht="15" customHeight="1" x14ac:dyDescent="0.3">
      <c r="A120" s="40">
        <v>14112</v>
      </c>
      <c r="B120" s="40" t="s">
        <v>49</v>
      </c>
      <c r="C120" s="40" t="s">
        <v>397</v>
      </c>
      <c r="D120" s="40" t="s">
        <v>562</v>
      </c>
      <c r="E120" s="40">
        <v>21</v>
      </c>
      <c r="F120" s="40" t="s">
        <v>42</v>
      </c>
      <c r="G120" s="40" t="s">
        <v>42</v>
      </c>
      <c r="H120" s="41" t="s">
        <v>553</v>
      </c>
      <c r="I120" s="42" t="s">
        <v>44</v>
      </c>
      <c r="J120" s="40" t="s">
        <v>47</v>
      </c>
      <c r="K120" s="41" t="s">
        <v>43</v>
      </c>
      <c r="L120" s="40">
        <v>2</v>
      </c>
      <c r="M120" s="40">
        <v>2</v>
      </c>
      <c r="N120" s="41">
        <v>2</v>
      </c>
      <c r="O120" s="40">
        <v>3</v>
      </c>
      <c r="P120" s="40">
        <v>4</v>
      </c>
      <c r="Q120" s="41">
        <v>4</v>
      </c>
      <c r="R120" s="40">
        <v>3</v>
      </c>
      <c r="S120" s="40">
        <v>4</v>
      </c>
      <c r="T120" s="40">
        <v>1</v>
      </c>
      <c r="U120" s="40">
        <v>2</v>
      </c>
      <c r="V120" s="40" t="s">
        <v>45</v>
      </c>
      <c r="W120" s="40" t="s">
        <v>45</v>
      </c>
      <c r="X120" s="40">
        <v>1</v>
      </c>
      <c r="Y120" s="40">
        <v>2</v>
      </c>
      <c r="Z120" s="40" t="s">
        <v>45</v>
      </c>
      <c r="AA120" s="40" t="s">
        <v>45</v>
      </c>
      <c r="AB120" s="40">
        <v>3</v>
      </c>
      <c r="AC120" s="40">
        <v>4</v>
      </c>
      <c r="AD120" s="40" t="s">
        <v>45</v>
      </c>
      <c r="AE120" s="40" t="s">
        <v>45</v>
      </c>
      <c r="AF120" s="40" t="s">
        <v>45</v>
      </c>
      <c r="AG120" s="40" t="s">
        <v>45</v>
      </c>
      <c r="AH120" s="40" t="s">
        <v>45</v>
      </c>
      <c r="AI120" s="40" t="s">
        <v>45</v>
      </c>
      <c r="AJ120" s="40" t="s">
        <v>45</v>
      </c>
      <c r="AK120" s="40" t="s">
        <v>45</v>
      </c>
      <c r="AL120" s="40">
        <v>2</v>
      </c>
      <c r="AM120" s="40">
        <v>4</v>
      </c>
      <c r="AN120" s="40" t="s">
        <v>45</v>
      </c>
      <c r="AO120" s="41" t="s">
        <v>45</v>
      </c>
      <c r="AP120" s="40" t="s">
        <v>68</v>
      </c>
      <c r="AQ120" s="40">
        <v>10</v>
      </c>
      <c r="AR120" s="48" t="s">
        <v>326</v>
      </c>
      <c r="AS120" s="43" t="s">
        <v>45</v>
      </c>
      <c r="AT120" s="43" t="s">
        <v>103</v>
      </c>
      <c r="AU120" s="44">
        <f t="shared" si="10"/>
        <v>-2.0690406309742588</v>
      </c>
      <c r="AV120" s="44">
        <f t="shared" si="11"/>
        <v>-0.55334999075968205</v>
      </c>
      <c r="AW120" s="45">
        <f t="shared" si="12"/>
        <v>5</v>
      </c>
      <c r="AX120" s="45">
        <f t="shared" si="13"/>
        <v>0</v>
      </c>
      <c r="AY120" s="46">
        <f>VLOOKUP(AP120,COND!$A$10:$B$32,2,FALSE)</f>
        <v>0.95</v>
      </c>
      <c r="AZ120" s="44">
        <f>($AU$3*AU120+$AV$3*AV120+$AW$3*AW120+$AX$3*AX120)*AY120*IF(AQ120&lt;5,0.95,IF(AQ120&lt;7,0.975,1))+$I$3*VLOOKUP(I120,COND!$A$2:$E$7,4,FALSE)+$J$3*VLOOKUP(J120,COND!$A$2:$E$7,2,FALSE)+$K$3*VLOOKUP(K120,COND!$A$2:$E$7,3,FALSE)+IF(BB120="SP",$BB$3,0)+IF($AW120&lt;3,-5,0)+IF(AND($B$2&gt;0,$E120&lt;20),$B$2*25,0)</f>
        <v>38.618232455680932</v>
      </c>
      <c r="BA120" s="47">
        <f t="shared" si="18"/>
        <v>5.8080006778214281E-2</v>
      </c>
      <c r="BB120" s="45" t="str">
        <f t="shared" si="14"/>
        <v>SP</v>
      </c>
      <c r="BC120" s="45">
        <v>900</v>
      </c>
      <c r="BD120" s="45">
        <v>115</v>
      </c>
      <c r="BE120" s="45"/>
      <c r="BF120" s="45" t="str">
        <f t="shared" si="15"/>
        <v>Unlikely</v>
      </c>
      <c r="BG120" s="45"/>
      <c r="BH120" s="45">
        <f>INDEX(Table5[[#All],[Ovr]],MATCH(Table3[[#This Row],[PID]],Table5[[#All],[PID]],0))</f>
        <v>230</v>
      </c>
      <c r="BI120" s="45" t="str">
        <f>INDEX(Table5[[#All],[Rnd]],MATCH(Table3[[#This Row],[PID]],Table5[[#All],[PID]],0))</f>
        <v>7</v>
      </c>
      <c r="BJ120" s="45">
        <f>INDEX(Table5[[#All],[Pick]],MATCH(Table3[[#This Row],[PID]],Table5[[#All],[PID]],0))</f>
        <v>29</v>
      </c>
      <c r="BK120" s="45" t="str">
        <f>INDEX(Table5[[#All],[Team]],MATCH(Table3[[#This Row],[PID]],Table5[[#All],[PID]],0))</f>
        <v>Bakersfield Bears</v>
      </c>
      <c r="BL120" s="45" t="str">
        <f>IF(OR(Table3[[#This Row],[POS]]="SP",Table3[[#This Row],[POS]]="RP",Table3[[#This Row],[POS]]="CL"),"P",INDEX(Batters[[#All],[zScore]],MATCH(Table3[[#This Row],[PID]],Batters[[#All],[PID]],0)))</f>
        <v>P</v>
      </c>
    </row>
    <row r="121" spans="1:64" ht="15" customHeight="1" x14ac:dyDescent="0.3">
      <c r="A121" s="40">
        <v>12818</v>
      </c>
      <c r="B121" s="40" t="s">
        <v>24</v>
      </c>
      <c r="C121" s="40" t="s">
        <v>817</v>
      </c>
      <c r="D121" s="40" t="s">
        <v>1583</v>
      </c>
      <c r="E121" s="40">
        <v>17</v>
      </c>
      <c r="F121" s="40" t="s">
        <v>53</v>
      </c>
      <c r="G121" s="40" t="s">
        <v>53</v>
      </c>
      <c r="H121" s="41" t="s">
        <v>561</v>
      </c>
      <c r="I121" s="42" t="s">
        <v>43</v>
      </c>
      <c r="J121" s="40" t="s">
        <v>43</v>
      </c>
      <c r="K121" s="41" t="s">
        <v>47</v>
      </c>
      <c r="L121" s="40">
        <v>2</v>
      </c>
      <c r="M121" s="40">
        <v>2</v>
      </c>
      <c r="N121" s="41">
        <v>1</v>
      </c>
      <c r="O121" s="40">
        <v>5</v>
      </c>
      <c r="P121" s="40">
        <v>2</v>
      </c>
      <c r="Q121" s="41">
        <v>3</v>
      </c>
      <c r="R121" s="40">
        <v>3</v>
      </c>
      <c r="S121" s="40">
        <v>4</v>
      </c>
      <c r="T121" s="40">
        <v>3</v>
      </c>
      <c r="U121" s="40">
        <v>8</v>
      </c>
      <c r="V121" s="40">
        <v>2</v>
      </c>
      <c r="W121" s="40">
        <v>5</v>
      </c>
      <c r="X121" s="40" t="s">
        <v>45</v>
      </c>
      <c r="Y121" s="40" t="s">
        <v>45</v>
      </c>
      <c r="Z121" s="40" t="s">
        <v>45</v>
      </c>
      <c r="AA121" s="40" t="s">
        <v>45</v>
      </c>
      <c r="AB121" s="40" t="s">
        <v>45</v>
      </c>
      <c r="AC121" s="40" t="s">
        <v>45</v>
      </c>
      <c r="AD121" s="40">
        <v>3</v>
      </c>
      <c r="AE121" s="40">
        <v>4</v>
      </c>
      <c r="AF121" s="40" t="s">
        <v>45</v>
      </c>
      <c r="AG121" s="40" t="s">
        <v>45</v>
      </c>
      <c r="AH121" s="40" t="s">
        <v>45</v>
      </c>
      <c r="AI121" s="40" t="s">
        <v>45</v>
      </c>
      <c r="AJ121" s="40" t="s">
        <v>45</v>
      </c>
      <c r="AK121" s="40" t="s">
        <v>45</v>
      </c>
      <c r="AL121" s="40" t="s">
        <v>45</v>
      </c>
      <c r="AM121" s="40" t="s">
        <v>45</v>
      </c>
      <c r="AN121" s="40" t="s">
        <v>45</v>
      </c>
      <c r="AO121" s="41" t="s">
        <v>45</v>
      </c>
      <c r="AP121" s="40" t="s">
        <v>68</v>
      </c>
      <c r="AQ121" s="40">
        <v>4</v>
      </c>
      <c r="AR121" s="48" t="s">
        <v>326</v>
      </c>
      <c r="AS121" s="43" t="s">
        <v>558</v>
      </c>
      <c r="AT121" s="43" t="s">
        <v>103</v>
      </c>
      <c r="AU121" s="44">
        <f t="shared" si="10"/>
        <v>-2.311361197028369</v>
      </c>
      <c r="AV121" s="44">
        <f t="shared" si="11"/>
        <v>-0.79715134065555615</v>
      </c>
      <c r="AW121" s="45">
        <f t="shared" si="12"/>
        <v>4</v>
      </c>
      <c r="AX121" s="45">
        <f t="shared" si="13"/>
        <v>1</v>
      </c>
      <c r="AY121" s="46">
        <f>VLOOKUP(AP121,COND!$A$10:$B$32,2,FALSE)</f>
        <v>0.95</v>
      </c>
      <c r="AZ121" s="44">
        <f>($AU$3*AU121+$AV$3*AV121+$AW$3*AW121+$AX$3*AX121)*AY121*IF(AQ121&lt;5,0.95,IF(AQ121&lt;7,0.975,1))+$I$3*VLOOKUP(I121,COND!$A$2:$E$7,4,FALSE)+$J$3*VLOOKUP(J121,COND!$A$2:$E$7,2,FALSE)+$K$3*VLOOKUP(K121,COND!$A$2:$E$7,3,FALSE)+IF(BB121="SP",$BB$3,0)+IF($AW121&lt;3,-5,0)+IF(AND($B$2&gt;0,$E121&lt;20),$B$2*25,0)</f>
        <v>38.42734260510359</v>
      </c>
      <c r="BA121" s="47">
        <f t="shared" si="18"/>
        <v>4.4487306913036088E-2</v>
      </c>
      <c r="BB121" s="45" t="str">
        <f t="shared" si="14"/>
        <v>RP</v>
      </c>
      <c r="BC121" s="45">
        <v>900</v>
      </c>
      <c r="BD121" s="45">
        <v>116</v>
      </c>
      <c r="BE121" s="45"/>
      <c r="BF121" s="45" t="str">
        <f t="shared" si="15"/>
        <v>Unlikely</v>
      </c>
      <c r="BG121" s="45"/>
      <c r="BH121" s="45">
        <f>INDEX(Table5[[#All],[Ovr]],MATCH(Table3[[#This Row],[PID]],Table5[[#All],[PID]],0))</f>
        <v>333</v>
      </c>
      <c r="BI121" s="45" t="str">
        <f>INDEX(Table5[[#All],[Rnd]],MATCH(Table3[[#This Row],[PID]],Table5[[#All],[PID]],0))</f>
        <v>11</v>
      </c>
      <c r="BJ121" s="45">
        <f>INDEX(Table5[[#All],[Pick]],MATCH(Table3[[#This Row],[PID]],Table5[[#All],[PID]],0))</f>
        <v>2</v>
      </c>
      <c r="BK121" s="45" t="str">
        <f>INDEX(Table5[[#All],[Team]],MATCH(Table3[[#This Row],[PID]],Table5[[#All],[PID]],0))</f>
        <v>Charleston Statesmen</v>
      </c>
      <c r="BL121" s="45" t="str">
        <f>IF(OR(Table3[[#This Row],[POS]]="SP",Table3[[#This Row],[POS]]="RP",Table3[[#This Row],[POS]]="CL"),"P",INDEX(Batters[[#All],[zScore]],MATCH(Table3[[#This Row],[PID]],Batters[[#All],[PID]],0)))</f>
        <v>P</v>
      </c>
    </row>
    <row r="122" spans="1:64" ht="15" customHeight="1" x14ac:dyDescent="0.3">
      <c r="A122" s="40">
        <v>12340</v>
      </c>
      <c r="B122" s="40" t="s">
        <v>380</v>
      </c>
      <c r="C122" s="40" t="s">
        <v>126</v>
      </c>
      <c r="D122" s="40" t="s">
        <v>607</v>
      </c>
      <c r="E122" s="40">
        <v>17</v>
      </c>
      <c r="F122" s="40" t="s">
        <v>42</v>
      </c>
      <c r="G122" s="40" t="s">
        <v>42</v>
      </c>
      <c r="H122" s="41" t="s">
        <v>561</v>
      </c>
      <c r="I122" s="42" t="s">
        <v>47</v>
      </c>
      <c r="J122" s="40" t="s">
        <v>47</v>
      </c>
      <c r="K122" s="41" t="s">
        <v>43</v>
      </c>
      <c r="L122" s="40">
        <v>2</v>
      </c>
      <c r="M122" s="40">
        <v>3</v>
      </c>
      <c r="N122" s="41">
        <v>1</v>
      </c>
      <c r="O122" s="40">
        <v>4</v>
      </c>
      <c r="P122" s="40">
        <v>3</v>
      </c>
      <c r="Q122" s="41">
        <v>3</v>
      </c>
      <c r="R122" s="40">
        <v>3</v>
      </c>
      <c r="S122" s="40">
        <v>4</v>
      </c>
      <c r="T122" s="40">
        <v>2</v>
      </c>
      <c r="U122" s="40">
        <v>7</v>
      </c>
      <c r="V122" s="40" t="s">
        <v>45</v>
      </c>
      <c r="W122" s="40" t="s">
        <v>45</v>
      </c>
      <c r="X122" s="40" t="s">
        <v>45</v>
      </c>
      <c r="Y122" s="40" t="s">
        <v>45</v>
      </c>
      <c r="Z122" s="40">
        <v>3</v>
      </c>
      <c r="AA122" s="40">
        <v>3</v>
      </c>
      <c r="AB122" s="40" t="s">
        <v>45</v>
      </c>
      <c r="AC122" s="40" t="s">
        <v>45</v>
      </c>
      <c r="AD122" s="40" t="s">
        <v>45</v>
      </c>
      <c r="AE122" s="40" t="s">
        <v>45</v>
      </c>
      <c r="AF122" s="40" t="s">
        <v>45</v>
      </c>
      <c r="AG122" s="40" t="s">
        <v>45</v>
      </c>
      <c r="AH122" s="40" t="s">
        <v>45</v>
      </c>
      <c r="AI122" s="40" t="s">
        <v>45</v>
      </c>
      <c r="AJ122" s="40" t="s">
        <v>45</v>
      </c>
      <c r="AK122" s="40" t="s">
        <v>45</v>
      </c>
      <c r="AL122" s="40" t="s">
        <v>45</v>
      </c>
      <c r="AM122" s="40" t="s">
        <v>45</v>
      </c>
      <c r="AN122" s="40" t="s">
        <v>45</v>
      </c>
      <c r="AO122" s="41" t="s">
        <v>45</v>
      </c>
      <c r="AP122" s="40" t="s">
        <v>68</v>
      </c>
      <c r="AQ122" s="40">
        <v>4</v>
      </c>
      <c r="AR122" s="48" t="s">
        <v>326</v>
      </c>
      <c r="AS122" s="43" t="s">
        <v>45</v>
      </c>
      <c r="AT122" s="43" t="s">
        <v>103</v>
      </c>
      <c r="AU122" s="44">
        <f t="shared" si="10"/>
        <v>-2.1159294805983135</v>
      </c>
      <c r="AV122" s="44">
        <f t="shared" si="11"/>
        <v>-0.79641094873467422</v>
      </c>
      <c r="AW122" s="45">
        <f t="shared" si="12"/>
        <v>3</v>
      </c>
      <c r="AX122" s="45">
        <f t="shared" si="13"/>
        <v>1</v>
      </c>
      <c r="AY122" s="46">
        <f>VLOOKUP(AP122,COND!$A$10:$B$32,2,FALSE)</f>
        <v>0.95</v>
      </c>
      <c r="AZ122" s="44">
        <f>($AU$3*AU122+$AV$3*AV122+$AW$3*AW122+$AX$3*AX122)*AY122*IF(AQ122&lt;5,0.95,IF(AQ122&lt;7,0.975,1))+$I$3*VLOOKUP(I122,COND!$A$2:$E$7,4,FALSE)+$J$3*VLOOKUP(J122,COND!$A$2:$E$7,2,FALSE)+$K$3*VLOOKUP(K122,COND!$A$2:$E$7,3,FALSE)+IF(BB122="SP",$BB$3,0)+IF($AW122&lt;3,-5,0)+IF(AND($B$2&gt;0,$E122&lt;20),$B$2*25,0)</f>
        <v>38.249732104091137</v>
      </c>
      <c r="BA122" s="47">
        <f>STANDARDIZE(AZ122,AVERAGE($AZ$5:$AZ$445),STDEVP($AZ$5:$AZ$445))</f>
        <v>3.8041455921772049E-2</v>
      </c>
      <c r="BB122" s="45" t="str">
        <f t="shared" si="14"/>
        <v>RP</v>
      </c>
      <c r="BC122" s="45">
        <v>900</v>
      </c>
      <c r="BD122" s="45">
        <v>117</v>
      </c>
      <c r="BE122" s="45"/>
      <c r="BF122" s="45" t="str">
        <f t="shared" si="15"/>
        <v>Unlikely</v>
      </c>
      <c r="BG122" s="45"/>
      <c r="BH122" s="63">
        <f>INDEX(Table5[[#All],[Ovr]],MATCH(Table3[[#This Row],[PID]],Table5[[#All],[PID]],0))</f>
        <v>442</v>
      </c>
      <c r="BI122" s="63" t="str">
        <f>INDEX(Table5[[#All],[Rnd]],MATCH(Table3[[#This Row],[PID]],Table5[[#All],[PID]],0))</f>
        <v>14</v>
      </c>
      <c r="BJ122" s="63">
        <f>INDEX(Table5[[#All],[Pick]],MATCH(Table3[[#This Row],[PID]],Table5[[#All],[PID]],0))</f>
        <v>9</v>
      </c>
      <c r="BK122" s="63" t="str">
        <f>INDEX(Table5[[#All],[Team]],MATCH(Table3[[#This Row],[PID]],Table5[[#All],[PID]],0))</f>
        <v>Gloucester Fishermen</v>
      </c>
      <c r="BL122" s="63" t="str">
        <f>IF(OR(Table3[[#This Row],[POS]]="SP",Table3[[#This Row],[POS]]="RP",Table3[[#This Row],[POS]]="CL"),"P",INDEX(Batters[[#All],[zScore]],MATCH(Table3[[#This Row],[PID]],Batters[[#All],[PID]],0)))</f>
        <v>P</v>
      </c>
    </row>
    <row r="123" spans="1:64" ht="15" customHeight="1" x14ac:dyDescent="0.3">
      <c r="A123" s="40">
        <v>5638</v>
      </c>
      <c r="B123" s="40" t="s">
        <v>49</v>
      </c>
      <c r="C123" s="40" t="s">
        <v>169</v>
      </c>
      <c r="D123" s="40" t="s">
        <v>591</v>
      </c>
      <c r="E123" s="40">
        <v>21</v>
      </c>
      <c r="F123" s="40" t="s">
        <v>53</v>
      </c>
      <c r="G123" s="40" t="s">
        <v>42</v>
      </c>
      <c r="H123" s="41" t="s">
        <v>561</v>
      </c>
      <c r="I123" s="42" t="s">
        <v>43</v>
      </c>
      <c r="J123" s="40" t="s">
        <v>47</v>
      </c>
      <c r="K123" s="41" t="s">
        <v>43</v>
      </c>
      <c r="L123" s="40">
        <v>3</v>
      </c>
      <c r="M123" s="40">
        <v>2</v>
      </c>
      <c r="N123" s="41">
        <v>2</v>
      </c>
      <c r="O123" s="40">
        <v>5</v>
      </c>
      <c r="P123" s="40">
        <v>2</v>
      </c>
      <c r="Q123" s="41">
        <v>4</v>
      </c>
      <c r="R123" s="40">
        <v>4</v>
      </c>
      <c r="S123" s="40">
        <v>6</v>
      </c>
      <c r="T123" s="40" t="s">
        <v>45</v>
      </c>
      <c r="U123" s="40" t="s">
        <v>45</v>
      </c>
      <c r="V123" s="40" t="s">
        <v>45</v>
      </c>
      <c r="W123" s="40" t="s">
        <v>45</v>
      </c>
      <c r="X123" s="40" t="s">
        <v>45</v>
      </c>
      <c r="Y123" s="40" t="s">
        <v>45</v>
      </c>
      <c r="Z123" s="40">
        <v>3</v>
      </c>
      <c r="AA123" s="40">
        <v>5</v>
      </c>
      <c r="AB123" s="40" t="s">
        <v>45</v>
      </c>
      <c r="AC123" s="40" t="s">
        <v>45</v>
      </c>
      <c r="AD123" s="40" t="s">
        <v>45</v>
      </c>
      <c r="AE123" s="40" t="s">
        <v>45</v>
      </c>
      <c r="AF123" s="40" t="s">
        <v>45</v>
      </c>
      <c r="AG123" s="40" t="s">
        <v>45</v>
      </c>
      <c r="AH123" s="40">
        <v>1</v>
      </c>
      <c r="AI123" s="40">
        <v>6</v>
      </c>
      <c r="AJ123" s="40" t="s">
        <v>45</v>
      </c>
      <c r="AK123" s="40" t="s">
        <v>45</v>
      </c>
      <c r="AL123" s="40" t="s">
        <v>45</v>
      </c>
      <c r="AM123" s="40" t="s">
        <v>45</v>
      </c>
      <c r="AN123" s="40" t="s">
        <v>45</v>
      </c>
      <c r="AO123" s="41" t="s">
        <v>45</v>
      </c>
      <c r="AP123" s="40" t="s">
        <v>57</v>
      </c>
      <c r="AQ123" s="40">
        <v>3</v>
      </c>
      <c r="AR123" s="48" t="s">
        <v>326</v>
      </c>
      <c r="AS123" s="43" t="s">
        <v>557</v>
      </c>
      <c r="AT123" s="43" t="s">
        <v>103</v>
      </c>
      <c r="AU123" s="44">
        <f t="shared" si="10"/>
        <v>-1.8743493064650851</v>
      </c>
      <c r="AV123" s="44">
        <f t="shared" si="11"/>
        <v>-0.55483077460144581</v>
      </c>
      <c r="AW123" s="45">
        <f t="shared" si="12"/>
        <v>3</v>
      </c>
      <c r="AX123" s="45">
        <f t="shared" si="13"/>
        <v>2</v>
      </c>
      <c r="AY123" s="46">
        <f>VLOOKUP(AP123,COND!$A$10:$B$32,2,FALSE)</f>
        <v>1</v>
      </c>
      <c r="AZ123" s="44">
        <f>($AU$3*AU123+$AV$3*AV123+$AW$3*AW123+$AX$3*AX123)*AY123*IF(AQ123&lt;5,0.95,IF(AQ123&lt;7,0.975,1))+$I$3*VLOOKUP(I123,COND!$A$2:$E$7,4,FALSE)+$J$3*VLOOKUP(J123,COND!$A$2:$E$7,2,FALSE)+$K$3*VLOOKUP(K123,COND!$A$2:$E$7,3,FALSE)+IF(BB123="SP",$BB$3,0)+IF($AW123&lt;3,-5,0)+IF(AND($B$2&gt;0,$E123&lt;20),$B$2*25,0)</f>
        <v>38.202088914344159</v>
      </c>
      <c r="BA123" s="47">
        <f>STANDARDIZE(AZ123,AVERAGE($AZ$5:$AZ$428),STDEVP($AZ$5:$AZ$428))</f>
        <v>2.8447659950370262E-2</v>
      </c>
      <c r="BB123" s="45" t="str">
        <f t="shared" si="14"/>
        <v>RP</v>
      </c>
      <c r="BC123" s="45">
        <v>900</v>
      </c>
      <c r="BD123" s="45">
        <v>118</v>
      </c>
      <c r="BE123" s="45"/>
      <c r="BF123" s="45" t="str">
        <f t="shared" si="15"/>
        <v>Unlikely</v>
      </c>
      <c r="BG123" s="45"/>
      <c r="BH123" s="45">
        <f>INDEX(Table5[[#All],[Ovr]],MATCH(Table3[[#This Row],[PID]],Table5[[#All],[PID]],0))</f>
        <v>392</v>
      </c>
      <c r="BI123" s="45" t="str">
        <f>INDEX(Table5[[#All],[Rnd]],MATCH(Table3[[#This Row],[PID]],Table5[[#All],[PID]],0))</f>
        <v>12</v>
      </c>
      <c r="BJ123" s="45">
        <f>INDEX(Table5[[#All],[Pick]],MATCH(Table3[[#This Row],[PID]],Table5[[#All],[PID]],0))</f>
        <v>27</v>
      </c>
      <c r="BK123" s="45" t="str">
        <f>INDEX(Table5[[#All],[Team]],MATCH(Table3[[#This Row],[PID]],Table5[[#All],[PID]],0))</f>
        <v>Havana Leones</v>
      </c>
      <c r="BL123" s="45" t="str">
        <f>IF(OR(Table3[[#This Row],[POS]]="SP",Table3[[#This Row],[POS]]="RP",Table3[[#This Row],[POS]]="CL"),"P",INDEX(Batters[[#All],[zScore]],MATCH(Table3[[#This Row],[PID]],Batters[[#All],[PID]],0)))</f>
        <v>P</v>
      </c>
    </row>
    <row r="124" spans="1:64" ht="15" customHeight="1" x14ac:dyDescent="0.3">
      <c r="A124" s="40">
        <v>20783</v>
      </c>
      <c r="B124" s="40" t="s">
        <v>380</v>
      </c>
      <c r="C124" s="40" t="s">
        <v>179</v>
      </c>
      <c r="D124" s="40" t="s">
        <v>712</v>
      </c>
      <c r="E124" s="40">
        <v>17</v>
      </c>
      <c r="F124" s="40" t="s">
        <v>42</v>
      </c>
      <c r="G124" s="40" t="s">
        <v>42</v>
      </c>
      <c r="H124" s="41" t="s">
        <v>561</v>
      </c>
      <c r="I124" s="42" t="s">
        <v>43</v>
      </c>
      <c r="J124" s="40" t="s">
        <v>47</v>
      </c>
      <c r="K124" s="41" t="s">
        <v>43</v>
      </c>
      <c r="L124" s="40">
        <v>2</v>
      </c>
      <c r="M124" s="40">
        <v>3</v>
      </c>
      <c r="N124" s="41">
        <v>1</v>
      </c>
      <c r="O124" s="40">
        <v>4</v>
      </c>
      <c r="P124" s="40">
        <v>3</v>
      </c>
      <c r="Q124" s="41">
        <v>3</v>
      </c>
      <c r="R124" s="40">
        <v>2</v>
      </c>
      <c r="S124" s="40">
        <v>4</v>
      </c>
      <c r="T124" s="40">
        <v>2</v>
      </c>
      <c r="U124" s="40">
        <v>7</v>
      </c>
      <c r="V124" s="40" t="s">
        <v>45</v>
      </c>
      <c r="W124" s="40" t="s">
        <v>45</v>
      </c>
      <c r="X124" s="40" t="s">
        <v>45</v>
      </c>
      <c r="Y124" s="40" t="s">
        <v>45</v>
      </c>
      <c r="Z124" s="40" t="s">
        <v>45</v>
      </c>
      <c r="AA124" s="40" t="s">
        <v>45</v>
      </c>
      <c r="AB124" s="40" t="s">
        <v>45</v>
      </c>
      <c r="AC124" s="40" t="s">
        <v>45</v>
      </c>
      <c r="AD124" s="40">
        <v>2</v>
      </c>
      <c r="AE124" s="40">
        <v>4</v>
      </c>
      <c r="AF124" s="40" t="s">
        <v>45</v>
      </c>
      <c r="AG124" s="40" t="s">
        <v>45</v>
      </c>
      <c r="AH124" s="40" t="s">
        <v>45</v>
      </c>
      <c r="AI124" s="40" t="s">
        <v>45</v>
      </c>
      <c r="AJ124" s="40" t="s">
        <v>45</v>
      </c>
      <c r="AK124" s="40" t="s">
        <v>45</v>
      </c>
      <c r="AL124" s="40" t="s">
        <v>45</v>
      </c>
      <c r="AM124" s="40" t="s">
        <v>45</v>
      </c>
      <c r="AN124" s="40" t="s">
        <v>45</v>
      </c>
      <c r="AO124" s="41" t="s">
        <v>45</v>
      </c>
      <c r="AP124" s="40" t="s">
        <v>68</v>
      </c>
      <c r="AQ124" s="40">
        <v>4</v>
      </c>
      <c r="AR124" s="48" t="s">
        <v>326</v>
      </c>
      <c r="AS124" s="43" t="s">
        <v>558</v>
      </c>
      <c r="AT124" s="43" t="s">
        <v>103</v>
      </c>
      <c r="AU124" s="44">
        <f t="shared" si="10"/>
        <v>-2.1159294805983135</v>
      </c>
      <c r="AV124" s="44">
        <f t="shared" si="11"/>
        <v>-0.79641094873467422</v>
      </c>
      <c r="AW124" s="45">
        <f t="shared" si="12"/>
        <v>3</v>
      </c>
      <c r="AX124" s="45">
        <f t="shared" si="13"/>
        <v>1</v>
      </c>
      <c r="AY124" s="46">
        <f>VLOOKUP(AP124,COND!$A$10:$B$32,2,FALSE)</f>
        <v>0.95</v>
      </c>
      <c r="AZ124" s="44">
        <f>($AU$3*AU124+$AV$3*AV124+$AW$3*AW124+$AX$3*AX124)*AY124*IF(AQ124&lt;5,0.95,IF(AQ124&lt;7,0.975,1))+$I$3*VLOOKUP(I124,COND!$A$2:$E$7,4,FALSE)+$J$3*VLOOKUP(J124,COND!$A$2:$E$7,2,FALSE)+$K$3*VLOOKUP(K124,COND!$A$2:$E$7,3,FALSE)+IF(BB124="SP",$BB$3,0)+IF($AW124&lt;3,-5,0)+IF(AND($B$2&gt;0,$E124&lt;20),$B$2*25,0)</f>
        <v>38.024732104091136</v>
      </c>
      <c r="BA124" s="47">
        <f>STANDARDIZE(AZ124,AVERAGE($AZ$5:$AZ$445),STDEVP($AZ$5:$AZ$445))</f>
        <v>2.2034138212394548E-2</v>
      </c>
      <c r="BB124" s="45" t="str">
        <f t="shared" si="14"/>
        <v>RP</v>
      </c>
      <c r="BC124" s="45">
        <v>900</v>
      </c>
      <c r="BD124" s="45">
        <v>119</v>
      </c>
      <c r="BE124" s="45"/>
      <c r="BF124" s="45" t="str">
        <f t="shared" si="15"/>
        <v>Unlikely</v>
      </c>
      <c r="BG124" s="45"/>
      <c r="BH124" s="63" t="str">
        <f>INDEX(Table5[[#All],[Ovr]],MATCH(Table3[[#This Row],[PID]],Table5[[#All],[PID]],0))</f>
        <v/>
      </c>
      <c r="BI124" s="63" t="str">
        <f>INDEX(Table5[[#All],[Rnd]],MATCH(Table3[[#This Row],[PID]],Table5[[#All],[PID]],0))</f>
        <v/>
      </c>
      <c r="BJ124" s="63" t="str">
        <f>INDEX(Table5[[#All],[Pick]],MATCH(Table3[[#This Row],[PID]],Table5[[#All],[PID]],0))</f>
        <v/>
      </c>
      <c r="BK124" s="63" t="str">
        <f>INDEX(Table5[[#All],[Team]],MATCH(Table3[[#This Row],[PID]],Table5[[#All],[PID]],0))</f>
        <v/>
      </c>
      <c r="BL124" s="63" t="str">
        <f>IF(OR(Table3[[#This Row],[POS]]="SP",Table3[[#This Row],[POS]]="RP",Table3[[#This Row],[POS]]="CL"),"P",INDEX(Batters[[#All],[zScore]],MATCH(Table3[[#This Row],[PID]],Batters[[#All],[PID]],0)))</f>
        <v>P</v>
      </c>
    </row>
    <row r="125" spans="1:64" ht="15" customHeight="1" x14ac:dyDescent="0.3">
      <c r="A125" s="40">
        <v>9661</v>
      </c>
      <c r="B125" s="40" t="s">
        <v>380</v>
      </c>
      <c r="C125" s="40" t="s">
        <v>168</v>
      </c>
      <c r="D125" s="40" t="s">
        <v>1576</v>
      </c>
      <c r="E125" s="40">
        <v>18</v>
      </c>
      <c r="F125" s="40" t="s">
        <v>62</v>
      </c>
      <c r="G125" s="40" t="s">
        <v>42</v>
      </c>
      <c r="H125" s="41" t="s">
        <v>561</v>
      </c>
      <c r="I125" s="42" t="s">
        <v>44</v>
      </c>
      <c r="J125" s="40" t="s">
        <v>43</v>
      </c>
      <c r="K125" s="41" t="s">
        <v>43</v>
      </c>
      <c r="L125" s="40">
        <v>2</v>
      </c>
      <c r="M125" s="40">
        <v>2</v>
      </c>
      <c r="N125" s="41">
        <v>1</v>
      </c>
      <c r="O125" s="40">
        <v>5</v>
      </c>
      <c r="P125" s="40">
        <v>2</v>
      </c>
      <c r="Q125" s="41">
        <v>3</v>
      </c>
      <c r="R125" s="40">
        <v>3</v>
      </c>
      <c r="S125" s="40">
        <v>5</v>
      </c>
      <c r="T125" s="40">
        <v>1</v>
      </c>
      <c r="U125" s="40">
        <v>1</v>
      </c>
      <c r="V125" s="40" t="s">
        <v>45</v>
      </c>
      <c r="W125" s="40" t="s">
        <v>45</v>
      </c>
      <c r="X125" s="40">
        <v>3</v>
      </c>
      <c r="Y125" s="40">
        <v>7</v>
      </c>
      <c r="Z125" s="40" t="s">
        <v>45</v>
      </c>
      <c r="AA125" s="40" t="s">
        <v>45</v>
      </c>
      <c r="AB125" s="40" t="s">
        <v>45</v>
      </c>
      <c r="AC125" s="40" t="s">
        <v>45</v>
      </c>
      <c r="AD125" s="40" t="s">
        <v>45</v>
      </c>
      <c r="AE125" s="40" t="s">
        <v>45</v>
      </c>
      <c r="AF125" s="40" t="s">
        <v>45</v>
      </c>
      <c r="AG125" s="40" t="s">
        <v>45</v>
      </c>
      <c r="AH125" s="40" t="s">
        <v>45</v>
      </c>
      <c r="AI125" s="40" t="s">
        <v>45</v>
      </c>
      <c r="AJ125" s="40" t="s">
        <v>45</v>
      </c>
      <c r="AK125" s="40" t="s">
        <v>45</v>
      </c>
      <c r="AL125" s="40" t="s">
        <v>45</v>
      </c>
      <c r="AM125" s="40" t="s">
        <v>45</v>
      </c>
      <c r="AN125" s="40" t="s">
        <v>45</v>
      </c>
      <c r="AO125" s="41" t="s">
        <v>45</v>
      </c>
      <c r="AP125" s="40" t="s">
        <v>64</v>
      </c>
      <c r="AQ125" s="40">
        <v>6</v>
      </c>
      <c r="AR125" s="48" t="s">
        <v>326</v>
      </c>
      <c r="AS125" s="43" t="s">
        <v>500</v>
      </c>
      <c r="AT125" s="43" t="s">
        <v>103</v>
      </c>
      <c r="AU125" s="44">
        <f t="shared" si="10"/>
        <v>-2.311361197028369</v>
      </c>
      <c r="AV125" s="44">
        <f t="shared" si="11"/>
        <v>-0.79715134065555615</v>
      </c>
      <c r="AW125" s="45">
        <f t="shared" si="12"/>
        <v>3</v>
      </c>
      <c r="AX125" s="45">
        <f t="shared" si="13"/>
        <v>1</v>
      </c>
      <c r="AY125" s="46">
        <f>VLOOKUP(AP125,COND!$A$10:$B$32,2,FALSE)</f>
        <v>1</v>
      </c>
      <c r="AZ125" s="44">
        <f>($AU$3*AU125+$AV$3*AV125+$AW$3*AW125+$AX$3*AX125)*AY125*IF(AQ125&lt;5,0.95,IF(AQ125&lt;7,0.975,1))+$I$3*VLOOKUP(I125,COND!$A$2:$E$7,4,FALSE)+$J$3*VLOOKUP(J125,COND!$A$2:$E$7,2,FALSE)+$K$3*VLOOKUP(K125,COND!$A$2:$E$7,3,FALSE)+IF(BB125="SP",$BB$3,0)+IF($AW125&lt;3,-5,0)+IF(AND($B$2&gt;0,$E125&lt;20),$B$2*25,0)</f>
        <v>38.536083423796128</v>
      </c>
      <c r="BA125" s="47">
        <f t="shared" ref="BA125:BA137" si="19">STANDARDIZE(AZ125,AVERAGE($AZ$5:$AZ$428),STDEVP($AZ$5:$AZ$428))</f>
        <v>5.2230417964309966E-2</v>
      </c>
      <c r="BB125" s="45" t="str">
        <f t="shared" si="14"/>
        <v>SP</v>
      </c>
      <c r="BC125" s="45">
        <v>900</v>
      </c>
      <c r="BD125" s="45">
        <v>120</v>
      </c>
      <c r="BE125" s="45"/>
      <c r="BF125" s="45" t="str">
        <f t="shared" si="15"/>
        <v>Unlikely</v>
      </c>
      <c r="BG125" s="45"/>
      <c r="BH125" s="45">
        <f>INDEX(Table5[[#All],[Ovr]],MATCH(Table3[[#This Row],[PID]],Table5[[#All],[PID]],0))</f>
        <v>661</v>
      </c>
      <c r="BI125" s="45" t="str">
        <f>INDEX(Table5[[#All],[Rnd]],MATCH(Table3[[#This Row],[PID]],Table5[[#All],[PID]],0))</f>
        <v>20</v>
      </c>
      <c r="BJ125" s="45">
        <f>INDEX(Table5[[#All],[Pick]],MATCH(Table3[[#This Row],[PID]],Table5[[#All],[PID]],0))</f>
        <v>24</v>
      </c>
      <c r="BK125" s="45" t="str">
        <f>INDEX(Table5[[#All],[Team]],MATCH(Table3[[#This Row],[PID]],Table5[[#All],[PID]],0))</f>
        <v>Reno Zephyrs</v>
      </c>
      <c r="BL125" s="45" t="str">
        <f>IF(OR(Table3[[#This Row],[POS]]="SP",Table3[[#This Row],[POS]]="RP",Table3[[#This Row],[POS]]="CL"),"P",INDEX(Batters[[#All],[zScore]],MATCH(Table3[[#This Row],[PID]],Batters[[#All],[PID]],0)))</f>
        <v>P</v>
      </c>
    </row>
    <row r="126" spans="1:64" ht="15" customHeight="1" x14ac:dyDescent="0.3">
      <c r="A126" s="40">
        <v>11667</v>
      </c>
      <c r="B126" s="40" t="s">
        <v>24</v>
      </c>
      <c r="C126" s="40" t="s">
        <v>536</v>
      </c>
      <c r="D126" s="40" t="s">
        <v>1590</v>
      </c>
      <c r="E126" s="40">
        <v>18</v>
      </c>
      <c r="F126" s="40" t="s">
        <v>62</v>
      </c>
      <c r="G126" s="40" t="s">
        <v>42</v>
      </c>
      <c r="H126" s="41" t="s">
        <v>561</v>
      </c>
      <c r="I126" s="42" t="s">
        <v>43</v>
      </c>
      <c r="J126" s="40" t="s">
        <v>43</v>
      </c>
      <c r="K126" s="41" t="s">
        <v>43</v>
      </c>
      <c r="L126" s="40">
        <v>2</v>
      </c>
      <c r="M126" s="40">
        <v>1</v>
      </c>
      <c r="N126" s="41">
        <v>1</v>
      </c>
      <c r="O126" s="40">
        <v>4</v>
      </c>
      <c r="P126" s="40">
        <v>2</v>
      </c>
      <c r="Q126" s="41">
        <v>4</v>
      </c>
      <c r="R126" s="40">
        <v>3</v>
      </c>
      <c r="S126" s="40">
        <v>5</v>
      </c>
      <c r="T126" s="40">
        <v>1</v>
      </c>
      <c r="U126" s="40">
        <v>4</v>
      </c>
      <c r="V126" s="40" t="s">
        <v>45</v>
      </c>
      <c r="W126" s="40" t="s">
        <v>45</v>
      </c>
      <c r="X126" s="40" t="s">
        <v>45</v>
      </c>
      <c r="Y126" s="40" t="s">
        <v>45</v>
      </c>
      <c r="Z126" s="40" t="s">
        <v>45</v>
      </c>
      <c r="AA126" s="40" t="s">
        <v>45</v>
      </c>
      <c r="AB126" s="40" t="s">
        <v>45</v>
      </c>
      <c r="AC126" s="40" t="s">
        <v>45</v>
      </c>
      <c r="AD126" s="40">
        <v>3</v>
      </c>
      <c r="AE126" s="40">
        <v>5</v>
      </c>
      <c r="AF126" s="40">
        <v>3</v>
      </c>
      <c r="AG126" s="40">
        <v>5</v>
      </c>
      <c r="AH126" s="40" t="s">
        <v>45</v>
      </c>
      <c r="AI126" s="40" t="s">
        <v>45</v>
      </c>
      <c r="AJ126" s="40" t="s">
        <v>45</v>
      </c>
      <c r="AK126" s="40" t="s">
        <v>45</v>
      </c>
      <c r="AL126" s="40" t="s">
        <v>45</v>
      </c>
      <c r="AM126" s="40" t="s">
        <v>45</v>
      </c>
      <c r="AN126" s="40" t="s">
        <v>45</v>
      </c>
      <c r="AO126" s="41" t="s">
        <v>45</v>
      </c>
      <c r="AP126" s="40" t="s">
        <v>329</v>
      </c>
      <c r="AQ126" s="40">
        <v>7</v>
      </c>
      <c r="AR126" s="48" t="s">
        <v>14</v>
      </c>
      <c r="AS126" s="43" t="s">
        <v>45</v>
      </c>
      <c r="AT126" s="43" t="s">
        <v>103</v>
      </c>
      <c r="AU126" s="44">
        <f t="shared" si="10"/>
        <v>-2.5067929134584248</v>
      </c>
      <c r="AV126" s="44">
        <f t="shared" si="11"/>
        <v>-0.74952209911061918</v>
      </c>
      <c r="AW126" s="45">
        <f t="shared" si="12"/>
        <v>4</v>
      </c>
      <c r="AX126" s="45">
        <f t="shared" si="13"/>
        <v>0</v>
      </c>
      <c r="AY126" s="46">
        <f>VLOOKUP(AP126,COND!$A$10:$B$32,2,FALSE)</f>
        <v>1</v>
      </c>
      <c r="AZ126" s="44">
        <f>($AU$3*AU126+$AV$3*AV126+$AW$3*AW126+$AX$3*AX126)*AY126*IF(AQ126&lt;5,0.95,IF(AQ126&lt;7,0.975,1))+$I$3*VLOOKUP(I126,COND!$A$2:$E$7,4,FALSE)+$J$3*VLOOKUP(J126,COND!$A$2:$E$7,2,FALSE)+$K$3*VLOOKUP(K126,COND!$A$2:$E$7,3,FALSE)+IF(BB126="SP",$BB$3,0)+IF($AW126&lt;3,-5,0)+IF(AND($B$2&gt;0,$E126&lt;20),$B$2*25,0)</f>
        <v>38.508199435095932</v>
      </c>
      <c r="BA126" s="47">
        <f t="shared" si="19"/>
        <v>5.0244881864305396E-2</v>
      </c>
      <c r="BB126" s="45" t="str">
        <f t="shared" si="14"/>
        <v>SP</v>
      </c>
      <c r="BC126" s="45">
        <v>900</v>
      </c>
      <c r="BD126" s="45">
        <v>121</v>
      </c>
      <c r="BE126" s="45"/>
      <c r="BF126" s="45" t="str">
        <f t="shared" si="15"/>
        <v>Unlikely</v>
      </c>
      <c r="BG126" s="45"/>
      <c r="BH126" s="45">
        <f>INDEX(Table5[[#All],[Ovr]],MATCH(Table3[[#This Row],[PID]],Table5[[#All],[PID]],0))</f>
        <v>539</v>
      </c>
      <c r="BI126" s="45" t="str">
        <f>INDEX(Table5[[#All],[Rnd]],MATCH(Table3[[#This Row],[PID]],Table5[[#All],[PID]],0))</f>
        <v>17</v>
      </c>
      <c r="BJ126" s="45">
        <f>INDEX(Table5[[#All],[Pick]],MATCH(Table3[[#This Row],[PID]],Table5[[#All],[PID]],0))</f>
        <v>4</v>
      </c>
      <c r="BK126" s="45" t="str">
        <f>INDEX(Table5[[#All],[Team]],MATCH(Table3[[#This Row],[PID]],Table5[[#All],[PID]],0))</f>
        <v>Palm Springs Codgers</v>
      </c>
      <c r="BL126" s="45" t="str">
        <f>IF(OR(Table3[[#This Row],[POS]]="SP",Table3[[#This Row],[POS]]="RP",Table3[[#This Row],[POS]]="CL"),"P",INDEX(Batters[[#All],[zScore]],MATCH(Table3[[#This Row],[PID]],Batters[[#All],[PID]],0)))</f>
        <v>P</v>
      </c>
    </row>
    <row r="127" spans="1:64" ht="15" customHeight="1" x14ac:dyDescent="0.3">
      <c r="A127" s="40">
        <v>12483</v>
      </c>
      <c r="B127" s="40" t="s">
        <v>380</v>
      </c>
      <c r="C127" s="40" t="s">
        <v>173</v>
      </c>
      <c r="D127" s="40" t="s">
        <v>1407</v>
      </c>
      <c r="E127" s="40">
        <v>17</v>
      </c>
      <c r="F127" s="40" t="s">
        <v>42</v>
      </c>
      <c r="G127" s="40" t="s">
        <v>42</v>
      </c>
      <c r="H127" s="41" t="s">
        <v>561</v>
      </c>
      <c r="I127" s="42" t="s">
        <v>43</v>
      </c>
      <c r="J127" s="40" t="s">
        <v>43</v>
      </c>
      <c r="K127" s="41" t="s">
        <v>43</v>
      </c>
      <c r="L127" s="40">
        <v>2</v>
      </c>
      <c r="M127" s="40">
        <v>2</v>
      </c>
      <c r="N127" s="41">
        <v>2</v>
      </c>
      <c r="O127" s="40">
        <v>3</v>
      </c>
      <c r="P127" s="40">
        <v>3</v>
      </c>
      <c r="Q127" s="41">
        <v>4</v>
      </c>
      <c r="R127" s="40">
        <v>3</v>
      </c>
      <c r="S127" s="40">
        <v>4</v>
      </c>
      <c r="T127" s="40">
        <v>1</v>
      </c>
      <c r="U127" s="40">
        <v>1</v>
      </c>
      <c r="V127" s="40">
        <v>2</v>
      </c>
      <c r="W127" s="40">
        <v>3</v>
      </c>
      <c r="X127" s="40" t="s">
        <v>45</v>
      </c>
      <c r="Y127" s="40" t="s">
        <v>45</v>
      </c>
      <c r="Z127" s="40" t="s">
        <v>45</v>
      </c>
      <c r="AA127" s="40" t="s">
        <v>45</v>
      </c>
      <c r="AB127" s="40" t="s">
        <v>45</v>
      </c>
      <c r="AC127" s="40" t="s">
        <v>45</v>
      </c>
      <c r="AD127" s="40" t="s">
        <v>45</v>
      </c>
      <c r="AE127" s="40" t="s">
        <v>45</v>
      </c>
      <c r="AF127" s="40" t="s">
        <v>45</v>
      </c>
      <c r="AG127" s="40" t="s">
        <v>45</v>
      </c>
      <c r="AH127" s="40" t="s">
        <v>45</v>
      </c>
      <c r="AI127" s="40" t="s">
        <v>45</v>
      </c>
      <c r="AJ127" s="40" t="s">
        <v>45</v>
      </c>
      <c r="AK127" s="40" t="s">
        <v>45</v>
      </c>
      <c r="AL127" s="40" t="s">
        <v>45</v>
      </c>
      <c r="AM127" s="40" t="s">
        <v>45</v>
      </c>
      <c r="AN127" s="40" t="s">
        <v>45</v>
      </c>
      <c r="AO127" s="41" t="s">
        <v>45</v>
      </c>
      <c r="AP127" s="40" t="s">
        <v>329</v>
      </c>
      <c r="AQ127" s="40">
        <v>6</v>
      </c>
      <c r="AR127" s="48" t="s">
        <v>326</v>
      </c>
      <c r="AS127" s="43" t="s">
        <v>568</v>
      </c>
      <c r="AT127" s="43" t="s">
        <v>103</v>
      </c>
      <c r="AU127" s="44">
        <f t="shared" si="10"/>
        <v>-2.0690406309742588</v>
      </c>
      <c r="AV127" s="44">
        <f t="shared" si="11"/>
        <v>-0.74878170718973724</v>
      </c>
      <c r="AW127" s="45">
        <f t="shared" si="12"/>
        <v>3</v>
      </c>
      <c r="AX127" s="45">
        <f t="shared" si="13"/>
        <v>0</v>
      </c>
      <c r="AY127" s="46">
        <f>VLOOKUP(AP127,COND!$A$10:$B$32,2,FALSE)</f>
        <v>1</v>
      </c>
      <c r="AZ127" s="44">
        <f>($AU$3*AU127+$AV$3*AV127+$AW$3*AW127+$AX$3*AX127)*AY127*IF(AQ127&lt;5,0.95,IF(AQ127&lt;7,0.975,1))+$I$3*VLOOKUP(I127,COND!$A$2:$E$7,4,FALSE)+$J$3*VLOOKUP(J127,COND!$A$2:$E$7,2,FALSE)+$K$3*VLOOKUP(K127,COND!$A$2:$E$7,3,FALSE)+IF(BB127="SP",$BB$3,0)+IF($AW127&lt;3,-5,0)+IF(AND($B$2&gt;0,$E127&lt;20),$B$2*25,0)</f>
        <v>38.457793786760142</v>
      </c>
      <c r="BA127" s="47">
        <f t="shared" si="19"/>
        <v>4.6655645206275159E-2</v>
      </c>
      <c r="BB127" s="45" t="str">
        <f t="shared" si="14"/>
        <v>SP</v>
      </c>
      <c r="BC127" s="45">
        <v>900</v>
      </c>
      <c r="BD127" s="45">
        <v>122</v>
      </c>
      <c r="BE127" s="45"/>
      <c r="BF127" s="45" t="str">
        <f t="shared" si="15"/>
        <v>Unlikely</v>
      </c>
      <c r="BG127" s="45"/>
      <c r="BH127" s="45">
        <f>INDEX(Table5[[#All],[Ovr]],MATCH(Table3[[#This Row],[PID]],Table5[[#All],[PID]],0))</f>
        <v>340</v>
      </c>
      <c r="BI127" s="45" t="str">
        <f>INDEX(Table5[[#All],[Rnd]],MATCH(Table3[[#This Row],[PID]],Table5[[#All],[PID]],0))</f>
        <v>11</v>
      </c>
      <c r="BJ127" s="45">
        <f>INDEX(Table5[[#All],[Pick]],MATCH(Table3[[#This Row],[PID]],Table5[[#All],[PID]],0))</f>
        <v>9</v>
      </c>
      <c r="BK127" s="45" t="str">
        <f>INDEX(Table5[[#All],[Team]],MATCH(Table3[[#This Row],[PID]],Table5[[#All],[PID]],0))</f>
        <v>Gloucester Fishermen</v>
      </c>
      <c r="BL127" s="45" t="str">
        <f>IF(OR(Table3[[#This Row],[POS]]="SP",Table3[[#This Row],[POS]]="RP",Table3[[#This Row],[POS]]="CL"),"P",INDEX(Batters[[#All],[zScore]],MATCH(Table3[[#This Row],[PID]],Batters[[#All],[PID]],0)))</f>
        <v>P</v>
      </c>
    </row>
    <row r="128" spans="1:64" ht="15" customHeight="1" x14ac:dyDescent="0.3">
      <c r="A128" s="40">
        <v>20511</v>
      </c>
      <c r="B128" s="40" t="s">
        <v>380</v>
      </c>
      <c r="C128" s="40" t="s">
        <v>1466</v>
      </c>
      <c r="D128" s="40" t="s">
        <v>1467</v>
      </c>
      <c r="E128" s="40">
        <v>17</v>
      </c>
      <c r="F128" s="40" t="s">
        <v>53</v>
      </c>
      <c r="G128" s="40" t="s">
        <v>53</v>
      </c>
      <c r="H128" s="41" t="s">
        <v>561</v>
      </c>
      <c r="I128" s="42" t="s">
        <v>43</v>
      </c>
      <c r="J128" s="40" t="s">
        <v>47</v>
      </c>
      <c r="K128" s="41" t="s">
        <v>43</v>
      </c>
      <c r="L128" s="40">
        <v>3</v>
      </c>
      <c r="M128" s="40">
        <v>2</v>
      </c>
      <c r="N128" s="41">
        <v>1</v>
      </c>
      <c r="O128" s="40">
        <v>5</v>
      </c>
      <c r="P128" s="40">
        <v>2</v>
      </c>
      <c r="Q128" s="41">
        <v>4</v>
      </c>
      <c r="R128" s="40">
        <v>4</v>
      </c>
      <c r="S128" s="40">
        <v>6</v>
      </c>
      <c r="T128" s="40" t="s">
        <v>45</v>
      </c>
      <c r="U128" s="40" t="s">
        <v>45</v>
      </c>
      <c r="V128" s="40">
        <v>3</v>
      </c>
      <c r="W128" s="40">
        <v>8</v>
      </c>
      <c r="X128" s="40" t="s">
        <v>45</v>
      </c>
      <c r="Y128" s="40" t="s">
        <v>45</v>
      </c>
      <c r="Z128" s="40" t="s">
        <v>45</v>
      </c>
      <c r="AA128" s="40" t="s">
        <v>45</v>
      </c>
      <c r="AB128" s="40" t="s">
        <v>45</v>
      </c>
      <c r="AC128" s="40" t="s">
        <v>45</v>
      </c>
      <c r="AD128" s="40" t="s">
        <v>45</v>
      </c>
      <c r="AE128" s="40" t="s">
        <v>45</v>
      </c>
      <c r="AF128" s="40" t="s">
        <v>45</v>
      </c>
      <c r="AG128" s="40" t="s">
        <v>45</v>
      </c>
      <c r="AH128" s="40" t="s">
        <v>45</v>
      </c>
      <c r="AI128" s="40" t="s">
        <v>45</v>
      </c>
      <c r="AJ128" s="40" t="s">
        <v>45</v>
      </c>
      <c r="AK128" s="40" t="s">
        <v>45</v>
      </c>
      <c r="AL128" s="40" t="s">
        <v>45</v>
      </c>
      <c r="AM128" s="40" t="s">
        <v>45</v>
      </c>
      <c r="AN128" s="40" t="s">
        <v>45</v>
      </c>
      <c r="AO128" s="41" t="s">
        <v>45</v>
      </c>
      <c r="AP128" s="40" t="s">
        <v>329</v>
      </c>
      <c r="AQ128" s="40">
        <v>1</v>
      </c>
      <c r="AR128" s="48" t="s">
        <v>326</v>
      </c>
      <c r="AS128" s="43" t="s">
        <v>583</v>
      </c>
      <c r="AT128" s="43" t="s">
        <v>103</v>
      </c>
      <c r="AU128" s="44">
        <f t="shared" si="10"/>
        <v>-2.1166698725191955</v>
      </c>
      <c r="AV128" s="44">
        <f t="shared" si="11"/>
        <v>-0.55483077460144581</v>
      </c>
      <c r="AW128" s="45">
        <f t="shared" si="12"/>
        <v>2</v>
      </c>
      <c r="AX128" s="45">
        <f t="shared" si="13"/>
        <v>2</v>
      </c>
      <c r="AY128" s="46">
        <f>VLOOKUP(AP128,COND!$A$10:$B$32,2,FALSE)</f>
        <v>1</v>
      </c>
      <c r="AZ128" s="44">
        <f>($AU$3*AU128+$AV$3*AV128+$AW$3*AW128+$AX$3*AX128)*AY128*IF(AQ128&lt;5,0.95,IF(AQ128&lt;7,0.975,1))+$I$3*VLOOKUP(I128,COND!$A$2:$E$7,4,FALSE)+$J$3*VLOOKUP(J128,COND!$A$2:$E$7,2,FALSE)+$K$3*VLOOKUP(K128,COND!$A$2:$E$7,3,FALSE)+IF(BB128="SP",$BB$3,0)+IF($AW128&lt;3,-5,0)+IF(AND($B$2&gt;0,$E128&lt;20),$B$2*25,0)</f>
        <v>37.681048006793887</v>
      </c>
      <c r="BA128" s="47">
        <f t="shared" si="19"/>
        <v>-8.6541170817269857E-3</v>
      </c>
      <c r="BB128" s="45" t="str">
        <f t="shared" si="14"/>
        <v>RP</v>
      </c>
      <c r="BC128" s="45">
        <v>900</v>
      </c>
      <c r="BD128" s="45">
        <v>123</v>
      </c>
      <c r="BE128" s="45"/>
      <c r="BF128" s="45" t="str">
        <f t="shared" si="15"/>
        <v>Unlikely</v>
      </c>
      <c r="BG128" s="45"/>
      <c r="BH128" s="45">
        <f>INDEX(Table5[[#All],[Ovr]],MATCH(Table3[[#This Row],[PID]],Table5[[#All],[PID]],0))</f>
        <v>289</v>
      </c>
      <c r="BI128" s="45" t="str">
        <f>INDEX(Table5[[#All],[Rnd]],MATCH(Table3[[#This Row],[PID]],Table5[[#All],[PID]],0))</f>
        <v>9</v>
      </c>
      <c r="BJ128" s="45">
        <f>INDEX(Table5[[#All],[Pick]],MATCH(Table3[[#This Row],[PID]],Table5[[#All],[PID]],0))</f>
        <v>24</v>
      </c>
      <c r="BK128" s="45" t="str">
        <f>INDEX(Table5[[#All],[Team]],MATCH(Table3[[#This Row],[PID]],Table5[[#All],[PID]],0))</f>
        <v>Reno Zephyrs</v>
      </c>
      <c r="BL128" s="45" t="str">
        <f>IF(OR(Table3[[#This Row],[POS]]="SP",Table3[[#This Row],[POS]]="RP",Table3[[#This Row],[POS]]="CL"),"P",INDEX(Batters[[#All],[zScore]],MATCH(Table3[[#This Row],[PID]],Batters[[#All],[PID]],0)))</f>
        <v>P</v>
      </c>
    </row>
    <row r="129" spans="1:64" ht="15" customHeight="1" x14ac:dyDescent="0.3">
      <c r="A129" s="40">
        <v>20758</v>
      </c>
      <c r="B129" s="40" t="s">
        <v>380</v>
      </c>
      <c r="C129" s="40" t="s">
        <v>280</v>
      </c>
      <c r="D129" s="40" t="s">
        <v>717</v>
      </c>
      <c r="E129" s="40">
        <v>17</v>
      </c>
      <c r="F129" s="40" t="s">
        <v>42</v>
      </c>
      <c r="G129" s="40" t="s">
        <v>42</v>
      </c>
      <c r="H129" s="41" t="s">
        <v>561</v>
      </c>
      <c r="I129" s="42" t="s">
        <v>43</v>
      </c>
      <c r="J129" s="40" t="s">
        <v>43</v>
      </c>
      <c r="K129" s="41" t="s">
        <v>43</v>
      </c>
      <c r="L129" s="40">
        <v>3</v>
      </c>
      <c r="M129" s="40">
        <v>2</v>
      </c>
      <c r="N129" s="41">
        <v>1</v>
      </c>
      <c r="O129" s="40">
        <v>5</v>
      </c>
      <c r="P129" s="40">
        <v>2</v>
      </c>
      <c r="Q129" s="41">
        <v>3</v>
      </c>
      <c r="R129" s="40" t="s">
        <v>45</v>
      </c>
      <c r="S129" s="40" t="s">
        <v>45</v>
      </c>
      <c r="T129" s="40">
        <v>1</v>
      </c>
      <c r="U129" s="40">
        <v>6</v>
      </c>
      <c r="V129" s="40" t="s">
        <v>45</v>
      </c>
      <c r="W129" s="40" t="s">
        <v>45</v>
      </c>
      <c r="X129" s="40">
        <v>3</v>
      </c>
      <c r="Y129" s="40">
        <v>4</v>
      </c>
      <c r="Z129" s="40" t="s">
        <v>45</v>
      </c>
      <c r="AA129" s="40" t="s">
        <v>45</v>
      </c>
      <c r="AB129" s="40" t="s">
        <v>45</v>
      </c>
      <c r="AC129" s="40" t="s">
        <v>45</v>
      </c>
      <c r="AD129" s="40">
        <v>4</v>
      </c>
      <c r="AE129" s="40">
        <v>7</v>
      </c>
      <c r="AF129" s="40" t="s">
        <v>45</v>
      </c>
      <c r="AG129" s="40" t="s">
        <v>45</v>
      </c>
      <c r="AH129" s="40" t="s">
        <v>45</v>
      </c>
      <c r="AI129" s="40" t="s">
        <v>45</v>
      </c>
      <c r="AJ129" s="40" t="s">
        <v>45</v>
      </c>
      <c r="AK129" s="40" t="s">
        <v>45</v>
      </c>
      <c r="AL129" s="40" t="s">
        <v>45</v>
      </c>
      <c r="AM129" s="40" t="s">
        <v>45</v>
      </c>
      <c r="AN129" s="40" t="s">
        <v>45</v>
      </c>
      <c r="AO129" s="41" t="s">
        <v>45</v>
      </c>
      <c r="AP129" s="40" t="s">
        <v>54</v>
      </c>
      <c r="AQ129" s="40">
        <v>1</v>
      </c>
      <c r="AR129" s="48" t="s">
        <v>326</v>
      </c>
      <c r="AS129" s="43" t="s">
        <v>558</v>
      </c>
      <c r="AT129" s="43" t="s">
        <v>103</v>
      </c>
      <c r="AU129" s="44">
        <f t="shared" si="10"/>
        <v>-2.1166698725191955</v>
      </c>
      <c r="AV129" s="44">
        <f t="shared" si="11"/>
        <v>-0.79715134065555615</v>
      </c>
      <c r="AW129" s="45">
        <f t="shared" si="12"/>
        <v>3</v>
      </c>
      <c r="AX129" s="45">
        <f t="shared" si="13"/>
        <v>2</v>
      </c>
      <c r="AY129" s="46">
        <f>VLOOKUP(AP129,COND!$A$10:$B$32,2,FALSE)</f>
        <v>1.0249999999999999</v>
      </c>
      <c r="AZ129" s="44">
        <f>($AU$3*AU129+$AV$3*AV129+$AW$3*AW129+$AX$3*AX129)*AY129*IF(AQ129&lt;5,0.95,IF(AQ129&lt;7,0.975,1))+$I$3*VLOOKUP(I129,COND!$A$2:$E$7,4,FALSE)+$J$3*VLOOKUP(J129,COND!$A$2:$E$7,2,FALSE)+$K$3*VLOOKUP(K129,COND!$A$2:$E$7,3,FALSE)+IF(BB129="SP",$BB$3,0)+IF($AW129&lt;3,-5,0)+IF(AND($B$2&gt;0,$E129&lt;20),$B$2*25,0)</f>
        <v>37.95825618305993</v>
      </c>
      <c r="BA129" s="47">
        <f t="shared" si="19"/>
        <v>1.1085054638306762E-2</v>
      </c>
      <c r="BB129" s="45" t="str">
        <f t="shared" si="14"/>
        <v>RP</v>
      </c>
      <c r="BC129" s="45">
        <v>900</v>
      </c>
      <c r="BD129" s="45">
        <v>124</v>
      </c>
      <c r="BE129" s="45"/>
      <c r="BF129" s="45" t="str">
        <f t="shared" si="15"/>
        <v>Unlikely</v>
      </c>
      <c r="BG129" s="45"/>
      <c r="BH129" s="45">
        <f>INDEX(Table5[[#All],[Ovr]],MATCH(Table3[[#This Row],[PID]],Table5[[#All],[PID]],0))</f>
        <v>546</v>
      </c>
      <c r="BI129" s="45" t="str">
        <f>INDEX(Table5[[#All],[Rnd]],MATCH(Table3[[#This Row],[PID]],Table5[[#All],[PID]],0))</f>
        <v>17</v>
      </c>
      <c r="BJ129" s="45">
        <f>INDEX(Table5[[#All],[Pick]],MATCH(Table3[[#This Row],[PID]],Table5[[#All],[PID]],0))</f>
        <v>11</v>
      </c>
      <c r="BK129" s="45" t="str">
        <f>INDEX(Table5[[#All],[Team]],MATCH(Table3[[#This Row],[PID]],Table5[[#All],[PID]],0))</f>
        <v>Arlington Bureaucrats</v>
      </c>
      <c r="BL129" s="45" t="str">
        <f>IF(OR(Table3[[#This Row],[POS]]="SP",Table3[[#This Row],[POS]]="RP",Table3[[#This Row],[POS]]="CL"),"P",INDEX(Batters[[#All],[zScore]],MATCH(Table3[[#This Row],[PID]],Batters[[#All],[PID]],0)))</f>
        <v>P</v>
      </c>
    </row>
    <row r="130" spans="1:64" ht="15" customHeight="1" x14ac:dyDescent="0.3">
      <c r="A130" s="40">
        <v>17116</v>
      </c>
      <c r="B130" s="40" t="s">
        <v>380</v>
      </c>
      <c r="C130" s="40" t="s">
        <v>953</v>
      </c>
      <c r="D130" s="40" t="s">
        <v>1408</v>
      </c>
      <c r="E130" s="40">
        <v>21</v>
      </c>
      <c r="F130" s="40" t="s">
        <v>42</v>
      </c>
      <c r="G130" s="40" t="s">
        <v>42</v>
      </c>
      <c r="H130" s="41" t="s">
        <v>561</v>
      </c>
      <c r="I130" s="42" t="s">
        <v>43</v>
      </c>
      <c r="J130" s="40" t="s">
        <v>47</v>
      </c>
      <c r="K130" s="41" t="s">
        <v>47</v>
      </c>
      <c r="L130" s="40">
        <v>3</v>
      </c>
      <c r="M130" s="40">
        <v>1</v>
      </c>
      <c r="N130" s="41">
        <v>2</v>
      </c>
      <c r="O130" s="40">
        <v>5</v>
      </c>
      <c r="P130" s="40">
        <v>1</v>
      </c>
      <c r="Q130" s="41">
        <v>4</v>
      </c>
      <c r="R130" s="40">
        <v>4</v>
      </c>
      <c r="S130" s="40">
        <v>6</v>
      </c>
      <c r="T130" s="40">
        <v>1</v>
      </c>
      <c r="U130" s="40">
        <v>1</v>
      </c>
      <c r="V130" s="40">
        <v>3</v>
      </c>
      <c r="W130" s="40">
        <v>7</v>
      </c>
      <c r="X130" s="40" t="s">
        <v>45</v>
      </c>
      <c r="Y130" s="40" t="s">
        <v>45</v>
      </c>
      <c r="Z130" s="40" t="s">
        <v>45</v>
      </c>
      <c r="AA130" s="40" t="s">
        <v>45</v>
      </c>
      <c r="AB130" s="40" t="s">
        <v>45</v>
      </c>
      <c r="AC130" s="40" t="s">
        <v>45</v>
      </c>
      <c r="AD130" s="40" t="s">
        <v>45</v>
      </c>
      <c r="AE130" s="40" t="s">
        <v>45</v>
      </c>
      <c r="AF130" s="40" t="s">
        <v>45</v>
      </c>
      <c r="AG130" s="40" t="s">
        <v>45</v>
      </c>
      <c r="AH130" s="40" t="s">
        <v>45</v>
      </c>
      <c r="AI130" s="40" t="s">
        <v>45</v>
      </c>
      <c r="AJ130" s="40" t="s">
        <v>45</v>
      </c>
      <c r="AK130" s="40" t="s">
        <v>45</v>
      </c>
      <c r="AL130" s="40" t="s">
        <v>45</v>
      </c>
      <c r="AM130" s="40" t="s">
        <v>45</v>
      </c>
      <c r="AN130" s="40" t="s">
        <v>45</v>
      </c>
      <c r="AO130" s="41" t="s">
        <v>45</v>
      </c>
      <c r="AP130" s="40" t="s">
        <v>56</v>
      </c>
      <c r="AQ130" s="40">
        <v>6</v>
      </c>
      <c r="AR130" s="48" t="s">
        <v>14</v>
      </c>
      <c r="AS130" s="43" t="s">
        <v>45</v>
      </c>
      <c r="AT130" s="43" t="s">
        <v>103</v>
      </c>
      <c r="AU130" s="44">
        <f t="shared" si="10"/>
        <v>-2.0697810228951408</v>
      </c>
      <c r="AV130" s="44">
        <f t="shared" si="11"/>
        <v>-0.75026249103150122</v>
      </c>
      <c r="AW130" s="45">
        <f t="shared" si="12"/>
        <v>3</v>
      </c>
      <c r="AX130" s="45">
        <f t="shared" si="13"/>
        <v>2</v>
      </c>
      <c r="AY130" s="46">
        <f>VLOOKUP(AP130,COND!$A$10:$B$32,2,FALSE)</f>
        <v>1</v>
      </c>
      <c r="AZ130" s="44">
        <f>($AU$3*AU130+$AV$3*AV130+$AW$3*AW130+$AX$3*AX130)*AY130*IF(AQ130&lt;5,0.95,IF(AQ130&lt;7,0.975,1))+$I$3*VLOOKUP(I130,COND!$A$2:$E$7,4,FALSE)+$J$3*VLOOKUP(J130,COND!$A$2:$E$7,2,FALSE)+$K$3*VLOOKUP(K130,COND!$A$2:$E$7,3,FALSE)+IF(BB130="SP",$BB$3,0)+IF($AW130&lt;3,-5,0)+IF(AND($B$2&gt;0,$E130&lt;20),$B$2*25,0)</f>
        <v>36.46627412542118</v>
      </c>
      <c r="BA130" s="47">
        <f t="shared" si="19"/>
        <v>-9.5154560785865427E-2</v>
      </c>
      <c r="BB130" s="45" t="str">
        <f t="shared" si="14"/>
        <v>SP</v>
      </c>
      <c r="BC130" s="45">
        <v>900</v>
      </c>
      <c r="BD130" s="45">
        <v>125</v>
      </c>
      <c r="BE130" s="45"/>
      <c r="BF130" s="45" t="str">
        <f t="shared" si="15"/>
        <v>Unlikely</v>
      </c>
      <c r="BG130" s="45"/>
      <c r="BH130" s="45">
        <f>INDEX(Table5[[#All],[Ovr]],MATCH(Table3[[#This Row],[PID]],Table5[[#All],[PID]],0))</f>
        <v>414</v>
      </c>
      <c r="BI130" s="45" t="str">
        <f>INDEX(Table5[[#All],[Rnd]],MATCH(Table3[[#This Row],[PID]],Table5[[#All],[PID]],0))</f>
        <v>13</v>
      </c>
      <c r="BJ130" s="45">
        <f>INDEX(Table5[[#All],[Pick]],MATCH(Table3[[#This Row],[PID]],Table5[[#All],[PID]],0))</f>
        <v>15</v>
      </c>
      <c r="BK130" s="45" t="str">
        <f>INDEX(Table5[[#All],[Team]],MATCH(Table3[[#This Row],[PID]],Table5[[#All],[PID]],0))</f>
        <v>Niihama-shi Ghosts</v>
      </c>
      <c r="BL130" s="45" t="str">
        <f>IF(OR(Table3[[#This Row],[POS]]="SP",Table3[[#This Row],[POS]]="RP",Table3[[#This Row],[POS]]="CL"),"P",INDEX(Batters[[#All],[zScore]],MATCH(Table3[[#This Row],[PID]],Batters[[#All],[PID]],0)))</f>
        <v>P</v>
      </c>
    </row>
    <row r="131" spans="1:64" ht="15" customHeight="1" x14ac:dyDescent="0.3">
      <c r="A131" s="40">
        <v>15319</v>
      </c>
      <c r="B131" s="40" t="s">
        <v>380</v>
      </c>
      <c r="C131" s="40" t="s">
        <v>151</v>
      </c>
      <c r="D131" s="40" t="s">
        <v>185</v>
      </c>
      <c r="E131" s="40">
        <v>21</v>
      </c>
      <c r="F131" s="40" t="s">
        <v>42</v>
      </c>
      <c r="G131" s="40" t="s">
        <v>42</v>
      </c>
      <c r="H131" s="41" t="s">
        <v>553</v>
      </c>
      <c r="I131" s="42" t="s">
        <v>43</v>
      </c>
      <c r="J131" s="40" t="s">
        <v>43</v>
      </c>
      <c r="K131" s="41" t="s">
        <v>47</v>
      </c>
      <c r="L131" s="40">
        <v>3</v>
      </c>
      <c r="M131" s="40">
        <v>2</v>
      </c>
      <c r="N131" s="41">
        <v>2</v>
      </c>
      <c r="O131" s="40">
        <v>5</v>
      </c>
      <c r="P131" s="40">
        <v>2</v>
      </c>
      <c r="Q131" s="41">
        <v>4</v>
      </c>
      <c r="R131" s="40">
        <v>5</v>
      </c>
      <c r="S131" s="40">
        <v>6</v>
      </c>
      <c r="T131" s="40">
        <v>1</v>
      </c>
      <c r="U131" s="40">
        <v>1</v>
      </c>
      <c r="V131" s="40" t="s">
        <v>45</v>
      </c>
      <c r="W131" s="40" t="s">
        <v>45</v>
      </c>
      <c r="X131" s="40" t="s">
        <v>45</v>
      </c>
      <c r="Y131" s="40" t="s">
        <v>45</v>
      </c>
      <c r="Z131" s="40">
        <v>3</v>
      </c>
      <c r="AA131" s="40">
        <v>5</v>
      </c>
      <c r="AB131" s="40" t="s">
        <v>45</v>
      </c>
      <c r="AC131" s="40" t="s">
        <v>45</v>
      </c>
      <c r="AD131" s="40" t="s">
        <v>45</v>
      </c>
      <c r="AE131" s="40" t="s">
        <v>45</v>
      </c>
      <c r="AF131" s="40" t="s">
        <v>45</v>
      </c>
      <c r="AG131" s="40" t="s">
        <v>45</v>
      </c>
      <c r="AH131" s="40" t="s">
        <v>45</v>
      </c>
      <c r="AI131" s="40" t="s">
        <v>45</v>
      </c>
      <c r="AJ131" s="40" t="s">
        <v>45</v>
      </c>
      <c r="AK131" s="40" t="s">
        <v>45</v>
      </c>
      <c r="AL131" s="40" t="s">
        <v>45</v>
      </c>
      <c r="AM131" s="40" t="s">
        <v>45</v>
      </c>
      <c r="AN131" s="40" t="s">
        <v>45</v>
      </c>
      <c r="AO131" s="41" t="s">
        <v>45</v>
      </c>
      <c r="AP131" s="40" t="s">
        <v>58</v>
      </c>
      <c r="AQ131" s="40">
        <v>3</v>
      </c>
      <c r="AR131" s="48" t="s">
        <v>325</v>
      </c>
      <c r="AS131" s="43" t="s">
        <v>45</v>
      </c>
      <c r="AT131" s="43" t="s">
        <v>103</v>
      </c>
      <c r="AU131" s="44">
        <f t="shared" si="10"/>
        <v>-1.8743493064650851</v>
      </c>
      <c r="AV131" s="44">
        <f t="shared" si="11"/>
        <v>-0.55483077460144581</v>
      </c>
      <c r="AW131" s="45">
        <f t="shared" si="12"/>
        <v>3</v>
      </c>
      <c r="AX131" s="45">
        <f t="shared" si="13"/>
        <v>1</v>
      </c>
      <c r="AY131" s="46">
        <f>VLOOKUP(AP131,COND!$A$10:$B$32,2,FALSE)</f>
        <v>1</v>
      </c>
      <c r="AZ131" s="44">
        <f>($AU$3*AU131+$AV$3*AV131+$AW$3*AW131+$AX$3*AX131)*AY131*IF(AQ131&lt;5,0.95,IF(AQ131&lt;7,0.975,1))+$I$3*VLOOKUP(I131,COND!$A$2:$E$7,4,FALSE)+$J$3*VLOOKUP(J131,COND!$A$2:$E$7,2,FALSE)+$K$3*VLOOKUP(K131,COND!$A$2:$E$7,3,FALSE)+IF(BB131="SP",$BB$3,0)+IF($AW131&lt;3,-5,0)+IF(AND($B$2&gt;0,$E131&lt;20),$B$2*25,0)</f>
        <v>37.014588914344159</v>
      </c>
      <c r="BA131" s="47">
        <f t="shared" si="19"/>
        <v>-5.6110691586288168E-2</v>
      </c>
      <c r="BB131" s="45" t="str">
        <f t="shared" si="14"/>
        <v>RP</v>
      </c>
      <c r="BC131" s="45">
        <v>900</v>
      </c>
      <c r="BD131" s="45">
        <v>126</v>
      </c>
      <c r="BE131" s="45"/>
      <c r="BF131" s="45" t="str">
        <f t="shared" si="15"/>
        <v>Unlikely</v>
      </c>
      <c r="BG131" s="45"/>
      <c r="BH131" s="45">
        <f>INDEX(Table5[[#All],[Ovr]],MATCH(Table3[[#This Row],[PID]],Table5[[#All],[PID]],0))</f>
        <v>408</v>
      </c>
      <c r="BI131" s="45" t="str">
        <f>INDEX(Table5[[#All],[Rnd]],MATCH(Table3[[#This Row],[PID]],Table5[[#All],[PID]],0))</f>
        <v>13</v>
      </c>
      <c r="BJ131" s="45">
        <f>INDEX(Table5[[#All],[Pick]],MATCH(Table3[[#This Row],[PID]],Table5[[#All],[PID]],0))</f>
        <v>9</v>
      </c>
      <c r="BK131" s="45" t="str">
        <f>INDEX(Table5[[#All],[Team]],MATCH(Table3[[#This Row],[PID]],Table5[[#All],[PID]],0))</f>
        <v>Gloucester Fishermen</v>
      </c>
      <c r="BL131" s="45" t="str">
        <f>IF(OR(Table3[[#This Row],[POS]]="SP",Table3[[#This Row],[POS]]="RP",Table3[[#This Row],[POS]]="CL"),"P",INDEX(Batters[[#All],[zScore]],MATCH(Table3[[#This Row],[PID]],Batters[[#All],[PID]],0)))</f>
        <v>P</v>
      </c>
    </row>
    <row r="132" spans="1:64" ht="15" customHeight="1" x14ac:dyDescent="0.3">
      <c r="A132" s="40">
        <v>20298</v>
      </c>
      <c r="B132" s="40" t="s">
        <v>380</v>
      </c>
      <c r="C132" s="40" t="s">
        <v>1551</v>
      </c>
      <c r="D132" s="40" t="s">
        <v>1552</v>
      </c>
      <c r="E132" s="40">
        <v>17</v>
      </c>
      <c r="F132" s="40" t="s">
        <v>42</v>
      </c>
      <c r="G132" s="40" t="s">
        <v>42</v>
      </c>
      <c r="H132" s="41" t="s">
        <v>561</v>
      </c>
      <c r="I132" s="42" t="s">
        <v>43</v>
      </c>
      <c r="J132" s="40" t="s">
        <v>47</v>
      </c>
      <c r="K132" s="41" t="s">
        <v>43</v>
      </c>
      <c r="L132" s="40">
        <v>2</v>
      </c>
      <c r="M132" s="40">
        <v>1</v>
      </c>
      <c r="N132" s="41">
        <v>2</v>
      </c>
      <c r="O132" s="40">
        <v>4</v>
      </c>
      <c r="P132" s="40">
        <v>1</v>
      </c>
      <c r="Q132" s="41">
        <v>4</v>
      </c>
      <c r="R132" s="40">
        <v>4</v>
      </c>
      <c r="S132" s="40">
        <v>6</v>
      </c>
      <c r="T132" s="40">
        <v>1</v>
      </c>
      <c r="U132" s="40">
        <v>1</v>
      </c>
      <c r="V132" s="40">
        <v>3</v>
      </c>
      <c r="W132" s="40">
        <v>6</v>
      </c>
      <c r="X132" s="40" t="s">
        <v>45</v>
      </c>
      <c r="Y132" s="40" t="s">
        <v>45</v>
      </c>
      <c r="Z132" s="40" t="s">
        <v>45</v>
      </c>
      <c r="AA132" s="40" t="s">
        <v>45</v>
      </c>
      <c r="AB132" s="40" t="s">
        <v>45</v>
      </c>
      <c r="AC132" s="40" t="s">
        <v>45</v>
      </c>
      <c r="AD132" s="40" t="s">
        <v>45</v>
      </c>
      <c r="AE132" s="40" t="s">
        <v>45</v>
      </c>
      <c r="AF132" s="40" t="s">
        <v>45</v>
      </c>
      <c r="AG132" s="40" t="s">
        <v>45</v>
      </c>
      <c r="AH132" s="40" t="s">
        <v>45</v>
      </c>
      <c r="AI132" s="40" t="s">
        <v>45</v>
      </c>
      <c r="AJ132" s="40" t="s">
        <v>45</v>
      </c>
      <c r="AK132" s="40" t="s">
        <v>45</v>
      </c>
      <c r="AL132" s="40" t="s">
        <v>45</v>
      </c>
      <c r="AM132" s="40" t="s">
        <v>45</v>
      </c>
      <c r="AN132" s="40" t="s">
        <v>45</v>
      </c>
      <c r="AO132" s="41" t="s">
        <v>45</v>
      </c>
      <c r="AP132" s="40" t="s">
        <v>329</v>
      </c>
      <c r="AQ132" s="40">
        <v>8</v>
      </c>
      <c r="AR132" s="48" t="s">
        <v>326</v>
      </c>
      <c r="AS132" s="43" t="s">
        <v>583</v>
      </c>
      <c r="AT132" s="43" t="s">
        <v>117</v>
      </c>
      <c r="AU132" s="44">
        <f t="shared" si="10"/>
        <v>-2.2644723474043147</v>
      </c>
      <c r="AV132" s="44">
        <f t="shared" si="11"/>
        <v>-0.94495381554067481</v>
      </c>
      <c r="AW132" s="45">
        <f t="shared" si="12"/>
        <v>3</v>
      </c>
      <c r="AX132" s="45">
        <f t="shared" si="13"/>
        <v>2</v>
      </c>
      <c r="AY132" s="46">
        <f>VLOOKUP(AP132,COND!$A$10:$B$32,2,FALSE)</f>
        <v>1</v>
      </c>
      <c r="AZ132" s="44">
        <f>($AU$3*AU132+$AV$3*AV132+$AW$3*AW132+$AX$3*AX132)*AY132*IF(AQ132&lt;5,0.95,IF(AQ132&lt;7,0.975,1))+$I$3*VLOOKUP(I132,COND!$A$2:$E$7,4,FALSE)+$J$3*VLOOKUP(J132,COND!$A$2:$E$7,2,FALSE)+$K$3*VLOOKUP(K132,COND!$A$2:$E$7,3,FALSE)+IF(BB132="SP",$BB$3,0)+IF($AW132&lt;3,-5,0)+IF(AND($B$2&gt;0,$E132&lt;20),$B$2*25,0)</f>
        <v>36.948029219705646</v>
      </c>
      <c r="BA132" s="47">
        <f t="shared" si="19"/>
        <v>-6.0850209950428023E-2</v>
      </c>
      <c r="BB132" s="45" t="str">
        <f t="shared" si="14"/>
        <v>SP</v>
      </c>
      <c r="BC132" s="45">
        <v>900</v>
      </c>
      <c r="BD132" s="45">
        <v>127</v>
      </c>
      <c r="BE132" s="45"/>
      <c r="BF132" s="45" t="str">
        <f t="shared" si="15"/>
        <v>Unlikely</v>
      </c>
      <c r="BG132" s="45"/>
      <c r="BH132" s="45">
        <f>INDEX(Table5[[#All],[Ovr]],MATCH(Table3[[#This Row],[PID]],Table5[[#All],[PID]],0))</f>
        <v>440</v>
      </c>
      <c r="BI132" s="45" t="str">
        <f>INDEX(Table5[[#All],[Rnd]],MATCH(Table3[[#This Row],[PID]],Table5[[#All],[PID]],0))</f>
        <v>14</v>
      </c>
      <c r="BJ132" s="45">
        <f>INDEX(Table5[[#All],[Pick]],MATCH(Table3[[#This Row],[PID]],Table5[[#All],[PID]],0))</f>
        <v>7</v>
      </c>
      <c r="BK132" s="45" t="str">
        <f>INDEX(Table5[[#All],[Team]],MATCH(Table3[[#This Row],[PID]],Table5[[#All],[PID]],0))</f>
        <v>Hartford Harpoon</v>
      </c>
      <c r="BL132" s="45" t="str">
        <f>IF(OR(Table3[[#This Row],[POS]]="SP",Table3[[#This Row],[POS]]="RP",Table3[[#This Row],[POS]]="CL"),"P",INDEX(Batters[[#All],[zScore]],MATCH(Table3[[#This Row],[PID]],Batters[[#All],[PID]],0)))</f>
        <v>P</v>
      </c>
    </row>
    <row r="133" spans="1:64" ht="15" customHeight="1" x14ac:dyDescent="0.3">
      <c r="A133" s="40">
        <v>21005</v>
      </c>
      <c r="B133" s="40" t="s">
        <v>380</v>
      </c>
      <c r="C133" s="40" t="s">
        <v>1545</v>
      </c>
      <c r="D133" s="40" t="s">
        <v>844</v>
      </c>
      <c r="E133" s="40">
        <v>16</v>
      </c>
      <c r="F133" s="40" t="s">
        <v>42</v>
      </c>
      <c r="G133" s="40" t="s">
        <v>42</v>
      </c>
      <c r="H133" s="41" t="s">
        <v>553</v>
      </c>
      <c r="I133" s="42" t="s">
        <v>47</v>
      </c>
      <c r="J133" s="40" t="s">
        <v>47</v>
      </c>
      <c r="K133" s="41" t="s">
        <v>43</v>
      </c>
      <c r="L133" s="40">
        <v>2</v>
      </c>
      <c r="M133" s="40">
        <v>2</v>
      </c>
      <c r="N133" s="41">
        <v>1</v>
      </c>
      <c r="O133" s="40">
        <v>6</v>
      </c>
      <c r="P133" s="40">
        <v>2</v>
      </c>
      <c r="Q133" s="41">
        <v>3</v>
      </c>
      <c r="R133" s="40">
        <v>4</v>
      </c>
      <c r="S133" s="40">
        <v>7</v>
      </c>
      <c r="T133" s="40" t="s">
        <v>45</v>
      </c>
      <c r="U133" s="40" t="s">
        <v>45</v>
      </c>
      <c r="V133" s="40" t="s">
        <v>45</v>
      </c>
      <c r="W133" s="40" t="s">
        <v>45</v>
      </c>
      <c r="X133" s="40">
        <v>2</v>
      </c>
      <c r="Y133" s="40">
        <v>8</v>
      </c>
      <c r="Z133" s="40" t="s">
        <v>45</v>
      </c>
      <c r="AA133" s="40" t="s">
        <v>45</v>
      </c>
      <c r="AB133" s="40" t="s">
        <v>45</v>
      </c>
      <c r="AC133" s="40" t="s">
        <v>45</v>
      </c>
      <c r="AD133" s="40" t="s">
        <v>45</v>
      </c>
      <c r="AE133" s="40" t="s">
        <v>45</v>
      </c>
      <c r="AF133" s="40" t="s">
        <v>45</v>
      </c>
      <c r="AG133" s="40" t="s">
        <v>45</v>
      </c>
      <c r="AH133" s="40" t="s">
        <v>45</v>
      </c>
      <c r="AI133" s="40" t="s">
        <v>45</v>
      </c>
      <c r="AJ133" s="40" t="s">
        <v>45</v>
      </c>
      <c r="AK133" s="40" t="s">
        <v>45</v>
      </c>
      <c r="AL133" s="40" t="s">
        <v>45</v>
      </c>
      <c r="AM133" s="40" t="s">
        <v>45</v>
      </c>
      <c r="AN133" s="40" t="s">
        <v>45</v>
      </c>
      <c r="AO133" s="41" t="s">
        <v>45</v>
      </c>
      <c r="AP133" s="40" t="s">
        <v>58</v>
      </c>
      <c r="AQ133" s="40">
        <v>6</v>
      </c>
      <c r="AR133" s="48" t="s">
        <v>326</v>
      </c>
      <c r="AS133" s="43" t="s">
        <v>558</v>
      </c>
      <c r="AT133" s="43" t="s">
        <v>103</v>
      </c>
      <c r="AU133" s="44">
        <f t="shared" ref="AU133:AU196" si="20">($O$3*(L133-$O$1)/$O$2+$P$3*(M133-$P$1)/$P$2+$Q$3*(N133-$P$1)/$Q$2)/SUM($O$3:$Q$3)</f>
        <v>-2.311361197028369</v>
      </c>
      <c r="AV133" s="44">
        <f t="shared" ref="AV133:AV196" si="21">($O$3*(O133-$O$1)/$O$2+$P$3*(P133-$P$1)/$P$2+$Q$3*(Q133-$Q$1)/$Q$2)/SUM($O$3:$Q$3)</f>
        <v>-0.60246001614638267</v>
      </c>
      <c r="AW133" s="45">
        <f t="shared" ref="AW133:AW196" si="22">COUNT(R133:AO133)/2</f>
        <v>2</v>
      </c>
      <c r="AX133" s="45">
        <f t="shared" ref="AX133:AX196" si="23">IF(AND(S133&lt;&gt;"-",S133&gt;5),1,0)+IF(AND(U133&lt;&gt;"-",U133&gt;5),1,0)+IF(AND(W133&lt;&gt;"-",W133&gt;5),1,0)+IF(AND(Y133&lt;&gt;"-",Y133&gt;5),1,0)+IF(AND(AA133&lt;&gt;"-",AA133&gt;5),1,0)+IF(AND(AC133&lt;&gt;"-",AC133&gt;5),1,0)+IF(AND(AE133&lt;&gt;"-",AE133&gt;5),1,0)+IF(AND(AG133&lt;&gt;"-",AG133&gt;5),1,0)+IF(AND(AI133&lt;&gt;"-",AI133&gt;5),1,0)+IF(AND(AK133&lt;&gt;"-",AK133&gt;5),1,0)+IF(AND(AM133&lt;&gt;"-",AM133&gt;5),1,0)+IF(AND(AO133&lt;&gt;"-",AO133&gt;5),1,0)</f>
        <v>2</v>
      </c>
      <c r="AY133" s="46">
        <f>VLOOKUP(AP133,COND!$A$10:$B$32,2,FALSE)</f>
        <v>1</v>
      </c>
      <c r="AZ133" s="44">
        <f>($AU$3*AU133+$AV$3*AV133+$AW$3*AW133+$AX$3*AX133)*AY133*IF(AQ133&lt;5,0.95,IF(AQ133&lt;7,0.975,1))+$I$3*VLOOKUP(I133,COND!$A$2:$E$7,4,FALSE)+$J$3*VLOOKUP(J133,COND!$A$2:$E$7,2,FALSE)+$K$3*VLOOKUP(K133,COND!$A$2:$E$7,3,FALSE)+IF(BB133="SP",$BB$3,0)+IF($AW133&lt;3,-5,0)+IF(AND($B$2&gt;0,$E133&lt;20),$B$2*25,0)</f>
        <v>36.738814251725003</v>
      </c>
      <c r="BA133" s="47">
        <f t="shared" si="19"/>
        <v>-7.574778705294416E-2</v>
      </c>
      <c r="BB133" s="45" t="str">
        <f t="shared" ref="BB133:BB196" si="24">IF(OR(AND(AQ133&gt;7,AX133&gt;1),AND(AQ133&gt;4,AW133&gt;2)),"SP","RP")</f>
        <v>RP</v>
      </c>
      <c r="BC133" s="45">
        <v>900</v>
      </c>
      <c r="BD133" s="45">
        <v>128</v>
      </c>
      <c r="BE133" s="45"/>
      <c r="BF133" s="45" t="str">
        <f t="shared" ref="BF133:BF196" si="25">IF(AVERAGE($O133:$Q133)&gt;=6,"Likely",IF(AVERAGE($O133:$Q133)&gt;=4,"Possible","Unlikely"))</f>
        <v>Unlikely</v>
      </c>
      <c r="BG133" s="45"/>
      <c r="BH133" s="45">
        <f>INDEX(Table5[[#All],[Ovr]],MATCH(Table3[[#This Row],[PID]],Table5[[#All],[PID]],0))</f>
        <v>281</v>
      </c>
      <c r="BI133" s="45" t="str">
        <f>INDEX(Table5[[#All],[Rnd]],MATCH(Table3[[#This Row],[PID]],Table5[[#All],[PID]],0))</f>
        <v>9</v>
      </c>
      <c r="BJ133" s="45">
        <f>INDEX(Table5[[#All],[Pick]],MATCH(Table3[[#This Row],[PID]],Table5[[#All],[PID]],0))</f>
        <v>16</v>
      </c>
      <c r="BK133" s="45" t="str">
        <f>INDEX(Table5[[#All],[Team]],MATCH(Table3[[#This Row],[PID]],Table5[[#All],[PID]],0))</f>
        <v>Madison Malts</v>
      </c>
      <c r="BL133" s="45" t="str">
        <f>IF(OR(Table3[[#This Row],[POS]]="SP",Table3[[#This Row],[POS]]="RP",Table3[[#This Row],[POS]]="CL"),"P",INDEX(Batters[[#All],[zScore]],MATCH(Table3[[#This Row],[PID]],Batters[[#All],[PID]],0)))</f>
        <v>P</v>
      </c>
    </row>
    <row r="134" spans="1:64" ht="15" customHeight="1" x14ac:dyDescent="0.3">
      <c r="A134" s="40">
        <v>12961</v>
      </c>
      <c r="B134" s="40" t="s">
        <v>380</v>
      </c>
      <c r="C134" s="40" t="s">
        <v>1527</v>
      </c>
      <c r="D134" s="40" t="s">
        <v>1528</v>
      </c>
      <c r="E134" s="40">
        <v>17</v>
      </c>
      <c r="F134" s="40" t="s">
        <v>53</v>
      </c>
      <c r="G134" s="40" t="s">
        <v>42</v>
      </c>
      <c r="H134" s="41" t="s">
        <v>561</v>
      </c>
      <c r="I134" s="42" t="s">
        <v>43</v>
      </c>
      <c r="J134" s="40" t="s">
        <v>43</v>
      </c>
      <c r="K134" s="41" t="s">
        <v>47</v>
      </c>
      <c r="L134" s="40">
        <v>3</v>
      </c>
      <c r="M134" s="40">
        <v>1</v>
      </c>
      <c r="N134" s="41">
        <v>1</v>
      </c>
      <c r="O134" s="40">
        <v>5</v>
      </c>
      <c r="P134" s="40">
        <v>1</v>
      </c>
      <c r="Q134" s="41">
        <v>3</v>
      </c>
      <c r="R134" s="40">
        <v>4</v>
      </c>
      <c r="S134" s="40">
        <v>5</v>
      </c>
      <c r="T134" s="40">
        <v>3</v>
      </c>
      <c r="U134" s="40">
        <v>6</v>
      </c>
      <c r="V134" s="40">
        <v>3</v>
      </c>
      <c r="W134" s="40">
        <v>7</v>
      </c>
      <c r="X134" s="40" t="s">
        <v>45</v>
      </c>
      <c r="Y134" s="40" t="s">
        <v>45</v>
      </c>
      <c r="Z134" s="40" t="s">
        <v>45</v>
      </c>
      <c r="AA134" s="40" t="s">
        <v>45</v>
      </c>
      <c r="AB134" s="40" t="s">
        <v>45</v>
      </c>
      <c r="AC134" s="40" t="s">
        <v>45</v>
      </c>
      <c r="AD134" s="40" t="s">
        <v>45</v>
      </c>
      <c r="AE134" s="40" t="s">
        <v>45</v>
      </c>
      <c r="AF134" s="40">
        <v>3</v>
      </c>
      <c r="AG134" s="40">
        <v>3</v>
      </c>
      <c r="AH134" s="40" t="s">
        <v>45</v>
      </c>
      <c r="AI134" s="40" t="s">
        <v>45</v>
      </c>
      <c r="AJ134" s="40" t="s">
        <v>45</v>
      </c>
      <c r="AK134" s="40" t="s">
        <v>45</v>
      </c>
      <c r="AL134" s="40" t="s">
        <v>45</v>
      </c>
      <c r="AM134" s="40" t="s">
        <v>45</v>
      </c>
      <c r="AN134" s="40" t="s">
        <v>45</v>
      </c>
      <c r="AO134" s="41" t="s">
        <v>45</v>
      </c>
      <c r="AP134" s="40" t="s">
        <v>57</v>
      </c>
      <c r="AQ134" s="40">
        <v>10</v>
      </c>
      <c r="AR134" s="48" t="s">
        <v>14</v>
      </c>
      <c r="AS134" s="43" t="s">
        <v>576</v>
      </c>
      <c r="AT134" s="43" t="s">
        <v>103</v>
      </c>
      <c r="AU134" s="44">
        <f t="shared" si="20"/>
        <v>-2.3121015889492513</v>
      </c>
      <c r="AV134" s="44">
        <f t="shared" si="21"/>
        <v>-0.99258305708561179</v>
      </c>
      <c r="AW134" s="45">
        <f t="shared" si="22"/>
        <v>4</v>
      </c>
      <c r="AX134" s="45">
        <f t="shared" si="23"/>
        <v>2</v>
      </c>
      <c r="AY134" s="46">
        <f>VLOOKUP(AP134,COND!$A$10:$B$32,2,FALSE)</f>
        <v>1</v>
      </c>
      <c r="AZ134" s="44">
        <f>($AU$3*AU134+$AV$3*AV134+$AW$3*AW134+$AX$3*AX134)*AY134*IF(AQ134&lt;5,0.95,IF(AQ134&lt;7,0.975,1))+$I$3*VLOOKUP(I134,COND!$A$2:$E$7,4,FALSE)+$J$3*VLOOKUP(J134,COND!$A$2:$E$7,2,FALSE)+$K$3*VLOOKUP(K134,COND!$A$2:$E$7,3,FALSE)+IF(BB134="SP",$BB$3,0)+IF($AW134&lt;3,-5,0)+IF(AND($B$2&gt;0,$E134&lt;20),$B$2*25,0)</f>
        <v>36.48591854049792</v>
      </c>
      <c r="BA134" s="47">
        <f t="shared" si="19"/>
        <v>-9.3755740275725585E-2</v>
      </c>
      <c r="BB134" s="45" t="str">
        <f t="shared" si="24"/>
        <v>SP</v>
      </c>
      <c r="BC134" s="45">
        <v>900</v>
      </c>
      <c r="BD134" s="45">
        <v>129</v>
      </c>
      <c r="BE134" s="45"/>
      <c r="BF134" s="45" t="str">
        <f t="shared" si="25"/>
        <v>Unlikely</v>
      </c>
      <c r="BG134" s="45"/>
      <c r="BH134" s="45">
        <f>INDEX(Table5[[#All],[Ovr]],MATCH(Table3[[#This Row],[PID]],Table5[[#All],[PID]],0))</f>
        <v>372</v>
      </c>
      <c r="BI134" s="45" t="str">
        <f>INDEX(Table5[[#All],[Rnd]],MATCH(Table3[[#This Row],[PID]],Table5[[#All],[PID]],0))</f>
        <v>12</v>
      </c>
      <c r="BJ134" s="45">
        <f>INDEX(Table5[[#All],[Pick]],MATCH(Table3[[#This Row],[PID]],Table5[[#All],[PID]],0))</f>
        <v>7</v>
      </c>
      <c r="BK134" s="45" t="str">
        <f>INDEX(Table5[[#All],[Team]],MATCH(Table3[[#This Row],[PID]],Table5[[#All],[PID]],0))</f>
        <v>Hartford Harpoon</v>
      </c>
      <c r="BL134" s="45" t="str">
        <f>IF(OR(Table3[[#This Row],[POS]]="SP",Table3[[#This Row],[POS]]="RP",Table3[[#This Row],[POS]]="CL"),"P",INDEX(Batters[[#All],[zScore]],MATCH(Table3[[#This Row],[PID]],Batters[[#All],[PID]],0)))</f>
        <v>P</v>
      </c>
    </row>
    <row r="135" spans="1:64" ht="15" customHeight="1" x14ac:dyDescent="0.3">
      <c r="A135" s="40">
        <v>20658</v>
      </c>
      <c r="B135" s="40" t="s">
        <v>380</v>
      </c>
      <c r="C135" s="40" t="s">
        <v>1514</v>
      </c>
      <c r="D135" s="40" t="s">
        <v>1515</v>
      </c>
      <c r="E135" s="40">
        <v>17</v>
      </c>
      <c r="F135" s="40" t="s">
        <v>53</v>
      </c>
      <c r="G135" s="40" t="s">
        <v>53</v>
      </c>
      <c r="H135" s="41" t="s">
        <v>553</v>
      </c>
      <c r="I135" s="42" t="s">
        <v>43</v>
      </c>
      <c r="J135" s="40" t="s">
        <v>43</v>
      </c>
      <c r="K135" s="41" t="s">
        <v>43</v>
      </c>
      <c r="L135" s="40">
        <v>2</v>
      </c>
      <c r="M135" s="40">
        <v>2</v>
      </c>
      <c r="N135" s="41">
        <v>1</v>
      </c>
      <c r="O135" s="40">
        <v>5</v>
      </c>
      <c r="P135" s="40">
        <v>2</v>
      </c>
      <c r="Q135" s="41">
        <v>4</v>
      </c>
      <c r="R135" s="40">
        <v>4</v>
      </c>
      <c r="S135" s="40">
        <v>6</v>
      </c>
      <c r="T135" s="40" t="s">
        <v>45</v>
      </c>
      <c r="U135" s="40" t="s">
        <v>45</v>
      </c>
      <c r="V135" s="40" t="s">
        <v>45</v>
      </c>
      <c r="W135" s="40" t="s">
        <v>45</v>
      </c>
      <c r="X135" s="40">
        <v>3</v>
      </c>
      <c r="Y135" s="40">
        <v>6</v>
      </c>
      <c r="Z135" s="40" t="s">
        <v>45</v>
      </c>
      <c r="AA135" s="40" t="s">
        <v>45</v>
      </c>
      <c r="AB135" s="40" t="s">
        <v>45</v>
      </c>
      <c r="AC135" s="40" t="s">
        <v>45</v>
      </c>
      <c r="AD135" s="40" t="s">
        <v>45</v>
      </c>
      <c r="AE135" s="40" t="s">
        <v>45</v>
      </c>
      <c r="AF135" s="40" t="s">
        <v>45</v>
      </c>
      <c r="AG135" s="40" t="s">
        <v>45</v>
      </c>
      <c r="AH135" s="40" t="s">
        <v>45</v>
      </c>
      <c r="AI135" s="40" t="s">
        <v>45</v>
      </c>
      <c r="AJ135" s="40" t="s">
        <v>45</v>
      </c>
      <c r="AK135" s="40" t="s">
        <v>45</v>
      </c>
      <c r="AL135" s="40" t="s">
        <v>45</v>
      </c>
      <c r="AM135" s="40" t="s">
        <v>45</v>
      </c>
      <c r="AN135" s="40" t="s">
        <v>45</v>
      </c>
      <c r="AO135" s="41" t="s">
        <v>45</v>
      </c>
      <c r="AP135" s="40" t="s">
        <v>328</v>
      </c>
      <c r="AQ135" s="40">
        <v>6</v>
      </c>
      <c r="AR135" s="48" t="s">
        <v>326</v>
      </c>
      <c r="AS135" s="43" t="s">
        <v>45</v>
      </c>
      <c r="AT135" s="43" t="s">
        <v>103</v>
      </c>
      <c r="AU135" s="44">
        <f t="shared" si="20"/>
        <v>-2.311361197028369</v>
      </c>
      <c r="AV135" s="44">
        <f t="shared" si="21"/>
        <v>-0.55483077460144581</v>
      </c>
      <c r="AW135" s="45">
        <f t="shared" si="22"/>
        <v>2</v>
      </c>
      <c r="AX135" s="45">
        <f t="shared" si="23"/>
        <v>2</v>
      </c>
      <c r="AY135" s="46">
        <f>VLOOKUP(AP135,COND!$A$10:$B$32,2,FALSE)</f>
        <v>1</v>
      </c>
      <c r="AZ135" s="44">
        <f>($AU$3*AU135+$AV$3*AV135+$AW$3*AW135+$AX$3*AX135)*AY135*IF(AQ135&lt;5,0.95,IF(AQ135&lt;7,0.975,1))+$I$3*VLOOKUP(I135,COND!$A$2:$E$7,4,FALSE)+$J$3*VLOOKUP(J135,COND!$A$2:$E$7,2,FALSE)+$K$3*VLOOKUP(K135,COND!$A$2:$E$7,3,FALSE)+IF(BB135="SP",$BB$3,0)+IF($AW135&lt;3,-5,0)+IF(AND($B$2&gt;0,$E135&lt;20),$B$2*25,0)</f>
        <v>37.142584461851271</v>
      </c>
      <c r="BA135" s="47">
        <f t="shared" si="19"/>
        <v>-4.6996508427354748E-2</v>
      </c>
      <c r="BB135" s="45" t="str">
        <f t="shared" si="24"/>
        <v>RP</v>
      </c>
      <c r="BC135" s="45">
        <v>900</v>
      </c>
      <c r="BD135" s="45">
        <v>130</v>
      </c>
      <c r="BE135" s="45"/>
      <c r="BF135" s="45" t="str">
        <f t="shared" si="25"/>
        <v>Unlikely</v>
      </c>
      <c r="BG135" s="45"/>
      <c r="BH135" s="45">
        <f>INDEX(Table5[[#All],[Ovr]],MATCH(Table3[[#This Row],[PID]],Table5[[#All],[PID]],0))</f>
        <v>569</v>
      </c>
      <c r="BI135" s="45" t="str">
        <f>INDEX(Table5[[#All],[Rnd]],MATCH(Table3[[#This Row],[PID]],Table5[[#All],[PID]],0))</f>
        <v>17</v>
      </c>
      <c r="BJ135" s="45">
        <f>INDEX(Table5[[#All],[Pick]],MATCH(Table3[[#This Row],[PID]],Table5[[#All],[PID]],0))</f>
        <v>34</v>
      </c>
      <c r="BK135" s="45" t="str">
        <f>INDEX(Table5[[#All],[Team]],MATCH(Table3[[#This Row],[PID]],Table5[[#All],[PID]],0))</f>
        <v>New Jersey Hitmen</v>
      </c>
      <c r="BL135" s="45" t="str">
        <f>IF(OR(Table3[[#This Row],[POS]]="SP",Table3[[#This Row],[POS]]="RP",Table3[[#This Row],[POS]]="CL"),"P",INDEX(Batters[[#All],[zScore]],MATCH(Table3[[#This Row],[PID]],Batters[[#All],[PID]],0)))</f>
        <v>P</v>
      </c>
    </row>
    <row r="136" spans="1:64" ht="15" customHeight="1" x14ac:dyDescent="0.3">
      <c r="A136" s="40">
        <v>6037</v>
      </c>
      <c r="B136" s="40" t="s">
        <v>380</v>
      </c>
      <c r="C136" s="40" t="s">
        <v>201</v>
      </c>
      <c r="D136" s="40" t="s">
        <v>1404</v>
      </c>
      <c r="E136" s="40">
        <v>21</v>
      </c>
      <c r="F136" s="40" t="s">
        <v>42</v>
      </c>
      <c r="G136" s="40" t="s">
        <v>42</v>
      </c>
      <c r="H136" s="41" t="s">
        <v>561</v>
      </c>
      <c r="I136" s="42" t="s">
        <v>43</v>
      </c>
      <c r="J136" s="40" t="s">
        <v>43</v>
      </c>
      <c r="K136" s="41" t="s">
        <v>43</v>
      </c>
      <c r="L136" s="40">
        <v>3</v>
      </c>
      <c r="M136" s="40">
        <v>3</v>
      </c>
      <c r="N136" s="41">
        <v>3</v>
      </c>
      <c r="O136" s="40">
        <v>5</v>
      </c>
      <c r="P136" s="40">
        <v>3</v>
      </c>
      <c r="Q136" s="41">
        <v>3</v>
      </c>
      <c r="R136" s="40">
        <v>4</v>
      </c>
      <c r="S136" s="40">
        <v>6</v>
      </c>
      <c r="T136" s="40">
        <v>1</v>
      </c>
      <c r="U136" s="40">
        <v>1</v>
      </c>
      <c r="V136" s="40">
        <v>3</v>
      </c>
      <c r="W136" s="40">
        <v>7</v>
      </c>
      <c r="X136" s="40" t="s">
        <v>45</v>
      </c>
      <c r="Y136" s="40" t="s">
        <v>45</v>
      </c>
      <c r="Z136" s="40" t="s">
        <v>45</v>
      </c>
      <c r="AA136" s="40" t="s">
        <v>45</v>
      </c>
      <c r="AB136" s="40" t="s">
        <v>45</v>
      </c>
      <c r="AC136" s="40" t="s">
        <v>45</v>
      </c>
      <c r="AD136" s="40" t="s">
        <v>45</v>
      </c>
      <c r="AE136" s="40" t="s">
        <v>45</v>
      </c>
      <c r="AF136" s="40" t="s">
        <v>45</v>
      </c>
      <c r="AG136" s="40" t="s">
        <v>45</v>
      </c>
      <c r="AH136" s="40" t="s">
        <v>45</v>
      </c>
      <c r="AI136" s="40" t="s">
        <v>45</v>
      </c>
      <c r="AJ136" s="40" t="s">
        <v>45</v>
      </c>
      <c r="AK136" s="40" t="s">
        <v>45</v>
      </c>
      <c r="AL136" s="40" t="s">
        <v>45</v>
      </c>
      <c r="AM136" s="40" t="s">
        <v>45</v>
      </c>
      <c r="AN136" s="40" t="s">
        <v>45</v>
      </c>
      <c r="AO136" s="41" t="s">
        <v>45</v>
      </c>
      <c r="AP136" s="40" t="s">
        <v>329</v>
      </c>
      <c r="AQ136" s="40">
        <v>4</v>
      </c>
      <c r="AR136" s="48" t="s">
        <v>326</v>
      </c>
      <c r="AS136" s="43" t="s">
        <v>45</v>
      </c>
      <c r="AT136" s="43" t="s">
        <v>103</v>
      </c>
      <c r="AU136" s="44">
        <f t="shared" si="20"/>
        <v>-1.4365970239809194</v>
      </c>
      <c r="AV136" s="44">
        <f t="shared" si="21"/>
        <v>-0.60171962422550074</v>
      </c>
      <c r="AW136" s="45">
        <f t="shared" si="22"/>
        <v>3</v>
      </c>
      <c r="AX136" s="45">
        <f t="shared" si="23"/>
        <v>2</v>
      </c>
      <c r="AY136" s="46">
        <f>VLOOKUP(AP136,COND!$A$10:$B$32,2,FALSE)</f>
        <v>1</v>
      </c>
      <c r="AZ136" s="44">
        <f>($AU$3*AU136+$AV$3*AV136+$AW$3*AW136+$AX$3*AX136)*AY136*IF(AQ136&lt;5,0.95,IF(AQ136&lt;7,0.975,1))+$I$3*VLOOKUP(I136,COND!$A$2:$E$7,4,FALSE)+$J$3*VLOOKUP(J136,COND!$A$2:$E$7,2,FALSE)+$K$3*VLOOKUP(K136,COND!$A$2:$E$7,3,FALSE)+IF(BB136="SP",$BB$3,0)+IF($AW136&lt;3,-5,0)+IF(AND($B$2&gt;0,$E136&lt;20),$B$2*25,0)</f>
        <v>37.094373705159114</v>
      </c>
      <c r="BA136" s="47">
        <f t="shared" si="19"/>
        <v>-5.0429453363964198E-2</v>
      </c>
      <c r="BB136" s="45" t="str">
        <f t="shared" si="24"/>
        <v>RP</v>
      </c>
      <c r="BC136" s="45">
        <v>900</v>
      </c>
      <c r="BD136" s="45">
        <v>131</v>
      </c>
      <c r="BE136" s="45"/>
      <c r="BF136" s="45" t="str">
        <f t="shared" si="25"/>
        <v>Unlikely</v>
      </c>
      <c r="BG136" s="45"/>
      <c r="BH136" s="45" t="str">
        <f>INDEX(Table5[[#All],[Ovr]],MATCH(Table3[[#This Row],[PID]],Table5[[#All],[PID]],0))</f>
        <v/>
      </c>
      <c r="BI136" s="45" t="str">
        <f>INDEX(Table5[[#All],[Rnd]],MATCH(Table3[[#This Row],[PID]],Table5[[#All],[PID]],0))</f>
        <v/>
      </c>
      <c r="BJ136" s="45" t="str">
        <f>INDEX(Table5[[#All],[Pick]],MATCH(Table3[[#This Row],[PID]],Table5[[#All],[PID]],0))</f>
        <v/>
      </c>
      <c r="BK136" s="45" t="str">
        <f>INDEX(Table5[[#All],[Team]],MATCH(Table3[[#This Row],[PID]],Table5[[#All],[PID]],0))</f>
        <v/>
      </c>
      <c r="BL136" s="45" t="str">
        <f>IF(OR(Table3[[#This Row],[POS]]="SP",Table3[[#This Row],[POS]]="RP",Table3[[#This Row],[POS]]="CL"),"P",INDEX(Batters[[#All],[zScore]],MATCH(Table3[[#This Row],[PID]],Batters[[#All],[PID]],0)))</f>
        <v>P</v>
      </c>
    </row>
    <row r="137" spans="1:64" ht="15" customHeight="1" x14ac:dyDescent="0.3">
      <c r="A137" s="40">
        <v>6785</v>
      </c>
      <c r="B137" s="40" t="s">
        <v>380</v>
      </c>
      <c r="C137" s="40" t="s">
        <v>1571</v>
      </c>
      <c r="D137" s="40" t="s">
        <v>174</v>
      </c>
      <c r="E137" s="40">
        <v>21</v>
      </c>
      <c r="F137" s="40" t="s">
        <v>42</v>
      </c>
      <c r="G137" s="40" t="s">
        <v>42</v>
      </c>
      <c r="H137" s="41" t="s">
        <v>561</v>
      </c>
      <c r="I137" s="42" t="s">
        <v>43</v>
      </c>
      <c r="J137" s="40" t="s">
        <v>43</v>
      </c>
      <c r="K137" s="41" t="s">
        <v>43</v>
      </c>
      <c r="L137" s="40">
        <v>2</v>
      </c>
      <c r="M137" s="40">
        <v>3</v>
      </c>
      <c r="N137" s="41">
        <v>2</v>
      </c>
      <c r="O137" s="40">
        <v>4</v>
      </c>
      <c r="P137" s="40">
        <v>3</v>
      </c>
      <c r="Q137" s="41">
        <v>4</v>
      </c>
      <c r="R137" s="40">
        <v>4</v>
      </c>
      <c r="S137" s="40">
        <v>5</v>
      </c>
      <c r="T137" s="40" t="s">
        <v>45</v>
      </c>
      <c r="U137" s="40" t="s">
        <v>45</v>
      </c>
      <c r="V137" s="40" t="s">
        <v>45</v>
      </c>
      <c r="W137" s="40" t="s">
        <v>45</v>
      </c>
      <c r="X137" s="40">
        <v>2</v>
      </c>
      <c r="Y137" s="40">
        <v>4</v>
      </c>
      <c r="Z137" s="40" t="s">
        <v>45</v>
      </c>
      <c r="AA137" s="40" t="s">
        <v>45</v>
      </c>
      <c r="AB137" s="40" t="s">
        <v>45</v>
      </c>
      <c r="AC137" s="40" t="s">
        <v>45</v>
      </c>
      <c r="AD137" s="40" t="s">
        <v>45</v>
      </c>
      <c r="AE137" s="40" t="s">
        <v>45</v>
      </c>
      <c r="AF137" s="40" t="s">
        <v>45</v>
      </c>
      <c r="AG137" s="40" t="s">
        <v>45</v>
      </c>
      <c r="AH137" s="40">
        <v>2</v>
      </c>
      <c r="AI137" s="40">
        <v>4</v>
      </c>
      <c r="AJ137" s="40" t="s">
        <v>45</v>
      </c>
      <c r="AK137" s="40" t="s">
        <v>45</v>
      </c>
      <c r="AL137" s="40" t="s">
        <v>45</v>
      </c>
      <c r="AM137" s="40" t="s">
        <v>45</v>
      </c>
      <c r="AN137" s="40" t="s">
        <v>45</v>
      </c>
      <c r="AO137" s="41" t="s">
        <v>45</v>
      </c>
      <c r="AP137" s="40" t="s">
        <v>329</v>
      </c>
      <c r="AQ137" s="40">
        <v>9</v>
      </c>
      <c r="AR137" s="48" t="s">
        <v>326</v>
      </c>
      <c r="AS137" s="43" t="s">
        <v>45</v>
      </c>
      <c r="AT137" s="43" t="s">
        <v>103</v>
      </c>
      <c r="AU137" s="44">
        <f t="shared" si="20"/>
        <v>-1.8736089145442034</v>
      </c>
      <c r="AV137" s="44">
        <f t="shared" si="21"/>
        <v>-0.55409038268056388</v>
      </c>
      <c r="AW137" s="45">
        <f t="shared" si="22"/>
        <v>3</v>
      </c>
      <c r="AX137" s="45">
        <f t="shared" si="23"/>
        <v>0</v>
      </c>
      <c r="AY137" s="46">
        <f>VLOOKUP(AP137,COND!$A$10:$B$32,2,FALSE)</f>
        <v>1</v>
      </c>
      <c r="AZ137" s="44">
        <f>($AU$3*AU137+$AV$3*AV137+$AW$3*AW137+$AX$3*AX137)*AY137*IF(AQ137&lt;5,0.95,IF(AQ137&lt;7,0.975,1))+$I$3*VLOOKUP(I137,COND!$A$2:$E$7,4,FALSE)+$J$3*VLOOKUP(J137,COND!$A$2:$E$7,2,FALSE)+$K$3*VLOOKUP(K137,COND!$A$2:$E$7,3,FALSE)+IF(BB137="SP",$BB$3,0)+IF($AW137&lt;3,-5,0)+IF(AND($B$2&gt;0,$E137&lt;20),$B$2*25,0)</f>
        <v>37.043470563479879</v>
      </c>
      <c r="BA137" s="47">
        <f t="shared" si="19"/>
        <v>-5.4054115046855242E-2</v>
      </c>
      <c r="BB137" s="45" t="str">
        <f t="shared" si="24"/>
        <v>SP</v>
      </c>
      <c r="BC137" s="45">
        <v>900</v>
      </c>
      <c r="BD137" s="45">
        <v>132</v>
      </c>
      <c r="BE137" s="45"/>
      <c r="BF137" s="45" t="str">
        <f t="shared" si="25"/>
        <v>Unlikely</v>
      </c>
      <c r="BG137" s="45"/>
      <c r="BH137" s="45">
        <f>INDEX(Table5[[#All],[Ovr]],MATCH(Table3[[#This Row],[PID]],Table5[[#All],[PID]],0))</f>
        <v>573</v>
      </c>
      <c r="BI137" s="45" t="str">
        <f>INDEX(Table5[[#All],[Rnd]],MATCH(Table3[[#This Row],[PID]],Table5[[#All],[PID]],0))</f>
        <v>18</v>
      </c>
      <c r="BJ137" s="45">
        <f>INDEX(Table5[[#All],[Pick]],MATCH(Table3[[#This Row],[PID]],Table5[[#All],[PID]],0))</f>
        <v>4</v>
      </c>
      <c r="BK137" s="45" t="str">
        <f>INDEX(Table5[[#All],[Team]],MATCH(Table3[[#This Row],[PID]],Table5[[#All],[PID]],0))</f>
        <v>Palm Springs Codgers</v>
      </c>
      <c r="BL137" s="45" t="str">
        <f>IF(OR(Table3[[#This Row],[POS]]="SP",Table3[[#This Row],[POS]]="RP",Table3[[#This Row],[POS]]="CL"),"P",INDEX(Batters[[#All],[zScore]],MATCH(Table3[[#This Row],[PID]],Batters[[#All],[PID]],0)))</f>
        <v>P</v>
      </c>
    </row>
    <row r="138" spans="1:64" ht="15" customHeight="1" x14ac:dyDescent="0.3">
      <c r="A138" s="40">
        <v>5066</v>
      </c>
      <c r="B138" s="40" t="s">
        <v>380</v>
      </c>
      <c r="C138" s="40" t="s">
        <v>352</v>
      </c>
      <c r="D138" s="40" t="s">
        <v>284</v>
      </c>
      <c r="E138" s="40">
        <v>21</v>
      </c>
      <c r="F138" s="40" t="s">
        <v>53</v>
      </c>
      <c r="G138" s="40" t="s">
        <v>42</v>
      </c>
      <c r="H138" s="41" t="s">
        <v>561</v>
      </c>
      <c r="I138" s="42" t="s">
        <v>43</v>
      </c>
      <c r="J138" s="40" t="s">
        <v>47</v>
      </c>
      <c r="K138" s="41" t="s">
        <v>43</v>
      </c>
      <c r="L138" s="40">
        <v>3</v>
      </c>
      <c r="M138" s="40">
        <v>2</v>
      </c>
      <c r="N138" s="41">
        <v>2</v>
      </c>
      <c r="O138" s="40">
        <v>5</v>
      </c>
      <c r="P138" s="40">
        <v>2</v>
      </c>
      <c r="Q138" s="41">
        <v>3</v>
      </c>
      <c r="R138" s="40">
        <v>4</v>
      </c>
      <c r="S138" s="40">
        <v>6</v>
      </c>
      <c r="T138" s="40">
        <v>3</v>
      </c>
      <c r="U138" s="40">
        <v>6</v>
      </c>
      <c r="V138" s="40" t="s">
        <v>45</v>
      </c>
      <c r="W138" s="40" t="s">
        <v>45</v>
      </c>
      <c r="X138" s="40">
        <v>2</v>
      </c>
      <c r="Y138" s="40">
        <v>6</v>
      </c>
      <c r="Z138" s="40" t="s">
        <v>45</v>
      </c>
      <c r="AA138" s="40" t="s">
        <v>45</v>
      </c>
      <c r="AB138" s="40" t="s">
        <v>45</v>
      </c>
      <c r="AC138" s="40" t="s">
        <v>45</v>
      </c>
      <c r="AD138" s="40" t="s">
        <v>45</v>
      </c>
      <c r="AE138" s="40" t="s">
        <v>45</v>
      </c>
      <c r="AF138" s="40" t="s">
        <v>45</v>
      </c>
      <c r="AG138" s="40" t="s">
        <v>45</v>
      </c>
      <c r="AH138" s="40" t="s">
        <v>45</v>
      </c>
      <c r="AI138" s="40" t="s">
        <v>45</v>
      </c>
      <c r="AJ138" s="40" t="s">
        <v>45</v>
      </c>
      <c r="AK138" s="40" t="s">
        <v>45</v>
      </c>
      <c r="AL138" s="40" t="s">
        <v>45</v>
      </c>
      <c r="AM138" s="40" t="s">
        <v>45</v>
      </c>
      <c r="AN138" s="40" t="s">
        <v>45</v>
      </c>
      <c r="AO138" s="41" t="s">
        <v>45</v>
      </c>
      <c r="AP138" s="40" t="s">
        <v>56</v>
      </c>
      <c r="AQ138" s="40">
        <v>8</v>
      </c>
      <c r="AR138" s="48" t="s">
        <v>326</v>
      </c>
      <c r="AS138" s="43" t="s">
        <v>45</v>
      </c>
      <c r="AT138" s="43" t="s">
        <v>103</v>
      </c>
      <c r="AU138" s="44">
        <f t="shared" si="20"/>
        <v>-1.8743493064650851</v>
      </c>
      <c r="AV138" s="44">
        <f t="shared" si="21"/>
        <v>-0.79715134065555615</v>
      </c>
      <c r="AW138" s="45">
        <f t="shared" si="22"/>
        <v>3</v>
      </c>
      <c r="AX138" s="45">
        <f t="shared" si="23"/>
        <v>3</v>
      </c>
      <c r="AY138" s="46">
        <f>VLOOKUP(AP138,COND!$A$10:$B$32,2,FALSE)</f>
        <v>1</v>
      </c>
      <c r="AZ138" s="44">
        <f>($AU$3*AU138+$AV$3*AV138+$AW$3*AW138+$AX$3*AX138)*AY138*IF(AQ138&lt;5,0.95,IF(AQ138&lt;7,0.975,1))+$I$3*VLOOKUP(I138,COND!$A$2:$E$7,4,FALSE)+$J$3*VLOOKUP(J138,COND!$A$2:$E$7,2,FALSE)+$K$3*VLOOKUP(K138,COND!$A$2:$E$7,3,FALSE)+IF(BB138="SP",$BB$3,0)+IF($AW138&lt;3,-5,0)+IF(AND($B$2&gt;0,$E138&lt;20),$B$2*25,0)</f>
        <v>36.232103325595858</v>
      </c>
      <c r="BA138" s="47">
        <f>STANDARDIZE(AZ138,AVERAGE($AZ$5:$AZ$445),STDEVP($AZ$5:$AZ$445))</f>
        <v>-0.10549998797581453</v>
      </c>
      <c r="BB138" s="45" t="str">
        <f t="shared" si="24"/>
        <v>SP</v>
      </c>
      <c r="BC138" s="45">
        <v>900</v>
      </c>
      <c r="BD138" s="45">
        <v>133</v>
      </c>
      <c r="BE138" s="45"/>
      <c r="BF138" s="45" t="str">
        <f t="shared" si="25"/>
        <v>Unlikely</v>
      </c>
      <c r="BG138" s="45"/>
      <c r="BH138" s="63">
        <f>INDEX(Table5[[#All],[Ovr]],MATCH(Table3[[#This Row],[PID]],Table5[[#All],[PID]],0))</f>
        <v>488</v>
      </c>
      <c r="BI138" s="63" t="str">
        <f>INDEX(Table5[[#All],[Rnd]],MATCH(Table3[[#This Row],[PID]],Table5[[#All],[PID]],0))</f>
        <v>15</v>
      </c>
      <c r="BJ138" s="63">
        <f>INDEX(Table5[[#All],[Pick]],MATCH(Table3[[#This Row],[PID]],Table5[[#All],[PID]],0))</f>
        <v>21</v>
      </c>
      <c r="BK138" s="63" t="str">
        <f>INDEX(Table5[[#All],[Team]],MATCH(Table3[[#This Row],[PID]],Table5[[#All],[PID]],0))</f>
        <v>Neo-Tokyo Akira</v>
      </c>
      <c r="BL138" s="63" t="str">
        <f>IF(OR(Table3[[#This Row],[POS]]="SP",Table3[[#This Row],[POS]]="RP",Table3[[#This Row],[POS]]="CL"),"P",INDEX(Batters[[#All],[zScore]],MATCH(Table3[[#This Row],[PID]],Batters[[#All],[PID]],0)))</f>
        <v>P</v>
      </c>
    </row>
    <row r="139" spans="1:64" ht="15" customHeight="1" x14ac:dyDescent="0.3">
      <c r="A139" s="40">
        <v>12674</v>
      </c>
      <c r="B139" s="40" t="s">
        <v>380</v>
      </c>
      <c r="C139" s="40" t="s">
        <v>828</v>
      </c>
      <c r="D139" s="40" t="s">
        <v>1444</v>
      </c>
      <c r="E139" s="40">
        <v>21</v>
      </c>
      <c r="F139" s="40" t="s">
        <v>53</v>
      </c>
      <c r="G139" s="40" t="s">
        <v>53</v>
      </c>
      <c r="H139" s="41" t="s">
        <v>561</v>
      </c>
      <c r="I139" s="42" t="s">
        <v>43</v>
      </c>
      <c r="J139" s="40" t="s">
        <v>43</v>
      </c>
      <c r="K139" s="41" t="s">
        <v>43</v>
      </c>
      <c r="L139" s="40">
        <v>3</v>
      </c>
      <c r="M139" s="40">
        <v>3</v>
      </c>
      <c r="N139" s="41">
        <v>1</v>
      </c>
      <c r="O139" s="40">
        <v>5</v>
      </c>
      <c r="P139" s="40">
        <v>3</v>
      </c>
      <c r="Q139" s="41">
        <v>3</v>
      </c>
      <c r="R139" s="40">
        <v>5</v>
      </c>
      <c r="S139" s="40">
        <v>6</v>
      </c>
      <c r="T139" s="40">
        <v>1</v>
      </c>
      <c r="U139" s="40">
        <v>1</v>
      </c>
      <c r="V139" s="40" t="s">
        <v>45</v>
      </c>
      <c r="W139" s="40" t="s">
        <v>45</v>
      </c>
      <c r="X139" s="40">
        <v>3</v>
      </c>
      <c r="Y139" s="40">
        <v>6</v>
      </c>
      <c r="Z139" s="40" t="s">
        <v>45</v>
      </c>
      <c r="AA139" s="40" t="s">
        <v>45</v>
      </c>
      <c r="AB139" s="40" t="s">
        <v>45</v>
      </c>
      <c r="AC139" s="40" t="s">
        <v>45</v>
      </c>
      <c r="AD139" s="40" t="s">
        <v>45</v>
      </c>
      <c r="AE139" s="40" t="s">
        <v>45</v>
      </c>
      <c r="AF139" s="40" t="s">
        <v>45</v>
      </c>
      <c r="AG139" s="40" t="s">
        <v>45</v>
      </c>
      <c r="AH139" s="40" t="s">
        <v>45</v>
      </c>
      <c r="AI139" s="40" t="s">
        <v>45</v>
      </c>
      <c r="AJ139" s="40" t="s">
        <v>45</v>
      </c>
      <c r="AK139" s="40" t="s">
        <v>45</v>
      </c>
      <c r="AL139" s="40" t="s">
        <v>45</v>
      </c>
      <c r="AM139" s="40" t="s">
        <v>45</v>
      </c>
      <c r="AN139" s="40" t="s">
        <v>45</v>
      </c>
      <c r="AO139" s="41" t="s">
        <v>45</v>
      </c>
      <c r="AP139" s="40" t="s">
        <v>56</v>
      </c>
      <c r="AQ139" s="40">
        <v>1</v>
      </c>
      <c r="AR139" s="48" t="s">
        <v>325</v>
      </c>
      <c r="AS139" s="43" t="s">
        <v>45</v>
      </c>
      <c r="AT139" s="43" t="s">
        <v>103</v>
      </c>
      <c r="AU139" s="44">
        <f t="shared" si="20"/>
        <v>-1.9212381560891401</v>
      </c>
      <c r="AV139" s="44">
        <f t="shared" si="21"/>
        <v>-0.60171962422550074</v>
      </c>
      <c r="AW139" s="45">
        <f t="shared" si="22"/>
        <v>3</v>
      </c>
      <c r="AX139" s="45">
        <f t="shared" si="23"/>
        <v>2</v>
      </c>
      <c r="AY139" s="46">
        <f>VLOOKUP(AP139,COND!$A$10:$B$32,2,FALSE)</f>
        <v>1</v>
      </c>
      <c r="AZ139" s="44">
        <f>($AU$3*AU139+$AV$3*AV139+$AW$3*AW139+$AX$3*AX139)*AY139*IF(AQ139&lt;5,0.95,IF(AQ139&lt;7,0.975,1))+$I$3*VLOOKUP(I139,COND!$A$2:$E$7,4,FALSE)+$J$3*VLOOKUP(J139,COND!$A$2:$E$7,2,FALSE)+$K$3*VLOOKUP(K139,COND!$A$2:$E$7,3,FALSE)+IF(BB139="SP",$BB$3,0)+IF($AW139&lt;3,-5,0)+IF(AND($B$2&gt;0,$E139&lt;20),$B$2*25,0)</f>
        <v>37.002291890058551</v>
      </c>
      <c r="BA139" s="47">
        <f t="shared" ref="BA139:BA145" si="26">STANDARDIZE(AZ139,AVERAGE($AZ$5:$AZ$428),STDEVP($AZ$5:$AZ$428))</f>
        <v>-5.6986326198833266E-2</v>
      </c>
      <c r="BB139" s="45" t="str">
        <f t="shared" si="24"/>
        <v>RP</v>
      </c>
      <c r="BC139" s="45">
        <v>900</v>
      </c>
      <c r="BD139" s="45">
        <v>134</v>
      </c>
      <c r="BE139" s="45"/>
      <c r="BF139" s="45" t="str">
        <f t="shared" si="25"/>
        <v>Unlikely</v>
      </c>
      <c r="BG139" s="45"/>
      <c r="BH139" s="45">
        <f>INDEX(Table5[[#All],[Ovr]],MATCH(Table3[[#This Row],[PID]],Table5[[#All],[PID]],0))</f>
        <v>486</v>
      </c>
      <c r="BI139" s="45" t="str">
        <f>INDEX(Table5[[#All],[Rnd]],MATCH(Table3[[#This Row],[PID]],Table5[[#All],[PID]],0))</f>
        <v>15</v>
      </c>
      <c r="BJ139" s="45">
        <f>INDEX(Table5[[#All],[Pick]],MATCH(Table3[[#This Row],[PID]],Table5[[#All],[PID]],0))</f>
        <v>19</v>
      </c>
      <c r="BK139" s="45" t="str">
        <f>INDEX(Table5[[#All],[Team]],MATCH(Table3[[#This Row],[PID]],Table5[[#All],[PID]],0))</f>
        <v>Fargo Dinosaurs</v>
      </c>
      <c r="BL139" s="45" t="str">
        <f>IF(OR(Table3[[#This Row],[POS]]="SP",Table3[[#This Row],[POS]]="RP",Table3[[#This Row],[POS]]="CL"),"P",INDEX(Batters[[#All],[zScore]],MATCH(Table3[[#This Row],[PID]],Batters[[#All],[PID]],0)))</f>
        <v>P</v>
      </c>
    </row>
    <row r="140" spans="1:64" ht="15" customHeight="1" x14ac:dyDescent="0.3">
      <c r="A140" s="40">
        <v>14508</v>
      </c>
      <c r="B140" s="40" t="s">
        <v>24</v>
      </c>
      <c r="C140" s="40" t="s">
        <v>588</v>
      </c>
      <c r="D140" s="40" t="s">
        <v>197</v>
      </c>
      <c r="E140" s="40">
        <v>21</v>
      </c>
      <c r="F140" s="40" t="s">
        <v>42</v>
      </c>
      <c r="G140" s="40" t="s">
        <v>42</v>
      </c>
      <c r="H140" s="41" t="s">
        <v>561</v>
      </c>
      <c r="I140" s="42" t="s">
        <v>43</v>
      </c>
      <c r="J140" s="40" t="s">
        <v>43</v>
      </c>
      <c r="K140" s="41" t="s">
        <v>43</v>
      </c>
      <c r="L140" s="40">
        <v>2</v>
      </c>
      <c r="M140" s="40">
        <v>2</v>
      </c>
      <c r="N140" s="41">
        <v>2</v>
      </c>
      <c r="O140" s="40">
        <v>5</v>
      </c>
      <c r="P140" s="40">
        <v>3</v>
      </c>
      <c r="Q140" s="41">
        <v>3</v>
      </c>
      <c r="R140" s="40">
        <v>4</v>
      </c>
      <c r="S140" s="40">
        <v>7</v>
      </c>
      <c r="T140" s="40">
        <v>1</v>
      </c>
      <c r="U140" s="40">
        <v>7</v>
      </c>
      <c r="V140" s="40" t="s">
        <v>45</v>
      </c>
      <c r="W140" s="40" t="s">
        <v>45</v>
      </c>
      <c r="X140" s="40">
        <v>3</v>
      </c>
      <c r="Y140" s="40">
        <v>5</v>
      </c>
      <c r="Z140" s="40" t="s">
        <v>45</v>
      </c>
      <c r="AA140" s="40" t="s">
        <v>45</v>
      </c>
      <c r="AB140" s="40" t="s">
        <v>45</v>
      </c>
      <c r="AC140" s="40" t="s">
        <v>45</v>
      </c>
      <c r="AD140" s="40" t="s">
        <v>45</v>
      </c>
      <c r="AE140" s="40" t="s">
        <v>45</v>
      </c>
      <c r="AF140" s="40" t="s">
        <v>45</v>
      </c>
      <c r="AG140" s="40" t="s">
        <v>45</v>
      </c>
      <c r="AH140" s="40" t="s">
        <v>45</v>
      </c>
      <c r="AI140" s="40" t="s">
        <v>45</v>
      </c>
      <c r="AJ140" s="40" t="s">
        <v>45</v>
      </c>
      <c r="AK140" s="40" t="s">
        <v>45</v>
      </c>
      <c r="AL140" s="40" t="s">
        <v>45</v>
      </c>
      <c r="AM140" s="40" t="s">
        <v>45</v>
      </c>
      <c r="AN140" s="40" t="s">
        <v>45</v>
      </c>
      <c r="AO140" s="41" t="s">
        <v>45</v>
      </c>
      <c r="AP140" s="40" t="s">
        <v>56</v>
      </c>
      <c r="AQ140" s="40">
        <v>4</v>
      </c>
      <c r="AR140" s="48" t="s">
        <v>326</v>
      </c>
      <c r="AS140" s="43" t="s">
        <v>557</v>
      </c>
      <c r="AT140" s="43" t="s">
        <v>103</v>
      </c>
      <c r="AU140" s="44">
        <f t="shared" si="20"/>
        <v>-2.0690406309742588</v>
      </c>
      <c r="AV140" s="44">
        <f t="shared" si="21"/>
        <v>-0.60171962422550074</v>
      </c>
      <c r="AW140" s="45">
        <f t="shared" si="22"/>
        <v>3</v>
      </c>
      <c r="AX140" s="45">
        <f t="shared" si="23"/>
        <v>2</v>
      </c>
      <c r="AY140" s="46">
        <f>VLOOKUP(AP140,COND!$A$10:$B$32,2,FALSE)</f>
        <v>1</v>
      </c>
      <c r="AZ140" s="44">
        <f>($AU$3*AU140+$AV$3*AV140+$AW$3*AW140+$AX$3*AX140)*AY140*IF(AQ140&lt;5,0.95,IF(AQ140&lt;7,0.975,1))+$I$3*VLOOKUP(I140,COND!$A$2:$E$7,4,FALSE)+$J$3*VLOOKUP(J140,COND!$A$2:$E$7,2,FALSE)+$K$3*VLOOKUP(K140,COND!$A$2:$E$7,3,FALSE)+IF(BB140="SP",$BB$3,0)+IF($AW140&lt;3,-5,0)+IF(AND($B$2&gt;0,$E140&lt;20),$B$2*25,0)</f>
        <v>36.974209419830373</v>
      </c>
      <c r="BA140" s="47">
        <f t="shared" si="26"/>
        <v>-5.8985995579525469E-2</v>
      </c>
      <c r="BB140" s="45" t="str">
        <f t="shared" si="24"/>
        <v>RP</v>
      </c>
      <c r="BC140" s="45">
        <v>900</v>
      </c>
      <c r="BD140" s="45">
        <v>135</v>
      </c>
      <c r="BE140" s="45"/>
      <c r="BF140" s="45" t="str">
        <f t="shared" si="25"/>
        <v>Unlikely</v>
      </c>
      <c r="BG140" s="45"/>
      <c r="BH140" s="45">
        <f>INDEX(Table5[[#All],[Ovr]],MATCH(Table3[[#This Row],[PID]],Table5[[#All],[PID]],0))</f>
        <v>526</v>
      </c>
      <c r="BI140" s="45" t="str">
        <f>INDEX(Table5[[#All],[Rnd]],MATCH(Table3[[#This Row],[PID]],Table5[[#All],[PID]],0))</f>
        <v>16</v>
      </c>
      <c r="BJ140" s="45">
        <f>INDEX(Table5[[#All],[Pick]],MATCH(Table3[[#This Row],[PID]],Table5[[#All],[PID]],0))</f>
        <v>25</v>
      </c>
      <c r="BK140" s="45" t="str">
        <f>INDEX(Table5[[#All],[Team]],MATCH(Table3[[#This Row],[PID]],Table5[[#All],[PID]],0))</f>
        <v>Kalamazoo Badgers</v>
      </c>
      <c r="BL140" s="45" t="str">
        <f>IF(OR(Table3[[#This Row],[POS]]="SP",Table3[[#This Row],[POS]]="RP",Table3[[#This Row],[POS]]="CL"),"P",INDEX(Batters[[#All],[zScore]],MATCH(Table3[[#This Row],[PID]],Batters[[#All],[PID]],0)))</f>
        <v>P</v>
      </c>
    </row>
    <row r="141" spans="1:64" ht="15" customHeight="1" x14ac:dyDescent="0.3">
      <c r="A141" s="40">
        <v>13262</v>
      </c>
      <c r="B141" s="40" t="s">
        <v>24</v>
      </c>
      <c r="C141" s="40" t="s">
        <v>1433</v>
      </c>
      <c r="D141" s="40" t="s">
        <v>668</v>
      </c>
      <c r="E141" s="40">
        <v>18</v>
      </c>
      <c r="F141" s="40" t="s">
        <v>53</v>
      </c>
      <c r="G141" s="40" t="s">
        <v>42</v>
      </c>
      <c r="H141" s="41" t="s">
        <v>561</v>
      </c>
      <c r="I141" s="42" t="s">
        <v>44</v>
      </c>
      <c r="J141" s="40" t="s">
        <v>43</v>
      </c>
      <c r="K141" s="41" t="s">
        <v>43</v>
      </c>
      <c r="L141" s="40">
        <v>1</v>
      </c>
      <c r="M141" s="40">
        <v>2</v>
      </c>
      <c r="N141" s="41">
        <v>1</v>
      </c>
      <c r="O141" s="40">
        <v>3</v>
      </c>
      <c r="P141" s="40">
        <v>2</v>
      </c>
      <c r="Q141" s="41">
        <v>4</v>
      </c>
      <c r="R141" s="40">
        <v>3</v>
      </c>
      <c r="S141" s="40">
        <v>4</v>
      </c>
      <c r="T141" s="40">
        <v>3</v>
      </c>
      <c r="U141" s="40">
        <v>7</v>
      </c>
      <c r="V141" s="40">
        <v>2</v>
      </c>
      <c r="W141" s="40">
        <v>5</v>
      </c>
      <c r="X141" s="40" t="s">
        <v>45</v>
      </c>
      <c r="Y141" s="40" t="s">
        <v>45</v>
      </c>
      <c r="Z141" s="40" t="s">
        <v>45</v>
      </c>
      <c r="AA141" s="40" t="s">
        <v>45</v>
      </c>
      <c r="AB141" s="40" t="s">
        <v>45</v>
      </c>
      <c r="AC141" s="40" t="s">
        <v>45</v>
      </c>
      <c r="AD141" s="40" t="s">
        <v>45</v>
      </c>
      <c r="AE141" s="40" t="s">
        <v>45</v>
      </c>
      <c r="AF141" s="40" t="s">
        <v>45</v>
      </c>
      <c r="AG141" s="40" t="s">
        <v>45</v>
      </c>
      <c r="AH141" s="40" t="s">
        <v>45</v>
      </c>
      <c r="AI141" s="40" t="s">
        <v>45</v>
      </c>
      <c r="AJ141" s="40" t="s">
        <v>45</v>
      </c>
      <c r="AK141" s="40" t="s">
        <v>45</v>
      </c>
      <c r="AL141" s="40" t="s">
        <v>45</v>
      </c>
      <c r="AM141" s="40" t="s">
        <v>45</v>
      </c>
      <c r="AN141" s="40" t="s">
        <v>45</v>
      </c>
      <c r="AO141" s="41" t="s">
        <v>45</v>
      </c>
      <c r="AP141" s="40" t="s">
        <v>67</v>
      </c>
      <c r="AQ141" s="40">
        <v>7</v>
      </c>
      <c r="AR141" s="48" t="s">
        <v>326</v>
      </c>
      <c r="AS141" s="43" t="s">
        <v>45</v>
      </c>
      <c r="AT141" s="43" t="s">
        <v>103</v>
      </c>
      <c r="AU141" s="44">
        <f t="shared" si="20"/>
        <v>-2.5060525215375429</v>
      </c>
      <c r="AV141" s="44">
        <f t="shared" si="21"/>
        <v>-0.94421342361979277</v>
      </c>
      <c r="AW141" s="45">
        <f t="shared" si="22"/>
        <v>3</v>
      </c>
      <c r="AX141" s="45">
        <f t="shared" si="23"/>
        <v>1</v>
      </c>
      <c r="AY141" s="46">
        <f>VLOOKUP(AP141,COND!$A$10:$B$32,2,FALSE)</f>
        <v>0.9</v>
      </c>
      <c r="AZ141" s="44">
        <f>($AU$3*AU141+$AV$3*AV141+$AW$3*AW141+$AX$3*AX141)*AY141*IF(AQ141&lt;5,0.95,IF(AQ141&lt;7,0.975,1))+$I$3*VLOOKUP(I141,COND!$A$2:$E$7,4,FALSE)+$J$3*VLOOKUP(J141,COND!$A$2:$E$7,2,FALSE)+$K$3*VLOOKUP(K141,COND!$A$2:$E$7,3,FALSE)+IF(BB141="SP",$BB$3,0)+IF($AW141&lt;3,-5,0)+IF(AND($B$2&gt;0,$E141&lt;20),$B$2*25,0)</f>
        <v>36.878068920966967</v>
      </c>
      <c r="BA141" s="47">
        <f t="shared" si="26"/>
        <v>-6.5831875242516269E-2</v>
      </c>
      <c r="BB141" s="45" t="str">
        <f t="shared" si="24"/>
        <v>SP</v>
      </c>
      <c r="BC141" s="45">
        <v>900</v>
      </c>
      <c r="BD141" s="45">
        <v>136</v>
      </c>
      <c r="BE141" s="45"/>
      <c r="BF141" s="45" t="str">
        <f t="shared" si="25"/>
        <v>Unlikely</v>
      </c>
      <c r="BG141" s="45"/>
      <c r="BH141" s="45">
        <f>INDEX(Table5[[#All],[Ovr]],MATCH(Table3[[#This Row],[PID]],Table5[[#All],[PID]],0))</f>
        <v>504</v>
      </c>
      <c r="BI141" s="45" t="str">
        <f>INDEX(Table5[[#All],[Rnd]],MATCH(Table3[[#This Row],[PID]],Table5[[#All],[PID]],0))</f>
        <v>16</v>
      </c>
      <c r="BJ141" s="45">
        <f>INDEX(Table5[[#All],[Pick]],MATCH(Table3[[#This Row],[PID]],Table5[[#All],[PID]],0))</f>
        <v>3</v>
      </c>
      <c r="BK141" s="45" t="str">
        <f>INDEX(Table5[[#All],[Team]],MATCH(Table3[[#This Row],[PID]],Table5[[#All],[PID]],0))</f>
        <v>Okinawa Shisa</v>
      </c>
      <c r="BL141" s="45" t="str">
        <f>IF(OR(Table3[[#This Row],[POS]]="SP",Table3[[#This Row],[POS]]="RP",Table3[[#This Row],[POS]]="CL"),"P",INDEX(Batters[[#All],[zScore]],MATCH(Table3[[#This Row],[PID]],Batters[[#All],[PID]],0)))</f>
        <v>P</v>
      </c>
    </row>
    <row r="142" spans="1:64" ht="15" customHeight="1" x14ac:dyDescent="0.3">
      <c r="A142" s="40">
        <v>9337</v>
      </c>
      <c r="B142" s="40" t="s">
        <v>380</v>
      </c>
      <c r="C142" s="40" t="s">
        <v>529</v>
      </c>
      <c r="D142" s="40" t="s">
        <v>835</v>
      </c>
      <c r="E142" s="40">
        <v>17</v>
      </c>
      <c r="F142" s="40" t="s">
        <v>42</v>
      </c>
      <c r="G142" s="40" t="s">
        <v>42</v>
      </c>
      <c r="H142" s="41" t="s">
        <v>561</v>
      </c>
      <c r="I142" s="42" t="s">
        <v>43</v>
      </c>
      <c r="J142" s="40" t="s">
        <v>47</v>
      </c>
      <c r="K142" s="41" t="s">
        <v>43</v>
      </c>
      <c r="L142" s="40">
        <v>2</v>
      </c>
      <c r="M142" s="40">
        <v>1</v>
      </c>
      <c r="N142" s="41">
        <v>2</v>
      </c>
      <c r="O142" s="40">
        <v>5</v>
      </c>
      <c r="P142" s="40">
        <v>1</v>
      </c>
      <c r="Q142" s="41">
        <v>3</v>
      </c>
      <c r="R142" s="40">
        <v>4</v>
      </c>
      <c r="S142" s="40">
        <v>6</v>
      </c>
      <c r="T142" s="40">
        <v>1</v>
      </c>
      <c r="U142" s="40">
        <v>2</v>
      </c>
      <c r="V142" s="40">
        <v>2</v>
      </c>
      <c r="W142" s="40">
        <v>8</v>
      </c>
      <c r="X142" s="40" t="s">
        <v>45</v>
      </c>
      <c r="Y142" s="40" t="s">
        <v>45</v>
      </c>
      <c r="Z142" s="40" t="s">
        <v>45</v>
      </c>
      <c r="AA142" s="40" t="s">
        <v>45</v>
      </c>
      <c r="AB142" s="40" t="s">
        <v>45</v>
      </c>
      <c r="AC142" s="40" t="s">
        <v>45</v>
      </c>
      <c r="AD142" s="40" t="s">
        <v>45</v>
      </c>
      <c r="AE142" s="40" t="s">
        <v>45</v>
      </c>
      <c r="AF142" s="40" t="s">
        <v>45</v>
      </c>
      <c r="AG142" s="40" t="s">
        <v>45</v>
      </c>
      <c r="AH142" s="40" t="s">
        <v>45</v>
      </c>
      <c r="AI142" s="40" t="s">
        <v>45</v>
      </c>
      <c r="AJ142" s="40" t="s">
        <v>45</v>
      </c>
      <c r="AK142" s="40" t="s">
        <v>45</v>
      </c>
      <c r="AL142" s="40" t="s">
        <v>45</v>
      </c>
      <c r="AM142" s="40" t="s">
        <v>45</v>
      </c>
      <c r="AN142" s="40" t="s">
        <v>45</v>
      </c>
      <c r="AO142" s="41" t="s">
        <v>45</v>
      </c>
      <c r="AP142" s="40" t="s">
        <v>57</v>
      </c>
      <c r="AQ142" s="40">
        <v>8</v>
      </c>
      <c r="AR142" s="48" t="s">
        <v>330</v>
      </c>
      <c r="AS142" s="43" t="s">
        <v>558</v>
      </c>
      <c r="AT142" s="43" t="s">
        <v>103</v>
      </c>
      <c r="AU142" s="44">
        <f t="shared" si="20"/>
        <v>-2.2644723474043147</v>
      </c>
      <c r="AV142" s="44">
        <f t="shared" si="21"/>
        <v>-0.99258305708561179</v>
      </c>
      <c r="AW142" s="45">
        <f t="shared" si="22"/>
        <v>3</v>
      </c>
      <c r="AX142" s="45">
        <f t="shared" si="23"/>
        <v>2</v>
      </c>
      <c r="AY142" s="46">
        <f>VLOOKUP(AP142,COND!$A$10:$B$32,2,FALSE)</f>
        <v>1</v>
      </c>
      <c r="AZ142" s="44">
        <f>($AU$3*AU142+$AV$3*AV142+$AW$3*AW142+$AX$3*AX142)*AY142*IF(AQ142&lt;5,0.95,IF(AQ142&lt;7,0.975,1))+$I$3*VLOOKUP(I142,COND!$A$2:$E$7,4,FALSE)+$J$3*VLOOKUP(J142,COND!$A$2:$E$7,2,FALSE)+$K$3*VLOOKUP(K142,COND!$A$2:$E$7,3,FALSE)+IF(BB142="SP",$BB$3,0)+IF($AW142&lt;3,-5,0)+IF(AND($B$2&gt;0,$E142&lt;20),$B$2*25,0)</f>
        <v>35.995444388806902</v>
      </c>
      <c r="BA142" s="47">
        <f t="shared" si="26"/>
        <v>-0.12868094931853269</v>
      </c>
      <c r="BB142" s="45" t="str">
        <f t="shared" si="24"/>
        <v>SP</v>
      </c>
      <c r="BC142" s="45">
        <v>900</v>
      </c>
      <c r="BD142" s="45">
        <v>137</v>
      </c>
      <c r="BE142" s="45"/>
      <c r="BF142" s="45" t="str">
        <f t="shared" si="25"/>
        <v>Unlikely</v>
      </c>
      <c r="BG142" s="45"/>
      <c r="BH142" s="45">
        <f>INDEX(Table5[[#All],[Ovr]],MATCH(Table3[[#This Row],[PID]],Table5[[#All],[PID]],0))</f>
        <v>313</v>
      </c>
      <c r="BI142" s="45" t="str">
        <f>INDEX(Table5[[#All],[Rnd]],MATCH(Table3[[#This Row],[PID]],Table5[[#All],[PID]],0))</f>
        <v>10</v>
      </c>
      <c r="BJ142" s="45">
        <f>INDEX(Table5[[#All],[Pick]],MATCH(Table3[[#This Row],[PID]],Table5[[#All],[PID]],0))</f>
        <v>16</v>
      </c>
      <c r="BK142" s="45" t="str">
        <f>INDEX(Table5[[#All],[Team]],MATCH(Table3[[#This Row],[PID]],Table5[[#All],[PID]],0))</f>
        <v>Madison Malts</v>
      </c>
      <c r="BL142" s="45" t="str">
        <f>IF(OR(Table3[[#This Row],[POS]]="SP",Table3[[#This Row],[POS]]="RP",Table3[[#This Row],[POS]]="CL"),"P",INDEX(Batters[[#All],[zScore]],MATCH(Table3[[#This Row],[PID]],Batters[[#All],[PID]],0)))</f>
        <v>P</v>
      </c>
    </row>
    <row r="143" spans="1:64" ht="15" customHeight="1" x14ac:dyDescent="0.3">
      <c r="A143" s="40">
        <v>11182</v>
      </c>
      <c r="B143" s="40" t="s">
        <v>380</v>
      </c>
      <c r="C143" s="40" t="s">
        <v>172</v>
      </c>
      <c r="D143" s="40" t="s">
        <v>146</v>
      </c>
      <c r="E143" s="40">
        <v>17</v>
      </c>
      <c r="F143" s="40" t="s">
        <v>42</v>
      </c>
      <c r="G143" s="40" t="s">
        <v>42</v>
      </c>
      <c r="H143" s="41" t="s">
        <v>561</v>
      </c>
      <c r="I143" s="42" t="s">
        <v>43</v>
      </c>
      <c r="J143" s="40" t="s">
        <v>47</v>
      </c>
      <c r="K143" s="41" t="s">
        <v>43</v>
      </c>
      <c r="L143" s="40">
        <v>2</v>
      </c>
      <c r="M143" s="40">
        <v>1</v>
      </c>
      <c r="N143" s="41">
        <v>1</v>
      </c>
      <c r="O143" s="40">
        <v>5</v>
      </c>
      <c r="P143" s="40">
        <v>1</v>
      </c>
      <c r="Q143" s="41">
        <v>3</v>
      </c>
      <c r="R143" s="40">
        <v>4</v>
      </c>
      <c r="S143" s="40">
        <v>6</v>
      </c>
      <c r="T143" s="40">
        <v>1</v>
      </c>
      <c r="U143" s="40">
        <v>1</v>
      </c>
      <c r="V143" s="40">
        <v>2</v>
      </c>
      <c r="W143" s="40">
        <v>7</v>
      </c>
      <c r="X143" s="40" t="s">
        <v>45</v>
      </c>
      <c r="Y143" s="40" t="s">
        <v>45</v>
      </c>
      <c r="Z143" s="40" t="s">
        <v>45</v>
      </c>
      <c r="AA143" s="40" t="s">
        <v>45</v>
      </c>
      <c r="AB143" s="40" t="s">
        <v>45</v>
      </c>
      <c r="AC143" s="40" t="s">
        <v>45</v>
      </c>
      <c r="AD143" s="40" t="s">
        <v>45</v>
      </c>
      <c r="AE143" s="40" t="s">
        <v>45</v>
      </c>
      <c r="AF143" s="40" t="s">
        <v>45</v>
      </c>
      <c r="AG143" s="40" t="s">
        <v>45</v>
      </c>
      <c r="AH143" s="40" t="s">
        <v>45</v>
      </c>
      <c r="AI143" s="40" t="s">
        <v>45</v>
      </c>
      <c r="AJ143" s="40" t="s">
        <v>45</v>
      </c>
      <c r="AK143" s="40" t="s">
        <v>45</v>
      </c>
      <c r="AL143" s="40" t="s">
        <v>45</v>
      </c>
      <c r="AM143" s="40" t="s">
        <v>45</v>
      </c>
      <c r="AN143" s="40" t="s">
        <v>45</v>
      </c>
      <c r="AO143" s="41" t="s">
        <v>45</v>
      </c>
      <c r="AP143" s="40" t="s">
        <v>57</v>
      </c>
      <c r="AQ143" s="40">
        <v>9</v>
      </c>
      <c r="AR143" s="48" t="s">
        <v>330</v>
      </c>
      <c r="AS143" s="43" t="s">
        <v>583</v>
      </c>
      <c r="AT143" s="43" t="s">
        <v>103</v>
      </c>
      <c r="AU143" s="44">
        <f t="shared" si="20"/>
        <v>-2.5067929134584248</v>
      </c>
      <c r="AV143" s="44">
        <f t="shared" si="21"/>
        <v>-0.99258305708561179</v>
      </c>
      <c r="AW143" s="45">
        <f t="shared" si="22"/>
        <v>3</v>
      </c>
      <c r="AX143" s="45">
        <f t="shared" si="23"/>
        <v>2</v>
      </c>
      <c r="AY143" s="46">
        <f>VLOOKUP(AP143,COND!$A$10:$B$32,2,FALSE)</f>
        <v>1</v>
      </c>
      <c r="AZ143" s="44">
        <f>($AU$3*AU143+$AV$3*AV143+$AW$3*AW143+$AX$3*AX143)*AY143*IF(AQ143&lt;5,0.95,IF(AQ143&lt;7,0.975,1))+$I$3*VLOOKUP(I143,COND!$A$2:$E$7,4,FALSE)+$J$3*VLOOKUP(J143,COND!$A$2:$E$7,2,FALSE)+$K$3*VLOOKUP(K143,COND!$A$2:$E$7,3,FALSE)+IF(BB143="SP",$BB$3,0)+IF($AW143&lt;3,-5,0)+IF(AND($B$2&gt;0,$E143&lt;20),$B$2*25,0)</f>
        <v>35.946980275596076</v>
      </c>
      <c r="BA143" s="47">
        <f t="shared" si="26"/>
        <v>-0.1321319350210956</v>
      </c>
      <c r="BB143" s="45" t="str">
        <f t="shared" si="24"/>
        <v>SP</v>
      </c>
      <c r="BC143" s="45">
        <v>900</v>
      </c>
      <c r="BD143" s="45">
        <v>138</v>
      </c>
      <c r="BE143" s="45"/>
      <c r="BF143" s="45" t="str">
        <f t="shared" si="25"/>
        <v>Unlikely</v>
      </c>
      <c r="BG143" s="45"/>
      <c r="BH143" s="45">
        <f>INDEX(Table5[[#All],[Ovr]],MATCH(Table3[[#This Row],[PID]],Table5[[#All],[PID]],0))</f>
        <v>347</v>
      </c>
      <c r="BI143" s="45" t="str">
        <f>INDEX(Table5[[#All],[Rnd]],MATCH(Table3[[#This Row],[PID]],Table5[[#All],[PID]],0))</f>
        <v>11</v>
      </c>
      <c r="BJ143" s="45">
        <f>INDEX(Table5[[#All],[Pick]],MATCH(Table3[[#This Row],[PID]],Table5[[#All],[PID]],0))</f>
        <v>16</v>
      </c>
      <c r="BK143" s="45" t="str">
        <f>INDEX(Table5[[#All],[Team]],MATCH(Table3[[#This Row],[PID]],Table5[[#All],[PID]],0))</f>
        <v>Madison Malts</v>
      </c>
      <c r="BL143" s="45" t="str">
        <f>IF(OR(Table3[[#This Row],[POS]]="SP",Table3[[#This Row],[POS]]="RP",Table3[[#This Row],[POS]]="CL"),"P",INDEX(Batters[[#All],[zScore]],MATCH(Table3[[#This Row],[PID]],Batters[[#All],[PID]],0)))</f>
        <v>P</v>
      </c>
    </row>
    <row r="144" spans="1:64" ht="15" customHeight="1" x14ac:dyDescent="0.3">
      <c r="A144" s="40">
        <v>20375</v>
      </c>
      <c r="B144" s="40" t="s">
        <v>24</v>
      </c>
      <c r="C144" s="40" t="s">
        <v>143</v>
      </c>
      <c r="D144" s="40" t="s">
        <v>1499</v>
      </c>
      <c r="E144" s="40">
        <v>17</v>
      </c>
      <c r="F144" s="40" t="s">
        <v>53</v>
      </c>
      <c r="G144" s="40" t="s">
        <v>53</v>
      </c>
      <c r="H144" s="41" t="s">
        <v>561</v>
      </c>
      <c r="I144" s="42" t="s">
        <v>43</v>
      </c>
      <c r="J144" s="40" t="s">
        <v>43</v>
      </c>
      <c r="K144" s="41" t="s">
        <v>43</v>
      </c>
      <c r="L144" s="40">
        <v>2</v>
      </c>
      <c r="M144" s="40">
        <v>1</v>
      </c>
      <c r="N144" s="41">
        <v>1</v>
      </c>
      <c r="O144" s="40">
        <v>4</v>
      </c>
      <c r="P144" s="40">
        <v>1</v>
      </c>
      <c r="Q144" s="41">
        <v>4</v>
      </c>
      <c r="R144" s="40">
        <v>5</v>
      </c>
      <c r="S144" s="40">
        <v>6</v>
      </c>
      <c r="T144" s="40">
        <v>1</v>
      </c>
      <c r="U144" s="40">
        <v>3</v>
      </c>
      <c r="V144" s="40" t="s">
        <v>45</v>
      </c>
      <c r="W144" s="40" t="s">
        <v>45</v>
      </c>
      <c r="X144" s="40">
        <v>3</v>
      </c>
      <c r="Y144" s="40">
        <v>7</v>
      </c>
      <c r="Z144" s="40" t="s">
        <v>45</v>
      </c>
      <c r="AA144" s="40" t="s">
        <v>45</v>
      </c>
      <c r="AB144" s="40" t="s">
        <v>45</v>
      </c>
      <c r="AC144" s="40" t="s">
        <v>45</v>
      </c>
      <c r="AD144" s="40" t="s">
        <v>45</v>
      </c>
      <c r="AE144" s="40" t="s">
        <v>45</v>
      </c>
      <c r="AF144" s="40" t="s">
        <v>45</v>
      </c>
      <c r="AG144" s="40" t="s">
        <v>45</v>
      </c>
      <c r="AH144" s="40" t="s">
        <v>45</v>
      </c>
      <c r="AI144" s="40" t="s">
        <v>45</v>
      </c>
      <c r="AJ144" s="40" t="s">
        <v>45</v>
      </c>
      <c r="AK144" s="40" t="s">
        <v>45</v>
      </c>
      <c r="AL144" s="40" t="s">
        <v>45</v>
      </c>
      <c r="AM144" s="40" t="s">
        <v>45</v>
      </c>
      <c r="AN144" s="40" t="s">
        <v>45</v>
      </c>
      <c r="AO144" s="41" t="s">
        <v>45</v>
      </c>
      <c r="AP144" s="40" t="s">
        <v>60</v>
      </c>
      <c r="AQ144" s="40">
        <v>6</v>
      </c>
      <c r="AR144" s="48" t="s">
        <v>326</v>
      </c>
      <c r="AS144" s="43" t="s">
        <v>558</v>
      </c>
      <c r="AT144" s="43" t="s">
        <v>103</v>
      </c>
      <c r="AU144" s="44">
        <f t="shared" si="20"/>
        <v>-2.5067929134584248</v>
      </c>
      <c r="AV144" s="44">
        <f t="shared" si="21"/>
        <v>-0.94495381554067481</v>
      </c>
      <c r="AW144" s="45">
        <f t="shared" si="22"/>
        <v>3</v>
      </c>
      <c r="AX144" s="45">
        <f t="shared" si="23"/>
        <v>2</v>
      </c>
      <c r="AY144" s="46">
        <f>VLOOKUP(AP144,COND!$A$10:$B$32,2,FALSE)</f>
        <v>1.0249999999999999</v>
      </c>
      <c r="AZ144" s="44">
        <f>($AU$3*AU144+$AV$3*AV144+$AW$3*AW144+$AX$3*AX144)*AY144*IF(AQ144&lt;5,0.95,IF(AQ144&lt;7,0.975,1))+$I$3*VLOOKUP(I144,COND!$A$2:$E$7,4,FALSE)+$J$3*VLOOKUP(J144,COND!$A$2:$E$7,2,FALSE)+$K$3*VLOOKUP(K144,COND!$A$2:$E$7,3,FALSE)+IF(BB144="SP",$BB$3,0)+IF($AW144&lt;3,-5,0)+IF(AND($B$2&gt;0,$E144&lt;20),$B$2*25,0)</f>
        <v>36.609190378303261</v>
      </c>
      <c r="BA144" s="47">
        <f t="shared" si="26"/>
        <v>-8.4977918468808589E-2</v>
      </c>
      <c r="BB144" s="45" t="str">
        <f t="shared" si="24"/>
        <v>SP</v>
      </c>
      <c r="BC144" s="45">
        <v>900</v>
      </c>
      <c r="BD144" s="45">
        <v>139</v>
      </c>
      <c r="BE144" s="45"/>
      <c r="BF144" s="45" t="str">
        <f t="shared" si="25"/>
        <v>Unlikely</v>
      </c>
      <c r="BG144" s="45"/>
      <c r="BH144" s="45">
        <f>INDEX(Table5[[#All],[Ovr]],MATCH(Table3[[#This Row],[PID]],Table5[[#All],[PID]],0))</f>
        <v>555</v>
      </c>
      <c r="BI144" s="45" t="str">
        <f>INDEX(Table5[[#All],[Rnd]],MATCH(Table3[[#This Row],[PID]],Table5[[#All],[PID]],0))</f>
        <v>17</v>
      </c>
      <c r="BJ144" s="45">
        <f>INDEX(Table5[[#All],[Pick]],MATCH(Table3[[#This Row],[PID]],Table5[[#All],[PID]],0))</f>
        <v>20</v>
      </c>
      <c r="BK144" s="45" t="str">
        <f>INDEX(Table5[[#All],[Team]],MATCH(Table3[[#This Row],[PID]],Table5[[#All],[PID]],0))</f>
        <v>Crystal Lake Sandgnats</v>
      </c>
      <c r="BL144" s="45" t="str">
        <f>IF(OR(Table3[[#This Row],[POS]]="SP",Table3[[#This Row],[POS]]="RP",Table3[[#This Row],[POS]]="CL"),"P",INDEX(Batters[[#All],[zScore]],MATCH(Table3[[#This Row],[PID]],Batters[[#All],[PID]],0)))</f>
        <v>P</v>
      </c>
    </row>
    <row r="145" spans="1:64" ht="15" customHeight="1" x14ac:dyDescent="0.3">
      <c r="A145" s="40">
        <v>20959</v>
      </c>
      <c r="B145" s="40" t="s">
        <v>24</v>
      </c>
      <c r="C145" s="40" t="s">
        <v>1354</v>
      </c>
      <c r="D145" s="40" t="s">
        <v>1355</v>
      </c>
      <c r="E145" s="40">
        <v>17</v>
      </c>
      <c r="F145" s="40" t="s">
        <v>42</v>
      </c>
      <c r="G145" s="40" t="s">
        <v>42</v>
      </c>
      <c r="H145" s="41" t="s">
        <v>561</v>
      </c>
      <c r="I145" s="42" t="s">
        <v>43</v>
      </c>
      <c r="J145" s="40" t="s">
        <v>43</v>
      </c>
      <c r="K145" s="41" t="s">
        <v>43</v>
      </c>
      <c r="L145" s="40">
        <v>2</v>
      </c>
      <c r="M145" s="40">
        <v>1</v>
      </c>
      <c r="N145" s="41">
        <v>1</v>
      </c>
      <c r="O145" s="40">
        <v>5</v>
      </c>
      <c r="P145" s="40">
        <v>1</v>
      </c>
      <c r="Q145" s="41">
        <v>3</v>
      </c>
      <c r="R145" s="40">
        <v>5</v>
      </c>
      <c r="S145" s="40">
        <v>7</v>
      </c>
      <c r="T145" s="40" t="s">
        <v>45</v>
      </c>
      <c r="U145" s="40" t="s">
        <v>45</v>
      </c>
      <c r="V145" s="40">
        <v>2</v>
      </c>
      <c r="W145" s="40">
        <v>6</v>
      </c>
      <c r="X145" s="40">
        <v>3</v>
      </c>
      <c r="Y145" s="40">
        <v>6</v>
      </c>
      <c r="Z145" s="40" t="s">
        <v>45</v>
      </c>
      <c r="AA145" s="40" t="s">
        <v>45</v>
      </c>
      <c r="AB145" s="40" t="s">
        <v>45</v>
      </c>
      <c r="AC145" s="40" t="s">
        <v>45</v>
      </c>
      <c r="AD145" s="40" t="s">
        <v>45</v>
      </c>
      <c r="AE145" s="40" t="s">
        <v>45</v>
      </c>
      <c r="AF145" s="40" t="s">
        <v>45</v>
      </c>
      <c r="AG145" s="40" t="s">
        <v>45</v>
      </c>
      <c r="AH145" s="40" t="s">
        <v>45</v>
      </c>
      <c r="AI145" s="40" t="s">
        <v>45</v>
      </c>
      <c r="AJ145" s="40" t="s">
        <v>45</v>
      </c>
      <c r="AK145" s="40" t="s">
        <v>45</v>
      </c>
      <c r="AL145" s="40" t="s">
        <v>45</v>
      </c>
      <c r="AM145" s="40" t="s">
        <v>45</v>
      </c>
      <c r="AN145" s="40" t="s">
        <v>45</v>
      </c>
      <c r="AO145" s="41" t="s">
        <v>45</v>
      </c>
      <c r="AP145" s="40" t="s">
        <v>54</v>
      </c>
      <c r="AQ145" s="40">
        <v>8</v>
      </c>
      <c r="AR145" s="48" t="s">
        <v>14</v>
      </c>
      <c r="AS145" s="43" t="s">
        <v>558</v>
      </c>
      <c r="AT145" s="43" t="s">
        <v>103</v>
      </c>
      <c r="AU145" s="44">
        <f t="shared" si="20"/>
        <v>-2.5067929134584248</v>
      </c>
      <c r="AV145" s="44">
        <f t="shared" si="21"/>
        <v>-0.99258305708561179</v>
      </c>
      <c r="AW145" s="45">
        <f t="shared" si="22"/>
        <v>3</v>
      </c>
      <c r="AX145" s="45">
        <f t="shared" si="23"/>
        <v>3</v>
      </c>
      <c r="AY145" s="46">
        <f>VLOOKUP(AP145,COND!$A$10:$B$32,2,FALSE)</f>
        <v>1.0249999999999999</v>
      </c>
      <c r="AZ145" s="44">
        <f>($AU$3*AU145+$AV$3*AV145+$AW$3*AW145+$AX$3*AX145)*AY145*IF(AQ145&lt;5,0.95,IF(AQ145&lt;7,0.975,1))+$I$3*VLOOKUP(I145,COND!$A$2:$E$7,4,FALSE)+$J$3*VLOOKUP(J145,COND!$A$2:$E$7,2,FALSE)+$K$3*VLOOKUP(K145,COND!$A$2:$E$7,3,FALSE)+IF(BB145="SP",$BB$3,0)+IF($AW145&lt;3,-5,0)+IF(AND($B$2&gt;0,$E145&lt;20),$B$2*25,0)</f>
        <v>36.519404782485978</v>
      </c>
      <c r="BA145" s="47">
        <f t="shared" si="26"/>
        <v>-9.1371284341689535E-2</v>
      </c>
      <c r="BB145" s="45" t="str">
        <f t="shared" si="24"/>
        <v>SP</v>
      </c>
      <c r="BC145" s="45">
        <v>900</v>
      </c>
      <c r="BD145" s="45">
        <v>140</v>
      </c>
      <c r="BE145" s="45"/>
      <c r="BF145" s="45" t="str">
        <f t="shared" si="25"/>
        <v>Unlikely</v>
      </c>
      <c r="BG145" s="45"/>
      <c r="BH145" s="45">
        <f>INDEX(Table5[[#All],[Ovr]],MATCH(Table3[[#This Row],[PID]],Table5[[#All],[PID]],0))</f>
        <v>502</v>
      </c>
      <c r="BI145" s="45" t="str">
        <f>INDEX(Table5[[#All],[Rnd]],MATCH(Table3[[#This Row],[PID]],Table5[[#All],[PID]],0))</f>
        <v>16</v>
      </c>
      <c r="BJ145" s="45">
        <f>INDEX(Table5[[#All],[Pick]],MATCH(Table3[[#This Row],[PID]],Table5[[#All],[PID]],0))</f>
        <v>1</v>
      </c>
      <c r="BK145" s="45" t="str">
        <f>INDEX(Table5[[#All],[Team]],MATCH(Table3[[#This Row],[PID]],Table5[[#All],[PID]],0))</f>
        <v>Yuma Arroyos</v>
      </c>
      <c r="BL145" s="45" t="str">
        <f>IF(OR(Table3[[#This Row],[POS]]="SP",Table3[[#This Row],[POS]]="RP",Table3[[#This Row],[POS]]="CL"),"P",INDEX(Batters[[#All],[zScore]],MATCH(Table3[[#This Row],[PID]],Batters[[#All],[PID]],0)))</f>
        <v>P</v>
      </c>
    </row>
    <row r="146" spans="1:64" ht="15" customHeight="1" x14ac:dyDescent="0.3">
      <c r="A146" s="40">
        <v>20704</v>
      </c>
      <c r="B146" s="40" t="s">
        <v>380</v>
      </c>
      <c r="C146" s="40" t="s">
        <v>1348</v>
      </c>
      <c r="D146" s="40" t="s">
        <v>192</v>
      </c>
      <c r="E146" s="40">
        <v>17</v>
      </c>
      <c r="F146" s="40" t="s">
        <v>42</v>
      </c>
      <c r="G146" s="40" t="s">
        <v>42</v>
      </c>
      <c r="H146" s="41" t="s">
        <v>561</v>
      </c>
      <c r="I146" s="42" t="s">
        <v>43</v>
      </c>
      <c r="J146" s="40" t="s">
        <v>47</v>
      </c>
      <c r="K146" s="41" t="s">
        <v>43</v>
      </c>
      <c r="L146" s="40">
        <v>1</v>
      </c>
      <c r="M146" s="40">
        <v>1</v>
      </c>
      <c r="N146" s="41">
        <v>1</v>
      </c>
      <c r="O146" s="40">
        <v>3</v>
      </c>
      <c r="P146" s="40">
        <v>2</v>
      </c>
      <c r="Q146" s="41">
        <v>4</v>
      </c>
      <c r="R146" s="40">
        <v>2</v>
      </c>
      <c r="S146" s="40">
        <v>4</v>
      </c>
      <c r="T146" s="40" t="s">
        <v>45</v>
      </c>
      <c r="U146" s="40" t="s">
        <v>45</v>
      </c>
      <c r="V146" s="40">
        <v>1</v>
      </c>
      <c r="W146" s="40">
        <v>4</v>
      </c>
      <c r="X146" s="40">
        <v>2</v>
      </c>
      <c r="Y146" s="40">
        <v>4</v>
      </c>
      <c r="Z146" s="40" t="s">
        <v>45</v>
      </c>
      <c r="AA146" s="40" t="s">
        <v>45</v>
      </c>
      <c r="AB146" s="40" t="s">
        <v>45</v>
      </c>
      <c r="AC146" s="40" t="s">
        <v>45</v>
      </c>
      <c r="AD146" s="40" t="s">
        <v>45</v>
      </c>
      <c r="AE146" s="40" t="s">
        <v>45</v>
      </c>
      <c r="AF146" s="40" t="s">
        <v>45</v>
      </c>
      <c r="AG146" s="40" t="s">
        <v>45</v>
      </c>
      <c r="AH146" s="40" t="s">
        <v>45</v>
      </c>
      <c r="AI146" s="40" t="s">
        <v>45</v>
      </c>
      <c r="AJ146" s="40" t="s">
        <v>45</v>
      </c>
      <c r="AK146" s="40" t="s">
        <v>45</v>
      </c>
      <c r="AL146" s="40" t="s">
        <v>45</v>
      </c>
      <c r="AM146" s="40" t="s">
        <v>45</v>
      </c>
      <c r="AN146" s="40" t="s">
        <v>45</v>
      </c>
      <c r="AO146" s="41" t="s">
        <v>45</v>
      </c>
      <c r="AP146" s="40" t="s">
        <v>68</v>
      </c>
      <c r="AQ146" s="40">
        <v>6</v>
      </c>
      <c r="AR146" s="48" t="s">
        <v>14</v>
      </c>
      <c r="AS146" s="43" t="s">
        <v>558</v>
      </c>
      <c r="AT146" s="43" t="s">
        <v>103</v>
      </c>
      <c r="AU146" s="44">
        <f t="shared" si="20"/>
        <v>-2.7014842379675978</v>
      </c>
      <c r="AV146" s="44">
        <f t="shared" si="21"/>
        <v>-0.94421342361979277</v>
      </c>
      <c r="AW146" s="45">
        <f t="shared" si="22"/>
        <v>3</v>
      </c>
      <c r="AX146" s="45">
        <f t="shared" si="23"/>
        <v>0</v>
      </c>
      <c r="AY146" s="46">
        <f>VLOOKUP(AP146,COND!$A$10:$B$32,2,FALSE)</f>
        <v>0.95</v>
      </c>
      <c r="AZ146" s="44">
        <f>($AU$3*AU146+$AV$3*AV146+$AW$3*AW146+$AX$3*AX146)*AY146*IF(AQ146&lt;5,0.95,IF(AQ146&lt;7,0.975,1))+$I$3*VLOOKUP(I146,COND!$A$2:$E$7,4,FALSE)+$J$3*VLOOKUP(J146,COND!$A$2:$E$7,2,FALSE)+$K$3*VLOOKUP(K146,COND!$A$2:$E$7,3,FALSE)+IF(BB146="SP",$BB$3,0)+IF($AW146&lt;3,-5,0)+IF(AND($B$2&gt;0,$E146&lt;20),$B$2*25,0)</f>
        <v>35.697371372359839</v>
      </c>
      <c r="BA146" s="47">
        <f>STANDARDIZE(AZ146,AVERAGE($AZ$5:$AZ$445),STDEVP($AZ$5:$AZ$445))</f>
        <v>-0.14354276248605849</v>
      </c>
      <c r="BB146" s="45" t="str">
        <f t="shared" si="24"/>
        <v>SP</v>
      </c>
      <c r="BC146" s="45">
        <v>900</v>
      </c>
      <c r="BD146" s="45">
        <v>141</v>
      </c>
      <c r="BE146" s="45"/>
      <c r="BF146" s="45" t="str">
        <f t="shared" si="25"/>
        <v>Unlikely</v>
      </c>
      <c r="BG146" s="45"/>
      <c r="BH146" s="63" t="str">
        <f>INDEX(Table5[[#All],[Ovr]],MATCH(Table3[[#This Row],[PID]],Table5[[#All],[PID]],0))</f>
        <v/>
      </c>
      <c r="BI146" s="63" t="str">
        <f>INDEX(Table5[[#All],[Rnd]],MATCH(Table3[[#This Row],[PID]],Table5[[#All],[PID]],0))</f>
        <v/>
      </c>
      <c r="BJ146" s="63" t="str">
        <f>INDEX(Table5[[#All],[Pick]],MATCH(Table3[[#This Row],[PID]],Table5[[#All],[PID]],0))</f>
        <v/>
      </c>
      <c r="BK146" s="63" t="str">
        <f>INDEX(Table5[[#All],[Team]],MATCH(Table3[[#This Row],[PID]],Table5[[#All],[PID]],0))</f>
        <v/>
      </c>
      <c r="BL146" s="63" t="str">
        <f>IF(OR(Table3[[#This Row],[POS]]="SP",Table3[[#This Row],[POS]]="RP",Table3[[#This Row],[POS]]="CL"),"P",INDEX(Batters[[#All],[zScore]],MATCH(Table3[[#This Row],[PID]],Batters[[#All],[PID]],0)))</f>
        <v>P</v>
      </c>
    </row>
    <row r="147" spans="1:64" ht="15" customHeight="1" x14ac:dyDescent="0.3">
      <c r="A147" s="40">
        <v>20681</v>
      </c>
      <c r="B147" s="40" t="s">
        <v>380</v>
      </c>
      <c r="C147" s="40" t="s">
        <v>1597</v>
      </c>
      <c r="D147" s="40" t="s">
        <v>1335</v>
      </c>
      <c r="E147" s="40">
        <v>17</v>
      </c>
      <c r="F147" s="40" t="s">
        <v>53</v>
      </c>
      <c r="G147" s="40" t="s">
        <v>53</v>
      </c>
      <c r="H147" s="41" t="s">
        <v>553</v>
      </c>
      <c r="I147" s="42" t="s">
        <v>44</v>
      </c>
      <c r="J147" s="40" t="s">
        <v>43</v>
      </c>
      <c r="K147" s="41" t="s">
        <v>43</v>
      </c>
      <c r="L147" s="40">
        <v>3</v>
      </c>
      <c r="M147" s="40">
        <v>2</v>
      </c>
      <c r="N147" s="41">
        <v>1</v>
      </c>
      <c r="O147" s="40">
        <v>6</v>
      </c>
      <c r="P147" s="40">
        <v>2</v>
      </c>
      <c r="Q147" s="41">
        <v>3</v>
      </c>
      <c r="R147" s="40">
        <v>5</v>
      </c>
      <c r="S147" s="40">
        <v>7</v>
      </c>
      <c r="T147" s="40">
        <v>4</v>
      </c>
      <c r="U147" s="40">
        <v>8</v>
      </c>
      <c r="V147" s="40" t="s">
        <v>45</v>
      </c>
      <c r="W147" s="40" t="s">
        <v>45</v>
      </c>
      <c r="X147" s="40" t="s">
        <v>45</v>
      </c>
      <c r="Y147" s="40" t="s">
        <v>45</v>
      </c>
      <c r="Z147" s="40" t="s">
        <v>45</v>
      </c>
      <c r="AA147" s="40" t="s">
        <v>45</v>
      </c>
      <c r="AB147" s="40" t="s">
        <v>45</v>
      </c>
      <c r="AC147" s="40" t="s">
        <v>45</v>
      </c>
      <c r="AD147" s="40" t="s">
        <v>45</v>
      </c>
      <c r="AE147" s="40" t="s">
        <v>45</v>
      </c>
      <c r="AF147" s="40" t="s">
        <v>45</v>
      </c>
      <c r="AG147" s="40" t="s">
        <v>45</v>
      </c>
      <c r="AH147" s="40" t="s">
        <v>45</v>
      </c>
      <c r="AI147" s="40" t="s">
        <v>45</v>
      </c>
      <c r="AJ147" s="40" t="s">
        <v>45</v>
      </c>
      <c r="AK147" s="40" t="s">
        <v>45</v>
      </c>
      <c r="AL147" s="40" t="s">
        <v>45</v>
      </c>
      <c r="AM147" s="40" t="s">
        <v>45</v>
      </c>
      <c r="AN147" s="40" t="s">
        <v>45</v>
      </c>
      <c r="AO147" s="41" t="s">
        <v>45</v>
      </c>
      <c r="AP147" s="40" t="s">
        <v>57</v>
      </c>
      <c r="AQ147" s="40">
        <v>1</v>
      </c>
      <c r="AR147" s="48" t="s">
        <v>326</v>
      </c>
      <c r="AS147" s="43" t="s">
        <v>558</v>
      </c>
      <c r="AT147" s="43" t="s">
        <v>103</v>
      </c>
      <c r="AU147" s="44">
        <f t="shared" si="20"/>
        <v>-2.1166698725191955</v>
      </c>
      <c r="AV147" s="44">
        <f t="shared" si="21"/>
        <v>-0.60246001614638267</v>
      </c>
      <c r="AW147" s="45">
        <f t="shared" si="22"/>
        <v>2</v>
      </c>
      <c r="AX147" s="45">
        <f t="shared" si="23"/>
        <v>2</v>
      </c>
      <c r="AY147" s="46">
        <f>VLOOKUP(AP147,COND!$A$10:$B$32,2,FALSE)</f>
        <v>1</v>
      </c>
      <c r="AZ147" s="44">
        <f>($AU$3*AU147+$AV$3*AV147+$AW$3*AW147+$AX$3*AX147)*AY147*IF(AQ147&lt;5,0.95,IF(AQ147&lt;7,0.975,1))+$I$3*VLOOKUP(I147,COND!$A$2:$E$7,4,FALSE)+$J$3*VLOOKUP(J147,COND!$A$2:$E$7,2,FALSE)+$K$3*VLOOKUP(K147,COND!$A$2:$E$7,3,FALSE)+IF(BB147="SP",$BB$3,0)+IF($AW147&lt;3,-5,0)+IF(AND($B$2&gt;0,$E147&lt;20),$B$2*25,0)</f>
        <v>36.32609241744008</v>
      </c>
      <c r="BA147" s="47">
        <f>STANDARDIZE(AZ147,AVERAGE($AZ$5:$AZ$445),STDEVP($AZ$5:$AZ$445))</f>
        <v>-9.8813262400853155E-2</v>
      </c>
      <c r="BB147" s="45" t="str">
        <f t="shared" si="24"/>
        <v>RP</v>
      </c>
      <c r="BC147" s="45">
        <v>900</v>
      </c>
      <c r="BD147" s="45">
        <v>142</v>
      </c>
      <c r="BE147" s="45"/>
      <c r="BF147" s="45" t="str">
        <f t="shared" si="25"/>
        <v>Unlikely</v>
      </c>
      <c r="BG147" s="45"/>
      <c r="BH147" s="63">
        <f>INDEX(Table5[[#All],[Ovr]],MATCH(Table3[[#This Row],[PID]],Table5[[#All],[PID]],0))</f>
        <v>499</v>
      </c>
      <c r="BI147" s="63" t="str">
        <f>INDEX(Table5[[#All],[Rnd]],MATCH(Table3[[#This Row],[PID]],Table5[[#All],[PID]],0))</f>
        <v>15</v>
      </c>
      <c r="BJ147" s="63">
        <f>INDEX(Table5[[#All],[Pick]],MATCH(Table3[[#This Row],[PID]],Table5[[#All],[PID]],0))</f>
        <v>32</v>
      </c>
      <c r="BK147" s="63" t="str">
        <f>INDEX(Table5[[#All],[Team]],MATCH(Table3[[#This Row],[PID]],Table5[[#All],[PID]],0))</f>
        <v>Crystal Lake Sandgnats</v>
      </c>
      <c r="BL147" s="63" t="str">
        <f>IF(OR(Table3[[#This Row],[POS]]="SP",Table3[[#This Row],[POS]]="RP",Table3[[#This Row],[POS]]="CL"),"P",INDEX(Batters[[#All],[zScore]],MATCH(Table3[[#This Row],[PID]],Batters[[#All],[PID]],0)))</f>
        <v>P</v>
      </c>
    </row>
    <row r="148" spans="1:64" ht="15" customHeight="1" x14ac:dyDescent="0.3">
      <c r="A148" s="40">
        <v>20981</v>
      </c>
      <c r="B148" s="40" t="s">
        <v>380</v>
      </c>
      <c r="C148" s="40" t="s">
        <v>134</v>
      </c>
      <c r="D148" s="40" t="s">
        <v>1500</v>
      </c>
      <c r="E148" s="40">
        <v>17</v>
      </c>
      <c r="F148" s="40" t="s">
        <v>42</v>
      </c>
      <c r="G148" s="40" t="s">
        <v>42</v>
      </c>
      <c r="H148" s="41" t="s">
        <v>561</v>
      </c>
      <c r="I148" s="42" t="s">
        <v>43</v>
      </c>
      <c r="J148" s="40" t="s">
        <v>47</v>
      </c>
      <c r="K148" s="41" t="s">
        <v>43</v>
      </c>
      <c r="L148" s="40">
        <v>1</v>
      </c>
      <c r="M148" s="40">
        <v>1</v>
      </c>
      <c r="N148" s="41">
        <v>1</v>
      </c>
      <c r="O148" s="40">
        <v>5</v>
      </c>
      <c r="P148" s="40">
        <v>2</v>
      </c>
      <c r="Q148" s="41">
        <v>4</v>
      </c>
      <c r="R148" s="40">
        <v>2</v>
      </c>
      <c r="S148" s="40">
        <v>5</v>
      </c>
      <c r="T148" s="40" t="s">
        <v>45</v>
      </c>
      <c r="U148" s="40" t="s">
        <v>45</v>
      </c>
      <c r="V148" s="40" t="s">
        <v>45</v>
      </c>
      <c r="W148" s="40" t="s">
        <v>45</v>
      </c>
      <c r="X148" s="40" t="s">
        <v>45</v>
      </c>
      <c r="Y148" s="40" t="s">
        <v>45</v>
      </c>
      <c r="Z148" s="40" t="s">
        <v>45</v>
      </c>
      <c r="AA148" s="40" t="s">
        <v>45</v>
      </c>
      <c r="AB148" s="40">
        <v>2</v>
      </c>
      <c r="AC148" s="40">
        <v>5</v>
      </c>
      <c r="AD148" s="40" t="s">
        <v>45</v>
      </c>
      <c r="AE148" s="40" t="s">
        <v>45</v>
      </c>
      <c r="AF148" s="40" t="s">
        <v>45</v>
      </c>
      <c r="AG148" s="40" t="s">
        <v>45</v>
      </c>
      <c r="AH148" s="40" t="s">
        <v>45</v>
      </c>
      <c r="AI148" s="40" t="s">
        <v>45</v>
      </c>
      <c r="AJ148" s="40" t="s">
        <v>45</v>
      </c>
      <c r="AK148" s="40" t="s">
        <v>45</v>
      </c>
      <c r="AL148" s="40" t="s">
        <v>45</v>
      </c>
      <c r="AM148" s="40" t="s">
        <v>45</v>
      </c>
      <c r="AN148" s="40" t="s">
        <v>45</v>
      </c>
      <c r="AO148" s="41" t="s">
        <v>45</v>
      </c>
      <c r="AP148" s="40" t="s">
        <v>68</v>
      </c>
      <c r="AQ148" s="40">
        <v>2</v>
      </c>
      <c r="AR148" s="48" t="s">
        <v>14</v>
      </c>
      <c r="AS148" s="43" t="s">
        <v>558</v>
      </c>
      <c r="AT148" s="43" t="s">
        <v>103</v>
      </c>
      <c r="AU148" s="44">
        <f t="shared" si="20"/>
        <v>-2.7014842379675978</v>
      </c>
      <c r="AV148" s="44">
        <f t="shared" si="21"/>
        <v>-0.55483077460144581</v>
      </c>
      <c r="AW148" s="45">
        <f t="shared" si="22"/>
        <v>2</v>
      </c>
      <c r="AX148" s="45">
        <f t="shared" si="23"/>
        <v>0</v>
      </c>
      <c r="AY148" s="46">
        <f>VLOOKUP(AP148,COND!$A$10:$B$32,2,FALSE)</f>
        <v>0.95</v>
      </c>
      <c r="AZ148" s="44">
        <f>($AU$3*AU148+$AV$3*AV148+$AW$3*AW148+$AX$3*AX148)*AY148*IF(AQ148&lt;5,0.95,IF(AQ148&lt;7,0.975,1))+$I$3*VLOOKUP(I148,COND!$A$2:$E$7,4,FALSE)+$J$3*VLOOKUP(J148,COND!$A$2:$E$7,2,FALSE)+$K$3*VLOOKUP(K148,COND!$A$2:$E$7,3,FALSE)+IF(BB148="SP",$BB$3,0)+IF($AW148&lt;3,-5,0)+IF(AND($B$2&gt;0,$E148&lt;20),$B$2*25,0)</f>
        <v>35.70018661349075</v>
      </c>
      <c r="BA148" s="47">
        <f>STANDARDIZE(AZ148,AVERAGE($AZ$5:$AZ$428),STDEVP($AZ$5:$AZ$428))</f>
        <v>-0.14970537943147152</v>
      </c>
      <c r="BB148" s="45" t="str">
        <f t="shared" si="24"/>
        <v>RP</v>
      </c>
      <c r="BC148" s="45">
        <v>900</v>
      </c>
      <c r="BD148" s="45">
        <v>143</v>
      </c>
      <c r="BE148" s="45"/>
      <c r="BF148" s="45" t="str">
        <f t="shared" si="25"/>
        <v>Unlikely</v>
      </c>
      <c r="BG148" s="45"/>
      <c r="BH148" s="45">
        <f>INDEX(Table5[[#All],[Ovr]],MATCH(Table3[[#This Row],[PID]],Table5[[#All],[PID]],0))</f>
        <v>627</v>
      </c>
      <c r="BI148" s="45" t="str">
        <f>INDEX(Table5[[#All],[Rnd]],MATCH(Table3[[#This Row],[PID]],Table5[[#All],[PID]],0))</f>
        <v>19</v>
      </c>
      <c r="BJ148" s="45">
        <f>INDEX(Table5[[#All],[Pick]],MATCH(Table3[[#This Row],[PID]],Table5[[#All],[PID]],0))</f>
        <v>24</v>
      </c>
      <c r="BK148" s="45" t="str">
        <f>INDEX(Table5[[#All],[Team]],MATCH(Table3[[#This Row],[PID]],Table5[[#All],[PID]],0))</f>
        <v>Reno Zephyrs</v>
      </c>
      <c r="BL148" s="45" t="str">
        <f>IF(OR(Table3[[#This Row],[POS]]="SP",Table3[[#This Row],[POS]]="RP",Table3[[#This Row],[POS]]="CL"),"P",INDEX(Batters[[#All],[zScore]],MATCH(Table3[[#This Row],[PID]],Batters[[#All],[PID]],0)))</f>
        <v>P</v>
      </c>
    </row>
    <row r="149" spans="1:64" ht="15" customHeight="1" x14ac:dyDescent="0.3">
      <c r="A149" s="40">
        <v>13113</v>
      </c>
      <c r="B149" s="40" t="s">
        <v>24</v>
      </c>
      <c r="C149" s="40" t="s">
        <v>1579</v>
      </c>
      <c r="D149" s="40" t="s">
        <v>1580</v>
      </c>
      <c r="E149" s="40">
        <v>18</v>
      </c>
      <c r="F149" s="40" t="s">
        <v>62</v>
      </c>
      <c r="G149" s="40" t="s">
        <v>42</v>
      </c>
      <c r="H149" s="41" t="s">
        <v>561</v>
      </c>
      <c r="I149" s="42" t="s">
        <v>43</v>
      </c>
      <c r="J149" s="40" t="s">
        <v>43</v>
      </c>
      <c r="K149" s="41" t="s">
        <v>43</v>
      </c>
      <c r="L149" s="40">
        <v>2</v>
      </c>
      <c r="M149" s="40">
        <v>2</v>
      </c>
      <c r="N149" s="41">
        <v>1</v>
      </c>
      <c r="O149" s="40">
        <v>5</v>
      </c>
      <c r="P149" s="40">
        <v>2</v>
      </c>
      <c r="Q149" s="41">
        <v>2</v>
      </c>
      <c r="R149" s="40">
        <v>4</v>
      </c>
      <c r="S149" s="40">
        <v>6</v>
      </c>
      <c r="T149" s="40">
        <v>1</v>
      </c>
      <c r="U149" s="40">
        <v>7</v>
      </c>
      <c r="V149" s="40" t="s">
        <v>45</v>
      </c>
      <c r="W149" s="40" t="s">
        <v>45</v>
      </c>
      <c r="X149" s="40">
        <v>3</v>
      </c>
      <c r="Y149" s="40">
        <v>6</v>
      </c>
      <c r="Z149" s="40" t="s">
        <v>45</v>
      </c>
      <c r="AA149" s="40" t="s">
        <v>45</v>
      </c>
      <c r="AB149" s="40" t="s">
        <v>45</v>
      </c>
      <c r="AC149" s="40" t="s">
        <v>45</v>
      </c>
      <c r="AD149" s="40" t="s">
        <v>45</v>
      </c>
      <c r="AE149" s="40" t="s">
        <v>45</v>
      </c>
      <c r="AF149" s="40" t="s">
        <v>45</v>
      </c>
      <c r="AG149" s="40" t="s">
        <v>45</v>
      </c>
      <c r="AH149" s="40" t="s">
        <v>45</v>
      </c>
      <c r="AI149" s="40" t="s">
        <v>45</v>
      </c>
      <c r="AJ149" s="40" t="s">
        <v>45</v>
      </c>
      <c r="AK149" s="40" t="s">
        <v>45</v>
      </c>
      <c r="AL149" s="40" t="s">
        <v>45</v>
      </c>
      <c r="AM149" s="40" t="s">
        <v>45</v>
      </c>
      <c r="AN149" s="40" t="s">
        <v>45</v>
      </c>
      <c r="AO149" s="41" t="s">
        <v>45</v>
      </c>
      <c r="AP149" s="40" t="s">
        <v>57</v>
      </c>
      <c r="AQ149" s="40">
        <v>8</v>
      </c>
      <c r="AR149" s="48" t="s">
        <v>326</v>
      </c>
      <c r="AS149" s="43" t="s">
        <v>558</v>
      </c>
      <c r="AT149" s="43" t="s">
        <v>103</v>
      </c>
      <c r="AU149" s="44">
        <f t="shared" si="20"/>
        <v>-2.311361197028369</v>
      </c>
      <c r="AV149" s="44">
        <f t="shared" si="21"/>
        <v>-1.0394719067096667</v>
      </c>
      <c r="AW149" s="45">
        <f t="shared" si="22"/>
        <v>3</v>
      </c>
      <c r="AX149" s="45">
        <f t="shared" si="23"/>
        <v>3</v>
      </c>
      <c r="AY149" s="46">
        <f>VLOOKUP(AP149,COND!$A$10:$B$32,2,FALSE)</f>
        <v>1</v>
      </c>
      <c r="AZ149" s="44">
        <f>($AU$3*AU149+$AV$3*AV149+$AW$3*AW149+$AX$3*AX149)*AY149*IF(AQ149&lt;5,0.95,IF(AQ149&lt;7,0.975,1))+$I$3*VLOOKUP(I149,COND!$A$2:$E$7,4,FALSE)+$J$3*VLOOKUP(J149,COND!$A$2:$E$7,2,FALSE)+$K$3*VLOOKUP(K149,COND!$A$2:$E$7,3,FALSE)+IF(BB149="SP",$BB$3,0)+IF($AW149&lt;3,-5,0)+IF(AND($B$2&gt;0,$E149&lt;20),$B$2*25,0)</f>
        <v>35.99828962640099</v>
      </c>
      <c r="BA149" s="47">
        <f>STANDARDIZE(AZ149,AVERAGE($AZ$5:$AZ$428),STDEVP($AZ$5:$AZ$428))</f>
        <v>-0.12847834839163907</v>
      </c>
      <c r="BB149" s="45" t="str">
        <f t="shared" si="24"/>
        <v>SP</v>
      </c>
      <c r="BC149" s="45">
        <v>900</v>
      </c>
      <c r="BD149" s="45">
        <v>144</v>
      </c>
      <c r="BE149" s="45"/>
      <c r="BF149" s="45" t="str">
        <f t="shared" si="25"/>
        <v>Unlikely</v>
      </c>
      <c r="BG149" s="45"/>
      <c r="BH149" s="45">
        <f>INDEX(Table5[[#All],[Ovr]],MATCH(Table3[[#This Row],[PID]],Table5[[#All],[PID]],0))</f>
        <v>380</v>
      </c>
      <c r="BI149" s="45" t="str">
        <f>INDEX(Table5[[#All],[Rnd]],MATCH(Table3[[#This Row],[PID]],Table5[[#All],[PID]],0))</f>
        <v>12</v>
      </c>
      <c r="BJ149" s="45">
        <f>INDEX(Table5[[#All],[Pick]],MATCH(Table3[[#This Row],[PID]],Table5[[#All],[PID]],0))</f>
        <v>15</v>
      </c>
      <c r="BK149" s="45" t="str">
        <f>INDEX(Table5[[#All],[Team]],MATCH(Table3[[#This Row],[PID]],Table5[[#All],[PID]],0))</f>
        <v>Niihama-shi Ghosts</v>
      </c>
      <c r="BL149" s="45" t="str">
        <f>IF(OR(Table3[[#This Row],[POS]]="SP",Table3[[#This Row],[POS]]="RP",Table3[[#This Row],[POS]]="CL"),"P",INDEX(Batters[[#All],[zScore]],MATCH(Table3[[#This Row],[PID]],Batters[[#All],[PID]],0)))</f>
        <v>P</v>
      </c>
    </row>
    <row r="150" spans="1:64" ht="15" customHeight="1" x14ac:dyDescent="0.3">
      <c r="A150" s="40">
        <v>11045</v>
      </c>
      <c r="B150" s="40" t="s">
        <v>24</v>
      </c>
      <c r="C150" s="40" t="s">
        <v>776</v>
      </c>
      <c r="D150" s="40" t="s">
        <v>655</v>
      </c>
      <c r="E150" s="40">
        <v>21</v>
      </c>
      <c r="F150" s="40" t="s">
        <v>42</v>
      </c>
      <c r="G150" s="40" t="s">
        <v>42</v>
      </c>
      <c r="H150" s="41" t="s">
        <v>561</v>
      </c>
      <c r="I150" s="42" t="s">
        <v>43</v>
      </c>
      <c r="J150" s="40" t="s">
        <v>43</v>
      </c>
      <c r="K150" s="41" t="s">
        <v>47</v>
      </c>
      <c r="L150" s="40">
        <v>2</v>
      </c>
      <c r="M150" s="40">
        <v>2</v>
      </c>
      <c r="N150" s="41">
        <v>3</v>
      </c>
      <c r="O150" s="40">
        <v>4</v>
      </c>
      <c r="P150" s="40">
        <v>2</v>
      </c>
      <c r="Q150" s="41">
        <v>4</v>
      </c>
      <c r="R150" s="40">
        <v>3</v>
      </c>
      <c r="S150" s="40">
        <v>5</v>
      </c>
      <c r="T150" s="40">
        <v>1</v>
      </c>
      <c r="U150" s="40">
        <v>4</v>
      </c>
      <c r="V150" s="40">
        <v>2</v>
      </c>
      <c r="W150" s="40">
        <v>5</v>
      </c>
      <c r="X150" s="40">
        <v>3</v>
      </c>
      <c r="Y150" s="40">
        <v>5</v>
      </c>
      <c r="Z150" s="40" t="s">
        <v>45</v>
      </c>
      <c r="AA150" s="40" t="s">
        <v>45</v>
      </c>
      <c r="AB150" s="40" t="s">
        <v>45</v>
      </c>
      <c r="AC150" s="40" t="s">
        <v>45</v>
      </c>
      <c r="AD150" s="40" t="s">
        <v>45</v>
      </c>
      <c r="AE150" s="40" t="s">
        <v>45</v>
      </c>
      <c r="AF150" s="40">
        <v>3</v>
      </c>
      <c r="AG150" s="40">
        <v>4</v>
      </c>
      <c r="AH150" s="40">
        <v>1</v>
      </c>
      <c r="AI150" s="40">
        <v>4</v>
      </c>
      <c r="AJ150" s="40" t="s">
        <v>45</v>
      </c>
      <c r="AK150" s="40" t="s">
        <v>45</v>
      </c>
      <c r="AL150" s="40" t="s">
        <v>45</v>
      </c>
      <c r="AM150" s="40" t="s">
        <v>45</v>
      </c>
      <c r="AN150" s="40" t="s">
        <v>45</v>
      </c>
      <c r="AO150" s="41" t="s">
        <v>45</v>
      </c>
      <c r="AP150" s="40" t="s">
        <v>328</v>
      </c>
      <c r="AQ150" s="40">
        <v>6</v>
      </c>
      <c r="AR150" s="48" t="s">
        <v>326</v>
      </c>
      <c r="AS150" s="43" t="s">
        <v>557</v>
      </c>
      <c r="AT150" s="43" t="s">
        <v>103</v>
      </c>
      <c r="AU150" s="44">
        <f t="shared" si="20"/>
        <v>-1.8267200649201485</v>
      </c>
      <c r="AV150" s="44">
        <f t="shared" si="21"/>
        <v>-0.74952209911061918</v>
      </c>
      <c r="AW150" s="45">
        <f t="shared" si="22"/>
        <v>6</v>
      </c>
      <c r="AX150" s="45">
        <f t="shared" si="23"/>
        <v>0</v>
      </c>
      <c r="AY150" s="46">
        <f>VLOOKUP(AP150,COND!$A$10:$B$32,2,FALSE)</f>
        <v>1</v>
      </c>
      <c r="AZ150" s="44">
        <f>($AU$3*AU150+$AV$3*AV150+$AW$3*AW150+$AX$3*AX150)*AY150*IF(AQ150&lt;5,0.95,IF(AQ150&lt;7,0.975,1))+$I$3*VLOOKUP(I150,COND!$A$2:$E$7,4,FALSE)+$J$3*VLOOKUP(J150,COND!$A$2:$E$7,2,FALSE)+$K$3*VLOOKUP(K150,COND!$A$2:$E$7,3,FALSE)+IF(BB150="SP",$BB$3,0)+IF($AW150&lt;3,-5,0)+IF(AND($B$2&gt;0,$E150&lt;20),$B$2*25,0)</f>
        <v>35.253108654683501</v>
      </c>
      <c r="BA150" s="47">
        <f>STANDARDIZE(AZ150,AVERAGE($AZ$5:$AZ$428),STDEVP($AZ$5:$AZ$428))</f>
        <v>-0.18154047434104209</v>
      </c>
      <c r="BB150" s="45" t="str">
        <f t="shared" si="24"/>
        <v>SP</v>
      </c>
      <c r="BC150" s="45">
        <v>900</v>
      </c>
      <c r="BD150" s="45">
        <v>145</v>
      </c>
      <c r="BE150" s="45"/>
      <c r="BF150" s="45" t="str">
        <f t="shared" si="25"/>
        <v>Unlikely</v>
      </c>
      <c r="BG150" s="45"/>
      <c r="BH150" s="45">
        <f>INDEX(Table5[[#All],[Ovr]],MATCH(Table3[[#This Row],[PID]],Table5[[#All],[PID]],0))</f>
        <v>448</v>
      </c>
      <c r="BI150" s="45" t="str">
        <f>INDEX(Table5[[#All],[Rnd]],MATCH(Table3[[#This Row],[PID]],Table5[[#All],[PID]],0))</f>
        <v>14</v>
      </c>
      <c r="BJ150" s="45">
        <f>INDEX(Table5[[#All],[Pick]],MATCH(Table3[[#This Row],[PID]],Table5[[#All],[PID]],0))</f>
        <v>15</v>
      </c>
      <c r="BK150" s="45" t="str">
        <f>INDEX(Table5[[#All],[Team]],MATCH(Table3[[#This Row],[PID]],Table5[[#All],[PID]],0))</f>
        <v>Niihama-shi Ghosts</v>
      </c>
      <c r="BL150" s="45" t="str">
        <f>IF(OR(Table3[[#This Row],[POS]]="SP",Table3[[#This Row],[POS]]="RP",Table3[[#This Row],[POS]]="CL"),"P",INDEX(Batters[[#All],[zScore]],MATCH(Table3[[#This Row],[PID]],Batters[[#All],[PID]],0)))</f>
        <v>P</v>
      </c>
    </row>
    <row r="151" spans="1:64" ht="15" customHeight="1" x14ac:dyDescent="0.3">
      <c r="A151" s="40">
        <v>20951</v>
      </c>
      <c r="B151" s="40" t="s">
        <v>380</v>
      </c>
      <c r="C151" s="40" t="s">
        <v>777</v>
      </c>
      <c r="D151" s="40" t="s">
        <v>683</v>
      </c>
      <c r="E151" s="40">
        <v>17</v>
      </c>
      <c r="F151" s="40" t="s">
        <v>42</v>
      </c>
      <c r="G151" s="40" t="s">
        <v>42</v>
      </c>
      <c r="H151" s="41" t="s">
        <v>561</v>
      </c>
      <c r="I151" s="42" t="s">
        <v>47</v>
      </c>
      <c r="J151" s="40" t="s">
        <v>43</v>
      </c>
      <c r="K151" s="41" t="s">
        <v>43</v>
      </c>
      <c r="L151" s="40">
        <v>2</v>
      </c>
      <c r="M151" s="40">
        <v>1</v>
      </c>
      <c r="N151" s="41">
        <v>1</v>
      </c>
      <c r="O151" s="40">
        <v>5</v>
      </c>
      <c r="P151" s="40">
        <v>1</v>
      </c>
      <c r="Q151" s="41">
        <v>3</v>
      </c>
      <c r="R151" s="40">
        <v>4</v>
      </c>
      <c r="S151" s="40">
        <v>7</v>
      </c>
      <c r="T151" s="40">
        <v>1</v>
      </c>
      <c r="U151" s="40">
        <v>1</v>
      </c>
      <c r="V151" s="40">
        <v>1</v>
      </c>
      <c r="W151" s="40">
        <v>6</v>
      </c>
      <c r="X151" s="40" t="s">
        <v>45</v>
      </c>
      <c r="Y151" s="40" t="s">
        <v>45</v>
      </c>
      <c r="Z151" s="40" t="s">
        <v>45</v>
      </c>
      <c r="AA151" s="40" t="s">
        <v>45</v>
      </c>
      <c r="AB151" s="40" t="s">
        <v>45</v>
      </c>
      <c r="AC151" s="40" t="s">
        <v>45</v>
      </c>
      <c r="AD151" s="40" t="s">
        <v>45</v>
      </c>
      <c r="AE151" s="40" t="s">
        <v>45</v>
      </c>
      <c r="AF151" s="40" t="s">
        <v>45</v>
      </c>
      <c r="AG151" s="40" t="s">
        <v>45</v>
      </c>
      <c r="AH151" s="40" t="s">
        <v>45</v>
      </c>
      <c r="AI151" s="40" t="s">
        <v>45</v>
      </c>
      <c r="AJ151" s="40" t="s">
        <v>45</v>
      </c>
      <c r="AK151" s="40" t="s">
        <v>45</v>
      </c>
      <c r="AL151" s="40" t="s">
        <v>45</v>
      </c>
      <c r="AM151" s="40" t="s">
        <v>45</v>
      </c>
      <c r="AN151" s="40" t="s">
        <v>45</v>
      </c>
      <c r="AO151" s="41" t="s">
        <v>45</v>
      </c>
      <c r="AP151" s="40" t="s">
        <v>329</v>
      </c>
      <c r="AQ151" s="40">
        <v>8</v>
      </c>
      <c r="AR151" s="48" t="s">
        <v>330</v>
      </c>
      <c r="AS151" s="43" t="s">
        <v>583</v>
      </c>
      <c r="AT151" s="43" t="s">
        <v>103</v>
      </c>
      <c r="AU151" s="44">
        <f t="shared" si="20"/>
        <v>-2.5067929134584248</v>
      </c>
      <c r="AV151" s="44">
        <f t="shared" si="21"/>
        <v>-0.99258305708561179</v>
      </c>
      <c r="AW151" s="45">
        <f t="shared" si="22"/>
        <v>3</v>
      </c>
      <c r="AX151" s="45">
        <f t="shared" si="23"/>
        <v>2</v>
      </c>
      <c r="AY151" s="46">
        <f>VLOOKUP(AP151,COND!$A$10:$B$32,2,FALSE)</f>
        <v>1</v>
      </c>
      <c r="AZ151" s="44">
        <f>($AU$3*AU151+$AV$3*AV151+$AW$3*AW151+$AX$3*AX151)*AY151*IF(AQ151&lt;5,0.95,IF(AQ151&lt;7,0.975,1))+$I$3*VLOOKUP(I151,COND!$A$2:$E$7,4,FALSE)+$J$3*VLOOKUP(J151,COND!$A$2:$E$7,2,FALSE)+$K$3*VLOOKUP(K151,COND!$A$2:$E$7,3,FALSE)+IF(BB151="SP",$BB$3,0)+IF($AW151&lt;3,-5,0)+IF(AND($B$2&gt;0,$E151&lt;20),$B$2*25,0)</f>
        <v>35.871980275596073</v>
      </c>
      <c r="BA151" s="47">
        <f>STANDARDIZE(AZ151,AVERAGE($AZ$5:$AZ$428),STDEVP($AZ$5:$AZ$428))</f>
        <v>-0.13747246248656897</v>
      </c>
      <c r="BB151" s="45" t="str">
        <f t="shared" si="24"/>
        <v>SP</v>
      </c>
      <c r="BC151" s="45">
        <v>900</v>
      </c>
      <c r="BD151" s="45">
        <v>146</v>
      </c>
      <c r="BE151" s="45"/>
      <c r="BF151" s="45" t="str">
        <f t="shared" si="25"/>
        <v>Unlikely</v>
      </c>
      <c r="BG151" s="45"/>
      <c r="BH151" s="45">
        <f>INDEX(Table5[[#All],[Ovr]],MATCH(Table3[[#This Row],[PID]],Table5[[#All],[PID]],0))</f>
        <v>524</v>
      </c>
      <c r="BI151" s="45" t="str">
        <f>INDEX(Table5[[#All],[Rnd]],MATCH(Table3[[#This Row],[PID]],Table5[[#All],[PID]],0))</f>
        <v>16</v>
      </c>
      <c r="BJ151" s="45">
        <f>INDEX(Table5[[#All],[Pick]],MATCH(Table3[[#This Row],[PID]],Table5[[#All],[PID]],0))</f>
        <v>23</v>
      </c>
      <c r="BK151" s="45" t="str">
        <f>INDEX(Table5[[#All],[Team]],MATCH(Table3[[#This Row],[PID]],Table5[[#All],[PID]],0))</f>
        <v>Kentucky Thoroughbreds</v>
      </c>
      <c r="BL151" s="45" t="str">
        <f>IF(OR(Table3[[#This Row],[POS]]="SP",Table3[[#This Row],[POS]]="RP",Table3[[#This Row],[POS]]="CL"),"P",INDEX(Batters[[#All],[zScore]],MATCH(Table3[[#This Row],[PID]],Batters[[#All],[PID]],0)))</f>
        <v>P</v>
      </c>
    </row>
    <row r="152" spans="1:64" ht="15" customHeight="1" x14ac:dyDescent="0.3">
      <c r="A152" s="40">
        <v>20267</v>
      </c>
      <c r="B152" s="40" t="s">
        <v>24</v>
      </c>
      <c r="C152" s="40" t="s">
        <v>1602</v>
      </c>
      <c r="D152" s="40" t="s">
        <v>1603</v>
      </c>
      <c r="E152" s="40">
        <v>21</v>
      </c>
      <c r="F152" s="40" t="s">
        <v>42</v>
      </c>
      <c r="G152" s="40" t="s">
        <v>42</v>
      </c>
      <c r="H152" s="41" t="s">
        <v>561</v>
      </c>
      <c r="I152" s="42" t="s">
        <v>43</v>
      </c>
      <c r="J152" s="40" t="s">
        <v>43</v>
      </c>
      <c r="K152" s="41" t="s">
        <v>43</v>
      </c>
      <c r="L152" s="40">
        <v>3</v>
      </c>
      <c r="M152" s="40">
        <v>1</v>
      </c>
      <c r="N152" s="41">
        <v>3</v>
      </c>
      <c r="O152" s="40">
        <v>4</v>
      </c>
      <c r="P152" s="40">
        <v>2</v>
      </c>
      <c r="Q152" s="41">
        <v>4</v>
      </c>
      <c r="R152" s="40">
        <v>5</v>
      </c>
      <c r="S152" s="40">
        <v>6</v>
      </c>
      <c r="T152" s="40">
        <v>3</v>
      </c>
      <c r="U152" s="40">
        <v>5</v>
      </c>
      <c r="V152" s="40">
        <v>2</v>
      </c>
      <c r="W152" s="40">
        <v>4</v>
      </c>
      <c r="X152" s="40" t="s">
        <v>45</v>
      </c>
      <c r="Y152" s="40" t="s">
        <v>45</v>
      </c>
      <c r="Z152" s="40" t="s">
        <v>45</v>
      </c>
      <c r="AA152" s="40" t="s">
        <v>45</v>
      </c>
      <c r="AB152" s="40">
        <v>3</v>
      </c>
      <c r="AC152" s="40">
        <v>4</v>
      </c>
      <c r="AD152" s="40">
        <v>4</v>
      </c>
      <c r="AE152" s="40">
        <v>5</v>
      </c>
      <c r="AF152" s="40" t="s">
        <v>45</v>
      </c>
      <c r="AG152" s="40" t="s">
        <v>45</v>
      </c>
      <c r="AH152" s="40" t="s">
        <v>45</v>
      </c>
      <c r="AI152" s="40" t="s">
        <v>45</v>
      </c>
      <c r="AJ152" s="40" t="s">
        <v>45</v>
      </c>
      <c r="AK152" s="40" t="s">
        <v>45</v>
      </c>
      <c r="AL152" s="40" t="s">
        <v>45</v>
      </c>
      <c r="AM152" s="40" t="s">
        <v>45</v>
      </c>
      <c r="AN152" s="40" t="s">
        <v>45</v>
      </c>
      <c r="AO152" s="41" t="s">
        <v>45</v>
      </c>
      <c r="AP152" s="40" t="s">
        <v>58</v>
      </c>
      <c r="AQ152" s="40">
        <v>6</v>
      </c>
      <c r="AR152" s="48" t="s">
        <v>326</v>
      </c>
      <c r="AS152" s="43" t="s">
        <v>756</v>
      </c>
      <c r="AT152" s="43" t="s">
        <v>103</v>
      </c>
      <c r="AU152" s="44">
        <f t="shared" si="20"/>
        <v>-1.8274604568410304</v>
      </c>
      <c r="AV152" s="44">
        <f t="shared" si="21"/>
        <v>-0.74952209911061918</v>
      </c>
      <c r="AW152" s="45">
        <f t="shared" si="22"/>
        <v>5</v>
      </c>
      <c r="AX152" s="45">
        <f t="shared" si="23"/>
        <v>1</v>
      </c>
      <c r="AY152" s="46">
        <f>VLOOKUP(AP152,COND!$A$10:$B$32,2,FALSE)</f>
        <v>1</v>
      </c>
      <c r="AZ152" s="44">
        <f>($AU$3*AU152+$AV$3*AV152+$AW$3*AW152+$AX$3*AX152)*AY152*IF(AQ152&lt;5,0.95,IF(AQ152&lt;7,0.975,1))+$I$3*VLOOKUP(I152,COND!$A$2:$E$7,4,FALSE)+$J$3*VLOOKUP(J152,COND!$A$2:$E$7,2,FALSE)+$K$3*VLOOKUP(K152,COND!$A$2:$E$7,3,FALSE)+IF(BB152="SP",$BB$3,0)+IF($AW152&lt;3,-5,0)+IF(AND($B$2&gt;0,$E152&lt;20),$B$2*25,0)</f>
        <v>35.684214278258921</v>
      </c>
      <c r="BA152" s="47">
        <f>STANDARDIZE(AZ152,AVERAGE($AZ$5:$AZ$455),STDEVP($AZ$5:$AZ$455))</f>
        <v>-0.14447880597674997</v>
      </c>
      <c r="BB152" s="45" t="str">
        <f t="shared" si="24"/>
        <v>SP</v>
      </c>
      <c r="BC152" s="45">
        <v>900</v>
      </c>
      <c r="BD152" s="45">
        <v>147</v>
      </c>
      <c r="BE152" s="45"/>
      <c r="BF152" s="45" t="str">
        <f t="shared" si="25"/>
        <v>Unlikely</v>
      </c>
      <c r="BG152" s="45"/>
      <c r="BH152" s="63">
        <f>INDEX(Table5[[#All],[Ovr]],MATCH(Table3[[#This Row],[PID]],Table5[[#All],[PID]],0))</f>
        <v>548</v>
      </c>
      <c r="BI152" s="63" t="str">
        <f>INDEX(Table5[[#All],[Rnd]],MATCH(Table3[[#This Row],[PID]],Table5[[#All],[PID]],0))</f>
        <v>17</v>
      </c>
      <c r="BJ152" s="63">
        <f>INDEX(Table5[[#All],[Pick]],MATCH(Table3[[#This Row],[PID]],Table5[[#All],[PID]],0))</f>
        <v>13</v>
      </c>
      <c r="BK152" s="63" t="str">
        <f>INDEX(Table5[[#All],[Team]],MATCH(Table3[[#This Row],[PID]],Table5[[#All],[PID]],0))</f>
        <v>Scottish Claymores</v>
      </c>
      <c r="BL152" s="63" t="str">
        <f>IF(OR(Table3[[#This Row],[POS]]="SP",Table3[[#This Row],[POS]]="RP",Table3[[#This Row],[POS]]="CL"),"P",INDEX(Batters[[#All],[zScore]],MATCH(Table3[[#This Row],[PID]],Batters[[#All],[PID]],0)))</f>
        <v>P</v>
      </c>
    </row>
    <row r="153" spans="1:64" ht="15" customHeight="1" x14ac:dyDescent="0.3">
      <c r="A153" s="40">
        <v>13098</v>
      </c>
      <c r="B153" s="40" t="s">
        <v>24</v>
      </c>
      <c r="C153" s="40" t="s">
        <v>900</v>
      </c>
      <c r="D153" s="40" t="s">
        <v>941</v>
      </c>
      <c r="E153" s="40">
        <v>18</v>
      </c>
      <c r="F153" s="40" t="s">
        <v>42</v>
      </c>
      <c r="G153" s="40" t="s">
        <v>42</v>
      </c>
      <c r="H153" s="41" t="s">
        <v>561</v>
      </c>
      <c r="I153" s="42" t="s">
        <v>44</v>
      </c>
      <c r="J153" s="40" t="s">
        <v>47</v>
      </c>
      <c r="K153" s="41" t="s">
        <v>43</v>
      </c>
      <c r="L153" s="40">
        <v>2</v>
      </c>
      <c r="M153" s="40">
        <v>2</v>
      </c>
      <c r="N153" s="41">
        <v>1</v>
      </c>
      <c r="O153" s="40">
        <v>4</v>
      </c>
      <c r="P153" s="40">
        <v>2</v>
      </c>
      <c r="Q153" s="41">
        <v>3</v>
      </c>
      <c r="R153" s="40">
        <v>4</v>
      </c>
      <c r="S153" s="40">
        <v>5</v>
      </c>
      <c r="T153" s="40">
        <v>2</v>
      </c>
      <c r="U153" s="40">
        <v>7</v>
      </c>
      <c r="V153" s="40">
        <v>2</v>
      </c>
      <c r="W153" s="40">
        <v>4</v>
      </c>
      <c r="X153" s="40" t="s">
        <v>45</v>
      </c>
      <c r="Y153" s="40" t="s">
        <v>45</v>
      </c>
      <c r="Z153" s="40" t="s">
        <v>45</v>
      </c>
      <c r="AA153" s="40" t="s">
        <v>45</v>
      </c>
      <c r="AB153" s="40" t="s">
        <v>45</v>
      </c>
      <c r="AC153" s="40" t="s">
        <v>45</v>
      </c>
      <c r="AD153" s="40" t="s">
        <v>45</v>
      </c>
      <c r="AE153" s="40" t="s">
        <v>45</v>
      </c>
      <c r="AF153" s="40" t="s">
        <v>45</v>
      </c>
      <c r="AG153" s="40" t="s">
        <v>45</v>
      </c>
      <c r="AH153" s="40" t="s">
        <v>45</v>
      </c>
      <c r="AI153" s="40" t="s">
        <v>45</v>
      </c>
      <c r="AJ153" s="40" t="s">
        <v>45</v>
      </c>
      <c r="AK153" s="40" t="s">
        <v>45</v>
      </c>
      <c r="AL153" s="40" t="s">
        <v>45</v>
      </c>
      <c r="AM153" s="40" t="s">
        <v>45</v>
      </c>
      <c r="AN153" s="40" t="s">
        <v>45</v>
      </c>
      <c r="AO153" s="41" t="s">
        <v>45</v>
      </c>
      <c r="AP153" s="40" t="s">
        <v>57</v>
      </c>
      <c r="AQ153" s="40">
        <v>6</v>
      </c>
      <c r="AR153" s="48" t="s">
        <v>326</v>
      </c>
      <c r="AS153" s="43" t="s">
        <v>558</v>
      </c>
      <c r="AT153" s="43" t="s">
        <v>103</v>
      </c>
      <c r="AU153" s="44">
        <f t="shared" si="20"/>
        <v>-2.311361197028369</v>
      </c>
      <c r="AV153" s="44">
        <f t="shared" si="21"/>
        <v>-0.99184266516472974</v>
      </c>
      <c r="AW153" s="45">
        <f t="shared" si="22"/>
        <v>3</v>
      </c>
      <c r="AX153" s="45">
        <f t="shared" si="23"/>
        <v>1</v>
      </c>
      <c r="AY153" s="46">
        <f>VLOOKUP(AP153,COND!$A$10:$B$32,2,FALSE)</f>
        <v>1</v>
      </c>
      <c r="AZ153" s="44">
        <f>($AU$3*AU153+$AV$3*AV153+$AW$3*AW153+$AX$3*AX153)*AY153*IF(AQ153&lt;5,0.95,IF(AQ153&lt;7,0.975,1))+$I$3*VLOOKUP(I153,COND!$A$2:$E$7,4,FALSE)+$J$3*VLOOKUP(J153,COND!$A$2:$E$7,2,FALSE)+$K$3*VLOOKUP(K153,COND!$A$2:$E$7,3,FALSE)+IF(BB153="SP",$BB$3,0)+IF($AW153&lt;3,-5,0)+IF(AND($B$2&gt;0,$E153&lt;20),$B$2*25,0)</f>
        <v>35.039602595867237</v>
      </c>
      <c r="BA153" s="47">
        <f>STANDARDIZE(AZ153,AVERAGE($AZ$5:$AZ$428),STDEVP($AZ$5:$AZ$428))</f>
        <v>-0.19674360728975129</v>
      </c>
      <c r="BB153" s="45" t="str">
        <f t="shared" si="24"/>
        <v>SP</v>
      </c>
      <c r="BC153" s="45">
        <v>900</v>
      </c>
      <c r="BD153" s="45">
        <v>148</v>
      </c>
      <c r="BE153" s="45"/>
      <c r="BF153" s="45" t="str">
        <f t="shared" si="25"/>
        <v>Unlikely</v>
      </c>
      <c r="BG153" s="45"/>
      <c r="BH153" s="45">
        <f>INDEX(Table5[[#All],[Ovr]],MATCH(Table3[[#This Row],[PID]],Table5[[#All],[PID]],0))</f>
        <v>471</v>
      </c>
      <c r="BI153" s="45" t="str">
        <f>INDEX(Table5[[#All],[Rnd]],MATCH(Table3[[#This Row],[PID]],Table5[[#All],[PID]],0))</f>
        <v>15</v>
      </c>
      <c r="BJ153" s="45">
        <f>INDEX(Table5[[#All],[Pick]],MATCH(Table3[[#This Row],[PID]],Table5[[#All],[PID]],0))</f>
        <v>4</v>
      </c>
      <c r="BK153" s="45" t="str">
        <f>INDEX(Table5[[#All],[Team]],MATCH(Table3[[#This Row],[PID]],Table5[[#All],[PID]],0))</f>
        <v>Palm Springs Codgers</v>
      </c>
      <c r="BL153" s="45" t="str">
        <f>IF(OR(Table3[[#This Row],[POS]]="SP",Table3[[#This Row],[POS]]="RP",Table3[[#This Row],[POS]]="CL"),"P",INDEX(Batters[[#All],[zScore]],MATCH(Table3[[#This Row],[PID]],Batters[[#All],[PID]],0)))</f>
        <v>P</v>
      </c>
    </row>
    <row r="154" spans="1:64" ht="15" customHeight="1" x14ac:dyDescent="0.3">
      <c r="A154" s="40">
        <v>20650</v>
      </c>
      <c r="B154" s="40" t="s">
        <v>380</v>
      </c>
      <c r="C154" s="40" t="s">
        <v>1463</v>
      </c>
      <c r="D154" s="40" t="s">
        <v>602</v>
      </c>
      <c r="E154" s="40">
        <v>17</v>
      </c>
      <c r="F154" s="40" t="s">
        <v>42</v>
      </c>
      <c r="G154" s="40" t="s">
        <v>42</v>
      </c>
      <c r="H154" s="41" t="s">
        <v>561</v>
      </c>
      <c r="I154" s="42" t="s">
        <v>43</v>
      </c>
      <c r="J154" s="40" t="s">
        <v>47</v>
      </c>
      <c r="K154" s="41" t="s">
        <v>43</v>
      </c>
      <c r="L154" s="40">
        <v>2</v>
      </c>
      <c r="M154" s="40">
        <v>2</v>
      </c>
      <c r="N154" s="41">
        <v>1</v>
      </c>
      <c r="O154" s="40">
        <v>4</v>
      </c>
      <c r="P154" s="40">
        <v>2</v>
      </c>
      <c r="Q154" s="41">
        <v>3</v>
      </c>
      <c r="R154" s="40">
        <v>3</v>
      </c>
      <c r="S154" s="40">
        <v>5</v>
      </c>
      <c r="T154" s="40">
        <v>1</v>
      </c>
      <c r="U154" s="40">
        <v>1</v>
      </c>
      <c r="V154" s="40">
        <v>2</v>
      </c>
      <c r="W154" s="40">
        <v>6</v>
      </c>
      <c r="X154" s="40" t="s">
        <v>45</v>
      </c>
      <c r="Y154" s="40" t="s">
        <v>45</v>
      </c>
      <c r="Z154" s="40" t="s">
        <v>45</v>
      </c>
      <c r="AA154" s="40" t="s">
        <v>45</v>
      </c>
      <c r="AB154" s="40" t="s">
        <v>45</v>
      </c>
      <c r="AC154" s="40" t="s">
        <v>45</v>
      </c>
      <c r="AD154" s="40" t="s">
        <v>45</v>
      </c>
      <c r="AE154" s="40" t="s">
        <v>45</v>
      </c>
      <c r="AF154" s="40" t="s">
        <v>45</v>
      </c>
      <c r="AG154" s="40" t="s">
        <v>45</v>
      </c>
      <c r="AH154" s="40" t="s">
        <v>45</v>
      </c>
      <c r="AI154" s="40" t="s">
        <v>45</v>
      </c>
      <c r="AJ154" s="40" t="s">
        <v>45</v>
      </c>
      <c r="AK154" s="40" t="s">
        <v>45</v>
      </c>
      <c r="AL154" s="40" t="s">
        <v>45</v>
      </c>
      <c r="AM154" s="40" t="s">
        <v>45</v>
      </c>
      <c r="AN154" s="40" t="s">
        <v>45</v>
      </c>
      <c r="AO154" s="41" t="s">
        <v>45</v>
      </c>
      <c r="AP154" s="40" t="s">
        <v>64</v>
      </c>
      <c r="AQ154" s="40">
        <v>8</v>
      </c>
      <c r="AR154" s="48" t="s">
        <v>326</v>
      </c>
      <c r="AS154" s="43" t="s">
        <v>558</v>
      </c>
      <c r="AT154" s="43" t="s">
        <v>103</v>
      </c>
      <c r="AU154" s="44">
        <f t="shared" si="20"/>
        <v>-2.311361197028369</v>
      </c>
      <c r="AV154" s="44">
        <f t="shared" si="21"/>
        <v>-0.99184266516472974</v>
      </c>
      <c r="AW154" s="45">
        <f t="shared" si="22"/>
        <v>3</v>
      </c>
      <c r="AX154" s="45">
        <f t="shared" si="23"/>
        <v>1</v>
      </c>
      <c r="AY154" s="46">
        <f>VLOOKUP(AP154,COND!$A$10:$B$32,2,FALSE)</f>
        <v>1</v>
      </c>
      <c r="AZ154" s="44">
        <f>($AU$3*AU154+$AV$3*AV154+$AW$3*AW154+$AX$3*AX154)*AY154*IF(AQ154&lt;5,0.95,IF(AQ154&lt;7,0.975,1))+$I$3*VLOOKUP(I154,COND!$A$2:$E$7,4,FALSE)+$J$3*VLOOKUP(J154,COND!$A$2:$E$7,2,FALSE)+$K$3*VLOOKUP(K154,COND!$A$2:$E$7,3,FALSE)+IF(BB154="SP",$BB$3,0)+IF($AW154&lt;3,-5,0)+IF(AND($B$2&gt;0,$E154&lt;20),$B$2*25,0)</f>
        <v>34.75087445729973</v>
      </c>
      <c r="BA154" s="47">
        <f>STANDARDIZE(AZ154,AVERAGE($AZ$5:$AZ$445),STDEVP($AZ$5:$AZ$445))</f>
        <v>-0.21087999284300413</v>
      </c>
      <c r="BB154" s="45" t="str">
        <f t="shared" si="24"/>
        <v>SP</v>
      </c>
      <c r="BC154" s="45">
        <v>900</v>
      </c>
      <c r="BD154" s="45">
        <v>149</v>
      </c>
      <c r="BE154" s="45"/>
      <c r="BF154" s="45" t="str">
        <f t="shared" si="25"/>
        <v>Unlikely</v>
      </c>
      <c r="BG154" s="45"/>
      <c r="BH154" s="63">
        <f>INDEX(Table5[[#All],[Ovr]],MATCH(Table3[[#This Row],[PID]],Table5[[#All],[PID]],0))</f>
        <v>415</v>
      </c>
      <c r="BI154" s="63" t="str">
        <f>INDEX(Table5[[#All],[Rnd]],MATCH(Table3[[#This Row],[PID]],Table5[[#All],[PID]],0))</f>
        <v>13</v>
      </c>
      <c r="BJ154" s="63">
        <f>INDEX(Table5[[#All],[Pick]],MATCH(Table3[[#This Row],[PID]],Table5[[#All],[PID]],0))</f>
        <v>16</v>
      </c>
      <c r="BK154" s="63" t="str">
        <f>INDEX(Table5[[#All],[Team]],MATCH(Table3[[#This Row],[PID]],Table5[[#All],[PID]],0))</f>
        <v>Madison Malts</v>
      </c>
      <c r="BL154" s="63" t="str">
        <f>IF(OR(Table3[[#This Row],[POS]]="SP",Table3[[#This Row],[POS]]="RP",Table3[[#This Row],[POS]]="CL"),"P",INDEX(Batters[[#All],[zScore]],MATCH(Table3[[#This Row],[PID]],Batters[[#All],[PID]],0)))</f>
        <v>P</v>
      </c>
    </row>
    <row r="155" spans="1:64" ht="15" customHeight="1" x14ac:dyDescent="0.3">
      <c r="A155" s="40">
        <v>16411</v>
      </c>
      <c r="B155" s="40" t="s">
        <v>380</v>
      </c>
      <c r="C155" s="40" t="s">
        <v>936</v>
      </c>
      <c r="D155" s="40" t="s">
        <v>366</v>
      </c>
      <c r="E155" s="40">
        <v>21</v>
      </c>
      <c r="F155" s="40" t="s">
        <v>53</v>
      </c>
      <c r="G155" s="40" t="s">
        <v>53</v>
      </c>
      <c r="H155" s="41" t="s">
        <v>561</v>
      </c>
      <c r="I155" s="42" t="s">
        <v>43</v>
      </c>
      <c r="J155" s="40" t="s">
        <v>47</v>
      </c>
      <c r="K155" s="41" t="s">
        <v>43</v>
      </c>
      <c r="L155" s="40">
        <v>3</v>
      </c>
      <c r="M155" s="40">
        <v>2</v>
      </c>
      <c r="N155" s="41">
        <v>1</v>
      </c>
      <c r="O155" s="40">
        <v>5</v>
      </c>
      <c r="P155" s="40">
        <v>2</v>
      </c>
      <c r="Q155" s="41">
        <v>3</v>
      </c>
      <c r="R155" s="40">
        <v>4</v>
      </c>
      <c r="S155" s="40">
        <v>6</v>
      </c>
      <c r="T155" s="40">
        <v>3</v>
      </c>
      <c r="U155" s="40">
        <v>7</v>
      </c>
      <c r="V155" s="40" t="s">
        <v>45</v>
      </c>
      <c r="W155" s="40" t="s">
        <v>45</v>
      </c>
      <c r="X155" s="40">
        <v>4</v>
      </c>
      <c r="Y155" s="40">
        <v>7</v>
      </c>
      <c r="Z155" s="40" t="s">
        <v>45</v>
      </c>
      <c r="AA155" s="40" t="s">
        <v>45</v>
      </c>
      <c r="AB155" s="40" t="s">
        <v>45</v>
      </c>
      <c r="AC155" s="40" t="s">
        <v>45</v>
      </c>
      <c r="AD155" s="40" t="s">
        <v>45</v>
      </c>
      <c r="AE155" s="40" t="s">
        <v>45</v>
      </c>
      <c r="AF155" s="40" t="s">
        <v>45</v>
      </c>
      <c r="AG155" s="40" t="s">
        <v>45</v>
      </c>
      <c r="AH155" s="40" t="s">
        <v>45</v>
      </c>
      <c r="AI155" s="40" t="s">
        <v>45</v>
      </c>
      <c r="AJ155" s="40" t="s">
        <v>45</v>
      </c>
      <c r="AK155" s="40" t="s">
        <v>45</v>
      </c>
      <c r="AL155" s="40" t="s">
        <v>45</v>
      </c>
      <c r="AM155" s="40" t="s">
        <v>45</v>
      </c>
      <c r="AN155" s="40" t="s">
        <v>45</v>
      </c>
      <c r="AO155" s="41" t="s">
        <v>45</v>
      </c>
      <c r="AP155" s="40" t="s">
        <v>56</v>
      </c>
      <c r="AQ155" s="40">
        <v>3</v>
      </c>
      <c r="AR155" s="48" t="s">
        <v>326</v>
      </c>
      <c r="AS155" s="43" t="s">
        <v>45</v>
      </c>
      <c r="AT155" s="43" t="s">
        <v>103</v>
      </c>
      <c r="AU155" s="44">
        <f t="shared" si="20"/>
        <v>-2.1166698725191955</v>
      </c>
      <c r="AV155" s="44">
        <f t="shared" si="21"/>
        <v>-0.79715134065555615</v>
      </c>
      <c r="AW155" s="45">
        <f t="shared" si="22"/>
        <v>3</v>
      </c>
      <c r="AX155" s="45">
        <f t="shared" si="23"/>
        <v>3</v>
      </c>
      <c r="AY155" s="46">
        <f>VLOOKUP(AP155,COND!$A$10:$B$32,2,FALSE)</f>
        <v>1</v>
      </c>
      <c r="AZ155" s="44">
        <f>($AU$3*AU155+$AV$3*AV155+$AW$3*AW155+$AX$3*AX155)*AY155*IF(AQ155&lt;5,0.95,IF(AQ155&lt;7,0.975,1))+$I$3*VLOOKUP(I155,COND!$A$2:$E$7,4,FALSE)+$J$3*VLOOKUP(J155,COND!$A$2:$E$7,2,FALSE)+$K$3*VLOOKUP(K155,COND!$A$2:$E$7,3,FALSE)+IF(BB155="SP",$BB$3,0)+IF($AW155&lt;3,-5,0)+IF(AND($B$2&gt;0,$E155&lt;20),$B$2*25,0)</f>
        <v>34.739457251765785</v>
      </c>
      <c r="BA155" s="47">
        <f t="shared" ref="BA155:BA164" si="27">STANDARDIZE(AZ155,AVERAGE($AZ$5:$AZ$428),STDEVP($AZ$5:$AZ$428))</f>
        <v>-0.21811606667385391</v>
      </c>
      <c r="BB155" s="45" t="str">
        <f t="shared" si="24"/>
        <v>RP</v>
      </c>
      <c r="BC155" s="45">
        <v>900</v>
      </c>
      <c r="BD155" s="45">
        <v>150</v>
      </c>
      <c r="BE155" s="45"/>
      <c r="BF155" s="45" t="str">
        <f t="shared" si="25"/>
        <v>Unlikely</v>
      </c>
      <c r="BG155" s="45"/>
      <c r="BH155" s="45">
        <f>INDEX(Table5[[#All],[Ovr]],MATCH(Table3[[#This Row],[PID]],Table5[[#All],[PID]],0))</f>
        <v>297</v>
      </c>
      <c r="BI155" s="45" t="str">
        <f>INDEX(Table5[[#All],[Rnd]],MATCH(Table3[[#This Row],[PID]],Table5[[#All],[PID]],0))</f>
        <v>9</v>
      </c>
      <c r="BJ155" s="45">
        <f>INDEX(Table5[[#All],[Pick]],MATCH(Table3[[#This Row],[PID]],Table5[[#All],[PID]],0))</f>
        <v>32</v>
      </c>
      <c r="BK155" s="45" t="str">
        <f>INDEX(Table5[[#All],[Team]],MATCH(Table3[[#This Row],[PID]],Table5[[#All],[PID]],0))</f>
        <v>Florida Farstriders</v>
      </c>
      <c r="BL155" s="45" t="str">
        <f>IF(OR(Table3[[#This Row],[POS]]="SP",Table3[[#This Row],[POS]]="RP",Table3[[#This Row],[POS]]="CL"),"P",INDEX(Batters[[#All],[zScore]],MATCH(Table3[[#This Row],[PID]],Batters[[#All],[PID]],0)))</f>
        <v>P</v>
      </c>
    </row>
    <row r="156" spans="1:64" ht="15" customHeight="1" x14ac:dyDescent="0.3">
      <c r="A156" s="40">
        <v>10977</v>
      </c>
      <c r="B156" s="40" t="s">
        <v>380</v>
      </c>
      <c r="C156" s="40" t="s">
        <v>779</v>
      </c>
      <c r="D156" s="40" t="s">
        <v>601</v>
      </c>
      <c r="E156" s="40">
        <v>21</v>
      </c>
      <c r="F156" s="40" t="s">
        <v>42</v>
      </c>
      <c r="G156" s="40" t="s">
        <v>42</v>
      </c>
      <c r="H156" s="41" t="s">
        <v>561</v>
      </c>
      <c r="I156" s="42" t="s">
        <v>43</v>
      </c>
      <c r="J156" s="40" t="s">
        <v>47</v>
      </c>
      <c r="K156" s="41" t="s">
        <v>43</v>
      </c>
      <c r="L156" s="40">
        <v>3</v>
      </c>
      <c r="M156" s="40">
        <v>1</v>
      </c>
      <c r="N156" s="41">
        <v>2</v>
      </c>
      <c r="O156" s="40">
        <v>5</v>
      </c>
      <c r="P156" s="40">
        <v>1</v>
      </c>
      <c r="Q156" s="41">
        <v>4</v>
      </c>
      <c r="R156" s="40">
        <v>4</v>
      </c>
      <c r="S156" s="40">
        <v>5</v>
      </c>
      <c r="T156" s="40">
        <v>1</v>
      </c>
      <c r="U156" s="40">
        <v>4</v>
      </c>
      <c r="V156" s="40">
        <v>2</v>
      </c>
      <c r="W156" s="40">
        <v>4</v>
      </c>
      <c r="X156" s="40" t="s">
        <v>45</v>
      </c>
      <c r="Y156" s="40" t="s">
        <v>45</v>
      </c>
      <c r="Z156" s="40" t="s">
        <v>45</v>
      </c>
      <c r="AA156" s="40" t="s">
        <v>45</v>
      </c>
      <c r="AB156" s="40">
        <v>4</v>
      </c>
      <c r="AC156" s="40">
        <v>5</v>
      </c>
      <c r="AD156" s="40" t="s">
        <v>45</v>
      </c>
      <c r="AE156" s="40" t="s">
        <v>45</v>
      </c>
      <c r="AF156" s="40">
        <v>3</v>
      </c>
      <c r="AG156" s="40">
        <v>3</v>
      </c>
      <c r="AH156" s="40" t="s">
        <v>45</v>
      </c>
      <c r="AI156" s="40" t="s">
        <v>45</v>
      </c>
      <c r="AJ156" s="40" t="s">
        <v>45</v>
      </c>
      <c r="AK156" s="40" t="s">
        <v>45</v>
      </c>
      <c r="AL156" s="40" t="s">
        <v>45</v>
      </c>
      <c r="AM156" s="40" t="s">
        <v>45</v>
      </c>
      <c r="AN156" s="40" t="s">
        <v>45</v>
      </c>
      <c r="AO156" s="41" t="s">
        <v>45</v>
      </c>
      <c r="AP156" s="40" t="s">
        <v>56</v>
      </c>
      <c r="AQ156" s="40">
        <v>6</v>
      </c>
      <c r="AR156" s="48" t="s">
        <v>330</v>
      </c>
      <c r="AS156" s="43" t="s">
        <v>45</v>
      </c>
      <c r="AT156" s="43" t="s">
        <v>103</v>
      </c>
      <c r="AU156" s="44">
        <f t="shared" si="20"/>
        <v>-2.0697810228951408</v>
      </c>
      <c r="AV156" s="44">
        <f t="shared" si="21"/>
        <v>-0.75026249103150122</v>
      </c>
      <c r="AW156" s="45">
        <f t="shared" si="22"/>
        <v>5</v>
      </c>
      <c r="AX156" s="45">
        <f t="shared" si="23"/>
        <v>0</v>
      </c>
      <c r="AY156" s="46">
        <f>VLOOKUP(AP156,COND!$A$10:$B$32,2,FALSE)</f>
        <v>1</v>
      </c>
      <c r="AZ156" s="44">
        <f>($AU$3*AU156+$AV$3*AV156+$AW$3*AW156+$AX$3*AX156)*AY156*IF(AQ156&lt;5,0.95,IF(AQ156&lt;7,0.975,1))+$I$3*VLOOKUP(I156,COND!$A$2:$E$7,4,FALSE)+$J$3*VLOOKUP(J156,COND!$A$2:$E$7,2,FALSE)+$K$3*VLOOKUP(K156,COND!$A$2:$E$7,3,FALSE)+IF(BB156="SP",$BB$3,0)+IF($AW156&lt;3,-5,0)+IF(AND($B$2&gt;0,$E156&lt;20),$B$2*25,0)</f>
        <v>34.703774125421177</v>
      </c>
      <c r="BA156" s="47">
        <f t="shared" si="27"/>
        <v>-0.22065695622448497</v>
      </c>
      <c r="BB156" s="45" t="str">
        <f t="shared" si="24"/>
        <v>SP</v>
      </c>
      <c r="BC156" s="45">
        <v>900</v>
      </c>
      <c r="BD156" s="45">
        <v>151</v>
      </c>
      <c r="BE156" s="45"/>
      <c r="BF156" s="45" t="str">
        <f t="shared" si="25"/>
        <v>Unlikely</v>
      </c>
      <c r="BG156" s="45"/>
      <c r="BH156" s="45">
        <f>INDEX(Table5[[#All],[Ovr]],MATCH(Table3[[#This Row],[PID]],Table5[[#All],[PID]],0))</f>
        <v>564</v>
      </c>
      <c r="BI156" s="45" t="str">
        <f>INDEX(Table5[[#All],[Rnd]],MATCH(Table3[[#This Row],[PID]],Table5[[#All],[PID]],0))</f>
        <v>17</v>
      </c>
      <c r="BJ156" s="45">
        <f>INDEX(Table5[[#All],[Pick]],MATCH(Table3[[#This Row],[PID]],Table5[[#All],[PID]],0))</f>
        <v>29</v>
      </c>
      <c r="BK156" s="45" t="str">
        <f>INDEX(Table5[[#All],[Team]],MATCH(Table3[[#This Row],[PID]],Table5[[#All],[PID]],0))</f>
        <v>Shin Seiki Evas</v>
      </c>
      <c r="BL156" s="45" t="str">
        <f>IF(OR(Table3[[#This Row],[POS]]="SP",Table3[[#This Row],[POS]]="RP",Table3[[#This Row],[POS]]="CL"),"P",INDEX(Batters[[#All],[zScore]],MATCH(Table3[[#This Row],[PID]],Batters[[#All],[PID]],0)))</f>
        <v>P</v>
      </c>
    </row>
    <row r="157" spans="1:64" ht="15" customHeight="1" x14ac:dyDescent="0.3">
      <c r="A157" s="40">
        <v>5662</v>
      </c>
      <c r="B157" s="40" t="s">
        <v>380</v>
      </c>
      <c r="C157" s="40" t="s">
        <v>1403</v>
      </c>
      <c r="D157" s="40" t="s">
        <v>394</v>
      </c>
      <c r="E157" s="40">
        <v>21</v>
      </c>
      <c r="F157" s="40" t="s">
        <v>53</v>
      </c>
      <c r="G157" s="40" t="s">
        <v>42</v>
      </c>
      <c r="H157" s="41" t="s">
        <v>561</v>
      </c>
      <c r="I157" s="42" t="s">
        <v>43</v>
      </c>
      <c r="J157" s="40" t="s">
        <v>47</v>
      </c>
      <c r="K157" s="41" t="s">
        <v>43</v>
      </c>
      <c r="L157" s="40">
        <v>2</v>
      </c>
      <c r="M157" s="40">
        <v>1</v>
      </c>
      <c r="N157" s="41">
        <v>1</v>
      </c>
      <c r="O157" s="40">
        <v>5</v>
      </c>
      <c r="P157" s="40">
        <v>1</v>
      </c>
      <c r="Q157" s="41">
        <v>4</v>
      </c>
      <c r="R157" s="40">
        <v>4</v>
      </c>
      <c r="S157" s="40">
        <v>6</v>
      </c>
      <c r="T157" s="40">
        <v>1</v>
      </c>
      <c r="U157" s="40">
        <v>4</v>
      </c>
      <c r="V157" s="40">
        <v>2</v>
      </c>
      <c r="W157" s="40">
        <v>7</v>
      </c>
      <c r="X157" s="40" t="s">
        <v>45</v>
      </c>
      <c r="Y157" s="40" t="s">
        <v>45</v>
      </c>
      <c r="Z157" s="40" t="s">
        <v>45</v>
      </c>
      <c r="AA157" s="40" t="s">
        <v>45</v>
      </c>
      <c r="AB157" s="40" t="s">
        <v>45</v>
      </c>
      <c r="AC157" s="40" t="s">
        <v>45</v>
      </c>
      <c r="AD157" s="40" t="s">
        <v>45</v>
      </c>
      <c r="AE157" s="40" t="s">
        <v>45</v>
      </c>
      <c r="AF157" s="40" t="s">
        <v>45</v>
      </c>
      <c r="AG157" s="40" t="s">
        <v>45</v>
      </c>
      <c r="AH157" s="40" t="s">
        <v>45</v>
      </c>
      <c r="AI157" s="40" t="s">
        <v>45</v>
      </c>
      <c r="AJ157" s="40" t="s">
        <v>45</v>
      </c>
      <c r="AK157" s="40" t="s">
        <v>45</v>
      </c>
      <c r="AL157" s="40" t="s">
        <v>45</v>
      </c>
      <c r="AM157" s="40" t="s">
        <v>45</v>
      </c>
      <c r="AN157" s="40" t="s">
        <v>45</v>
      </c>
      <c r="AO157" s="41" t="s">
        <v>45</v>
      </c>
      <c r="AP157" s="40" t="s">
        <v>56</v>
      </c>
      <c r="AQ157" s="40">
        <v>4</v>
      </c>
      <c r="AR157" s="48" t="s">
        <v>14</v>
      </c>
      <c r="AS157" s="43" t="s">
        <v>45</v>
      </c>
      <c r="AT157" s="43" t="s">
        <v>103</v>
      </c>
      <c r="AU157" s="44">
        <f t="shared" si="20"/>
        <v>-2.5067929134584248</v>
      </c>
      <c r="AV157" s="44">
        <f t="shared" si="21"/>
        <v>-0.75026249103150122</v>
      </c>
      <c r="AW157" s="45">
        <f t="shared" si="22"/>
        <v>3</v>
      </c>
      <c r="AX157" s="45">
        <f t="shared" si="23"/>
        <v>2</v>
      </c>
      <c r="AY157" s="46">
        <f>VLOOKUP(AP157,COND!$A$10:$B$32,2,FALSE)</f>
        <v>1</v>
      </c>
      <c r="AZ157" s="44">
        <f>($AU$3*AU157+$AV$3*AV157+$AW$3*AW157+$AX$3*AX157)*AY157*IF(AQ157&lt;5,0.95,IF(AQ157&lt;7,0.975,1))+$I$3*VLOOKUP(I157,COND!$A$2:$E$7,4,FALSE)+$J$3*VLOOKUP(J157,COND!$A$2:$E$7,2,FALSE)+$K$3*VLOOKUP(K157,COND!$A$2:$E$7,3,FALSE)+IF(BB157="SP",$BB$3,0)+IF($AW157&lt;3,-5,0)+IF(AND($B$2&gt;0,$E157&lt;20),$B$2*25,0)</f>
        <v>34.36872201684438</v>
      </c>
      <c r="BA157" s="47">
        <f t="shared" si="27"/>
        <v>-0.24451502273407269</v>
      </c>
      <c r="BB157" s="45" t="str">
        <f t="shared" si="24"/>
        <v>RP</v>
      </c>
      <c r="BC157" s="45">
        <v>900</v>
      </c>
      <c r="BD157" s="45">
        <v>152</v>
      </c>
      <c r="BE157" s="45"/>
      <c r="BF157" s="45" t="str">
        <f t="shared" si="25"/>
        <v>Unlikely</v>
      </c>
      <c r="BG157" s="45"/>
      <c r="BH157" s="45">
        <f>INDEX(Table5[[#All],[Ovr]],MATCH(Table3[[#This Row],[PID]],Table5[[#All],[PID]],0))</f>
        <v>411</v>
      </c>
      <c r="BI157" s="45" t="str">
        <f>INDEX(Table5[[#All],[Rnd]],MATCH(Table3[[#This Row],[PID]],Table5[[#All],[PID]],0))</f>
        <v>13</v>
      </c>
      <c r="BJ157" s="45">
        <f>INDEX(Table5[[#All],[Pick]],MATCH(Table3[[#This Row],[PID]],Table5[[#All],[PID]],0))</f>
        <v>12</v>
      </c>
      <c r="BK157" s="45" t="str">
        <f>INDEX(Table5[[#All],[Team]],MATCH(Table3[[#This Row],[PID]],Table5[[#All],[PID]],0))</f>
        <v>Manchester Maulers</v>
      </c>
      <c r="BL157" s="45" t="str">
        <f>IF(OR(Table3[[#This Row],[POS]]="SP",Table3[[#This Row],[POS]]="RP",Table3[[#This Row],[POS]]="CL"),"P",INDEX(Batters[[#All],[zScore]],MATCH(Table3[[#This Row],[PID]],Batters[[#All],[PID]],0)))</f>
        <v>P</v>
      </c>
    </row>
    <row r="158" spans="1:64" ht="15" customHeight="1" x14ac:dyDescent="0.3">
      <c r="A158" s="40">
        <v>13136</v>
      </c>
      <c r="B158" s="40" t="s">
        <v>380</v>
      </c>
      <c r="C158" s="40" t="s">
        <v>906</v>
      </c>
      <c r="D158" s="40" t="s">
        <v>1409</v>
      </c>
      <c r="E158" s="40">
        <v>21</v>
      </c>
      <c r="F158" s="40" t="s">
        <v>42</v>
      </c>
      <c r="G158" s="40" t="s">
        <v>42</v>
      </c>
      <c r="H158" s="41" t="s">
        <v>561</v>
      </c>
      <c r="I158" s="42" t="s">
        <v>43</v>
      </c>
      <c r="J158" s="40" t="s">
        <v>43</v>
      </c>
      <c r="K158" s="41" t="s">
        <v>43</v>
      </c>
      <c r="L158" s="40">
        <v>3</v>
      </c>
      <c r="M158" s="40">
        <v>2</v>
      </c>
      <c r="N158" s="41">
        <v>2</v>
      </c>
      <c r="O158" s="40">
        <v>5</v>
      </c>
      <c r="P158" s="40">
        <v>2</v>
      </c>
      <c r="Q158" s="41">
        <v>3</v>
      </c>
      <c r="R158" s="40">
        <v>4</v>
      </c>
      <c r="S158" s="40">
        <v>6</v>
      </c>
      <c r="T158" s="40">
        <v>1</v>
      </c>
      <c r="U158" s="40">
        <v>1</v>
      </c>
      <c r="V158" s="40">
        <v>4</v>
      </c>
      <c r="W158" s="40">
        <v>7</v>
      </c>
      <c r="X158" s="40" t="s">
        <v>45</v>
      </c>
      <c r="Y158" s="40" t="s">
        <v>45</v>
      </c>
      <c r="Z158" s="40" t="s">
        <v>45</v>
      </c>
      <c r="AA158" s="40" t="s">
        <v>45</v>
      </c>
      <c r="AB158" s="40" t="s">
        <v>45</v>
      </c>
      <c r="AC158" s="40" t="s">
        <v>45</v>
      </c>
      <c r="AD158" s="40" t="s">
        <v>45</v>
      </c>
      <c r="AE158" s="40" t="s">
        <v>45</v>
      </c>
      <c r="AF158" s="40" t="s">
        <v>45</v>
      </c>
      <c r="AG158" s="40" t="s">
        <v>45</v>
      </c>
      <c r="AH158" s="40" t="s">
        <v>45</v>
      </c>
      <c r="AI158" s="40" t="s">
        <v>45</v>
      </c>
      <c r="AJ158" s="40" t="s">
        <v>45</v>
      </c>
      <c r="AK158" s="40" t="s">
        <v>45</v>
      </c>
      <c r="AL158" s="40" t="s">
        <v>45</v>
      </c>
      <c r="AM158" s="40" t="s">
        <v>45</v>
      </c>
      <c r="AN158" s="40" t="s">
        <v>45</v>
      </c>
      <c r="AO158" s="41" t="s">
        <v>45</v>
      </c>
      <c r="AP158" s="40" t="s">
        <v>329</v>
      </c>
      <c r="AQ158" s="40">
        <v>6</v>
      </c>
      <c r="AR158" s="48" t="s">
        <v>14</v>
      </c>
      <c r="AS158" s="43" t="s">
        <v>45</v>
      </c>
      <c r="AT158" s="43" t="s">
        <v>103</v>
      </c>
      <c r="AU158" s="44">
        <f t="shared" si="20"/>
        <v>-1.8743493064650851</v>
      </c>
      <c r="AV158" s="44">
        <f t="shared" si="21"/>
        <v>-0.79715134065555615</v>
      </c>
      <c r="AW158" s="45">
        <f t="shared" si="22"/>
        <v>3</v>
      </c>
      <c r="AX158" s="45">
        <f t="shared" si="23"/>
        <v>2</v>
      </c>
      <c r="AY158" s="46">
        <f>VLOOKUP(AP158,COND!$A$10:$B$32,2,FALSE)</f>
        <v>1</v>
      </c>
      <c r="AZ158" s="44">
        <f>($AU$3*AU158+$AV$3*AV158+$AW$3*AW158+$AX$3*AX158)*AY158*IF(AQ158&lt;5,0.95,IF(AQ158&lt;7,0.975,1))+$I$3*VLOOKUP(I158,COND!$A$2:$E$7,4,FALSE)+$J$3*VLOOKUP(J158,COND!$A$2:$E$7,2,FALSE)+$K$3*VLOOKUP(K158,COND!$A$2:$E$7,3,FALSE)+IF(BB158="SP",$BB$3,0)+IF($AW158&lt;3,-5,0)+IF(AND($B$2&gt;0,$E158&lt;20),$B$2*25,0)</f>
        <v>34.990050742455963</v>
      </c>
      <c r="BA158" s="47">
        <f t="shared" si="27"/>
        <v>-0.2002720477445247</v>
      </c>
      <c r="BB158" s="45" t="str">
        <f t="shared" si="24"/>
        <v>SP</v>
      </c>
      <c r="BC158" s="45">
        <v>900</v>
      </c>
      <c r="BD158" s="45">
        <v>153</v>
      </c>
      <c r="BE158" s="45"/>
      <c r="BF158" s="45" t="str">
        <f t="shared" si="25"/>
        <v>Unlikely</v>
      </c>
      <c r="BG158" s="45"/>
      <c r="BH158" s="45">
        <f>INDEX(Table5[[#All],[Ovr]],MATCH(Table3[[#This Row],[PID]],Table5[[#All],[PID]],0))</f>
        <v>570</v>
      </c>
      <c r="BI158" s="45" t="str">
        <f>INDEX(Table5[[#All],[Rnd]],MATCH(Table3[[#This Row],[PID]],Table5[[#All],[PID]],0))</f>
        <v>18</v>
      </c>
      <c r="BJ158" s="45">
        <f>INDEX(Table5[[#All],[Pick]],MATCH(Table3[[#This Row],[PID]],Table5[[#All],[PID]],0))</f>
        <v>1</v>
      </c>
      <c r="BK158" s="45" t="str">
        <f>INDEX(Table5[[#All],[Team]],MATCH(Table3[[#This Row],[PID]],Table5[[#All],[PID]],0))</f>
        <v>Yuma Arroyos</v>
      </c>
      <c r="BL158" s="45" t="str">
        <f>IF(OR(Table3[[#This Row],[POS]]="SP",Table3[[#This Row],[POS]]="RP",Table3[[#This Row],[POS]]="CL"),"P",INDEX(Batters[[#All],[zScore]],MATCH(Table3[[#This Row],[PID]],Batters[[#All],[PID]],0)))</f>
        <v>P</v>
      </c>
    </row>
    <row r="159" spans="1:64" ht="15" customHeight="1" x14ac:dyDescent="0.3">
      <c r="A159" s="40">
        <v>20877</v>
      </c>
      <c r="B159" s="40" t="s">
        <v>380</v>
      </c>
      <c r="C159" s="40" t="s">
        <v>681</v>
      </c>
      <c r="D159" s="40" t="s">
        <v>1570</v>
      </c>
      <c r="E159" s="40">
        <v>17</v>
      </c>
      <c r="F159" s="40" t="s">
        <v>42</v>
      </c>
      <c r="G159" s="40" t="s">
        <v>42</v>
      </c>
      <c r="H159" s="41" t="s">
        <v>561</v>
      </c>
      <c r="I159" s="42" t="s">
        <v>44</v>
      </c>
      <c r="J159" s="40" t="s">
        <v>43</v>
      </c>
      <c r="K159" s="41" t="s">
        <v>43</v>
      </c>
      <c r="L159" s="40">
        <v>1</v>
      </c>
      <c r="M159" s="40">
        <v>2</v>
      </c>
      <c r="N159" s="41">
        <v>1</v>
      </c>
      <c r="O159" s="40">
        <v>4</v>
      </c>
      <c r="P159" s="40">
        <v>2</v>
      </c>
      <c r="Q159" s="41">
        <v>3</v>
      </c>
      <c r="R159" s="40">
        <v>3</v>
      </c>
      <c r="S159" s="40">
        <v>5</v>
      </c>
      <c r="T159" s="40">
        <v>1</v>
      </c>
      <c r="U159" s="40">
        <v>1</v>
      </c>
      <c r="V159" s="40" t="s">
        <v>45</v>
      </c>
      <c r="W159" s="40" t="s">
        <v>45</v>
      </c>
      <c r="X159" s="40">
        <v>2</v>
      </c>
      <c r="Y159" s="40">
        <v>6</v>
      </c>
      <c r="Z159" s="40" t="s">
        <v>45</v>
      </c>
      <c r="AA159" s="40" t="s">
        <v>45</v>
      </c>
      <c r="AB159" s="40" t="s">
        <v>45</v>
      </c>
      <c r="AC159" s="40" t="s">
        <v>45</v>
      </c>
      <c r="AD159" s="40" t="s">
        <v>45</v>
      </c>
      <c r="AE159" s="40" t="s">
        <v>45</v>
      </c>
      <c r="AF159" s="40" t="s">
        <v>45</v>
      </c>
      <c r="AG159" s="40" t="s">
        <v>45</v>
      </c>
      <c r="AH159" s="40" t="s">
        <v>45</v>
      </c>
      <c r="AI159" s="40" t="s">
        <v>45</v>
      </c>
      <c r="AJ159" s="40" t="s">
        <v>45</v>
      </c>
      <c r="AK159" s="40" t="s">
        <v>45</v>
      </c>
      <c r="AL159" s="40" t="s">
        <v>45</v>
      </c>
      <c r="AM159" s="40" t="s">
        <v>45</v>
      </c>
      <c r="AN159" s="40" t="s">
        <v>45</v>
      </c>
      <c r="AO159" s="41" t="s">
        <v>45</v>
      </c>
      <c r="AP159" s="40" t="s">
        <v>64</v>
      </c>
      <c r="AQ159" s="40">
        <v>6</v>
      </c>
      <c r="AR159" s="48" t="s">
        <v>326</v>
      </c>
      <c r="AS159" s="43" t="s">
        <v>493</v>
      </c>
      <c r="AT159" s="43" t="s">
        <v>103</v>
      </c>
      <c r="AU159" s="44">
        <f t="shared" si="20"/>
        <v>-2.5060525215375429</v>
      </c>
      <c r="AV159" s="44">
        <f t="shared" si="21"/>
        <v>-0.99184266516472974</v>
      </c>
      <c r="AW159" s="45">
        <f t="shared" si="22"/>
        <v>3</v>
      </c>
      <c r="AX159" s="45">
        <f t="shared" si="23"/>
        <v>1</v>
      </c>
      <c r="AY159" s="46">
        <f>VLOOKUP(AP159,COND!$A$10:$B$32,2,FALSE)</f>
        <v>1</v>
      </c>
      <c r="AZ159" s="44">
        <f>($AU$3*AU159+$AV$3*AV159+$AW$3*AW159+$AX$3*AX159)*AY159*IF(AQ159&lt;5,0.95,IF(AQ159&lt;7,0.975,1))+$I$3*VLOOKUP(I159,COND!$A$2:$E$7,4,FALSE)+$J$3*VLOOKUP(J159,COND!$A$2:$E$7,2,FALSE)+$K$3*VLOOKUP(K159,COND!$A$2:$E$7,3,FALSE)+IF(BB159="SP",$BB$3,0)+IF($AW159&lt;3,-5,0)+IF(AND($B$2&gt;0,$E159&lt;20),$B$2*25,0)</f>
        <v>34.701637787587948</v>
      </c>
      <c r="BA159" s="47">
        <f t="shared" si="27"/>
        <v>-0.22080907850280346</v>
      </c>
      <c r="BB159" s="45" t="str">
        <f t="shared" si="24"/>
        <v>SP</v>
      </c>
      <c r="BC159" s="45">
        <v>900</v>
      </c>
      <c r="BD159" s="45">
        <v>154</v>
      </c>
      <c r="BE159" s="45"/>
      <c r="BF159" s="45" t="str">
        <f t="shared" si="25"/>
        <v>Unlikely</v>
      </c>
      <c r="BG159" s="45"/>
      <c r="BH159" s="45" t="str">
        <f>INDEX(Table5[[#All],[Ovr]],MATCH(Table3[[#This Row],[PID]],Table5[[#All],[PID]],0))</f>
        <v/>
      </c>
      <c r="BI159" s="45" t="str">
        <f>INDEX(Table5[[#All],[Rnd]],MATCH(Table3[[#This Row],[PID]],Table5[[#All],[PID]],0))</f>
        <v/>
      </c>
      <c r="BJ159" s="45" t="str">
        <f>INDEX(Table5[[#All],[Pick]],MATCH(Table3[[#This Row],[PID]],Table5[[#All],[PID]],0))</f>
        <v/>
      </c>
      <c r="BK159" s="45" t="str">
        <f>INDEX(Table5[[#All],[Team]],MATCH(Table3[[#This Row],[PID]],Table5[[#All],[PID]],0))</f>
        <v/>
      </c>
      <c r="BL159" s="45" t="str">
        <f>IF(OR(Table3[[#This Row],[POS]]="SP",Table3[[#This Row],[POS]]="RP",Table3[[#This Row],[POS]]="CL"),"P",INDEX(Batters[[#All],[zScore]],MATCH(Table3[[#This Row],[PID]],Batters[[#All],[PID]],0)))</f>
        <v>P</v>
      </c>
    </row>
    <row r="160" spans="1:64" ht="15" customHeight="1" x14ac:dyDescent="0.3">
      <c r="A160" s="40">
        <v>20908</v>
      </c>
      <c r="B160" s="40" t="s">
        <v>380</v>
      </c>
      <c r="C160" s="40" t="s">
        <v>510</v>
      </c>
      <c r="D160" s="40" t="s">
        <v>575</v>
      </c>
      <c r="E160" s="40">
        <v>17</v>
      </c>
      <c r="F160" s="40" t="s">
        <v>42</v>
      </c>
      <c r="G160" s="40" t="s">
        <v>42</v>
      </c>
      <c r="H160" s="41" t="s">
        <v>561</v>
      </c>
      <c r="I160" s="42" t="s">
        <v>47</v>
      </c>
      <c r="J160" s="40" t="s">
        <v>47</v>
      </c>
      <c r="K160" s="41" t="s">
        <v>43</v>
      </c>
      <c r="L160" s="40">
        <v>2</v>
      </c>
      <c r="M160" s="40">
        <v>1</v>
      </c>
      <c r="N160" s="41">
        <v>1</v>
      </c>
      <c r="O160" s="40">
        <v>4</v>
      </c>
      <c r="P160" s="40">
        <v>2</v>
      </c>
      <c r="Q160" s="41">
        <v>3</v>
      </c>
      <c r="R160" s="40">
        <v>3</v>
      </c>
      <c r="S160" s="40">
        <v>5</v>
      </c>
      <c r="T160" s="40">
        <v>1</v>
      </c>
      <c r="U160" s="40">
        <v>1</v>
      </c>
      <c r="V160" s="40" t="s">
        <v>45</v>
      </c>
      <c r="W160" s="40" t="s">
        <v>45</v>
      </c>
      <c r="X160" s="40">
        <v>2</v>
      </c>
      <c r="Y160" s="40">
        <v>5</v>
      </c>
      <c r="Z160" s="40" t="s">
        <v>45</v>
      </c>
      <c r="AA160" s="40" t="s">
        <v>45</v>
      </c>
      <c r="AB160" s="40" t="s">
        <v>45</v>
      </c>
      <c r="AC160" s="40" t="s">
        <v>45</v>
      </c>
      <c r="AD160" s="40" t="s">
        <v>45</v>
      </c>
      <c r="AE160" s="40" t="s">
        <v>45</v>
      </c>
      <c r="AF160" s="40" t="s">
        <v>45</v>
      </c>
      <c r="AG160" s="40" t="s">
        <v>45</v>
      </c>
      <c r="AH160" s="40" t="s">
        <v>45</v>
      </c>
      <c r="AI160" s="40" t="s">
        <v>45</v>
      </c>
      <c r="AJ160" s="40" t="s">
        <v>45</v>
      </c>
      <c r="AK160" s="40" t="s">
        <v>45</v>
      </c>
      <c r="AL160" s="40" t="s">
        <v>45</v>
      </c>
      <c r="AM160" s="40" t="s">
        <v>45</v>
      </c>
      <c r="AN160" s="40" t="s">
        <v>45</v>
      </c>
      <c r="AO160" s="41" t="s">
        <v>45</v>
      </c>
      <c r="AP160" s="40" t="s">
        <v>328</v>
      </c>
      <c r="AQ160" s="40">
        <v>9</v>
      </c>
      <c r="AR160" s="48" t="s">
        <v>14</v>
      </c>
      <c r="AS160" s="43" t="s">
        <v>572</v>
      </c>
      <c r="AT160" s="43" t="s">
        <v>103</v>
      </c>
      <c r="AU160" s="44">
        <f t="shared" si="20"/>
        <v>-2.5067929134584248</v>
      </c>
      <c r="AV160" s="44">
        <f t="shared" si="21"/>
        <v>-0.99184266516472974</v>
      </c>
      <c r="AW160" s="45">
        <f t="shared" si="22"/>
        <v>3</v>
      </c>
      <c r="AX160" s="45">
        <f t="shared" si="23"/>
        <v>0</v>
      </c>
      <c r="AY160" s="46">
        <f>VLOOKUP(AP160,COND!$A$10:$B$32,2,FALSE)</f>
        <v>1</v>
      </c>
      <c r="AZ160" s="44">
        <f>($AU$3*AU160+$AV$3*AV160+$AW$3*AW160+$AX$3*AX160)*AY160*IF(AQ160&lt;5,0.95,IF(AQ160&lt;7,0.975,1))+$I$3*VLOOKUP(I160,COND!$A$2:$E$7,4,FALSE)+$J$3*VLOOKUP(J160,COND!$A$2:$E$7,2,FALSE)+$K$3*VLOOKUP(K160,COND!$A$2:$E$7,3,FALSE)+IF(BB160="SP",$BB$3,0)+IF($AW160&lt;3,-5,0)+IF(AND($B$2&gt;0,$E160&lt;20),$B$2*25,0)</f>
        <v>33.686788114013716</v>
      </c>
      <c r="BA160" s="47">
        <f t="shared" si="27"/>
        <v>-0.29307351257013231</v>
      </c>
      <c r="BB160" s="45" t="str">
        <f t="shared" si="24"/>
        <v>SP</v>
      </c>
      <c r="BC160" s="45">
        <v>900</v>
      </c>
      <c r="BD160" s="45">
        <v>155</v>
      </c>
      <c r="BE160" s="45"/>
      <c r="BF160" s="45" t="str">
        <f t="shared" si="25"/>
        <v>Unlikely</v>
      </c>
      <c r="BG160" s="45"/>
      <c r="BH160" s="45">
        <f>INDEX(Table5[[#All],[Ovr]],MATCH(Table3[[#This Row],[PID]],Table5[[#All],[PID]],0))</f>
        <v>568</v>
      </c>
      <c r="BI160" s="45" t="str">
        <f>INDEX(Table5[[#All],[Rnd]],MATCH(Table3[[#This Row],[PID]],Table5[[#All],[PID]],0))</f>
        <v>17</v>
      </c>
      <c r="BJ160" s="45">
        <f>INDEX(Table5[[#All],[Pick]],MATCH(Table3[[#This Row],[PID]],Table5[[#All],[PID]],0))</f>
        <v>33</v>
      </c>
      <c r="BK160" s="45" t="str">
        <f>INDEX(Table5[[#All],[Team]],MATCH(Table3[[#This Row],[PID]],Table5[[#All],[PID]],0))</f>
        <v>Gloucester Fishermen</v>
      </c>
      <c r="BL160" s="45" t="str">
        <f>IF(OR(Table3[[#This Row],[POS]]="SP",Table3[[#This Row],[POS]]="RP",Table3[[#This Row],[POS]]="CL"),"P",INDEX(Batters[[#All],[zScore]],MATCH(Table3[[#This Row],[PID]],Batters[[#All],[PID]],0)))</f>
        <v>P</v>
      </c>
    </row>
    <row r="161" spans="1:64" ht="15" customHeight="1" x14ac:dyDescent="0.3">
      <c r="A161" s="40">
        <v>5487</v>
      </c>
      <c r="B161" s="40" t="s">
        <v>380</v>
      </c>
      <c r="C161" s="40" t="s">
        <v>143</v>
      </c>
      <c r="D161" s="40" t="s">
        <v>781</v>
      </c>
      <c r="E161" s="40">
        <v>21</v>
      </c>
      <c r="F161" s="40" t="s">
        <v>53</v>
      </c>
      <c r="G161" s="40" t="s">
        <v>53</v>
      </c>
      <c r="H161" s="41" t="s">
        <v>561</v>
      </c>
      <c r="I161" s="42" t="s">
        <v>43</v>
      </c>
      <c r="J161" s="40" t="s">
        <v>43</v>
      </c>
      <c r="K161" s="41" t="s">
        <v>43</v>
      </c>
      <c r="L161" s="40">
        <v>2</v>
      </c>
      <c r="M161" s="40">
        <v>2</v>
      </c>
      <c r="N161" s="41">
        <v>2</v>
      </c>
      <c r="O161" s="40">
        <v>4</v>
      </c>
      <c r="P161" s="40">
        <v>2</v>
      </c>
      <c r="Q161" s="41">
        <v>4</v>
      </c>
      <c r="R161" s="40">
        <v>3</v>
      </c>
      <c r="S161" s="40">
        <v>5</v>
      </c>
      <c r="T161" s="40">
        <v>1</v>
      </c>
      <c r="U161" s="40">
        <v>1</v>
      </c>
      <c r="V161" s="40" t="s">
        <v>45</v>
      </c>
      <c r="W161" s="40" t="s">
        <v>45</v>
      </c>
      <c r="X161" s="40">
        <v>2</v>
      </c>
      <c r="Y161" s="40">
        <v>6</v>
      </c>
      <c r="Z161" s="40" t="s">
        <v>45</v>
      </c>
      <c r="AA161" s="40" t="s">
        <v>45</v>
      </c>
      <c r="AB161" s="40" t="s">
        <v>45</v>
      </c>
      <c r="AC161" s="40" t="s">
        <v>45</v>
      </c>
      <c r="AD161" s="40" t="s">
        <v>45</v>
      </c>
      <c r="AE161" s="40" t="s">
        <v>45</v>
      </c>
      <c r="AF161" s="40" t="s">
        <v>45</v>
      </c>
      <c r="AG161" s="40" t="s">
        <v>45</v>
      </c>
      <c r="AH161" s="40" t="s">
        <v>45</v>
      </c>
      <c r="AI161" s="40" t="s">
        <v>45</v>
      </c>
      <c r="AJ161" s="40" t="s">
        <v>45</v>
      </c>
      <c r="AK161" s="40" t="s">
        <v>45</v>
      </c>
      <c r="AL161" s="40" t="s">
        <v>45</v>
      </c>
      <c r="AM161" s="40" t="s">
        <v>45</v>
      </c>
      <c r="AN161" s="40" t="s">
        <v>45</v>
      </c>
      <c r="AO161" s="41" t="s">
        <v>45</v>
      </c>
      <c r="AP161" s="40" t="s">
        <v>64</v>
      </c>
      <c r="AQ161" s="40">
        <v>7</v>
      </c>
      <c r="AR161" s="48" t="s">
        <v>326</v>
      </c>
      <c r="AS161" s="43" t="s">
        <v>45</v>
      </c>
      <c r="AT161" s="43" t="s">
        <v>103</v>
      </c>
      <c r="AU161" s="44">
        <f t="shared" si="20"/>
        <v>-2.0690406309742588</v>
      </c>
      <c r="AV161" s="44">
        <f t="shared" si="21"/>
        <v>-0.74952209911061918</v>
      </c>
      <c r="AW161" s="45">
        <f t="shared" si="22"/>
        <v>3</v>
      </c>
      <c r="AX161" s="45">
        <f t="shared" si="23"/>
        <v>1</v>
      </c>
      <c r="AY161" s="46">
        <f>VLOOKUP(AP161,COND!$A$10:$B$32,2,FALSE)</f>
        <v>1</v>
      </c>
      <c r="AZ161" s="44">
        <f>($AU$3*AU161+$AV$3*AV161+$AW$3*AW161+$AX$3*AX161)*AY161*IF(AQ161&lt;5,0.95,IF(AQ161&lt;7,0.975,1))+$I$3*VLOOKUP(I161,COND!$A$2:$E$7,4,FALSE)+$J$3*VLOOKUP(J161,COND!$A$2:$E$7,2,FALSE)+$K$3*VLOOKUP(K161,COND!$A$2:$E$7,3,FALSE)+IF(BB161="SP",$BB$3,0)+IF($AW161&lt;3,-5,0)+IF(AND($B$2&gt;0,$E161&lt;20),$B$2*25,0)</f>
        <v>34.345749891592767</v>
      </c>
      <c r="BA161" s="47">
        <f t="shared" si="27"/>
        <v>-0.24615079961202641</v>
      </c>
      <c r="BB161" s="45" t="str">
        <f t="shared" si="24"/>
        <v>SP</v>
      </c>
      <c r="BC161" s="45">
        <v>900</v>
      </c>
      <c r="BD161" s="45">
        <v>156</v>
      </c>
      <c r="BE161" s="45"/>
      <c r="BF161" s="45" t="str">
        <f t="shared" si="25"/>
        <v>Unlikely</v>
      </c>
      <c r="BG161" s="45"/>
      <c r="BH161" s="45">
        <f>INDEX(Table5[[#All],[Ovr]],MATCH(Table3[[#This Row],[PID]],Table5[[#All],[PID]],0))</f>
        <v>421</v>
      </c>
      <c r="BI161" s="45" t="str">
        <f>INDEX(Table5[[#All],[Rnd]],MATCH(Table3[[#This Row],[PID]],Table5[[#All],[PID]],0))</f>
        <v>13</v>
      </c>
      <c r="BJ161" s="45">
        <f>INDEX(Table5[[#All],[Pick]],MATCH(Table3[[#This Row],[PID]],Table5[[#All],[PID]],0))</f>
        <v>22</v>
      </c>
      <c r="BK161" s="45" t="str">
        <f>INDEX(Table5[[#All],[Team]],MATCH(Table3[[#This Row],[PID]],Table5[[#All],[PID]],0))</f>
        <v>Bakersfield Bears</v>
      </c>
      <c r="BL161" s="45" t="str">
        <f>IF(OR(Table3[[#This Row],[POS]]="SP",Table3[[#This Row],[POS]]="RP",Table3[[#This Row],[POS]]="CL"),"P",INDEX(Batters[[#All],[zScore]],MATCH(Table3[[#This Row],[PID]],Batters[[#All],[PID]],0)))</f>
        <v>P</v>
      </c>
    </row>
    <row r="162" spans="1:64" ht="15" customHeight="1" x14ac:dyDescent="0.3">
      <c r="A162" s="40">
        <v>20631</v>
      </c>
      <c r="B162" s="40" t="s">
        <v>380</v>
      </c>
      <c r="C162" s="40" t="s">
        <v>1471</v>
      </c>
      <c r="D162" s="40" t="s">
        <v>1472</v>
      </c>
      <c r="E162" s="40">
        <v>16</v>
      </c>
      <c r="F162" s="40" t="s">
        <v>53</v>
      </c>
      <c r="G162" s="40" t="s">
        <v>53</v>
      </c>
      <c r="H162" s="41" t="s">
        <v>561</v>
      </c>
      <c r="I162" s="42" t="s">
        <v>43</v>
      </c>
      <c r="J162" s="40" t="s">
        <v>43</v>
      </c>
      <c r="K162" s="41" t="s">
        <v>43</v>
      </c>
      <c r="L162" s="40">
        <v>1</v>
      </c>
      <c r="M162" s="40">
        <v>2</v>
      </c>
      <c r="N162" s="41">
        <v>1</v>
      </c>
      <c r="O162" s="40">
        <v>3</v>
      </c>
      <c r="P162" s="40">
        <v>2</v>
      </c>
      <c r="Q162" s="41">
        <v>4</v>
      </c>
      <c r="R162" s="40">
        <v>3</v>
      </c>
      <c r="S162" s="40">
        <v>4</v>
      </c>
      <c r="T162" s="40">
        <v>1</v>
      </c>
      <c r="U162" s="40">
        <v>1</v>
      </c>
      <c r="V162" s="40" t="s">
        <v>45</v>
      </c>
      <c r="W162" s="40" t="s">
        <v>45</v>
      </c>
      <c r="X162" s="40">
        <v>2</v>
      </c>
      <c r="Y162" s="40">
        <v>4</v>
      </c>
      <c r="Z162" s="40" t="s">
        <v>45</v>
      </c>
      <c r="AA162" s="40" t="s">
        <v>45</v>
      </c>
      <c r="AB162" s="40" t="s">
        <v>45</v>
      </c>
      <c r="AC162" s="40" t="s">
        <v>45</v>
      </c>
      <c r="AD162" s="40" t="s">
        <v>45</v>
      </c>
      <c r="AE162" s="40" t="s">
        <v>45</v>
      </c>
      <c r="AF162" s="40">
        <v>2</v>
      </c>
      <c r="AG162" s="40">
        <v>4</v>
      </c>
      <c r="AH162" s="40" t="s">
        <v>45</v>
      </c>
      <c r="AI162" s="40" t="s">
        <v>45</v>
      </c>
      <c r="AJ162" s="40" t="s">
        <v>45</v>
      </c>
      <c r="AK162" s="40" t="s">
        <v>45</v>
      </c>
      <c r="AL162" s="40" t="s">
        <v>45</v>
      </c>
      <c r="AM162" s="40" t="s">
        <v>45</v>
      </c>
      <c r="AN162" s="40" t="s">
        <v>45</v>
      </c>
      <c r="AO162" s="41" t="s">
        <v>45</v>
      </c>
      <c r="AP162" s="40" t="s">
        <v>68</v>
      </c>
      <c r="AQ162" s="40">
        <v>3</v>
      </c>
      <c r="AR162" s="48" t="s">
        <v>326</v>
      </c>
      <c r="AS162" s="43" t="s">
        <v>583</v>
      </c>
      <c r="AT162" s="43" t="s">
        <v>103</v>
      </c>
      <c r="AU162" s="44">
        <f t="shared" si="20"/>
        <v>-2.5060525215375429</v>
      </c>
      <c r="AV162" s="44">
        <f t="shared" si="21"/>
        <v>-0.94421342361979277</v>
      </c>
      <c r="AW162" s="45">
        <f t="shared" si="22"/>
        <v>4</v>
      </c>
      <c r="AX162" s="45">
        <f t="shared" si="23"/>
        <v>0</v>
      </c>
      <c r="AY162" s="46">
        <f>VLOOKUP(AP162,COND!$A$10:$B$32,2,FALSE)</f>
        <v>0.95</v>
      </c>
      <c r="AZ162" s="44">
        <f>($AU$3*AU162+$AV$3*AV162+$AW$3*AW162+$AX$3*AX162)*AY162*IF(AQ162&lt;5,0.95,IF(AQ162&lt;7,0.975,1))+$I$3*VLOOKUP(I162,COND!$A$2:$E$7,4,FALSE)+$J$3*VLOOKUP(J162,COND!$A$2:$E$7,2,FALSE)+$K$3*VLOOKUP(K162,COND!$A$2:$E$7,3,FALSE)+IF(BB162="SP",$BB$3,0)+IF($AW162&lt;3,-5,0)+IF(AND($B$2&gt;0,$E162&lt;20),$B$2*25,0)</f>
        <v>34.30960522352521</v>
      </c>
      <c r="BA162" s="47">
        <f t="shared" si="27"/>
        <v>-0.24872455417929573</v>
      </c>
      <c r="BB162" s="45" t="str">
        <f t="shared" si="24"/>
        <v>RP</v>
      </c>
      <c r="BC162" s="45">
        <v>900</v>
      </c>
      <c r="BD162" s="45">
        <v>157</v>
      </c>
      <c r="BE162" s="45"/>
      <c r="BF162" s="45" t="str">
        <f t="shared" si="25"/>
        <v>Unlikely</v>
      </c>
      <c r="BG162" s="45"/>
      <c r="BH162" s="45" t="str">
        <f>INDEX(Table5[[#All],[Ovr]],MATCH(Table3[[#This Row],[PID]],Table5[[#All],[PID]],0))</f>
        <v/>
      </c>
      <c r="BI162" s="45" t="str">
        <f>INDEX(Table5[[#All],[Rnd]],MATCH(Table3[[#This Row],[PID]],Table5[[#All],[PID]],0))</f>
        <v/>
      </c>
      <c r="BJ162" s="45" t="str">
        <f>INDEX(Table5[[#All],[Pick]],MATCH(Table3[[#This Row],[PID]],Table5[[#All],[PID]],0))</f>
        <v/>
      </c>
      <c r="BK162" s="45" t="str">
        <f>INDEX(Table5[[#All],[Team]],MATCH(Table3[[#This Row],[PID]],Table5[[#All],[PID]],0))</f>
        <v/>
      </c>
      <c r="BL162" s="45" t="str">
        <f>IF(OR(Table3[[#This Row],[POS]]="SP",Table3[[#This Row],[POS]]="RP",Table3[[#This Row],[POS]]="CL"),"P",INDEX(Batters[[#All],[zScore]],MATCH(Table3[[#This Row],[PID]],Batters[[#All],[PID]],0)))</f>
        <v>P</v>
      </c>
    </row>
    <row r="163" spans="1:64" ht="15" customHeight="1" x14ac:dyDescent="0.3">
      <c r="A163" s="40">
        <v>5224</v>
      </c>
      <c r="B163" s="40" t="s">
        <v>380</v>
      </c>
      <c r="C163" s="40" t="s">
        <v>953</v>
      </c>
      <c r="D163" s="40" t="s">
        <v>131</v>
      </c>
      <c r="E163" s="40">
        <v>21</v>
      </c>
      <c r="F163" s="40" t="s">
        <v>62</v>
      </c>
      <c r="G163" s="40" t="s">
        <v>42</v>
      </c>
      <c r="H163" s="41" t="s">
        <v>561</v>
      </c>
      <c r="I163" s="42" t="s">
        <v>44</v>
      </c>
      <c r="J163" s="40" t="s">
        <v>43</v>
      </c>
      <c r="K163" s="41" t="s">
        <v>43</v>
      </c>
      <c r="L163" s="40">
        <v>3</v>
      </c>
      <c r="M163" s="40">
        <v>2</v>
      </c>
      <c r="N163" s="41">
        <v>2</v>
      </c>
      <c r="O163" s="40">
        <v>5</v>
      </c>
      <c r="P163" s="40">
        <v>2</v>
      </c>
      <c r="Q163" s="41">
        <v>3</v>
      </c>
      <c r="R163" s="40">
        <v>4</v>
      </c>
      <c r="S163" s="40">
        <v>5</v>
      </c>
      <c r="T163" s="40">
        <v>2</v>
      </c>
      <c r="U163" s="40">
        <v>6</v>
      </c>
      <c r="V163" s="40" t="s">
        <v>45</v>
      </c>
      <c r="W163" s="40" t="s">
        <v>45</v>
      </c>
      <c r="X163" s="40" t="s">
        <v>45</v>
      </c>
      <c r="Y163" s="40" t="s">
        <v>45</v>
      </c>
      <c r="Z163" s="40" t="s">
        <v>45</v>
      </c>
      <c r="AA163" s="40" t="s">
        <v>45</v>
      </c>
      <c r="AB163" s="40" t="s">
        <v>45</v>
      </c>
      <c r="AC163" s="40" t="s">
        <v>45</v>
      </c>
      <c r="AD163" s="40">
        <v>3</v>
      </c>
      <c r="AE163" s="40">
        <v>5</v>
      </c>
      <c r="AF163" s="40">
        <v>3</v>
      </c>
      <c r="AG163" s="40">
        <v>5</v>
      </c>
      <c r="AH163" s="40" t="s">
        <v>45</v>
      </c>
      <c r="AI163" s="40" t="s">
        <v>45</v>
      </c>
      <c r="AJ163" s="40" t="s">
        <v>45</v>
      </c>
      <c r="AK163" s="40" t="s">
        <v>45</v>
      </c>
      <c r="AL163" s="40" t="s">
        <v>45</v>
      </c>
      <c r="AM163" s="40" t="s">
        <v>45</v>
      </c>
      <c r="AN163" s="40" t="s">
        <v>45</v>
      </c>
      <c r="AO163" s="41" t="s">
        <v>45</v>
      </c>
      <c r="AP163" s="40" t="s">
        <v>57</v>
      </c>
      <c r="AQ163" s="40">
        <v>6</v>
      </c>
      <c r="AR163" s="48" t="s">
        <v>326</v>
      </c>
      <c r="AS163" s="43" t="s">
        <v>45</v>
      </c>
      <c r="AT163" s="43" t="s">
        <v>103</v>
      </c>
      <c r="AU163" s="44">
        <f t="shared" si="20"/>
        <v>-1.8743493064650851</v>
      </c>
      <c r="AV163" s="44">
        <f t="shared" si="21"/>
        <v>-0.79715134065555615</v>
      </c>
      <c r="AW163" s="45">
        <f t="shared" si="22"/>
        <v>4</v>
      </c>
      <c r="AX163" s="45">
        <f t="shared" si="23"/>
        <v>1</v>
      </c>
      <c r="AY163" s="46">
        <f>VLOOKUP(AP163,COND!$A$10:$B$32,2,FALSE)</f>
        <v>1</v>
      </c>
      <c r="AZ163" s="44">
        <f>($AU$3*AU163+$AV$3*AV163+$AW$3*AW163+$AX$3*AX163)*AY163*IF(AQ163&lt;5,0.95,IF(AQ163&lt;7,0.975,1))+$I$3*VLOOKUP(I163,COND!$A$2:$E$7,4,FALSE)+$J$3*VLOOKUP(J163,COND!$A$2:$E$7,2,FALSE)+$K$3*VLOOKUP(K163,COND!$A$2:$E$7,3,FALSE)+IF(BB163="SP",$BB$3,0)+IF($AW163&lt;3,-5,0)+IF(AND($B$2&gt;0,$E163&lt;20),$B$2*25,0)</f>
        <v>34.108800742455962</v>
      </c>
      <c r="BA163" s="47">
        <f t="shared" si="27"/>
        <v>-0.26302324546383449</v>
      </c>
      <c r="BB163" s="45" t="str">
        <f t="shared" si="24"/>
        <v>SP</v>
      </c>
      <c r="BC163" s="45">
        <v>900</v>
      </c>
      <c r="BD163" s="45">
        <v>158</v>
      </c>
      <c r="BE163" s="45"/>
      <c r="BF163" s="45" t="str">
        <f t="shared" si="25"/>
        <v>Unlikely</v>
      </c>
      <c r="BG163" s="45"/>
      <c r="BH163" s="45" t="str">
        <f>INDEX(Table5[[#All],[Ovr]],MATCH(Table3[[#This Row],[PID]],Table5[[#All],[PID]],0))</f>
        <v/>
      </c>
      <c r="BI163" s="45" t="str">
        <f>INDEX(Table5[[#All],[Rnd]],MATCH(Table3[[#This Row],[PID]],Table5[[#All],[PID]],0))</f>
        <v/>
      </c>
      <c r="BJ163" s="45" t="str">
        <f>INDEX(Table5[[#All],[Pick]],MATCH(Table3[[#This Row],[PID]],Table5[[#All],[PID]],0))</f>
        <v/>
      </c>
      <c r="BK163" s="45" t="str">
        <f>INDEX(Table5[[#All],[Team]],MATCH(Table3[[#This Row],[PID]],Table5[[#All],[PID]],0))</f>
        <v/>
      </c>
      <c r="BL163" s="45" t="str">
        <f>IF(OR(Table3[[#This Row],[POS]]="SP",Table3[[#This Row],[POS]]="RP",Table3[[#This Row],[POS]]="CL"),"P",INDEX(Batters[[#All],[zScore]],MATCH(Table3[[#This Row],[PID]],Batters[[#All],[PID]],0)))</f>
        <v>P</v>
      </c>
    </row>
    <row r="164" spans="1:64" ht="15" customHeight="1" x14ac:dyDescent="0.3">
      <c r="A164" s="40">
        <v>5086</v>
      </c>
      <c r="B164" s="40" t="s">
        <v>380</v>
      </c>
      <c r="C164" s="40" t="s">
        <v>177</v>
      </c>
      <c r="D164" s="40" t="s">
        <v>131</v>
      </c>
      <c r="E164" s="40">
        <v>21</v>
      </c>
      <c r="F164" s="40" t="s">
        <v>42</v>
      </c>
      <c r="G164" s="40" t="s">
        <v>42</v>
      </c>
      <c r="H164" s="41" t="s">
        <v>561</v>
      </c>
      <c r="I164" s="42" t="s">
        <v>43</v>
      </c>
      <c r="J164" s="40" t="s">
        <v>47</v>
      </c>
      <c r="K164" s="41" t="s">
        <v>43</v>
      </c>
      <c r="L164" s="40">
        <v>3</v>
      </c>
      <c r="M164" s="40">
        <v>2</v>
      </c>
      <c r="N164" s="41">
        <v>1</v>
      </c>
      <c r="O164" s="40">
        <v>5</v>
      </c>
      <c r="P164" s="40">
        <v>3</v>
      </c>
      <c r="Q164" s="41">
        <v>2</v>
      </c>
      <c r="R164" s="40">
        <v>4</v>
      </c>
      <c r="S164" s="40">
        <v>5</v>
      </c>
      <c r="T164" s="40">
        <v>2</v>
      </c>
      <c r="U164" s="40">
        <v>4</v>
      </c>
      <c r="V164" s="40">
        <v>2</v>
      </c>
      <c r="W164" s="40">
        <v>4</v>
      </c>
      <c r="X164" s="40">
        <v>3</v>
      </c>
      <c r="Y164" s="40">
        <v>6</v>
      </c>
      <c r="Z164" s="40" t="s">
        <v>45</v>
      </c>
      <c r="AA164" s="40" t="s">
        <v>45</v>
      </c>
      <c r="AB164" s="40" t="s">
        <v>45</v>
      </c>
      <c r="AC164" s="40" t="s">
        <v>45</v>
      </c>
      <c r="AD164" s="40" t="s">
        <v>45</v>
      </c>
      <c r="AE164" s="40" t="s">
        <v>45</v>
      </c>
      <c r="AF164" s="40" t="s">
        <v>45</v>
      </c>
      <c r="AG164" s="40" t="s">
        <v>45</v>
      </c>
      <c r="AH164" s="40" t="s">
        <v>45</v>
      </c>
      <c r="AI164" s="40" t="s">
        <v>45</v>
      </c>
      <c r="AJ164" s="40" t="s">
        <v>45</v>
      </c>
      <c r="AK164" s="40" t="s">
        <v>45</v>
      </c>
      <c r="AL164" s="40" t="s">
        <v>45</v>
      </c>
      <c r="AM164" s="40" t="s">
        <v>45</v>
      </c>
      <c r="AN164" s="40" t="s">
        <v>45</v>
      </c>
      <c r="AO164" s="41" t="s">
        <v>45</v>
      </c>
      <c r="AP164" s="40" t="s">
        <v>58</v>
      </c>
      <c r="AQ164" s="40">
        <v>7</v>
      </c>
      <c r="AR164" s="48" t="s">
        <v>326</v>
      </c>
      <c r="AS164" s="43" t="s">
        <v>45</v>
      </c>
      <c r="AT164" s="43" t="s">
        <v>103</v>
      </c>
      <c r="AU164" s="44">
        <f t="shared" si="20"/>
        <v>-2.1166698725191955</v>
      </c>
      <c r="AV164" s="44">
        <f t="shared" si="21"/>
        <v>-0.84404019027961108</v>
      </c>
      <c r="AW164" s="45">
        <f t="shared" si="22"/>
        <v>4</v>
      </c>
      <c r="AX164" s="45">
        <f t="shared" si="23"/>
        <v>1</v>
      </c>
      <c r="AY164" s="46">
        <f>VLOOKUP(AP164,COND!$A$10:$B$32,2,FALSE)</f>
        <v>1</v>
      </c>
      <c r="AZ164" s="44">
        <f>($AU$3*AU164+$AV$3*AV164+$AW$3*AW164+$AX$3*AX164)*AY164*IF(AQ164&lt;5,0.95,IF(AQ164&lt;7,0.975,1))+$I$3*VLOOKUP(I164,COND!$A$2:$E$7,4,FALSE)+$J$3*VLOOKUP(J164,COND!$A$2:$E$7,2,FALSE)+$K$3*VLOOKUP(K164,COND!$A$2:$E$7,3,FALSE)+IF(BB164="SP",$BB$3,0)+IF($AW164&lt;3,-5,0)+IF(AND($B$2&gt;0,$E164&lt;20),$B$2*25,0)</f>
        <v>33.245862219903941</v>
      </c>
      <c r="BA164" s="47">
        <f t="shared" si="27"/>
        <v>-0.32447053720655317</v>
      </c>
      <c r="BB164" s="45" t="str">
        <f t="shared" si="24"/>
        <v>SP</v>
      </c>
      <c r="BC164" s="45">
        <v>900</v>
      </c>
      <c r="BD164" s="45">
        <v>159</v>
      </c>
      <c r="BE164" s="45"/>
      <c r="BF164" s="45" t="str">
        <f t="shared" si="25"/>
        <v>Unlikely</v>
      </c>
      <c r="BG164" s="45"/>
      <c r="BH164" s="45">
        <f>INDEX(Table5[[#All],[Ovr]],MATCH(Table3[[#This Row],[PID]],Table5[[#All],[PID]],0))</f>
        <v>373</v>
      </c>
      <c r="BI164" s="45" t="str">
        <f>INDEX(Table5[[#All],[Rnd]],MATCH(Table3[[#This Row],[PID]],Table5[[#All],[PID]],0))</f>
        <v>12</v>
      </c>
      <c r="BJ164" s="45">
        <f>INDEX(Table5[[#All],[Pick]],MATCH(Table3[[#This Row],[PID]],Table5[[#All],[PID]],0))</f>
        <v>8</v>
      </c>
      <c r="BK164" s="45" t="str">
        <f>INDEX(Table5[[#All],[Team]],MATCH(Table3[[#This Row],[PID]],Table5[[#All],[PID]],0))</f>
        <v>Gloucester Fishermen</v>
      </c>
      <c r="BL164" s="45" t="str">
        <f>IF(OR(Table3[[#This Row],[POS]]="SP",Table3[[#This Row],[POS]]="RP",Table3[[#This Row],[POS]]="CL"),"P",INDEX(Batters[[#All],[zScore]],MATCH(Table3[[#This Row],[PID]],Batters[[#All],[PID]],0)))</f>
        <v>P</v>
      </c>
    </row>
    <row r="165" spans="1:64" ht="15" customHeight="1" x14ac:dyDescent="0.3">
      <c r="A165" s="40">
        <v>20881</v>
      </c>
      <c r="B165" s="40" t="s">
        <v>380</v>
      </c>
      <c r="C165" s="40" t="s">
        <v>307</v>
      </c>
      <c r="D165" s="40" t="s">
        <v>659</v>
      </c>
      <c r="E165" s="40">
        <v>17</v>
      </c>
      <c r="F165" s="40" t="s">
        <v>42</v>
      </c>
      <c r="G165" s="40" t="s">
        <v>53</v>
      </c>
      <c r="H165" s="41" t="s">
        <v>561</v>
      </c>
      <c r="I165" s="42" t="s">
        <v>43</v>
      </c>
      <c r="J165" s="40" t="s">
        <v>47</v>
      </c>
      <c r="K165" s="41" t="s">
        <v>43</v>
      </c>
      <c r="L165" s="40">
        <v>2</v>
      </c>
      <c r="M165" s="40">
        <v>3</v>
      </c>
      <c r="N165" s="41">
        <v>1</v>
      </c>
      <c r="O165" s="40">
        <v>4</v>
      </c>
      <c r="P165" s="40">
        <v>3</v>
      </c>
      <c r="Q165" s="41">
        <v>2</v>
      </c>
      <c r="R165" s="40" t="s">
        <v>45</v>
      </c>
      <c r="S165" s="40" t="s">
        <v>45</v>
      </c>
      <c r="T165" s="40">
        <v>1</v>
      </c>
      <c r="U165" s="40">
        <v>1</v>
      </c>
      <c r="V165" s="40">
        <v>2</v>
      </c>
      <c r="W165" s="40">
        <v>4</v>
      </c>
      <c r="X165" s="40" t="s">
        <v>45</v>
      </c>
      <c r="Y165" s="40" t="s">
        <v>45</v>
      </c>
      <c r="Z165" s="40" t="s">
        <v>45</v>
      </c>
      <c r="AA165" s="40" t="s">
        <v>45</v>
      </c>
      <c r="AB165" s="40" t="s">
        <v>45</v>
      </c>
      <c r="AC165" s="40" t="s">
        <v>45</v>
      </c>
      <c r="AD165" s="40">
        <v>3</v>
      </c>
      <c r="AE165" s="40">
        <v>5</v>
      </c>
      <c r="AF165" s="40" t="s">
        <v>45</v>
      </c>
      <c r="AG165" s="40" t="s">
        <v>45</v>
      </c>
      <c r="AH165" s="40" t="s">
        <v>45</v>
      </c>
      <c r="AI165" s="40" t="s">
        <v>45</v>
      </c>
      <c r="AJ165" s="40" t="s">
        <v>45</v>
      </c>
      <c r="AK165" s="40" t="s">
        <v>45</v>
      </c>
      <c r="AL165" s="40" t="s">
        <v>45</v>
      </c>
      <c r="AM165" s="40" t="s">
        <v>45</v>
      </c>
      <c r="AN165" s="40" t="s">
        <v>45</v>
      </c>
      <c r="AO165" s="41" t="s">
        <v>45</v>
      </c>
      <c r="AP165" s="40" t="s">
        <v>56</v>
      </c>
      <c r="AQ165" s="40">
        <v>5</v>
      </c>
      <c r="AR165" s="48" t="s">
        <v>326</v>
      </c>
      <c r="AS165" s="43" t="s">
        <v>558</v>
      </c>
      <c r="AT165" s="43" t="s">
        <v>103</v>
      </c>
      <c r="AU165" s="44">
        <f t="shared" si="20"/>
        <v>-2.1159294805983135</v>
      </c>
      <c r="AV165" s="44">
        <f t="shared" si="21"/>
        <v>-1.0387315147887846</v>
      </c>
      <c r="AW165" s="45">
        <f t="shared" si="22"/>
        <v>3</v>
      </c>
      <c r="AX165" s="45">
        <f t="shared" si="23"/>
        <v>0</v>
      </c>
      <c r="AY165" s="46">
        <f>VLOOKUP(AP165,COND!$A$10:$B$32,2,FALSE)</f>
        <v>1</v>
      </c>
      <c r="AZ165" s="44">
        <f>($AU$3*AU165+$AV$3*AV165+$AW$3*AW165+$AX$3*AX165)*AY165*IF(AQ165&lt;5,0.95,IF(AQ165&lt;7,0.975,1))+$I$3*VLOOKUP(I165,COND!$A$2:$E$7,4,FALSE)+$J$3*VLOOKUP(J165,COND!$A$2:$E$7,2,FALSE)+$K$3*VLOOKUP(K165,COND!$A$2:$E$7,3,FALSE)+IF(BB165="SP",$BB$3,0)+IF($AW165&lt;3,-5,0)+IF(AND($B$2&gt;0,$E165&lt;20),$B$2*25,0)</f>
        <v>33.094629212902035</v>
      </c>
      <c r="BA165" s="47">
        <f>STANDARDIZE(AZ165,AVERAGE($AZ$5:$AZ$455),STDEVP($AZ$5:$AZ$455))</f>
        <v>-0.3287112987617567</v>
      </c>
      <c r="BB165" s="45" t="str">
        <f t="shared" si="24"/>
        <v>SP</v>
      </c>
      <c r="BC165" s="45">
        <v>900</v>
      </c>
      <c r="BD165" s="45">
        <v>160</v>
      </c>
      <c r="BE165" s="45"/>
      <c r="BF165" s="45" t="str">
        <f t="shared" si="25"/>
        <v>Unlikely</v>
      </c>
      <c r="BG165" s="45"/>
      <c r="BH165" s="63" t="str">
        <f>INDEX(Table5[[#All],[Ovr]],MATCH(Table3[[#This Row],[PID]],Table5[[#All],[PID]],0))</f>
        <v/>
      </c>
      <c r="BI165" s="63" t="str">
        <f>INDEX(Table5[[#All],[Rnd]],MATCH(Table3[[#This Row],[PID]],Table5[[#All],[PID]],0))</f>
        <v/>
      </c>
      <c r="BJ165" s="63" t="str">
        <f>INDEX(Table5[[#All],[Pick]],MATCH(Table3[[#This Row],[PID]],Table5[[#All],[PID]],0))</f>
        <v/>
      </c>
      <c r="BK165" s="63" t="str">
        <f>INDEX(Table5[[#All],[Team]],MATCH(Table3[[#This Row],[PID]],Table5[[#All],[PID]],0))</f>
        <v/>
      </c>
      <c r="BL165" s="63" t="str">
        <f>IF(OR(Table3[[#This Row],[POS]]="SP",Table3[[#This Row],[POS]]="RP",Table3[[#This Row],[POS]]="CL"),"P",INDEX(Batters[[#All],[zScore]],MATCH(Table3[[#This Row],[PID]],Batters[[#All],[PID]],0)))</f>
        <v>P</v>
      </c>
    </row>
    <row r="166" spans="1:64" ht="15" customHeight="1" x14ac:dyDescent="0.3">
      <c r="A166" s="40">
        <v>20861</v>
      </c>
      <c r="B166" s="40" t="s">
        <v>380</v>
      </c>
      <c r="C166" s="40" t="s">
        <v>599</v>
      </c>
      <c r="D166" s="40" t="s">
        <v>932</v>
      </c>
      <c r="E166" s="40">
        <v>16</v>
      </c>
      <c r="F166" s="40" t="s">
        <v>53</v>
      </c>
      <c r="G166" s="40" t="s">
        <v>53</v>
      </c>
      <c r="H166" s="41" t="s">
        <v>561</v>
      </c>
      <c r="I166" s="42" t="s">
        <v>43</v>
      </c>
      <c r="J166" s="40" t="s">
        <v>43</v>
      </c>
      <c r="K166" s="41" t="s">
        <v>43</v>
      </c>
      <c r="L166" s="40">
        <v>2</v>
      </c>
      <c r="M166" s="40">
        <v>1</v>
      </c>
      <c r="N166" s="41">
        <v>1</v>
      </c>
      <c r="O166" s="40">
        <v>5</v>
      </c>
      <c r="P166" s="40">
        <v>1</v>
      </c>
      <c r="Q166" s="41">
        <v>4</v>
      </c>
      <c r="R166" s="40">
        <v>3</v>
      </c>
      <c r="S166" s="40">
        <v>6</v>
      </c>
      <c r="T166" s="40" t="s">
        <v>45</v>
      </c>
      <c r="U166" s="40" t="s">
        <v>45</v>
      </c>
      <c r="V166" s="40">
        <v>2</v>
      </c>
      <c r="W166" s="40">
        <v>7</v>
      </c>
      <c r="X166" s="40" t="s">
        <v>45</v>
      </c>
      <c r="Y166" s="40" t="s">
        <v>45</v>
      </c>
      <c r="Z166" s="40" t="s">
        <v>45</v>
      </c>
      <c r="AA166" s="40" t="s">
        <v>45</v>
      </c>
      <c r="AB166" s="40" t="s">
        <v>45</v>
      </c>
      <c r="AC166" s="40" t="s">
        <v>45</v>
      </c>
      <c r="AD166" s="40" t="s">
        <v>45</v>
      </c>
      <c r="AE166" s="40" t="s">
        <v>45</v>
      </c>
      <c r="AF166" s="40" t="s">
        <v>45</v>
      </c>
      <c r="AG166" s="40" t="s">
        <v>45</v>
      </c>
      <c r="AH166" s="40" t="s">
        <v>45</v>
      </c>
      <c r="AI166" s="40" t="s">
        <v>45</v>
      </c>
      <c r="AJ166" s="40" t="s">
        <v>45</v>
      </c>
      <c r="AK166" s="40" t="s">
        <v>45</v>
      </c>
      <c r="AL166" s="40" t="s">
        <v>45</v>
      </c>
      <c r="AM166" s="40" t="s">
        <v>45</v>
      </c>
      <c r="AN166" s="40" t="s">
        <v>45</v>
      </c>
      <c r="AO166" s="41" t="s">
        <v>45</v>
      </c>
      <c r="AP166" s="40" t="s">
        <v>329</v>
      </c>
      <c r="AQ166" s="40">
        <v>1</v>
      </c>
      <c r="AR166" s="48" t="s">
        <v>14</v>
      </c>
      <c r="AS166" s="43" t="s">
        <v>583</v>
      </c>
      <c r="AT166" s="43" t="s">
        <v>103</v>
      </c>
      <c r="AU166" s="44">
        <f t="shared" si="20"/>
        <v>-2.5067929134584248</v>
      </c>
      <c r="AV166" s="44">
        <f t="shared" si="21"/>
        <v>-0.75026249103150122</v>
      </c>
      <c r="AW166" s="45">
        <f t="shared" si="22"/>
        <v>2</v>
      </c>
      <c r="AX166" s="45">
        <f t="shared" si="23"/>
        <v>2</v>
      </c>
      <c r="AY166" s="46">
        <f>VLOOKUP(AP166,COND!$A$10:$B$32,2,FALSE)</f>
        <v>1</v>
      </c>
      <c r="AZ166" s="44">
        <f>($AU$3*AU166+$AV$3*AV166+$AW$3*AW166+$AX$3*AX166)*AY166*IF(AQ166&lt;5,0.95,IF(AQ166&lt;7,0.975,1))+$I$3*VLOOKUP(I166,COND!$A$2:$E$7,4,FALSE)+$J$3*VLOOKUP(J166,COND!$A$2:$E$7,2,FALSE)+$K$3*VLOOKUP(K166,COND!$A$2:$E$7,3,FALSE)+IF(BB166="SP",$BB$3,0)+IF($AW166&lt;3,-5,0)+IF(AND($B$2&gt;0,$E166&lt;20),$B$2*25,0)</f>
        <v>33.593722016844382</v>
      </c>
      <c r="BA166" s="47">
        <f>STANDARDIZE(AZ166,AVERAGE($AZ$5:$AZ$445),STDEVP($AZ$5:$AZ$445))</f>
        <v>-0.29320402285433828</v>
      </c>
      <c r="BB166" s="45" t="str">
        <f t="shared" si="24"/>
        <v>RP</v>
      </c>
      <c r="BC166" s="45">
        <v>900</v>
      </c>
      <c r="BD166" s="45">
        <v>161</v>
      </c>
      <c r="BE166" s="45"/>
      <c r="BF166" s="45" t="str">
        <f t="shared" si="25"/>
        <v>Unlikely</v>
      </c>
      <c r="BG166" s="45"/>
      <c r="BH166" s="63">
        <f>INDEX(Table5[[#All],[Ovr]],MATCH(Table3[[#This Row],[PID]],Table5[[#All],[PID]],0))</f>
        <v>553</v>
      </c>
      <c r="BI166" s="63" t="str">
        <f>INDEX(Table5[[#All],[Rnd]],MATCH(Table3[[#This Row],[PID]],Table5[[#All],[PID]],0))</f>
        <v>17</v>
      </c>
      <c r="BJ166" s="63">
        <f>INDEX(Table5[[#All],[Pick]],MATCH(Table3[[#This Row],[PID]],Table5[[#All],[PID]],0))</f>
        <v>18</v>
      </c>
      <c r="BK166" s="63" t="str">
        <f>INDEX(Table5[[#All],[Team]],MATCH(Table3[[#This Row],[PID]],Table5[[#All],[PID]],0))</f>
        <v>San Juan Coqui</v>
      </c>
      <c r="BL166" s="63" t="str">
        <f>IF(OR(Table3[[#This Row],[POS]]="SP",Table3[[#This Row],[POS]]="RP",Table3[[#This Row],[POS]]="CL"),"P",INDEX(Batters[[#All],[zScore]],MATCH(Table3[[#This Row],[PID]],Batters[[#All],[PID]],0)))</f>
        <v>P</v>
      </c>
    </row>
    <row r="167" spans="1:64" ht="15" customHeight="1" x14ac:dyDescent="0.3">
      <c r="A167" s="40">
        <v>20426</v>
      </c>
      <c r="B167" s="40" t="s">
        <v>380</v>
      </c>
      <c r="C167" s="40" t="s">
        <v>766</v>
      </c>
      <c r="D167" s="40" t="s">
        <v>1470</v>
      </c>
      <c r="E167" s="40">
        <v>16</v>
      </c>
      <c r="F167" s="40" t="s">
        <v>42</v>
      </c>
      <c r="G167" s="40" t="s">
        <v>42</v>
      </c>
      <c r="H167" s="41" t="s">
        <v>561</v>
      </c>
      <c r="I167" s="42" t="s">
        <v>43</v>
      </c>
      <c r="J167" s="40" t="s">
        <v>43</v>
      </c>
      <c r="K167" s="41" t="s">
        <v>43</v>
      </c>
      <c r="L167" s="40">
        <v>2</v>
      </c>
      <c r="M167" s="40">
        <v>2</v>
      </c>
      <c r="N167" s="41">
        <v>1</v>
      </c>
      <c r="O167" s="40">
        <v>4</v>
      </c>
      <c r="P167" s="40">
        <v>2</v>
      </c>
      <c r="Q167" s="41">
        <v>3</v>
      </c>
      <c r="R167" s="40">
        <v>3</v>
      </c>
      <c r="S167" s="40">
        <v>4</v>
      </c>
      <c r="T167" s="40">
        <v>1</v>
      </c>
      <c r="U167" s="40">
        <v>5</v>
      </c>
      <c r="V167" s="40">
        <v>2</v>
      </c>
      <c r="W167" s="40">
        <v>4</v>
      </c>
      <c r="X167" s="40" t="s">
        <v>45</v>
      </c>
      <c r="Y167" s="40" t="s">
        <v>45</v>
      </c>
      <c r="Z167" s="40" t="s">
        <v>45</v>
      </c>
      <c r="AA167" s="40" t="s">
        <v>45</v>
      </c>
      <c r="AB167" s="40" t="s">
        <v>45</v>
      </c>
      <c r="AC167" s="40" t="s">
        <v>45</v>
      </c>
      <c r="AD167" s="40" t="s">
        <v>45</v>
      </c>
      <c r="AE167" s="40" t="s">
        <v>45</v>
      </c>
      <c r="AF167" s="40" t="s">
        <v>45</v>
      </c>
      <c r="AG167" s="40" t="s">
        <v>45</v>
      </c>
      <c r="AH167" s="40" t="s">
        <v>45</v>
      </c>
      <c r="AI167" s="40" t="s">
        <v>45</v>
      </c>
      <c r="AJ167" s="40" t="s">
        <v>45</v>
      </c>
      <c r="AK167" s="40" t="s">
        <v>45</v>
      </c>
      <c r="AL167" s="40" t="s">
        <v>45</v>
      </c>
      <c r="AM167" s="40" t="s">
        <v>45</v>
      </c>
      <c r="AN167" s="40" t="s">
        <v>45</v>
      </c>
      <c r="AO167" s="41" t="s">
        <v>45</v>
      </c>
      <c r="AP167" s="40" t="s">
        <v>328</v>
      </c>
      <c r="AQ167" s="40">
        <v>6</v>
      </c>
      <c r="AR167" s="48" t="s">
        <v>326</v>
      </c>
      <c r="AS167" s="43" t="s">
        <v>558</v>
      </c>
      <c r="AT167" s="43" t="s">
        <v>103</v>
      </c>
      <c r="AU167" s="44">
        <f t="shared" si="20"/>
        <v>-2.311361197028369</v>
      </c>
      <c r="AV167" s="44">
        <f t="shared" si="21"/>
        <v>-0.99184266516472974</v>
      </c>
      <c r="AW167" s="45">
        <f t="shared" si="22"/>
        <v>3</v>
      </c>
      <c r="AX167" s="45">
        <f t="shared" si="23"/>
        <v>0</v>
      </c>
      <c r="AY167" s="46">
        <f>VLOOKUP(AP167,COND!$A$10:$B$32,2,FALSE)</f>
        <v>1</v>
      </c>
      <c r="AZ167" s="44">
        <f>($AU$3*AU167+$AV$3*AV167+$AW$3*AW167+$AX$3*AX167)*AY167*IF(AQ167&lt;5,0.95,IF(AQ167&lt;7,0.975,1))+$I$3*VLOOKUP(I167,COND!$A$2:$E$7,4,FALSE)+$J$3*VLOOKUP(J167,COND!$A$2:$E$7,2,FALSE)+$K$3*VLOOKUP(K167,COND!$A$2:$E$7,3,FALSE)+IF(BB167="SP",$BB$3,0)+IF($AW167&lt;3,-5,0)+IF(AND($B$2&gt;0,$E167&lt;20),$B$2*25,0)</f>
        <v>33.670852595867238</v>
      </c>
      <c r="BA167" s="47">
        <f>STANDARDIZE(AZ167,AVERAGE($AZ$5:$AZ$428),STDEVP($AZ$5:$AZ$428))</f>
        <v>-0.29420823353463643</v>
      </c>
      <c r="BB167" s="45" t="str">
        <f t="shared" si="24"/>
        <v>SP</v>
      </c>
      <c r="BC167" s="45">
        <v>900</v>
      </c>
      <c r="BD167" s="45">
        <v>162</v>
      </c>
      <c r="BE167" s="45"/>
      <c r="BF167" s="45" t="str">
        <f t="shared" si="25"/>
        <v>Unlikely</v>
      </c>
      <c r="BG167" s="45"/>
      <c r="BH167" s="45" t="str">
        <f>INDEX(Table5[[#All],[Ovr]],MATCH(Table3[[#This Row],[PID]],Table5[[#All],[PID]],0))</f>
        <v/>
      </c>
      <c r="BI167" s="45" t="str">
        <f>INDEX(Table5[[#All],[Rnd]],MATCH(Table3[[#This Row],[PID]],Table5[[#All],[PID]],0))</f>
        <v/>
      </c>
      <c r="BJ167" s="45" t="str">
        <f>INDEX(Table5[[#All],[Pick]],MATCH(Table3[[#This Row],[PID]],Table5[[#All],[PID]],0))</f>
        <v/>
      </c>
      <c r="BK167" s="45" t="str">
        <f>INDEX(Table5[[#All],[Team]],MATCH(Table3[[#This Row],[PID]],Table5[[#All],[PID]],0))</f>
        <v/>
      </c>
      <c r="BL167" s="45" t="str">
        <f>IF(OR(Table3[[#This Row],[POS]]="SP",Table3[[#This Row],[POS]]="RP",Table3[[#This Row],[POS]]="CL"),"P",INDEX(Batters[[#All],[zScore]],MATCH(Table3[[#This Row],[PID]],Batters[[#All],[PID]],0)))</f>
        <v>P</v>
      </c>
    </row>
    <row r="168" spans="1:64" ht="15" customHeight="1" x14ac:dyDescent="0.3">
      <c r="A168" s="40">
        <v>13512</v>
      </c>
      <c r="B168" s="40" t="s">
        <v>24</v>
      </c>
      <c r="C168" s="40" t="s">
        <v>1516</v>
      </c>
      <c r="D168" s="40" t="s">
        <v>478</v>
      </c>
      <c r="E168" s="40">
        <v>18</v>
      </c>
      <c r="F168" s="40" t="s">
        <v>53</v>
      </c>
      <c r="G168" s="40" t="s">
        <v>42</v>
      </c>
      <c r="H168" s="41" t="s">
        <v>561</v>
      </c>
      <c r="I168" s="42" t="s">
        <v>43</v>
      </c>
      <c r="J168" s="40" t="s">
        <v>43</v>
      </c>
      <c r="K168" s="41" t="s">
        <v>43</v>
      </c>
      <c r="L168" s="40">
        <v>2</v>
      </c>
      <c r="M168" s="40">
        <v>2</v>
      </c>
      <c r="N168" s="41">
        <v>1</v>
      </c>
      <c r="O168" s="40">
        <v>4</v>
      </c>
      <c r="P168" s="40">
        <v>2</v>
      </c>
      <c r="Q168" s="41">
        <v>3</v>
      </c>
      <c r="R168" s="40">
        <v>4</v>
      </c>
      <c r="S168" s="40">
        <v>5</v>
      </c>
      <c r="T168" s="40">
        <v>2</v>
      </c>
      <c r="U168" s="40">
        <v>5</v>
      </c>
      <c r="V168" s="40">
        <v>3</v>
      </c>
      <c r="W168" s="40">
        <v>5</v>
      </c>
      <c r="X168" s="40" t="s">
        <v>45</v>
      </c>
      <c r="Y168" s="40" t="s">
        <v>45</v>
      </c>
      <c r="Z168" s="40" t="s">
        <v>45</v>
      </c>
      <c r="AA168" s="40" t="s">
        <v>45</v>
      </c>
      <c r="AB168" s="40" t="s">
        <v>45</v>
      </c>
      <c r="AC168" s="40" t="s">
        <v>45</v>
      </c>
      <c r="AD168" s="40" t="s">
        <v>45</v>
      </c>
      <c r="AE168" s="40" t="s">
        <v>45</v>
      </c>
      <c r="AF168" s="40" t="s">
        <v>45</v>
      </c>
      <c r="AG168" s="40" t="s">
        <v>45</v>
      </c>
      <c r="AH168" s="40" t="s">
        <v>45</v>
      </c>
      <c r="AI168" s="40" t="s">
        <v>45</v>
      </c>
      <c r="AJ168" s="40" t="s">
        <v>45</v>
      </c>
      <c r="AK168" s="40" t="s">
        <v>45</v>
      </c>
      <c r="AL168" s="40" t="s">
        <v>45</v>
      </c>
      <c r="AM168" s="40" t="s">
        <v>45</v>
      </c>
      <c r="AN168" s="40" t="s">
        <v>45</v>
      </c>
      <c r="AO168" s="41" t="s">
        <v>45</v>
      </c>
      <c r="AP168" s="40" t="s">
        <v>57</v>
      </c>
      <c r="AQ168" s="40">
        <v>5</v>
      </c>
      <c r="AR168" s="48" t="s">
        <v>326</v>
      </c>
      <c r="AS168" s="43" t="s">
        <v>558</v>
      </c>
      <c r="AT168" s="43" t="s">
        <v>103</v>
      </c>
      <c r="AU168" s="44">
        <f t="shared" si="20"/>
        <v>-2.311361197028369</v>
      </c>
      <c r="AV168" s="44">
        <f t="shared" si="21"/>
        <v>-0.99184266516472974</v>
      </c>
      <c r="AW168" s="45">
        <f t="shared" si="22"/>
        <v>3</v>
      </c>
      <c r="AX168" s="45">
        <f t="shared" si="23"/>
        <v>0</v>
      </c>
      <c r="AY168" s="46">
        <f>VLOOKUP(AP168,COND!$A$10:$B$32,2,FALSE)</f>
        <v>1</v>
      </c>
      <c r="AZ168" s="44">
        <f>($AU$3*AU168+$AV$3*AV168+$AW$3*AW168+$AX$3*AX168)*AY168*IF(AQ168&lt;5,0.95,IF(AQ168&lt;7,0.975,1))+$I$3*VLOOKUP(I168,COND!$A$2:$E$7,4,FALSE)+$J$3*VLOOKUP(J168,COND!$A$2:$E$7,2,FALSE)+$K$3*VLOOKUP(K168,COND!$A$2:$E$7,3,FALSE)+IF(BB168="SP",$BB$3,0)+IF($AW168&lt;3,-5,0)+IF(AND($B$2&gt;0,$E168&lt;20),$B$2*25,0)</f>
        <v>33.670852595867238</v>
      </c>
      <c r="BA168" s="47">
        <f>STANDARDIZE(AZ168,AVERAGE($AZ$5:$AZ$428),STDEVP($AZ$5:$AZ$428))</f>
        <v>-0.29420823353463643</v>
      </c>
      <c r="BB168" s="45" t="str">
        <f t="shared" si="24"/>
        <v>SP</v>
      </c>
      <c r="BC168" s="45">
        <v>900</v>
      </c>
      <c r="BD168" s="45">
        <v>163</v>
      </c>
      <c r="BE168" s="45"/>
      <c r="BF168" s="45" t="str">
        <f t="shared" si="25"/>
        <v>Unlikely</v>
      </c>
      <c r="BG168" s="45"/>
      <c r="BH168" s="45">
        <f>INDEX(Table5[[#All],[Ovr]],MATCH(Table3[[#This Row],[PID]],Table5[[#All],[PID]],0))</f>
        <v>667</v>
      </c>
      <c r="BI168" s="45" t="str">
        <f>INDEX(Table5[[#All],[Rnd]],MATCH(Table3[[#This Row],[PID]],Table5[[#All],[PID]],0))</f>
        <v>20</v>
      </c>
      <c r="BJ168" s="45">
        <f>INDEX(Table5[[#All],[Pick]],MATCH(Table3[[#This Row],[PID]],Table5[[#All],[PID]],0))</f>
        <v>30</v>
      </c>
      <c r="BK168" s="45" t="str">
        <f>INDEX(Table5[[#All],[Team]],MATCH(Table3[[#This Row],[PID]],Table5[[#All],[PID]],0))</f>
        <v>Toyama Wind Dancers</v>
      </c>
      <c r="BL168" s="45" t="str">
        <f>IF(OR(Table3[[#This Row],[POS]]="SP",Table3[[#This Row],[POS]]="RP",Table3[[#This Row],[POS]]="CL"),"P",INDEX(Batters[[#All],[zScore]],MATCH(Table3[[#This Row],[PID]],Batters[[#All],[PID]],0)))</f>
        <v>P</v>
      </c>
    </row>
    <row r="169" spans="1:64" ht="15" customHeight="1" x14ac:dyDescent="0.3">
      <c r="A169" s="40">
        <v>20329</v>
      </c>
      <c r="B169" s="40" t="s">
        <v>380</v>
      </c>
      <c r="C169" s="40" t="s">
        <v>970</v>
      </c>
      <c r="D169" s="40" t="s">
        <v>1376</v>
      </c>
      <c r="E169" s="40">
        <v>17</v>
      </c>
      <c r="F169" s="40" t="s">
        <v>42</v>
      </c>
      <c r="G169" s="40" t="s">
        <v>42</v>
      </c>
      <c r="H169" s="41" t="s">
        <v>561</v>
      </c>
      <c r="I169" s="42" t="s">
        <v>44</v>
      </c>
      <c r="J169" s="40" t="s">
        <v>43</v>
      </c>
      <c r="K169" s="41" t="s">
        <v>43</v>
      </c>
      <c r="L169" s="40">
        <v>2</v>
      </c>
      <c r="M169" s="40">
        <v>2</v>
      </c>
      <c r="N169" s="41">
        <v>1</v>
      </c>
      <c r="O169" s="40">
        <v>4</v>
      </c>
      <c r="P169" s="40">
        <v>2</v>
      </c>
      <c r="Q169" s="41">
        <v>3</v>
      </c>
      <c r="R169" s="40">
        <v>3</v>
      </c>
      <c r="S169" s="40">
        <v>5</v>
      </c>
      <c r="T169" s="40">
        <v>1</v>
      </c>
      <c r="U169" s="40">
        <v>2</v>
      </c>
      <c r="V169" s="40" t="s">
        <v>45</v>
      </c>
      <c r="W169" s="40" t="s">
        <v>45</v>
      </c>
      <c r="X169" s="40" t="s">
        <v>45</v>
      </c>
      <c r="Y169" s="40" t="s">
        <v>45</v>
      </c>
      <c r="Z169" s="40">
        <v>3</v>
      </c>
      <c r="AA169" s="40">
        <v>5</v>
      </c>
      <c r="AB169" s="40" t="s">
        <v>45</v>
      </c>
      <c r="AC169" s="40" t="s">
        <v>45</v>
      </c>
      <c r="AD169" s="40" t="s">
        <v>45</v>
      </c>
      <c r="AE169" s="40" t="s">
        <v>45</v>
      </c>
      <c r="AF169" s="40" t="s">
        <v>45</v>
      </c>
      <c r="AG169" s="40" t="s">
        <v>45</v>
      </c>
      <c r="AH169" s="40" t="s">
        <v>45</v>
      </c>
      <c r="AI169" s="40" t="s">
        <v>45</v>
      </c>
      <c r="AJ169" s="40" t="s">
        <v>45</v>
      </c>
      <c r="AK169" s="40" t="s">
        <v>45</v>
      </c>
      <c r="AL169" s="40" t="s">
        <v>45</v>
      </c>
      <c r="AM169" s="40" t="s">
        <v>45</v>
      </c>
      <c r="AN169" s="40" t="s">
        <v>45</v>
      </c>
      <c r="AO169" s="41" t="s">
        <v>45</v>
      </c>
      <c r="AP169" s="40" t="s">
        <v>64</v>
      </c>
      <c r="AQ169" s="40">
        <v>6</v>
      </c>
      <c r="AR169" s="48" t="s">
        <v>326</v>
      </c>
      <c r="AS169" s="43" t="s">
        <v>572</v>
      </c>
      <c r="AT169" s="43" t="s">
        <v>103</v>
      </c>
      <c r="AU169" s="44">
        <f t="shared" si="20"/>
        <v>-2.311361197028369</v>
      </c>
      <c r="AV169" s="44">
        <f t="shared" si="21"/>
        <v>-0.99184266516472974</v>
      </c>
      <c r="AW169" s="45">
        <f t="shared" si="22"/>
        <v>3</v>
      </c>
      <c r="AX169" s="45">
        <f t="shared" si="23"/>
        <v>0</v>
      </c>
      <c r="AY169" s="46">
        <f>VLOOKUP(AP169,COND!$A$10:$B$32,2,FALSE)</f>
        <v>1</v>
      </c>
      <c r="AZ169" s="44">
        <f>($AU$3*AU169+$AV$3*AV169+$AW$3*AW169+$AX$3*AX169)*AY169*IF(AQ169&lt;5,0.95,IF(AQ169&lt;7,0.975,1))+$I$3*VLOOKUP(I169,COND!$A$2:$E$7,4,FALSE)+$J$3*VLOOKUP(J169,COND!$A$2:$E$7,2,FALSE)+$K$3*VLOOKUP(K169,COND!$A$2:$E$7,3,FALSE)+IF(BB169="SP",$BB$3,0)+IF($AW169&lt;3,-5,0)+IF(AND($B$2&gt;0,$E169&lt;20),$B$2*25,0)</f>
        <v>33.52085259586724</v>
      </c>
      <c r="BA169" s="47">
        <f>STANDARDIZE(AZ169,AVERAGE($AZ$5:$AZ$445),STDEVP($AZ$5:$AZ$445))</f>
        <v>-0.29838821828935819</v>
      </c>
      <c r="BB169" s="45" t="str">
        <f t="shared" si="24"/>
        <v>SP</v>
      </c>
      <c r="BC169" s="45">
        <v>900</v>
      </c>
      <c r="BD169" s="45">
        <v>164</v>
      </c>
      <c r="BE169" s="45"/>
      <c r="BF169" s="45" t="str">
        <f t="shared" si="25"/>
        <v>Unlikely</v>
      </c>
      <c r="BG169" s="45"/>
      <c r="BH169" s="63" t="str">
        <f>INDEX(Table5[[#All],[Ovr]],MATCH(Table3[[#This Row],[PID]],Table5[[#All],[PID]],0))</f>
        <v/>
      </c>
      <c r="BI169" s="63" t="str">
        <f>INDEX(Table5[[#All],[Rnd]],MATCH(Table3[[#This Row],[PID]],Table5[[#All],[PID]],0))</f>
        <v/>
      </c>
      <c r="BJ169" s="63" t="str">
        <f>INDEX(Table5[[#All],[Pick]],MATCH(Table3[[#This Row],[PID]],Table5[[#All],[PID]],0))</f>
        <v/>
      </c>
      <c r="BK169" s="63" t="str">
        <f>INDEX(Table5[[#All],[Team]],MATCH(Table3[[#This Row],[PID]],Table5[[#All],[PID]],0))</f>
        <v/>
      </c>
      <c r="BL169" s="63" t="str">
        <f>IF(OR(Table3[[#This Row],[POS]]="SP",Table3[[#This Row],[POS]]="RP",Table3[[#This Row],[POS]]="CL"),"P",INDEX(Batters[[#All],[zScore]],MATCH(Table3[[#This Row],[PID]],Batters[[#All],[PID]],0)))</f>
        <v>P</v>
      </c>
    </row>
    <row r="170" spans="1:64" ht="15" customHeight="1" x14ac:dyDescent="0.3">
      <c r="A170" s="40">
        <v>8287</v>
      </c>
      <c r="B170" s="40" t="s">
        <v>380</v>
      </c>
      <c r="C170" s="40" t="s">
        <v>1607</v>
      </c>
      <c r="D170" s="40" t="s">
        <v>795</v>
      </c>
      <c r="E170" s="40">
        <v>21</v>
      </c>
      <c r="F170" s="40" t="s">
        <v>53</v>
      </c>
      <c r="G170" s="40" t="s">
        <v>53</v>
      </c>
      <c r="H170" s="41" t="s">
        <v>561</v>
      </c>
      <c r="I170" s="42" t="s">
        <v>43</v>
      </c>
      <c r="J170" s="40" t="s">
        <v>47</v>
      </c>
      <c r="K170" s="41" t="s">
        <v>43</v>
      </c>
      <c r="L170" s="40">
        <v>4</v>
      </c>
      <c r="M170" s="40">
        <v>1</v>
      </c>
      <c r="N170" s="41">
        <v>2</v>
      </c>
      <c r="O170" s="40">
        <v>5</v>
      </c>
      <c r="P170" s="40">
        <v>1</v>
      </c>
      <c r="Q170" s="41">
        <v>3</v>
      </c>
      <c r="R170" s="40">
        <v>5</v>
      </c>
      <c r="S170" s="40">
        <v>6</v>
      </c>
      <c r="T170" s="40">
        <v>4</v>
      </c>
      <c r="U170" s="40">
        <v>7</v>
      </c>
      <c r="V170" s="40">
        <v>5</v>
      </c>
      <c r="W170" s="40">
        <v>7</v>
      </c>
      <c r="X170" s="40" t="s">
        <v>45</v>
      </c>
      <c r="Y170" s="40" t="s">
        <v>45</v>
      </c>
      <c r="Z170" s="40" t="s">
        <v>45</v>
      </c>
      <c r="AA170" s="40" t="s">
        <v>45</v>
      </c>
      <c r="AB170" s="40" t="s">
        <v>45</v>
      </c>
      <c r="AC170" s="40" t="s">
        <v>45</v>
      </c>
      <c r="AD170" s="40" t="s">
        <v>45</v>
      </c>
      <c r="AE170" s="40" t="s">
        <v>45</v>
      </c>
      <c r="AF170" s="40" t="s">
        <v>45</v>
      </c>
      <c r="AG170" s="40" t="s">
        <v>45</v>
      </c>
      <c r="AH170" s="40" t="s">
        <v>45</v>
      </c>
      <c r="AI170" s="40" t="s">
        <v>45</v>
      </c>
      <c r="AJ170" s="40" t="s">
        <v>45</v>
      </c>
      <c r="AK170" s="40" t="s">
        <v>45</v>
      </c>
      <c r="AL170" s="40" t="s">
        <v>45</v>
      </c>
      <c r="AM170" s="40" t="s">
        <v>45</v>
      </c>
      <c r="AN170" s="40" t="s">
        <v>45</v>
      </c>
      <c r="AO170" s="41" t="s">
        <v>45</v>
      </c>
      <c r="AP170" s="40" t="s">
        <v>328</v>
      </c>
      <c r="AQ170" s="40">
        <v>6</v>
      </c>
      <c r="AR170" s="48" t="s">
        <v>330</v>
      </c>
      <c r="AS170" s="43" t="s">
        <v>45</v>
      </c>
      <c r="AT170" s="43" t="s">
        <v>103</v>
      </c>
      <c r="AU170" s="44">
        <f t="shared" si="20"/>
        <v>-1.8750896983859671</v>
      </c>
      <c r="AV170" s="44">
        <f t="shared" si="21"/>
        <v>-0.99258305708561179</v>
      </c>
      <c r="AW170" s="45">
        <f t="shared" si="22"/>
        <v>3</v>
      </c>
      <c r="AX170" s="45">
        <f t="shared" si="23"/>
        <v>3</v>
      </c>
      <c r="AY170" s="46">
        <f>VLOOKUP(AP170,COND!$A$10:$B$32,2,FALSE)</f>
        <v>1</v>
      </c>
      <c r="AZ170" s="44">
        <f>($AU$3*AU170+$AV$3*AV170+$AW$3*AW170+$AX$3*AX170)*AY170*IF(AQ170&lt;5,0.95,IF(AQ170&lt;7,0.975,1))+$I$3*VLOOKUP(I170,COND!$A$2:$E$7,4,FALSE)+$J$3*VLOOKUP(J170,COND!$A$2:$E$7,2,FALSE)+$K$3*VLOOKUP(K170,COND!$A$2:$E$7,3,FALSE)+IF(BB170="SP",$BB$3,0)+IF($AW170&lt;3,-5,0)+IF(AND($B$2&gt;0,$E170&lt;20),$B$2*25,0)</f>
        <v>32.697737895645311</v>
      </c>
      <c r="BA170" s="47">
        <f>STANDARDIZE(AZ170,AVERAGE($AZ$5:$AZ$455),STDEVP($AZ$5:$AZ$455))</f>
        <v>-0.35694758947918642</v>
      </c>
      <c r="BB170" s="45" t="str">
        <f t="shared" si="24"/>
        <v>SP</v>
      </c>
      <c r="BC170" s="45">
        <v>900</v>
      </c>
      <c r="BD170" s="45">
        <v>165</v>
      </c>
      <c r="BE170" s="45"/>
      <c r="BF170" s="45" t="str">
        <f t="shared" si="25"/>
        <v>Unlikely</v>
      </c>
      <c r="BG170" s="45"/>
      <c r="BH170" s="63">
        <f>INDEX(Table5[[#All],[Ovr]],MATCH(Table3[[#This Row],[PID]],Table5[[#All],[PID]],0))</f>
        <v>419</v>
      </c>
      <c r="BI170" s="63" t="str">
        <f>INDEX(Table5[[#All],[Rnd]],MATCH(Table3[[#This Row],[PID]],Table5[[#All],[PID]],0))</f>
        <v>13</v>
      </c>
      <c r="BJ170" s="63">
        <f>INDEX(Table5[[#All],[Pick]],MATCH(Table3[[#This Row],[PID]],Table5[[#All],[PID]],0))</f>
        <v>20</v>
      </c>
      <c r="BK170" s="63" t="str">
        <f>INDEX(Table5[[#All],[Team]],MATCH(Table3[[#This Row],[PID]],Table5[[#All],[PID]],0))</f>
        <v>Crystal Lake Sandgnats</v>
      </c>
      <c r="BL170" s="63" t="str">
        <f>IF(OR(Table3[[#This Row],[POS]]="SP",Table3[[#This Row],[POS]]="RP",Table3[[#This Row],[POS]]="CL"),"P",INDEX(Batters[[#All],[zScore]],MATCH(Table3[[#This Row],[PID]],Batters[[#All],[PID]],0)))</f>
        <v>P</v>
      </c>
    </row>
    <row r="171" spans="1:64" ht="15" customHeight="1" x14ac:dyDescent="0.3">
      <c r="A171" s="40">
        <v>20910</v>
      </c>
      <c r="B171" s="40" t="s">
        <v>380</v>
      </c>
      <c r="C171" s="40" t="s">
        <v>176</v>
      </c>
      <c r="D171" s="40" t="s">
        <v>306</v>
      </c>
      <c r="E171" s="40">
        <v>17</v>
      </c>
      <c r="F171" s="40" t="s">
        <v>53</v>
      </c>
      <c r="G171" s="40" t="s">
        <v>53</v>
      </c>
      <c r="H171" s="41" t="s">
        <v>561</v>
      </c>
      <c r="I171" s="42" t="s">
        <v>43</v>
      </c>
      <c r="J171" s="40" t="s">
        <v>43</v>
      </c>
      <c r="K171" s="41" t="s">
        <v>47</v>
      </c>
      <c r="L171" s="40">
        <v>2</v>
      </c>
      <c r="M171" s="40">
        <v>2</v>
      </c>
      <c r="N171" s="41">
        <v>1</v>
      </c>
      <c r="O171" s="40">
        <v>5</v>
      </c>
      <c r="P171" s="40">
        <v>2</v>
      </c>
      <c r="Q171" s="41">
        <v>3</v>
      </c>
      <c r="R171" s="40">
        <v>4</v>
      </c>
      <c r="S171" s="40">
        <v>6</v>
      </c>
      <c r="T171" s="40" t="s">
        <v>45</v>
      </c>
      <c r="U171" s="40" t="s">
        <v>45</v>
      </c>
      <c r="V171" s="40">
        <v>2</v>
      </c>
      <c r="W171" s="40">
        <v>8</v>
      </c>
      <c r="X171" s="40" t="s">
        <v>45</v>
      </c>
      <c r="Y171" s="40" t="s">
        <v>45</v>
      </c>
      <c r="Z171" s="40" t="s">
        <v>45</v>
      </c>
      <c r="AA171" s="40" t="s">
        <v>45</v>
      </c>
      <c r="AB171" s="40" t="s">
        <v>45</v>
      </c>
      <c r="AC171" s="40" t="s">
        <v>45</v>
      </c>
      <c r="AD171" s="40" t="s">
        <v>45</v>
      </c>
      <c r="AE171" s="40" t="s">
        <v>45</v>
      </c>
      <c r="AF171" s="40" t="s">
        <v>45</v>
      </c>
      <c r="AG171" s="40" t="s">
        <v>45</v>
      </c>
      <c r="AH171" s="40" t="s">
        <v>45</v>
      </c>
      <c r="AI171" s="40" t="s">
        <v>45</v>
      </c>
      <c r="AJ171" s="40" t="s">
        <v>45</v>
      </c>
      <c r="AK171" s="40" t="s">
        <v>45</v>
      </c>
      <c r="AL171" s="40" t="s">
        <v>45</v>
      </c>
      <c r="AM171" s="40" t="s">
        <v>45</v>
      </c>
      <c r="AN171" s="40" t="s">
        <v>45</v>
      </c>
      <c r="AO171" s="41" t="s">
        <v>45</v>
      </c>
      <c r="AP171" s="40" t="s">
        <v>56</v>
      </c>
      <c r="AQ171" s="40">
        <v>6</v>
      </c>
      <c r="AR171" s="48" t="s">
        <v>14</v>
      </c>
      <c r="AS171" s="43" t="s">
        <v>568</v>
      </c>
      <c r="AT171" s="43" t="s">
        <v>103</v>
      </c>
      <c r="AU171" s="44">
        <f t="shared" si="20"/>
        <v>-2.311361197028369</v>
      </c>
      <c r="AV171" s="44">
        <f t="shared" si="21"/>
        <v>-0.79715134065555615</v>
      </c>
      <c r="AW171" s="45">
        <f t="shared" si="22"/>
        <v>2</v>
      </c>
      <c r="AX171" s="45">
        <f t="shared" si="23"/>
        <v>2</v>
      </c>
      <c r="AY171" s="46">
        <f>VLOOKUP(AP171,COND!$A$10:$B$32,2,FALSE)</f>
        <v>1</v>
      </c>
      <c r="AZ171" s="44">
        <f>($AU$3*AU171+$AV$3*AV171+$AW$3*AW171+$AX$3*AX171)*AY171*IF(AQ171&lt;5,0.95,IF(AQ171&lt;7,0.975,1))+$I$3*VLOOKUP(I171,COND!$A$2:$E$7,4,FALSE)+$J$3*VLOOKUP(J171,COND!$A$2:$E$7,2,FALSE)+$K$3*VLOOKUP(K171,COND!$A$2:$E$7,3,FALSE)+IF(BB171="SP",$BB$3,0)+IF($AW171&lt;3,-5,0)+IF(AND($B$2&gt;0,$E171&lt;20),$B$2*25,0)</f>
        <v>32.71733342379612</v>
      </c>
      <c r="BA171" s="47">
        <f t="shared" ref="BA171:BA177" si="28">STANDARDIZE(AZ171,AVERAGE($AZ$5:$AZ$428),STDEVP($AZ$5:$AZ$428))</f>
        <v>-0.36210550456531698</v>
      </c>
      <c r="BB171" s="45" t="str">
        <f t="shared" si="24"/>
        <v>RP</v>
      </c>
      <c r="BC171" s="45">
        <v>900</v>
      </c>
      <c r="BD171" s="45">
        <v>166</v>
      </c>
      <c r="BE171" s="45"/>
      <c r="BF171" s="45" t="str">
        <f t="shared" si="25"/>
        <v>Unlikely</v>
      </c>
      <c r="BG171" s="45"/>
      <c r="BH171" s="45">
        <f>INDEX(Table5[[#All],[Ovr]],MATCH(Table3[[#This Row],[PID]],Table5[[#All],[PID]],0))</f>
        <v>453</v>
      </c>
      <c r="BI171" s="45" t="str">
        <f>INDEX(Table5[[#All],[Rnd]],MATCH(Table3[[#This Row],[PID]],Table5[[#All],[PID]],0))</f>
        <v>14</v>
      </c>
      <c r="BJ171" s="45">
        <f>INDEX(Table5[[#All],[Pick]],MATCH(Table3[[#This Row],[PID]],Table5[[#All],[PID]],0))</f>
        <v>20</v>
      </c>
      <c r="BK171" s="45" t="str">
        <f>INDEX(Table5[[#All],[Team]],MATCH(Table3[[#This Row],[PID]],Table5[[#All],[PID]],0))</f>
        <v>Crystal Lake Sandgnats</v>
      </c>
      <c r="BL171" s="45" t="str">
        <f>IF(OR(Table3[[#This Row],[POS]]="SP",Table3[[#This Row],[POS]]="RP",Table3[[#This Row],[POS]]="CL"),"P",INDEX(Batters[[#All],[zScore]],MATCH(Table3[[#This Row],[PID]],Batters[[#All],[PID]],0)))</f>
        <v>P</v>
      </c>
    </row>
    <row r="172" spans="1:64" ht="15" customHeight="1" x14ac:dyDescent="0.3">
      <c r="A172" s="40">
        <v>13219</v>
      </c>
      <c r="B172" s="40" t="s">
        <v>24</v>
      </c>
      <c r="C172" s="40" t="s">
        <v>1452</v>
      </c>
      <c r="D172" s="40" t="s">
        <v>1453</v>
      </c>
      <c r="E172" s="40">
        <v>17</v>
      </c>
      <c r="F172" s="40" t="s">
        <v>53</v>
      </c>
      <c r="G172" s="40" t="s">
        <v>42</v>
      </c>
      <c r="H172" s="41" t="s">
        <v>561</v>
      </c>
      <c r="I172" s="42" t="s">
        <v>47</v>
      </c>
      <c r="J172" s="40" t="s">
        <v>43</v>
      </c>
      <c r="K172" s="41" t="s">
        <v>43</v>
      </c>
      <c r="L172" s="40">
        <v>3</v>
      </c>
      <c r="M172" s="40">
        <v>1</v>
      </c>
      <c r="N172" s="41">
        <v>1</v>
      </c>
      <c r="O172" s="40">
        <v>5</v>
      </c>
      <c r="P172" s="40">
        <v>1</v>
      </c>
      <c r="Q172" s="41">
        <v>2</v>
      </c>
      <c r="R172" s="40">
        <v>4</v>
      </c>
      <c r="S172" s="40">
        <v>6</v>
      </c>
      <c r="T172" s="40">
        <v>2</v>
      </c>
      <c r="U172" s="40">
        <v>6</v>
      </c>
      <c r="V172" s="40">
        <v>3</v>
      </c>
      <c r="W172" s="40">
        <v>6</v>
      </c>
      <c r="X172" s="40" t="s">
        <v>45</v>
      </c>
      <c r="Y172" s="40" t="s">
        <v>45</v>
      </c>
      <c r="Z172" s="40" t="s">
        <v>45</v>
      </c>
      <c r="AA172" s="40" t="s">
        <v>45</v>
      </c>
      <c r="AB172" s="40">
        <v>4</v>
      </c>
      <c r="AC172" s="40">
        <v>5</v>
      </c>
      <c r="AD172" s="40" t="s">
        <v>45</v>
      </c>
      <c r="AE172" s="40" t="s">
        <v>45</v>
      </c>
      <c r="AF172" s="40" t="s">
        <v>45</v>
      </c>
      <c r="AG172" s="40" t="s">
        <v>45</v>
      </c>
      <c r="AH172" s="40" t="s">
        <v>45</v>
      </c>
      <c r="AI172" s="40" t="s">
        <v>45</v>
      </c>
      <c r="AJ172" s="40" t="s">
        <v>45</v>
      </c>
      <c r="AK172" s="40" t="s">
        <v>45</v>
      </c>
      <c r="AL172" s="40" t="s">
        <v>45</v>
      </c>
      <c r="AM172" s="40" t="s">
        <v>45</v>
      </c>
      <c r="AN172" s="40" t="s">
        <v>45</v>
      </c>
      <c r="AO172" s="41" t="s">
        <v>45</v>
      </c>
      <c r="AP172" s="40" t="s">
        <v>58</v>
      </c>
      <c r="AQ172" s="40">
        <v>6</v>
      </c>
      <c r="AR172" s="48" t="s">
        <v>14</v>
      </c>
      <c r="AS172" s="43" t="s">
        <v>558</v>
      </c>
      <c r="AT172" s="43" t="s">
        <v>103</v>
      </c>
      <c r="AU172" s="44">
        <f t="shared" si="20"/>
        <v>-2.3121015889492513</v>
      </c>
      <c r="AV172" s="44">
        <f t="shared" si="21"/>
        <v>-1.2349036231397219</v>
      </c>
      <c r="AW172" s="45">
        <f t="shared" si="22"/>
        <v>4</v>
      </c>
      <c r="AX172" s="45">
        <f t="shared" si="23"/>
        <v>3</v>
      </c>
      <c r="AY172" s="46">
        <f>VLOOKUP(AP172,COND!$A$10:$B$32,2,FALSE)</f>
        <v>1</v>
      </c>
      <c r="AZ172" s="44">
        <f>($AU$3*AU172+$AV$3*AV172+$AW$3*AW172+$AX$3*AX172)*AY172*IF(AQ172&lt;5,0.95,IF(AQ172&lt;7,0.975,1))+$I$3*VLOOKUP(I172,COND!$A$2:$E$7,4,FALSE)+$J$3*VLOOKUP(J172,COND!$A$2:$E$7,2,FALSE)+$K$3*VLOOKUP(K172,COND!$A$2:$E$7,3,FALSE)+IF(BB172="SP",$BB$3,0)+IF($AW172&lt;3,-5,0)+IF(AND($B$2&gt;0,$E172&lt;20),$B$2*25,0)</f>
        <v>33.29976953893032</v>
      </c>
      <c r="BA172" s="47">
        <f t="shared" si="28"/>
        <v>-0.32063195696854779</v>
      </c>
      <c r="BB172" s="45" t="str">
        <f t="shared" si="24"/>
        <v>SP</v>
      </c>
      <c r="BC172" s="45">
        <v>900</v>
      </c>
      <c r="BD172" s="45">
        <v>167</v>
      </c>
      <c r="BE172" s="45"/>
      <c r="BF172" s="45" t="str">
        <f t="shared" si="25"/>
        <v>Unlikely</v>
      </c>
      <c r="BG172" s="45"/>
      <c r="BH172" s="45">
        <f>INDEX(Table5[[#All],[Ovr]],MATCH(Table3[[#This Row],[PID]],Table5[[#All],[PID]],0))</f>
        <v>514</v>
      </c>
      <c r="BI172" s="45" t="str">
        <f>INDEX(Table5[[#All],[Rnd]],MATCH(Table3[[#This Row],[PID]],Table5[[#All],[PID]],0))</f>
        <v>16</v>
      </c>
      <c r="BJ172" s="45">
        <f>INDEX(Table5[[#All],[Pick]],MATCH(Table3[[#This Row],[PID]],Table5[[#All],[PID]],0))</f>
        <v>13</v>
      </c>
      <c r="BK172" s="45" t="str">
        <f>INDEX(Table5[[#All],[Team]],MATCH(Table3[[#This Row],[PID]],Table5[[#All],[PID]],0))</f>
        <v>Scottish Claymores</v>
      </c>
      <c r="BL172" s="45" t="str">
        <f>IF(OR(Table3[[#This Row],[POS]]="SP",Table3[[#This Row],[POS]]="RP",Table3[[#This Row],[POS]]="CL"),"P",INDEX(Batters[[#All],[zScore]],MATCH(Table3[[#This Row],[PID]],Batters[[#All],[PID]],0)))</f>
        <v>P</v>
      </c>
    </row>
    <row r="173" spans="1:64" ht="15" customHeight="1" x14ac:dyDescent="0.3">
      <c r="A173" s="40">
        <v>12796</v>
      </c>
      <c r="B173" s="40" t="s">
        <v>24</v>
      </c>
      <c r="C173" s="40" t="s">
        <v>1530</v>
      </c>
      <c r="D173" s="40" t="s">
        <v>1531</v>
      </c>
      <c r="E173" s="40">
        <v>18</v>
      </c>
      <c r="F173" s="40" t="s">
        <v>42</v>
      </c>
      <c r="G173" s="40" t="s">
        <v>42</v>
      </c>
      <c r="H173" s="41" t="s">
        <v>561</v>
      </c>
      <c r="I173" s="42" t="s">
        <v>43</v>
      </c>
      <c r="J173" s="40" t="s">
        <v>43</v>
      </c>
      <c r="K173" s="41" t="s">
        <v>43</v>
      </c>
      <c r="L173" s="40">
        <v>2</v>
      </c>
      <c r="M173" s="40">
        <v>2</v>
      </c>
      <c r="N173" s="41">
        <v>1</v>
      </c>
      <c r="O173" s="40">
        <v>4</v>
      </c>
      <c r="P173" s="40">
        <v>2</v>
      </c>
      <c r="Q173" s="41">
        <v>3</v>
      </c>
      <c r="R173" s="40" t="s">
        <v>45</v>
      </c>
      <c r="S173" s="40" t="s">
        <v>45</v>
      </c>
      <c r="T173" s="40">
        <v>2</v>
      </c>
      <c r="U173" s="40">
        <v>5</v>
      </c>
      <c r="V173" s="40">
        <v>2</v>
      </c>
      <c r="W173" s="40">
        <v>5</v>
      </c>
      <c r="X173" s="40" t="s">
        <v>45</v>
      </c>
      <c r="Y173" s="40" t="s">
        <v>45</v>
      </c>
      <c r="Z173" s="40" t="s">
        <v>45</v>
      </c>
      <c r="AA173" s="40" t="s">
        <v>45</v>
      </c>
      <c r="AB173" s="40" t="s">
        <v>45</v>
      </c>
      <c r="AC173" s="40" t="s">
        <v>45</v>
      </c>
      <c r="AD173" s="40">
        <v>4</v>
      </c>
      <c r="AE173" s="40">
        <v>5</v>
      </c>
      <c r="AF173" s="40" t="s">
        <v>45</v>
      </c>
      <c r="AG173" s="40" t="s">
        <v>45</v>
      </c>
      <c r="AH173" s="40" t="s">
        <v>45</v>
      </c>
      <c r="AI173" s="40" t="s">
        <v>45</v>
      </c>
      <c r="AJ173" s="40" t="s">
        <v>45</v>
      </c>
      <c r="AK173" s="40" t="s">
        <v>45</v>
      </c>
      <c r="AL173" s="40" t="s">
        <v>45</v>
      </c>
      <c r="AM173" s="40" t="s">
        <v>45</v>
      </c>
      <c r="AN173" s="40" t="s">
        <v>45</v>
      </c>
      <c r="AO173" s="41" t="s">
        <v>45</v>
      </c>
      <c r="AP173" s="40" t="s">
        <v>58</v>
      </c>
      <c r="AQ173" s="40">
        <v>10</v>
      </c>
      <c r="AR173" s="48" t="s">
        <v>326</v>
      </c>
      <c r="AS173" s="43" t="s">
        <v>572</v>
      </c>
      <c r="AT173" s="43" t="s">
        <v>103</v>
      </c>
      <c r="AU173" s="44">
        <f t="shared" si="20"/>
        <v>-2.311361197028369</v>
      </c>
      <c r="AV173" s="44">
        <f t="shared" si="21"/>
        <v>-0.99184266516472974</v>
      </c>
      <c r="AW173" s="45">
        <f t="shared" si="22"/>
        <v>3</v>
      </c>
      <c r="AX173" s="45">
        <f t="shared" si="23"/>
        <v>0</v>
      </c>
      <c r="AY173" s="46">
        <f>VLOOKUP(AP173,COND!$A$10:$B$32,2,FALSE)</f>
        <v>1</v>
      </c>
      <c r="AZ173" s="44">
        <f>($AU$3*AU173+$AV$3*AV173+$AW$3*AW173+$AX$3*AX173)*AY173*IF(AQ173&lt;5,0.95,IF(AQ173&lt;7,0.975,1))+$I$3*VLOOKUP(I173,COND!$A$2:$E$7,4,FALSE)+$J$3*VLOOKUP(J173,COND!$A$2:$E$7,2,FALSE)+$K$3*VLOOKUP(K173,COND!$A$2:$E$7,3,FALSE)+IF(BB173="SP",$BB$3,0)+IF($AW173&lt;3,-5,0)+IF(AND($B$2&gt;0,$E173&lt;20),$B$2*25,0)</f>
        <v>33.200874457299733</v>
      </c>
      <c r="BA173" s="47">
        <f t="shared" si="28"/>
        <v>-0.32767398229719263</v>
      </c>
      <c r="BB173" s="45" t="str">
        <f t="shared" si="24"/>
        <v>SP</v>
      </c>
      <c r="BC173" s="45">
        <v>900</v>
      </c>
      <c r="BD173" s="45">
        <v>168</v>
      </c>
      <c r="BE173" s="45"/>
      <c r="BF173" s="45" t="str">
        <f t="shared" si="25"/>
        <v>Unlikely</v>
      </c>
      <c r="BG173" s="45"/>
      <c r="BH173" s="45">
        <f>INDEX(Table5[[#All],[Ovr]],MATCH(Table3[[#This Row],[PID]],Table5[[#All],[PID]],0))</f>
        <v>403</v>
      </c>
      <c r="BI173" s="45" t="str">
        <f>INDEX(Table5[[#All],[Rnd]],MATCH(Table3[[#This Row],[PID]],Table5[[#All],[PID]],0))</f>
        <v>13</v>
      </c>
      <c r="BJ173" s="45">
        <f>INDEX(Table5[[#All],[Pick]],MATCH(Table3[[#This Row],[PID]],Table5[[#All],[PID]],0))</f>
        <v>4</v>
      </c>
      <c r="BK173" s="45" t="str">
        <f>INDEX(Table5[[#All],[Team]],MATCH(Table3[[#This Row],[PID]],Table5[[#All],[PID]],0))</f>
        <v>Palm Springs Codgers</v>
      </c>
      <c r="BL173" s="45" t="str">
        <f>IF(OR(Table3[[#This Row],[POS]]="SP",Table3[[#This Row],[POS]]="RP",Table3[[#This Row],[POS]]="CL"),"P",INDEX(Batters[[#All],[zScore]],MATCH(Table3[[#This Row],[PID]],Batters[[#All],[PID]],0)))</f>
        <v>P</v>
      </c>
    </row>
    <row r="174" spans="1:64" ht="15" customHeight="1" x14ac:dyDescent="0.3">
      <c r="A174" s="40">
        <v>20707</v>
      </c>
      <c r="B174" s="40" t="s">
        <v>380</v>
      </c>
      <c r="C174" s="40" t="s">
        <v>1243</v>
      </c>
      <c r="D174" s="40" t="s">
        <v>714</v>
      </c>
      <c r="E174" s="40">
        <v>17</v>
      </c>
      <c r="F174" s="40" t="s">
        <v>42</v>
      </c>
      <c r="G174" s="40" t="s">
        <v>42</v>
      </c>
      <c r="H174" s="41" t="s">
        <v>561</v>
      </c>
      <c r="I174" s="42" t="s">
        <v>43</v>
      </c>
      <c r="J174" s="40" t="s">
        <v>43</v>
      </c>
      <c r="K174" s="41" t="s">
        <v>43</v>
      </c>
      <c r="L174" s="40">
        <v>2</v>
      </c>
      <c r="M174" s="40">
        <v>2</v>
      </c>
      <c r="N174" s="41">
        <v>1</v>
      </c>
      <c r="O174" s="40">
        <v>4</v>
      </c>
      <c r="P174" s="40">
        <v>2</v>
      </c>
      <c r="Q174" s="41">
        <v>3</v>
      </c>
      <c r="R174" s="40">
        <v>3</v>
      </c>
      <c r="S174" s="40">
        <v>4</v>
      </c>
      <c r="T174" s="40">
        <v>1</v>
      </c>
      <c r="U174" s="40">
        <v>1</v>
      </c>
      <c r="V174" s="40" t="s">
        <v>45</v>
      </c>
      <c r="W174" s="40" t="s">
        <v>45</v>
      </c>
      <c r="X174" s="40" t="s">
        <v>45</v>
      </c>
      <c r="Y174" s="40" t="s">
        <v>45</v>
      </c>
      <c r="Z174" s="40">
        <v>2</v>
      </c>
      <c r="AA174" s="40">
        <v>4</v>
      </c>
      <c r="AB174" s="40" t="s">
        <v>45</v>
      </c>
      <c r="AC174" s="40" t="s">
        <v>45</v>
      </c>
      <c r="AD174" s="40" t="s">
        <v>45</v>
      </c>
      <c r="AE174" s="40" t="s">
        <v>45</v>
      </c>
      <c r="AF174" s="40" t="s">
        <v>45</v>
      </c>
      <c r="AG174" s="40" t="s">
        <v>45</v>
      </c>
      <c r="AH174" s="40" t="s">
        <v>45</v>
      </c>
      <c r="AI174" s="40" t="s">
        <v>45</v>
      </c>
      <c r="AJ174" s="40" t="s">
        <v>45</v>
      </c>
      <c r="AK174" s="40" t="s">
        <v>45</v>
      </c>
      <c r="AL174" s="40" t="s">
        <v>45</v>
      </c>
      <c r="AM174" s="40" t="s">
        <v>45</v>
      </c>
      <c r="AN174" s="40" t="s">
        <v>45</v>
      </c>
      <c r="AO174" s="41" t="s">
        <v>45</v>
      </c>
      <c r="AP174" s="40" t="s">
        <v>64</v>
      </c>
      <c r="AQ174" s="40">
        <v>7</v>
      </c>
      <c r="AR174" s="48" t="s">
        <v>326</v>
      </c>
      <c r="AS174" s="43" t="s">
        <v>583</v>
      </c>
      <c r="AT174" s="43" t="s">
        <v>103</v>
      </c>
      <c r="AU174" s="44">
        <f t="shared" si="20"/>
        <v>-2.311361197028369</v>
      </c>
      <c r="AV174" s="44">
        <f t="shared" si="21"/>
        <v>-0.99184266516472974</v>
      </c>
      <c r="AW174" s="45">
        <f t="shared" si="22"/>
        <v>3</v>
      </c>
      <c r="AX174" s="45">
        <f t="shared" si="23"/>
        <v>0</v>
      </c>
      <c r="AY174" s="46">
        <f>VLOOKUP(AP174,COND!$A$10:$B$32,2,FALSE)</f>
        <v>1</v>
      </c>
      <c r="AZ174" s="44">
        <f>($AU$3*AU174+$AV$3*AV174+$AW$3*AW174+$AX$3*AX174)*AY174*IF(AQ174&lt;5,0.95,IF(AQ174&lt;7,0.975,1))+$I$3*VLOOKUP(I174,COND!$A$2:$E$7,4,FALSE)+$J$3*VLOOKUP(J174,COND!$A$2:$E$7,2,FALSE)+$K$3*VLOOKUP(K174,COND!$A$2:$E$7,3,FALSE)+IF(BB174="SP",$BB$3,0)+IF($AW174&lt;3,-5,0)+IF(AND($B$2&gt;0,$E174&lt;20),$B$2*25,0)</f>
        <v>33.200874457299733</v>
      </c>
      <c r="BA174" s="47">
        <f t="shared" si="28"/>
        <v>-0.32767398229719263</v>
      </c>
      <c r="BB174" s="45" t="str">
        <f t="shared" si="24"/>
        <v>SP</v>
      </c>
      <c r="BC174" s="45">
        <v>900</v>
      </c>
      <c r="BD174" s="45">
        <v>169</v>
      </c>
      <c r="BE174" s="45"/>
      <c r="BF174" s="45" t="str">
        <f t="shared" si="25"/>
        <v>Unlikely</v>
      </c>
      <c r="BG174" s="45"/>
      <c r="BH174" s="45">
        <f>INDEX(Table5[[#All],[Ovr]],MATCH(Table3[[#This Row],[PID]],Table5[[#All],[PID]],0))</f>
        <v>549</v>
      </c>
      <c r="BI174" s="45" t="str">
        <f>INDEX(Table5[[#All],[Rnd]],MATCH(Table3[[#This Row],[PID]],Table5[[#All],[PID]],0))</f>
        <v>17</v>
      </c>
      <c r="BJ174" s="45">
        <f>INDEX(Table5[[#All],[Pick]],MATCH(Table3[[#This Row],[PID]],Table5[[#All],[PID]],0))</f>
        <v>14</v>
      </c>
      <c r="BK174" s="45" t="str">
        <f>INDEX(Table5[[#All],[Team]],MATCH(Table3[[#This Row],[PID]],Table5[[#All],[PID]],0))</f>
        <v>San Antonio Calzones of Laredo</v>
      </c>
      <c r="BL174" s="45" t="str">
        <f>IF(OR(Table3[[#This Row],[POS]]="SP",Table3[[#This Row],[POS]]="RP",Table3[[#This Row],[POS]]="CL"),"P",INDEX(Batters[[#All],[zScore]],MATCH(Table3[[#This Row],[PID]],Batters[[#All],[PID]],0)))</f>
        <v>P</v>
      </c>
    </row>
    <row r="175" spans="1:64" ht="15" customHeight="1" x14ac:dyDescent="0.3">
      <c r="A175" s="40">
        <v>12467</v>
      </c>
      <c r="B175" s="40" t="s">
        <v>24</v>
      </c>
      <c r="C175" s="40" t="s">
        <v>125</v>
      </c>
      <c r="D175" s="40" t="s">
        <v>1593</v>
      </c>
      <c r="E175" s="40">
        <v>17</v>
      </c>
      <c r="F175" s="40" t="s">
        <v>42</v>
      </c>
      <c r="G175" s="40" t="s">
        <v>42</v>
      </c>
      <c r="H175" s="41" t="s">
        <v>561</v>
      </c>
      <c r="I175" s="42" t="s">
        <v>43</v>
      </c>
      <c r="J175" s="40" t="s">
        <v>43</v>
      </c>
      <c r="K175" s="41" t="s">
        <v>43</v>
      </c>
      <c r="L175" s="40">
        <v>2</v>
      </c>
      <c r="M175" s="40">
        <v>2</v>
      </c>
      <c r="N175" s="41">
        <v>1</v>
      </c>
      <c r="O175" s="40">
        <v>4</v>
      </c>
      <c r="P175" s="40">
        <v>2</v>
      </c>
      <c r="Q175" s="41">
        <v>3</v>
      </c>
      <c r="R175" s="40">
        <v>4</v>
      </c>
      <c r="S175" s="40">
        <v>5</v>
      </c>
      <c r="T175" s="40">
        <v>1</v>
      </c>
      <c r="U175" s="40">
        <v>5</v>
      </c>
      <c r="V175" s="40" t="s">
        <v>45</v>
      </c>
      <c r="W175" s="40" t="s">
        <v>45</v>
      </c>
      <c r="X175" s="40" t="s">
        <v>45</v>
      </c>
      <c r="Y175" s="40" t="s">
        <v>45</v>
      </c>
      <c r="Z175" s="40" t="s">
        <v>45</v>
      </c>
      <c r="AA175" s="40" t="s">
        <v>45</v>
      </c>
      <c r="AB175" s="40">
        <v>4</v>
      </c>
      <c r="AC175" s="40">
        <v>5</v>
      </c>
      <c r="AD175" s="40" t="s">
        <v>45</v>
      </c>
      <c r="AE175" s="40" t="s">
        <v>45</v>
      </c>
      <c r="AF175" s="40" t="s">
        <v>45</v>
      </c>
      <c r="AG175" s="40" t="s">
        <v>45</v>
      </c>
      <c r="AH175" s="40" t="s">
        <v>45</v>
      </c>
      <c r="AI175" s="40" t="s">
        <v>45</v>
      </c>
      <c r="AJ175" s="40" t="s">
        <v>45</v>
      </c>
      <c r="AK175" s="40" t="s">
        <v>45</v>
      </c>
      <c r="AL175" s="40" t="s">
        <v>45</v>
      </c>
      <c r="AM175" s="40" t="s">
        <v>45</v>
      </c>
      <c r="AN175" s="40" t="s">
        <v>45</v>
      </c>
      <c r="AO175" s="41" t="s">
        <v>45</v>
      </c>
      <c r="AP175" s="40" t="s">
        <v>56</v>
      </c>
      <c r="AQ175" s="40">
        <v>9</v>
      </c>
      <c r="AR175" s="48" t="s">
        <v>326</v>
      </c>
      <c r="AS175" s="43" t="s">
        <v>558</v>
      </c>
      <c r="AT175" s="43" t="s">
        <v>103</v>
      </c>
      <c r="AU175" s="44">
        <f t="shared" si="20"/>
        <v>-2.311361197028369</v>
      </c>
      <c r="AV175" s="44">
        <f t="shared" si="21"/>
        <v>-0.99184266516472974</v>
      </c>
      <c r="AW175" s="45">
        <f t="shared" si="22"/>
        <v>3</v>
      </c>
      <c r="AX175" s="45">
        <f t="shared" si="23"/>
        <v>0</v>
      </c>
      <c r="AY175" s="46">
        <f>VLOOKUP(AP175,COND!$A$10:$B$32,2,FALSE)</f>
        <v>1</v>
      </c>
      <c r="AZ175" s="44">
        <f>($AU$3*AU175+$AV$3*AV175+$AW$3*AW175+$AX$3*AX175)*AY175*IF(AQ175&lt;5,0.95,IF(AQ175&lt;7,0.975,1))+$I$3*VLOOKUP(I175,COND!$A$2:$E$7,4,FALSE)+$J$3*VLOOKUP(J175,COND!$A$2:$E$7,2,FALSE)+$K$3*VLOOKUP(K175,COND!$A$2:$E$7,3,FALSE)+IF(BB175="SP",$BB$3,0)+IF($AW175&lt;3,-5,0)+IF(AND($B$2&gt;0,$E175&lt;20),$B$2*25,0)</f>
        <v>33.200874457299733</v>
      </c>
      <c r="BA175" s="47">
        <f t="shared" si="28"/>
        <v>-0.32767398229719263</v>
      </c>
      <c r="BB175" s="45" t="str">
        <f t="shared" si="24"/>
        <v>SP</v>
      </c>
      <c r="BC175" s="45">
        <v>900</v>
      </c>
      <c r="BD175" s="45">
        <v>170</v>
      </c>
      <c r="BE175" s="45"/>
      <c r="BF175" s="45" t="str">
        <f t="shared" si="25"/>
        <v>Unlikely</v>
      </c>
      <c r="BG175" s="45"/>
      <c r="BH175" s="45">
        <f>INDEX(Table5[[#All],[Ovr]],MATCH(Table3[[#This Row],[PID]],Table5[[#All],[PID]],0))</f>
        <v>558</v>
      </c>
      <c r="BI175" s="45" t="str">
        <f>INDEX(Table5[[#All],[Rnd]],MATCH(Table3[[#This Row],[PID]],Table5[[#All],[PID]],0))</f>
        <v>17</v>
      </c>
      <c r="BJ175" s="45">
        <f>INDEX(Table5[[#All],[Pick]],MATCH(Table3[[#This Row],[PID]],Table5[[#All],[PID]],0))</f>
        <v>23</v>
      </c>
      <c r="BK175" s="45" t="str">
        <f>INDEX(Table5[[#All],[Team]],MATCH(Table3[[#This Row],[PID]],Table5[[#All],[PID]],0))</f>
        <v>Kentucky Thoroughbreds</v>
      </c>
      <c r="BL175" s="45" t="str">
        <f>IF(OR(Table3[[#This Row],[POS]]="SP",Table3[[#This Row],[POS]]="RP",Table3[[#This Row],[POS]]="CL"),"P",INDEX(Batters[[#All],[zScore]],MATCH(Table3[[#This Row],[PID]],Batters[[#All],[PID]],0)))</f>
        <v>P</v>
      </c>
    </row>
    <row r="176" spans="1:64" ht="15" customHeight="1" x14ac:dyDescent="0.3">
      <c r="A176" s="40">
        <v>20702</v>
      </c>
      <c r="B176" s="40" t="s">
        <v>24</v>
      </c>
      <c r="C176" s="40" t="s">
        <v>352</v>
      </c>
      <c r="D176" s="40" t="s">
        <v>556</v>
      </c>
      <c r="E176" s="40">
        <v>16</v>
      </c>
      <c r="F176" s="40" t="s">
        <v>53</v>
      </c>
      <c r="G176" s="40" t="s">
        <v>42</v>
      </c>
      <c r="H176" s="41" t="s">
        <v>561</v>
      </c>
      <c r="I176" s="42" t="s">
        <v>44</v>
      </c>
      <c r="J176" s="40" t="s">
        <v>43</v>
      </c>
      <c r="K176" s="41" t="s">
        <v>43</v>
      </c>
      <c r="L176" s="40">
        <v>1</v>
      </c>
      <c r="M176" s="40">
        <v>2</v>
      </c>
      <c r="N176" s="41">
        <v>1</v>
      </c>
      <c r="O176" s="40">
        <v>4</v>
      </c>
      <c r="P176" s="40">
        <v>2</v>
      </c>
      <c r="Q176" s="41">
        <v>3</v>
      </c>
      <c r="R176" s="40">
        <v>3</v>
      </c>
      <c r="S176" s="40">
        <v>6</v>
      </c>
      <c r="T176" s="40" t="s">
        <v>45</v>
      </c>
      <c r="U176" s="40" t="s">
        <v>45</v>
      </c>
      <c r="V176" s="40">
        <v>1</v>
      </c>
      <c r="W176" s="40">
        <v>5</v>
      </c>
      <c r="X176" s="40">
        <v>2</v>
      </c>
      <c r="Y176" s="40">
        <v>5</v>
      </c>
      <c r="Z176" s="40" t="s">
        <v>45</v>
      </c>
      <c r="AA176" s="40" t="s">
        <v>45</v>
      </c>
      <c r="AB176" s="40" t="s">
        <v>45</v>
      </c>
      <c r="AC176" s="40" t="s">
        <v>45</v>
      </c>
      <c r="AD176" s="40" t="s">
        <v>45</v>
      </c>
      <c r="AE176" s="40" t="s">
        <v>45</v>
      </c>
      <c r="AF176" s="40" t="s">
        <v>45</v>
      </c>
      <c r="AG176" s="40" t="s">
        <v>45</v>
      </c>
      <c r="AH176" s="40" t="s">
        <v>45</v>
      </c>
      <c r="AI176" s="40" t="s">
        <v>45</v>
      </c>
      <c r="AJ176" s="40" t="s">
        <v>45</v>
      </c>
      <c r="AK176" s="40" t="s">
        <v>45</v>
      </c>
      <c r="AL176" s="40" t="s">
        <v>45</v>
      </c>
      <c r="AM176" s="40" t="s">
        <v>45</v>
      </c>
      <c r="AN176" s="40" t="s">
        <v>45</v>
      </c>
      <c r="AO176" s="41" t="s">
        <v>45</v>
      </c>
      <c r="AP176" s="40" t="s">
        <v>329</v>
      </c>
      <c r="AQ176" s="40">
        <v>4</v>
      </c>
      <c r="AR176" s="48" t="s">
        <v>326</v>
      </c>
      <c r="AS176" s="43" t="s">
        <v>558</v>
      </c>
      <c r="AT176" s="43" t="s">
        <v>103</v>
      </c>
      <c r="AU176" s="44">
        <f t="shared" si="20"/>
        <v>-2.5060525215375429</v>
      </c>
      <c r="AV176" s="44">
        <f t="shared" si="21"/>
        <v>-0.99184266516472974</v>
      </c>
      <c r="AW176" s="45">
        <f t="shared" si="22"/>
        <v>3</v>
      </c>
      <c r="AX176" s="45">
        <f t="shared" si="23"/>
        <v>1</v>
      </c>
      <c r="AY176" s="46">
        <f>VLOOKUP(AP176,COND!$A$10:$B$32,2,FALSE)</f>
        <v>1</v>
      </c>
      <c r="AZ176" s="44">
        <f>($AU$3*AU176+$AV$3*AV176+$AW$3*AW176+$AX$3*AX176)*AY176*IF(AQ176&lt;5,0.95,IF(AQ176&lt;7,0.975,1))+$I$3*VLOOKUP(I176,COND!$A$2:$E$7,4,FALSE)+$J$3*VLOOKUP(J176,COND!$A$2:$E$7,2,FALSE)+$K$3*VLOOKUP(K176,COND!$A$2:$E$7,3,FALSE)+IF(BB176="SP",$BB$3,0)+IF($AW176&lt;3,-5,0)+IF(AND($B$2&gt;0,$E176&lt;20),$B$2*25,0)</f>
        <v>33.141339382778</v>
      </c>
      <c r="BA176" s="47">
        <f t="shared" si="28"/>
        <v>-0.33191329830575672</v>
      </c>
      <c r="BB176" s="45" t="str">
        <f t="shared" si="24"/>
        <v>RP</v>
      </c>
      <c r="BC176" s="45">
        <v>900</v>
      </c>
      <c r="BD176" s="45">
        <v>171</v>
      </c>
      <c r="BE176" s="45"/>
      <c r="BF176" s="45" t="str">
        <f t="shared" si="25"/>
        <v>Unlikely</v>
      </c>
      <c r="BG176" s="45"/>
      <c r="BH176" s="45" t="str">
        <f>INDEX(Table5[[#All],[Ovr]],MATCH(Table3[[#This Row],[PID]],Table5[[#All],[PID]],0))</f>
        <v/>
      </c>
      <c r="BI176" s="45" t="str">
        <f>INDEX(Table5[[#All],[Rnd]],MATCH(Table3[[#This Row],[PID]],Table5[[#All],[PID]],0))</f>
        <v/>
      </c>
      <c r="BJ176" s="45" t="str">
        <f>INDEX(Table5[[#All],[Pick]],MATCH(Table3[[#This Row],[PID]],Table5[[#All],[PID]],0))</f>
        <v/>
      </c>
      <c r="BK176" s="45" t="str">
        <f>INDEX(Table5[[#All],[Team]],MATCH(Table3[[#This Row],[PID]],Table5[[#All],[PID]],0))</f>
        <v/>
      </c>
      <c r="BL176" s="45" t="str">
        <f>IF(OR(Table3[[#This Row],[POS]]="SP",Table3[[#This Row],[POS]]="RP",Table3[[#This Row],[POS]]="CL"),"P",INDEX(Batters[[#All],[zScore]],MATCH(Table3[[#This Row],[PID]],Batters[[#All],[PID]],0)))</f>
        <v>P</v>
      </c>
    </row>
    <row r="177" spans="1:64" ht="15" customHeight="1" x14ac:dyDescent="0.3">
      <c r="A177" s="40">
        <v>6040</v>
      </c>
      <c r="B177" s="40" t="s">
        <v>49</v>
      </c>
      <c r="C177" s="40" t="s">
        <v>169</v>
      </c>
      <c r="D177" s="40" t="s">
        <v>197</v>
      </c>
      <c r="E177" s="40">
        <v>21</v>
      </c>
      <c r="F177" s="40" t="s">
        <v>62</v>
      </c>
      <c r="G177" s="40" t="s">
        <v>42</v>
      </c>
      <c r="H177" s="41" t="s">
        <v>561</v>
      </c>
      <c r="I177" s="42" t="s">
        <v>43</v>
      </c>
      <c r="J177" s="40" t="s">
        <v>43</v>
      </c>
      <c r="K177" s="41" t="s">
        <v>43</v>
      </c>
      <c r="L177" s="40">
        <v>3</v>
      </c>
      <c r="M177" s="40">
        <v>2</v>
      </c>
      <c r="N177" s="41">
        <v>1</v>
      </c>
      <c r="O177" s="40">
        <v>4</v>
      </c>
      <c r="P177" s="40">
        <v>3</v>
      </c>
      <c r="Q177" s="41">
        <v>3</v>
      </c>
      <c r="R177" s="40">
        <v>3</v>
      </c>
      <c r="S177" s="40">
        <v>5</v>
      </c>
      <c r="T177" s="40">
        <v>1</v>
      </c>
      <c r="U177" s="40">
        <v>1</v>
      </c>
      <c r="V177" s="40">
        <v>4</v>
      </c>
      <c r="W177" s="40">
        <v>6</v>
      </c>
      <c r="X177" s="40" t="s">
        <v>45</v>
      </c>
      <c r="Y177" s="40" t="s">
        <v>45</v>
      </c>
      <c r="Z177" s="40" t="s">
        <v>45</v>
      </c>
      <c r="AA177" s="40" t="s">
        <v>45</v>
      </c>
      <c r="AB177" s="40" t="s">
        <v>45</v>
      </c>
      <c r="AC177" s="40" t="s">
        <v>45</v>
      </c>
      <c r="AD177" s="40" t="s">
        <v>45</v>
      </c>
      <c r="AE177" s="40" t="s">
        <v>45</v>
      </c>
      <c r="AF177" s="40" t="s">
        <v>45</v>
      </c>
      <c r="AG177" s="40" t="s">
        <v>45</v>
      </c>
      <c r="AH177" s="40" t="s">
        <v>45</v>
      </c>
      <c r="AI177" s="40" t="s">
        <v>45</v>
      </c>
      <c r="AJ177" s="40" t="s">
        <v>45</v>
      </c>
      <c r="AK177" s="40" t="s">
        <v>45</v>
      </c>
      <c r="AL177" s="40" t="s">
        <v>45</v>
      </c>
      <c r="AM177" s="40" t="s">
        <v>45</v>
      </c>
      <c r="AN177" s="40" t="s">
        <v>45</v>
      </c>
      <c r="AO177" s="41" t="s">
        <v>45</v>
      </c>
      <c r="AP177" s="40" t="s">
        <v>68</v>
      </c>
      <c r="AQ177" s="40">
        <v>3</v>
      </c>
      <c r="AR177" s="48" t="s">
        <v>326</v>
      </c>
      <c r="AS177" s="43" t="s">
        <v>45</v>
      </c>
      <c r="AT177" s="43" t="s">
        <v>103</v>
      </c>
      <c r="AU177" s="44">
        <f t="shared" si="20"/>
        <v>-2.1166698725191955</v>
      </c>
      <c r="AV177" s="44">
        <f t="shared" si="21"/>
        <v>-0.79641094873467422</v>
      </c>
      <c r="AW177" s="45">
        <f t="shared" si="22"/>
        <v>3</v>
      </c>
      <c r="AX177" s="45">
        <f t="shared" si="23"/>
        <v>1</v>
      </c>
      <c r="AY177" s="46">
        <f>VLOOKUP(AP177,COND!$A$10:$B$32,2,FALSE)</f>
        <v>0.95</v>
      </c>
      <c r="AZ177" s="44">
        <f>($AU$3*AU177+$AV$3*AV177+$AW$3*AW177+$AX$3*AX177)*AY177*IF(AQ177&lt;5,0.95,IF(AQ177&lt;7,0.975,1))+$I$3*VLOOKUP(I177,COND!$A$2:$E$7,4,FALSE)+$J$3*VLOOKUP(J177,COND!$A$2:$E$7,2,FALSE)+$K$3*VLOOKUP(K177,COND!$A$2:$E$7,3,FALSE)+IF(BB177="SP",$BB$3,0)+IF($AW177&lt;3,-5,0)+IF(AND($B$2&gt;0,$E177&lt;20),$B$2*25,0)</f>
        <v>32.724598463349416</v>
      </c>
      <c r="BA177" s="47">
        <f t="shared" si="28"/>
        <v>-0.36158818265502196</v>
      </c>
      <c r="BB177" s="45" t="str">
        <f t="shared" si="24"/>
        <v>RP</v>
      </c>
      <c r="BC177" s="45">
        <v>900</v>
      </c>
      <c r="BD177" s="45">
        <v>172</v>
      </c>
      <c r="BE177" s="45"/>
      <c r="BF177" s="45" t="str">
        <f t="shared" si="25"/>
        <v>Unlikely</v>
      </c>
      <c r="BG177" s="45"/>
      <c r="BH177" s="45" t="str">
        <f>INDEX(Table5[[#All],[Ovr]],MATCH(Table3[[#This Row],[PID]],Table5[[#All],[PID]],0))</f>
        <v/>
      </c>
      <c r="BI177" s="45" t="str">
        <f>INDEX(Table5[[#All],[Rnd]],MATCH(Table3[[#This Row],[PID]],Table5[[#All],[PID]],0))</f>
        <v/>
      </c>
      <c r="BJ177" s="45" t="str">
        <f>INDEX(Table5[[#All],[Pick]],MATCH(Table3[[#This Row],[PID]],Table5[[#All],[PID]],0))</f>
        <v/>
      </c>
      <c r="BK177" s="45" t="str">
        <f>INDEX(Table5[[#All],[Team]],MATCH(Table3[[#This Row],[PID]],Table5[[#All],[PID]],0))</f>
        <v/>
      </c>
      <c r="BL177" s="45" t="str">
        <f>IF(OR(Table3[[#This Row],[POS]]="SP",Table3[[#This Row],[POS]]="RP",Table3[[#This Row],[POS]]="CL"),"P",INDEX(Batters[[#All],[zScore]],MATCH(Table3[[#This Row],[PID]],Batters[[#All],[PID]],0)))</f>
        <v>P</v>
      </c>
    </row>
    <row r="178" spans="1:64" ht="15" customHeight="1" x14ac:dyDescent="0.3">
      <c r="A178" s="40">
        <v>16883</v>
      </c>
      <c r="B178" s="40" t="s">
        <v>380</v>
      </c>
      <c r="C178" s="40" t="s">
        <v>138</v>
      </c>
      <c r="D178" s="40" t="s">
        <v>523</v>
      </c>
      <c r="E178" s="40">
        <v>22</v>
      </c>
      <c r="F178" s="40" t="s">
        <v>53</v>
      </c>
      <c r="G178" s="40" t="s">
        <v>53</v>
      </c>
      <c r="H178" s="41" t="s">
        <v>561</v>
      </c>
      <c r="I178" s="42" t="s">
        <v>43</v>
      </c>
      <c r="J178" s="40" t="s">
        <v>47</v>
      </c>
      <c r="K178" s="41" t="s">
        <v>43</v>
      </c>
      <c r="L178" s="40">
        <v>1</v>
      </c>
      <c r="M178" s="40">
        <v>2</v>
      </c>
      <c r="N178" s="41">
        <v>2</v>
      </c>
      <c r="O178" s="40">
        <v>4</v>
      </c>
      <c r="P178" s="40">
        <v>2</v>
      </c>
      <c r="Q178" s="41">
        <v>3</v>
      </c>
      <c r="R178" s="40">
        <v>2</v>
      </c>
      <c r="S178" s="40">
        <v>4</v>
      </c>
      <c r="T178" s="40">
        <v>2</v>
      </c>
      <c r="U178" s="40">
        <v>7</v>
      </c>
      <c r="V178" s="40">
        <v>1</v>
      </c>
      <c r="W178" s="40">
        <v>2</v>
      </c>
      <c r="X178" s="40" t="s">
        <v>45</v>
      </c>
      <c r="Y178" s="40" t="s">
        <v>45</v>
      </c>
      <c r="Z178" s="40" t="s">
        <v>45</v>
      </c>
      <c r="AA178" s="40" t="s">
        <v>45</v>
      </c>
      <c r="AB178" s="40" t="s">
        <v>45</v>
      </c>
      <c r="AC178" s="40" t="s">
        <v>45</v>
      </c>
      <c r="AD178" s="40" t="s">
        <v>45</v>
      </c>
      <c r="AE178" s="40" t="s">
        <v>45</v>
      </c>
      <c r="AF178" s="40" t="s">
        <v>45</v>
      </c>
      <c r="AG178" s="40" t="s">
        <v>45</v>
      </c>
      <c r="AH178" s="40" t="s">
        <v>45</v>
      </c>
      <c r="AI178" s="40" t="s">
        <v>45</v>
      </c>
      <c r="AJ178" s="40" t="s">
        <v>45</v>
      </c>
      <c r="AK178" s="40" t="s">
        <v>45</v>
      </c>
      <c r="AL178" s="40" t="s">
        <v>45</v>
      </c>
      <c r="AM178" s="40" t="s">
        <v>45</v>
      </c>
      <c r="AN178" s="40" t="s">
        <v>45</v>
      </c>
      <c r="AO178" s="41" t="s">
        <v>45</v>
      </c>
      <c r="AP178" s="40" t="s">
        <v>67</v>
      </c>
      <c r="AQ178" s="40">
        <v>5</v>
      </c>
      <c r="AR178" s="48" t="s">
        <v>326</v>
      </c>
      <c r="AS178" s="43" t="s">
        <v>45</v>
      </c>
      <c r="AT178" s="43" t="s">
        <v>103</v>
      </c>
      <c r="AU178" s="44">
        <f t="shared" si="20"/>
        <v>-2.2637319554834323</v>
      </c>
      <c r="AV178" s="44">
        <f t="shared" si="21"/>
        <v>-0.99184266516472974</v>
      </c>
      <c r="AW178" s="45">
        <f t="shared" si="22"/>
        <v>3</v>
      </c>
      <c r="AX178" s="45">
        <f t="shared" si="23"/>
        <v>1</v>
      </c>
      <c r="AY178" s="46">
        <f>VLOOKUP(AP178,COND!$A$10:$B$32,2,FALSE)</f>
        <v>0.9</v>
      </c>
      <c r="AZ178" s="44">
        <f>($AU$3*AU178+$AV$3*AV178+$AW$3*AW178+$AX$3*AX178)*AY178*IF(AQ178&lt;5,0.95,IF(AQ178&lt;7,0.975,1))+$I$3*VLOOKUP(I178,COND!$A$2:$E$7,4,FALSE)+$J$3*VLOOKUP(J178,COND!$A$2:$E$7,2,FALSE)+$K$3*VLOOKUP(K178,COND!$A$2:$E$7,3,FALSE)+IF(BB178="SP",$BB$3,0)+IF($AW178&lt;3,-5,0)+IF(AND($B$2&gt;0,$E178&lt;20),$B$2*25,0)</f>
        <v>31.90900126817165</v>
      </c>
      <c r="BA178" s="47">
        <f>STANDARDIZE(AZ178,AVERAGE($AZ$5:$AZ$445),STDEVP($AZ$5:$AZ$445))</f>
        <v>-0.41306117963471417</v>
      </c>
      <c r="BB178" s="45" t="str">
        <f t="shared" si="24"/>
        <v>SP</v>
      </c>
      <c r="BC178" s="45">
        <v>900</v>
      </c>
      <c r="BD178" s="45">
        <v>173</v>
      </c>
      <c r="BE178" s="45"/>
      <c r="BF178" s="45" t="str">
        <f t="shared" si="25"/>
        <v>Unlikely</v>
      </c>
      <c r="BG178" s="45"/>
      <c r="BH178" s="63" t="str">
        <f>INDEX(Table5[[#All],[Ovr]],MATCH(Table3[[#This Row],[PID]],Table5[[#All],[PID]],0))</f>
        <v/>
      </c>
      <c r="BI178" s="63" t="str">
        <f>INDEX(Table5[[#All],[Rnd]],MATCH(Table3[[#This Row],[PID]],Table5[[#All],[PID]],0))</f>
        <v/>
      </c>
      <c r="BJ178" s="63" t="str">
        <f>INDEX(Table5[[#All],[Pick]],MATCH(Table3[[#This Row],[PID]],Table5[[#All],[PID]],0))</f>
        <v/>
      </c>
      <c r="BK178" s="63" t="str">
        <f>INDEX(Table5[[#All],[Team]],MATCH(Table3[[#This Row],[PID]],Table5[[#All],[PID]],0))</f>
        <v/>
      </c>
      <c r="BL178" s="63" t="str">
        <f>IF(OR(Table3[[#This Row],[POS]]="SP",Table3[[#This Row],[POS]]="RP",Table3[[#This Row],[POS]]="CL"),"P",INDEX(Batters[[#All],[zScore]],MATCH(Table3[[#This Row],[PID]],Batters[[#All],[PID]],0)))</f>
        <v>P</v>
      </c>
    </row>
    <row r="179" spans="1:64" ht="15" customHeight="1" x14ac:dyDescent="0.3">
      <c r="A179" s="40">
        <v>11789</v>
      </c>
      <c r="B179" s="40" t="s">
        <v>380</v>
      </c>
      <c r="C179" s="40" t="s">
        <v>169</v>
      </c>
      <c r="D179" s="40" t="s">
        <v>1364</v>
      </c>
      <c r="E179" s="40">
        <v>21</v>
      </c>
      <c r="F179" s="40" t="s">
        <v>62</v>
      </c>
      <c r="G179" s="40" t="s">
        <v>42</v>
      </c>
      <c r="H179" s="41" t="s">
        <v>561</v>
      </c>
      <c r="I179" s="42" t="s">
        <v>47</v>
      </c>
      <c r="J179" s="40" t="s">
        <v>43</v>
      </c>
      <c r="K179" s="41" t="s">
        <v>43</v>
      </c>
      <c r="L179" s="40">
        <v>3</v>
      </c>
      <c r="M179" s="40">
        <v>1</v>
      </c>
      <c r="N179" s="41">
        <v>2</v>
      </c>
      <c r="O179" s="40">
        <v>5</v>
      </c>
      <c r="P179" s="40">
        <v>1</v>
      </c>
      <c r="Q179" s="41">
        <v>3</v>
      </c>
      <c r="R179" s="40">
        <v>4</v>
      </c>
      <c r="S179" s="40">
        <v>6</v>
      </c>
      <c r="T179" s="40" t="s">
        <v>45</v>
      </c>
      <c r="U179" s="40" t="s">
        <v>45</v>
      </c>
      <c r="V179" s="40">
        <v>3</v>
      </c>
      <c r="W179" s="40">
        <v>7</v>
      </c>
      <c r="X179" s="40">
        <v>3</v>
      </c>
      <c r="Y179" s="40">
        <v>6</v>
      </c>
      <c r="Z179" s="40" t="s">
        <v>45</v>
      </c>
      <c r="AA179" s="40" t="s">
        <v>45</v>
      </c>
      <c r="AB179" s="40" t="s">
        <v>45</v>
      </c>
      <c r="AC179" s="40" t="s">
        <v>45</v>
      </c>
      <c r="AD179" s="40" t="s">
        <v>45</v>
      </c>
      <c r="AE179" s="40" t="s">
        <v>45</v>
      </c>
      <c r="AF179" s="40" t="s">
        <v>45</v>
      </c>
      <c r="AG179" s="40" t="s">
        <v>45</v>
      </c>
      <c r="AH179" s="40" t="s">
        <v>45</v>
      </c>
      <c r="AI179" s="40" t="s">
        <v>45</v>
      </c>
      <c r="AJ179" s="40" t="s">
        <v>45</v>
      </c>
      <c r="AK179" s="40" t="s">
        <v>45</v>
      </c>
      <c r="AL179" s="40" t="s">
        <v>45</v>
      </c>
      <c r="AM179" s="40" t="s">
        <v>45</v>
      </c>
      <c r="AN179" s="40" t="s">
        <v>45</v>
      </c>
      <c r="AO179" s="41" t="s">
        <v>45</v>
      </c>
      <c r="AP179" s="40" t="s">
        <v>57</v>
      </c>
      <c r="AQ179" s="40">
        <v>6</v>
      </c>
      <c r="AR179" s="48" t="s">
        <v>14</v>
      </c>
      <c r="AS179" s="43" t="s">
        <v>45</v>
      </c>
      <c r="AT179" s="43" t="s">
        <v>103</v>
      </c>
      <c r="AU179" s="44">
        <f t="shared" si="20"/>
        <v>-2.0697810228951408</v>
      </c>
      <c r="AV179" s="44">
        <f t="shared" si="21"/>
        <v>-0.99258305708561179</v>
      </c>
      <c r="AW179" s="45">
        <f t="shared" si="22"/>
        <v>3</v>
      </c>
      <c r="AX179" s="45">
        <f t="shared" si="23"/>
        <v>3</v>
      </c>
      <c r="AY179" s="46">
        <f>VLOOKUP(AP179,COND!$A$10:$B$32,2,FALSE)</f>
        <v>1</v>
      </c>
      <c r="AZ179" s="44">
        <f>($AU$3*AU179+$AV$3*AV179+$AW$3*AW179+$AX$3*AX179)*AY179*IF(AQ179&lt;5,0.95,IF(AQ179&lt;7,0.975,1))+$I$3*VLOOKUP(I179,COND!$A$2:$E$7,4,FALSE)+$J$3*VLOOKUP(J179,COND!$A$2:$E$7,2,FALSE)+$K$3*VLOOKUP(K179,COND!$A$2:$E$7,3,FALSE)+IF(BB179="SP",$BB$3,0)+IF($AW179&lt;3,-5,0)+IF(AND($B$2&gt;0,$E179&lt;20),$B$2*25,0)</f>
        <v>32.584773087366017</v>
      </c>
      <c r="BA179" s="47">
        <f t="shared" ref="BA179:BA186" si="29">STANDARDIZE(AZ179,AVERAGE($AZ$5:$AZ$428),STDEVP($AZ$5:$AZ$428))</f>
        <v>-0.37154473279914801</v>
      </c>
      <c r="BB179" s="45" t="str">
        <f t="shared" si="24"/>
        <v>SP</v>
      </c>
      <c r="BC179" s="45">
        <v>900</v>
      </c>
      <c r="BD179" s="45">
        <v>174</v>
      </c>
      <c r="BE179" s="45"/>
      <c r="BF179" s="45" t="str">
        <f t="shared" si="25"/>
        <v>Unlikely</v>
      </c>
      <c r="BG179" s="45"/>
      <c r="BH179" s="45">
        <f>INDEX(Table5[[#All],[Ovr]],MATCH(Table3[[#This Row],[PID]],Table5[[#All],[PID]],0))</f>
        <v>458</v>
      </c>
      <c r="BI179" s="45" t="str">
        <f>INDEX(Table5[[#All],[Rnd]],MATCH(Table3[[#This Row],[PID]],Table5[[#All],[PID]],0))</f>
        <v>14</v>
      </c>
      <c r="BJ179" s="45">
        <f>INDEX(Table5[[#All],[Pick]],MATCH(Table3[[#This Row],[PID]],Table5[[#All],[PID]],0))</f>
        <v>25</v>
      </c>
      <c r="BK179" s="45" t="str">
        <f>INDEX(Table5[[#All],[Team]],MATCH(Table3[[#This Row],[PID]],Table5[[#All],[PID]],0))</f>
        <v>Kalamazoo Badgers</v>
      </c>
      <c r="BL179" s="45" t="str">
        <f>IF(OR(Table3[[#This Row],[POS]]="SP",Table3[[#This Row],[POS]]="RP",Table3[[#This Row],[POS]]="CL"),"P",INDEX(Batters[[#All],[zScore]],MATCH(Table3[[#This Row],[PID]],Batters[[#All],[PID]],0)))</f>
        <v>P</v>
      </c>
    </row>
    <row r="180" spans="1:64" ht="15" customHeight="1" x14ac:dyDescent="0.3">
      <c r="A180" s="40">
        <v>15560</v>
      </c>
      <c r="B180" s="40" t="s">
        <v>380</v>
      </c>
      <c r="C180" s="40" t="s">
        <v>1492</v>
      </c>
      <c r="D180" s="40" t="s">
        <v>1493</v>
      </c>
      <c r="E180" s="40">
        <v>21</v>
      </c>
      <c r="F180" s="40" t="s">
        <v>42</v>
      </c>
      <c r="G180" s="40" t="s">
        <v>42</v>
      </c>
      <c r="H180" s="41" t="s">
        <v>561</v>
      </c>
      <c r="I180" s="42" t="s">
        <v>47</v>
      </c>
      <c r="J180" s="40" t="s">
        <v>43</v>
      </c>
      <c r="K180" s="41" t="s">
        <v>43</v>
      </c>
      <c r="L180" s="40">
        <v>3</v>
      </c>
      <c r="M180" s="40">
        <v>1</v>
      </c>
      <c r="N180" s="41">
        <v>1</v>
      </c>
      <c r="O180" s="40">
        <v>5</v>
      </c>
      <c r="P180" s="40">
        <v>1</v>
      </c>
      <c r="Q180" s="41">
        <v>3</v>
      </c>
      <c r="R180" s="40">
        <v>4</v>
      </c>
      <c r="S180" s="40">
        <v>6</v>
      </c>
      <c r="T180" s="40" t="s">
        <v>45</v>
      </c>
      <c r="U180" s="40" t="s">
        <v>45</v>
      </c>
      <c r="V180" s="40">
        <v>2</v>
      </c>
      <c r="W180" s="40">
        <v>6</v>
      </c>
      <c r="X180" s="40">
        <v>3</v>
      </c>
      <c r="Y180" s="40">
        <v>7</v>
      </c>
      <c r="Z180" s="40" t="s">
        <v>45</v>
      </c>
      <c r="AA180" s="40" t="s">
        <v>45</v>
      </c>
      <c r="AB180" s="40" t="s">
        <v>45</v>
      </c>
      <c r="AC180" s="40" t="s">
        <v>45</v>
      </c>
      <c r="AD180" s="40" t="s">
        <v>45</v>
      </c>
      <c r="AE180" s="40" t="s">
        <v>45</v>
      </c>
      <c r="AF180" s="40" t="s">
        <v>45</v>
      </c>
      <c r="AG180" s="40" t="s">
        <v>45</v>
      </c>
      <c r="AH180" s="40" t="s">
        <v>45</v>
      </c>
      <c r="AI180" s="40" t="s">
        <v>45</v>
      </c>
      <c r="AJ180" s="40" t="s">
        <v>45</v>
      </c>
      <c r="AK180" s="40" t="s">
        <v>45</v>
      </c>
      <c r="AL180" s="40" t="s">
        <v>45</v>
      </c>
      <c r="AM180" s="40" t="s">
        <v>45</v>
      </c>
      <c r="AN180" s="40" t="s">
        <v>45</v>
      </c>
      <c r="AO180" s="41" t="s">
        <v>45</v>
      </c>
      <c r="AP180" s="40" t="s">
        <v>56</v>
      </c>
      <c r="AQ180" s="40">
        <v>6</v>
      </c>
      <c r="AR180" s="48" t="s">
        <v>14</v>
      </c>
      <c r="AS180" s="43" t="s">
        <v>45</v>
      </c>
      <c r="AT180" s="43" t="s">
        <v>103</v>
      </c>
      <c r="AU180" s="44">
        <f t="shared" si="20"/>
        <v>-2.3121015889492513</v>
      </c>
      <c r="AV180" s="44">
        <f t="shared" si="21"/>
        <v>-0.99258305708561179</v>
      </c>
      <c r="AW180" s="45">
        <f t="shared" si="22"/>
        <v>3</v>
      </c>
      <c r="AX180" s="45">
        <f t="shared" si="23"/>
        <v>3</v>
      </c>
      <c r="AY180" s="46">
        <f>VLOOKUP(AP180,COND!$A$10:$B$32,2,FALSE)</f>
        <v>1</v>
      </c>
      <c r="AZ180" s="44">
        <f>($AU$3*AU180+$AV$3*AV180+$AW$3*AW180+$AX$3*AX180)*AY180*IF(AQ180&lt;5,0.95,IF(AQ180&lt;7,0.975,1))+$I$3*VLOOKUP(I180,COND!$A$2:$E$7,4,FALSE)+$J$3*VLOOKUP(J180,COND!$A$2:$E$7,2,FALSE)+$K$3*VLOOKUP(K180,COND!$A$2:$E$7,3,FALSE)+IF(BB180="SP",$BB$3,0)+IF($AW180&lt;3,-5,0)+IF(AND($B$2&gt;0,$E180&lt;20),$B$2*25,0)</f>
        <v>32.537520576985465</v>
      </c>
      <c r="BA180" s="47">
        <f t="shared" si="29"/>
        <v>-0.3749094438591466</v>
      </c>
      <c r="BB180" s="45" t="str">
        <f t="shared" si="24"/>
        <v>SP</v>
      </c>
      <c r="BC180" s="45">
        <v>900</v>
      </c>
      <c r="BD180" s="45">
        <v>175</v>
      </c>
      <c r="BE180" s="45"/>
      <c r="BF180" s="45" t="str">
        <f t="shared" si="25"/>
        <v>Unlikely</v>
      </c>
      <c r="BG180" s="45"/>
      <c r="BH180" s="45">
        <f>INDEX(Table5[[#All],[Ovr]],MATCH(Table3[[#This Row],[PID]],Table5[[#All],[PID]],0))</f>
        <v>528</v>
      </c>
      <c r="BI180" s="45" t="str">
        <f>INDEX(Table5[[#All],[Rnd]],MATCH(Table3[[#This Row],[PID]],Table5[[#All],[PID]],0))</f>
        <v>16</v>
      </c>
      <c r="BJ180" s="45">
        <f>INDEX(Table5[[#All],[Pick]],MATCH(Table3[[#This Row],[PID]],Table5[[#All],[PID]],0))</f>
        <v>27</v>
      </c>
      <c r="BK180" s="45" t="str">
        <f>INDEX(Table5[[#All],[Team]],MATCH(Table3[[#This Row],[PID]],Table5[[#All],[PID]],0))</f>
        <v>Havana Leones</v>
      </c>
      <c r="BL180" s="45" t="str">
        <f>IF(OR(Table3[[#This Row],[POS]]="SP",Table3[[#This Row],[POS]]="RP",Table3[[#This Row],[POS]]="CL"),"P",INDEX(Batters[[#All],[zScore]],MATCH(Table3[[#This Row],[PID]],Batters[[#All],[PID]],0)))</f>
        <v>P</v>
      </c>
    </row>
    <row r="181" spans="1:64" ht="15" customHeight="1" x14ac:dyDescent="0.3">
      <c r="A181" s="40">
        <v>20244</v>
      </c>
      <c r="B181" s="40" t="s">
        <v>380</v>
      </c>
      <c r="C181" s="40" t="s">
        <v>958</v>
      </c>
      <c r="D181" s="40" t="s">
        <v>1136</v>
      </c>
      <c r="E181" s="40">
        <v>21</v>
      </c>
      <c r="F181" s="40" t="s">
        <v>42</v>
      </c>
      <c r="G181" s="40" t="s">
        <v>42</v>
      </c>
      <c r="H181" s="41" t="s">
        <v>561</v>
      </c>
      <c r="I181" s="42" t="s">
        <v>43</v>
      </c>
      <c r="J181" s="40" t="s">
        <v>43</v>
      </c>
      <c r="K181" s="41" t="s">
        <v>43</v>
      </c>
      <c r="L181" s="40">
        <v>3</v>
      </c>
      <c r="M181" s="40">
        <v>2</v>
      </c>
      <c r="N181" s="41">
        <v>3</v>
      </c>
      <c r="O181" s="40">
        <v>5</v>
      </c>
      <c r="P181" s="40">
        <v>2</v>
      </c>
      <c r="Q181" s="41">
        <v>4</v>
      </c>
      <c r="R181" s="40">
        <v>5</v>
      </c>
      <c r="S181" s="40">
        <v>6</v>
      </c>
      <c r="T181" s="40" t="s">
        <v>45</v>
      </c>
      <c r="U181" s="40" t="s">
        <v>45</v>
      </c>
      <c r="V181" s="40" t="s">
        <v>45</v>
      </c>
      <c r="W181" s="40" t="s">
        <v>45</v>
      </c>
      <c r="X181" s="40">
        <v>4</v>
      </c>
      <c r="Y181" s="40">
        <v>6</v>
      </c>
      <c r="Z181" s="40" t="s">
        <v>45</v>
      </c>
      <c r="AA181" s="40" t="s">
        <v>45</v>
      </c>
      <c r="AB181" s="40" t="s">
        <v>45</v>
      </c>
      <c r="AC181" s="40" t="s">
        <v>45</v>
      </c>
      <c r="AD181" s="40" t="s">
        <v>45</v>
      </c>
      <c r="AE181" s="40" t="s">
        <v>45</v>
      </c>
      <c r="AF181" s="40" t="s">
        <v>45</v>
      </c>
      <c r="AG181" s="40" t="s">
        <v>45</v>
      </c>
      <c r="AH181" s="40" t="s">
        <v>45</v>
      </c>
      <c r="AI181" s="40" t="s">
        <v>45</v>
      </c>
      <c r="AJ181" s="40" t="s">
        <v>45</v>
      </c>
      <c r="AK181" s="40" t="s">
        <v>45</v>
      </c>
      <c r="AL181" s="40" t="s">
        <v>45</v>
      </c>
      <c r="AM181" s="40" t="s">
        <v>45</v>
      </c>
      <c r="AN181" s="40" t="s">
        <v>45</v>
      </c>
      <c r="AO181" s="41" t="s">
        <v>45</v>
      </c>
      <c r="AP181" s="40" t="s">
        <v>57</v>
      </c>
      <c r="AQ181" s="40">
        <v>4</v>
      </c>
      <c r="AR181" s="48" t="s">
        <v>326</v>
      </c>
      <c r="AS181" s="43" t="s">
        <v>563</v>
      </c>
      <c r="AT181" s="43" t="s">
        <v>103</v>
      </c>
      <c r="AU181" s="44">
        <f t="shared" si="20"/>
        <v>-1.6320287404109748</v>
      </c>
      <c r="AV181" s="44">
        <f t="shared" si="21"/>
        <v>-0.55483077460144581</v>
      </c>
      <c r="AW181" s="45">
        <f t="shared" si="22"/>
        <v>2</v>
      </c>
      <c r="AX181" s="45">
        <f t="shared" si="23"/>
        <v>2</v>
      </c>
      <c r="AY181" s="46">
        <f>VLOOKUP(AP181,COND!$A$10:$B$32,2,FALSE)</f>
        <v>1</v>
      </c>
      <c r="AZ181" s="44">
        <f>($AU$3*AU181+$AV$3*AV181+$AW$3*AW181+$AX$3*AX181)*AY181*IF(AQ181&lt;5,0.95,IF(AQ181&lt;7,0.975,1))+$I$3*VLOOKUP(I181,COND!$A$2:$E$7,4,FALSE)+$J$3*VLOOKUP(J181,COND!$A$2:$E$7,2,FALSE)+$K$3*VLOOKUP(K181,COND!$A$2:$E$7,3,FALSE)+IF(BB181="SP",$BB$3,0)+IF($AW181&lt;3,-5,0)+IF(AND($B$2&gt;0,$E181&lt;20),$B$2*25,0)</f>
        <v>32.473129821894446</v>
      </c>
      <c r="BA181" s="47">
        <f t="shared" si="29"/>
        <v>-0.37949451847362847</v>
      </c>
      <c r="BB181" s="45" t="str">
        <f t="shared" si="24"/>
        <v>RP</v>
      </c>
      <c r="BC181" s="45">
        <v>900</v>
      </c>
      <c r="BD181" s="45">
        <v>176</v>
      </c>
      <c r="BE181" s="45"/>
      <c r="BF181" s="45" t="str">
        <f t="shared" si="25"/>
        <v>Unlikely</v>
      </c>
      <c r="BG181" s="45"/>
      <c r="BH181" s="45">
        <f>INDEX(Table5[[#All],[Ovr]],MATCH(Table3[[#This Row],[PID]],Table5[[#All],[PID]],0))</f>
        <v>487</v>
      </c>
      <c r="BI181" s="45" t="str">
        <f>INDEX(Table5[[#All],[Rnd]],MATCH(Table3[[#This Row],[PID]],Table5[[#All],[PID]],0))</f>
        <v>15</v>
      </c>
      <c r="BJ181" s="45">
        <f>INDEX(Table5[[#All],[Pick]],MATCH(Table3[[#This Row],[PID]],Table5[[#All],[PID]],0))</f>
        <v>20</v>
      </c>
      <c r="BK181" s="45" t="str">
        <f>INDEX(Table5[[#All],[Team]],MATCH(Table3[[#This Row],[PID]],Table5[[#All],[PID]],0))</f>
        <v>Florida Farstriders</v>
      </c>
      <c r="BL181" s="45" t="str">
        <f>IF(OR(Table3[[#This Row],[POS]]="SP",Table3[[#This Row],[POS]]="RP",Table3[[#This Row],[POS]]="CL"),"P",INDEX(Batters[[#All],[zScore]],MATCH(Table3[[#This Row],[PID]],Batters[[#All],[PID]],0)))</f>
        <v>P</v>
      </c>
    </row>
    <row r="182" spans="1:64" ht="15" customHeight="1" x14ac:dyDescent="0.3">
      <c r="A182" s="40">
        <v>6147</v>
      </c>
      <c r="B182" s="40" t="s">
        <v>24</v>
      </c>
      <c r="C182" s="40" t="s">
        <v>317</v>
      </c>
      <c r="D182" s="40" t="s">
        <v>1395</v>
      </c>
      <c r="E182" s="40">
        <v>21</v>
      </c>
      <c r="F182" s="40" t="s">
        <v>62</v>
      </c>
      <c r="G182" s="40" t="s">
        <v>42</v>
      </c>
      <c r="H182" s="41" t="s">
        <v>561</v>
      </c>
      <c r="I182" s="42" t="s">
        <v>43</v>
      </c>
      <c r="J182" s="40" t="s">
        <v>43</v>
      </c>
      <c r="K182" s="41" t="s">
        <v>43</v>
      </c>
      <c r="L182" s="40">
        <v>2</v>
      </c>
      <c r="M182" s="40">
        <v>1</v>
      </c>
      <c r="N182" s="41">
        <v>1</v>
      </c>
      <c r="O182" s="40">
        <v>4</v>
      </c>
      <c r="P182" s="40">
        <v>1</v>
      </c>
      <c r="Q182" s="41">
        <v>4</v>
      </c>
      <c r="R182" s="40">
        <v>4</v>
      </c>
      <c r="S182" s="40">
        <v>6</v>
      </c>
      <c r="T182" s="40">
        <v>1</v>
      </c>
      <c r="U182" s="40">
        <v>5</v>
      </c>
      <c r="V182" s="40">
        <v>2</v>
      </c>
      <c r="W182" s="40">
        <v>6</v>
      </c>
      <c r="X182" s="40" t="s">
        <v>45</v>
      </c>
      <c r="Y182" s="40" t="s">
        <v>45</v>
      </c>
      <c r="Z182" s="40" t="s">
        <v>45</v>
      </c>
      <c r="AA182" s="40" t="s">
        <v>45</v>
      </c>
      <c r="AB182" s="40">
        <v>3</v>
      </c>
      <c r="AC182" s="40">
        <v>3</v>
      </c>
      <c r="AD182" s="40" t="s">
        <v>45</v>
      </c>
      <c r="AE182" s="40" t="s">
        <v>45</v>
      </c>
      <c r="AF182" s="40" t="s">
        <v>45</v>
      </c>
      <c r="AG182" s="40" t="s">
        <v>45</v>
      </c>
      <c r="AH182" s="40" t="s">
        <v>45</v>
      </c>
      <c r="AI182" s="40" t="s">
        <v>45</v>
      </c>
      <c r="AJ182" s="40" t="s">
        <v>45</v>
      </c>
      <c r="AK182" s="40" t="s">
        <v>45</v>
      </c>
      <c r="AL182" s="40" t="s">
        <v>45</v>
      </c>
      <c r="AM182" s="40" t="s">
        <v>45</v>
      </c>
      <c r="AN182" s="40" t="s">
        <v>45</v>
      </c>
      <c r="AO182" s="41" t="s">
        <v>45</v>
      </c>
      <c r="AP182" s="40" t="s">
        <v>56</v>
      </c>
      <c r="AQ182" s="40">
        <v>6</v>
      </c>
      <c r="AR182" s="48" t="s">
        <v>330</v>
      </c>
      <c r="AS182" s="43" t="s">
        <v>45</v>
      </c>
      <c r="AT182" s="43" t="s">
        <v>103</v>
      </c>
      <c r="AU182" s="44">
        <f t="shared" si="20"/>
        <v>-2.5067929134584248</v>
      </c>
      <c r="AV182" s="44">
        <f t="shared" si="21"/>
        <v>-0.94495381554067481</v>
      </c>
      <c r="AW182" s="45">
        <f t="shared" si="22"/>
        <v>4</v>
      </c>
      <c r="AX182" s="45">
        <f t="shared" si="23"/>
        <v>2</v>
      </c>
      <c r="AY182" s="46">
        <f>VLOOKUP(AP182,COND!$A$10:$B$32,2,FALSE)</f>
        <v>1</v>
      </c>
      <c r="AZ182" s="44">
        <f>($AU$3*AU182+$AV$3*AV182+$AW$3*AW182+$AX$3*AX182)*AY182*IF(AQ182&lt;5,0.95,IF(AQ182&lt;7,0.975,1))+$I$3*VLOOKUP(I182,COND!$A$2:$E$7,4,FALSE)+$J$3*VLOOKUP(J182,COND!$A$2:$E$7,2,FALSE)+$K$3*VLOOKUP(K182,COND!$A$2:$E$7,3,FALSE)+IF(BB182="SP",$BB$3,0)+IF($AW182&lt;3,-5,0)+IF(AND($B$2&gt;0,$E182&lt;20),$B$2*25,0)</f>
        <v>32.47207597883245</v>
      </c>
      <c r="BA182" s="47">
        <f t="shared" si="29"/>
        <v>-0.37956955951118698</v>
      </c>
      <c r="BB182" s="45" t="str">
        <f t="shared" si="24"/>
        <v>SP</v>
      </c>
      <c r="BC182" s="45">
        <v>900</v>
      </c>
      <c r="BD182" s="45">
        <v>177</v>
      </c>
      <c r="BE182" s="45"/>
      <c r="BF182" s="45" t="str">
        <f t="shared" si="25"/>
        <v>Unlikely</v>
      </c>
      <c r="BG182" s="45"/>
      <c r="BH182" s="45">
        <f>INDEX(Table5[[#All],[Ovr]],MATCH(Table3[[#This Row],[PID]],Table5[[#All],[PID]],0))</f>
        <v>572</v>
      </c>
      <c r="BI182" s="45" t="str">
        <f>INDEX(Table5[[#All],[Rnd]],MATCH(Table3[[#This Row],[PID]],Table5[[#All],[PID]],0))</f>
        <v>18</v>
      </c>
      <c r="BJ182" s="45">
        <f>INDEX(Table5[[#All],[Pick]],MATCH(Table3[[#This Row],[PID]],Table5[[#All],[PID]],0))</f>
        <v>3</v>
      </c>
      <c r="BK182" s="45" t="str">
        <f>INDEX(Table5[[#All],[Team]],MATCH(Table3[[#This Row],[PID]],Table5[[#All],[PID]],0))</f>
        <v>Okinawa Shisa</v>
      </c>
      <c r="BL182" s="45" t="str">
        <f>IF(OR(Table3[[#This Row],[POS]]="SP",Table3[[#This Row],[POS]]="RP",Table3[[#This Row],[POS]]="CL"),"P",INDEX(Batters[[#All],[zScore]],MATCH(Table3[[#This Row],[PID]],Batters[[#All],[PID]],0)))</f>
        <v>P</v>
      </c>
    </row>
    <row r="183" spans="1:64" ht="15" customHeight="1" x14ac:dyDescent="0.3">
      <c r="A183" s="40">
        <v>6030</v>
      </c>
      <c r="B183" s="40" t="s">
        <v>24</v>
      </c>
      <c r="C183" s="40" t="s">
        <v>1519</v>
      </c>
      <c r="D183" s="40" t="s">
        <v>902</v>
      </c>
      <c r="E183" s="40">
        <v>21</v>
      </c>
      <c r="F183" s="40" t="s">
        <v>53</v>
      </c>
      <c r="G183" s="40" t="s">
        <v>53</v>
      </c>
      <c r="H183" s="41" t="s">
        <v>561</v>
      </c>
      <c r="I183" s="42" t="s">
        <v>43</v>
      </c>
      <c r="J183" s="40" t="s">
        <v>47</v>
      </c>
      <c r="K183" s="41" t="s">
        <v>43</v>
      </c>
      <c r="L183" s="40">
        <v>2</v>
      </c>
      <c r="M183" s="40">
        <v>2</v>
      </c>
      <c r="N183" s="41">
        <v>2</v>
      </c>
      <c r="O183" s="40">
        <v>4</v>
      </c>
      <c r="P183" s="40">
        <v>2</v>
      </c>
      <c r="Q183" s="41">
        <v>3</v>
      </c>
      <c r="R183" s="40">
        <v>5</v>
      </c>
      <c r="S183" s="40">
        <v>6</v>
      </c>
      <c r="T183" s="40" t="s">
        <v>45</v>
      </c>
      <c r="U183" s="40" t="s">
        <v>45</v>
      </c>
      <c r="V183" s="40">
        <v>2</v>
      </c>
      <c r="W183" s="40">
        <v>4</v>
      </c>
      <c r="X183" s="40">
        <v>3</v>
      </c>
      <c r="Y183" s="40">
        <v>6</v>
      </c>
      <c r="Z183" s="40" t="s">
        <v>45</v>
      </c>
      <c r="AA183" s="40" t="s">
        <v>45</v>
      </c>
      <c r="AB183" s="40" t="s">
        <v>45</v>
      </c>
      <c r="AC183" s="40" t="s">
        <v>45</v>
      </c>
      <c r="AD183" s="40" t="s">
        <v>45</v>
      </c>
      <c r="AE183" s="40" t="s">
        <v>45</v>
      </c>
      <c r="AF183" s="40" t="s">
        <v>45</v>
      </c>
      <c r="AG183" s="40" t="s">
        <v>45</v>
      </c>
      <c r="AH183" s="40" t="s">
        <v>45</v>
      </c>
      <c r="AI183" s="40" t="s">
        <v>45</v>
      </c>
      <c r="AJ183" s="40" t="s">
        <v>45</v>
      </c>
      <c r="AK183" s="40" t="s">
        <v>45</v>
      </c>
      <c r="AL183" s="40" t="s">
        <v>45</v>
      </c>
      <c r="AM183" s="40" t="s">
        <v>45</v>
      </c>
      <c r="AN183" s="40" t="s">
        <v>45</v>
      </c>
      <c r="AO183" s="41" t="s">
        <v>45</v>
      </c>
      <c r="AP183" s="40" t="s">
        <v>58</v>
      </c>
      <c r="AQ183" s="40">
        <v>6</v>
      </c>
      <c r="AR183" s="48" t="s">
        <v>326</v>
      </c>
      <c r="AS183" s="43" t="s">
        <v>45</v>
      </c>
      <c r="AT183" s="43" t="s">
        <v>103</v>
      </c>
      <c r="AU183" s="44">
        <f t="shared" si="20"/>
        <v>-2.0690406309742588</v>
      </c>
      <c r="AV183" s="44">
        <f t="shared" si="21"/>
        <v>-0.99184266516472974</v>
      </c>
      <c r="AW183" s="45">
        <f t="shared" si="22"/>
        <v>3</v>
      </c>
      <c r="AX183" s="45">
        <f t="shared" si="23"/>
        <v>2</v>
      </c>
      <c r="AY183" s="46">
        <f>VLOOKUP(AP183,COND!$A$10:$B$32,2,FALSE)</f>
        <v>1</v>
      </c>
      <c r="AZ183" s="44">
        <f>($AU$3*AU183+$AV$3*AV183+$AW$3*AW183+$AX$3*AX183)*AY183*IF(AQ183&lt;5,0.95,IF(AQ183&lt;7,0.975,1))+$I$3*VLOOKUP(I183,COND!$A$2:$E$7,4,FALSE)+$J$3*VLOOKUP(J183,COND!$A$2:$E$7,2,FALSE)+$K$3*VLOOKUP(K183,COND!$A$2:$E$7,3,FALSE)+IF(BB183="SP",$BB$3,0)+IF($AW183&lt;3,-5,0)+IF(AND($B$2&gt;0,$E183&lt;20),$B$2*25,0)</f>
        <v>31.455605106247788</v>
      </c>
      <c r="BA183" s="47">
        <f t="shared" si="29"/>
        <v>-0.45194943434974516</v>
      </c>
      <c r="BB183" s="45" t="str">
        <f t="shared" si="24"/>
        <v>SP</v>
      </c>
      <c r="BC183" s="45">
        <v>900</v>
      </c>
      <c r="BD183" s="45">
        <v>178</v>
      </c>
      <c r="BE183" s="45"/>
      <c r="BF183" s="45" t="str">
        <f t="shared" si="25"/>
        <v>Unlikely</v>
      </c>
      <c r="BG183" s="45"/>
      <c r="BH183" s="45">
        <f>INDEX(Table5[[#All],[Ovr]],MATCH(Table3[[#This Row],[PID]],Table5[[#All],[PID]],0))</f>
        <v>323</v>
      </c>
      <c r="BI183" s="45" t="str">
        <f>INDEX(Table5[[#All],[Rnd]],MATCH(Table3[[#This Row],[PID]],Table5[[#All],[PID]],0))</f>
        <v>10</v>
      </c>
      <c r="BJ183" s="45">
        <f>INDEX(Table5[[#All],[Pick]],MATCH(Table3[[#This Row],[PID]],Table5[[#All],[PID]],0))</f>
        <v>26</v>
      </c>
      <c r="BK183" s="45" t="str">
        <f>INDEX(Table5[[#All],[Team]],MATCH(Table3[[#This Row],[PID]],Table5[[#All],[PID]],0))</f>
        <v>Aurora Borealis</v>
      </c>
      <c r="BL183" s="45" t="str">
        <f>IF(OR(Table3[[#This Row],[POS]]="SP",Table3[[#This Row],[POS]]="RP",Table3[[#This Row],[POS]]="CL"),"P",INDEX(Batters[[#All],[zScore]],MATCH(Table3[[#This Row],[PID]],Batters[[#All],[PID]],0)))</f>
        <v>P</v>
      </c>
    </row>
    <row r="184" spans="1:64" ht="15" customHeight="1" x14ac:dyDescent="0.3">
      <c r="A184" s="40">
        <v>20333</v>
      </c>
      <c r="B184" s="40" t="s">
        <v>380</v>
      </c>
      <c r="C184" s="40" t="s">
        <v>1420</v>
      </c>
      <c r="D184" s="40" t="s">
        <v>1421</v>
      </c>
      <c r="E184" s="40">
        <v>17</v>
      </c>
      <c r="F184" s="40" t="s">
        <v>53</v>
      </c>
      <c r="G184" s="40" t="s">
        <v>53</v>
      </c>
      <c r="H184" s="41" t="s">
        <v>561</v>
      </c>
      <c r="I184" s="42" t="s">
        <v>43</v>
      </c>
      <c r="J184" s="40" t="s">
        <v>43</v>
      </c>
      <c r="K184" s="41" t="s">
        <v>43</v>
      </c>
      <c r="L184" s="40">
        <v>3</v>
      </c>
      <c r="M184" s="40">
        <v>2</v>
      </c>
      <c r="N184" s="41">
        <v>1</v>
      </c>
      <c r="O184" s="40">
        <v>6</v>
      </c>
      <c r="P184" s="40">
        <v>2</v>
      </c>
      <c r="Q184" s="41">
        <v>2</v>
      </c>
      <c r="R184" s="40">
        <v>4</v>
      </c>
      <c r="S184" s="40">
        <v>7</v>
      </c>
      <c r="T184" s="40" t="s">
        <v>45</v>
      </c>
      <c r="U184" s="40" t="s">
        <v>45</v>
      </c>
      <c r="V184" s="40" t="s">
        <v>45</v>
      </c>
      <c r="W184" s="40" t="s">
        <v>45</v>
      </c>
      <c r="X184" s="40">
        <v>4</v>
      </c>
      <c r="Y184" s="40">
        <v>8</v>
      </c>
      <c r="Z184" s="40" t="s">
        <v>45</v>
      </c>
      <c r="AA184" s="40" t="s">
        <v>45</v>
      </c>
      <c r="AB184" s="40" t="s">
        <v>45</v>
      </c>
      <c r="AC184" s="40" t="s">
        <v>45</v>
      </c>
      <c r="AD184" s="40" t="s">
        <v>45</v>
      </c>
      <c r="AE184" s="40" t="s">
        <v>45</v>
      </c>
      <c r="AF184" s="40" t="s">
        <v>45</v>
      </c>
      <c r="AG184" s="40" t="s">
        <v>45</v>
      </c>
      <c r="AH184" s="40" t="s">
        <v>45</v>
      </c>
      <c r="AI184" s="40" t="s">
        <v>45</v>
      </c>
      <c r="AJ184" s="40" t="s">
        <v>45</v>
      </c>
      <c r="AK184" s="40" t="s">
        <v>45</v>
      </c>
      <c r="AL184" s="40" t="s">
        <v>45</v>
      </c>
      <c r="AM184" s="40" t="s">
        <v>45</v>
      </c>
      <c r="AN184" s="40" t="s">
        <v>45</v>
      </c>
      <c r="AO184" s="41" t="s">
        <v>45</v>
      </c>
      <c r="AP184" s="40" t="s">
        <v>57</v>
      </c>
      <c r="AQ184" s="40">
        <v>1</v>
      </c>
      <c r="AR184" s="48" t="s">
        <v>326</v>
      </c>
      <c r="AS184" s="43" t="s">
        <v>576</v>
      </c>
      <c r="AT184" s="43" t="s">
        <v>103</v>
      </c>
      <c r="AU184" s="44">
        <f t="shared" si="20"/>
        <v>-2.1166698725191955</v>
      </c>
      <c r="AV184" s="44">
        <f t="shared" si="21"/>
        <v>-0.84478058220049301</v>
      </c>
      <c r="AW184" s="45">
        <f t="shared" si="22"/>
        <v>2</v>
      </c>
      <c r="AX184" s="45">
        <f t="shared" si="23"/>
        <v>2</v>
      </c>
      <c r="AY184" s="46">
        <f>VLOOKUP(AP184,COND!$A$10:$B$32,2,FALSE)</f>
        <v>1</v>
      </c>
      <c r="AZ184" s="44">
        <f>($AU$3*AU184+$AV$3*AV184+$AW$3*AW184+$AX$3*AX184)*AY184*IF(AQ184&lt;5,0.95,IF(AQ184&lt;7,0.975,1))+$I$3*VLOOKUP(I184,COND!$A$2:$E$7,4,FALSE)+$J$3*VLOOKUP(J184,COND!$A$2:$E$7,2,FALSE)+$K$3*VLOOKUP(K184,COND!$A$2:$E$7,3,FALSE)+IF(BB184="SP",$BB$3,0)+IF($AW184&lt;3,-5,0)+IF(AND($B$2&gt;0,$E184&lt;20),$B$2*25,0)</f>
        <v>31.872001662411982</v>
      </c>
      <c r="BA184" s="47">
        <f t="shared" si="29"/>
        <v>-0.42229907108676756</v>
      </c>
      <c r="BB184" s="45" t="str">
        <f t="shared" si="24"/>
        <v>RP</v>
      </c>
      <c r="BC184" s="45">
        <v>900</v>
      </c>
      <c r="BD184" s="45">
        <v>179</v>
      </c>
      <c r="BE184" s="45"/>
      <c r="BF184" s="45" t="str">
        <f t="shared" si="25"/>
        <v>Unlikely</v>
      </c>
      <c r="BG184" s="45"/>
      <c r="BH184" s="45">
        <f>INDEX(Table5[[#All],[Ovr]],MATCH(Table3[[#This Row],[PID]],Table5[[#All],[PID]],0))</f>
        <v>593</v>
      </c>
      <c r="BI184" s="45" t="str">
        <f>INDEX(Table5[[#All],[Rnd]],MATCH(Table3[[#This Row],[PID]],Table5[[#All],[PID]],0))</f>
        <v>18</v>
      </c>
      <c r="BJ184" s="45">
        <f>INDEX(Table5[[#All],[Pick]],MATCH(Table3[[#This Row],[PID]],Table5[[#All],[PID]],0))</f>
        <v>24</v>
      </c>
      <c r="BK184" s="45" t="str">
        <f>INDEX(Table5[[#All],[Team]],MATCH(Table3[[#This Row],[PID]],Table5[[#All],[PID]],0))</f>
        <v>Reno Zephyrs</v>
      </c>
      <c r="BL184" s="45" t="str">
        <f>IF(OR(Table3[[#This Row],[POS]]="SP",Table3[[#This Row],[POS]]="RP",Table3[[#This Row],[POS]]="CL"),"P",INDEX(Batters[[#All],[zScore]],MATCH(Table3[[#This Row],[PID]],Batters[[#All],[PID]],0)))</f>
        <v>P</v>
      </c>
    </row>
    <row r="185" spans="1:64" ht="15" customHeight="1" x14ac:dyDescent="0.3">
      <c r="A185" s="40">
        <v>13228</v>
      </c>
      <c r="B185" s="40" t="s">
        <v>24</v>
      </c>
      <c r="C185" s="40" t="s">
        <v>1598</v>
      </c>
      <c r="D185" s="40" t="s">
        <v>641</v>
      </c>
      <c r="E185" s="40">
        <v>18</v>
      </c>
      <c r="F185" s="40" t="s">
        <v>42</v>
      </c>
      <c r="G185" s="40" t="s">
        <v>42</v>
      </c>
      <c r="H185" s="41" t="s">
        <v>561</v>
      </c>
      <c r="I185" s="42" t="s">
        <v>43</v>
      </c>
      <c r="J185" s="40" t="s">
        <v>43</v>
      </c>
      <c r="K185" s="41" t="s">
        <v>47</v>
      </c>
      <c r="L185" s="40">
        <v>2</v>
      </c>
      <c r="M185" s="40">
        <v>2</v>
      </c>
      <c r="N185" s="41">
        <v>1</v>
      </c>
      <c r="O185" s="40">
        <v>4</v>
      </c>
      <c r="P185" s="40">
        <v>2</v>
      </c>
      <c r="Q185" s="41">
        <v>2</v>
      </c>
      <c r="R185" s="40">
        <v>4</v>
      </c>
      <c r="S185" s="40">
        <v>5</v>
      </c>
      <c r="T185" s="40">
        <v>1</v>
      </c>
      <c r="U185" s="40">
        <v>6</v>
      </c>
      <c r="V185" s="40" t="s">
        <v>45</v>
      </c>
      <c r="W185" s="40" t="s">
        <v>45</v>
      </c>
      <c r="X185" s="40">
        <v>3</v>
      </c>
      <c r="Y185" s="40">
        <v>6</v>
      </c>
      <c r="Z185" s="40" t="s">
        <v>45</v>
      </c>
      <c r="AA185" s="40" t="s">
        <v>45</v>
      </c>
      <c r="AB185" s="40" t="s">
        <v>45</v>
      </c>
      <c r="AC185" s="40" t="s">
        <v>45</v>
      </c>
      <c r="AD185" s="40" t="s">
        <v>45</v>
      </c>
      <c r="AE185" s="40" t="s">
        <v>45</v>
      </c>
      <c r="AF185" s="40" t="s">
        <v>45</v>
      </c>
      <c r="AG185" s="40" t="s">
        <v>45</v>
      </c>
      <c r="AH185" s="40" t="s">
        <v>45</v>
      </c>
      <c r="AI185" s="40" t="s">
        <v>45</v>
      </c>
      <c r="AJ185" s="40" t="s">
        <v>45</v>
      </c>
      <c r="AK185" s="40" t="s">
        <v>45</v>
      </c>
      <c r="AL185" s="40" t="s">
        <v>45</v>
      </c>
      <c r="AM185" s="40" t="s">
        <v>45</v>
      </c>
      <c r="AN185" s="40" t="s">
        <v>45</v>
      </c>
      <c r="AO185" s="41" t="s">
        <v>45</v>
      </c>
      <c r="AP185" s="40" t="s">
        <v>328</v>
      </c>
      <c r="AQ185" s="40">
        <v>9</v>
      </c>
      <c r="AR185" s="48" t="s">
        <v>326</v>
      </c>
      <c r="AS185" s="43" t="s">
        <v>493</v>
      </c>
      <c r="AT185" s="43" t="s">
        <v>103</v>
      </c>
      <c r="AU185" s="44">
        <f t="shared" si="20"/>
        <v>-2.311361197028369</v>
      </c>
      <c r="AV185" s="44">
        <f t="shared" si="21"/>
        <v>-1.23416323121884</v>
      </c>
      <c r="AW185" s="45">
        <f t="shared" si="22"/>
        <v>3</v>
      </c>
      <c r="AX185" s="45">
        <f t="shared" si="23"/>
        <v>2</v>
      </c>
      <c r="AY185" s="46">
        <f>VLOOKUP(AP185,COND!$A$10:$B$32,2,FALSE)</f>
        <v>1</v>
      </c>
      <c r="AZ185" s="44">
        <f>($AU$3*AU185+$AV$3*AV185+$AW$3*AW185+$AX$3*AX185)*AY185*IF(AQ185&lt;5,0.95,IF(AQ185&lt;7,0.975,1))+$I$3*VLOOKUP(I185,COND!$A$2:$E$7,4,FALSE)+$J$3*VLOOKUP(J185,COND!$A$2:$E$7,2,FALSE)+$K$3*VLOOKUP(K185,COND!$A$2:$E$7,3,FALSE)+IF(BB185="SP",$BB$3,0)+IF($AW185&lt;3,-5,0)+IF(AND($B$2&gt;0,$E185&lt;20),$B$2*25,0)</f>
        <v>31.154463136217526</v>
      </c>
      <c r="BA185" s="47">
        <f t="shared" si="29"/>
        <v>-0.4733928605091226</v>
      </c>
      <c r="BB185" s="45" t="str">
        <f t="shared" si="24"/>
        <v>SP</v>
      </c>
      <c r="BC185" s="45">
        <v>900</v>
      </c>
      <c r="BD185" s="45">
        <v>180</v>
      </c>
      <c r="BE185" s="45"/>
      <c r="BF185" s="45" t="str">
        <f t="shared" si="25"/>
        <v>Unlikely</v>
      </c>
      <c r="BG185" s="45"/>
      <c r="BH185" s="45">
        <f>INDEX(Table5[[#All],[Ovr]],MATCH(Table3[[#This Row],[PID]],Table5[[#All],[PID]],0))</f>
        <v>532</v>
      </c>
      <c r="BI185" s="45" t="str">
        <f>INDEX(Table5[[#All],[Rnd]],MATCH(Table3[[#This Row],[PID]],Table5[[#All],[PID]],0))</f>
        <v>16</v>
      </c>
      <c r="BJ185" s="45">
        <f>INDEX(Table5[[#All],[Pick]],MATCH(Table3[[#This Row],[PID]],Table5[[#All],[PID]],0))</f>
        <v>31</v>
      </c>
      <c r="BK185" s="45" t="str">
        <f>INDEX(Table5[[#All],[Team]],MATCH(Table3[[#This Row],[PID]],Table5[[#All],[PID]],0))</f>
        <v>Manchester Maulers</v>
      </c>
      <c r="BL185" s="45" t="str">
        <f>IF(OR(Table3[[#This Row],[POS]]="SP",Table3[[#This Row],[POS]]="RP",Table3[[#This Row],[POS]]="CL"),"P",INDEX(Batters[[#All],[zScore]],MATCH(Table3[[#This Row],[PID]],Batters[[#All],[PID]],0)))</f>
        <v>P</v>
      </c>
    </row>
    <row r="186" spans="1:64" ht="15" customHeight="1" x14ac:dyDescent="0.3">
      <c r="A186" s="40">
        <v>20354</v>
      </c>
      <c r="B186" s="40" t="s">
        <v>380</v>
      </c>
      <c r="C186" s="40" t="s">
        <v>171</v>
      </c>
      <c r="D186" s="40" t="s">
        <v>724</v>
      </c>
      <c r="E186" s="40">
        <v>17</v>
      </c>
      <c r="F186" s="40" t="s">
        <v>42</v>
      </c>
      <c r="G186" s="40" t="s">
        <v>42</v>
      </c>
      <c r="H186" s="41" t="s">
        <v>561</v>
      </c>
      <c r="I186" s="42" t="s">
        <v>43</v>
      </c>
      <c r="J186" s="40" t="s">
        <v>47</v>
      </c>
      <c r="K186" s="41" t="s">
        <v>43</v>
      </c>
      <c r="L186" s="40">
        <v>2</v>
      </c>
      <c r="M186" s="40">
        <v>1</v>
      </c>
      <c r="N186" s="41">
        <v>1</v>
      </c>
      <c r="O186" s="40">
        <v>3</v>
      </c>
      <c r="P186" s="40">
        <v>1</v>
      </c>
      <c r="Q186" s="41">
        <v>4</v>
      </c>
      <c r="R186" s="40">
        <v>3</v>
      </c>
      <c r="S186" s="40">
        <v>4</v>
      </c>
      <c r="T186" s="40" t="s">
        <v>45</v>
      </c>
      <c r="U186" s="40" t="s">
        <v>45</v>
      </c>
      <c r="V186" s="40">
        <v>2</v>
      </c>
      <c r="W186" s="40">
        <v>4</v>
      </c>
      <c r="X186" s="40">
        <v>2</v>
      </c>
      <c r="Y186" s="40">
        <v>4</v>
      </c>
      <c r="Z186" s="40" t="s">
        <v>45</v>
      </c>
      <c r="AA186" s="40" t="s">
        <v>45</v>
      </c>
      <c r="AB186" s="40" t="s">
        <v>45</v>
      </c>
      <c r="AC186" s="40" t="s">
        <v>45</v>
      </c>
      <c r="AD186" s="40" t="s">
        <v>45</v>
      </c>
      <c r="AE186" s="40" t="s">
        <v>45</v>
      </c>
      <c r="AF186" s="40" t="s">
        <v>45</v>
      </c>
      <c r="AG186" s="40" t="s">
        <v>45</v>
      </c>
      <c r="AH186" s="40" t="s">
        <v>45</v>
      </c>
      <c r="AI186" s="40" t="s">
        <v>45</v>
      </c>
      <c r="AJ186" s="40" t="s">
        <v>45</v>
      </c>
      <c r="AK186" s="40" t="s">
        <v>45</v>
      </c>
      <c r="AL186" s="40" t="s">
        <v>45</v>
      </c>
      <c r="AM186" s="40" t="s">
        <v>45</v>
      </c>
      <c r="AN186" s="40" t="s">
        <v>45</v>
      </c>
      <c r="AO186" s="41" t="s">
        <v>45</v>
      </c>
      <c r="AP186" s="40" t="s">
        <v>64</v>
      </c>
      <c r="AQ186" s="40">
        <v>6</v>
      </c>
      <c r="AR186" s="48" t="s">
        <v>326</v>
      </c>
      <c r="AS186" s="43" t="s">
        <v>558</v>
      </c>
      <c r="AT186" s="43" t="s">
        <v>103</v>
      </c>
      <c r="AU186" s="44">
        <f t="shared" si="20"/>
        <v>-2.5067929134584248</v>
      </c>
      <c r="AV186" s="44">
        <f t="shared" si="21"/>
        <v>-1.1396451400498482</v>
      </c>
      <c r="AW186" s="45">
        <f t="shared" si="22"/>
        <v>3</v>
      </c>
      <c r="AX186" s="45">
        <f t="shared" si="23"/>
        <v>0</v>
      </c>
      <c r="AY186" s="46">
        <f>VLOOKUP(AP186,COND!$A$10:$B$32,2,FALSE)</f>
        <v>1</v>
      </c>
      <c r="AZ186" s="44">
        <f>($AU$3*AU186+$AV$3*AV186+$AW$3*AW186+$AX$3*AX186)*AY186*IF(AQ186&lt;5,0.95,IF(AQ186&lt;7,0.975,1))+$I$3*VLOOKUP(I186,COND!$A$2:$E$7,4,FALSE)+$J$3*VLOOKUP(J186,COND!$A$2:$E$7,2,FALSE)+$K$3*VLOOKUP(K186,COND!$A$2:$E$7,3,FALSE)+IF(BB186="SP",$BB$3,0)+IF($AW186&lt;3,-5,0)+IF(AND($B$2&gt;0,$E186&lt;20),$B$2*25,0)</f>
        <v>31.050595150903568</v>
      </c>
      <c r="BA186" s="47">
        <f t="shared" si="29"/>
        <v>-0.48078899155382332</v>
      </c>
      <c r="BB186" s="45" t="str">
        <f t="shared" si="24"/>
        <v>SP</v>
      </c>
      <c r="BC186" s="45">
        <v>900</v>
      </c>
      <c r="BD186" s="45">
        <v>181</v>
      </c>
      <c r="BE186" s="45"/>
      <c r="BF186" s="45" t="str">
        <f t="shared" si="25"/>
        <v>Unlikely</v>
      </c>
      <c r="BG186" s="45"/>
      <c r="BH186" s="45">
        <f>INDEX(Table5[[#All],[Ovr]],MATCH(Table3[[#This Row],[PID]],Table5[[#All],[PID]],0))</f>
        <v>636</v>
      </c>
      <c r="BI186" s="45" t="str">
        <f>INDEX(Table5[[#All],[Rnd]],MATCH(Table3[[#This Row],[PID]],Table5[[#All],[PID]],0))</f>
        <v>19</v>
      </c>
      <c r="BJ186" s="45">
        <f>INDEX(Table5[[#All],[Pick]],MATCH(Table3[[#This Row],[PID]],Table5[[#All],[PID]],0))</f>
        <v>33</v>
      </c>
      <c r="BK186" s="45" t="str">
        <f>INDEX(Table5[[#All],[Team]],MATCH(Table3[[#This Row],[PID]],Table5[[#All],[PID]],0))</f>
        <v>Gloucester Fishermen</v>
      </c>
      <c r="BL186" s="45" t="str">
        <f>IF(OR(Table3[[#This Row],[POS]]="SP",Table3[[#This Row],[POS]]="RP",Table3[[#This Row],[POS]]="CL"),"P",INDEX(Batters[[#All],[zScore]],MATCH(Table3[[#This Row],[PID]],Batters[[#All],[PID]],0)))</f>
        <v>P</v>
      </c>
    </row>
    <row r="187" spans="1:64" ht="15" customHeight="1" x14ac:dyDescent="0.3">
      <c r="A187" s="40">
        <v>20931</v>
      </c>
      <c r="B187" s="40" t="s">
        <v>380</v>
      </c>
      <c r="C187" s="40" t="s">
        <v>1362</v>
      </c>
      <c r="D187" s="40" t="s">
        <v>830</v>
      </c>
      <c r="E187" s="40">
        <v>17</v>
      </c>
      <c r="F187" s="40" t="s">
        <v>53</v>
      </c>
      <c r="G187" s="40" t="s">
        <v>53</v>
      </c>
      <c r="H187" s="41" t="s">
        <v>561</v>
      </c>
      <c r="I187" s="42" t="s">
        <v>44</v>
      </c>
      <c r="J187" s="40" t="s">
        <v>43</v>
      </c>
      <c r="K187" s="41" t="s">
        <v>43</v>
      </c>
      <c r="L187" s="40">
        <v>2</v>
      </c>
      <c r="M187" s="40">
        <v>1</v>
      </c>
      <c r="N187" s="41">
        <v>1</v>
      </c>
      <c r="O187" s="40">
        <v>5</v>
      </c>
      <c r="P187" s="40">
        <v>1</v>
      </c>
      <c r="Q187" s="41">
        <v>4</v>
      </c>
      <c r="R187" s="40">
        <v>3</v>
      </c>
      <c r="S187" s="40">
        <v>6</v>
      </c>
      <c r="T187" s="40" t="s">
        <v>45</v>
      </c>
      <c r="U187" s="40" t="s">
        <v>45</v>
      </c>
      <c r="V187" s="40" t="s">
        <v>45</v>
      </c>
      <c r="W187" s="40" t="s">
        <v>45</v>
      </c>
      <c r="X187" s="40" t="s">
        <v>45</v>
      </c>
      <c r="Y187" s="40" t="s">
        <v>45</v>
      </c>
      <c r="Z187" s="40" t="s">
        <v>45</v>
      </c>
      <c r="AA187" s="40" t="s">
        <v>45</v>
      </c>
      <c r="AB187" s="40" t="s">
        <v>45</v>
      </c>
      <c r="AC187" s="40" t="s">
        <v>45</v>
      </c>
      <c r="AD187" s="40" t="s">
        <v>45</v>
      </c>
      <c r="AE187" s="40" t="s">
        <v>45</v>
      </c>
      <c r="AF187" s="40">
        <v>3</v>
      </c>
      <c r="AG187" s="40">
        <v>5</v>
      </c>
      <c r="AH187" s="40" t="s">
        <v>45</v>
      </c>
      <c r="AI187" s="40" t="s">
        <v>45</v>
      </c>
      <c r="AJ187" s="40" t="s">
        <v>45</v>
      </c>
      <c r="AK187" s="40" t="s">
        <v>45</v>
      </c>
      <c r="AL187" s="40" t="s">
        <v>45</v>
      </c>
      <c r="AM187" s="40" t="s">
        <v>45</v>
      </c>
      <c r="AN187" s="40" t="s">
        <v>45</v>
      </c>
      <c r="AO187" s="41" t="s">
        <v>45</v>
      </c>
      <c r="AP187" s="40" t="s">
        <v>329</v>
      </c>
      <c r="AQ187" s="40">
        <v>8</v>
      </c>
      <c r="AR187" s="48" t="s">
        <v>330</v>
      </c>
      <c r="AS187" s="43" t="s">
        <v>583</v>
      </c>
      <c r="AT187" s="43" t="s">
        <v>103</v>
      </c>
      <c r="AU187" s="44">
        <f t="shared" si="20"/>
        <v>-2.5067929134584248</v>
      </c>
      <c r="AV187" s="44">
        <f t="shared" si="21"/>
        <v>-0.75026249103150122</v>
      </c>
      <c r="AW187" s="45">
        <f t="shared" si="22"/>
        <v>2</v>
      </c>
      <c r="AX187" s="45">
        <f t="shared" si="23"/>
        <v>1</v>
      </c>
      <c r="AY187" s="46">
        <f>VLOOKUP(AP187,COND!$A$10:$B$32,2,FALSE)</f>
        <v>1</v>
      </c>
      <c r="AZ187" s="44">
        <f>($AU$3*AU187+$AV$3*AV187+$AW$3*AW187+$AX$3*AX187)*AY187*IF(AQ187&lt;5,0.95,IF(AQ187&lt;7,0.975,1))+$I$3*VLOOKUP(I187,COND!$A$2:$E$7,4,FALSE)+$J$3*VLOOKUP(J187,COND!$A$2:$E$7,2,FALSE)+$K$3*VLOOKUP(K187,COND!$A$2:$E$7,3,FALSE)+IF(BB187="SP",$BB$3,0)+IF($AW187&lt;3,-5,0)+IF(AND($B$2&gt;0,$E187&lt;20),$B$2*25,0)</f>
        <v>31.593391596678291</v>
      </c>
      <c r="BA187" s="47">
        <f>STANDARDIZE(AZ187,AVERAGE($AZ$5:$AZ$445),STDEVP($AZ$5:$AZ$445))</f>
        <v>-0.43551479867358717</v>
      </c>
      <c r="BB187" s="45" t="str">
        <f t="shared" si="24"/>
        <v>RP</v>
      </c>
      <c r="BC187" s="45">
        <v>900</v>
      </c>
      <c r="BD187" s="45">
        <v>182</v>
      </c>
      <c r="BE187" s="45"/>
      <c r="BF187" s="45" t="str">
        <f t="shared" si="25"/>
        <v>Unlikely</v>
      </c>
      <c r="BG187" s="45"/>
      <c r="BH187" s="63">
        <f>INDEX(Table5[[#All],[Ovr]],MATCH(Table3[[#This Row],[PID]],Table5[[#All],[PID]],0))</f>
        <v>455</v>
      </c>
      <c r="BI187" s="63" t="str">
        <f>INDEX(Table5[[#All],[Rnd]],MATCH(Table3[[#This Row],[PID]],Table5[[#All],[PID]],0))</f>
        <v>14</v>
      </c>
      <c r="BJ187" s="63">
        <f>INDEX(Table5[[#All],[Pick]],MATCH(Table3[[#This Row],[PID]],Table5[[#All],[PID]],0))</f>
        <v>22</v>
      </c>
      <c r="BK187" s="63" t="str">
        <f>INDEX(Table5[[#All],[Team]],MATCH(Table3[[#This Row],[PID]],Table5[[#All],[PID]],0))</f>
        <v>Bakersfield Bears</v>
      </c>
      <c r="BL187" s="63" t="str">
        <f>IF(OR(Table3[[#This Row],[POS]]="SP",Table3[[#This Row],[POS]]="RP",Table3[[#This Row],[POS]]="CL"),"P",INDEX(Batters[[#All],[zScore]],MATCH(Table3[[#This Row],[PID]],Batters[[#All],[PID]],0)))</f>
        <v>P</v>
      </c>
    </row>
    <row r="188" spans="1:64" ht="15" customHeight="1" x14ac:dyDescent="0.3">
      <c r="A188" s="40">
        <v>14473</v>
      </c>
      <c r="B188" s="40" t="s">
        <v>24</v>
      </c>
      <c r="C188" s="40" t="s">
        <v>350</v>
      </c>
      <c r="D188" s="40" t="s">
        <v>1483</v>
      </c>
      <c r="E188" s="40">
        <v>21</v>
      </c>
      <c r="F188" s="40" t="s">
        <v>42</v>
      </c>
      <c r="G188" s="40" t="s">
        <v>42</v>
      </c>
      <c r="H188" s="41" t="s">
        <v>561</v>
      </c>
      <c r="I188" s="42" t="s">
        <v>43</v>
      </c>
      <c r="J188" s="40" t="s">
        <v>43</v>
      </c>
      <c r="K188" s="41" t="s">
        <v>43</v>
      </c>
      <c r="L188" s="40">
        <v>2</v>
      </c>
      <c r="M188" s="40">
        <v>2</v>
      </c>
      <c r="N188" s="41">
        <v>1</v>
      </c>
      <c r="O188" s="40">
        <v>5</v>
      </c>
      <c r="P188" s="40">
        <v>2</v>
      </c>
      <c r="Q188" s="41">
        <v>2</v>
      </c>
      <c r="R188" s="40">
        <v>4</v>
      </c>
      <c r="S188" s="40">
        <v>6</v>
      </c>
      <c r="T188" s="40" t="s">
        <v>45</v>
      </c>
      <c r="U188" s="40" t="s">
        <v>45</v>
      </c>
      <c r="V188" s="40">
        <v>2</v>
      </c>
      <c r="W188" s="40">
        <v>7</v>
      </c>
      <c r="X188" s="40">
        <v>3</v>
      </c>
      <c r="Y188" s="40">
        <v>7</v>
      </c>
      <c r="Z188" s="40" t="s">
        <v>45</v>
      </c>
      <c r="AA188" s="40" t="s">
        <v>45</v>
      </c>
      <c r="AB188" s="40" t="s">
        <v>45</v>
      </c>
      <c r="AC188" s="40" t="s">
        <v>45</v>
      </c>
      <c r="AD188" s="40" t="s">
        <v>45</v>
      </c>
      <c r="AE188" s="40" t="s">
        <v>45</v>
      </c>
      <c r="AF188" s="40" t="s">
        <v>45</v>
      </c>
      <c r="AG188" s="40" t="s">
        <v>45</v>
      </c>
      <c r="AH188" s="40" t="s">
        <v>45</v>
      </c>
      <c r="AI188" s="40" t="s">
        <v>45</v>
      </c>
      <c r="AJ188" s="40" t="s">
        <v>45</v>
      </c>
      <c r="AK188" s="40" t="s">
        <v>45</v>
      </c>
      <c r="AL188" s="40" t="s">
        <v>45</v>
      </c>
      <c r="AM188" s="40" t="s">
        <v>45</v>
      </c>
      <c r="AN188" s="40" t="s">
        <v>45</v>
      </c>
      <c r="AO188" s="41" t="s">
        <v>45</v>
      </c>
      <c r="AP188" s="40" t="s">
        <v>56</v>
      </c>
      <c r="AQ188" s="40">
        <v>5</v>
      </c>
      <c r="AR188" s="48" t="s">
        <v>326</v>
      </c>
      <c r="AS188" s="43" t="s">
        <v>45</v>
      </c>
      <c r="AT188" s="43" t="s">
        <v>103</v>
      </c>
      <c r="AU188" s="44">
        <f t="shared" si="20"/>
        <v>-2.311361197028369</v>
      </c>
      <c r="AV188" s="44">
        <f t="shared" si="21"/>
        <v>-1.0394719067096667</v>
      </c>
      <c r="AW188" s="45">
        <f t="shared" si="22"/>
        <v>3</v>
      </c>
      <c r="AX188" s="45">
        <f t="shared" si="23"/>
        <v>3</v>
      </c>
      <c r="AY188" s="46">
        <f>VLOOKUP(AP188,COND!$A$10:$B$32,2,FALSE)</f>
        <v>1</v>
      </c>
      <c r="AZ188" s="44">
        <f>($AU$3*AU188+$AV$3*AV188+$AW$3*AW188+$AX$3*AX188)*AY188*IF(AQ188&lt;5,0.95,IF(AQ188&lt;7,0.975,1))+$I$3*VLOOKUP(I188,COND!$A$2:$E$7,4,FALSE)+$J$3*VLOOKUP(J188,COND!$A$2:$E$7,2,FALSE)+$K$3*VLOOKUP(K188,COND!$A$2:$E$7,3,FALSE)+IF(BB188="SP",$BB$3,0)+IF($AW188&lt;3,-5,0)+IF(AND($B$2&gt;0,$E188&lt;20),$B$2*25,0)</f>
        <v>31.398332385740968</v>
      </c>
      <c r="BA188" s="47">
        <f>STANDARDIZE(AZ188,AVERAGE($AZ$5:$AZ$445),STDEVP($AZ$5:$AZ$445))</f>
        <v>-0.44939201983631694</v>
      </c>
      <c r="BB188" s="45" t="str">
        <f t="shared" si="24"/>
        <v>SP</v>
      </c>
      <c r="BC188" s="45">
        <v>900</v>
      </c>
      <c r="BD188" s="45">
        <v>183</v>
      </c>
      <c r="BE188" s="45"/>
      <c r="BF188" s="45" t="str">
        <f t="shared" si="25"/>
        <v>Unlikely</v>
      </c>
      <c r="BG188" s="45"/>
      <c r="BH188" s="63">
        <f>INDEX(Table5[[#All],[Ovr]],MATCH(Table3[[#This Row],[PID]],Table5[[#All],[PID]],0))</f>
        <v>301</v>
      </c>
      <c r="BI188" s="63" t="str">
        <f>INDEX(Table5[[#All],[Rnd]],MATCH(Table3[[#This Row],[PID]],Table5[[#All],[PID]],0))</f>
        <v>10</v>
      </c>
      <c r="BJ188" s="63">
        <f>INDEX(Table5[[#All],[Pick]],MATCH(Table3[[#This Row],[PID]],Table5[[#All],[PID]],0))</f>
        <v>4</v>
      </c>
      <c r="BK188" s="63" t="str">
        <f>INDEX(Table5[[#All],[Team]],MATCH(Table3[[#This Row],[PID]],Table5[[#All],[PID]],0))</f>
        <v>Palm Springs Codgers</v>
      </c>
      <c r="BL188" s="63" t="str">
        <f>IF(OR(Table3[[#This Row],[POS]]="SP",Table3[[#This Row],[POS]]="RP",Table3[[#This Row],[POS]]="CL"),"P",INDEX(Batters[[#All],[zScore]],MATCH(Table3[[#This Row],[PID]],Batters[[#All],[PID]],0)))</f>
        <v>P</v>
      </c>
    </row>
    <row r="189" spans="1:64" ht="15" customHeight="1" x14ac:dyDescent="0.3">
      <c r="A189" s="40">
        <v>21061</v>
      </c>
      <c r="B189" s="40" t="s">
        <v>380</v>
      </c>
      <c r="C189" s="40" t="s">
        <v>1428</v>
      </c>
      <c r="D189" s="40" t="s">
        <v>194</v>
      </c>
      <c r="E189" s="40">
        <v>17</v>
      </c>
      <c r="F189" s="40" t="s">
        <v>42</v>
      </c>
      <c r="G189" s="40" t="s">
        <v>42</v>
      </c>
      <c r="H189" s="41" t="s">
        <v>561</v>
      </c>
      <c r="I189" s="42" t="s">
        <v>43</v>
      </c>
      <c r="J189" s="40" t="s">
        <v>43</v>
      </c>
      <c r="K189" s="41" t="s">
        <v>47</v>
      </c>
      <c r="L189" s="40">
        <v>1</v>
      </c>
      <c r="M189" s="40">
        <v>1</v>
      </c>
      <c r="N189" s="41">
        <v>1</v>
      </c>
      <c r="O189" s="40">
        <v>4</v>
      </c>
      <c r="P189" s="40">
        <v>1</v>
      </c>
      <c r="Q189" s="41">
        <v>3</v>
      </c>
      <c r="R189" s="40">
        <v>2</v>
      </c>
      <c r="S189" s="40">
        <v>5</v>
      </c>
      <c r="T189" s="40">
        <v>1</v>
      </c>
      <c r="U189" s="40">
        <v>2</v>
      </c>
      <c r="V189" s="40" t="s">
        <v>45</v>
      </c>
      <c r="W189" s="40" t="s">
        <v>45</v>
      </c>
      <c r="X189" s="40">
        <v>2</v>
      </c>
      <c r="Y189" s="40">
        <v>5</v>
      </c>
      <c r="Z189" s="40" t="s">
        <v>45</v>
      </c>
      <c r="AA189" s="40" t="s">
        <v>45</v>
      </c>
      <c r="AB189" s="40" t="s">
        <v>45</v>
      </c>
      <c r="AC189" s="40" t="s">
        <v>45</v>
      </c>
      <c r="AD189" s="40" t="s">
        <v>45</v>
      </c>
      <c r="AE189" s="40" t="s">
        <v>45</v>
      </c>
      <c r="AF189" s="40" t="s">
        <v>45</v>
      </c>
      <c r="AG189" s="40" t="s">
        <v>45</v>
      </c>
      <c r="AH189" s="40" t="s">
        <v>45</v>
      </c>
      <c r="AI189" s="40" t="s">
        <v>45</v>
      </c>
      <c r="AJ189" s="40" t="s">
        <v>45</v>
      </c>
      <c r="AK189" s="40" t="s">
        <v>45</v>
      </c>
      <c r="AL189" s="40" t="s">
        <v>45</v>
      </c>
      <c r="AM189" s="40" t="s">
        <v>45</v>
      </c>
      <c r="AN189" s="40" t="s">
        <v>45</v>
      </c>
      <c r="AO189" s="41" t="s">
        <v>45</v>
      </c>
      <c r="AP189" s="40" t="s">
        <v>68</v>
      </c>
      <c r="AQ189" s="40">
        <v>8</v>
      </c>
      <c r="AR189" s="48" t="s">
        <v>14</v>
      </c>
      <c r="AS189" s="43" t="s">
        <v>583</v>
      </c>
      <c r="AT189" s="43" t="s">
        <v>103</v>
      </c>
      <c r="AU189" s="44">
        <f t="shared" si="20"/>
        <v>-2.7014842379675978</v>
      </c>
      <c r="AV189" s="44">
        <f t="shared" si="21"/>
        <v>-1.1872743815947853</v>
      </c>
      <c r="AW189" s="45">
        <f t="shared" si="22"/>
        <v>3</v>
      </c>
      <c r="AX189" s="45">
        <f t="shared" si="23"/>
        <v>0</v>
      </c>
      <c r="AY189" s="46">
        <f>VLOOKUP(AP189,COND!$A$10:$B$32,2,FALSE)</f>
        <v>0.95</v>
      </c>
      <c r="AZ189" s="44">
        <f>($AU$3*AU189+$AV$3*AV189+$AW$3*AW189+$AX$3*AX189)*AY189*IF(AQ189&lt;5,0.95,IF(AQ189&lt;7,0.975,1))+$I$3*VLOOKUP(I189,COND!$A$2:$E$7,4,FALSE)+$J$3*VLOOKUP(J189,COND!$A$2:$E$7,2,FALSE)+$K$3*VLOOKUP(K189,COND!$A$2:$E$7,3,FALSE)+IF(BB189="SP",$BB$3,0)+IF($AW189&lt;3,-5,0)+IF(AND($B$2&gt;0,$E189&lt;20),$B$2*25,0)</f>
        <v>30.653504744485236</v>
      </c>
      <c r="BA189" s="47">
        <f>STANDARDIZE(AZ189,AVERAGE($AZ$5:$AZ$428),STDEVP($AZ$5:$AZ$428))</f>
        <v>-0.50906462117719675</v>
      </c>
      <c r="BB189" s="45" t="str">
        <f t="shared" si="24"/>
        <v>SP</v>
      </c>
      <c r="BC189" s="45">
        <v>900</v>
      </c>
      <c r="BD189" s="45">
        <v>184</v>
      </c>
      <c r="BE189" s="45"/>
      <c r="BF189" s="45" t="str">
        <f t="shared" si="25"/>
        <v>Unlikely</v>
      </c>
      <c r="BG189" s="45"/>
      <c r="BH189" s="45" t="str">
        <f>INDEX(Table5[[#All],[Ovr]],MATCH(Table3[[#This Row],[PID]],Table5[[#All],[PID]],0))</f>
        <v/>
      </c>
      <c r="BI189" s="45" t="str">
        <f>INDEX(Table5[[#All],[Rnd]],MATCH(Table3[[#This Row],[PID]],Table5[[#All],[PID]],0))</f>
        <v/>
      </c>
      <c r="BJ189" s="45" t="str">
        <f>INDEX(Table5[[#All],[Pick]],MATCH(Table3[[#This Row],[PID]],Table5[[#All],[PID]],0))</f>
        <v/>
      </c>
      <c r="BK189" s="45" t="str">
        <f>INDEX(Table5[[#All],[Team]],MATCH(Table3[[#This Row],[PID]],Table5[[#All],[PID]],0))</f>
        <v/>
      </c>
      <c r="BL189" s="45" t="str">
        <f>IF(OR(Table3[[#This Row],[POS]]="SP",Table3[[#This Row],[POS]]="RP",Table3[[#This Row],[POS]]="CL"),"P",INDEX(Batters[[#All],[zScore]],MATCH(Table3[[#This Row],[PID]],Batters[[#All],[PID]],0)))</f>
        <v>P</v>
      </c>
    </row>
    <row r="190" spans="1:64" ht="15" customHeight="1" x14ac:dyDescent="0.3">
      <c r="A190" s="40">
        <v>12924</v>
      </c>
      <c r="B190" s="40" t="s">
        <v>380</v>
      </c>
      <c r="C190" s="40" t="s">
        <v>1584</v>
      </c>
      <c r="D190" s="40" t="s">
        <v>1585</v>
      </c>
      <c r="E190" s="40">
        <v>17</v>
      </c>
      <c r="F190" s="40" t="s">
        <v>42</v>
      </c>
      <c r="G190" s="40" t="s">
        <v>42</v>
      </c>
      <c r="H190" s="41" t="s">
        <v>561</v>
      </c>
      <c r="I190" s="42" t="s">
        <v>43</v>
      </c>
      <c r="J190" s="40" t="s">
        <v>47</v>
      </c>
      <c r="K190" s="41" t="s">
        <v>43</v>
      </c>
      <c r="L190" s="40">
        <v>2</v>
      </c>
      <c r="M190" s="40">
        <v>2</v>
      </c>
      <c r="N190" s="41">
        <v>1</v>
      </c>
      <c r="O190" s="40">
        <v>3</v>
      </c>
      <c r="P190" s="40">
        <v>2</v>
      </c>
      <c r="Q190" s="41">
        <v>3</v>
      </c>
      <c r="R190" s="40">
        <v>4</v>
      </c>
      <c r="S190" s="40">
        <v>4</v>
      </c>
      <c r="T190" s="40">
        <v>1</v>
      </c>
      <c r="U190" s="40">
        <v>2</v>
      </c>
      <c r="V190" s="40">
        <v>2</v>
      </c>
      <c r="W190" s="40">
        <v>3</v>
      </c>
      <c r="X190" s="40" t="s">
        <v>45</v>
      </c>
      <c r="Y190" s="40" t="s">
        <v>45</v>
      </c>
      <c r="Z190" s="40" t="s">
        <v>45</v>
      </c>
      <c r="AA190" s="40" t="s">
        <v>45</v>
      </c>
      <c r="AB190" s="40" t="s">
        <v>45</v>
      </c>
      <c r="AC190" s="40" t="s">
        <v>45</v>
      </c>
      <c r="AD190" s="40" t="s">
        <v>45</v>
      </c>
      <c r="AE190" s="40" t="s">
        <v>45</v>
      </c>
      <c r="AF190" s="40">
        <v>3</v>
      </c>
      <c r="AG190" s="40">
        <v>3</v>
      </c>
      <c r="AH190" s="40" t="s">
        <v>45</v>
      </c>
      <c r="AI190" s="40" t="s">
        <v>45</v>
      </c>
      <c r="AJ190" s="40" t="s">
        <v>45</v>
      </c>
      <c r="AK190" s="40" t="s">
        <v>45</v>
      </c>
      <c r="AL190" s="40">
        <v>2</v>
      </c>
      <c r="AM190" s="40">
        <v>3</v>
      </c>
      <c r="AN190" s="40" t="s">
        <v>45</v>
      </c>
      <c r="AO190" s="41" t="s">
        <v>45</v>
      </c>
      <c r="AP190" s="40" t="s">
        <v>57</v>
      </c>
      <c r="AQ190" s="40">
        <v>7</v>
      </c>
      <c r="AR190" s="48" t="s">
        <v>326</v>
      </c>
      <c r="AS190" s="43" t="s">
        <v>511</v>
      </c>
      <c r="AT190" s="43" t="s">
        <v>103</v>
      </c>
      <c r="AU190" s="44">
        <f t="shared" si="20"/>
        <v>-2.311361197028369</v>
      </c>
      <c r="AV190" s="44">
        <f t="shared" si="21"/>
        <v>-1.1865339896739031</v>
      </c>
      <c r="AW190" s="45">
        <f t="shared" si="22"/>
        <v>5</v>
      </c>
      <c r="AX190" s="45">
        <f t="shared" si="23"/>
        <v>0</v>
      </c>
      <c r="AY190" s="46">
        <f>VLOOKUP(AP190,COND!$A$10:$B$32,2,FALSE)</f>
        <v>1</v>
      </c>
      <c r="AZ190" s="44">
        <f>($AU$3*AU190+$AV$3*AV190+$AW$3*AW190+$AX$3*AX190)*AY190*IF(AQ190&lt;5,0.95,IF(AQ190&lt;7,0.975,1))+$I$3*VLOOKUP(I190,COND!$A$2:$E$7,4,FALSE)+$J$3*VLOOKUP(J190,COND!$A$2:$E$7,2,FALSE)+$K$3*VLOOKUP(K190,COND!$A$2:$E$7,3,FALSE)+IF(BB190="SP",$BB$3,0)+IF($AW190&lt;3,-5,0)+IF(AND($B$2&gt;0,$E190&lt;20),$B$2*25,0)</f>
        <v>30.607047967116266</v>
      </c>
      <c r="BA190" s="47">
        <f>STANDARDIZE(AZ190,AVERAGE($AZ$5:$AZ$428),STDEVP($AZ$5:$AZ$428))</f>
        <v>-0.51237267045048152</v>
      </c>
      <c r="BB190" s="45" t="str">
        <f t="shared" si="24"/>
        <v>SP</v>
      </c>
      <c r="BC190" s="45">
        <v>900</v>
      </c>
      <c r="BD190" s="45">
        <v>185</v>
      </c>
      <c r="BE190" s="45"/>
      <c r="BF190" s="45" t="str">
        <f t="shared" si="25"/>
        <v>Unlikely</v>
      </c>
      <c r="BG190" s="45"/>
      <c r="BH190" s="45">
        <f>INDEX(Table5[[#All],[Ovr]],MATCH(Table3[[#This Row],[PID]],Table5[[#All],[PID]],0))</f>
        <v>654</v>
      </c>
      <c r="BI190" s="45" t="str">
        <f>INDEX(Table5[[#All],[Rnd]],MATCH(Table3[[#This Row],[PID]],Table5[[#All],[PID]],0))</f>
        <v>20</v>
      </c>
      <c r="BJ190" s="45">
        <f>INDEX(Table5[[#All],[Pick]],MATCH(Table3[[#This Row],[PID]],Table5[[#All],[PID]],0))</f>
        <v>17</v>
      </c>
      <c r="BK190" s="45" t="str">
        <f>INDEX(Table5[[#All],[Team]],MATCH(Table3[[#This Row],[PID]],Table5[[#All],[PID]],0))</f>
        <v>Duluth Warriors</v>
      </c>
      <c r="BL190" s="45" t="str">
        <f>IF(OR(Table3[[#This Row],[POS]]="SP",Table3[[#This Row],[POS]]="RP",Table3[[#This Row],[POS]]="CL"),"P",INDEX(Batters[[#All],[zScore]],MATCH(Table3[[#This Row],[PID]],Batters[[#All],[PID]],0)))</f>
        <v>P</v>
      </c>
    </row>
    <row r="191" spans="1:64" ht="15" customHeight="1" x14ac:dyDescent="0.3">
      <c r="A191" s="40">
        <v>12281</v>
      </c>
      <c r="B191" s="40" t="s">
        <v>380</v>
      </c>
      <c r="C191" s="40" t="s">
        <v>1201</v>
      </c>
      <c r="D191" s="40" t="s">
        <v>1345</v>
      </c>
      <c r="E191" s="40">
        <v>18</v>
      </c>
      <c r="F191" s="40" t="s">
        <v>62</v>
      </c>
      <c r="G191" s="40" t="s">
        <v>42</v>
      </c>
      <c r="H191" s="41" t="s">
        <v>561</v>
      </c>
      <c r="I191" s="42" t="s">
        <v>44</v>
      </c>
      <c r="J191" s="40" t="s">
        <v>47</v>
      </c>
      <c r="K191" s="41" t="s">
        <v>43</v>
      </c>
      <c r="L191" s="40">
        <v>1</v>
      </c>
      <c r="M191" s="40">
        <v>1</v>
      </c>
      <c r="N191" s="41">
        <v>1</v>
      </c>
      <c r="O191" s="40">
        <v>4</v>
      </c>
      <c r="P191" s="40">
        <v>1</v>
      </c>
      <c r="Q191" s="41">
        <v>3</v>
      </c>
      <c r="R191" s="40">
        <v>3</v>
      </c>
      <c r="S191" s="40">
        <v>4</v>
      </c>
      <c r="T191" s="40" t="s">
        <v>45</v>
      </c>
      <c r="U191" s="40" t="s">
        <v>45</v>
      </c>
      <c r="V191" s="40">
        <v>2</v>
      </c>
      <c r="W191" s="40">
        <v>4</v>
      </c>
      <c r="X191" s="40" t="s">
        <v>45</v>
      </c>
      <c r="Y191" s="40" t="s">
        <v>45</v>
      </c>
      <c r="Z191" s="40" t="s">
        <v>45</v>
      </c>
      <c r="AA191" s="40" t="s">
        <v>45</v>
      </c>
      <c r="AB191" s="40" t="s">
        <v>45</v>
      </c>
      <c r="AC191" s="40" t="s">
        <v>45</v>
      </c>
      <c r="AD191" s="40" t="s">
        <v>45</v>
      </c>
      <c r="AE191" s="40" t="s">
        <v>45</v>
      </c>
      <c r="AF191" s="40" t="s">
        <v>45</v>
      </c>
      <c r="AG191" s="40" t="s">
        <v>45</v>
      </c>
      <c r="AH191" s="40">
        <v>1</v>
      </c>
      <c r="AI191" s="40">
        <v>5</v>
      </c>
      <c r="AJ191" s="40" t="s">
        <v>45</v>
      </c>
      <c r="AK191" s="40" t="s">
        <v>45</v>
      </c>
      <c r="AL191" s="40" t="s">
        <v>45</v>
      </c>
      <c r="AM191" s="40" t="s">
        <v>45</v>
      </c>
      <c r="AN191" s="40" t="s">
        <v>45</v>
      </c>
      <c r="AO191" s="41" t="s">
        <v>45</v>
      </c>
      <c r="AP191" s="40" t="s">
        <v>68</v>
      </c>
      <c r="AQ191" s="40">
        <v>7</v>
      </c>
      <c r="AR191" s="48" t="s">
        <v>326</v>
      </c>
      <c r="AS191" s="43" t="s">
        <v>558</v>
      </c>
      <c r="AT191" s="43" t="s">
        <v>103</v>
      </c>
      <c r="AU191" s="44">
        <f t="shared" si="20"/>
        <v>-2.7014842379675978</v>
      </c>
      <c r="AV191" s="44">
        <f t="shared" si="21"/>
        <v>-1.1872743815947853</v>
      </c>
      <c r="AW191" s="45">
        <f t="shared" si="22"/>
        <v>3</v>
      </c>
      <c r="AX191" s="45">
        <f t="shared" si="23"/>
        <v>0</v>
      </c>
      <c r="AY191" s="46">
        <f>VLOOKUP(AP191,COND!$A$10:$B$32,2,FALSE)</f>
        <v>0.95</v>
      </c>
      <c r="AZ191" s="44">
        <f>($AU$3*AU191+$AV$3*AV191+$AW$3*AW191+$AX$3*AX191)*AY191*IF(AQ191&lt;5,0.95,IF(AQ191&lt;7,0.975,1))+$I$3*VLOOKUP(I191,COND!$A$2:$E$7,4,FALSE)+$J$3*VLOOKUP(J191,COND!$A$2:$E$7,2,FALSE)+$K$3*VLOOKUP(K191,COND!$A$2:$E$7,3,FALSE)+IF(BB191="SP",$BB$3,0)+IF($AW191&lt;3,-5,0)+IF(AND($B$2&gt;0,$E191&lt;20),$B$2*25,0)</f>
        <v>30.503504744485234</v>
      </c>
      <c r="BA191" s="47">
        <f>STANDARDIZE(AZ191,AVERAGE($AZ$5:$AZ$428),STDEVP($AZ$5:$AZ$428))</f>
        <v>-0.51974567610814326</v>
      </c>
      <c r="BB191" s="45" t="str">
        <f t="shared" si="24"/>
        <v>SP</v>
      </c>
      <c r="BC191" s="45">
        <v>900</v>
      </c>
      <c r="BD191" s="45">
        <v>186</v>
      </c>
      <c r="BE191" s="45"/>
      <c r="BF191" s="45" t="str">
        <f t="shared" si="25"/>
        <v>Unlikely</v>
      </c>
      <c r="BG191" s="45"/>
      <c r="BH191" s="45">
        <f>INDEX(Table5[[#All],[Ovr]],MATCH(Table3[[#This Row],[PID]],Table5[[#All],[PID]],0))</f>
        <v>543</v>
      </c>
      <c r="BI191" s="45" t="str">
        <f>INDEX(Table5[[#All],[Rnd]],MATCH(Table3[[#This Row],[PID]],Table5[[#All],[PID]],0))</f>
        <v>17</v>
      </c>
      <c r="BJ191" s="45">
        <f>INDEX(Table5[[#All],[Pick]],MATCH(Table3[[#This Row],[PID]],Table5[[#All],[PID]],0))</f>
        <v>8</v>
      </c>
      <c r="BK191" s="45" t="str">
        <f>INDEX(Table5[[#All],[Team]],MATCH(Table3[[#This Row],[PID]],Table5[[#All],[PID]],0))</f>
        <v>Gloucester Fishermen</v>
      </c>
      <c r="BL191" s="45" t="str">
        <f>IF(OR(Table3[[#This Row],[POS]]="SP",Table3[[#This Row],[POS]]="RP",Table3[[#This Row],[POS]]="CL"),"P",INDEX(Batters[[#All],[zScore]],MATCH(Table3[[#This Row],[PID]],Batters[[#All],[PID]],0)))</f>
        <v>P</v>
      </c>
    </row>
    <row r="192" spans="1:64" ht="15" customHeight="1" x14ac:dyDescent="0.3">
      <c r="A192" s="40">
        <v>20208</v>
      </c>
      <c r="B192" s="40" t="s">
        <v>380</v>
      </c>
      <c r="C192" s="40" t="s">
        <v>351</v>
      </c>
      <c r="D192" s="40" t="s">
        <v>753</v>
      </c>
      <c r="E192" s="40">
        <v>21</v>
      </c>
      <c r="F192" s="40" t="s">
        <v>42</v>
      </c>
      <c r="G192" s="40" t="s">
        <v>42</v>
      </c>
      <c r="H192" s="41" t="s">
        <v>561</v>
      </c>
      <c r="I192" s="42" t="s">
        <v>43</v>
      </c>
      <c r="J192" s="40" t="s">
        <v>43</v>
      </c>
      <c r="K192" s="41" t="s">
        <v>43</v>
      </c>
      <c r="L192" s="40">
        <v>4</v>
      </c>
      <c r="M192" s="40">
        <v>1</v>
      </c>
      <c r="N192" s="41">
        <v>2</v>
      </c>
      <c r="O192" s="40">
        <v>5</v>
      </c>
      <c r="P192" s="40">
        <v>1</v>
      </c>
      <c r="Q192" s="41">
        <v>3</v>
      </c>
      <c r="R192" s="40">
        <v>5</v>
      </c>
      <c r="S192" s="40">
        <v>6</v>
      </c>
      <c r="T192" s="40">
        <v>1</v>
      </c>
      <c r="U192" s="40">
        <v>1</v>
      </c>
      <c r="V192" s="40">
        <v>6</v>
      </c>
      <c r="W192" s="40">
        <v>8</v>
      </c>
      <c r="X192" s="40" t="s">
        <v>45</v>
      </c>
      <c r="Y192" s="40" t="s">
        <v>45</v>
      </c>
      <c r="Z192" s="40" t="s">
        <v>45</v>
      </c>
      <c r="AA192" s="40" t="s">
        <v>45</v>
      </c>
      <c r="AB192" s="40" t="s">
        <v>45</v>
      </c>
      <c r="AC192" s="40" t="s">
        <v>45</v>
      </c>
      <c r="AD192" s="40" t="s">
        <v>45</v>
      </c>
      <c r="AE192" s="40" t="s">
        <v>45</v>
      </c>
      <c r="AF192" s="40" t="s">
        <v>45</v>
      </c>
      <c r="AG192" s="40" t="s">
        <v>45</v>
      </c>
      <c r="AH192" s="40" t="s">
        <v>45</v>
      </c>
      <c r="AI192" s="40" t="s">
        <v>45</v>
      </c>
      <c r="AJ192" s="40" t="s">
        <v>45</v>
      </c>
      <c r="AK192" s="40" t="s">
        <v>45</v>
      </c>
      <c r="AL192" s="40" t="s">
        <v>45</v>
      </c>
      <c r="AM192" s="40" t="s">
        <v>45</v>
      </c>
      <c r="AN192" s="40" t="s">
        <v>45</v>
      </c>
      <c r="AO192" s="41" t="s">
        <v>45</v>
      </c>
      <c r="AP192" s="40" t="s">
        <v>328</v>
      </c>
      <c r="AQ192" s="40">
        <v>6</v>
      </c>
      <c r="AR192" s="48" t="s">
        <v>330</v>
      </c>
      <c r="AS192" s="43" t="s">
        <v>557</v>
      </c>
      <c r="AT192" s="43" t="s">
        <v>103</v>
      </c>
      <c r="AU192" s="44">
        <f t="shared" si="20"/>
        <v>-1.8750896983859671</v>
      </c>
      <c r="AV192" s="44">
        <f t="shared" si="21"/>
        <v>-0.99258305708561179</v>
      </c>
      <c r="AW192" s="45">
        <f t="shared" si="22"/>
        <v>3</v>
      </c>
      <c r="AX192" s="45">
        <f t="shared" si="23"/>
        <v>2</v>
      </c>
      <c r="AY192" s="46">
        <f>VLOOKUP(AP192,COND!$A$10:$B$32,2,FALSE)</f>
        <v>1</v>
      </c>
      <c r="AZ192" s="44">
        <f>($AU$3*AU192+$AV$3*AV192+$AW$3*AW192+$AX$3*AX192)*AY192*IF(AQ192&lt;5,0.95,IF(AQ192&lt;7,0.975,1))+$I$3*VLOOKUP(I192,COND!$A$2:$E$7,4,FALSE)+$J$3*VLOOKUP(J192,COND!$A$2:$E$7,2,FALSE)+$K$3*VLOOKUP(K192,COND!$A$2:$E$7,3,FALSE)+IF(BB192="SP",$BB$3,0)+IF($AW192&lt;3,-5,0)+IF(AND($B$2&gt;0,$E192&lt;20),$B$2*25,0)</f>
        <v>31.178987895645307</v>
      </c>
      <c r="BA192" s="47">
        <f>STANDARDIZE(AZ192,AVERAGE($AZ$5:$AZ$428),STDEVP($AZ$5:$AZ$428))</f>
        <v>-0.47164652515834682</v>
      </c>
      <c r="BB192" s="45" t="str">
        <f t="shared" si="24"/>
        <v>SP</v>
      </c>
      <c r="BC192" s="45">
        <v>900</v>
      </c>
      <c r="BD192" s="45">
        <v>187</v>
      </c>
      <c r="BE192" s="45"/>
      <c r="BF192" s="45" t="str">
        <f t="shared" si="25"/>
        <v>Unlikely</v>
      </c>
      <c r="BG192" s="45"/>
      <c r="BH192" s="45" t="str">
        <f>INDEX(Table5[[#All],[Ovr]],MATCH(Table3[[#This Row],[PID]],Table5[[#All],[PID]],0))</f>
        <v/>
      </c>
      <c r="BI192" s="45" t="str">
        <f>INDEX(Table5[[#All],[Rnd]],MATCH(Table3[[#This Row],[PID]],Table5[[#All],[PID]],0))</f>
        <v/>
      </c>
      <c r="BJ192" s="45" t="str">
        <f>INDEX(Table5[[#All],[Pick]],MATCH(Table3[[#This Row],[PID]],Table5[[#All],[PID]],0))</f>
        <v/>
      </c>
      <c r="BK192" s="45" t="str">
        <f>INDEX(Table5[[#All],[Team]],MATCH(Table3[[#This Row],[PID]],Table5[[#All],[PID]],0))</f>
        <v/>
      </c>
      <c r="BL192" s="45" t="str">
        <f>IF(OR(Table3[[#This Row],[POS]]="SP",Table3[[#This Row],[POS]]="RP",Table3[[#This Row],[POS]]="CL"),"P",INDEX(Batters[[#All],[zScore]],MATCH(Table3[[#This Row],[PID]],Batters[[#All],[PID]],0)))</f>
        <v>P</v>
      </c>
    </row>
    <row r="193" spans="1:64" ht="15" customHeight="1" x14ac:dyDescent="0.3">
      <c r="A193" s="40">
        <v>7821</v>
      </c>
      <c r="B193" s="40" t="s">
        <v>380</v>
      </c>
      <c r="C193" s="40" t="s">
        <v>190</v>
      </c>
      <c r="D193" s="40" t="s">
        <v>157</v>
      </c>
      <c r="E193" s="40">
        <v>22</v>
      </c>
      <c r="F193" s="40" t="s">
        <v>42</v>
      </c>
      <c r="G193" s="40" t="s">
        <v>42</v>
      </c>
      <c r="H193" s="41" t="s">
        <v>561</v>
      </c>
      <c r="I193" s="42" t="s">
        <v>43</v>
      </c>
      <c r="J193" s="40" t="s">
        <v>47</v>
      </c>
      <c r="K193" s="41" t="s">
        <v>43</v>
      </c>
      <c r="L193" s="40">
        <v>3</v>
      </c>
      <c r="M193" s="40">
        <v>1</v>
      </c>
      <c r="N193" s="41">
        <v>3</v>
      </c>
      <c r="O193" s="40">
        <v>4</v>
      </c>
      <c r="P193" s="40">
        <v>1</v>
      </c>
      <c r="Q193" s="41">
        <v>4</v>
      </c>
      <c r="R193" s="40">
        <v>4</v>
      </c>
      <c r="S193" s="40">
        <v>5</v>
      </c>
      <c r="T193" s="40">
        <v>2</v>
      </c>
      <c r="U193" s="40">
        <v>5</v>
      </c>
      <c r="V193" s="40" t="s">
        <v>45</v>
      </c>
      <c r="W193" s="40" t="s">
        <v>45</v>
      </c>
      <c r="X193" s="40">
        <v>2</v>
      </c>
      <c r="Y193" s="40">
        <v>2</v>
      </c>
      <c r="Z193" s="40" t="s">
        <v>45</v>
      </c>
      <c r="AA193" s="40" t="s">
        <v>45</v>
      </c>
      <c r="AB193" s="40" t="s">
        <v>45</v>
      </c>
      <c r="AC193" s="40" t="s">
        <v>45</v>
      </c>
      <c r="AD193" s="40">
        <v>3</v>
      </c>
      <c r="AE193" s="40">
        <v>4</v>
      </c>
      <c r="AF193" s="40" t="s">
        <v>45</v>
      </c>
      <c r="AG193" s="40" t="s">
        <v>45</v>
      </c>
      <c r="AH193" s="40" t="s">
        <v>45</v>
      </c>
      <c r="AI193" s="40" t="s">
        <v>45</v>
      </c>
      <c r="AJ193" s="40" t="s">
        <v>45</v>
      </c>
      <c r="AK193" s="40" t="s">
        <v>45</v>
      </c>
      <c r="AL193" s="40" t="s">
        <v>45</v>
      </c>
      <c r="AM193" s="40" t="s">
        <v>45</v>
      </c>
      <c r="AN193" s="40" t="s">
        <v>45</v>
      </c>
      <c r="AO193" s="41" t="s">
        <v>45</v>
      </c>
      <c r="AP193" s="40" t="s">
        <v>329</v>
      </c>
      <c r="AQ193" s="40">
        <v>6</v>
      </c>
      <c r="AR193" s="48" t="s">
        <v>330</v>
      </c>
      <c r="AS193" s="43" t="s">
        <v>45</v>
      </c>
      <c r="AT193" s="43" t="s">
        <v>103</v>
      </c>
      <c r="AU193" s="44">
        <f t="shared" si="20"/>
        <v>-1.8274604568410304</v>
      </c>
      <c r="AV193" s="44">
        <f t="shared" si="21"/>
        <v>-0.94495381554067481</v>
      </c>
      <c r="AW193" s="45">
        <f t="shared" si="22"/>
        <v>4</v>
      </c>
      <c r="AX193" s="45">
        <f t="shared" si="23"/>
        <v>0</v>
      </c>
      <c r="AY193" s="46">
        <f>VLOOKUP(AP193,COND!$A$10:$B$32,2,FALSE)</f>
        <v>1</v>
      </c>
      <c r="AZ193" s="44">
        <f>($AU$3*AU193+$AV$3*AV193+$AW$3*AW193+$AX$3*AX193)*AY193*IF(AQ193&lt;5,0.95,IF(AQ193&lt;7,0.975,1))+$I$3*VLOOKUP(I193,COND!$A$2:$E$7,4,FALSE)+$J$3*VLOOKUP(J193,COND!$A$2:$E$7,2,FALSE)+$K$3*VLOOKUP(K193,COND!$A$2:$E$7,3,FALSE)+IF(BB193="SP",$BB$3,0)+IF($AW193&lt;3,-5,0)+IF(AND($B$2&gt;0,$E193&lt;20),$B$2*25,0)</f>
        <v>30.467045807872843</v>
      </c>
      <c r="BA193" s="47">
        <f>STANDARDIZE(AZ193,AVERAGE($AZ$5:$AZ$428),STDEVP($AZ$5:$AZ$428))</f>
        <v>-0.52234180880601544</v>
      </c>
      <c r="BB193" s="45" t="str">
        <f t="shared" si="24"/>
        <v>SP</v>
      </c>
      <c r="BC193" s="45">
        <v>900</v>
      </c>
      <c r="BD193" s="45">
        <v>188</v>
      </c>
      <c r="BE193" s="45"/>
      <c r="BF193" s="45" t="str">
        <f t="shared" si="25"/>
        <v>Unlikely</v>
      </c>
      <c r="BG193" s="45"/>
      <c r="BH193" s="45">
        <f>INDEX(Table5[[#All],[Ovr]],MATCH(Table3[[#This Row],[PID]],Table5[[#All],[PID]],0))</f>
        <v>624</v>
      </c>
      <c r="BI193" s="45" t="str">
        <f>INDEX(Table5[[#All],[Rnd]],MATCH(Table3[[#This Row],[PID]],Table5[[#All],[PID]],0))</f>
        <v>19</v>
      </c>
      <c r="BJ193" s="45">
        <f>INDEX(Table5[[#All],[Pick]],MATCH(Table3[[#This Row],[PID]],Table5[[#All],[PID]],0))</f>
        <v>21</v>
      </c>
      <c r="BK193" s="45" t="str">
        <f>INDEX(Table5[[#All],[Team]],MATCH(Table3[[#This Row],[PID]],Table5[[#All],[PID]],0))</f>
        <v>Neo-Tokyo Akira</v>
      </c>
      <c r="BL193" s="45" t="str">
        <f>IF(OR(Table3[[#This Row],[POS]]="SP",Table3[[#This Row],[POS]]="RP",Table3[[#This Row],[POS]]="CL"),"P",INDEX(Batters[[#All],[zScore]],MATCH(Table3[[#This Row],[PID]],Batters[[#All],[PID]],0)))</f>
        <v>P</v>
      </c>
    </row>
    <row r="194" spans="1:64" ht="15" customHeight="1" x14ac:dyDescent="0.3">
      <c r="A194" s="40">
        <v>20476</v>
      </c>
      <c r="B194" s="40" t="s">
        <v>380</v>
      </c>
      <c r="C194" s="40" t="s">
        <v>1443</v>
      </c>
      <c r="D194" s="40" t="s">
        <v>601</v>
      </c>
      <c r="E194" s="40">
        <v>17</v>
      </c>
      <c r="F194" s="40" t="s">
        <v>42</v>
      </c>
      <c r="G194" s="40" t="s">
        <v>42</v>
      </c>
      <c r="H194" s="41" t="s">
        <v>561</v>
      </c>
      <c r="I194" s="42" t="s">
        <v>44</v>
      </c>
      <c r="J194" s="40" t="s">
        <v>43</v>
      </c>
      <c r="K194" s="41" t="s">
        <v>43</v>
      </c>
      <c r="L194" s="40">
        <v>2</v>
      </c>
      <c r="M194" s="40">
        <v>1</v>
      </c>
      <c r="N194" s="41">
        <v>1</v>
      </c>
      <c r="O194" s="40">
        <v>4</v>
      </c>
      <c r="P194" s="40">
        <v>1</v>
      </c>
      <c r="Q194" s="41">
        <v>3</v>
      </c>
      <c r="R194" s="40">
        <v>3</v>
      </c>
      <c r="S194" s="40">
        <v>3</v>
      </c>
      <c r="T194" s="40">
        <v>3</v>
      </c>
      <c r="U194" s="40">
        <v>7</v>
      </c>
      <c r="V194" s="40">
        <v>2</v>
      </c>
      <c r="W194" s="40">
        <v>4</v>
      </c>
      <c r="X194" s="40" t="s">
        <v>45</v>
      </c>
      <c r="Y194" s="40" t="s">
        <v>45</v>
      </c>
      <c r="Z194" s="40" t="s">
        <v>45</v>
      </c>
      <c r="AA194" s="40" t="s">
        <v>45</v>
      </c>
      <c r="AB194" s="40" t="s">
        <v>45</v>
      </c>
      <c r="AC194" s="40" t="s">
        <v>45</v>
      </c>
      <c r="AD194" s="40">
        <v>3</v>
      </c>
      <c r="AE194" s="40">
        <v>3</v>
      </c>
      <c r="AF194" s="40" t="s">
        <v>45</v>
      </c>
      <c r="AG194" s="40" t="s">
        <v>45</v>
      </c>
      <c r="AH194" s="40" t="s">
        <v>45</v>
      </c>
      <c r="AI194" s="40" t="s">
        <v>45</v>
      </c>
      <c r="AJ194" s="40" t="s">
        <v>45</v>
      </c>
      <c r="AK194" s="40" t="s">
        <v>45</v>
      </c>
      <c r="AL194" s="40" t="s">
        <v>45</v>
      </c>
      <c r="AM194" s="40" t="s">
        <v>45</v>
      </c>
      <c r="AN194" s="40" t="s">
        <v>45</v>
      </c>
      <c r="AO194" s="41" t="s">
        <v>45</v>
      </c>
      <c r="AP194" s="40" t="s">
        <v>329</v>
      </c>
      <c r="AQ194" s="40">
        <v>8</v>
      </c>
      <c r="AR194" s="48" t="s">
        <v>14</v>
      </c>
      <c r="AS194" s="43" t="s">
        <v>571</v>
      </c>
      <c r="AT194" s="43" t="s">
        <v>103</v>
      </c>
      <c r="AU194" s="44">
        <f t="shared" si="20"/>
        <v>-2.5067929134584248</v>
      </c>
      <c r="AV194" s="44">
        <f t="shared" si="21"/>
        <v>-1.1872743815947853</v>
      </c>
      <c r="AW194" s="45">
        <f t="shared" si="22"/>
        <v>4</v>
      </c>
      <c r="AX194" s="45">
        <f t="shared" si="23"/>
        <v>1</v>
      </c>
      <c r="AY194" s="46">
        <f>VLOOKUP(AP194,COND!$A$10:$B$32,2,FALSE)</f>
        <v>1</v>
      </c>
      <c r="AZ194" s="44">
        <f>($AU$3*AU194+$AV$3*AV194+$AW$3*AW194+$AX$3*AX194)*AY194*IF(AQ194&lt;5,0.95,IF(AQ194&lt;7,0.975,1))+$I$3*VLOOKUP(I194,COND!$A$2:$E$7,4,FALSE)+$J$3*VLOOKUP(J194,COND!$A$2:$E$7,2,FALSE)+$K$3*VLOOKUP(K194,COND!$A$2:$E$7,3,FALSE)+IF(BB194="SP",$BB$3,0)+IF($AW194&lt;3,-5,0)+IF(AND($B$2&gt;0,$E194&lt;20),$B$2*25,0)</f>
        <v>30.853153785412609</v>
      </c>
      <c r="BA194" s="47">
        <f>STANDARDIZE(AZ194,AVERAGE($AZ$5:$AZ$445),STDEVP($AZ$5:$AZ$445))</f>
        <v>-0.48817800678658241</v>
      </c>
      <c r="BB194" s="45" t="str">
        <f t="shared" si="24"/>
        <v>SP</v>
      </c>
      <c r="BC194" s="45">
        <v>900</v>
      </c>
      <c r="BD194" s="45">
        <v>189</v>
      </c>
      <c r="BE194" s="45"/>
      <c r="BF194" s="45" t="str">
        <f t="shared" si="25"/>
        <v>Unlikely</v>
      </c>
      <c r="BG194" s="45"/>
      <c r="BH194" s="63">
        <f>INDEX(Table5[[#All],[Ovr]],MATCH(Table3[[#This Row],[PID]],Table5[[#All],[PID]],0))</f>
        <v>606</v>
      </c>
      <c r="BI194" s="63" t="str">
        <f>INDEX(Table5[[#All],[Rnd]],MATCH(Table3[[#This Row],[PID]],Table5[[#All],[PID]],0))</f>
        <v>19</v>
      </c>
      <c r="BJ194" s="63">
        <f>INDEX(Table5[[#All],[Pick]],MATCH(Table3[[#This Row],[PID]],Table5[[#All],[PID]],0))</f>
        <v>3</v>
      </c>
      <c r="BK194" s="63" t="str">
        <f>INDEX(Table5[[#All],[Team]],MATCH(Table3[[#This Row],[PID]],Table5[[#All],[PID]],0))</f>
        <v>Okinawa Shisa</v>
      </c>
      <c r="BL194" s="63" t="str">
        <f>IF(OR(Table3[[#This Row],[POS]]="SP",Table3[[#This Row],[POS]]="RP",Table3[[#This Row],[POS]]="CL"),"P",INDEX(Batters[[#All],[zScore]],MATCH(Table3[[#This Row],[PID]],Batters[[#All],[PID]],0)))</f>
        <v>P</v>
      </c>
    </row>
    <row r="195" spans="1:64" ht="15" customHeight="1" x14ac:dyDescent="0.3">
      <c r="A195" s="40">
        <v>5402</v>
      </c>
      <c r="B195" s="40" t="s">
        <v>24</v>
      </c>
      <c r="C195" s="40" t="s">
        <v>390</v>
      </c>
      <c r="D195" s="40" t="s">
        <v>1372</v>
      </c>
      <c r="E195" s="40">
        <v>21</v>
      </c>
      <c r="F195" s="40" t="s">
        <v>62</v>
      </c>
      <c r="G195" s="40" t="s">
        <v>42</v>
      </c>
      <c r="H195" s="41" t="s">
        <v>561</v>
      </c>
      <c r="I195" s="42" t="s">
        <v>43</v>
      </c>
      <c r="J195" s="40" t="s">
        <v>47</v>
      </c>
      <c r="K195" s="41" t="s">
        <v>43</v>
      </c>
      <c r="L195" s="40">
        <v>3</v>
      </c>
      <c r="M195" s="40">
        <v>1</v>
      </c>
      <c r="N195" s="41">
        <v>2</v>
      </c>
      <c r="O195" s="40">
        <v>4</v>
      </c>
      <c r="P195" s="40">
        <v>1</v>
      </c>
      <c r="Q195" s="41">
        <v>4</v>
      </c>
      <c r="R195" s="40">
        <v>5</v>
      </c>
      <c r="S195" s="40">
        <v>6</v>
      </c>
      <c r="T195" s="40">
        <v>2</v>
      </c>
      <c r="U195" s="40">
        <v>4</v>
      </c>
      <c r="V195" s="40">
        <v>2</v>
      </c>
      <c r="W195" s="40">
        <v>3</v>
      </c>
      <c r="X195" s="40">
        <v>3</v>
      </c>
      <c r="Y195" s="40">
        <v>5</v>
      </c>
      <c r="Z195" s="40" t="s">
        <v>45</v>
      </c>
      <c r="AA195" s="40" t="s">
        <v>45</v>
      </c>
      <c r="AB195" s="40" t="s">
        <v>45</v>
      </c>
      <c r="AC195" s="40" t="s">
        <v>45</v>
      </c>
      <c r="AD195" s="40" t="s">
        <v>45</v>
      </c>
      <c r="AE195" s="40" t="s">
        <v>45</v>
      </c>
      <c r="AF195" s="40">
        <v>4</v>
      </c>
      <c r="AG195" s="40">
        <v>5</v>
      </c>
      <c r="AH195" s="40" t="s">
        <v>45</v>
      </c>
      <c r="AI195" s="40" t="s">
        <v>45</v>
      </c>
      <c r="AJ195" s="40" t="s">
        <v>45</v>
      </c>
      <c r="AK195" s="40" t="s">
        <v>45</v>
      </c>
      <c r="AL195" s="40" t="s">
        <v>45</v>
      </c>
      <c r="AM195" s="40" t="s">
        <v>45</v>
      </c>
      <c r="AN195" s="40" t="s">
        <v>45</v>
      </c>
      <c r="AO195" s="41" t="s">
        <v>45</v>
      </c>
      <c r="AP195" s="40" t="s">
        <v>60</v>
      </c>
      <c r="AQ195" s="40">
        <v>4</v>
      </c>
      <c r="AR195" s="48" t="s">
        <v>14</v>
      </c>
      <c r="AS195" s="43" t="s">
        <v>45</v>
      </c>
      <c r="AT195" s="43" t="s">
        <v>103</v>
      </c>
      <c r="AU195" s="44">
        <f t="shared" si="20"/>
        <v>-2.0697810228951408</v>
      </c>
      <c r="AV195" s="44">
        <f t="shared" si="21"/>
        <v>-0.94495381554067481</v>
      </c>
      <c r="AW195" s="45">
        <f t="shared" si="22"/>
        <v>5</v>
      </c>
      <c r="AX195" s="45">
        <f t="shared" si="23"/>
        <v>1</v>
      </c>
      <c r="AY195" s="46">
        <f>VLOOKUP(AP195,COND!$A$10:$B$32,2,FALSE)</f>
        <v>1.0249999999999999</v>
      </c>
      <c r="AZ195" s="44">
        <f>($AU$3*AU195+$AV$3*AV195+$AW$3*AW195+$AX$3*AX195)*AY195*IF(AQ195&lt;5,0.95,IF(AQ195&lt;7,0.975,1))+$I$3*VLOOKUP(I195,COND!$A$2:$E$7,4,FALSE)+$J$3*VLOOKUP(J195,COND!$A$2:$E$7,2,FALSE)+$K$3*VLOOKUP(K195,COND!$A$2:$E$7,3,FALSE)+IF(BB195="SP",$BB$3,0)+IF($AW195&lt;3,-5,0)+IF(AND($B$2&gt;0,$E195&lt;20),$B$2*25,0)</f>
        <v>30.145497088136537</v>
      </c>
      <c r="BA195" s="47">
        <f t="shared" ref="BA195:BA212" si="30">STANDARDIZE(AZ195,AVERAGE($AZ$5:$AZ$428),STDEVP($AZ$5:$AZ$428))</f>
        <v>-0.54523833906254182</v>
      </c>
      <c r="BB195" s="45" t="str">
        <f t="shared" si="24"/>
        <v>RP</v>
      </c>
      <c r="BC195" s="45">
        <v>900</v>
      </c>
      <c r="BD195" s="45">
        <v>190</v>
      </c>
      <c r="BE195" s="45"/>
      <c r="BF195" s="45" t="str">
        <f t="shared" si="25"/>
        <v>Unlikely</v>
      </c>
      <c r="BG195" s="45"/>
      <c r="BH195" s="45">
        <f>INDEX(Table5[[#All],[Ovr]],MATCH(Table3[[#This Row],[PID]],Table5[[#All],[PID]],0))</f>
        <v>519</v>
      </c>
      <c r="BI195" s="45" t="str">
        <f>INDEX(Table5[[#All],[Rnd]],MATCH(Table3[[#This Row],[PID]],Table5[[#All],[PID]],0))</f>
        <v>16</v>
      </c>
      <c r="BJ195" s="45">
        <f>INDEX(Table5[[#All],[Pick]],MATCH(Table3[[#This Row],[PID]],Table5[[#All],[PID]],0))</f>
        <v>18</v>
      </c>
      <c r="BK195" s="45" t="str">
        <f>INDEX(Table5[[#All],[Team]],MATCH(Table3[[#This Row],[PID]],Table5[[#All],[PID]],0))</f>
        <v>San Juan Coqui</v>
      </c>
      <c r="BL195" s="45" t="str">
        <f>IF(OR(Table3[[#This Row],[POS]]="SP",Table3[[#This Row],[POS]]="RP",Table3[[#This Row],[POS]]="CL"),"P",INDEX(Batters[[#All],[zScore]],MATCH(Table3[[#This Row],[PID]],Batters[[#All],[PID]],0)))</f>
        <v>P</v>
      </c>
    </row>
    <row r="196" spans="1:64" ht="15" customHeight="1" x14ac:dyDescent="0.3">
      <c r="A196" s="40">
        <v>15581</v>
      </c>
      <c r="B196" s="40" t="s">
        <v>380</v>
      </c>
      <c r="C196" s="40" t="s">
        <v>1441</v>
      </c>
      <c r="D196" s="40" t="s">
        <v>1442</v>
      </c>
      <c r="E196" s="40">
        <v>21</v>
      </c>
      <c r="F196" s="40" t="s">
        <v>42</v>
      </c>
      <c r="G196" s="40" t="s">
        <v>42</v>
      </c>
      <c r="H196" s="41" t="s">
        <v>561</v>
      </c>
      <c r="I196" s="42" t="s">
        <v>43</v>
      </c>
      <c r="J196" s="40" t="s">
        <v>43</v>
      </c>
      <c r="K196" s="41" t="s">
        <v>43</v>
      </c>
      <c r="L196" s="40">
        <v>4</v>
      </c>
      <c r="M196" s="40">
        <v>1</v>
      </c>
      <c r="N196" s="41">
        <v>2</v>
      </c>
      <c r="O196" s="40">
        <v>5</v>
      </c>
      <c r="P196" s="40">
        <v>1</v>
      </c>
      <c r="Q196" s="41">
        <v>3</v>
      </c>
      <c r="R196" s="40">
        <v>5</v>
      </c>
      <c r="S196" s="40">
        <v>6</v>
      </c>
      <c r="T196" s="40">
        <v>2</v>
      </c>
      <c r="U196" s="40">
        <v>6</v>
      </c>
      <c r="V196" s="40" t="s">
        <v>45</v>
      </c>
      <c r="W196" s="40" t="s">
        <v>45</v>
      </c>
      <c r="X196" s="40">
        <v>5</v>
      </c>
      <c r="Y196" s="40">
        <v>6</v>
      </c>
      <c r="Z196" s="40" t="s">
        <v>45</v>
      </c>
      <c r="AA196" s="40" t="s">
        <v>45</v>
      </c>
      <c r="AB196" s="40" t="s">
        <v>45</v>
      </c>
      <c r="AC196" s="40" t="s">
        <v>45</v>
      </c>
      <c r="AD196" s="40" t="s">
        <v>45</v>
      </c>
      <c r="AE196" s="40" t="s">
        <v>45</v>
      </c>
      <c r="AF196" s="40" t="s">
        <v>45</v>
      </c>
      <c r="AG196" s="40" t="s">
        <v>45</v>
      </c>
      <c r="AH196" s="40" t="s">
        <v>45</v>
      </c>
      <c r="AI196" s="40" t="s">
        <v>45</v>
      </c>
      <c r="AJ196" s="40" t="s">
        <v>45</v>
      </c>
      <c r="AK196" s="40" t="s">
        <v>45</v>
      </c>
      <c r="AL196" s="40" t="s">
        <v>45</v>
      </c>
      <c r="AM196" s="40" t="s">
        <v>45</v>
      </c>
      <c r="AN196" s="40" t="s">
        <v>45</v>
      </c>
      <c r="AO196" s="41" t="s">
        <v>45</v>
      </c>
      <c r="AP196" s="40" t="s">
        <v>58</v>
      </c>
      <c r="AQ196" s="40">
        <v>4</v>
      </c>
      <c r="AR196" s="48" t="s">
        <v>14</v>
      </c>
      <c r="AS196" s="43" t="s">
        <v>45</v>
      </c>
      <c r="AT196" s="43" t="s">
        <v>103</v>
      </c>
      <c r="AU196" s="44">
        <f t="shared" si="20"/>
        <v>-1.8750896983859671</v>
      </c>
      <c r="AV196" s="44">
        <f t="shared" si="21"/>
        <v>-0.99258305708561179</v>
      </c>
      <c r="AW196" s="45">
        <f t="shared" si="22"/>
        <v>3</v>
      </c>
      <c r="AX196" s="45">
        <f t="shared" si="23"/>
        <v>3</v>
      </c>
      <c r="AY196" s="46">
        <f>VLOOKUP(AP196,COND!$A$10:$B$32,2,FALSE)</f>
        <v>1</v>
      </c>
      <c r="AZ196" s="44">
        <f>($AU$3*AU196+$AV$3*AV196+$AW$3*AW196+$AX$3*AX196)*AY196*IF(AQ196&lt;5,0.95,IF(AQ196&lt;7,0.975,1))+$I$3*VLOOKUP(I196,COND!$A$2:$E$7,4,FALSE)+$J$3*VLOOKUP(J196,COND!$A$2:$E$7,2,FALSE)+$K$3*VLOOKUP(K196,COND!$A$2:$E$7,3,FALSE)+IF(BB196="SP",$BB$3,0)+IF($AW196&lt;3,-5,0)+IF(AND($B$2&gt;0,$E196&lt;20),$B$2*25,0)</f>
        <v>30.772154872680044</v>
      </c>
      <c r="BA196" s="47">
        <f t="shared" si="30"/>
        <v>-0.50061589759844627</v>
      </c>
      <c r="BB196" s="45" t="str">
        <f t="shared" si="24"/>
        <v>RP</v>
      </c>
      <c r="BC196" s="45">
        <v>900</v>
      </c>
      <c r="BD196" s="45">
        <v>191</v>
      </c>
      <c r="BE196" s="45"/>
      <c r="BF196" s="45" t="str">
        <f t="shared" si="25"/>
        <v>Unlikely</v>
      </c>
      <c r="BG196" s="45"/>
      <c r="BH196" s="45" t="str">
        <f>INDEX(Table5[[#All],[Ovr]],MATCH(Table3[[#This Row],[PID]],Table5[[#All],[PID]],0))</f>
        <v/>
      </c>
      <c r="BI196" s="45" t="str">
        <f>INDEX(Table5[[#All],[Rnd]],MATCH(Table3[[#This Row],[PID]],Table5[[#All],[PID]],0))</f>
        <v/>
      </c>
      <c r="BJ196" s="45" t="str">
        <f>INDEX(Table5[[#All],[Pick]],MATCH(Table3[[#This Row],[PID]],Table5[[#All],[PID]],0))</f>
        <v/>
      </c>
      <c r="BK196" s="45" t="str">
        <f>INDEX(Table5[[#All],[Team]],MATCH(Table3[[#This Row],[PID]],Table5[[#All],[PID]],0))</f>
        <v/>
      </c>
      <c r="BL196" s="45" t="str">
        <f>IF(OR(Table3[[#This Row],[POS]]="SP",Table3[[#This Row],[POS]]="RP",Table3[[#This Row],[POS]]="CL"),"P",INDEX(Batters[[#All],[zScore]],MATCH(Table3[[#This Row],[PID]],Batters[[#All],[PID]],0)))</f>
        <v>P</v>
      </c>
    </row>
    <row r="197" spans="1:64" ht="15" customHeight="1" x14ac:dyDescent="0.3">
      <c r="A197" s="40">
        <v>10701</v>
      </c>
      <c r="B197" s="40" t="s">
        <v>380</v>
      </c>
      <c r="C197" s="40" t="s">
        <v>517</v>
      </c>
      <c r="D197" s="40" t="s">
        <v>797</v>
      </c>
      <c r="E197" s="40">
        <v>21</v>
      </c>
      <c r="F197" s="40" t="s">
        <v>53</v>
      </c>
      <c r="G197" s="40" t="s">
        <v>42</v>
      </c>
      <c r="H197" s="41" t="s">
        <v>561</v>
      </c>
      <c r="I197" s="42" t="s">
        <v>43</v>
      </c>
      <c r="J197" s="40" t="s">
        <v>43</v>
      </c>
      <c r="K197" s="41" t="s">
        <v>43</v>
      </c>
      <c r="L197" s="40">
        <v>2</v>
      </c>
      <c r="M197" s="40">
        <v>2</v>
      </c>
      <c r="N197" s="41">
        <v>3</v>
      </c>
      <c r="O197" s="40">
        <v>3</v>
      </c>
      <c r="P197" s="40">
        <v>2</v>
      </c>
      <c r="Q197" s="41">
        <v>4</v>
      </c>
      <c r="R197" s="40">
        <v>2</v>
      </c>
      <c r="S197" s="40">
        <v>4</v>
      </c>
      <c r="T197" s="40">
        <v>3</v>
      </c>
      <c r="U197" s="40">
        <v>5</v>
      </c>
      <c r="V197" s="40" t="s">
        <v>45</v>
      </c>
      <c r="W197" s="40" t="s">
        <v>45</v>
      </c>
      <c r="X197" s="40">
        <v>2</v>
      </c>
      <c r="Y197" s="40">
        <v>2</v>
      </c>
      <c r="Z197" s="40" t="s">
        <v>45</v>
      </c>
      <c r="AA197" s="40" t="s">
        <v>45</v>
      </c>
      <c r="AB197" s="40" t="s">
        <v>45</v>
      </c>
      <c r="AC197" s="40" t="s">
        <v>45</v>
      </c>
      <c r="AD197" s="40" t="s">
        <v>45</v>
      </c>
      <c r="AE197" s="40" t="s">
        <v>45</v>
      </c>
      <c r="AF197" s="40">
        <v>3</v>
      </c>
      <c r="AG197" s="40">
        <v>4</v>
      </c>
      <c r="AH197" s="40" t="s">
        <v>45</v>
      </c>
      <c r="AI197" s="40" t="s">
        <v>45</v>
      </c>
      <c r="AJ197" s="40" t="s">
        <v>45</v>
      </c>
      <c r="AK197" s="40" t="s">
        <v>45</v>
      </c>
      <c r="AL197" s="40" t="s">
        <v>45</v>
      </c>
      <c r="AM197" s="40" t="s">
        <v>45</v>
      </c>
      <c r="AN197" s="40" t="s">
        <v>45</v>
      </c>
      <c r="AO197" s="41" t="s">
        <v>45</v>
      </c>
      <c r="AP197" s="40" t="s">
        <v>65</v>
      </c>
      <c r="AQ197" s="40">
        <v>8</v>
      </c>
      <c r="AR197" s="48" t="s">
        <v>326</v>
      </c>
      <c r="AS197" s="43" t="s">
        <v>45</v>
      </c>
      <c r="AT197" s="43" t="s">
        <v>103</v>
      </c>
      <c r="AU197" s="44">
        <f t="shared" ref="AU197:AU260" si="31">($O$3*(L197-$O$1)/$O$2+$P$3*(M197-$P$1)/$P$2+$Q$3*(N197-$P$1)/$Q$2)/SUM($O$3:$Q$3)</f>
        <v>-1.8267200649201485</v>
      </c>
      <c r="AV197" s="44">
        <f t="shared" ref="AV197:AV260" si="32">($O$3*(O197-$O$1)/$O$2+$P$3*(P197-$P$1)/$P$2+$Q$3*(Q197-$Q$1)/$Q$2)/SUM($O$3:$Q$3)</f>
        <v>-0.94421342361979277</v>
      </c>
      <c r="AW197" s="45">
        <f t="shared" ref="AW197:AW260" si="33">COUNT(R197:AO197)/2</f>
        <v>4</v>
      </c>
      <c r="AX197" s="45">
        <f t="shared" ref="AX197:AX260" si="34">IF(AND(S197&lt;&gt;"-",S197&gt;5),1,0)+IF(AND(U197&lt;&gt;"-",U197&gt;5),1,0)+IF(AND(W197&lt;&gt;"-",W197&gt;5),1,0)+IF(AND(Y197&lt;&gt;"-",Y197&gt;5),1,0)+IF(AND(AA197&lt;&gt;"-",AA197&gt;5),1,0)+IF(AND(AC197&lt;&gt;"-",AC197&gt;5),1,0)+IF(AND(AE197&lt;&gt;"-",AE197&gt;5),1,0)+IF(AND(AG197&lt;&gt;"-",AG197&gt;5),1,0)+IF(AND(AI197&lt;&gt;"-",AI197&gt;5),1,0)+IF(AND(AK197&lt;&gt;"-",AK197&gt;5),1,0)+IF(AND(AM197&lt;&gt;"-",AM197&gt;5),1,0)+IF(AND(AO197&lt;&gt;"-",AO197&gt;5),1,0)</f>
        <v>0</v>
      </c>
      <c r="AY197" s="46">
        <f>VLOOKUP(AP197,COND!$A$10:$B$32,2,FALSE)</f>
        <v>0.95</v>
      </c>
      <c r="AZ197" s="44">
        <f>($AU$3*AU197+$AV$3*AV197+$AW$3*AW197+$AX$3*AX197)*AY197*IF(AQ197&lt;5,0.95,IF(AQ197&lt;7,0.975,1))+$I$3*VLOOKUP(I197,COND!$A$2:$E$7,4,FALSE)+$J$3*VLOOKUP(J197,COND!$A$2:$E$7,2,FALSE)+$K$3*VLOOKUP(K197,COND!$A$2:$E$7,3,FALSE)+IF(BB197="SP",$BB$3,0)+IF($AW197&lt;3,-5,0)+IF(AND($B$2&gt;0,$E197&lt;20),$B$2*25,0)</f>
        <v>30.612868138889109</v>
      </c>
      <c r="BA197" s="47">
        <f t="shared" si="30"/>
        <v>-0.51195823328772627</v>
      </c>
      <c r="BB197" s="45" t="str">
        <f t="shared" ref="BB197:BB260" si="35">IF(OR(AND(AQ197&gt;7,AX197&gt;1),AND(AQ197&gt;4,AW197&gt;2)),"SP","RP")</f>
        <v>SP</v>
      </c>
      <c r="BC197" s="45">
        <v>900</v>
      </c>
      <c r="BD197" s="45">
        <v>192</v>
      </c>
      <c r="BE197" s="45"/>
      <c r="BF197" s="45" t="str">
        <f t="shared" ref="BF197:BF260" si="36">IF(AVERAGE($O197:$Q197)&gt;=6,"Likely",IF(AVERAGE($O197:$Q197)&gt;=4,"Possible","Unlikely"))</f>
        <v>Unlikely</v>
      </c>
      <c r="BG197" s="45"/>
      <c r="BH197" s="45">
        <f>INDEX(Table5[[#All],[Ovr]],MATCH(Table3[[#This Row],[PID]],Table5[[#All],[PID]],0))</f>
        <v>445</v>
      </c>
      <c r="BI197" s="45" t="str">
        <f>INDEX(Table5[[#All],[Rnd]],MATCH(Table3[[#This Row],[PID]],Table5[[#All],[PID]],0))</f>
        <v>14</v>
      </c>
      <c r="BJ197" s="45">
        <f>INDEX(Table5[[#All],[Pick]],MATCH(Table3[[#This Row],[PID]],Table5[[#All],[PID]],0))</f>
        <v>12</v>
      </c>
      <c r="BK197" s="45" t="str">
        <f>INDEX(Table5[[#All],[Team]],MATCH(Table3[[#This Row],[PID]],Table5[[#All],[PID]],0))</f>
        <v>Manchester Maulers</v>
      </c>
      <c r="BL197" s="45" t="str">
        <f>IF(OR(Table3[[#This Row],[POS]]="SP",Table3[[#This Row],[POS]]="RP",Table3[[#This Row],[POS]]="CL"),"P",INDEX(Batters[[#All],[zScore]],MATCH(Table3[[#This Row],[PID]],Batters[[#All],[PID]],0)))</f>
        <v>P</v>
      </c>
    </row>
    <row r="198" spans="1:64" ht="15" customHeight="1" x14ac:dyDescent="0.3">
      <c r="A198" s="40">
        <v>11504</v>
      </c>
      <c r="B198" s="40" t="s">
        <v>24</v>
      </c>
      <c r="C198" s="40" t="s">
        <v>128</v>
      </c>
      <c r="D198" s="40" t="s">
        <v>323</v>
      </c>
      <c r="E198" s="40">
        <v>17</v>
      </c>
      <c r="F198" s="40" t="s">
        <v>42</v>
      </c>
      <c r="G198" s="40" t="s">
        <v>42</v>
      </c>
      <c r="H198" s="41" t="s">
        <v>561</v>
      </c>
      <c r="I198" s="42" t="s">
        <v>43</v>
      </c>
      <c r="J198" s="40" t="s">
        <v>43</v>
      </c>
      <c r="K198" s="41" t="s">
        <v>43</v>
      </c>
      <c r="L198" s="40">
        <v>3</v>
      </c>
      <c r="M198" s="40">
        <v>1</v>
      </c>
      <c r="N198" s="41">
        <v>1</v>
      </c>
      <c r="O198" s="40">
        <v>5</v>
      </c>
      <c r="P198" s="40">
        <v>1</v>
      </c>
      <c r="Q198" s="41">
        <v>2</v>
      </c>
      <c r="R198" s="40">
        <v>5</v>
      </c>
      <c r="S198" s="40">
        <v>6</v>
      </c>
      <c r="T198" s="40">
        <v>1</v>
      </c>
      <c r="U198" s="40">
        <v>5</v>
      </c>
      <c r="V198" s="40" t="s">
        <v>45</v>
      </c>
      <c r="W198" s="40" t="s">
        <v>45</v>
      </c>
      <c r="X198" s="40">
        <v>3</v>
      </c>
      <c r="Y198" s="40">
        <v>3</v>
      </c>
      <c r="Z198" s="40" t="s">
        <v>45</v>
      </c>
      <c r="AA198" s="40" t="s">
        <v>45</v>
      </c>
      <c r="AB198" s="40" t="s">
        <v>45</v>
      </c>
      <c r="AC198" s="40" t="s">
        <v>45</v>
      </c>
      <c r="AD198" s="40">
        <v>4</v>
      </c>
      <c r="AE198" s="40">
        <v>5</v>
      </c>
      <c r="AF198" s="40">
        <v>4</v>
      </c>
      <c r="AG198" s="40">
        <v>5</v>
      </c>
      <c r="AH198" s="40" t="s">
        <v>45</v>
      </c>
      <c r="AI198" s="40" t="s">
        <v>45</v>
      </c>
      <c r="AJ198" s="40" t="s">
        <v>45</v>
      </c>
      <c r="AK198" s="40" t="s">
        <v>45</v>
      </c>
      <c r="AL198" s="40" t="s">
        <v>45</v>
      </c>
      <c r="AM198" s="40" t="s">
        <v>45</v>
      </c>
      <c r="AN198" s="40" t="s">
        <v>45</v>
      </c>
      <c r="AO198" s="41" t="s">
        <v>45</v>
      </c>
      <c r="AP198" s="40" t="s">
        <v>60</v>
      </c>
      <c r="AQ198" s="40">
        <v>5</v>
      </c>
      <c r="AR198" s="48" t="s">
        <v>14</v>
      </c>
      <c r="AS198" s="43" t="s">
        <v>558</v>
      </c>
      <c r="AT198" s="43" t="s">
        <v>103</v>
      </c>
      <c r="AU198" s="44">
        <f t="shared" si="31"/>
        <v>-2.3121015889492513</v>
      </c>
      <c r="AV198" s="44">
        <f t="shared" si="32"/>
        <v>-1.2349036231397219</v>
      </c>
      <c r="AW198" s="45">
        <f t="shared" si="33"/>
        <v>5</v>
      </c>
      <c r="AX198" s="45">
        <f t="shared" si="34"/>
        <v>1</v>
      </c>
      <c r="AY198" s="46">
        <f>VLOOKUP(AP198,COND!$A$10:$B$32,2,FALSE)</f>
        <v>1.0249999999999999</v>
      </c>
      <c r="AZ198" s="44">
        <f>($AU$3*AU198+$AV$3*AV198+$AW$3*AW198+$AX$3*AX198)*AY198*IF(AQ198&lt;5,0.95,IF(AQ198&lt;7,0.975,1))+$I$3*VLOOKUP(I198,COND!$A$2:$E$7,4,FALSE)+$J$3*VLOOKUP(J198,COND!$A$2:$E$7,2,FALSE)+$K$3*VLOOKUP(K198,COND!$A$2:$E$7,3,FALSE)+IF(BB198="SP",$BB$3,0)+IF($AW198&lt;3,-5,0)+IF(AND($B$2&gt;0,$E198&lt;20),$B$2*25,0)</f>
        <v>30.602888777403582</v>
      </c>
      <c r="BA198" s="47">
        <f t="shared" si="30"/>
        <v>-0.51266883400907759</v>
      </c>
      <c r="BB198" s="45" t="str">
        <f t="shared" si="35"/>
        <v>SP</v>
      </c>
      <c r="BC198" s="45">
        <v>900</v>
      </c>
      <c r="BD198" s="45">
        <v>193</v>
      </c>
      <c r="BE198" s="45"/>
      <c r="BF198" s="45" t="str">
        <f t="shared" si="36"/>
        <v>Unlikely</v>
      </c>
      <c r="BG198" s="45"/>
      <c r="BH198" s="45">
        <f>INDEX(Table5[[#All],[Ovr]],MATCH(Table3[[#This Row],[PID]],Table5[[#All],[PID]],0))</f>
        <v>369</v>
      </c>
      <c r="BI198" s="45" t="str">
        <f>INDEX(Table5[[#All],[Rnd]],MATCH(Table3[[#This Row],[PID]],Table5[[#All],[PID]],0))</f>
        <v>12</v>
      </c>
      <c r="BJ198" s="45">
        <f>INDEX(Table5[[#All],[Pick]],MATCH(Table3[[#This Row],[PID]],Table5[[#All],[PID]],0))</f>
        <v>4</v>
      </c>
      <c r="BK198" s="45" t="str">
        <f>INDEX(Table5[[#All],[Team]],MATCH(Table3[[#This Row],[PID]],Table5[[#All],[PID]],0))</f>
        <v>Palm Springs Codgers</v>
      </c>
      <c r="BL198" s="45" t="str">
        <f>IF(OR(Table3[[#This Row],[POS]]="SP",Table3[[#This Row],[POS]]="RP",Table3[[#This Row],[POS]]="CL"),"P",INDEX(Batters[[#All],[zScore]],MATCH(Table3[[#This Row],[PID]],Batters[[#All],[PID]],0)))</f>
        <v>P</v>
      </c>
    </row>
    <row r="199" spans="1:64" ht="15" customHeight="1" x14ac:dyDescent="0.3">
      <c r="A199" s="40">
        <v>11966</v>
      </c>
      <c r="B199" s="40" t="s">
        <v>380</v>
      </c>
      <c r="C199" s="40" t="s">
        <v>606</v>
      </c>
      <c r="D199" s="40" t="s">
        <v>635</v>
      </c>
      <c r="E199" s="40">
        <v>18</v>
      </c>
      <c r="F199" s="40" t="s">
        <v>53</v>
      </c>
      <c r="G199" s="40" t="s">
        <v>53</v>
      </c>
      <c r="H199" s="41" t="s">
        <v>561</v>
      </c>
      <c r="I199" s="42" t="s">
        <v>43</v>
      </c>
      <c r="J199" s="40" t="s">
        <v>43</v>
      </c>
      <c r="K199" s="41" t="s">
        <v>43</v>
      </c>
      <c r="L199" s="40">
        <v>3</v>
      </c>
      <c r="M199" s="40">
        <v>1</v>
      </c>
      <c r="N199" s="41">
        <v>1</v>
      </c>
      <c r="O199" s="40">
        <v>4</v>
      </c>
      <c r="P199" s="40">
        <v>1</v>
      </c>
      <c r="Q199" s="41">
        <v>3</v>
      </c>
      <c r="R199" s="40">
        <v>5</v>
      </c>
      <c r="S199" s="40">
        <v>6</v>
      </c>
      <c r="T199" s="40">
        <v>1</v>
      </c>
      <c r="U199" s="40">
        <v>1</v>
      </c>
      <c r="V199" s="40" t="s">
        <v>45</v>
      </c>
      <c r="W199" s="40" t="s">
        <v>45</v>
      </c>
      <c r="X199" s="40">
        <v>3</v>
      </c>
      <c r="Y199" s="40">
        <v>5</v>
      </c>
      <c r="Z199" s="40" t="s">
        <v>45</v>
      </c>
      <c r="AA199" s="40" t="s">
        <v>45</v>
      </c>
      <c r="AB199" s="40" t="s">
        <v>45</v>
      </c>
      <c r="AC199" s="40" t="s">
        <v>45</v>
      </c>
      <c r="AD199" s="40" t="s">
        <v>45</v>
      </c>
      <c r="AE199" s="40" t="s">
        <v>45</v>
      </c>
      <c r="AF199" s="40" t="s">
        <v>45</v>
      </c>
      <c r="AG199" s="40" t="s">
        <v>45</v>
      </c>
      <c r="AH199" s="40" t="s">
        <v>45</v>
      </c>
      <c r="AI199" s="40" t="s">
        <v>45</v>
      </c>
      <c r="AJ199" s="40" t="s">
        <v>45</v>
      </c>
      <c r="AK199" s="40" t="s">
        <v>45</v>
      </c>
      <c r="AL199" s="40" t="s">
        <v>45</v>
      </c>
      <c r="AM199" s="40" t="s">
        <v>45</v>
      </c>
      <c r="AN199" s="40" t="s">
        <v>45</v>
      </c>
      <c r="AO199" s="41" t="s">
        <v>45</v>
      </c>
      <c r="AP199" s="40" t="s">
        <v>58</v>
      </c>
      <c r="AQ199" s="40">
        <v>8</v>
      </c>
      <c r="AR199" s="48" t="s">
        <v>14</v>
      </c>
      <c r="AS199" s="43" t="s">
        <v>558</v>
      </c>
      <c r="AT199" s="43" t="s">
        <v>103</v>
      </c>
      <c r="AU199" s="44">
        <f t="shared" si="31"/>
        <v>-2.3121015889492513</v>
      </c>
      <c r="AV199" s="44">
        <f t="shared" si="32"/>
        <v>-1.1872743815947853</v>
      </c>
      <c r="AW199" s="45">
        <f t="shared" si="33"/>
        <v>3</v>
      </c>
      <c r="AX199" s="45">
        <f t="shared" si="34"/>
        <v>1</v>
      </c>
      <c r="AY199" s="46">
        <f>VLOOKUP(AP199,COND!$A$10:$B$32,2,FALSE)</f>
        <v>1</v>
      </c>
      <c r="AZ199" s="44">
        <f>($AU$3*AU199+$AV$3*AV199+$AW$3*AW199+$AX$3*AX199)*AY199*IF(AQ199&lt;5,0.95,IF(AQ199&lt;7,0.975,1))+$I$3*VLOOKUP(I199,COND!$A$2:$E$7,4,FALSE)+$J$3*VLOOKUP(J199,COND!$A$2:$E$7,2,FALSE)+$K$3*VLOOKUP(K199,COND!$A$2:$E$7,3,FALSE)+IF(BB199="SP",$BB$3,0)+IF($AW199&lt;3,-5,0)+IF(AND($B$2&gt;0,$E199&lt;20),$B$2*25,0)</f>
        <v>30.542092050314444</v>
      </c>
      <c r="BA199" s="47">
        <f t="shared" si="30"/>
        <v>-0.516997988553483</v>
      </c>
      <c r="BB199" s="45" t="str">
        <f t="shared" si="35"/>
        <v>SP</v>
      </c>
      <c r="BC199" s="45">
        <v>900</v>
      </c>
      <c r="BD199" s="45">
        <v>194</v>
      </c>
      <c r="BE199" s="45"/>
      <c r="BF199" s="45" t="str">
        <f t="shared" si="36"/>
        <v>Unlikely</v>
      </c>
      <c r="BG199" s="45"/>
      <c r="BH199" s="45">
        <f>INDEX(Table5[[#All],[Ovr]],MATCH(Table3[[#This Row],[PID]],Table5[[#All],[PID]],0))</f>
        <v>525</v>
      </c>
      <c r="BI199" s="45" t="str">
        <f>INDEX(Table5[[#All],[Rnd]],MATCH(Table3[[#This Row],[PID]],Table5[[#All],[PID]],0))</f>
        <v>16</v>
      </c>
      <c r="BJ199" s="45">
        <f>INDEX(Table5[[#All],[Pick]],MATCH(Table3[[#This Row],[PID]],Table5[[#All],[PID]],0))</f>
        <v>24</v>
      </c>
      <c r="BK199" s="45" t="str">
        <f>INDEX(Table5[[#All],[Team]],MATCH(Table3[[#This Row],[PID]],Table5[[#All],[PID]],0))</f>
        <v>Reno Zephyrs</v>
      </c>
      <c r="BL199" s="45" t="str">
        <f>IF(OR(Table3[[#This Row],[POS]]="SP",Table3[[#This Row],[POS]]="RP",Table3[[#This Row],[POS]]="CL"),"P",INDEX(Batters[[#All],[zScore]],MATCH(Table3[[#This Row],[PID]],Batters[[#All],[PID]],0)))</f>
        <v>P</v>
      </c>
    </row>
    <row r="200" spans="1:64" ht="15" customHeight="1" x14ac:dyDescent="0.3">
      <c r="A200" s="40">
        <v>13224</v>
      </c>
      <c r="B200" s="40" t="s">
        <v>380</v>
      </c>
      <c r="C200" s="40" t="s">
        <v>946</v>
      </c>
      <c r="D200" s="40" t="s">
        <v>860</v>
      </c>
      <c r="E200" s="40">
        <v>17</v>
      </c>
      <c r="F200" s="40" t="s">
        <v>42</v>
      </c>
      <c r="G200" s="40" t="s">
        <v>42</v>
      </c>
      <c r="H200" s="41" t="s">
        <v>561</v>
      </c>
      <c r="I200" s="42" t="s">
        <v>47</v>
      </c>
      <c r="J200" s="40" t="s">
        <v>43</v>
      </c>
      <c r="K200" s="41" t="s">
        <v>43</v>
      </c>
      <c r="L200" s="40">
        <v>2</v>
      </c>
      <c r="M200" s="40">
        <v>1</v>
      </c>
      <c r="N200" s="41">
        <v>1</v>
      </c>
      <c r="O200" s="40">
        <v>4</v>
      </c>
      <c r="P200" s="40">
        <v>1</v>
      </c>
      <c r="Q200" s="41">
        <v>3</v>
      </c>
      <c r="R200" s="40">
        <v>3</v>
      </c>
      <c r="S200" s="40">
        <v>5</v>
      </c>
      <c r="T200" s="40">
        <v>1</v>
      </c>
      <c r="U200" s="40">
        <v>5</v>
      </c>
      <c r="V200" s="40" t="s">
        <v>45</v>
      </c>
      <c r="W200" s="40" t="s">
        <v>45</v>
      </c>
      <c r="X200" s="40">
        <v>2</v>
      </c>
      <c r="Y200" s="40">
        <v>5</v>
      </c>
      <c r="Z200" s="40" t="s">
        <v>45</v>
      </c>
      <c r="AA200" s="40" t="s">
        <v>45</v>
      </c>
      <c r="AB200" s="40" t="s">
        <v>45</v>
      </c>
      <c r="AC200" s="40" t="s">
        <v>45</v>
      </c>
      <c r="AD200" s="40">
        <v>3</v>
      </c>
      <c r="AE200" s="40">
        <v>4</v>
      </c>
      <c r="AF200" s="40" t="s">
        <v>45</v>
      </c>
      <c r="AG200" s="40" t="s">
        <v>45</v>
      </c>
      <c r="AH200" s="40" t="s">
        <v>45</v>
      </c>
      <c r="AI200" s="40" t="s">
        <v>45</v>
      </c>
      <c r="AJ200" s="40" t="s">
        <v>45</v>
      </c>
      <c r="AK200" s="40" t="s">
        <v>45</v>
      </c>
      <c r="AL200" s="40" t="s">
        <v>45</v>
      </c>
      <c r="AM200" s="40" t="s">
        <v>45</v>
      </c>
      <c r="AN200" s="40" t="s">
        <v>45</v>
      </c>
      <c r="AO200" s="41" t="s">
        <v>45</v>
      </c>
      <c r="AP200" s="40" t="s">
        <v>328</v>
      </c>
      <c r="AQ200" s="40">
        <v>6</v>
      </c>
      <c r="AR200" s="48" t="s">
        <v>14</v>
      </c>
      <c r="AS200" s="43" t="s">
        <v>558</v>
      </c>
      <c r="AT200" s="43" t="s">
        <v>103</v>
      </c>
      <c r="AU200" s="44">
        <f t="shared" si="31"/>
        <v>-2.5067929134584248</v>
      </c>
      <c r="AV200" s="44">
        <f t="shared" si="32"/>
        <v>-1.1872743815947853</v>
      </c>
      <c r="AW200" s="45">
        <f t="shared" si="33"/>
        <v>4</v>
      </c>
      <c r="AX200" s="45">
        <f t="shared" si="34"/>
        <v>0</v>
      </c>
      <c r="AY200" s="46">
        <f>VLOOKUP(AP200,COND!$A$10:$B$32,2,FALSE)</f>
        <v>1</v>
      </c>
      <c r="AZ200" s="44">
        <f>($AU$3*AU200+$AV$3*AV200+$AW$3*AW200+$AX$3*AX200)*AY200*IF(AQ200&lt;5,0.95,IF(AQ200&lt;7,0.975,1))+$I$3*VLOOKUP(I200,COND!$A$2:$E$7,4,FALSE)+$J$3*VLOOKUP(J200,COND!$A$2:$E$7,2,FALSE)+$K$3*VLOOKUP(K200,COND!$A$2:$E$7,3,FALSE)+IF(BB200="SP",$BB$3,0)+IF($AW200&lt;3,-5,0)+IF(AND($B$2&gt;0,$E200&lt;20),$B$2*25,0)</f>
        <v>30.534324940777289</v>
      </c>
      <c r="BA200" s="47">
        <f t="shared" si="30"/>
        <v>-0.5175510613776233</v>
      </c>
      <c r="BB200" s="45" t="str">
        <f t="shared" si="35"/>
        <v>SP</v>
      </c>
      <c r="BC200" s="45">
        <v>900</v>
      </c>
      <c r="BD200" s="45">
        <v>195</v>
      </c>
      <c r="BE200" s="45"/>
      <c r="BF200" s="45" t="str">
        <f t="shared" si="36"/>
        <v>Unlikely</v>
      </c>
      <c r="BG200" s="45"/>
      <c r="BH200" s="45">
        <f>INDEX(Table5[[#All],[Ovr]],MATCH(Table3[[#This Row],[PID]],Table5[[#All],[PID]],0))</f>
        <v>641</v>
      </c>
      <c r="BI200" s="45" t="str">
        <f>INDEX(Table5[[#All],[Rnd]],MATCH(Table3[[#This Row],[PID]],Table5[[#All],[PID]],0))</f>
        <v>20</v>
      </c>
      <c r="BJ200" s="45">
        <f>INDEX(Table5[[#All],[Pick]],MATCH(Table3[[#This Row],[PID]],Table5[[#All],[PID]],0))</f>
        <v>4</v>
      </c>
      <c r="BK200" s="45" t="str">
        <f>INDEX(Table5[[#All],[Team]],MATCH(Table3[[#This Row],[PID]],Table5[[#All],[PID]],0))</f>
        <v>Palm Springs Codgers</v>
      </c>
      <c r="BL200" s="45" t="str">
        <f>IF(OR(Table3[[#This Row],[POS]]="SP",Table3[[#This Row],[POS]]="RP",Table3[[#This Row],[POS]]="CL"),"P",INDEX(Batters[[#All],[zScore]],MATCH(Table3[[#This Row],[PID]],Batters[[#All],[PID]],0)))</f>
        <v>P</v>
      </c>
    </row>
    <row r="201" spans="1:64" ht="15" customHeight="1" x14ac:dyDescent="0.3">
      <c r="A201" s="40">
        <v>15580</v>
      </c>
      <c r="B201" s="40" t="s">
        <v>380</v>
      </c>
      <c r="C201" s="40" t="s">
        <v>1419</v>
      </c>
      <c r="D201" s="40" t="s">
        <v>532</v>
      </c>
      <c r="E201" s="40">
        <v>21</v>
      </c>
      <c r="F201" s="40" t="s">
        <v>53</v>
      </c>
      <c r="G201" s="40" t="s">
        <v>42</v>
      </c>
      <c r="H201" s="41" t="s">
        <v>561</v>
      </c>
      <c r="I201" s="42" t="s">
        <v>44</v>
      </c>
      <c r="J201" s="40" t="s">
        <v>47</v>
      </c>
      <c r="K201" s="41" t="s">
        <v>43</v>
      </c>
      <c r="L201" s="40">
        <v>2</v>
      </c>
      <c r="M201" s="40">
        <v>2</v>
      </c>
      <c r="N201" s="41">
        <v>1</v>
      </c>
      <c r="O201" s="40">
        <v>4</v>
      </c>
      <c r="P201" s="40">
        <v>2</v>
      </c>
      <c r="Q201" s="41">
        <v>3</v>
      </c>
      <c r="R201" s="40">
        <v>3</v>
      </c>
      <c r="S201" s="40">
        <v>4</v>
      </c>
      <c r="T201" s="40" t="s">
        <v>45</v>
      </c>
      <c r="U201" s="40" t="s">
        <v>45</v>
      </c>
      <c r="V201" s="40">
        <v>1</v>
      </c>
      <c r="W201" s="40">
        <v>5</v>
      </c>
      <c r="X201" s="40">
        <v>2</v>
      </c>
      <c r="Y201" s="40">
        <v>5</v>
      </c>
      <c r="Z201" s="40" t="s">
        <v>45</v>
      </c>
      <c r="AA201" s="40" t="s">
        <v>45</v>
      </c>
      <c r="AB201" s="40">
        <v>2</v>
      </c>
      <c r="AC201" s="40">
        <v>4</v>
      </c>
      <c r="AD201" s="40" t="s">
        <v>45</v>
      </c>
      <c r="AE201" s="40" t="s">
        <v>45</v>
      </c>
      <c r="AF201" s="40" t="s">
        <v>45</v>
      </c>
      <c r="AG201" s="40" t="s">
        <v>45</v>
      </c>
      <c r="AH201" s="40" t="s">
        <v>45</v>
      </c>
      <c r="AI201" s="40" t="s">
        <v>45</v>
      </c>
      <c r="AJ201" s="40" t="s">
        <v>45</v>
      </c>
      <c r="AK201" s="40" t="s">
        <v>45</v>
      </c>
      <c r="AL201" s="40" t="s">
        <v>45</v>
      </c>
      <c r="AM201" s="40" t="s">
        <v>45</v>
      </c>
      <c r="AN201" s="40" t="s">
        <v>45</v>
      </c>
      <c r="AO201" s="41" t="s">
        <v>45</v>
      </c>
      <c r="AP201" s="40" t="s">
        <v>68</v>
      </c>
      <c r="AQ201" s="40">
        <v>8</v>
      </c>
      <c r="AR201" s="48" t="s">
        <v>326</v>
      </c>
      <c r="AS201" s="43" t="s">
        <v>45</v>
      </c>
      <c r="AT201" s="43" t="s">
        <v>103</v>
      </c>
      <c r="AU201" s="44">
        <f t="shared" si="31"/>
        <v>-2.311361197028369</v>
      </c>
      <c r="AV201" s="44">
        <f t="shared" si="32"/>
        <v>-0.99184266516472974</v>
      </c>
      <c r="AW201" s="45">
        <f t="shared" si="33"/>
        <v>4</v>
      </c>
      <c r="AX201" s="45">
        <f t="shared" si="34"/>
        <v>0</v>
      </c>
      <c r="AY201" s="46">
        <f>VLOOKUP(AP201,COND!$A$10:$B$32,2,FALSE)</f>
        <v>0.95</v>
      </c>
      <c r="AZ201" s="44">
        <f>($AU$3*AU201+$AV$3*AV201+$AW$3*AW201+$AX$3*AX201)*AY201*IF(AQ201&lt;5,0.95,IF(AQ201&lt;7,0.975,1))+$I$3*VLOOKUP(I201,COND!$A$2:$E$7,4,FALSE)+$J$3*VLOOKUP(J201,COND!$A$2:$E$7,2,FALSE)+$K$3*VLOOKUP(K201,COND!$A$2:$E$7,3,FALSE)+IF(BB201="SP",$BB$3,0)+IF($AW201&lt;3,-5,0)+IF(AND($B$2&gt;0,$E201&lt;20),$B$2*25,0)</f>
        <v>29.765830734434743</v>
      </c>
      <c r="BA201" s="47">
        <f t="shared" si="30"/>
        <v>-0.57227325359134817</v>
      </c>
      <c r="BB201" s="45" t="str">
        <f t="shared" si="35"/>
        <v>SP</v>
      </c>
      <c r="BC201" s="45">
        <v>900</v>
      </c>
      <c r="BD201" s="45">
        <v>196</v>
      </c>
      <c r="BE201" s="45"/>
      <c r="BF201" s="45" t="str">
        <f t="shared" si="36"/>
        <v>Unlikely</v>
      </c>
      <c r="BG201" s="45"/>
      <c r="BH201" s="45">
        <f>INDEX(Table5[[#All],[Ovr]],MATCH(Table3[[#This Row],[PID]],Table5[[#All],[PID]],0))</f>
        <v>628</v>
      </c>
      <c r="BI201" s="45" t="str">
        <f>INDEX(Table5[[#All],[Rnd]],MATCH(Table3[[#This Row],[PID]],Table5[[#All],[PID]],0))</f>
        <v>19</v>
      </c>
      <c r="BJ201" s="45">
        <f>INDEX(Table5[[#All],[Pick]],MATCH(Table3[[#This Row],[PID]],Table5[[#All],[PID]],0))</f>
        <v>25</v>
      </c>
      <c r="BK201" s="45" t="str">
        <f>INDEX(Table5[[#All],[Team]],MATCH(Table3[[#This Row],[PID]],Table5[[#All],[PID]],0))</f>
        <v>Kalamazoo Badgers</v>
      </c>
      <c r="BL201" s="45" t="str">
        <f>IF(OR(Table3[[#This Row],[POS]]="SP",Table3[[#This Row],[POS]]="RP",Table3[[#This Row],[POS]]="CL"),"P",INDEX(Batters[[#All],[zScore]],MATCH(Table3[[#This Row],[PID]],Batters[[#All],[PID]],0)))</f>
        <v>P</v>
      </c>
    </row>
    <row r="202" spans="1:64" ht="15" customHeight="1" x14ac:dyDescent="0.3">
      <c r="A202" s="40">
        <v>11615</v>
      </c>
      <c r="B202" s="40" t="s">
        <v>24</v>
      </c>
      <c r="C202" s="40" t="s">
        <v>679</v>
      </c>
      <c r="D202" s="40" t="s">
        <v>1494</v>
      </c>
      <c r="E202" s="40">
        <v>18</v>
      </c>
      <c r="F202" s="40" t="s">
        <v>42</v>
      </c>
      <c r="G202" s="40" t="s">
        <v>42</v>
      </c>
      <c r="H202" s="41" t="s">
        <v>561</v>
      </c>
      <c r="I202" s="42" t="s">
        <v>43</v>
      </c>
      <c r="J202" s="40" t="s">
        <v>43</v>
      </c>
      <c r="K202" s="41" t="s">
        <v>43</v>
      </c>
      <c r="L202" s="40">
        <v>2</v>
      </c>
      <c r="M202" s="40">
        <v>1</v>
      </c>
      <c r="N202" s="41">
        <v>1</v>
      </c>
      <c r="O202" s="40">
        <v>4</v>
      </c>
      <c r="P202" s="40">
        <v>1</v>
      </c>
      <c r="Q202" s="41">
        <v>3</v>
      </c>
      <c r="R202" s="40">
        <v>4</v>
      </c>
      <c r="S202" s="40">
        <v>5</v>
      </c>
      <c r="T202" s="40">
        <v>1</v>
      </c>
      <c r="U202" s="40">
        <v>4</v>
      </c>
      <c r="V202" s="40">
        <v>2</v>
      </c>
      <c r="W202" s="40">
        <v>5</v>
      </c>
      <c r="X202" s="40">
        <v>2</v>
      </c>
      <c r="Y202" s="40">
        <v>5</v>
      </c>
      <c r="Z202" s="40" t="s">
        <v>45</v>
      </c>
      <c r="AA202" s="40" t="s">
        <v>45</v>
      </c>
      <c r="AB202" s="40" t="s">
        <v>45</v>
      </c>
      <c r="AC202" s="40" t="s">
        <v>45</v>
      </c>
      <c r="AD202" s="40" t="s">
        <v>45</v>
      </c>
      <c r="AE202" s="40" t="s">
        <v>45</v>
      </c>
      <c r="AF202" s="40" t="s">
        <v>45</v>
      </c>
      <c r="AG202" s="40" t="s">
        <v>45</v>
      </c>
      <c r="AH202" s="40" t="s">
        <v>45</v>
      </c>
      <c r="AI202" s="40" t="s">
        <v>45</v>
      </c>
      <c r="AJ202" s="40" t="s">
        <v>45</v>
      </c>
      <c r="AK202" s="40" t="s">
        <v>45</v>
      </c>
      <c r="AL202" s="40" t="s">
        <v>45</v>
      </c>
      <c r="AM202" s="40" t="s">
        <v>45</v>
      </c>
      <c r="AN202" s="40" t="s">
        <v>45</v>
      </c>
      <c r="AO202" s="41" t="s">
        <v>45</v>
      </c>
      <c r="AP202" s="40" t="s">
        <v>329</v>
      </c>
      <c r="AQ202" s="40">
        <v>5</v>
      </c>
      <c r="AR202" s="48" t="s">
        <v>14</v>
      </c>
      <c r="AS202" s="43" t="s">
        <v>568</v>
      </c>
      <c r="AT202" s="43" t="s">
        <v>103</v>
      </c>
      <c r="AU202" s="44">
        <f t="shared" si="31"/>
        <v>-2.5067929134584248</v>
      </c>
      <c r="AV202" s="44">
        <f t="shared" si="32"/>
        <v>-1.1872743815947853</v>
      </c>
      <c r="AW202" s="45">
        <f t="shared" si="33"/>
        <v>4</v>
      </c>
      <c r="AX202" s="45">
        <f t="shared" si="34"/>
        <v>0</v>
      </c>
      <c r="AY202" s="46">
        <f>VLOOKUP(AP202,COND!$A$10:$B$32,2,FALSE)</f>
        <v>1</v>
      </c>
      <c r="AZ202" s="44">
        <f>($AU$3*AU202+$AV$3*AV202+$AW$3*AW202+$AX$3*AX202)*AY202*IF(AQ202&lt;5,0.95,IF(AQ202&lt;7,0.975,1))+$I$3*VLOOKUP(I202,COND!$A$2:$E$7,4,FALSE)+$J$3*VLOOKUP(J202,COND!$A$2:$E$7,2,FALSE)+$K$3*VLOOKUP(K202,COND!$A$2:$E$7,3,FALSE)+IF(BB202="SP",$BB$3,0)+IF($AW202&lt;3,-5,0)+IF(AND($B$2&gt;0,$E202&lt;20),$B$2*25,0)</f>
        <v>30.309324940777291</v>
      </c>
      <c r="BA202" s="47">
        <f t="shared" si="30"/>
        <v>-0.53357264377404268</v>
      </c>
      <c r="BB202" s="45" t="str">
        <f t="shared" si="35"/>
        <v>SP</v>
      </c>
      <c r="BC202" s="45">
        <v>900</v>
      </c>
      <c r="BD202" s="45">
        <v>197</v>
      </c>
      <c r="BE202" s="45"/>
      <c r="BF202" s="45" t="str">
        <f t="shared" si="36"/>
        <v>Unlikely</v>
      </c>
      <c r="BG202" s="45"/>
      <c r="BH202" s="45" t="str">
        <f>INDEX(Table5[[#All],[Ovr]],MATCH(Table3[[#This Row],[PID]],Table5[[#All],[PID]],0))</f>
        <v/>
      </c>
      <c r="BI202" s="45" t="str">
        <f>INDEX(Table5[[#All],[Rnd]],MATCH(Table3[[#This Row],[PID]],Table5[[#All],[PID]],0))</f>
        <v/>
      </c>
      <c r="BJ202" s="45" t="str">
        <f>INDEX(Table5[[#All],[Pick]],MATCH(Table3[[#This Row],[PID]],Table5[[#All],[PID]],0))</f>
        <v/>
      </c>
      <c r="BK202" s="45" t="str">
        <f>INDEX(Table5[[#All],[Team]],MATCH(Table3[[#This Row],[PID]],Table5[[#All],[PID]],0))</f>
        <v/>
      </c>
      <c r="BL202" s="45" t="str">
        <f>IF(OR(Table3[[#This Row],[POS]]="SP",Table3[[#This Row],[POS]]="RP",Table3[[#This Row],[POS]]="CL"),"P",INDEX(Batters[[#All],[zScore]],MATCH(Table3[[#This Row],[PID]],Batters[[#All],[PID]],0)))</f>
        <v>P</v>
      </c>
    </row>
    <row r="203" spans="1:64" ht="15" customHeight="1" x14ac:dyDescent="0.3">
      <c r="A203" s="40">
        <v>17037</v>
      </c>
      <c r="B203" s="40" t="s">
        <v>380</v>
      </c>
      <c r="C203" s="40" t="s">
        <v>628</v>
      </c>
      <c r="D203" s="40" t="s">
        <v>573</v>
      </c>
      <c r="E203" s="40">
        <v>22</v>
      </c>
      <c r="F203" s="40" t="s">
        <v>42</v>
      </c>
      <c r="G203" s="40" t="s">
        <v>42</v>
      </c>
      <c r="H203" s="41" t="s">
        <v>561</v>
      </c>
      <c r="I203" s="42" t="s">
        <v>43</v>
      </c>
      <c r="J203" s="40" t="s">
        <v>47</v>
      </c>
      <c r="K203" s="41" t="s">
        <v>43</v>
      </c>
      <c r="L203" s="40">
        <v>2</v>
      </c>
      <c r="M203" s="40">
        <v>2</v>
      </c>
      <c r="N203" s="41">
        <v>2</v>
      </c>
      <c r="O203" s="40">
        <v>4</v>
      </c>
      <c r="P203" s="40">
        <v>2</v>
      </c>
      <c r="Q203" s="41">
        <v>3</v>
      </c>
      <c r="R203" s="40">
        <v>3</v>
      </c>
      <c r="S203" s="40">
        <v>4</v>
      </c>
      <c r="T203" s="40">
        <v>1</v>
      </c>
      <c r="U203" s="40">
        <v>4</v>
      </c>
      <c r="V203" s="40" t="s">
        <v>45</v>
      </c>
      <c r="W203" s="40" t="s">
        <v>45</v>
      </c>
      <c r="X203" s="40">
        <v>3</v>
      </c>
      <c r="Y203" s="40">
        <v>5</v>
      </c>
      <c r="Z203" s="40" t="s">
        <v>45</v>
      </c>
      <c r="AA203" s="40" t="s">
        <v>45</v>
      </c>
      <c r="AB203" s="40" t="s">
        <v>45</v>
      </c>
      <c r="AC203" s="40" t="s">
        <v>45</v>
      </c>
      <c r="AD203" s="40" t="s">
        <v>45</v>
      </c>
      <c r="AE203" s="40" t="s">
        <v>45</v>
      </c>
      <c r="AF203" s="40">
        <v>3</v>
      </c>
      <c r="AG203" s="40">
        <v>4</v>
      </c>
      <c r="AH203" s="40" t="s">
        <v>45</v>
      </c>
      <c r="AI203" s="40" t="s">
        <v>45</v>
      </c>
      <c r="AJ203" s="40" t="s">
        <v>45</v>
      </c>
      <c r="AK203" s="40" t="s">
        <v>45</v>
      </c>
      <c r="AL203" s="40" t="s">
        <v>45</v>
      </c>
      <c r="AM203" s="40" t="s">
        <v>45</v>
      </c>
      <c r="AN203" s="40" t="s">
        <v>45</v>
      </c>
      <c r="AO203" s="41" t="s">
        <v>45</v>
      </c>
      <c r="AP203" s="40" t="s">
        <v>64</v>
      </c>
      <c r="AQ203" s="40">
        <v>6</v>
      </c>
      <c r="AR203" s="48" t="s">
        <v>14</v>
      </c>
      <c r="AS203" s="43" t="s">
        <v>45</v>
      </c>
      <c r="AT203" s="43" t="s">
        <v>103</v>
      </c>
      <c r="AU203" s="44">
        <f t="shared" si="31"/>
        <v>-2.0690406309742588</v>
      </c>
      <c r="AV203" s="44">
        <f t="shared" si="32"/>
        <v>-0.99184266516472974</v>
      </c>
      <c r="AW203" s="45">
        <f t="shared" si="33"/>
        <v>4</v>
      </c>
      <c r="AX203" s="45">
        <f t="shared" si="34"/>
        <v>0</v>
      </c>
      <c r="AY203" s="46">
        <f>VLOOKUP(AP203,COND!$A$10:$B$32,2,FALSE)</f>
        <v>1</v>
      </c>
      <c r="AZ203" s="44">
        <f>($AU$3*AU203+$AV$3*AV203+$AW$3*AW203+$AX$3*AX203)*AY203*IF(AQ203&lt;5,0.95,IF(AQ203&lt;7,0.975,1))+$I$3*VLOOKUP(I203,COND!$A$2:$E$7,4,FALSE)+$J$3*VLOOKUP(J203,COND!$A$2:$E$7,2,FALSE)+$K$3*VLOOKUP(K203,COND!$A$2:$E$7,3,FALSE)+IF(BB203="SP",$BB$3,0)+IF($AW203&lt;3,-5,0)+IF(AND($B$2&gt;0,$E203&lt;20),$B$2*25,0)</f>
        <v>29.505605106247788</v>
      </c>
      <c r="BA203" s="47">
        <f t="shared" si="30"/>
        <v>-0.5908031484520474</v>
      </c>
      <c r="BB203" s="45" t="str">
        <f t="shared" si="35"/>
        <v>SP</v>
      </c>
      <c r="BC203" s="45">
        <v>900</v>
      </c>
      <c r="BD203" s="45">
        <v>198</v>
      </c>
      <c r="BE203" s="45"/>
      <c r="BF203" s="45" t="str">
        <f t="shared" si="36"/>
        <v>Unlikely</v>
      </c>
      <c r="BG203" s="45"/>
      <c r="BH203" s="45">
        <f>INDEX(Table5[[#All],[Ovr]],MATCH(Table3[[#This Row],[PID]],Table5[[#All],[PID]],0))</f>
        <v>659</v>
      </c>
      <c r="BI203" s="45" t="str">
        <f>INDEX(Table5[[#All],[Rnd]],MATCH(Table3[[#This Row],[PID]],Table5[[#All],[PID]],0))</f>
        <v>20</v>
      </c>
      <c r="BJ203" s="45">
        <f>INDEX(Table5[[#All],[Pick]],MATCH(Table3[[#This Row],[PID]],Table5[[#All],[PID]],0))</f>
        <v>22</v>
      </c>
      <c r="BK203" s="45" t="str">
        <f>INDEX(Table5[[#All],[Team]],MATCH(Table3[[#This Row],[PID]],Table5[[#All],[PID]],0))</f>
        <v>Bakersfield Bears</v>
      </c>
      <c r="BL203" s="45" t="str">
        <f>IF(OR(Table3[[#This Row],[POS]]="SP",Table3[[#This Row],[POS]]="RP",Table3[[#This Row],[POS]]="CL"),"P",INDEX(Batters[[#All],[zScore]],MATCH(Table3[[#This Row],[PID]],Batters[[#All],[PID]],0)))</f>
        <v>P</v>
      </c>
    </row>
    <row r="204" spans="1:64" ht="15" customHeight="1" x14ac:dyDescent="0.3">
      <c r="A204" s="40">
        <v>5424</v>
      </c>
      <c r="B204" s="40" t="s">
        <v>380</v>
      </c>
      <c r="C204" s="40" t="s">
        <v>175</v>
      </c>
      <c r="D204" s="40" t="s">
        <v>1498</v>
      </c>
      <c r="E204" s="40">
        <v>21</v>
      </c>
      <c r="F204" s="40" t="s">
        <v>42</v>
      </c>
      <c r="G204" s="40" t="s">
        <v>42</v>
      </c>
      <c r="H204" s="41" t="s">
        <v>561</v>
      </c>
      <c r="I204" s="42" t="s">
        <v>43</v>
      </c>
      <c r="J204" s="40" t="s">
        <v>47</v>
      </c>
      <c r="K204" s="41" t="s">
        <v>43</v>
      </c>
      <c r="L204" s="40">
        <v>2</v>
      </c>
      <c r="M204" s="40">
        <v>2</v>
      </c>
      <c r="N204" s="41">
        <v>2</v>
      </c>
      <c r="O204" s="40">
        <v>3</v>
      </c>
      <c r="P204" s="40">
        <v>2</v>
      </c>
      <c r="Q204" s="41">
        <v>4</v>
      </c>
      <c r="R204" s="40">
        <v>3</v>
      </c>
      <c r="S204" s="40">
        <v>4</v>
      </c>
      <c r="T204" s="40">
        <v>1</v>
      </c>
      <c r="U204" s="40">
        <v>5</v>
      </c>
      <c r="V204" s="40" t="s">
        <v>45</v>
      </c>
      <c r="W204" s="40" t="s">
        <v>45</v>
      </c>
      <c r="X204" s="40">
        <v>3</v>
      </c>
      <c r="Y204" s="40">
        <v>5</v>
      </c>
      <c r="Z204" s="40" t="s">
        <v>45</v>
      </c>
      <c r="AA204" s="40" t="s">
        <v>45</v>
      </c>
      <c r="AB204" s="40" t="s">
        <v>45</v>
      </c>
      <c r="AC204" s="40" t="s">
        <v>45</v>
      </c>
      <c r="AD204" s="40" t="s">
        <v>45</v>
      </c>
      <c r="AE204" s="40" t="s">
        <v>45</v>
      </c>
      <c r="AF204" s="40" t="s">
        <v>45</v>
      </c>
      <c r="AG204" s="40" t="s">
        <v>45</v>
      </c>
      <c r="AH204" s="40" t="s">
        <v>45</v>
      </c>
      <c r="AI204" s="40" t="s">
        <v>45</v>
      </c>
      <c r="AJ204" s="40" t="s">
        <v>45</v>
      </c>
      <c r="AK204" s="40" t="s">
        <v>45</v>
      </c>
      <c r="AL204" s="40" t="s">
        <v>45</v>
      </c>
      <c r="AM204" s="40" t="s">
        <v>45</v>
      </c>
      <c r="AN204" s="40" t="s">
        <v>45</v>
      </c>
      <c r="AO204" s="41" t="s">
        <v>45</v>
      </c>
      <c r="AP204" s="40" t="s">
        <v>64</v>
      </c>
      <c r="AQ204" s="40">
        <v>7</v>
      </c>
      <c r="AR204" s="48" t="s">
        <v>14</v>
      </c>
      <c r="AS204" s="43" t="s">
        <v>45</v>
      </c>
      <c r="AT204" s="43" t="s">
        <v>103</v>
      </c>
      <c r="AU204" s="44">
        <f t="shared" si="31"/>
        <v>-2.0690406309742588</v>
      </c>
      <c r="AV204" s="44">
        <f t="shared" si="32"/>
        <v>-0.94421342361979277</v>
      </c>
      <c r="AW204" s="45">
        <f t="shared" si="33"/>
        <v>3</v>
      </c>
      <c r="AX204" s="45">
        <f t="shared" si="34"/>
        <v>0</v>
      </c>
      <c r="AY204" s="46">
        <f>VLOOKUP(AP204,COND!$A$10:$B$32,2,FALSE)</f>
        <v>1</v>
      </c>
      <c r="AZ204" s="44">
        <f>($AU$3*AU204+$AV$3*AV204+$AW$3*AW204+$AX$3*AX204)*AY204*IF(AQ204&lt;5,0.95,IF(AQ204&lt;7,0.975,1))+$I$3*VLOOKUP(I204,COND!$A$2:$E$7,4,FALSE)+$J$3*VLOOKUP(J204,COND!$A$2:$E$7,2,FALSE)+$K$3*VLOOKUP(K204,COND!$A$2:$E$7,3,FALSE)+IF(BB204="SP",$BB$3,0)+IF($AW204&lt;3,-5,0)+IF(AND($B$2&gt;0,$E204&lt;20),$B$2*25,0)</f>
        <v>29.501923401409293</v>
      </c>
      <c r="BA204" s="47">
        <f t="shared" si="30"/>
        <v>-0.59106531172951071</v>
      </c>
      <c r="BB204" s="45" t="str">
        <f t="shared" si="35"/>
        <v>SP</v>
      </c>
      <c r="BC204" s="45">
        <v>900</v>
      </c>
      <c r="BD204" s="45">
        <v>199</v>
      </c>
      <c r="BE204" s="45"/>
      <c r="BF204" s="45" t="str">
        <f t="shared" si="36"/>
        <v>Unlikely</v>
      </c>
      <c r="BG204" s="45"/>
      <c r="BH204" s="45" t="str">
        <f>INDEX(Table5[[#All],[Ovr]],MATCH(Table3[[#This Row],[PID]],Table5[[#All],[PID]],0))</f>
        <v/>
      </c>
      <c r="BI204" s="45" t="str">
        <f>INDEX(Table5[[#All],[Rnd]],MATCH(Table3[[#This Row],[PID]],Table5[[#All],[PID]],0))</f>
        <v/>
      </c>
      <c r="BJ204" s="45" t="str">
        <f>INDEX(Table5[[#All],[Pick]],MATCH(Table3[[#This Row],[PID]],Table5[[#All],[PID]],0))</f>
        <v/>
      </c>
      <c r="BK204" s="45" t="str">
        <f>INDEX(Table5[[#All],[Team]],MATCH(Table3[[#This Row],[PID]],Table5[[#All],[PID]],0))</f>
        <v/>
      </c>
      <c r="BL204" s="45" t="str">
        <f>IF(OR(Table3[[#This Row],[POS]]="SP",Table3[[#This Row],[POS]]="RP",Table3[[#This Row],[POS]]="CL"),"P",INDEX(Batters[[#All],[zScore]],MATCH(Table3[[#This Row],[PID]],Batters[[#All],[PID]],0)))</f>
        <v>P</v>
      </c>
    </row>
    <row r="205" spans="1:64" ht="15" customHeight="1" x14ac:dyDescent="0.3">
      <c r="A205" s="40">
        <v>13977</v>
      </c>
      <c r="B205" s="40" t="s">
        <v>380</v>
      </c>
      <c r="C205" s="40" t="s">
        <v>693</v>
      </c>
      <c r="D205" s="40" t="s">
        <v>778</v>
      </c>
      <c r="E205" s="40">
        <v>21</v>
      </c>
      <c r="F205" s="40" t="s">
        <v>42</v>
      </c>
      <c r="G205" s="40" t="s">
        <v>42</v>
      </c>
      <c r="H205" s="41" t="s">
        <v>561</v>
      </c>
      <c r="I205" s="42" t="s">
        <v>43</v>
      </c>
      <c r="J205" s="40" t="s">
        <v>47</v>
      </c>
      <c r="K205" s="41" t="s">
        <v>43</v>
      </c>
      <c r="L205" s="40">
        <v>2</v>
      </c>
      <c r="M205" s="40">
        <v>2</v>
      </c>
      <c r="N205" s="41">
        <v>2</v>
      </c>
      <c r="O205" s="40">
        <v>3</v>
      </c>
      <c r="P205" s="40">
        <v>2</v>
      </c>
      <c r="Q205" s="41">
        <v>4</v>
      </c>
      <c r="R205" s="40">
        <v>3</v>
      </c>
      <c r="S205" s="40">
        <v>4</v>
      </c>
      <c r="T205" s="40">
        <v>1</v>
      </c>
      <c r="U205" s="40">
        <v>4</v>
      </c>
      <c r="V205" s="40" t="s">
        <v>45</v>
      </c>
      <c r="W205" s="40" t="s">
        <v>45</v>
      </c>
      <c r="X205" s="40">
        <v>2</v>
      </c>
      <c r="Y205" s="40">
        <v>5</v>
      </c>
      <c r="Z205" s="40" t="s">
        <v>45</v>
      </c>
      <c r="AA205" s="40" t="s">
        <v>45</v>
      </c>
      <c r="AB205" s="40" t="s">
        <v>45</v>
      </c>
      <c r="AC205" s="40" t="s">
        <v>45</v>
      </c>
      <c r="AD205" s="40" t="s">
        <v>45</v>
      </c>
      <c r="AE205" s="40" t="s">
        <v>45</v>
      </c>
      <c r="AF205" s="40" t="s">
        <v>45</v>
      </c>
      <c r="AG205" s="40" t="s">
        <v>45</v>
      </c>
      <c r="AH205" s="40" t="s">
        <v>45</v>
      </c>
      <c r="AI205" s="40" t="s">
        <v>45</v>
      </c>
      <c r="AJ205" s="40" t="s">
        <v>45</v>
      </c>
      <c r="AK205" s="40" t="s">
        <v>45</v>
      </c>
      <c r="AL205" s="40" t="s">
        <v>45</v>
      </c>
      <c r="AM205" s="40" t="s">
        <v>45</v>
      </c>
      <c r="AN205" s="40" t="s">
        <v>45</v>
      </c>
      <c r="AO205" s="41" t="s">
        <v>45</v>
      </c>
      <c r="AP205" s="40" t="s">
        <v>64</v>
      </c>
      <c r="AQ205" s="40">
        <v>9</v>
      </c>
      <c r="AR205" s="48" t="s">
        <v>326</v>
      </c>
      <c r="AS205" s="43" t="s">
        <v>45</v>
      </c>
      <c r="AT205" s="43" t="s">
        <v>103</v>
      </c>
      <c r="AU205" s="44">
        <f t="shared" si="31"/>
        <v>-2.0690406309742588</v>
      </c>
      <c r="AV205" s="44">
        <f t="shared" si="32"/>
        <v>-0.94421342361979277</v>
      </c>
      <c r="AW205" s="45">
        <f t="shared" si="33"/>
        <v>3</v>
      </c>
      <c r="AX205" s="45">
        <f t="shared" si="34"/>
        <v>0</v>
      </c>
      <c r="AY205" s="46">
        <f>VLOOKUP(AP205,COND!$A$10:$B$32,2,FALSE)</f>
        <v>1</v>
      </c>
      <c r="AZ205" s="44">
        <f>($AU$3*AU205+$AV$3*AV205+$AW$3*AW205+$AX$3*AX205)*AY205*IF(AQ205&lt;5,0.95,IF(AQ205&lt;7,0.975,1))+$I$3*VLOOKUP(I205,COND!$A$2:$E$7,4,FALSE)+$J$3*VLOOKUP(J205,COND!$A$2:$E$7,2,FALSE)+$K$3*VLOOKUP(K205,COND!$A$2:$E$7,3,FALSE)+IF(BB205="SP",$BB$3,0)+IF($AW205&lt;3,-5,0)+IF(AND($B$2&gt;0,$E205&lt;20),$B$2*25,0)</f>
        <v>29.501923401409293</v>
      </c>
      <c r="BA205" s="47">
        <f t="shared" si="30"/>
        <v>-0.59106531172951071</v>
      </c>
      <c r="BB205" s="45" t="str">
        <f t="shared" si="35"/>
        <v>SP</v>
      </c>
      <c r="BC205" s="45">
        <v>900</v>
      </c>
      <c r="BD205" s="45">
        <v>200</v>
      </c>
      <c r="BE205" s="45"/>
      <c r="BF205" s="45" t="str">
        <f t="shared" si="36"/>
        <v>Unlikely</v>
      </c>
      <c r="BG205" s="45"/>
      <c r="BH205" s="45">
        <f>INDEX(Table5[[#All],[Ovr]],MATCH(Table3[[#This Row],[PID]],Table5[[#All],[PID]],0))</f>
        <v>489</v>
      </c>
      <c r="BI205" s="45" t="str">
        <f>INDEX(Table5[[#All],[Rnd]],MATCH(Table3[[#This Row],[PID]],Table5[[#All],[PID]],0))</f>
        <v>15</v>
      </c>
      <c r="BJ205" s="45">
        <f>INDEX(Table5[[#All],[Pick]],MATCH(Table3[[#This Row],[PID]],Table5[[#All],[PID]],0))</f>
        <v>22</v>
      </c>
      <c r="BK205" s="45" t="str">
        <f>INDEX(Table5[[#All],[Team]],MATCH(Table3[[#This Row],[PID]],Table5[[#All],[PID]],0))</f>
        <v>Bakersfield Bears</v>
      </c>
      <c r="BL205" s="45" t="str">
        <f>IF(OR(Table3[[#This Row],[POS]]="SP",Table3[[#This Row],[POS]]="RP",Table3[[#This Row],[POS]]="CL"),"P",INDEX(Batters[[#All],[zScore]],MATCH(Table3[[#This Row],[PID]],Batters[[#All],[PID]],0)))</f>
        <v>P</v>
      </c>
    </row>
    <row r="206" spans="1:64" ht="15" customHeight="1" x14ac:dyDescent="0.3">
      <c r="A206" s="40">
        <v>13622</v>
      </c>
      <c r="B206" s="40" t="s">
        <v>380</v>
      </c>
      <c r="C206" s="40" t="s">
        <v>320</v>
      </c>
      <c r="D206" s="40" t="s">
        <v>144</v>
      </c>
      <c r="E206" s="40">
        <v>21</v>
      </c>
      <c r="F206" s="40" t="s">
        <v>42</v>
      </c>
      <c r="G206" s="40" t="s">
        <v>42</v>
      </c>
      <c r="H206" s="41" t="s">
        <v>561</v>
      </c>
      <c r="I206" s="42" t="s">
        <v>43</v>
      </c>
      <c r="J206" s="40" t="s">
        <v>43</v>
      </c>
      <c r="K206" s="41" t="s">
        <v>43</v>
      </c>
      <c r="L206" s="40">
        <v>2</v>
      </c>
      <c r="M206" s="40">
        <v>1</v>
      </c>
      <c r="N206" s="41">
        <v>1</v>
      </c>
      <c r="O206" s="40">
        <v>4</v>
      </c>
      <c r="P206" s="40">
        <v>1</v>
      </c>
      <c r="Q206" s="41">
        <v>4</v>
      </c>
      <c r="R206" s="40">
        <v>3</v>
      </c>
      <c r="S206" s="40">
        <v>3</v>
      </c>
      <c r="T206" s="40" t="s">
        <v>45</v>
      </c>
      <c r="U206" s="40" t="s">
        <v>45</v>
      </c>
      <c r="V206" s="40">
        <v>1</v>
      </c>
      <c r="W206" s="40">
        <v>4</v>
      </c>
      <c r="X206" s="40" t="s">
        <v>45</v>
      </c>
      <c r="Y206" s="40" t="s">
        <v>45</v>
      </c>
      <c r="Z206" s="40" t="s">
        <v>45</v>
      </c>
      <c r="AA206" s="40" t="s">
        <v>45</v>
      </c>
      <c r="AB206" s="40">
        <v>3</v>
      </c>
      <c r="AC206" s="40">
        <v>5</v>
      </c>
      <c r="AD206" s="40" t="s">
        <v>45</v>
      </c>
      <c r="AE206" s="40" t="s">
        <v>45</v>
      </c>
      <c r="AF206" s="40" t="s">
        <v>45</v>
      </c>
      <c r="AG206" s="40" t="s">
        <v>45</v>
      </c>
      <c r="AH206" s="40" t="s">
        <v>45</v>
      </c>
      <c r="AI206" s="40" t="s">
        <v>45</v>
      </c>
      <c r="AJ206" s="40" t="s">
        <v>45</v>
      </c>
      <c r="AK206" s="40" t="s">
        <v>45</v>
      </c>
      <c r="AL206" s="40">
        <v>1</v>
      </c>
      <c r="AM206" s="40">
        <v>2</v>
      </c>
      <c r="AN206" s="40" t="s">
        <v>45</v>
      </c>
      <c r="AO206" s="41" t="s">
        <v>45</v>
      </c>
      <c r="AP206" s="40" t="s">
        <v>329</v>
      </c>
      <c r="AQ206" s="40">
        <v>6</v>
      </c>
      <c r="AR206" s="48" t="s">
        <v>14</v>
      </c>
      <c r="AS206" s="43" t="s">
        <v>45</v>
      </c>
      <c r="AT206" s="43" t="s">
        <v>103</v>
      </c>
      <c r="AU206" s="44">
        <f t="shared" si="31"/>
        <v>-2.5067929134584248</v>
      </c>
      <c r="AV206" s="44">
        <f t="shared" si="32"/>
        <v>-0.94495381554067481</v>
      </c>
      <c r="AW206" s="45">
        <f t="shared" si="33"/>
        <v>4</v>
      </c>
      <c r="AX206" s="45">
        <f t="shared" si="34"/>
        <v>0</v>
      </c>
      <c r="AY206" s="46">
        <f>VLOOKUP(AP206,COND!$A$10:$B$32,2,FALSE)</f>
        <v>1</v>
      </c>
      <c r="AZ206" s="44">
        <f>($AU$3*AU206+$AV$3*AV206+$AW$3*AW206+$AX$3*AX206)*AY206*IF(AQ206&lt;5,0.95,IF(AQ206&lt;7,0.975,1))+$I$3*VLOOKUP(I206,COND!$A$2:$E$7,4,FALSE)+$J$3*VLOOKUP(J206,COND!$A$2:$E$7,2,FALSE)+$K$3*VLOOKUP(K206,COND!$A$2:$E$7,3,FALSE)+IF(BB206="SP",$BB$3,0)+IF($AW206&lt;3,-5,0)+IF(AND($B$2&gt;0,$E206&lt;20),$B$2*25,0)</f>
        <v>30.03457597883245</v>
      </c>
      <c r="BA206" s="47">
        <f t="shared" si="30"/>
        <v>-0.55313670213906485</v>
      </c>
      <c r="BB206" s="45" t="str">
        <f t="shared" si="35"/>
        <v>SP</v>
      </c>
      <c r="BC206" s="45">
        <v>900</v>
      </c>
      <c r="BD206" s="45">
        <v>201</v>
      </c>
      <c r="BE206" s="45"/>
      <c r="BF206" s="45" t="str">
        <f t="shared" si="36"/>
        <v>Unlikely</v>
      </c>
      <c r="BG206" s="45"/>
      <c r="BH206" s="45">
        <f>INDEX(Table5[[#All],[Ovr]],MATCH(Table3[[#This Row],[PID]],Table5[[#All],[PID]],0))</f>
        <v>617</v>
      </c>
      <c r="BI206" s="45" t="str">
        <f>INDEX(Table5[[#All],[Rnd]],MATCH(Table3[[#This Row],[PID]],Table5[[#All],[PID]],0))</f>
        <v>19</v>
      </c>
      <c r="BJ206" s="45">
        <f>INDEX(Table5[[#All],[Pick]],MATCH(Table3[[#This Row],[PID]],Table5[[#All],[PID]],0))</f>
        <v>14</v>
      </c>
      <c r="BK206" s="45" t="str">
        <f>INDEX(Table5[[#All],[Team]],MATCH(Table3[[#This Row],[PID]],Table5[[#All],[PID]],0))</f>
        <v>San Antonio Calzones of Laredo</v>
      </c>
      <c r="BL206" s="45" t="str">
        <f>IF(OR(Table3[[#This Row],[POS]]="SP",Table3[[#This Row],[POS]]="RP",Table3[[#This Row],[POS]]="CL"),"P",INDEX(Batters[[#All],[zScore]],MATCH(Table3[[#This Row],[PID]],Batters[[#All],[PID]],0)))</f>
        <v>P</v>
      </c>
    </row>
    <row r="207" spans="1:64" ht="15" customHeight="1" x14ac:dyDescent="0.3">
      <c r="A207" s="40">
        <v>7738</v>
      </c>
      <c r="B207" s="40" t="s">
        <v>380</v>
      </c>
      <c r="C207" s="40" t="s">
        <v>971</v>
      </c>
      <c r="D207" s="40" t="s">
        <v>892</v>
      </c>
      <c r="E207" s="40">
        <v>21</v>
      </c>
      <c r="F207" s="40" t="s">
        <v>42</v>
      </c>
      <c r="G207" s="40" t="s">
        <v>42</v>
      </c>
      <c r="H207" s="41" t="s">
        <v>561</v>
      </c>
      <c r="I207" s="42" t="s">
        <v>43</v>
      </c>
      <c r="J207" s="40" t="s">
        <v>43</v>
      </c>
      <c r="K207" s="41" t="s">
        <v>43</v>
      </c>
      <c r="L207" s="40">
        <v>3</v>
      </c>
      <c r="M207" s="40">
        <v>1</v>
      </c>
      <c r="N207" s="41">
        <v>3</v>
      </c>
      <c r="O207" s="40">
        <v>4</v>
      </c>
      <c r="P207" s="40">
        <v>1</v>
      </c>
      <c r="Q207" s="41">
        <v>4</v>
      </c>
      <c r="R207" s="40" t="s">
        <v>45</v>
      </c>
      <c r="S207" s="40" t="s">
        <v>45</v>
      </c>
      <c r="T207" s="40" t="s">
        <v>45</v>
      </c>
      <c r="U207" s="40" t="s">
        <v>45</v>
      </c>
      <c r="V207" s="40">
        <v>2</v>
      </c>
      <c r="W207" s="40">
        <v>2</v>
      </c>
      <c r="X207" s="40" t="s">
        <v>45</v>
      </c>
      <c r="Y207" s="40" t="s">
        <v>45</v>
      </c>
      <c r="Z207" s="40" t="s">
        <v>45</v>
      </c>
      <c r="AA207" s="40" t="s">
        <v>45</v>
      </c>
      <c r="AB207" s="40">
        <v>4</v>
      </c>
      <c r="AC207" s="40">
        <v>5</v>
      </c>
      <c r="AD207" s="40">
        <v>3</v>
      </c>
      <c r="AE207" s="40">
        <v>4</v>
      </c>
      <c r="AF207" s="40" t="s">
        <v>45</v>
      </c>
      <c r="AG207" s="40" t="s">
        <v>45</v>
      </c>
      <c r="AH207" s="40">
        <v>1</v>
      </c>
      <c r="AI207" s="40">
        <v>1</v>
      </c>
      <c r="AJ207" s="40" t="s">
        <v>45</v>
      </c>
      <c r="AK207" s="40" t="s">
        <v>45</v>
      </c>
      <c r="AL207" s="40" t="s">
        <v>45</v>
      </c>
      <c r="AM207" s="40" t="s">
        <v>45</v>
      </c>
      <c r="AN207" s="40" t="s">
        <v>45</v>
      </c>
      <c r="AO207" s="41" t="s">
        <v>45</v>
      </c>
      <c r="AP207" s="40" t="s">
        <v>328</v>
      </c>
      <c r="AQ207" s="40">
        <v>10</v>
      </c>
      <c r="AR207" s="48" t="s">
        <v>14</v>
      </c>
      <c r="AS207" s="43" t="s">
        <v>45</v>
      </c>
      <c r="AT207" s="43" t="s">
        <v>103</v>
      </c>
      <c r="AU207" s="44">
        <f t="shared" si="31"/>
        <v>-1.8274604568410304</v>
      </c>
      <c r="AV207" s="44">
        <f t="shared" si="32"/>
        <v>-0.94495381554067481</v>
      </c>
      <c r="AW207" s="45">
        <f t="shared" si="33"/>
        <v>4</v>
      </c>
      <c r="AX207" s="45">
        <f t="shared" si="34"/>
        <v>0</v>
      </c>
      <c r="AY207" s="46">
        <f>VLOOKUP(AP207,COND!$A$10:$B$32,2,FALSE)</f>
        <v>1</v>
      </c>
      <c r="AZ207" s="44">
        <f>($AU$3*AU207+$AV$3*AV207+$AW$3*AW207+$AX$3*AX207)*AY207*IF(AQ207&lt;5,0.95,IF(AQ207&lt;7,0.975,1))+$I$3*VLOOKUP(I207,COND!$A$2:$E$7,4,FALSE)+$J$3*VLOOKUP(J207,COND!$A$2:$E$7,2,FALSE)+$K$3*VLOOKUP(K207,COND!$A$2:$E$7,3,FALSE)+IF(BB207="SP",$BB$3,0)+IF($AW207&lt;3,-5,0)+IF(AND($B$2&gt;0,$E207&lt;20),$B$2*25,0)</f>
        <v>29.735431597818298</v>
      </c>
      <c r="BA207" s="47">
        <f t="shared" si="30"/>
        <v>-0.57443788591170541</v>
      </c>
      <c r="BB207" s="45" t="str">
        <f t="shared" si="35"/>
        <v>SP</v>
      </c>
      <c r="BC207" s="45">
        <v>900</v>
      </c>
      <c r="BD207" s="45">
        <v>202</v>
      </c>
      <c r="BE207" s="45"/>
      <c r="BF207" s="45" t="str">
        <f t="shared" si="36"/>
        <v>Unlikely</v>
      </c>
      <c r="BG207" s="45"/>
      <c r="BH207" s="45">
        <f>INDEX(Table5[[#All],[Ovr]],MATCH(Table3[[#This Row],[PID]],Table5[[#All],[PID]],0))</f>
        <v>470</v>
      </c>
      <c r="BI207" s="45" t="str">
        <f>INDEX(Table5[[#All],[Rnd]],MATCH(Table3[[#This Row],[PID]],Table5[[#All],[PID]],0))</f>
        <v>15</v>
      </c>
      <c r="BJ207" s="45">
        <f>INDEX(Table5[[#All],[Pick]],MATCH(Table3[[#This Row],[PID]],Table5[[#All],[PID]],0))</f>
        <v>3</v>
      </c>
      <c r="BK207" s="45" t="str">
        <f>INDEX(Table5[[#All],[Team]],MATCH(Table3[[#This Row],[PID]],Table5[[#All],[PID]],0))</f>
        <v>Okinawa Shisa</v>
      </c>
      <c r="BL207" s="45" t="str">
        <f>IF(OR(Table3[[#This Row],[POS]]="SP",Table3[[#This Row],[POS]]="RP",Table3[[#This Row],[POS]]="CL"),"P",INDEX(Batters[[#All],[zScore]],MATCH(Table3[[#This Row],[PID]],Batters[[#All],[PID]],0)))</f>
        <v>P</v>
      </c>
    </row>
    <row r="208" spans="1:64" ht="15" customHeight="1" x14ac:dyDescent="0.3">
      <c r="A208" s="40">
        <v>5175</v>
      </c>
      <c r="B208" s="40" t="s">
        <v>380</v>
      </c>
      <c r="C208" s="40" t="s">
        <v>151</v>
      </c>
      <c r="D208" s="40" t="s">
        <v>365</v>
      </c>
      <c r="E208" s="40">
        <v>21</v>
      </c>
      <c r="F208" s="40" t="s">
        <v>42</v>
      </c>
      <c r="G208" s="40" t="s">
        <v>42</v>
      </c>
      <c r="H208" s="41" t="s">
        <v>561</v>
      </c>
      <c r="I208" s="42" t="s">
        <v>47</v>
      </c>
      <c r="J208" s="40" t="s">
        <v>43</v>
      </c>
      <c r="K208" s="41" t="s">
        <v>43</v>
      </c>
      <c r="L208" s="40">
        <v>2</v>
      </c>
      <c r="M208" s="40">
        <v>1</v>
      </c>
      <c r="N208" s="41">
        <v>1</v>
      </c>
      <c r="O208" s="40">
        <v>5</v>
      </c>
      <c r="P208" s="40">
        <v>1</v>
      </c>
      <c r="Q208" s="41">
        <v>3</v>
      </c>
      <c r="R208" s="40">
        <v>4</v>
      </c>
      <c r="S208" s="40">
        <v>6</v>
      </c>
      <c r="T208" s="40">
        <v>1</v>
      </c>
      <c r="U208" s="40">
        <v>1</v>
      </c>
      <c r="V208" s="40">
        <v>2</v>
      </c>
      <c r="W208" s="40">
        <v>7</v>
      </c>
      <c r="X208" s="40" t="s">
        <v>45</v>
      </c>
      <c r="Y208" s="40" t="s">
        <v>45</v>
      </c>
      <c r="Z208" s="40" t="s">
        <v>45</v>
      </c>
      <c r="AA208" s="40" t="s">
        <v>45</v>
      </c>
      <c r="AB208" s="40" t="s">
        <v>45</v>
      </c>
      <c r="AC208" s="40" t="s">
        <v>45</v>
      </c>
      <c r="AD208" s="40" t="s">
        <v>45</v>
      </c>
      <c r="AE208" s="40" t="s">
        <v>45</v>
      </c>
      <c r="AF208" s="40" t="s">
        <v>45</v>
      </c>
      <c r="AG208" s="40" t="s">
        <v>45</v>
      </c>
      <c r="AH208" s="40" t="s">
        <v>45</v>
      </c>
      <c r="AI208" s="40" t="s">
        <v>45</v>
      </c>
      <c r="AJ208" s="40" t="s">
        <v>45</v>
      </c>
      <c r="AK208" s="40" t="s">
        <v>45</v>
      </c>
      <c r="AL208" s="40" t="s">
        <v>45</v>
      </c>
      <c r="AM208" s="40" t="s">
        <v>45</v>
      </c>
      <c r="AN208" s="40" t="s">
        <v>45</v>
      </c>
      <c r="AO208" s="41" t="s">
        <v>45</v>
      </c>
      <c r="AP208" s="40" t="s">
        <v>329</v>
      </c>
      <c r="AQ208" s="40">
        <v>2</v>
      </c>
      <c r="AR208" s="48" t="s">
        <v>14</v>
      </c>
      <c r="AS208" s="43" t="s">
        <v>45</v>
      </c>
      <c r="AT208" s="43" t="s">
        <v>103</v>
      </c>
      <c r="AU208" s="44">
        <f t="shared" si="31"/>
        <v>-2.5067929134584248</v>
      </c>
      <c r="AV208" s="44">
        <f t="shared" si="32"/>
        <v>-0.99258305708561179</v>
      </c>
      <c r="AW208" s="45">
        <f t="shared" si="33"/>
        <v>3</v>
      </c>
      <c r="AX208" s="45">
        <f t="shared" si="34"/>
        <v>2</v>
      </c>
      <c r="AY208" s="46">
        <f>VLOOKUP(AP208,COND!$A$10:$B$32,2,FALSE)</f>
        <v>1</v>
      </c>
      <c r="AZ208" s="44">
        <f>($AU$3*AU208+$AV$3*AV208+$AW$3*AW208+$AX$3*AX208)*AY208*IF(AQ208&lt;5,0.95,IF(AQ208&lt;7,0.975,1))+$I$3*VLOOKUP(I208,COND!$A$2:$E$7,4,FALSE)+$J$3*VLOOKUP(J208,COND!$A$2:$E$7,2,FALSE)+$K$3*VLOOKUP(K208,COND!$A$2:$E$7,3,FALSE)+IF(BB208="SP",$BB$3,0)+IF($AW208&lt;3,-5,0)+IF(AND($B$2&gt;0,$E208&lt;20),$B$2*25,0)</f>
        <v>29.689631261816274</v>
      </c>
      <c r="BA208" s="47">
        <f t="shared" si="30"/>
        <v>-0.57769919194299491</v>
      </c>
      <c r="BB208" s="45" t="str">
        <f t="shared" si="35"/>
        <v>RP</v>
      </c>
      <c r="BC208" s="45">
        <v>900</v>
      </c>
      <c r="BD208" s="45">
        <v>203</v>
      </c>
      <c r="BE208" s="45"/>
      <c r="BF208" s="45" t="str">
        <f t="shared" si="36"/>
        <v>Unlikely</v>
      </c>
      <c r="BG208" s="45"/>
      <c r="BH208" s="45" t="str">
        <f>INDEX(Table5[[#All],[Ovr]],MATCH(Table3[[#This Row],[PID]],Table5[[#All],[PID]],0))</f>
        <v/>
      </c>
      <c r="BI208" s="45" t="str">
        <f>INDEX(Table5[[#All],[Rnd]],MATCH(Table3[[#This Row],[PID]],Table5[[#All],[PID]],0))</f>
        <v/>
      </c>
      <c r="BJ208" s="45" t="str">
        <f>INDEX(Table5[[#All],[Pick]],MATCH(Table3[[#This Row],[PID]],Table5[[#All],[PID]],0))</f>
        <v/>
      </c>
      <c r="BK208" s="45" t="str">
        <f>INDEX(Table5[[#All],[Team]],MATCH(Table3[[#This Row],[PID]],Table5[[#All],[PID]],0))</f>
        <v/>
      </c>
      <c r="BL208" s="45" t="str">
        <f>IF(OR(Table3[[#This Row],[POS]]="SP",Table3[[#This Row],[POS]]="RP",Table3[[#This Row],[POS]]="CL"),"P",INDEX(Batters[[#All],[zScore]],MATCH(Table3[[#This Row],[PID]],Batters[[#All],[PID]],0)))</f>
        <v>P</v>
      </c>
    </row>
    <row r="209" spans="1:64" ht="15" customHeight="1" x14ac:dyDescent="0.3">
      <c r="A209" s="40">
        <v>6458</v>
      </c>
      <c r="B209" s="40" t="s">
        <v>380</v>
      </c>
      <c r="C209" s="40" t="s">
        <v>171</v>
      </c>
      <c r="D209" s="40" t="s">
        <v>1591</v>
      </c>
      <c r="E209" s="40">
        <v>21</v>
      </c>
      <c r="F209" s="40" t="s">
        <v>42</v>
      </c>
      <c r="G209" s="40" t="s">
        <v>42</v>
      </c>
      <c r="H209" s="41" t="s">
        <v>561</v>
      </c>
      <c r="I209" s="42" t="s">
        <v>43</v>
      </c>
      <c r="J209" s="40" t="s">
        <v>43</v>
      </c>
      <c r="K209" s="41" t="s">
        <v>43</v>
      </c>
      <c r="L209" s="40">
        <v>2</v>
      </c>
      <c r="M209" s="40">
        <v>2</v>
      </c>
      <c r="N209" s="41">
        <v>2</v>
      </c>
      <c r="O209" s="40">
        <v>4</v>
      </c>
      <c r="P209" s="40">
        <v>2</v>
      </c>
      <c r="Q209" s="41">
        <v>3</v>
      </c>
      <c r="R209" s="40">
        <v>4</v>
      </c>
      <c r="S209" s="40">
        <v>6</v>
      </c>
      <c r="T209" s="40">
        <v>1</v>
      </c>
      <c r="U209" s="40">
        <v>1</v>
      </c>
      <c r="V209" s="40">
        <v>2</v>
      </c>
      <c r="W209" s="40">
        <v>5</v>
      </c>
      <c r="X209" s="40" t="s">
        <v>45</v>
      </c>
      <c r="Y209" s="40" t="s">
        <v>45</v>
      </c>
      <c r="Z209" s="40" t="s">
        <v>45</v>
      </c>
      <c r="AA209" s="40" t="s">
        <v>45</v>
      </c>
      <c r="AB209" s="40" t="s">
        <v>45</v>
      </c>
      <c r="AC209" s="40" t="s">
        <v>45</v>
      </c>
      <c r="AD209" s="40" t="s">
        <v>45</v>
      </c>
      <c r="AE209" s="40" t="s">
        <v>45</v>
      </c>
      <c r="AF209" s="40" t="s">
        <v>45</v>
      </c>
      <c r="AG209" s="40" t="s">
        <v>45</v>
      </c>
      <c r="AH209" s="40" t="s">
        <v>45</v>
      </c>
      <c r="AI209" s="40" t="s">
        <v>45</v>
      </c>
      <c r="AJ209" s="40" t="s">
        <v>45</v>
      </c>
      <c r="AK209" s="40" t="s">
        <v>45</v>
      </c>
      <c r="AL209" s="40" t="s">
        <v>45</v>
      </c>
      <c r="AM209" s="40" t="s">
        <v>45</v>
      </c>
      <c r="AN209" s="40" t="s">
        <v>45</v>
      </c>
      <c r="AO209" s="41" t="s">
        <v>45</v>
      </c>
      <c r="AP209" s="40" t="s">
        <v>56</v>
      </c>
      <c r="AQ209" s="40">
        <v>8</v>
      </c>
      <c r="AR209" s="48" t="s">
        <v>326</v>
      </c>
      <c r="AS209" s="43" t="s">
        <v>557</v>
      </c>
      <c r="AT209" s="43" t="s">
        <v>103</v>
      </c>
      <c r="AU209" s="44">
        <f t="shared" si="31"/>
        <v>-2.0690406309742588</v>
      </c>
      <c r="AV209" s="44">
        <f t="shared" si="32"/>
        <v>-0.99184266516472974</v>
      </c>
      <c r="AW209" s="45">
        <f t="shared" si="33"/>
        <v>3</v>
      </c>
      <c r="AX209" s="45">
        <f t="shared" si="34"/>
        <v>1</v>
      </c>
      <c r="AY209" s="46">
        <f>VLOOKUP(AP209,COND!$A$10:$B$32,2,FALSE)</f>
        <v>1</v>
      </c>
      <c r="AZ209" s="44">
        <f>($AU$3*AU209+$AV$3*AV209+$AW$3*AW209+$AX$3*AX209)*AY209*IF(AQ209&lt;5,0.95,IF(AQ209&lt;7,0.975,1))+$I$3*VLOOKUP(I209,COND!$A$2:$E$7,4,FALSE)+$J$3*VLOOKUP(J209,COND!$A$2:$E$7,2,FALSE)+$K$3*VLOOKUP(K209,COND!$A$2:$E$7,3,FALSE)+IF(BB209="SP",$BB$3,0)+IF($AW209&lt;3,-5,0)+IF(AND($B$2&gt;0,$E209&lt;20),$B$2*25,0)</f>
        <v>29.499338570510552</v>
      </c>
      <c r="BA209" s="47">
        <f t="shared" si="30"/>
        <v>-0.59124936986828835</v>
      </c>
      <c r="BB209" s="45" t="str">
        <f t="shared" si="35"/>
        <v>SP</v>
      </c>
      <c r="BC209" s="45">
        <v>900</v>
      </c>
      <c r="BD209" s="45">
        <v>204</v>
      </c>
      <c r="BE209" s="45"/>
      <c r="BF209" s="45" t="str">
        <f t="shared" si="36"/>
        <v>Unlikely</v>
      </c>
      <c r="BG209" s="45"/>
      <c r="BH209" s="45">
        <f>INDEX(Table5[[#All],[Ovr]],MATCH(Table3[[#This Row],[PID]],Table5[[#All],[PID]],0))</f>
        <v>613</v>
      </c>
      <c r="BI209" s="45" t="str">
        <f>INDEX(Table5[[#All],[Rnd]],MATCH(Table3[[#This Row],[PID]],Table5[[#All],[PID]],0))</f>
        <v>19</v>
      </c>
      <c r="BJ209" s="45">
        <f>INDEX(Table5[[#All],[Pick]],MATCH(Table3[[#This Row],[PID]],Table5[[#All],[PID]],0))</f>
        <v>10</v>
      </c>
      <c r="BK209" s="45" t="str">
        <f>INDEX(Table5[[#All],[Team]],MATCH(Table3[[#This Row],[PID]],Table5[[#All],[PID]],0))</f>
        <v>London Underground</v>
      </c>
      <c r="BL209" s="45" t="str">
        <f>IF(OR(Table3[[#This Row],[POS]]="SP",Table3[[#This Row],[POS]]="RP",Table3[[#This Row],[POS]]="CL"),"P",INDEX(Batters[[#All],[zScore]],MATCH(Table3[[#This Row],[PID]],Batters[[#All],[PID]],0)))</f>
        <v>P</v>
      </c>
    </row>
    <row r="210" spans="1:64" ht="15" customHeight="1" x14ac:dyDescent="0.3">
      <c r="A210" s="40">
        <v>5138</v>
      </c>
      <c r="B210" s="40" t="s">
        <v>380</v>
      </c>
      <c r="C210" s="40" t="s">
        <v>167</v>
      </c>
      <c r="D210" s="40" t="s">
        <v>619</v>
      </c>
      <c r="E210" s="40">
        <v>21</v>
      </c>
      <c r="F210" s="40" t="s">
        <v>42</v>
      </c>
      <c r="G210" s="40" t="s">
        <v>42</v>
      </c>
      <c r="H210" s="41" t="s">
        <v>561</v>
      </c>
      <c r="I210" s="42" t="s">
        <v>43</v>
      </c>
      <c r="J210" s="40" t="s">
        <v>43</v>
      </c>
      <c r="K210" s="41" t="s">
        <v>43</v>
      </c>
      <c r="L210" s="40">
        <v>2</v>
      </c>
      <c r="M210" s="40">
        <v>2</v>
      </c>
      <c r="N210" s="41">
        <v>1</v>
      </c>
      <c r="O210" s="40">
        <v>4</v>
      </c>
      <c r="P210" s="40">
        <v>2</v>
      </c>
      <c r="Q210" s="41">
        <v>3</v>
      </c>
      <c r="R210" s="40">
        <v>3</v>
      </c>
      <c r="S210" s="40">
        <v>4</v>
      </c>
      <c r="T210" s="40" t="s">
        <v>45</v>
      </c>
      <c r="U210" s="40" t="s">
        <v>45</v>
      </c>
      <c r="V210" s="40" t="s">
        <v>45</v>
      </c>
      <c r="W210" s="40" t="s">
        <v>45</v>
      </c>
      <c r="X210" s="40" t="s">
        <v>45</v>
      </c>
      <c r="Y210" s="40" t="s">
        <v>45</v>
      </c>
      <c r="Z210" s="40" t="s">
        <v>45</v>
      </c>
      <c r="AA210" s="40" t="s">
        <v>45</v>
      </c>
      <c r="AB210" s="40">
        <v>3</v>
      </c>
      <c r="AC210" s="40">
        <v>4</v>
      </c>
      <c r="AD210" s="40" t="s">
        <v>45</v>
      </c>
      <c r="AE210" s="40" t="s">
        <v>45</v>
      </c>
      <c r="AF210" s="40" t="s">
        <v>45</v>
      </c>
      <c r="AG210" s="40" t="s">
        <v>45</v>
      </c>
      <c r="AH210" s="40">
        <v>1</v>
      </c>
      <c r="AI210" s="40">
        <v>6</v>
      </c>
      <c r="AJ210" s="40" t="s">
        <v>45</v>
      </c>
      <c r="AK210" s="40" t="s">
        <v>45</v>
      </c>
      <c r="AL210" s="40" t="s">
        <v>45</v>
      </c>
      <c r="AM210" s="40" t="s">
        <v>45</v>
      </c>
      <c r="AN210" s="40" t="s">
        <v>45</v>
      </c>
      <c r="AO210" s="41" t="s">
        <v>45</v>
      </c>
      <c r="AP210" s="40" t="s">
        <v>64</v>
      </c>
      <c r="AQ210" s="40">
        <v>7</v>
      </c>
      <c r="AR210" s="48" t="s">
        <v>326</v>
      </c>
      <c r="AS210" s="43" t="s">
        <v>557</v>
      </c>
      <c r="AT210" s="43" t="s">
        <v>103</v>
      </c>
      <c r="AU210" s="44">
        <f t="shared" si="31"/>
        <v>-2.311361197028369</v>
      </c>
      <c r="AV210" s="44">
        <f t="shared" si="32"/>
        <v>-0.99184266516472974</v>
      </c>
      <c r="AW210" s="45">
        <f t="shared" si="33"/>
        <v>3</v>
      </c>
      <c r="AX210" s="45">
        <f t="shared" si="34"/>
        <v>1</v>
      </c>
      <c r="AY210" s="46">
        <f>VLOOKUP(AP210,COND!$A$10:$B$32,2,FALSE)</f>
        <v>1</v>
      </c>
      <c r="AZ210" s="44">
        <f>($AU$3*AU210+$AV$3*AV210+$AW$3*AW210+$AX$3*AX210)*AY210*IF(AQ210&lt;5,0.95,IF(AQ210&lt;7,0.975,1))+$I$3*VLOOKUP(I210,COND!$A$2:$E$7,4,FALSE)+$J$3*VLOOKUP(J210,COND!$A$2:$E$7,2,FALSE)+$K$3*VLOOKUP(K210,COND!$A$2:$E$7,3,FALSE)+IF(BB210="SP",$BB$3,0)+IF($AW210&lt;3,-5,0)+IF(AND($B$2&gt;0,$E210&lt;20),$B$2*25,0)</f>
        <v>29.450874457299729</v>
      </c>
      <c r="BA210" s="47">
        <f t="shared" si="30"/>
        <v>-0.5947003555708511</v>
      </c>
      <c r="BB210" s="45" t="str">
        <f t="shared" si="35"/>
        <v>SP</v>
      </c>
      <c r="BC210" s="45">
        <v>900</v>
      </c>
      <c r="BD210" s="45">
        <v>205</v>
      </c>
      <c r="BE210" s="45"/>
      <c r="BF210" s="45" t="str">
        <f t="shared" si="36"/>
        <v>Unlikely</v>
      </c>
      <c r="BG210" s="45"/>
      <c r="BH210" s="45">
        <f>INDEX(Table5[[#All],[Ovr]],MATCH(Table3[[#This Row],[PID]],Table5[[#All],[PID]],0))</f>
        <v>557</v>
      </c>
      <c r="BI210" s="45" t="str">
        <f>INDEX(Table5[[#All],[Rnd]],MATCH(Table3[[#This Row],[PID]],Table5[[#All],[PID]],0))</f>
        <v>17</v>
      </c>
      <c r="BJ210" s="45">
        <f>INDEX(Table5[[#All],[Pick]],MATCH(Table3[[#This Row],[PID]],Table5[[#All],[PID]],0))</f>
        <v>22</v>
      </c>
      <c r="BK210" s="45" t="str">
        <f>INDEX(Table5[[#All],[Team]],MATCH(Table3[[#This Row],[PID]],Table5[[#All],[PID]],0))</f>
        <v>Bakersfield Bears</v>
      </c>
      <c r="BL210" s="45" t="str">
        <f>IF(OR(Table3[[#This Row],[POS]]="SP",Table3[[#This Row],[POS]]="RP",Table3[[#This Row],[POS]]="CL"),"P",INDEX(Batters[[#All],[zScore]],MATCH(Table3[[#This Row],[PID]],Batters[[#All],[PID]],0)))</f>
        <v>P</v>
      </c>
    </row>
    <row r="211" spans="1:64" ht="15" customHeight="1" x14ac:dyDescent="0.3">
      <c r="A211" s="40">
        <v>12318</v>
      </c>
      <c r="B211" s="40" t="s">
        <v>380</v>
      </c>
      <c r="C211" s="40" t="s">
        <v>845</v>
      </c>
      <c r="D211" s="40" t="s">
        <v>356</v>
      </c>
      <c r="E211" s="40">
        <v>22</v>
      </c>
      <c r="F211" s="40" t="s">
        <v>62</v>
      </c>
      <c r="G211" s="40" t="s">
        <v>53</v>
      </c>
      <c r="H211" s="41" t="s">
        <v>561</v>
      </c>
      <c r="I211" s="42" t="s">
        <v>43</v>
      </c>
      <c r="J211" s="40" t="s">
        <v>43</v>
      </c>
      <c r="K211" s="41" t="s">
        <v>43</v>
      </c>
      <c r="L211" s="40">
        <v>3</v>
      </c>
      <c r="M211" s="40">
        <v>1</v>
      </c>
      <c r="N211" s="41">
        <v>1</v>
      </c>
      <c r="O211" s="40">
        <v>5</v>
      </c>
      <c r="P211" s="40">
        <v>1</v>
      </c>
      <c r="Q211" s="41">
        <v>3</v>
      </c>
      <c r="R211" s="40">
        <v>4</v>
      </c>
      <c r="S211" s="40">
        <v>6</v>
      </c>
      <c r="T211" s="40">
        <v>2</v>
      </c>
      <c r="U211" s="40">
        <v>2</v>
      </c>
      <c r="V211" s="40" t="s">
        <v>45</v>
      </c>
      <c r="W211" s="40" t="s">
        <v>45</v>
      </c>
      <c r="X211" s="40" t="s">
        <v>45</v>
      </c>
      <c r="Y211" s="40" t="s">
        <v>45</v>
      </c>
      <c r="Z211" s="40" t="s">
        <v>45</v>
      </c>
      <c r="AA211" s="40" t="s">
        <v>45</v>
      </c>
      <c r="AB211" s="40">
        <v>3</v>
      </c>
      <c r="AC211" s="40">
        <v>5</v>
      </c>
      <c r="AD211" s="40" t="s">
        <v>45</v>
      </c>
      <c r="AE211" s="40" t="s">
        <v>45</v>
      </c>
      <c r="AF211" s="40" t="s">
        <v>45</v>
      </c>
      <c r="AG211" s="40" t="s">
        <v>45</v>
      </c>
      <c r="AH211" s="40" t="s">
        <v>45</v>
      </c>
      <c r="AI211" s="40" t="s">
        <v>45</v>
      </c>
      <c r="AJ211" s="40" t="s">
        <v>45</v>
      </c>
      <c r="AK211" s="40" t="s">
        <v>45</v>
      </c>
      <c r="AL211" s="40" t="s">
        <v>45</v>
      </c>
      <c r="AM211" s="40" t="s">
        <v>45</v>
      </c>
      <c r="AN211" s="40" t="s">
        <v>45</v>
      </c>
      <c r="AO211" s="41" t="s">
        <v>45</v>
      </c>
      <c r="AP211" s="40" t="s">
        <v>64</v>
      </c>
      <c r="AQ211" s="40">
        <v>7</v>
      </c>
      <c r="AR211" s="48" t="s">
        <v>14</v>
      </c>
      <c r="AS211" s="43" t="s">
        <v>45</v>
      </c>
      <c r="AT211" s="43" t="s">
        <v>103</v>
      </c>
      <c r="AU211" s="44">
        <f t="shared" si="31"/>
        <v>-2.3121015889492513</v>
      </c>
      <c r="AV211" s="44">
        <f t="shared" si="32"/>
        <v>-0.99258305708561179</v>
      </c>
      <c r="AW211" s="45">
        <f t="shared" si="33"/>
        <v>3</v>
      </c>
      <c r="AX211" s="45">
        <f t="shared" si="34"/>
        <v>1</v>
      </c>
      <c r="AY211" s="46">
        <f>VLOOKUP(AP211,COND!$A$10:$B$32,2,FALSE)</f>
        <v>1</v>
      </c>
      <c r="AZ211" s="44">
        <f>($AU$3*AU211+$AV$3*AV211+$AW$3*AW211+$AX$3*AX211)*AY211*IF(AQ211&lt;5,0.95,IF(AQ211&lt;7,0.975,1))+$I$3*VLOOKUP(I211,COND!$A$2:$E$7,4,FALSE)+$J$3*VLOOKUP(J211,COND!$A$2:$E$7,2,FALSE)+$K$3*VLOOKUP(K211,COND!$A$2:$E$7,3,FALSE)+IF(BB211="SP",$BB$3,0)+IF($AW211&lt;3,-5,0)+IF(AND($B$2&gt;0,$E211&lt;20),$B$2*25,0)</f>
        <v>29.435918540497916</v>
      </c>
      <c r="BA211" s="47">
        <f t="shared" si="30"/>
        <v>-0.59576532203020327</v>
      </c>
      <c r="BB211" s="45" t="str">
        <f t="shared" si="35"/>
        <v>SP</v>
      </c>
      <c r="BC211" s="45">
        <v>900</v>
      </c>
      <c r="BD211" s="45">
        <v>206</v>
      </c>
      <c r="BE211" s="45"/>
      <c r="BF211" s="45" t="str">
        <f t="shared" si="36"/>
        <v>Unlikely</v>
      </c>
      <c r="BG211" s="45"/>
      <c r="BH211" s="45">
        <f>INDEX(Table5[[#All],[Ovr]],MATCH(Table3[[#This Row],[PID]],Table5[[#All],[PID]],0))</f>
        <v>664</v>
      </c>
      <c r="BI211" s="45" t="str">
        <f>INDEX(Table5[[#All],[Rnd]],MATCH(Table3[[#This Row],[PID]],Table5[[#All],[PID]],0))</f>
        <v>20</v>
      </c>
      <c r="BJ211" s="45">
        <f>INDEX(Table5[[#All],[Pick]],MATCH(Table3[[#This Row],[PID]],Table5[[#All],[PID]],0))</f>
        <v>27</v>
      </c>
      <c r="BK211" s="45" t="str">
        <f>INDEX(Table5[[#All],[Team]],MATCH(Table3[[#This Row],[PID]],Table5[[#All],[PID]],0))</f>
        <v>Havana Leones</v>
      </c>
      <c r="BL211" s="45" t="str">
        <f>IF(OR(Table3[[#This Row],[POS]]="SP",Table3[[#This Row],[POS]]="RP",Table3[[#This Row],[POS]]="CL"),"P",INDEX(Batters[[#All],[zScore]],MATCH(Table3[[#This Row],[PID]],Batters[[#All],[PID]],0)))</f>
        <v>P</v>
      </c>
    </row>
    <row r="212" spans="1:64" ht="15" customHeight="1" x14ac:dyDescent="0.3">
      <c r="A212" s="40">
        <v>10863</v>
      </c>
      <c r="B212" s="40" t="s">
        <v>24</v>
      </c>
      <c r="C212" s="40" t="s">
        <v>1509</v>
      </c>
      <c r="D212" s="40" t="s">
        <v>1510</v>
      </c>
      <c r="E212" s="40">
        <v>21</v>
      </c>
      <c r="F212" s="40" t="s">
        <v>53</v>
      </c>
      <c r="G212" s="40" t="s">
        <v>53</v>
      </c>
      <c r="H212" s="41" t="s">
        <v>561</v>
      </c>
      <c r="I212" s="42" t="s">
        <v>43</v>
      </c>
      <c r="J212" s="40" t="s">
        <v>43</v>
      </c>
      <c r="K212" s="41" t="s">
        <v>43</v>
      </c>
      <c r="L212" s="40">
        <v>1</v>
      </c>
      <c r="M212" s="40">
        <v>2</v>
      </c>
      <c r="N212" s="41">
        <v>1</v>
      </c>
      <c r="O212" s="40">
        <v>4</v>
      </c>
      <c r="P212" s="40">
        <v>2</v>
      </c>
      <c r="Q212" s="41">
        <v>3</v>
      </c>
      <c r="R212" s="40">
        <v>3</v>
      </c>
      <c r="S212" s="40">
        <v>4</v>
      </c>
      <c r="T212" s="40">
        <v>1</v>
      </c>
      <c r="U212" s="40">
        <v>5</v>
      </c>
      <c r="V212" s="40">
        <v>2</v>
      </c>
      <c r="W212" s="40">
        <v>7</v>
      </c>
      <c r="X212" s="40" t="s">
        <v>45</v>
      </c>
      <c r="Y212" s="40" t="s">
        <v>45</v>
      </c>
      <c r="Z212" s="40" t="s">
        <v>45</v>
      </c>
      <c r="AA212" s="40" t="s">
        <v>45</v>
      </c>
      <c r="AB212" s="40" t="s">
        <v>45</v>
      </c>
      <c r="AC212" s="40" t="s">
        <v>45</v>
      </c>
      <c r="AD212" s="40" t="s">
        <v>45</v>
      </c>
      <c r="AE212" s="40" t="s">
        <v>45</v>
      </c>
      <c r="AF212" s="40" t="s">
        <v>45</v>
      </c>
      <c r="AG212" s="40" t="s">
        <v>45</v>
      </c>
      <c r="AH212" s="40" t="s">
        <v>45</v>
      </c>
      <c r="AI212" s="40" t="s">
        <v>45</v>
      </c>
      <c r="AJ212" s="40" t="s">
        <v>45</v>
      </c>
      <c r="AK212" s="40" t="s">
        <v>45</v>
      </c>
      <c r="AL212" s="40" t="s">
        <v>45</v>
      </c>
      <c r="AM212" s="40" t="s">
        <v>45</v>
      </c>
      <c r="AN212" s="40" t="s">
        <v>45</v>
      </c>
      <c r="AO212" s="41" t="s">
        <v>45</v>
      </c>
      <c r="AP212" s="40" t="s">
        <v>328</v>
      </c>
      <c r="AQ212" s="40">
        <v>9</v>
      </c>
      <c r="AR212" s="48" t="s">
        <v>326</v>
      </c>
      <c r="AS212" s="43" t="s">
        <v>45</v>
      </c>
      <c r="AT212" s="43" t="s">
        <v>103</v>
      </c>
      <c r="AU212" s="44">
        <f t="shared" si="31"/>
        <v>-2.5060525215375429</v>
      </c>
      <c r="AV212" s="44">
        <f t="shared" si="32"/>
        <v>-0.99184266516472974</v>
      </c>
      <c r="AW212" s="45">
        <f t="shared" si="33"/>
        <v>3</v>
      </c>
      <c r="AX212" s="45">
        <f t="shared" si="34"/>
        <v>1</v>
      </c>
      <c r="AY212" s="46">
        <f>VLOOKUP(AP212,COND!$A$10:$B$32,2,FALSE)</f>
        <v>1</v>
      </c>
      <c r="AZ212" s="44">
        <f>($AU$3*AU212+$AV$3*AV212+$AW$3*AW212+$AX$3*AX212)*AY212*IF(AQ212&lt;5,0.95,IF(AQ212&lt;7,0.975,1))+$I$3*VLOOKUP(I212,COND!$A$2:$E$7,4,FALSE)+$J$3*VLOOKUP(J212,COND!$A$2:$E$7,2,FALSE)+$K$3*VLOOKUP(K212,COND!$A$2:$E$7,3,FALSE)+IF(BB212="SP",$BB$3,0)+IF($AW212&lt;3,-5,0)+IF(AND($B$2&gt;0,$E212&lt;20),$B$2*25,0)</f>
        <v>29.411936192397896</v>
      </c>
      <c r="BA212" s="47">
        <f t="shared" si="30"/>
        <v>-0.59747303387973261</v>
      </c>
      <c r="BB212" s="45" t="str">
        <f t="shared" si="35"/>
        <v>SP</v>
      </c>
      <c r="BC212" s="45">
        <v>900</v>
      </c>
      <c r="BD212" s="45">
        <v>207</v>
      </c>
      <c r="BE212" s="45"/>
      <c r="BF212" s="45" t="str">
        <f t="shared" si="36"/>
        <v>Unlikely</v>
      </c>
      <c r="BG212" s="45"/>
      <c r="BH212" s="45">
        <f>INDEX(Table5[[#All],[Ovr]],MATCH(Table3[[#This Row],[PID]],Table5[[#All],[PID]],0))</f>
        <v>402</v>
      </c>
      <c r="BI212" s="45" t="str">
        <f>INDEX(Table5[[#All],[Rnd]],MATCH(Table3[[#This Row],[PID]],Table5[[#All],[PID]],0))</f>
        <v>13</v>
      </c>
      <c r="BJ212" s="45">
        <f>INDEX(Table5[[#All],[Pick]],MATCH(Table3[[#This Row],[PID]],Table5[[#All],[PID]],0))</f>
        <v>3</v>
      </c>
      <c r="BK212" s="45" t="str">
        <f>INDEX(Table5[[#All],[Team]],MATCH(Table3[[#This Row],[PID]],Table5[[#All],[PID]],0))</f>
        <v>Okinawa Shisa</v>
      </c>
      <c r="BL212" s="45" t="str">
        <f>IF(OR(Table3[[#This Row],[POS]]="SP",Table3[[#This Row],[POS]]="RP",Table3[[#This Row],[POS]]="CL"),"P",INDEX(Batters[[#All],[zScore]],MATCH(Table3[[#This Row],[PID]],Batters[[#All],[PID]],0)))</f>
        <v>P</v>
      </c>
    </row>
    <row r="213" spans="1:64" ht="15" customHeight="1" x14ac:dyDescent="0.3">
      <c r="A213" s="40">
        <v>12722</v>
      </c>
      <c r="B213" s="40" t="s">
        <v>380</v>
      </c>
      <c r="C213" s="40" t="s">
        <v>516</v>
      </c>
      <c r="D213" s="40" t="s">
        <v>356</v>
      </c>
      <c r="E213" s="40">
        <v>21</v>
      </c>
      <c r="F213" s="40" t="s">
        <v>42</v>
      </c>
      <c r="G213" s="40" t="s">
        <v>42</v>
      </c>
      <c r="H213" s="41" t="s">
        <v>561</v>
      </c>
      <c r="I213" s="42" t="s">
        <v>43</v>
      </c>
      <c r="J213" s="40" t="s">
        <v>43</v>
      </c>
      <c r="K213" s="41" t="s">
        <v>43</v>
      </c>
      <c r="L213" s="40">
        <v>2</v>
      </c>
      <c r="M213" s="40">
        <v>2</v>
      </c>
      <c r="N213" s="41">
        <v>1</v>
      </c>
      <c r="O213" s="40">
        <v>4</v>
      </c>
      <c r="P213" s="40">
        <v>2</v>
      </c>
      <c r="Q213" s="41">
        <v>3</v>
      </c>
      <c r="R213" s="40">
        <v>3</v>
      </c>
      <c r="S213" s="40">
        <v>5</v>
      </c>
      <c r="T213" s="40">
        <v>1</v>
      </c>
      <c r="U213" s="40">
        <v>1</v>
      </c>
      <c r="V213" s="40" t="s">
        <v>45</v>
      </c>
      <c r="W213" s="40" t="s">
        <v>45</v>
      </c>
      <c r="X213" s="40">
        <v>2</v>
      </c>
      <c r="Y213" s="40">
        <v>3</v>
      </c>
      <c r="Z213" s="40" t="s">
        <v>45</v>
      </c>
      <c r="AA213" s="40" t="s">
        <v>45</v>
      </c>
      <c r="AB213" s="40" t="s">
        <v>45</v>
      </c>
      <c r="AC213" s="40" t="s">
        <v>45</v>
      </c>
      <c r="AD213" s="40">
        <v>3</v>
      </c>
      <c r="AE213" s="40">
        <v>4</v>
      </c>
      <c r="AF213" s="40">
        <v>3</v>
      </c>
      <c r="AG213" s="40">
        <v>5</v>
      </c>
      <c r="AH213" s="40" t="s">
        <v>45</v>
      </c>
      <c r="AI213" s="40" t="s">
        <v>45</v>
      </c>
      <c r="AJ213" s="40" t="s">
        <v>45</v>
      </c>
      <c r="AK213" s="40" t="s">
        <v>45</v>
      </c>
      <c r="AL213" s="40" t="s">
        <v>45</v>
      </c>
      <c r="AM213" s="40" t="s">
        <v>45</v>
      </c>
      <c r="AN213" s="40" t="s">
        <v>45</v>
      </c>
      <c r="AO213" s="41" t="s">
        <v>45</v>
      </c>
      <c r="AP213" s="40" t="s">
        <v>329</v>
      </c>
      <c r="AQ213" s="40">
        <v>8</v>
      </c>
      <c r="AR213" s="48" t="s">
        <v>326</v>
      </c>
      <c r="AS213" s="43" t="s">
        <v>557</v>
      </c>
      <c r="AT213" s="43" t="s">
        <v>103</v>
      </c>
      <c r="AU213" s="44">
        <f t="shared" si="31"/>
        <v>-2.311361197028369</v>
      </c>
      <c r="AV213" s="44">
        <f t="shared" si="32"/>
        <v>-0.99184266516472974</v>
      </c>
      <c r="AW213" s="45">
        <f t="shared" si="33"/>
        <v>5</v>
      </c>
      <c r="AX213" s="45">
        <f t="shared" si="34"/>
        <v>0</v>
      </c>
      <c r="AY213" s="46">
        <f>VLOOKUP(AP213,COND!$A$10:$B$32,2,FALSE)</f>
        <v>1</v>
      </c>
      <c r="AZ213" s="44">
        <f>($AU$3*AU213+$AV$3*AV213+$AW$3*AW213+$AX$3*AX213)*AY213*IF(AQ213&lt;5,0.95,IF(AQ213&lt;7,0.975,1))+$I$3*VLOOKUP(I213,COND!$A$2:$E$7,4,FALSE)+$J$3*VLOOKUP(J213,COND!$A$2:$E$7,2,FALSE)+$K$3*VLOOKUP(K213,COND!$A$2:$E$7,3,FALSE)+IF(BB213="SP",$BB$3,0)+IF($AW213&lt;3,-5,0)+IF(AND($B$2&gt;0,$E213&lt;20),$B$2*25,0)</f>
        <v>29.200874457299729</v>
      </c>
      <c r="BA213" s="47">
        <f>STANDARDIZE(AZ213,AVERAGE($AZ$5:$AZ$445),STDEVP($AZ$5:$AZ$445))</f>
        <v>-0.60572716300764684</v>
      </c>
      <c r="BB213" s="45" t="str">
        <f t="shared" si="35"/>
        <v>SP</v>
      </c>
      <c r="BC213" s="45">
        <v>900</v>
      </c>
      <c r="BD213" s="45">
        <v>208</v>
      </c>
      <c r="BE213" s="45"/>
      <c r="BF213" s="45" t="str">
        <f t="shared" si="36"/>
        <v>Unlikely</v>
      </c>
      <c r="BG213" s="45"/>
      <c r="BH213" s="63">
        <f>INDEX(Table5[[#All],[Ovr]],MATCH(Table3[[#This Row],[PID]],Table5[[#All],[PID]],0))</f>
        <v>474</v>
      </c>
      <c r="BI213" s="63" t="str">
        <f>INDEX(Table5[[#All],[Rnd]],MATCH(Table3[[#This Row],[PID]],Table5[[#All],[PID]],0))</f>
        <v>15</v>
      </c>
      <c r="BJ213" s="63">
        <f>INDEX(Table5[[#All],[Pick]],MATCH(Table3[[#This Row],[PID]],Table5[[#All],[PID]],0))</f>
        <v>7</v>
      </c>
      <c r="BK213" s="63" t="str">
        <f>INDEX(Table5[[#All],[Team]],MATCH(Table3[[#This Row],[PID]],Table5[[#All],[PID]],0))</f>
        <v>Hartford Harpoon</v>
      </c>
      <c r="BL213" s="63" t="str">
        <f>IF(OR(Table3[[#This Row],[POS]]="SP",Table3[[#This Row],[POS]]="RP",Table3[[#This Row],[POS]]="CL"),"P",INDEX(Batters[[#All],[zScore]],MATCH(Table3[[#This Row],[PID]],Batters[[#All],[PID]],0)))</f>
        <v>P</v>
      </c>
    </row>
    <row r="214" spans="1:64" ht="15" customHeight="1" x14ac:dyDescent="0.3">
      <c r="A214" s="40">
        <v>15961</v>
      </c>
      <c r="B214" s="40" t="s">
        <v>380</v>
      </c>
      <c r="C214" s="40" t="s">
        <v>656</v>
      </c>
      <c r="D214" s="40" t="s">
        <v>973</v>
      </c>
      <c r="E214" s="40">
        <v>22</v>
      </c>
      <c r="F214" s="40" t="s">
        <v>42</v>
      </c>
      <c r="G214" s="40" t="s">
        <v>42</v>
      </c>
      <c r="H214" s="41" t="s">
        <v>561</v>
      </c>
      <c r="I214" s="42" t="s">
        <v>43</v>
      </c>
      <c r="J214" s="40" t="s">
        <v>43</v>
      </c>
      <c r="K214" s="41" t="s">
        <v>43</v>
      </c>
      <c r="L214" s="40">
        <v>2</v>
      </c>
      <c r="M214" s="40">
        <v>1</v>
      </c>
      <c r="N214" s="41">
        <v>2</v>
      </c>
      <c r="O214" s="40">
        <v>4</v>
      </c>
      <c r="P214" s="40">
        <v>1</v>
      </c>
      <c r="Q214" s="41">
        <v>4</v>
      </c>
      <c r="R214" s="40">
        <v>4</v>
      </c>
      <c r="S214" s="40">
        <v>6</v>
      </c>
      <c r="T214" s="40">
        <v>1</v>
      </c>
      <c r="U214" s="40">
        <v>1</v>
      </c>
      <c r="V214" s="40" t="s">
        <v>45</v>
      </c>
      <c r="W214" s="40" t="s">
        <v>45</v>
      </c>
      <c r="X214" s="40">
        <v>3</v>
      </c>
      <c r="Y214" s="40">
        <v>5</v>
      </c>
      <c r="Z214" s="40" t="s">
        <v>45</v>
      </c>
      <c r="AA214" s="40" t="s">
        <v>45</v>
      </c>
      <c r="AB214" s="40" t="s">
        <v>45</v>
      </c>
      <c r="AC214" s="40" t="s">
        <v>45</v>
      </c>
      <c r="AD214" s="40" t="s">
        <v>45</v>
      </c>
      <c r="AE214" s="40" t="s">
        <v>45</v>
      </c>
      <c r="AF214" s="40" t="s">
        <v>45</v>
      </c>
      <c r="AG214" s="40" t="s">
        <v>45</v>
      </c>
      <c r="AH214" s="40" t="s">
        <v>45</v>
      </c>
      <c r="AI214" s="40" t="s">
        <v>45</v>
      </c>
      <c r="AJ214" s="40" t="s">
        <v>45</v>
      </c>
      <c r="AK214" s="40" t="s">
        <v>45</v>
      </c>
      <c r="AL214" s="40" t="s">
        <v>45</v>
      </c>
      <c r="AM214" s="40" t="s">
        <v>45</v>
      </c>
      <c r="AN214" s="40" t="s">
        <v>45</v>
      </c>
      <c r="AO214" s="41" t="s">
        <v>45</v>
      </c>
      <c r="AP214" s="40" t="s">
        <v>56</v>
      </c>
      <c r="AQ214" s="40">
        <v>3</v>
      </c>
      <c r="AR214" s="48" t="s">
        <v>330</v>
      </c>
      <c r="AS214" s="43" t="s">
        <v>45</v>
      </c>
      <c r="AT214" s="43" t="s">
        <v>103</v>
      </c>
      <c r="AU214" s="44">
        <f t="shared" si="31"/>
        <v>-2.2644723474043147</v>
      </c>
      <c r="AV214" s="44">
        <f t="shared" si="32"/>
        <v>-0.94495381554067481</v>
      </c>
      <c r="AW214" s="45">
        <f t="shared" si="33"/>
        <v>3</v>
      </c>
      <c r="AX214" s="45">
        <f t="shared" si="34"/>
        <v>1</v>
      </c>
      <c r="AY214" s="46">
        <f>VLOOKUP(AP214,COND!$A$10:$B$32,2,FALSE)</f>
        <v>1</v>
      </c>
      <c r="AZ214" s="44">
        <f>($AU$3*AU214+$AV$3*AV214+$AW$3*AW214+$AX$3*AX214)*AY214*IF(AQ214&lt;5,0.95,IF(AQ214&lt;7,0.975,1))+$I$3*VLOOKUP(I214,COND!$A$2:$E$7,4,FALSE)+$J$3*VLOOKUP(J214,COND!$A$2:$E$7,2,FALSE)+$K$3*VLOOKUP(K214,COND!$A$2:$E$7,3,FALSE)+IF(BB214="SP",$BB$3,0)+IF($AW214&lt;3,-5,0)+IF(AND($B$2&gt;0,$E214&lt;20),$B$2*25,0)</f>
        <v>29.228127758720362</v>
      </c>
      <c r="BA214" s="47">
        <f>STANDARDIZE(AZ214,AVERAGE($AZ$5:$AZ$428),STDEVP($AZ$5:$AZ$428))</f>
        <v>-0.61056148705893887</v>
      </c>
      <c r="BB214" s="45" t="str">
        <f t="shared" si="35"/>
        <v>RP</v>
      </c>
      <c r="BC214" s="45">
        <v>900</v>
      </c>
      <c r="BD214" s="45">
        <v>209</v>
      </c>
      <c r="BE214" s="45"/>
      <c r="BF214" s="45" t="str">
        <f t="shared" si="36"/>
        <v>Unlikely</v>
      </c>
      <c r="BG214" s="45"/>
      <c r="BH214" s="45" t="str">
        <f>INDEX(Table5[[#All],[Ovr]],MATCH(Table3[[#This Row],[PID]],Table5[[#All],[PID]],0))</f>
        <v/>
      </c>
      <c r="BI214" s="45" t="str">
        <f>INDEX(Table5[[#All],[Rnd]],MATCH(Table3[[#This Row],[PID]],Table5[[#All],[PID]],0))</f>
        <v/>
      </c>
      <c r="BJ214" s="45" t="str">
        <f>INDEX(Table5[[#All],[Pick]],MATCH(Table3[[#This Row],[PID]],Table5[[#All],[PID]],0))</f>
        <v/>
      </c>
      <c r="BK214" s="45" t="str">
        <f>INDEX(Table5[[#All],[Team]],MATCH(Table3[[#This Row],[PID]],Table5[[#All],[PID]],0))</f>
        <v/>
      </c>
      <c r="BL214" s="45" t="str">
        <f>IF(OR(Table3[[#This Row],[POS]]="SP",Table3[[#This Row],[POS]]="RP",Table3[[#This Row],[POS]]="CL"),"P",INDEX(Batters[[#All],[zScore]],MATCH(Table3[[#This Row],[PID]],Batters[[#All],[PID]],0)))</f>
        <v>P</v>
      </c>
    </row>
    <row r="215" spans="1:64" ht="15" customHeight="1" x14ac:dyDescent="0.3">
      <c r="A215" s="40">
        <v>6004</v>
      </c>
      <c r="B215" s="40" t="s">
        <v>380</v>
      </c>
      <c r="C215" s="40" t="s">
        <v>1475</v>
      </c>
      <c r="D215" s="40" t="s">
        <v>1476</v>
      </c>
      <c r="E215" s="40">
        <v>21</v>
      </c>
      <c r="F215" s="40" t="s">
        <v>42</v>
      </c>
      <c r="G215" s="40" t="s">
        <v>42</v>
      </c>
      <c r="H215" s="41" t="s">
        <v>561</v>
      </c>
      <c r="I215" s="42" t="s">
        <v>43</v>
      </c>
      <c r="J215" s="40" t="s">
        <v>47</v>
      </c>
      <c r="K215" s="41" t="s">
        <v>43</v>
      </c>
      <c r="L215" s="40">
        <v>2</v>
      </c>
      <c r="M215" s="40">
        <v>2</v>
      </c>
      <c r="N215" s="41">
        <v>1</v>
      </c>
      <c r="O215" s="40">
        <v>4</v>
      </c>
      <c r="P215" s="40">
        <v>2</v>
      </c>
      <c r="Q215" s="41">
        <v>3</v>
      </c>
      <c r="R215" s="40">
        <v>3</v>
      </c>
      <c r="S215" s="40">
        <v>5</v>
      </c>
      <c r="T215" s="40" t="s">
        <v>45</v>
      </c>
      <c r="U215" s="40" t="s">
        <v>45</v>
      </c>
      <c r="V215" s="40" t="s">
        <v>45</v>
      </c>
      <c r="W215" s="40" t="s">
        <v>45</v>
      </c>
      <c r="X215" s="40" t="s">
        <v>45</v>
      </c>
      <c r="Y215" s="40" t="s">
        <v>45</v>
      </c>
      <c r="Z215" s="40" t="s">
        <v>45</v>
      </c>
      <c r="AA215" s="40" t="s">
        <v>45</v>
      </c>
      <c r="AB215" s="40" t="s">
        <v>45</v>
      </c>
      <c r="AC215" s="40" t="s">
        <v>45</v>
      </c>
      <c r="AD215" s="40">
        <v>3</v>
      </c>
      <c r="AE215" s="40">
        <v>4</v>
      </c>
      <c r="AF215" s="40">
        <v>4</v>
      </c>
      <c r="AG215" s="40">
        <v>5</v>
      </c>
      <c r="AH215" s="40" t="s">
        <v>45</v>
      </c>
      <c r="AI215" s="40" t="s">
        <v>45</v>
      </c>
      <c r="AJ215" s="40" t="s">
        <v>45</v>
      </c>
      <c r="AK215" s="40" t="s">
        <v>45</v>
      </c>
      <c r="AL215" s="40" t="s">
        <v>45</v>
      </c>
      <c r="AM215" s="40" t="s">
        <v>45</v>
      </c>
      <c r="AN215" s="40" t="s">
        <v>45</v>
      </c>
      <c r="AO215" s="41" t="s">
        <v>45</v>
      </c>
      <c r="AP215" s="40" t="s">
        <v>329</v>
      </c>
      <c r="AQ215" s="40">
        <v>9</v>
      </c>
      <c r="AR215" s="48" t="s">
        <v>326</v>
      </c>
      <c r="AS215" s="43" t="s">
        <v>45</v>
      </c>
      <c r="AT215" s="43" t="s">
        <v>103</v>
      </c>
      <c r="AU215" s="44">
        <f t="shared" si="31"/>
        <v>-2.311361197028369</v>
      </c>
      <c r="AV215" s="44">
        <f t="shared" si="32"/>
        <v>-0.99184266516472974</v>
      </c>
      <c r="AW215" s="45">
        <f t="shared" si="33"/>
        <v>3</v>
      </c>
      <c r="AX215" s="45">
        <f t="shared" si="34"/>
        <v>0</v>
      </c>
      <c r="AY215" s="46">
        <f>VLOOKUP(AP215,COND!$A$10:$B$32,2,FALSE)</f>
        <v>1</v>
      </c>
      <c r="AZ215" s="44">
        <f>($AU$3*AU215+$AV$3*AV215+$AW$3*AW215+$AX$3*AX215)*AY215*IF(AQ215&lt;5,0.95,IF(AQ215&lt;7,0.975,1))+$I$3*VLOOKUP(I215,COND!$A$2:$E$7,4,FALSE)+$J$3*VLOOKUP(J215,COND!$A$2:$E$7,2,FALSE)+$K$3*VLOOKUP(K215,COND!$A$2:$E$7,3,FALSE)+IF(BB215="SP",$BB$3,0)+IF($AW215&lt;3,-5,0)+IF(AND($B$2&gt;0,$E215&lt;20),$B$2*25,0)</f>
        <v>28.50087445729973</v>
      </c>
      <c r="BA215" s="47">
        <f>STANDARDIZE(AZ215,AVERAGE($AZ$5:$AZ$428),STDEVP($AZ$5:$AZ$428))</f>
        <v>-0.66234703680017781</v>
      </c>
      <c r="BB215" s="45" t="str">
        <f t="shared" si="35"/>
        <v>SP</v>
      </c>
      <c r="BC215" s="45">
        <v>900</v>
      </c>
      <c r="BD215" s="45">
        <v>210</v>
      </c>
      <c r="BE215" s="45"/>
      <c r="BF215" s="45" t="str">
        <f t="shared" si="36"/>
        <v>Unlikely</v>
      </c>
      <c r="BG215" s="45"/>
      <c r="BH215" s="45">
        <f>INDEX(Table5[[#All],[Ovr]],MATCH(Table3[[#This Row],[PID]],Table5[[#All],[PID]],0))</f>
        <v>480</v>
      </c>
      <c r="BI215" s="45" t="str">
        <f>INDEX(Table5[[#All],[Rnd]],MATCH(Table3[[#This Row],[PID]],Table5[[#All],[PID]],0))</f>
        <v>15</v>
      </c>
      <c r="BJ215" s="45">
        <f>INDEX(Table5[[#All],[Pick]],MATCH(Table3[[#This Row],[PID]],Table5[[#All],[PID]],0))</f>
        <v>13</v>
      </c>
      <c r="BK215" s="45" t="str">
        <f>INDEX(Table5[[#All],[Team]],MATCH(Table3[[#This Row],[PID]],Table5[[#All],[PID]],0))</f>
        <v>Scottish Claymores</v>
      </c>
      <c r="BL215" s="45" t="str">
        <f>IF(OR(Table3[[#This Row],[POS]]="SP",Table3[[#This Row],[POS]]="RP",Table3[[#This Row],[POS]]="CL"),"P",INDEX(Batters[[#All],[zScore]],MATCH(Table3[[#This Row],[PID]],Batters[[#All],[PID]],0)))</f>
        <v>P</v>
      </c>
    </row>
    <row r="216" spans="1:64" ht="15" customHeight="1" x14ac:dyDescent="0.3">
      <c r="A216" s="40">
        <v>5104</v>
      </c>
      <c r="B216" s="40" t="s">
        <v>24</v>
      </c>
      <c r="C216" s="40" t="s">
        <v>371</v>
      </c>
      <c r="D216" s="40" t="s">
        <v>1556</v>
      </c>
      <c r="E216" s="40">
        <v>21</v>
      </c>
      <c r="F216" s="40" t="s">
        <v>53</v>
      </c>
      <c r="G216" s="40" t="s">
        <v>53</v>
      </c>
      <c r="H216" s="41" t="s">
        <v>561</v>
      </c>
      <c r="I216" s="42" t="s">
        <v>43</v>
      </c>
      <c r="J216" s="40" t="s">
        <v>43</v>
      </c>
      <c r="K216" s="41" t="s">
        <v>43</v>
      </c>
      <c r="L216" s="40">
        <v>2</v>
      </c>
      <c r="M216" s="40">
        <v>2</v>
      </c>
      <c r="N216" s="41">
        <v>1</v>
      </c>
      <c r="O216" s="40">
        <v>4</v>
      </c>
      <c r="P216" s="40">
        <v>3</v>
      </c>
      <c r="Q216" s="41">
        <v>2</v>
      </c>
      <c r="R216" s="40">
        <v>3</v>
      </c>
      <c r="S216" s="40">
        <v>4</v>
      </c>
      <c r="T216" s="40">
        <v>1</v>
      </c>
      <c r="U216" s="40">
        <v>5</v>
      </c>
      <c r="V216" s="40">
        <v>3</v>
      </c>
      <c r="W216" s="40">
        <v>5</v>
      </c>
      <c r="X216" s="40" t="s">
        <v>45</v>
      </c>
      <c r="Y216" s="40" t="s">
        <v>45</v>
      </c>
      <c r="Z216" s="40" t="s">
        <v>45</v>
      </c>
      <c r="AA216" s="40" t="s">
        <v>45</v>
      </c>
      <c r="AB216" s="40" t="s">
        <v>45</v>
      </c>
      <c r="AC216" s="40" t="s">
        <v>45</v>
      </c>
      <c r="AD216" s="40">
        <v>3</v>
      </c>
      <c r="AE216" s="40">
        <v>5</v>
      </c>
      <c r="AF216" s="40" t="s">
        <v>45</v>
      </c>
      <c r="AG216" s="40" t="s">
        <v>45</v>
      </c>
      <c r="AH216" s="40" t="s">
        <v>45</v>
      </c>
      <c r="AI216" s="40" t="s">
        <v>45</v>
      </c>
      <c r="AJ216" s="40" t="s">
        <v>45</v>
      </c>
      <c r="AK216" s="40" t="s">
        <v>45</v>
      </c>
      <c r="AL216" s="40" t="s">
        <v>45</v>
      </c>
      <c r="AM216" s="40" t="s">
        <v>45</v>
      </c>
      <c r="AN216" s="40" t="s">
        <v>45</v>
      </c>
      <c r="AO216" s="41" t="s">
        <v>45</v>
      </c>
      <c r="AP216" s="40" t="s">
        <v>68</v>
      </c>
      <c r="AQ216" s="40">
        <v>6</v>
      </c>
      <c r="AR216" s="48" t="s">
        <v>326</v>
      </c>
      <c r="AS216" s="43" t="s">
        <v>45</v>
      </c>
      <c r="AT216" s="43" t="s">
        <v>103</v>
      </c>
      <c r="AU216" s="44">
        <f t="shared" si="31"/>
        <v>-2.311361197028369</v>
      </c>
      <c r="AV216" s="44">
        <f t="shared" si="32"/>
        <v>-1.0387315147887846</v>
      </c>
      <c r="AW216" s="45">
        <f t="shared" si="33"/>
        <v>4</v>
      </c>
      <c r="AX216" s="45">
        <f t="shared" si="34"/>
        <v>0</v>
      </c>
      <c r="AY216" s="46">
        <f>VLOOKUP(AP216,COND!$A$10:$B$32,2,FALSE)</f>
        <v>0.95</v>
      </c>
      <c r="AZ216" s="44">
        <f>($AU$3*AU216+$AV$3*AV216+$AW$3*AW216+$AX$3*AX216)*AY216*IF(AQ216&lt;5,0.95,IF(AQ216&lt;7,0.975,1))+$I$3*VLOOKUP(I216,COND!$A$2:$E$7,4,FALSE)+$J$3*VLOOKUP(J216,COND!$A$2:$E$7,2,FALSE)+$K$3*VLOOKUP(K216,COND!$A$2:$E$7,3,FALSE)+IF(BB216="SP",$BB$3,0)+IF($AW216&lt;3,-5,0)+IF(AND($B$2&gt;0,$E216&lt;20),$B$2*25,0)</f>
        <v>29.181819026788261</v>
      </c>
      <c r="BA216" s="47">
        <f>STANDARDIZE(AZ216,AVERAGE($AZ$5:$AZ$428),STDEVP($AZ$5:$AZ$428))</f>
        <v>-0.61385899445593373</v>
      </c>
      <c r="BB216" s="45" t="str">
        <f t="shared" si="35"/>
        <v>SP</v>
      </c>
      <c r="BC216" s="45">
        <v>900</v>
      </c>
      <c r="BD216" s="45">
        <v>211</v>
      </c>
      <c r="BE216" s="45"/>
      <c r="BF216" s="45" t="str">
        <f t="shared" si="36"/>
        <v>Unlikely</v>
      </c>
      <c r="BG216" s="45"/>
      <c r="BH216" s="45" t="str">
        <f>INDEX(Table5[[#All],[Ovr]],MATCH(Table3[[#This Row],[PID]],Table5[[#All],[PID]],0))</f>
        <v/>
      </c>
      <c r="BI216" s="45" t="str">
        <f>INDEX(Table5[[#All],[Rnd]],MATCH(Table3[[#This Row],[PID]],Table5[[#All],[PID]],0))</f>
        <v/>
      </c>
      <c r="BJ216" s="45" t="str">
        <f>INDEX(Table5[[#All],[Pick]],MATCH(Table3[[#This Row],[PID]],Table5[[#All],[PID]],0))</f>
        <v/>
      </c>
      <c r="BK216" s="45" t="str">
        <f>INDEX(Table5[[#All],[Team]],MATCH(Table3[[#This Row],[PID]],Table5[[#All],[PID]],0))</f>
        <v/>
      </c>
      <c r="BL216" s="45" t="str">
        <f>IF(OR(Table3[[#This Row],[POS]]="SP",Table3[[#This Row],[POS]]="RP",Table3[[#This Row],[POS]]="CL"),"P",INDEX(Batters[[#All],[zScore]],MATCH(Table3[[#This Row],[PID]],Batters[[#All],[PID]],0)))</f>
        <v>P</v>
      </c>
    </row>
    <row r="217" spans="1:64" ht="15" customHeight="1" x14ac:dyDescent="0.3">
      <c r="A217" s="40">
        <v>12705</v>
      </c>
      <c r="B217" s="40" t="s">
        <v>380</v>
      </c>
      <c r="C217" s="40" t="s">
        <v>199</v>
      </c>
      <c r="D217" s="40" t="s">
        <v>722</v>
      </c>
      <c r="E217" s="40">
        <v>17</v>
      </c>
      <c r="F217" s="40" t="s">
        <v>42</v>
      </c>
      <c r="G217" s="40" t="s">
        <v>42</v>
      </c>
      <c r="H217" s="41" t="s">
        <v>561</v>
      </c>
      <c r="I217" s="42" t="s">
        <v>43</v>
      </c>
      <c r="J217" s="40" t="s">
        <v>43</v>
      </c>
      <c r="K217" s="41" t="s">
        <v>43</v>
      </c>
      <c r="L217" s="40">
        <v>3</v>
      </c>
      <c r="M217" s="40">
        <v>1</v>
      </c>
      <c r="N217" s="41">
        <v>1</v>
      </c>
      <c r="O217" s="40">
        <v>4</v>
      </c>
      <c r="P217" s="40">
        <v>2</v>
      </c>
      <c r="Q217" s="41">
        <v>2</v>
      </c>
      <c r="R217" s="40">
        <v>5</v>
      </c>
      <c r="S217" s="40">
        <v>6</v>
      </c>
      <c r="T217" s="40">
        <v>1</v>
      </c>
      <c r="U217" s="40">
        <v>1</v>
      </c>
      <c r="V217" s="40" t="s">
        <v>45</v>
      </c>
      <c r="W217" s="40" t="s">
        <v>45</v>
      </c>
      <c r="X217" s="40" t="s">
        <v>45</v>
      </c>
      <c r="Y217" s="40" t="s">
        <v>45</v>
      </c>
      <c r="Z217" s="40" t="s">
        <v>45</v>
      </c>
      <c r="AA217" s="40" t="s">
        <v>45</v>
      </c>
      <c r="AB217" s="40">
        <v>4</v>
      </c>
      <c r="AC217" s="40">
        <v>5</v>
      </c>
      <c r="AD217" s="40" t="s">
        <v>45</v>
      </c>
      <c r="AE217" s="40" t="s">
        <v>45</v>
      </c>
      <c r="AF217" s="40" t="s">
        <v>45</v>
      </c>
      <c r="AG217" s="40" t="s">
        <v>45</v>
      </c>
      <c r="AH217" s="40" t="s">
        <v>45</v>
      </c>
      <c r="AI217" s="40" t="s">
        <v>45</v>
      </c>
      <c r="AJ217" s="40" t="s">
        <v>45</v>
      </c>
      <c r="AK217" s="40" t="s">
        <v>45</v>
      </c>
      <c r="AL217" s="40" t="s">
        <v>45</v>
      </c>
      <c r="AM217" s="40" t="s">
        <v>45</v>
      </c>
      <c r="AN217" s="40" t="s">
        <v>45</v>
      </c>
      <c r="AO217" s="41" t="s">
        <v>45</v>
      </c>
      <c r="AP217" s="40" t="s">
        <v>60</v>
      </c>
      <c r="AQ217" s="40">
        <v>9</v>
      </c>
      <c r="AR217" s="48" t="s">
        <v>326</v>
      </c>
      <c r="AS217" s="43" t="s">
        <v>572</v>
      </c>
      <c r="AT217" s="43" t="s">
        <v>103</v>
      </c>
      <c r="AU217" s="44">
        <f t="shared" si="31"/>
        <v>-2.3121015889492513</v>
      </c>
      <c r="AV217" s="44">
        <f t="shared" si="32"/>
        <v>-1.23416323121884</v>
      </c>
      <c r="AW217" s="45">
        <f t="shared" si="33"/>
        <v>3</v>
      </c>
      <c r="AX217" s="45">
        <f t="shared" si="34"/>
        <v>1</v>
      </c>
      <c r="AY217" s="46">
        <f>VLOOKUP(AP217,COND!$A$10:$B$32,2,FALSE)</f>
        <v>1.0249999999999999</v>
      </c>
      <c r="AZ217" s="44">
        <f>($AU$3*AU217+$AV$3*AV217+$AW$3*AW217+$AX$3*AX217)*AY217*IF(AQ217&lt;5,0.95,IF(AQ217&lt;7,0.975,1))+$I$3*VLOOKUP(I217,COND!$A$2:$E$7,4,FALSE)+$J$3*VLOOKUP(J217,COND!$A$2:$E$7,2,FALSE)+$K$3*VLOOKUP(K217,COND!$A$2:$E$7,3,FALSE)+IF(BB217="SP",$BB$3,0)+IF($AW217&lt;3,-5,0)+IF(AND($B$2&gt;0,$E217&lt;20),$B$2*25,0)</f>
        <v>29.044422934279186</v>
      </c>
      <c r="BA217" s="47">
        <f>STANDARDIZE(AZ217,AVERAGE($AZ$5:$AZ$445),STDEVP($AZ$5:$AZ$445))</f>
        <v>-0.61685769294145043</v>
      </c>
      <c r="BB217" s="45" t="str">
        <f t="shared" si="35"/>
        <v>SP</v>
      </c>
      <c r="BC217" s="45">
        <v>900</v>
      </c>
      <c r="BD217" s="45">
        <v>212</v>
      </c>
      <c r="BE217" s="45"/>
      <c r="BF217" s="45" t="str">
        <f t="shared" si="36"/>
        <v>Unlikely</v>
      </c>
      <c r="BG217" s="45"/>
      <c r="BH217" s="63">
        <f>INDEX(Table5[[#All],[Ovr]],MATCH(Table3[[#This Row],[PID]],Table5[[#All],[PID]],0))</f>
        <v>538</v>
      </c>
      <c r="BI217" s="63" t="str">
        <f>INDEX(Table5[[#All],[Rnd]],MATCH(Table3[[#This Row],[PID]],Table5[[#All],[PID]],0))</f>
        <v>17</v>
      </c>
      <c r="BJ217" s="63">
        <f>INDEX(Table5[[#All],[Pick]],MATCH(Table3[[#This Row],[PID]],Table5[[#All],[PID]],0))</f>
        <v>3</v>
      </c>
      <c r="BK217" s="63" t="str">
        <f>INDEX(Table5[[#All],[Team]],MATCH(Table3[[#This Row],[PID]],Table5[[#All],[PID]],0))</f>
        <v>Okinawa Shisa</v>
      </c>
      <c r="BL217" s="63" t="str">
        <f>IF(OR(Table3[[#This Row],[POS]]="SP",Table3[[#This Row],[POS]]="RP",Table3[[#This Row],[POS]]="CL"),"P",INDEX(Batters[[#All],[zScore]],MATCH(Table3[[#This Row],[PID]],Batters[[#All],[PID]],0)))</f>
        <v>P</v>
      </c>
    </row>
    <row r="218" spans="1:64" ht="15" customHeight="1" x14ac:dyDescent="0.3">
      <c r="A218" s="40">
        <v>20486</v>
      </c>
      <c r="B218" s="40" t="s">
        <v>380</v>
      </c>
      <c r="C218" s="40" t="s">
        <v>1253</v>
      </c>
      <c r="D218" s="40" t="s">
        <v>366</v>
      </c>
      <c r="E218" s="40">
        <v>16</v>
      </c>
      <c r="F218" s="40" t="s">
        <v>42</v>
      </c>
      <c r="G218" s="40" t="s">
        <v>42</v>
      </c>
      <c r="H218" s="41" t="s">
        <v>561</v>
      </c>
      <c r="I218" s="42" t="s">
        <v>43</v>
      </c>
      <c r="J218" s="40" t="s">
        <v>43</v>
      </c>
      <c r="K218" s="41" t="s">
        <v>43</v>
      </c>
      <c r="L218" s="40">
        <v>2</v>
      </c>
      <c r="M218" s="40">
        <v>1</v>
      </c>
      <c r="N218" s="41">
        <v>1</v>
      </c>
      <c r="O218" s="40">
        <v>5</v>
      </c>
      <c r="P218" s="40">
        <v>1</v>
      </c>
      <c r="Q218" s="41">
        <v>3</v>
      </c>
      <c r="R218" s="40">
        <v>4</v>
      </c>
      <c r="S218" s="40">
        <v>6</v>
      </c>
      <c r="T218" s="40" t="s">
        <v>45</v>
      </c>
      <c r="U218" s="40" t="s">
        <v>45</v>
      </c>
      <c r="V218" s="40" t="s">
        <v>45</v>
      </c>
      <c r="W218" s="40" t="s">
        <v>45</v>
      </c>
      <c r="X218" s="40">
        <v>3</v>
      </c>
      <c r="Y218" s="40">
        <v>7</v>
      </c>
      <c r="Z218" s="40" t="s">
        <v>45</v>
      </c>
      <c r="AA218" s="40" t="s">
        <v>45</v>
      </c>
      <c r="AB218" s="40" t="s">
        <v>45</v>
      </c>
      <c r="AC218" s="40" t="s">
        <v>45</v>
      </c>
      <c r="AD218" s="40" t="s">
        <v>45</v>
      </c>
      <c r="AE218" s="40" t="s">
        <v>45</v>
      </c>
      <c r="AF218" s="40" t="s">
        <v>45</v>
      </c>
      <c r="AG218" s="40" t="s">
        <v>45</v>
      </c>
      <c r="AH218" s="40" t="s">
        <v>45</v>
      </c>
      <c r="AI218" s="40" t="s">
        <v>45</v>
      </c>
      <c r="AJ218" s="40" t="s">
        <v>45</v>
      </c>
      <c r="AK218" s="40" t="s">
        <v>45</v>
      </c>
      <c r="AL218" s="40" t="s">
        <v>45</v>
      </c>
      <c r="AM218" s="40" t="s">
        <v>45</v>
      </c>
      <c r="AN218" s="40" t="s">
        <v>45</v>
      </c>
      <c r="AO218" s="41" t="s">
        <v>45</v>
      </c>
      <c r="AP218" s="40" t="s">
        <v>64</v>
      </c>
      <c r="AQ218" s="40">
        <v>2</v>
      </c>
      <c r="AR218" s="48" t="s">
        <v>326</v>
      </c>
      <c r="AS218" s="43" t="s">
        <v>583</v>
      </c>
      <c r="AT218" s="43" t="s">
        <v>103</v>
      </c>
      <c r="AU218" s="44">
        <f t="shared" si="31"/>
        <v>-2.5067929134584248</v>
      </c>
      <c r="AV218" s="44">
        <f t="shared" si="32"/>
        <v>-0.99258305708561179</v>
      </c>
      <c r="AW218" s="45">
        <f t="shared" si="33"/>
        <v>2</v>
      </c>
      <c r="AX218" s="45">
        <f t="shared" si="34"/>
        <v>2</v>
      </c>
      <c r="AY218" s="46">
        <f>VLOOKUP(AP218,COND!$A$10:$B$32,2,FALSE)</f>
        <v>1</v>
      </c>
      <c r="AZ218" s="44">
        <f>($AU$3*AU218+$AV$3*AV218+$AW$3*AW218+$AX$3*AX218)*AY218*IF(AQ218&lt;5,0.95,IF(AQ218&lt;7,0.975,1))+$I$3*VLOOKUP(I218,COND!$A$2:$E$7,4,FALSE)+$J$3*VLOOKUP(J218,COND!$A$2:$E$7,2,FALSE)+$K$3*VLOOKUP(K218,COND!$A$2:$E$7,3,FALSE)+IF(BB218="SP",$BB$3,0)+IF($AW218&lt;3,-5,0)+IF(AND($B$2&gt;0,$E218&lt;20),$B$2*25,0)</f>
        <v>28.989631261816275</v>
      </c>
      <c r="BA218" s="47">
        <f>STANDARDIZE(AZ218,AVERAGE($AZ$5:$AZ$428),STDEVP($AZ$5:$AZ$428))</f>
        <v>-0.62754411495407769</v>
      </c>
      <c r="BB218" s="45" t="str">
        <f t="shared" si="35"/>
        <v>RP</v>
      </c>
      <c r="BC218" s="45">
        <v>900</v>
      </c>
      <c r="BD218" s="45">
        <v>213</v>
      </c>
      <c r="BE218" s="45"/>
      <c r="BF218" s="45" t="str">
        <f t="shared" si="36"/>
        <v>Unlikely</v>
      </c>
      <c r="BG218" s="45"/>
      <c r="BH218" s="45">
        <f>INDEX(Table5[[#All],[Ovr]],MATCH(Table3[[#This Row],[PID]],Table5[[#All],[PID]],0))</f>
        <v>589</v>
      </c>
      <c r="BI218" s="45" t="str">
        <f>INDEX(Table5[[#All],[Rnd]],MATCH(Table3[[#This Row],[PID]],Table5[[#All],[PID]],0))</f>
        <v>18</v>
      </c>
      <c r="BJ218" s="45">
        <f>INDEX(Table5[[#All],[Pick]],MATCH(Table3[[#This Row],[PID]],Table5[[#All],[PID]],0))</f>
        <v>20</v>
      </c>
      <c r="BK218" s="45" t="str">
        <f>INDEX(Table5[[#All],[Team]],MATCH(Table3[[#This Row],[PID]],Table5[[#All],[PID]],0))</f>
        <v>Crystal Lake Sandgnats</v>
      </c>
      <c r="BL218" s="45" t="str">
        <f>IF(OR(Table3[[#This Row],[POS]]="SP",Table3[[#This Row],[POS]]="RP",Table3[[#This Row],[POS]]="CL"),"P",INDEX(Batters[[#All],[zScore]],MATCH(Table3[[#This Row],[PID]],Batters[[#All],[PID]],0)))</f>
        <v>P</v>
      </c>
    </row>
    <row r="219" spans="1:64" ht="15" customHeight="1" x14ac:dyDescent="0.3">
      <c r="A219" s="40">
        <v>20268</v>
      </c>
      <c r="B219" s="40" t="s">
        <v>380</v>
      </c>
      <c r="C219" s="40" t="s">
        <v>1424</v>
      </c>
      <c r="D219" s="40" t="s">
        <v>1425</v>
      </c>
      <c r="E219" s="40">
        <v>21</v>
      </c>
      <c r="F219" s="40" t="s">
        <v>42</v>
      </c>
      <c r="G219" s="40" t="s">
        <v>42</v>
      </c>
      <c r="H219" s="41" t="s">
        <v>561</v>
      </c>
      <c r="I219" s="42" t="s">
        <v>43</v>
      </c>
      <c r="J219" s="40" t="s">
        <v>43</v>
      </c>
      <c r="K219" s="41" t="s">
        <v>43</v>
      </c>
      <c r="L219" s="40">
        <v>3</v>
      </c>
      <c r="M219" s="40">
        <v>2</v>
      </c>
      <c r="N219" s="41">
        <v>2</v>
      </c>
      <c r="O219" s="40">
        <v>4</v>
      </c>
      <c r="P219" s="40">
        <v>2</v>
      </c>
      <c r="Q219" s="41">
        <v>3</v>
      </c>
      <c r="R219" s="40">
        <v>4</v>
      </c>
      <c r="S219" s="40">
        <v>5</v>
      </c>
      <c r="T219" s="40">
        <v>4</v>
      </c>
      <c r="U219" s="40">
        <v>5</v>
      </c>
      <c r="V219" s="40">
        <v>4</v>
      </c>
      <c r="W219" s="40">
        <v>4</v>
      </c>
      <c r="X219" s="40" t="s">
        <v>45</v>
      </c>
      <c r="Y219" s="40" t="s">
        <v>45</v>
      </c>
      <c r="Z219" s="40" t="s">
        <v>45</v>
      </c>
      <c r="AA219" s="40" t="s">
        <v>45</v>
      </c>
      <c r="AB219" s="40">
        <v>3</v>
      </c>
      <c r="AC219" s="40">
        <v>3</v>
      </c>
      <c r="AD219" s="40" t="s">
        <v>45</v>
      </c>
      <c r="AE219" s="40" t="s">
        <v>45</v>
      </c>
      <c r="AF219" s="40" t="s">
        <v>45</v>
      </c>
      <c r="AG219" s="40" t="s">
        <v>45</v>
      </c>
      <c r="AH219" s="40" t="s">
        <v>45</v>
      </c>
      <c r="AI219" s="40" t="s">
        <v>45</v>
      </c>
      <c r="AJ219" s="40" t="s">
        <v>45</v>
      </c>
      <c r="AK219" s="40" t="s">
        <v>45</v>
      </c>
      <c r="AL219" s="40" t="s">
        <v>45</v>
      </c>
      <c r="AM219" s="40" t="s">
        <v>45</v>
      </c>
      <c r="AN219" s="40" t="s">
        <v>45</v>
      </c>
      <c r="AO219" s="41" t="s">
        <v>45</v>
      </c>
      <c r="AP219" s="40" t="s">
        <v>329</v>
      </c>
      <c r="AQ219" s="40">
        <v>8</v>
      </c>
      <c r="AR219" s="48" t="s">
        <v>326</v>
      </c>
      <c r="AS219" s="43" t="s">
        <v>45</v>
      </c>
      <c r="AT219" s="43" t="s">
        <v>103</v>
      </c>
      <c r="AU219" s="44">
        <f t="shared" si="31"/>
        <v>-1.8743493064650851</v>
      </c>
      <c r="AV219" s="44">
        <f t="shared" si="32"/>
        <v>-0.99184266516472974</v>
      </c>
      <c r="AW219" s="45">
        <f t="shared" si="33"/>
        <v>4</v>
      </c>
      <c r="AX219" s="45">
        <f t="shared" si="34"/>
        <v>0</v>
      </c>
      <c r="AY219" s="46">
        <f>VLOOKUP(AP219,COND!$A$10:$B$32,2,FALSE)</f>
        <v>1</v>
      </c>
      <c r="AZ219" s="44">
        <f>($AU$3*AU219+$AV$3*AV219+$AW$3*AW219+$AX$3*AX219)*AY219*IF(AQ219&lt;5,0.95,IF(AQ219&lt;7,0.975,1))+$I$3*VLOOKUP(I219,COND!$A$2:$E$7,4,FALSE)+$J$3*VLOOKUP(J219,COND!$A$2:$E$7,2,FALSE)+$K$3*VLOOKUP(K219,COND!$A$2:$E$7,3,FALSE)+IF(BB219="SP",$BB$3,0)+IF($AW219&lt;3,-5,0)+IF(AND($B$2&gt;0,$E219&lt;20),$B$2*25,0)</f>
        <v>28.788276835412386</v>
      </c>
      <c r="BA219" s="47">
        <f>STANDARDIZE(AZ219,AVERAGE($AZ$5:$AZ$445),STDEVP($AZ$5:$AZ$445))</f>
        <v>-0.63508085731735464</v>
      </c>
      <c r="BB219" s="45" t="str">
        <f t="shared" si="35"/>
        <v>SP</v>
      </c>
      <c r="BC219" s="45">
        <v>900</v>
      </c>
      <c r="BD219" s="45">
        <v>214</v>
      </c>
      <c r="BE219" s="45"/>
      <c r="BF219" s="45" t="str">
        <f t="shared" si="36"/>
        <v>Unlikely</v>
      </c>
      <c r="BG219" s="45"/>
      <c r="BH219" s="63">
        <f>INDEX(Table5[[#All],[Ovr]],MATCH(Table3[[#This Row],[PID]],Table5[[#All],[PID]],0))</f>
        <v>586</v>
      </c>
      <c r="BI219" s="63" t="str">
        <f>INDEX(Table5[[#All],[Rnd]],MATCH(Table3[[#This Row],[PID]],Table5[[#All],[PID]],0))</f>
        <v>18</v>
      </c>
      <c r="BJ219" s="63">
        <f>INDEX(Table5[[#All],[Pick]],MATCH(Table3[[#This Row],[PID]],Table5[[#All],[PID]],0))</f>
        <v>17</v>
      </c>
      <c r="BK219" s="63" t="str">
        <f>INDEX(Table5[[#All],[Team]],MATCH(Table3[[#This Row],[PID]],Table5[[#All],[PID]],0))</f>
        <v>Duluth Warriors</v>
      </c>
      <c r="BL219" s="63" t="str">
        <f>IF(OR(Table3[[#This Row],[POS]]="SP",Table3[[#This Row],[POS]]="RP",Table3[[#This Row],[POS]]="CL"),"P",INDEX(Batters[[#All],[zScore]],MATCH(Table3[[#This Row],[PID]],Batters[[#All],[PID]],0)))</f>
        <v>P</v>
      </c>
    </row>
    <row r="220" spans="1:64" ht="15" customHeight="1" x14ac:dyDescent="0.3">
      <c r="A220" s="40">
        <v>12885</v>
      </c>
      <c r="B220" s="40" t="s">
        <v>380</v>
      </c>
      <c r="C220" s="40" t="s">
        <v>150</v>
      </c>
      <c r="D220" s="40" t="s">
        <v>1341</v>
      </c>
      <c r="E220" s="40">
        <v>21</v>
      </c>
      <c r="F220" s="40" t="s">
        <v>62</v>
      </c>
      <c r="G220" s="40" t="s">
        <v>42</v>
      </c>
      <c r="H220" s="41" t="s">
        <v>561</v>
      </c>
      <c r="I220" s="42" t="s">
        <v>44</v>
      </c>
      <c r="J220" s="40" t="s">
        <v>43</v>
      </c>
      <c r="K220" s="41" t="s">
        <v>43</v>
      </c>
      <c r="L220" s="40">
        <v>2</v>
      </c>
      <c r="M220" s="40">
        <v>2</v>
      </c>
      <c r="N220" s="41">
        <v>1</v>
      </c>
      <c r="O220" s="40">
        <v>4</v>
      </c>
      <c r="P220" s="40">
        <v>2</v>
      </c>
      <c r="Q220" s="41">
        <v>3</v>
      </c>
      <c r="R220" s="40" t="s">
        <v>45</v>
      </c>
      <c r="S220" s="40" t="s">
        <v>45</v>
      </c>
      <c r="T220" s="40">
        <v>1</v>
      </c>
      <c r="U220" s="40">
        <v>1</v>
      </c>
      <c r="V220" s="40">
        <v>3</v>
      </c>
      <c r="W220" s="40">
        <v>6</v>
      </c>
      <c r="X220" s="40" t="s">
        <v>45</v>
      </c>
      <c r="Y220" s="40" t="s">
        <v>45</v>
      </c>
      <c r="Z220" s="40" t="s">
        <v>45</v>
      </c>
      <c r="AA220" s="40" t="s">
        <v>45</v>
      </c>
      <c r="AB220" s="40" t="s">
        <v>45</v>
      </c>
      <c r="AC220" s="40" t="s">
        <v>45</v>
      </c>
      <c r="AD220" s="40">
        <v>4</v>
      </c>
      <c r="AE220" s="40">
        <v>5</v>
      </c>
      <c r="AF220" s="40" t="s">
        <v>45</v>
      </c>
      <c r="AG220" s="40" t="s">
        <v>45</v>
      </c>
      <c r="AH220" s="40" t="s">
        <v>45</v>
      </c>
      <c r="AI220" s="40" t="s">
        <v>45</v>
      </c>
      <c r="AJ220" s="40" t="s">
        <v>45</v>
      </c>
      <c r="AK220" s="40" t="s">
        <v>45</v>
      </c>
      <c r="AL220" s="40" t="s">
        <v>45</v>
      </c>
      <c r="AM220" s="40" t="s">
        <v>45</v>
      </c>
      <c r="AN220" s="40" t="s">
        <v>45</v>
      </c>
      <c r="AO220" s="41" t="s">
        <v>45</v>
      </c>
      <c r="AP220" s="40" t="s">
        <v>60</v>
      </c>
      <c r="AQ220" s="40">
        <v>9</v>
      </c>
      <c r="AR220" s="48" t="s">
        <v>326</v>
      </c>
      <c r="AS220" s="43" t="s">
        <v>45</v>
      </c>
      <c r="AT220" s="43" t="s">
        <v>103</v>
      </c>
      <c r="AU220" s="44">
        <f t="shared" si="31"/>
        <v>-2.311361197028369</v>
      </c>
      <c r="AV220" s="44">
        <f t="shared" si="32"/>
        <v>-0.99184266516472974</v>
      </c>
      <c r="AW220" s="45">
        <f t="shared" si="33"/>
        <v>3</v>
      </c>
      <c r="AX220" s="45">
        <f t="shared" si="34"/>
        <v>1</v>
      </c>
      <c r="AY220" s="46">
        <f>VLOOKUP(AP220,COND!$A$10:$B$32,2,FALSE)</f>
        <v>1.0249999999999999</v>
      </c>
      <c r="AZ220" s="44">
        <f>($AU$3*AU220+$AV$3*AV220+$AW$3*AW220+$AX$3*AX220)*AY220*IF(AQ220&lt;5,0.95,IF(AQ220&lt;7,0.975,1))+$I$3*VLOOKUP(I220,COND!$A$2:$E$7,4,FALSE)+$J$3*VLOOKUP(J220,COND!$A$2:$E$7,2,FALSE)+$K$3*VLOOKUP(K220,COND!$A$2:$E$7,3,FALSE)+IF(BB220="SP",$BB$3,0)+IF($AW220&lt;3,-5,0)+IF(AND($B$2&gt;0,$E220&lt;20),$B$2*25,0)</f>
        <v>28.862146318732222</v>
      </c>
      <c r="BA220" s="47">
        <f>STANDARDIZE(AZ220,AVERAGE($AZ$5:$AZ$428),STDEVP($AZ$5:$AZ$428))</f>
        <v>-0.63662193948707324</v>
      </c>
      <c r="BB220" s="45" t="str">
        <f t="shared" si="35"/>
        <v>SP</v>
      </c>
      <c r="BC220" s="45">
        <v>900</v>
      </c>
      <c r="BD220" s="45">
        <v>215</v>
      </c>
      <c r="BE220" s="45"/>
      <c r="BF220" s="45" t="str">
        <f t="shared" si="36"/>
        <v>Unlikely</v>
      </c>
      <c r="BG220" s="45"/>
      <c r="BH220" s="45">
        <f>INDEX(Table5[[#All],[Ovr]],MATCH(Table3[[#This Row],[PID]],Table5[[#All],[PID]],0))</f>
        <v>394</v>
      </c>
      <c r="BI220" s="45" t="str">
        <f>INDEX(Table5[[#All],[Rnd]],MATCH(Table3[[#This Row],[PID]],Table5[[#All],[PID]],0))</f>
        <v>12</v>
      </c>
      <c r="BJ220" s="45">
        <f>INDEX(Table5[[#All],[Pick]],MATCH(Table3[[#This Row],[PID]],Table5[[#All],[PID]],0))</f>
        <v>29</v>
      </c>
      <c r="BK220" s="45" t="str">
        <f>INDEX(Table5[[#All],[Team]],MATCH(Table3[[#This Row],[PID]],Table5[[#All],[PID]],0))</f>
        <v>Shin Seiki Evas</v>
      </c>
      <c r="BL220" s="45" t="str">
        <f>IF(OR(Table3[[#This Row],[POS]]="SP",Table3[[#This Row],[POS]]="RP",Table3[[#This Row],[POS]]="CL"),"P",INDEX(Batters[[#All],[zScore]],MATCH(Table3[[#This Row],[PID]],Batters[[#All],[PID]],0)))</f>
        <v>P</v>
      </c>
    </row>
    <row r="221" spans="1:64" ht="15" customHeight="1" x14ac:dyDescent="0.3">
      <c r="A221" s="40">
        <v>8797</v>
      </c>
      <c r="B221" s="40" t="s">
        <v>380</v>
      </c>
      <c r="C221" s="40" t="s">
        <v>690</v>
      </c>
      <c r="D221" s="40" t="s">
        <v>1575</v>
      </c>
      <c r="E221" s="40">
        <v>21</v>
      </c>
      <c r="F221" s="40" t="s">
        <v>53</v>
      </c>
      <c r="G221" s="40" t="s">
        <v>53</v>
      </c>
      <c r="H221" s="41" t="s">
        <v>561</v>
      </c>
      <c r="I221" s="42" t="s">
        <v>43</v>
      </c>
      <c r="J221" s="40" t="s">
        <v>43</v>
      </c>
      <c r="K221" s="41" t="s">
        <v>43</v>
      </c>
      <c r="L221" s="40">
        <v>3</v>
      </c>
      <c r="M221" s="40">
        <v>2</v>
      </c>
      <c r="N221" s="41">
        <v>3</v>
      </c>
      <c r="O221" s="40">
        <v>4</v>
      </c>
      <c r="P221" s="40">
        <v>2</v>
      </c>
      <c r="Q221" s="41">
        <v>3</v>
      </c>
      <c r="R221" s="40">
        <v>4</v>
      </c>
      <c r="S221" s="40">
        <v>5</v>
      </c>
      <c r="T221" s="40">
        <v>3</v>
      </c>
      <c r="U221" s="40">
        <v>5</v>
      </c>
      <c r="V221" s="40" t="s">
        <v>45</v>
      </c>
      <c r="W221" s="40" t="s">
        <v>45</v>
      </c>
      <c r="X221" s="40">
        <v>5</v>
      </c>
      <c r="Y221" s="40">
        <v>5</v>
      </c>
      <c r="Z221" s="40" t="s">
        <v>45</v>
      </c>
      <c r="AA221" s="40" t="s">
        <v>45</v>
      </c>
      <c r="AB221" s="40">
        <v>3</v>
      </c>
      <c r="AC221" s="40">
        <v>3</v>
      </c>
      <c r="AD221" s="40" t="s">
        <v>45</v>
      </c>
      <c r="AE221" s="40" t="s">
        <v>45</v>
      </c>
      <c r="AF221" s="40" t="s">
        <v>45</v>
      </c>
      <c r="AG221" s="40" t="s">
        <v>45</v>
      </c>
      <c r="AH221" s="40" t="s">
        <v>45</v>
      </c>
      <c r="AI221" s="40" t="s">
        <v>45</v>
      </c>
      <c r="AJ221" s="40" t="s">
        <v>45</v>
      </c>
      <c r="AK221" s="40" t="s">
        <v>45</v>
      </c>
      <c r="AL221" s="40" t="s">
        <v>45</v>
      </c>
      <c r="AM221" s="40" t="s">
        <v>45</v>
      </c>
      <c r="AN221" s="40" t="s">
        <v>45</v>
      </c>
      <c r="AO221" s="41" t="s">
        <v>45</v>
      </c>
      <c r="AP221" s="40" t="s">
        <v>64</v>
      </c>
      <c r="AQ221" s="40">
        <v>8</v>
      </c>
      <c r="AR221" s="48" t="s">
        <v>326</v>
      </c>
      <c r="AS221" s="43" t="s">
        <v>45</v>
      </c>
      <c r="AT221" s="43" t="s">
        <v>103</v>
      </c>
      <c r="AU221" s="44">
        <f t="shared" si="31"/>
        <v>-1.6320287404109748</v>
      </c>
      <c r="AV221" s="44">
        <f t="shared" si="32"/>
        <v>-0.99184266516472974</v>
      </c>
      <c r="AW221" s="45">
        <f t="shared" si="33"/>
        <v>4</v>
      </c>
      <c r="AX221" s="45">
        <f t="shared" si="34"/>
        <v>0</v>
      </c>
      <c r="AY221" s="46">
        <f>VLOOKUP(AP221,COND!$A$10:$B$32,2,FALSE)</f>
        <v>1</v>
      </c>
      <c r="AZ221" s="44">
        <f>($AU$3*AU221+$AV$3*AV221+$AW$3*AW221+$AX$3*AX221)*AY221*IF(AQ221&lt;5,0.95,IF(AQ221&lt;7,0.975,1))+$I$3*VLOOKUP(I221,COND!$A$2:$E$7,4,FALSE)+$J$3*VLOOKUP(J221,COND!$A$2:$E$7,2,FALSE)+$K$3*VLOOKUP(K221,COND!$A$2:$E$7,3,FALSE)+IF(BB221="SP",$BB$3,0)+IF($AW221&lt;3,-5,0)+IF(AND($B$2&gt;0,$E221&lt;20),$B$2*25,0)</f>
        <v>28.836740948623209</v>
      </c>
      <c r="BA221" s="47">
        <f>STANDARDIZE(AZ221,AVERAGE($AZ$5:$AZ$428),STDEVP($AZ$5:$AZ$428))</f>
        <v>-0.63843098051157587</v>
      </c>
      <c r="BB221" s="45" t="str">
        <f t="shared" si="35"/>
        <v>SP</v>
      </c>
      <c r="BC221" s="45">
        <v>900</v>
      </c>
      <c r="BD221" s="45">
        <v>216</v>
      </c>
      <c r="BE221" s="45"/>
      <c r="BF221" s="45" t="str">
        <f t="shared" si="36"/>
        <v>Unlikely</v>
      </c>
      <c r="BG221" s="45"/>
      <c r="BH221" s="45">
        <f>INDEX(Table5[[#All],[Ovr]],MATCH(Table3[[#This Row],[PID]],Table5[[#All],[PID]],0))</f>
        <v>576</v>
      </c>
      <c r="BI221" s="45" t="str">
        <f>INDEX(Table5[[#All],[Rnd]],MATCH(Table3[[#This Row],[PID]],Table5[[#All],[PID]],0))</f>
        <v>18</v>
      </c>
      <c r="BJ221" s="45">
        <f>INDEX(Table5[[#All],[Pick]],MATCH(Table3[[#This Row],[PID]],Table5[[#All],[PID]],0))</f>
        <v>7</v>
      </c>
      <c r="BK221" s="45" t="str">
        <f>INDEX(Table5[[#All],[Team]],MATCH(Table3[[#This Row],[PID]],Table5[[#All],[PID]],0))</f>
        <v>Hartford Harpoon</v>
      </c>
      <c r="BL221" s="45" t="str">
        <f>IF(OR(Table3[[#This Row],[POS]]="SP",Table3[[#This Row],[POS]]="RP",Table3[[#This Row],[POS]]="CL"),"P",INDEX(Batters[[#All],[zScore]],MATCH(Table3[[#This Row],[PID]],Batters[[#All],[PID]],0)))</f>
        <v>P</v>
      </c>
    </row>
    <row r="222" spans="1:64" ht="15" customHeight="1" x14ac:dyDescent="0.3">
      <c r="A222" s="40">
        <v>6225</v>
      </c>
      <c r="B222" s="40" t="s">
        <v>380</v>
      </c>
      <c r="C222" s="40" t="s">
        <v>1276</v>
      </c>
      <c r="D222" s="40" t="s">
        <v>1513</v>
      </c>
      <c r="E222" s="40">
        <v>21</v>
      </c>
      <c r="F222" s="40" t="s">
        <v>62</v>
      </c>
      <c r="G222" s="40" t="s">
        <v>42</v>
      </c>
      <c r="H222" s="41" t="s">
        <v>561</v>
      </c>
      <c r="I222" s="42" t="s">
        <v>43</v>
      </c>
      <c r="J222" s="40" t="s">
        <v>43</v>
      </c>
      <c r="K222" s="41" t="s">
        <v>43</v>
      </c>
      <c r="L222" s="40">
        <v>2</v>
      </c>
      <c r="M222" s="40">
        <v>2</v>
      </c>
      <c r="N222" s="41">
        <v>1</v>
      </c>
      <c r="O222" s="40">
        <v>4</v>
      </c>
      <c r="P222" s="40">
        <v>2</v>
      </c>
      <c r="Q222" s="41">
        <v>3</v>
      </c>
      <c r="R222" s="40">
        <v>3</v>
      </c>
      <c r="S222" s="40">
        <v>5</v>
      </c>
      <c r="T222" s="40">
        <v>1</v>
      </c>
      <c r="U222" s="40">
        <v>1</v>
      </c>
      <c r="V222" s="40" t="s">
        <v>45</v>
      </c>
      <c r="W222" s="40" t="s">
        <v>45</v>
      </c>
      <c r="X222" s="40" t="s">
        <v>45</v>
      </c>
      <c r="Y222" s="40" t="s">
        <v>45</v>
      </c>
      <c r="Z222" s="40">
        <v>3</v>
      </c>
      <c r="AA222" s="40">
        <v>5</v>
      </c>
      <c r="AB222" s="40" t="s">
        <v>45</v>
      </c>
      <c r="AC222" s="40" t="s">
        <v>45</v>
      </c>
      <c r="AD222" s="40" t="s">
        <v>45</v>
      </c>
      <c r="AE222" s="40" t="s">
        <v>45</v>
      </c>
      <c r="AF222" s="40" t="s">
        <v>45</v>
      </c>
      <c r="AG222" s="40" t="s">
        <v>45</v>
      </c>
      <c r="AH222" s="40" t="s">
        <v>45</v>
      </c>
      <c r="AI222" s="40" t="s">
        <v>45</v>
      </c>
      <c r="AJ222" s="40" t="s">
        <v>45</v>
      </c>
      <c r="AK222" s="40" t="s">
        <v>45</v>
      </c>
      <c r="AL222" s="40" t="s">
        <v>45</v>
      </c>
      <c r="AM222" s="40" t="s">
        <v>45</v>
      </c>
      <c r="AN222" s="40" t="s">
        <v>45</v>
      </c>
      <c r="AO222" s="41" t="s">
        <v>45</v>
      </c>
      <c r="AP222" s="40" t="s">
        <v>328</v>
      </c>
      <c r="AQ222" s="40">
        <v>5</v>
      </c>
      <c r="AR222" s="48" t="s">
        <v>326</v>
      </c>
      <c r="AS222" s="43" t="s">
        <v>557</v>
      </c>
      <c r="AT222" s="43" t="s">
        <v>103</v>
      </c>
      <c r="AU222" s="44">
        <f t="shared" si="31"/>
        <v>-2.311361197028369</v>
      </c>
      <c r="AV222" s="44">
        <f t="shared" si="32"/>
        <v>-0.99184266516472974</v>
      </c>
      <c r="AW222" s="45">
        <f t="shared" si="33"/>
        <v>3</v>
      </c>
      <c r="AX222" s="45">
        <f t="shared" si="34"/>
        <v>0</v>
      </c>
      <c r="AY222" s="46">
        <f>VLOOKUP(AP222,COND!$A$10:$B$32,2,FALSE)</f>
        <v>1</v>
      </c>
      <c r="AZ222" s="44">
        <f>($AU$3*AU222+$AV$3*AV222+$AW$3*AW222+$AX$3*AX222)*AY222*IF(AQ222&lt;5,0.95,IF(AQ222&lt;7,0.975,1))+$I$3*VLOOKUP(I222,COND!$A$2:$E$7,4,FALSE)+$J$3*VLOOKUP(J222,COND!$A$2:$E$7,2,FALSE)+$K$3*VLOOKUP(K222,COND!$A$2:$E$7,3,FALSE)+IF(BB222="SP",$BB$3,0)+IF($AW222&lt;3,-5,0)+IF(AND($B$2&gt;0,$E222&lt;20),$B$2*25,0)</f>
        <v>28.670852595867238</v>
      </c>
      <c r="BA222" s="47">
        <f>STANDARDIZE(AZ222,AVERAGE($AZ$5:$AZ$445),STDEVP($AZ$5:$AZ$445))</f>
        <v>-0.64343484446927124</v>
      </c>
      <c r="BB222" s="45" t="str">
        <f t="shared" si="35"/>
        <v>SP</v>
      </c>
      <c r="BC222" s="45">
        <v>900</v>
      </c>
      <c r="BD222" s="45">
        <v>217</v>
      </c>
      <c r="BE222" s="45"/>
      <c r="BF222" s="45" t="str">
        <f t="shared" si="36"/>
        <v>Unlikely</v>
      </c>
      <c r="BG222" s="45"/>
      <c r="BH222" s="63">
        <f>INDEX(Table5[[#All],[Ovr]],MATCH(Table3[[#This Row],[PID]],Table5[[#All],[PID]],0))</f>
        <v>630</v>
      </c>
      <c r="BI222" s="63" t="str">
        <f>INDEX(Table5[[#All],[Rnd]],MATCH(Table3[[#This Row],[PID]],Table5[[#All],[PID]],0))</f>
        <v>19</v>
      </c>
      <c r="BJ222" s="63">
        <f>INDEX(Table5[[#All],[Pick]],MATCH(Table3[[#This Row],[PID]],Table5[[#All],[PID]],0))</f>
        <v>27</v>
      </c>
      <c r="BK222" s="63" t="str">
        <f>INDEX(Table5[[#All],[Team]],MATCH(Table3[[#This Row],[PID]],Table5[[#All],[PID]],0))</f>
        <v>Havana Leones</v>
      </c>
      <c r="BL222" s="63" t="str">
        <f>IF(OR(Table3[[#This Row],[POS]]="SP",Table3[[#This Row],[POS]]="RP",Table3[[#This Row],[POS]]="CL"),"P",INDEX(Batters[[#All],[zScore]],MATCH(Table3[[#This Row],[PID]],Batters[[#All],[PID]],0)))</f>
        <v>P</v>
      </c>
    </row>
    <row r="223" spans="1:64" ht="15" customHeight="1" x14ac:dyDescent="0.3">
      <c r="A223" s="40">
        <v>11740</v>
      </c>
      <c r="B223" s="40" t="s">
        <v>380</v>
      </c>
      <c r="C223" s="40" t="s">
        <v>314</v>
      </c>
      <c r="D223" s="40" t="s">
        <v>186</v>
      </c>
      <c r="E223" s="40">
        <v>21</v>
      </c>
      <c r="F223" s="40" t="s">
        <v>42</v>
      </c>
      <c r="G223" s="40" t="s">
        <v>42</v>
      </c>
      <c r="H223" s="41" t="s">
        <v>561</v>
      </c>
      <c r="I223" s="42" t="s">
        <v>43</v>
      </c>
      <c r="J223" s="40" t="s">
        <v>43</v>
      </c>
      <c r="K223" s="41" t="s">
        <v>43</v>
      </c>
      <c r="L223" s="40">
        <v>2</v>
      </c>
      <c r="M223" s="40">
        <v>2</v>
      </c>
      <c r="N223" s="41">
        <v>1</v>
      </c>
      <c r="O223" s="40">
        <v>4</v>
      </c>
      <c r="P223" s="40">
        <v>2</v>
      </c>
      <c r="Q223" s="41">
        <v>3</v>
      </c>
      <c r="R223" s="40">
        <v>3</v>
      </c>
      <c r="S223" s="40">
        <v>4</v>
      </c>
      <c r="T223" s="40">
        <v>3</v>
      </c>
      <c r="U223" s="40">
        <v>5</v>
      </c>
      <c r="V223" s="40" t="s">
        <v>45</v>
      </c>
      <c r="W223" s="40" t="s">
        <v>45</v>
      </c>
      <c r="X223" s="40">
        <v>4</v>
      </c>
      <c r="Y223" s="40">
        <v>5</v>
      </c>
      <c r="Z223" s="40" t="s">
        <v>45</v>
      </c>
      <c r="AA223" s="40" t="s">
        <v>45</v>
      </c>
      <c r="AB223" s="40" t="s">
        <v>45</v>
      </c>
      <c r="AC223" s="40" t="s">
        <v>45</v>
      </c>
      <c r="AD223" s="40" t="s">
        <v>45</v>
      </c>
      <c r="AE223" s="40" t="s">
        <v>45</v>
      </c>
      <c r="AF223" s="40">
        <v>2</v>
      </c>
      <c r="AG223" s="40">
        <v>3</v>
      </c>
      <c r="AH223" s="40" t="s">
        <v>45</v>
      </c>
      <c r="AI223" s="40" t="s">
        <v>45</v>
      </c>
      <c r="AJ223" s="40" t="s">
        <v>45</v>
      </c>
      <c r="AK223" s="40" t="s">
        <v>45</v>
      </c>
      <c r="AL223" s="40" t="s">
        <v>45</v>
      </c>
      <c r="AM223" s="40" t="s">
        <v>45</v>
      </c>
      <c r="AN223" s="40" t="s">
        <v>45</v>
      </c>
      <c r="AO223" s="41" t="s">
        <v>45</v>
      </c>
      <c r="AP223" s="40" t="s">
        <v>64</v>
      </c>
      <c r="AQ223" s="40">
        <v>7</v>
      </c>
      <c r="AR223" s="48" t="s">
        <v>326</v>
      </c>
      <c r="AS223" s="43" t="s">
        <v>557</v>
      </c>
      <c r="AT223" s="43" t="s">
        <v>103</v>
      </c>
      <c r="AU223" s="44">
        <f t="shared" si="31"/>
        <v>-2.311361197028369</v>
      </c>
      <c r="AV223" s="44">
        <f t="shared" si="32"/>
        <v>-0.99184266516472974</v>
      </c>
      <c r="AW223" s="45">
        <f t="shared" si="33"/>
        <v>4</v>
      </c>
      <c r="AX223" s="45">
        <f t="shared" si="34"/>
        <v>0</v>
      </c>
      <c r="AY223" s="46">
        <f>VLOOKUP(AP223,COND!$A$10:$B$32,2,FALSE)</f>
        <v>1</v>
      </c>
      <c r="AZ223" s="44">
        <f>($AU$3*AU223+$AV$3*AV223+$AW$3*AW223+$AX$3*AX223)*AY223*IF(AQ223&lt;5,0.95,IF(AQ223&lt;7,0.975,1))+$I$3*VLOOKUP(I223,COND!$A$2:$E$7,4,FALSE)+$J$3*VLOOKUP(J223,COND!$A$2:$E$7,2,FALSE)+$K$3*VLOOKUP(K223,COND!$A$2:$E$7,3,FALSE)+IF(BB223="SP",$BB$3,0)+IF($AW223&lt;3,-5,0)+IF(AND($B$2&gt;0,$E223&lt;20),$B$2*25,0)</f>
        <v>28.700874457299729</v>
      </c>
      <c r="BA223" s="47">
        <f>STANDARDIZE(AZ223,AVERAGE($AZ$5:$AZ$428),STDEVP($AZ$5:$AZ$428))</f>
        <v>-0.64810563022558276</v>
      </c>
      <c r="BB223" s="45" t="str">
        <f t="shared" si="35"/>
        <v>SP</v>
      </c>
      <c r="BC223" s="45">
        <v>900</v>
      </c>
      <c r="BD223" s="45">
        <v>218</v>
      </c>
      <c r="BE223" s="45"/>
      <c r="BF223" s="45" t="str">
        <f t="shared" si="36"/>
        <v>Unlikely</v>
      </c>
      <c r="BG223" s="45"/>
      <c r="BH223" s="45" t="str">
        <f>INDEX(Table5[[#All],[Ovr]],MATCH(Table3[[#This Row],[PID]],Table5[[#All],[PID]],0))</f>
        <v/>
      </c>
      <c r="BI223" s="45" t="str">
        <f>INDEX(Table5[[#All],[Rnd]],MATCH(Table3[[#This Row],[PID]],Table5[[#All],[PID]],0))</f>
        <v/>
      </c>
      <c r="BJ223" s="45" t="str">
        <f>INDEX(Table5[[#All],[Pick]],MATCH(Table3[[#This Row],[PID]],Table5[[#All],[PID]],0))</f>
        <v/>
      </c>
      <c r="BK223" s="45" t="str">
        <f>INDEX(Table5[[#All],[Team]],MATCH(Table3[[#This Row],[PID]],Table5[[#All],[PID]],0))</f>
        <v/>
      </c>
      <c r="BL223" s="45" t="str">
        <f>IF(OR(Table3[[#This Row],[POS]]="SP",Table3[[#This Row],[POS]]="RP",Table3[[#This Row],[POS]]="CL"),"P",INDEX(Batters[[#All],[zScore]],MATCH(Table3[[#This Row],[PID]],Batters[[#All],[PID]],0)))</f>
        <v>P</v>
      </c>
    </row>
    <row r="224" spans="1:64" ht="15" customHeight="1" x14ac:dyDescent="0.3">
      <c r="A224" s="40">
        <v>15192</v>
      </c>
      <c r="B224" s="40" t="s">
        <v>24</v>
      </c>
      <c r="C224" s="40" t="s">
        <v>123</v>
      </c>
      <c r="D224" s="40" t="s">
        <v>649</v>
      </c>
      <c r="E224" s="40">
        <v>21</v>
      </c>
      <c r="F224" s="40" t="s">
        <v>53</v>
      </c>
      <c r="G224" s="40" t="s">
        <v>42</v>
      </c>
      <c r="H224" s="41" t="s">
        <v>561</v>
      </c>
      <c r="I224" s="42" t="s">
        <v>43</v>
      </c>
      <c r="J224" s="40" t="s">
        <v>43</v>
      </c>
      <c r="K224" s="41" t="s">
        <v>43</v>
      </c>
      <c r="L224" s="40">
        <v>2</v>
      </c>
      <c r="M224" s="40">
        <v>2</v>
      </c>
      <c r="N224" s="41">
        <v>1</v>
      </c>
      <c r="O224" s="40">
        <v>5</v>
      </c>
      <c r="P224" s="40">
        <v>2</v>
      </c>
      <c r="Q224" s="41">
        <v>2</v>
      </c>
      <c r="R224" s="40">
        <v>4</v>
      </c>
      <c r="S224" s="40">
        <v>6</v>
      </c>
      <c r="T224" s="40">
        <v>1</v>
      </c>
      <c r="U224" s="40">
        <v>7</v>
      </c>
      <c r="V224" s="40" t="s">
        <v>45</v>
      </c>
      <c r="W224" s="40" t="s">
        <v>45</v>
      </c>
      <c r="X224" s="40">
        <v>2</v>
      </c>
      <c r="Y224" s="40">
        <v>5</v>
      </c>
      <c r="Z224" s="40" t="s">
        <v>45</v>
      </c>
      <c r="AA224" s="40" t="s">
        <v>45</v>
      </c>
      <c r="AB224" s="40" t="s">
        <v>45</v>
      </c>
      <c r="AC224" s="40" t="s">
        <v>45</v>
      </c>
      <c r="AD224" s="40" t="s">
        <v>45</v>
      </c>
      <c r="AE224" s="40" t="s">
        <v>45</v>
      </c>
      <c r="AF224" s="40" t="s">
        <v>45</v>
      </c>
      <c r="AG224" s="40" t="s">
        <v>45</v>
      </c>
      <c r="AH224" s="40" t="s">
        <v>45</v>
      </c>
      <c r="AI224" s="40" t="s">
        <v>45</v>
      </c>
      <c r="AJ224" s="40" t="s">
        <v>45</v>
      </c>
      <c r="AK224" s="40" t="s">
        <v>45</v>
      </c>
      <c r="AL224" s="40" t="s">
        <v>45</v>
      </c>
      <c r="AM224" s="40" t="s">
        <v>45</v>
      </c>
      <c r="AN224" s="40" t="s">
        <v>45</v>
      </c>
      <c r="AO224" s="41" t="s">
        <v>45</v>
      </c>
      <c r="AP224" s="40" t="s">
        <v>56</v>
      </c>
      <c r="AQ224" s="40">
        <v>4</v>
      </c>
      <c r="AR224" s="48" t="s">
        <v>326</v>
      </c>
      <c r="AS224" s="43" t="s">
        <v>557</v>
      </c>
      <c r="AT224" s="43" t="s">
        <v>103</v>
      </c>
      <c r="AU224" s="44">
        <f t="shared" si="31"/>
        <v>-2.311361197028369</v>
      </c>
      <c r="AV224" s="44">
        <f t="shared" si="32"/>
        <v>-1.0394719067096667</v>
      </c>
      <c r="AW224" s="45">
        <f t="shared" si="33"/>
        <v>3</v>
      </c>
      <c r="AX224" s="45">
        <f t="shared" si="34"/>
        <v>2</v>
      </c>
      <c r="AY224" s="46">
        <f>VLOOKUP(AP224,COND!$A$10:$B$32,2,FALSE)</f>
        <v>1</v>
      </c>
      <c r="AZ224" s="44">
        <f>($AU$3*AU224+$AV$3*AV224+$AW$3*AW224+$AX$3*AX224)*AY224*IF(AQ224&lt;5,0.95,IF(AQ224&lt;7,0.975,1))+$I$3*VLOOKUP(I224,COND!$A$2:$E$7,4,FALSE)+$J$3*VLOOKUP(J224,COND!$A$2:$E$7,2,FALSE)+$K$3*VLOOKUP(K224,COND!$A$2:$E$7,3,FALSE)+IF(BB224="SP",$BB$3,0)+IF($AW224&lt;3,-5,0)+IF(AND($B$2&gt;0,$E224&lt;20),$B$2*25,0)</f>
        <v>28.610875145080943</v>
      </c>
      <c r="BA224" s="47">
        <f>STANDARDIZE(AZ224,AVERAGE($AZ$5:$AZ$428),STDEVP($AZ$5:$AZ$428))</f>
        <v>-0.65451421420929101</v>
      </c>
      <c r="BB224" s="45" t="str">
        <f t="shared" si="35"/>
        <v>RP</v>
      </c>
      <c r="BC224" s="45">
        <v>900</v>
      </c>
      <c r="BD224" s="45">
        <v>219</v>
      </c>
      <c r="BE224" s="45"/>
      <c r="BF224" s="45" t="str">
        <f t="shared" si="36"/>
        <v>Unlikely</v>
      </c>
      <c r="BG224" s="45"/>
      <c r="BH224" s="45">
        <f>INDEX(Table5[[#All],[Ovr]],MATCH(Table3[[#This Row],[PID]],Table5[[#All],[PID]],0))</f>
        <v>554</v>
      </c>
      <c r="BI224" s="45" t="str">
        <f>INDEX(Table5[[#All],[Rnd]],MATCH(Table3[[#This Row],[PID]],Table5[[#All],[PID]],0))</f>
        <v>17</v>
      </c>
      <c r="BJ224" s="45">
        <f>INDEX(Table5[[#All],[Pick]],MATCH(Table3[[#This Row],[PID]],Table5[[#All],[PID]],0))</f>
        <v>19</v>
      </c>
      <c r="BK224" s="45" t="str">
        <f>INDEX(Table5[[#All],[Team]],MATCH(Table3[[#This Row],[PID]],Table5[[#All],[PID]],0))</f>
        <v>Fargo Dinosaurs</v>
      </c>
      <c r="BL224" s="45" t="str">
        <f>IF(OR(Table3[[#This Row],[POS]]="SP",Table3[[#This Row],[POS]]="RP",Table3[[#This Row],[POS]]="CL"),"P",INDEX(Batters[[#All],[zScore]],MATCH(Table3[[#This Row],[PID]],Batters[[#All],[PID]],0)))</f>
        <v>P</v>
      </c>
    </row>
    <row r="225" spans="1:64" ht="15" customHeight="1" x14ac:dyDescent="0.3">
      <c r="A225" s="40">
        <v>21001</v>
      </c>
      <c r="B225" s="40" t="s">
        <v>24</v>
      </c>
      <c r="C225" s="40" t="s">
        <v>559</v>
      </c>
      <c r="D225" s="40" t="s">
        <v>962</v>
      </c>
      <c r="E225" s="40">
        <v>17</v>
      </c>
      <c r="F225" s="40" t="s">
        <v>53</v>
      </c>
      <c r="G225" s="40" t="s">
        <v>42</v>
      </c>
      <c r="H225" s="41" t="s">
        <v>561</v>
      </c>
      <c r="I225" s="42" t="s">
        <v>43</v>
      </c>
      <c r="J225" s="40" t="s">
        <v>43</v>
      </c>
      <c r="K225" s="41" t="s">
        <v>43</v>
      </c>
      <c r="L225" s="40">
        <v>2</v>
      </c>
      <c r="M225" s="40">
        <v>2</v>
      </c>
      <c r="N225" s="41">
        <v>1</v>
      </c>
      <c r="O225" s="40">
        <v>4</v>
      </c>
      <c r="P225" s="40">
        <v>2</v>
      </c>
      <c r="Q225" s="41">
        <v>2</v>
      </c>
      <c r="R225" s="40">
        <v>4</v>
      </c>
      <c r="S225" s="40">
        <v>5</v>
      </c>
      <c r="T225" s="40" t="s">
        <v>45</v>
      </c>
      <c r="U225" s="40" t="s">
        <v>45</v>
      </c>
      <c r="V225" s="40">
        <v>2</v>
      </c>
      <c r="W225" s="40">
        <v>5</v>
      </c>
      <c r="X225" s="40" t="s">
        <v>45</v>
      </c>
      <c r="Y225" s="40" t="s">
        <v>45</v>
      </c>
      <c r="Z225" s="40" t="s">
        <v>45</v>
      </c>
      <c r="AA225" s="40" t="s">
        <v>45</v>
      </c>
      <c r="AB225" s="40" t="s">
        <v>45</v>
      </c>
      <c r="AC225" s="40" t="s">
        <v>45</v>
      </c>
      <c r="AD225" s="40" t="s">
        <v>45</v>
      </c>
      <c r="AE225" s="40" t="s">
        <v>45</v>
      </c>
      <c r="AF225" s="40" t="s">
        <v>45</v>
      </c>
      <c r="AG225" s="40" t="s">
        <v>45</v>
      </c>
      <c r="AH225" s="40">
        <v>1</v>
      </c>
      <c r="AI225" s="40">
        <v>5</v>
      </c>
      <c r="AJ225" s="40" t="s">
        <v>45</v>
      </c>
      <c r="AK225" s="40" t="s">
        <v>45</v>
      </c>
      <c r="AL225" s="40" t="s">
        <v>45</v>
      </c>
      <c r="AM225" s="40" t="s">
        <v>45</v>
      </c>
      <c r="AN225" s="40" t="s">
        <v>45</v>
      </c>
      <c r="AO225" s="41" t="s">
        <v>45</v>
      </c>
      <c r="AP225" s="40" t="s">
        <v>56</v>
      </c>
      <c r="AQ225" s="40">
        <v>10</v>
      </c>
      <c r="AR225" s="48" t="s">
        <v>326</v>
      </c>
      <c r="AS225" s="43" t="s">
        <v>583</v>
      </c>
      <c r="AT225" s="43" t="s">
        <v>103</v>
      </c>
      <c r="AU225" s="44">
        <f t="shared" si="31"/>
        <v>-2.311361197028369</v>
      </c>
      <c r="AV225" s="44">
        <f t="shared" si="32"/>
        <v>-1.23416323121884</v>
      </c>
      <c r="AW225" s="45">
        <f t="shared" si="33"/>
        <v>3</v>
      </c>
      <c r="AX225" s="45">
        <f t="shared" si="34"/>
        <v>0</v>
      </c>
      <c r="AY225" s="46">
        <f>VLOOKUP(AP225,COND!$A$10:$B$32,2,FALSE)</f>
        <v>1</v>
      </c>
      <c r="AZ225" s="44">
        <f>($AU$3*AU225+$AV$3*AV225+$AW$3*AW225+$AX$3*AX225)*AY225*IF(AQ225&lt;5,0.95,IF(AQ225&lt;7,0.975,1))+$I$3*VLOOKUP(I225,COND!$A$2:$E$7,4,FALSE)+$J$3*VLOOKUP(J225,COND!$A$2:$E$7,2,FALSE)+$K$3*VLOOKUP(K225,COND!$A$2:$E$7,3,FALSE)+IF(BB225="SP",$BB$3,0)+IF($AW225&lt;3,-5,0)+IF(AND($B$2&gt;0,$E225&lt;20),$B$2*25,0)</f>
        <v>28.354463136217525</v>
      </c>
      <c r="BA225" s="47">
        <f>STANDARDIZE(AZ225,AVERAGE($AZ$5:$AZ$445),STDEVP($AZ$5:$AZ$445))</f>
        <v>-0.66594394047154326</v>
      </c>
      <c r="BB225" s="45" t="str">
        <f t="shared" si="35"/>
        <v>SP</v>
      </c>
      <c r="BC225" s="45">
        <v>900</v>
      </c>
      <c r="BD225" s="45">
        <v>220</v>
      </c>
      <c r="BE225" s="45"/>
      <c r="BF225" s="45" t="str">
        <f t="shared" si="36"/>
        <v>Unlikely</v>
      </c>
      <c r="BG225" s="45"/>
      <c r="BH225" s="63">
        <f>INDEX(Table5[[#All],[Ovr]],MATCH(Table3[[#This Row],[PID]],Table5[[#All],[PID]],0))</f>
        <v>464</v>
      </c>
      <c r="BI225" s="63" t="str">
        <f>INDEX(Table5[[#All],[Rnd]],MATCH(Table3[[#This Row],[PID]],Table5[[#All],[PID]],0))</f>
        <v>14</v>
      </c>
      <c r="BJ225" s="63">
        <f>INDEX(Table5[[#All],[Pick]],MATCH(Table3[[#This Row],[PID]],Table5[[#All],[PID]],0))</f>
        <v>31</v>
      </c>
      <c r="BK225" s="63" t="str">
        <f>INDEX(Table5[[#All],[Team]],MATCH(Table3[[#This Row],[PID]],Table5[[#All],[PID]],0))</f>
        <v>West Virginia Alleghenies</v>
      </c>
      <c r="BL225" s="63" t="str">
        <f>IF(OR(Table3[[#This Row],[POS]]="SP",Table3[[#This Row],[POS]]="RP",Table3[[#This Row],[POS]]="CL"),"P",INDEX(Batters[[#All],[zScore]],MATCH(Table3[[#This Row],[PID]],Batters[[#All],[PID]],0)))</f>
        <v>P</v>
      </c>
    </row>
    <row r="226" spans="1:64" ht="15" customHeight="1" x14ac:dyDescent="0.3">
      <c r="A226" s="40">
        <v>7376</v>
      </c>
      <c r="B226" s="40" t="s">
        <v>380</v>
      </c>
      <c r="C226" s="40" t="s">
        <v>1347</v>
      </c>
      <c r="D226" s="40" t="s">
        <v>1348</v>
      </c>
      <c r="E226" s="40">
        <v>21</v>
      </c>
      <c r="F226" s="40" t="s">
        <v>42</v>
      </c>
      <c r="G226" s="40" t="s">
        <v>42</v>
      </c>
      <c r="H226" s="41" t="s">
        <v>561</v>
      </c>
      <c r="I226" s="42" t="s">
        <v>43</v>
      </c>
      <c r="J226" s="40" t="s">
        <v>43</v>
      </c>
      <c r="K226" s="41" t="s">
        <v>43</v>
      </c>
      <c r="L226" s="40">
        <v>3</v>
      </c>
      <c r="M226" s="40">
        <v>2</v>
      </c>
      <c r="N226" s="41">
        <v>2</v>
      </c>
      <c r="O226" s="40">
        <v>4</v>
      </c>
      <c r="P226" s="40">
        <v>2</v>
      </c>
      <c r="Q226" s="41">
        <v>3</v>
      </c>
      <c r="R226" s="40" t="s">
        <v>45</v>
      </c>
      <c r="S226" s="40" t="s">
        <v>45</v>
      </c>
      <c r="T226" s="40" t="s">
        <v>45</v>
      </c>
      <c r="U226" s="40" t="s">
        <v>45</v>
      </c>
      <c r="V226" s="40" t="s">
        <v>45</v>
      </c>
      <c r="W226" s="40" t="s">
        <v>45</v>
      </c>
      <c r="X226" s="40">
        <v>3</v>
      </c>
      <c r="Y226" s="40">
        <v>5</v>
      </c>
      <c r="Z226" s="40">
        <v>4</v>
      </c>
      <c r="AA226" s="40">
        <v>5</v>
      </c>
      <c r="AB226" s="40" t="s">
        <v>45</v>
      </c>
      <c r="AC226" s="40" t="s">
        <v>45</v>
      </c>
      <c r="AD226" s="40">
        <v>4</v>
      </c>
      <c r="AE226" s="40">
        <v>5</v>
      </c>
      <c r="AF226" s="40" t="s">
        <v>45</v>
      </c>
      <c r="AG226" s="40" t="s">
        <v>45</v>
      </c>
      <c r="AH226" s="40" t="s">
        <v>45</v>
      </c>
      <c r="AI226" s="40" t="s">
        <v>45</v>
      </c>
      <c r="AJ226" s="40" t="s">
        <v>45</v>
      </c>
      <c r="AK226" s="40" t="s">
        <v>45</v>
      </c>
      <c r="AL226" s="40" t="s">
        <v>45</v>
      </c>
      <c r="AM226" s="40" t="s">
        <v>45</v>
      </c>
      <c r="AN226" s="40" t="s">
        <v>45</v>
      </c>
      <c r="AO226" s="41" t="s">
        <v>45</v>
      </c>
      <c r="AP226" s="40" t="s">
        <v>54</v>
      </c>
      <c r="AQ226" s="40">
        <v>6</v>
      </c>
      <c r="AR226" s="48" t="s">
        <v>326</v>
      </c>
      <c r="AS226" s="43" t="s">
        <v>557</v>
      </c>
      <c r="AT226" s="43" t="s">
        <v>103</v>
      </c>
      <c r="AU226" s="44">
        <f t="shared" si="31"/>
        <v>-1.8743493064650851</v>
      </c>
      <c r="AV226" s="44">
        <f t="shared" si="32"/>
        <v>-0.99184266516472974</v>
      </c>
      <c r="AW226" s="45">
        <f t="shared" si="33"/>
        <v>3</v>
      </c>
      <c r="AX226" s="45">
        <f t="shared" si="34"/>
        <v>0</v>
      </c>
      <c r="AY226" s="46">
        <f>VLOOKUP(AP226,COND!$A$10:$B$32,2,FALSE)</f>
        <v>1.0249999999999999</v>
      </c>
      <c r="AZ226" s="44">
        <f>($AU$3*AU226+$AV$3*AV226+$AW$3*AW226+$AX$3*AX226)*AY226*IF(AQ226&lt;5,0.95,IF(AQ226&lt;7,0.975,1))+$I$3*VLOOKUP(I226,COND!$A$2:$E$7,4,FALSE)+$J$3*VLOOKUP(J226,COND!$A$2:$E$7,2,FALSE)+$K$3*VLOOKUP(K226,COND!$A$2:$E$7,3,FALSE)+IF(BB226="SP",$BB$3,0)+IF($AW226&lt;3,-5,0)+IF(AND($B$2&gt;0,$E226&lt;20),$B$2*25,0)</f>
        <v>28.299971662390256</v>
      </c>
      <c r="BA226" s="47">
        <f>STANDARDIZE(AZ226,AVERAGE($AZ$5:$AZ$428),STDEVP($AZ$5:$AZ$428))</f>
        <v>-0.67665272872156934</v>
      </c>
      <c r="BB226" s="45" t="str">
        <f t="shared" si="35"/>
        <v>SP</v>
      </c>
      <c r="BC226" s="45">
        <v>900</v>
      </c>
      <c r="BD226" s="45">
        <v>221</v>
      </c>
      <c r="BE226" s="45"/>
      <c r="BF226" s="45" t="str">
        <f t="shared" si="36"/>
        <v>Unlikely</v>
      </c>
      <c r="BG226" s="45"/>
      <c r="BH226" s="45">
        <f>INDEX(Table5[[#All],[Ovr]],MATCH(Table3[[#This Row],[PID]],Table5[[#All],[PID]],0))</f>
        <v>550</v>
      </c>
      <c r="BI226" s="45" t="str">
        <f>INDEX(Table5[[#All],[Rnd]],MATCH(Table3[[#This Row],[PID]],Table5[[#All],[PID]],0))</f>
        <v>17</v>
      </c>
      <c r="BJ226" s="45">
        <f>INDEX(Table5[[#All],[Pick]],MATCH(Table3[[#This Row],[PID]],Table5[[#All],[PID]],0))</f>
        <v>15</v>
      </c>
      <c r="BK226" s="45" t="str">
        <f>INDEX(Table5[[#All],[Team]],MATCH(Table3[[#This Row],[PID]],Table5[[#All],[PID]],0))</f>
        <v>Niihama-shi Ghosts</v>
      </c>
      <c r="BL226" s="45" t="str">
        <f>IF(OR(Table3[[#This Row],[POS]]="SP",Table3[[#This Row],[POS]]="RP",Table3[[#This Row],[POS]]="CL"),"P",INDEX(Batters[[#All],[zScore]],MATCH(Table3[[#This Row],[PID]],Batters[[#All],[PID]],0)))</f>
        <v>P</v>
      </c>
    </row>
    <row r="227" spans="1:64" ht="15" customHeight="1" x14ac:dyDescent="0.3">
      <c r="A227" s="40">
        <v>10943</v>
      </c>
      <c r="B227" s="40" t="s">
        <v>380</v>
      </c>
      <c r="C227" s="40" t="s">
        <v>1577</v>
      </c>
      <c r="D227" s="40" t="s">
        <v>1578</v>
      </c>
      <c r="E227" s="40">
        <v>21</v>
      </c>
      <c r="F227" s="40" t="s">
        <v>53</v>
      </c>
      <c r="G227" s="40" t="s">
        <v>42</v>
      </c>
      <c r="H227" s="41" t="s">
        <v>561</v>
      </c>
      <c r="I227" s="42" t="s">
        <v>43</v>
      </c>
      <c r="J227" s="40" t="s">
        <v>43</v>
      </c>
      <c r="K227" s="41" t="s">
        <v>43</v>
      </c>
      <c r="L227" s="40">
        <v>2</v>
      </c>
      <c r="M227" s="40">
        <v>2</v>
      </c>
      <c r="N227" s="41">
        <v>2</v>
      </c>
      <c r="O227" s="40">
        <v>4</v>
      </c>
      <c r="P227" s="40">
        <v>2</v>
      </c>
      <c r="Q227" s="41">
        <v>3</v>
      </c>
      <c r="R227" s="40">
        <v>3</v>
      </c>
      <c r="S227" s="40">
        <v>5</v>
      </c>
      <c r="T227" s="40">
        <v>1</v>
      </c>
      <c r="U227" s="40">
        <v>1</v>
      </c>
      <c r="V227" s="40" t="s">
        <v>45</v>
      </c>
      <c r="W227" s="40" t="s">
        <v>45</v>
      </c>
      <c r="X227" s="40">
        <v>3</v>
      </c>
      <c r="Y227" s="40">
        <v>5</v>
      </c>
      <c r="Z227" s="40" t="s">
        <v>45</v>
      </c>
      <c r="AA227" s="40" t="s">
        <v>45</v>
      </c>
      <c r="AB227" s="40" t="s">
        <v>45</v>
      </c>
      <c r="AC227" s="40" t="s">
        <v>45</v>
      </c>
      <c r="AD227" s="40" t="s">
        <v>45</v>
      </c>
      <c r="AE227" s="40" t="s">
        <v>45</v>
      </c>
      <c r="AF227" s="40" t="s">
        <v>45</v>
      </c>
      <c r="AG227" s="40" t="s">
        <v>45</v>
      </c>
      <c r="AH227" s="40" t="s">
        <v>45</v>
      </c>
      <c r="AI227" s="40" t="s">
        <v>45</v>
      </c>
      <c r="AJ227" s="40" t="s">
        <v>45</v>
      </c>
      <c r="AK227" s="40" t="s">
        <v>45</v>
      </c>
      <c r="AL227" s="40" t="s">
        <v>45</v>
      </c>
      <c r="AM227" s="40" t="s">
        <v>45</v>
      </c>
      <c r="AN227" s="40" t="s">
        <v>45</v>
      </c>
      <c r="AO227" s="41" t="s">
        <v>45</v>
      </c>
      <c r="AP227" s="40" t="s">
        <v>64</v>
      </c>
      <c r="AQ227" s="40">
        <v>7</v>
      </c>
      <c r="AR227" s="48" t="s">
        <v>326</v>
      </c>
      <c r="AS227" s="43" t="s">
        <v>45</v>
      </c>
      <c r="AT227" s="43" t="s">
        <v>103</v>
      </c>
      <c r="AU227" s="44">
        <f t="shared" si="31"/>
        <v>-2.0690406309742588</v>
      </c>
      <c r="AV227" s="44">
        <f t="shared" si="32"/>
        <v>-0.99184266516472974</v>
      </c>
      <c r="AW227" s="45">
        <f t="shared" si="33"/>
        <v>3</v>
      </c>
      <c r="AX227" s="45">
        <f t="shared" si="34"/>
        <v>0</v>
      </c>
      <c r="AY227" s="46">
        <f>VLOOKUP(AP227,COND!$A$10:$B$32,2,FALSE)</f>
        <v>1</v>
      </c>
      <c r="AZ227" s="44">
        <f>($AU$3*AU227+$AV$3*AV227+$AW$3*AW227+$AX$3*AX227)*AY227*IF(AQ227&lt;5,0.95,IF(AQ227&lt;7,0.975,1))+$I$3*VLOOKUP(I227,COND!$A$2:$E$7,4,FALSE)+$J$3*VLOOKUP(J227,COND!$A$2:$E$7,2,FALSE)+$K$3*VLOOKUP(K227,COND!$A$2:$E$7,3,FALSE)+IF(BB227="SP",$BB$3,0)+IF($AW227&lt;3,-5,0)+IF(AND($B$2&gt;0,$E227&lt;20),$B$2*25,0)</f>
        <v>28.249338570510552</v>
      </c>
      <c r="BA227" s="47">
        <f>STANDARDIZE(AZ227,AVERAGE($AZ$5:$AZ$428),STDEVP($AZ$5:$AZ$428))</f>
        <v>-0.68025816095950786</v>
      </c>
      <c r="BB227" s="45" t="str">
        <f t="shared" si="35"/>
        <v>SP</v>
      </c>
      <c r="BC227" s="45">
        <v>900</v>
      </c>
      <c r="BD227" s="45">
        <v>222</v>
      </c>
      <c r="BE227" s="45"/>
      <c r="BF227" s="45" t="str">
        <f t="shared" si="36"/>
        <v>Unlikely</v>
      </c>
      <c r="BG227" s="45"/>
      <c r="BH227" s="45">
        <f>INDEX(Table5[[#All],[Ovr]],MATCH(Table3[[#This Row],[PID]],Table5[[#All],[PID]],0))</f>
        <v>640</v>
      </c>
      <c r="BI227" s="45" t="str">
        <f>INDEX(Table5[[#All],[Rnd]],MATCH(Table3[[#This Row],[PID]],Table5[[#All],[PID]],0))</f>
        <v>20</v>
      </c>
      <c r="BJ227" s="45">
        <f>INDEX(Table5[[#All],[Pick]],MATCH(Table3[[#This Row],[PID]],Table5[[#All],[PID]],0))</f>
        <v>3</v>
      </c>
      <c r="BK227" s="45" t="str">
        <f>INDEX(Table5[[#All],[Team]],MATCH(Table3[[#This Row],[PID]],Table5[[#All],[PID]],0))</f>
        <v>Okinawa Shisa</v>
      </c>
      <c r="BL227" s="45" t="str">
        <f>IF(OR(Table3[[#This Row],[POS]]="SP",Table3[[#This Row],[POS]]="RP",Table3[[#This Row],[POS]]="CL"),"P",INDEX(Batters[[#All],[zScore]],MATCH(Table3[[#This Row],[PID]],Batters[[#All],[PID]],0)))</f>
        <v>P</v>
      </c>
    </row>
    <row r="228" spans="1:64" ht="15" customHeight="1" x14ac:dyDescent="0.3">
      <c r="A228" s="40">
        <v>15582</v>
      </c>
      <c r="B228" s="40" t="s">
        <v>380</v>
      </c>
      <c r="C228" s="40" t="s">
        <v>156</v>
      </c>
      <c r="D228" s="40" t="s">
        <v>575</v>
      </c>
      <c r="E228" s="40">
        <v>22</v>
      </c>
      <c r="F228" s="40" t="s">
        <v>42</v>
      </c>
      <c r="G228" s="40" t="s">
        <v>42</v>
      </c>
      <c r="H228" s="41" t="s">
        <v>561</v>
      </c>
      <c r="I228" s="42" t="s">
        <v>43</v>
      </c>
      <c r="J228" s="40" t="s">
        <v>47</v>
      </c>
      <c r="K228" s="41" t="s">
        <v>43</v>
      </c>
      <c r="L228" s="40">
        <v>1</v>
      </c>
      <c r="M228" s="40">
        <v>3</v>
      </c>
      <c r="N228" s="41">
        <v>1</v>
      </c>
      <c r="O228" s="40">
        <v>2</v>
      </c>
      <c r="P228" s="40">
        <v>3</v>
      </c>
      <c r="Q228" s="41">
        <v>3</v>
      </c>
      <c r="R228" s="40" t="s">
        <v>45</v>
      </c>
      <c r="S228" s="40" t="s">
        <v>45</v>
      </c>
      <c r="T228" s="40" t="s">
        <v>45</v>
      </c>
      <c r="U228" s="40" t="s">
        <v>45</v>
      </c>
      <c r="V228" s="40">
        <v>2</v>
      </c>
      <c r="W228" s="40">
        <v>4</v>
      </c>
      <c r="X228" s="40" t="s">
        <v>45</v>
      </c>
      <c r="Y228" s="40" t="s">
        <v>45</v>
      </c>
      <c r="Z228" s="40">
        <v>3</v>
      </c>
      <c r="AA228" s="40">
        <v>3</v>
      </c>
      <c r="AB228" s="40" t="s">
        <v>45</v>
      </c>
      <c r="AC228" s="40" t="s">
        <v>45</v>
      </c>
      <c r="AD228" s="40">
        <v>2</v>
      </c>
      <c r="AE228" s="40">
        <v>3</v>
      </c>
      <c r="AF228" s="40" t="s">
        <v>45</v>
      </c>
      <c r="AG228" s="40" t="s">
        <v>45</v>
      </c>
      <c r="AH228" s="40" t="s">
        <v>45</v>
      </c>
      <c r="AI228" s="40" t="s">
        <v>45</v>
      </c>
      <c r="AJ228" s="40" t="s">
        <v>45</v>
      </c>
      <c r="AK228" s="40" t="s">
        <v>45</v>
      </c>
      <c r="AL228" s="40" t="s">
        <v>45</v>
      </c>
      <c r="AM228" s="40" t="s">
        <v>45</v>
      </c>
      <c r="AN228" s="40" t="s">
        <v>45</v>
      </c>
      <c r="AO228" s="41" t="s">
        <v>45</v>
      </c>
      <c r="AP228" s="40" t="s">
        <v>70</v>
      </c>
      <c r="AQ228" s="40">
        <v>6</v>
      </c>
      <c r="AR228" s="48" t="s">
        <v>326</v>
      </c>
      <c r="AS228" s="43" t="s">
        <v>45</v>
      </c>
      <c r="AT228" s="43" t="s">
        <v>103</v>
      </c>
      <c r="AU228" s="44">
        <f t="shared" si="31"/>
        <v>-2.310620805107487</v>
      </c>
      <c r="AV228" s="44">
        <f t="shared" si="32"/>
        <v>-1.1857935977530214</v>
      </c>
      <c r="AW228" s="45">
        <f t="shared" si="33"/>
        <v>3</v>
      </c>
      <c r="AX228" s="45">
        <f t="shared" si="34"/>
        <v>0</v>
      </c>
      <c r="AY228" s="46">
        <f>VLOOKUP(AP228,COND!$A$10:$B$32,2,FALSE)</f>
        <v>0.9</v>
      </c>
      <c r="AZ228" s="44">
        <f>($AU$3*AU228+$AV$3*AV228+$AW$3*AW228+$AX$3*AX228)*AY228*IF(AQ228&lt;5,0.95,IF(AQ228&lt;7,0.975,1))+$I$3*VLOOKUP(I228,COND!$A$2:$E$7,4,FALSE)+$J$3*VLOOKUP(J228,COND!$A$2:$E$7,2,FALSE)+$K$3*VLOOKUP(K228,COND!$A$2:$E$7,3,FALSE)+IF(BB228="SP",$BB$3,0)+IF($AW228&lt;3,-5,0)+IF(AND($B$2&gt;0,$E228&lt;20),$B$2*25,0)</f>
        <v>27.400058408138115</v>
      </c>
      <c r="BA228" s="47">
        <f>STANDARDIZE(AZ228,AVERAGE($AZ$5:$AZ$445),STDEVP($AZ$5:$AZ$445))</f>
        <v>-0.73384376138576135</v>
      </c>
      <c r="BB228" s="45" t="str">
        <f t="shared" si="35"/>
        <v>SP</v>
      </c>
      <c r="BC228" s="45">
        <v>900</v>
      </c>
      <c r="BD228" s="45">
        <v>223</v>
      </c>
      <c r="BE228" s="45"/>
      <c r="BF228" s="45" t="str">
        <f t="shared" si="36"/>
        <v>Unlikely</v>
      </c>
      <c r="BG228" s="45"/>
      <c r="BH228" s="63">
        <f>INDEX(Table5[[#All],[Ovr]],MATCH(Table3[[#This Row],[PID]],Table5[[#All],[PID]],0))</f>
        <v>603</v>
      </c>
      <c r="BI228" s="63" t="str">
        <f>INDEX(Table5[[#All],[Rnd]],MATCH(Table3[[#This Row],[PID]],Table5[[#All],[PID]],0))</f>
        <v>18</v>
      </c>
      <c r="BJ228" s="63">
        <f>INDEX(Table5[[#All],[Pick]],MATCH(Table3[[#This Row],[PID]],Table5[[#All],[PID]],0))</f>
        <v>34</v>
      </c>
      <c r="BK228" s="63" t="str">
        <f>INDEX(Table5[[#All],[Team]],MATCH(Table3[[#This Row],[PID]],Table5[[#All],[PID]],0))</f>
        <v>Gloucester Fishermen</v>
      </c>
      <c r="BL228" s="63" t="str">
        <f>IF(OR(Table3[[#This Row],[POS]]="SP",Table3[[#This Row],[POS]]="RP",Table3[[#This Row],[POS]]="CL"),"P",INDEX(Batters[[#All],[zScore]],MATCH(Table3[[#This Row],[PID]],Batters[[#All],[PID]],0)))</f>
        <v>P</v>
      </c>
    </row>
    <row r="229" spans="1:64" ht="15" customHeight="1" x14ac:dyDescent="0.3">
      <c r="A229" s="40">
        <v>20982</v>
      </c>
      <c r="B229" s="40" t="s">
        <v>380</v>
      </c>
      <c r="C229" s="40" t="s">
        <v>138</v>
      </c>
      <c r="D229" s="40" t="s">
        <v>1502</v>
      </c>
      <c r="E229" s="40">
        <v>17</v>
      </c>
      <c r="F229" s="40" t="s">
        <v>53</v>
      </c>
      <c r="G229" s="40" t="s">
        <v>53</v>
      </c>
      <c r="H229" s="41" t="s">
        <v>561</v>
      </c>
      <c r="I229" s="42" t="s">
        <v>43</v>
      </c>
      <c r="J229" s="40" t="s">
        <v>43</v>
      </c>
      <c r="K229" s="41" t="s">
        <v>43</v>
      </c>
      <c r="L229" s="40">
        <v>1</v>
      </c>
      <c r="M229" s="40">
        <v>2</v>
      </c>
      <c r="N229" s="41">
        <v>1</v>
      </c>
      <c r="O229" s="40">
        <v>3</v>
      </c>
      <c r="P229" s="40">
        <v>2</v>
      </c>
      <c r="Q229" s="41">
        <v>4</v>
      </c>
      <c r="R229" s="40">
        <v>2</v>
      </c>
      <c r="S229" s="40">
        <v>4</v>
      </c>
      <c r="T229" s="40" t="s">
        <v>45</v>
      </c>
      <c r="U229" s="40" t="s">
        <v>45</v>
      </c>
      <c r="V229" s="40">
        <v>1</v>
      </c>
      <c r="W229" s="40">
        <v>3</v>
      </c>
      <c r="X229" s="40" t="s">
        <v>45</v>
      </c>
      <c r="Y229" s="40" t="s">
        <v>45</v>
      </c>
      <c r="Z229" s="40" t="s">
        <v>45</v>
      </c>
      <c r="AA229" s="40" t="s">
        <v>45</v>
      </c>
      <c r="AB229" s="40" t="s">
        <v>45</v>
      </c>
      <c r="AC229" s="40" t="s">
        <v>45</v>
      </c>
      <c r="AD229" s="40" t="s">
        <v>45</v>
      </c>
      <c r="AE229" s="40" t="s">
        <v>45</v>
      </c>
      <c r="AF229" s="40" t="s">
        <v>45</v>
      </c>
      <c r="AG229" s="40" t="s">
        <v>45</v>
      </c>
      <c r="AH229" s="40" t="s">
        <v>45</v>
      </c>
      <c r="AI229" s="40" t="s">
        <v>45</v>
      </c>
      <c r="AJ229" s="40" t="s">
        <v>45</v>
      </c>
      <c r="AK229" s="40" t="s">
        <v>45</v>
      </c>
      <c r="AL229" s="40" t="s">
        <v>45</v>
      </c>
      <c r="AM229" s="40" t="s">
        <v>45</v>
      </c>
      <c r="AN229" s="40" t="s">
        <v>45</v>
      </c>
      <c r="AO229" s="41" t="s">
        <v>45</v>
      </c>
      <c r="AP229" s="40" t="s">
        <v>65</v>
      </c>
      <c r="AQ229" s="40">
        <v>7</v>
      </c>
      <c r="AR229" s="48" t="s">
        <v>326</v>
      </c>
      <c r="AS229" s="43" t="s">
        <v>558</v>
      </c>
      <c r="AT229" s="43" t="s">
        <v>103</v>
      </c>
      <c r="AU229" s="44">
        <f t="shared" si="31"/>
        <v>-2.5060525215375429</v>
      </c>
      <c r="AV229" s="44">
        <f t="shared" si="32"/>
        <v>-0.94421342361979277</v>
      </c>
      <c r="AW229" s="45">
        <f t="shared" si="33"/>
        <v>2</v>
      </c>
      <c r="AX229" s="45">
        <f t="shared" si="34"/>
        <v>0</v>
      </c>
      <c r="AY229" s="46">
        <f>VLOOKUP(AP229,COND!$A$10:$B$32,2,FALSE)</f>
        <v>0.95</v>
      </c>
      <c r="AZ229" s="44">
        <f>($AU$3*AU229+$AV$3*AV229+$AW$3*AW229+$AX$3*AX229)*AY229*IF(AQ229&lt;5,0.95,IF(AQ229&lt;7,0.975,1))+$I$3*VLOOKUP(I229,COND!$A$2:$E$7,4,FALSE)+$J$3*VLOOKUP(J229,COND!$A$2:$E$7,2,FALSE)+$K$3*VLOOKUP(K229,COND!$A$2:$E$7,3,FALSE)+IF(BB229="SP",$BB$3,0)+IF($AW229&lt;3,-5,0)+IF(AND($B$2&gt;0,$E229&lt;20),$B$2*25,0)</f>
        <v>27.533794972131805</v>
      </c>
      <c r="BA229" s="47">
        <f t="shared" ref="BA229:BA237" si="37">STANDARDIZE(AZ229,AVERAGE($AZ$5:$AZ$428),STDEVP($AZ$5:$AZ$428))</f>
        <v>-0.73120989749131049</v>
      </c>
      <c r="BB229" s="45" t="str">
        <f t="shared" si="35"/>
        <v>RP</v>
      </c>
      <c r="BC229" s="45">
        <v>900</v>
      </c>
      <c r="BD229" s="45">
        <v>224</v>
      </c>
      <c r="BE229" s="45"/>
      <c r="BF229" s="45" t="str">
        <f t="shared" si="36"/>
        <v>Unlikely</v>
      </c>
      <c r="BG229" s="45"/>
      <c r="BH229" s="45" t="str">
        <f>INDEX(Table5[[#All],[Ovr]],MATCH(Table3[[#This Row],[PID]],Table5[[#All],[PID]],0))</f>
        <v/>
      </c>
      <c r="BI229" s="45" t="str">
        <f>INDEX(Table5[[#All],[Rnd]],MATCH(Table3[[#This Row],[PID]],Table5[[#All],[PID]],0))</f>
        <v/>
      </c>
      <c r="BJ229" s="45" t="str">
        <f>INDEX(Table5[[#All],[Pick]],MATCH(Table3[[#This Row],[PID]],Table5[[#All],[PID]],0))</f>
        <v/>
      </c>
      <c r="BK229" s="45" t="str">
        <f>INDEX(Table5[[#All],[Team]],MATCH(Table3[[#This Row],[PID]],Table5[[#All],[PID]],0))</f>
        <v/>
      </c>
      <c r="BL229" s="45" t="str">
        <f>IF(OR(Table3[[#This Row],[POS]]="SP",Table3[[#This Row],[POS]]="RP",Table3[[#This Row],[POS]]="CL"),"P",INDEX(Batters[[#All],[zScore]],MATCH(Table3[[#This Row],[PID]],Batters[[#All],[PID]],0)))</f>
        <v>P</v>
      </c>
    </row>
    <row r="230" spans="1:64" ht="15" customHeight="1" x14ac:dyDescent="0.3">
      <c r="A230" s="40">
        <v>10810</v>
      </c>
      <c r="B230" s="40" t="s">
        <v>380</v>
      </c>
      <c r="C230" s="40" t="s">
        <v>1427</v>
      </c>
      <c r="D230" s="40" t="s">
        <v>912</v>
      </c>
      <c r="E230" s="40">
        <v>21</v>
      </c>
      <c r="F230" s="40" t="s">
        <v>42</v>
      </c>
      <c r="G230" s="40" t="s">
        <v>42</v>
      </c>
      <c r="H230" s="41" t="s">
        <v>561</v>
      </c>
      <c r="I230" s="42" t="s">
        <v>43</v>
      </c>
      <c r="J230" s="40" t="s">
        <v>47</v>
      </c>
      <c r="K230" s="41" t="s">
        <v>43</v>
      </c>
      <c r="L230" s="40">
        <v>2</v>
      </c>
      <c r="M230" s="40">
        <v>1</v>
      </c>
      <c r="N230" s="41">
        <v>1</v>
      </c>
      <c r="O230" s="40">
        <v>4</v>
      </c>
      <c r="P230" s="40">
        <v>1</v>
      </c>
      <c r="Q230" s="41">
        <v>3</v>
      </c>
      <c r="R230" s="40">
        <v>4</v>
      </c>
      <c r="S230" s="40">
        <v>5</v>
      </c>
      <c r="T230" s="40">
        <v>2</v>
      </c>
      <c r="U230" s="40">
        <v>6</v>
      </c>
      <c r="V230" s="40" t="s">
        <v>45</v>
      </c>
      <c r="W230" s="40" t="s">
        <v>45</v>
      </c>
      <c r="X230" s="40" t="s">
        <v>45</v>
      </c>
      <c r="Y230" s="40" t="s">
        <v>45</v>
      </c>
      <c r="Z230" s="40" t="s">
        <v>45</v>
      </c>
      <c r="AA230" s="40" t="s">
        <v>45</v>
      </c>
      <c r="AB230" s="40">
        <v>2</v>
      </c>
      <c r="AC230" s="40">
        <v>3</v>
      </c>
      <c r="AD230" s="40" t="s">
        <v>45</v>
      </c>
      <c r="AE230" s="40" t="s">
        <v>45</v>
      </c>
      <c r="AF230" s="40">
        <v>3</v>
      </c>
      <c r="AG230" s="40">
        <v>4</v>
      </c>
      <c r="AH230" s="40" t="s">
        <v>45</v>
      </c>
      <c r="AI230" s="40" t="s">
        <v>45</v>
      </c>
      <c r="AJ230" s="40" t="s">
        <v>45</v>
      </c>
      <c r="AK230" s="40" t="s">
        <v>45</v>
      </c>
      <c r="AL230" s="40" t="s">
        <v>45</v>
      </c>
      <c r="AM230" s="40" t="s">
        <v>45</v>
      </c>
      <c r="AN230" s="40" t="s">
        <v>45</v>
      </c>
      <c r="AO230" s="41" t="s">
        <v>45</v>
      </c>
      <c r="AP230" s="40" t="s">
        <v>328</v>
      </c>
      <c r="AQ230" s="40">
        <v>6</v>
      </c>
      <c r="AR230" s="48" t="s">
        <v>14</v>
      </c>
      <c r="AS230" s="43" t="s">
        <v>45</v>
      </c>
      <c r="AT230" s="43" t="s">
        <v>103</v>
      </c>
      <c r="AU230" s="44">
        <f t="shared" si="31"/>
        <v>-2.5067929134584248</v>
      </c>
      <c r="AV230" s="44">
        <f t="shared" si="32"/>
        <v>-1.1872743815947853</v>
      </c>
      <c r="AW230" s="45">
        <f t="shared" si="33"/>
        <v>4</v>
      </c>
      <c r="AX230" s="45">
        <f t="shared" si="34"/>
        <v>1</v>
      </c>
      <c r="AY230" s="46">
        <f>VLOOKUP(AP230,COND!$A$10:$B$32,2,FALSE)</f>
        <v>1</v>
      </c>
      <c r="AZ230" s="44">
        <f>($AU$3*AU230+$AV$3*AV230+$AW$3*AW230+$AX$3*AX230)*AY230*IF(AQ230&lt;5,0.95,IF(AQ230&lt;7,0.975,1))+$I$3*VLOOKUP(I230,COND!$A$2:$E$7,4,FALSE)+$J$3*VLOOKUP(J230,COND!$A$2:$E$7,2,FALSE)+$K$3*VLOOKUP(K230,COND!$A$2:$E$7,3,FALSE)+IF(BB230="SP",$BB$3,0)+IF($AW230&lt;3,-5,0)+IF(AND($B$2&gt;0,$E230&lt;20),$B$2*25,0)</f>
        <v>26.828074940777292</v>
      </c>
      <c r="BA230" s="47">
        <f t="shared" si="37"/>
        <v>-0.78146212696308859</v>
      </c>
      <c r="BB230" s="45" t="str">
        <f t="shared" si="35"/>
        <v>SP</v>
      </c>
      <c r="BC230" s="45">
        <v>900</v>
      </c>
      <c r="BD230" s="45">
        <v>225</v>
      </c>
      <c r="BE230" s="45"/>
      <c r="BF230" s="45" t="str">
        <f t="shared" si="36"/>
        <v>Unlikely</v>
      </c>
      <c r="BG230" s="45"/>
      <c r="BH230" s="45">
        <f>INDEX(Table5[[#All],[Ovr]],MATCH(Table3[[#This Row],[PID]],Table5[[#All],[PID]],0))</f>
        <v>638</v>
      </c>
      <c r="BI230" s="45" t="str">
        <f>INDEX(Table5[[#All],[Rnd]],MATCH(Table3[[#This Row],[PID]],Table5[[#All],[PID]],0))</f>
        <v>20</v>
      </c>
      <c r="BJ230" s="45">
        <f>INDEX(Table5[[#All],[Pick]],MATCH(Table3[[#This Row],[PID]],Table5[[#All],[PID]],0))</f>
        <v>1</v>
      </c>
      <c r="BK230" s="45" t="str">
        <f>INDEX(Table5[[#All],[Team]],MATCH(Table3[[#This Row],[PID]],Table5[[#All],[PID]],0))</f>
        <v>Yuma Arroyos</v>
      </c>
      <c r="BL230" s="45" t="str">
        <f>IF(OR(Table3[[#This Row],[POS]]="SP",Table3[[#This Row],[POS]]="RP",Table3[[#This Row],[POS]]="CL"),"P",INDEX(Batters[[#All],[zScore]],MATCH(Table3[[#This Row],[PID]],Batters[[#All],[PID]],0)))</f>
        <v>P</v>
      </c>
    </row>
    <row r="231" spans="1:64" ht="15" customHeight="1" x14ac:dyDescent="0.3">
      <c r="A231" s="40">
        <v>5141</v>
      </c>
      <c r="B231" s="40" t="s">
        <v>380</v>
      </c>
      <c r="C231" s="40" t="s">
        <v>333</v>
      </c>
      <c r="D231" s="40" t="s">
        <v>773</v>
      </c>
      <c r="E231" s="40">
        <v>21</v>
      </c>
      <c r="F231" s="40" t="s">
        <v>53</v>
      </c>
      <c r="G231" s="40" t="s">
        <v>53</v>
      </c>
      <c r="H231" s="41" t="s">
        <v>561</v>
      </c>
      <c r="I231" s="42" t="s">
        <v>43</v>
      </c>
      <c r="J231" s="40" t="s">
        <v>43</v>
      </c>
      <c r="K231" s="41" t="s">
        <v>43</v>
      </c>
      <c r="L231" s="40">
        <v>2</v>
      </c>
      <c r="M231" s="40">
        <v>3</v>
      </c>
      <c r="N231" s="41">
        <v>1</v>
      </c>
      <c r="O231" s="40">
        <v>4</v>
      </c>
      <c r="P231" s="40">
        <v>3</v>
      </c>
      <c r="Q231" s="41">
        <v>2</v>
      </c>
      <c r="R231" s="40">
        <v>3</v>
      </c>
      <c r="S231" s="40">
        <v>5</v>
      </c>
      <c r="T231" s="40">
        <v>1</v>
      </c>
      <c r="U231" s="40">
        <v>1</v>
      </c>
      <c r="V231" s="40">
        <v>2</v>
      </c>
      <c r="W231" s="40">
        <v>5</v>
      </c>
      <c r="X231" s="40" t="s">
        <v>45</v>
      </c>
      <c r="Y231" s="40" t="s">
        <v>45</v>
      </c>
      <c r="Z231" s="40" t="s">
        <v>45</v>
      </c>
      <c r="AA231" s="40" t="s">
        <v>45</v>
      </c>
      <c r="AB231" s="40" t="s">
        <v>45</v>
      </c>
      <c r="AC231" s="40" t="s">
        <v>45</v>
      </c>
      <c r="AD231" s="40" t="s">
        <v>45</v>
      </c>
      <c r="AE231" s="40" t="s">
        <v>45</v>
      </c>
      <c r="AF231" s="40" t="s">
        <v>45</v>
      </c>
      <c r="AG231" s="40" t="s">
        <v>45</v>
      </c>
      <c r="AH231" s="40" t="s">
        <v>45</v>
      </c>
      <c r="AI231" s="40" t="s">
        <v>45</v>
      </c>
      <c r="AJ231" s="40" t="s">
        <v>45</v>
      </c>
      <c r="AK231" s="40" t="s">
        <v>45</v>
      </c>
      <c r="AL231" s="40" t="s">
        <v>45</v>
      </c>
      <c r="AM231" s="40" t="s">
        <v>45</v>
      </c>
      <c r="AN231" s="40" t="s">
        <v>45</v>
      </c>
      <c r="AO231" s="41" t="s">
        <v>45</v>
      </c>
      <c r="AP231" s="40" t="s">
        <v>328</v>
      </c>
      <c r="AQ231" s="40">
        <v>7</v>
      </c>
      <c r="AR231" s="48" t="s">
        <v>325</v>
      </c>
      <c r="AS231" s="43" t="s">
        <v>45</v>
      </c>
      <c r="AT231" s="43" t="s">
        <v>103</v>
      </c>
      <c r="AU231" s="44">
        <f t="shared" si="31"/>
        <v>-2.1159294805983135</v>
      </c>
      <c r="AV231" s="44">
        <f t="shared" si="32"/>
        <v>-1.0387315147887846</v>
      </c>
      <c r="AW231" s="45">
        <f t="shared" si="33"/>
        <v>3</v>
      </c>
      <c r="AX231" s="45">
        <f t="shared" si="34"/>
        <v>0</v>
      </c>
      <c r="AY231" s="46">
        <f>VLOOKUP(AP231,COND!$A$10:$B$32,2,FALSE)</f>
        <v>1</v>
      </c>
      <c r="AZ231" s="44">
        <f>($AU$3*AU231+$AV$3*AV231+$AW$3*AW231+$AX$3*AX231)*AY231*IF(AQ231&lt;5,0.95,IF(AQ231&lt;7,0.975,1))+$I$3*VLOOKUP(I231,COND!$A$2:$E$7,4,FALSE)+$J$3*VLOOKUP(J231,COND!$A$2:$E$7,2,FALSE)+$K$3*VLOOKUP(K231,COND!$A$2:$E$7,3,FALSE)+IF(BB231="SP",$BB$3,0)+IF($AW231&lt;3,-5,0)+IF(AND($B$2&gt;0,$E231&lt;20),$B$2*25,0)</f>
        <v>27.302183808104648</v>
      </c>
      <c r="BA231" s="47">
        <f t="shared" si="37"/>
        <v>-0.7477022412619404</v>
      </c>
      <c r="BB231" s="45" t="str">
        <f t="shared" si="35"/>
        <v>SP</v>
      </c>
      <c r="BC231" s="45">
        <v>900</v>
      </c>
      <c r="BD231" s="45">
        <v>226</v>
      </c>
      <c r="BE231" s="45"/>
      <c r="BF231" s="45" t="str">
        <f t="shared" si="36"/>
        <v>Unlikely</v>
      </c>
      <c r="BG231" s="45"/>
      <c r="BH231" s="45">
        <f>INDEX(Table5[[#All],[Ovr]],MATCH(Table3[[#This Row],[PID]],Table5[[#All],[PID]],0))</f>
        <v>513</v>
      </c>
      <c r="BI231" s="45" t="str">
        <f>INDEX(Table5[[#All],[Rnd]],MATCH(Table3[[#This Row],[PID]],Table5[[#All],[PID]],0))</f>
        <v>16</v>
      </c>
      <c r="BJ231" s="45">
        <f>INDEX(Table5[[#All],[Pick]],MATCH(Table3[[#This Row],[PID]],Table5[[#All],[PID]],0))</f>
        <v>12</v>
      </c>
      <c r="BK231" s="45" t="str">
        <f>INDEX(Table5[[#All],[Team]],MATCH(Table3[[#This Row],[PID]],Table5[[#All],[PID]],0))</f>
        <v>Manchester Maulers</v>
      </c>
      <c r="BL231" s="45" t="str">
        <f>IF(OR(Table3[[#This Row],[POS]]="SP",Table3[[#This Row],[POS]]="RP",Table3[[#This Row],[POS]]="CL"),"P",INDEX(Batters[[#All],[zScore]],MATCH(Table3[[#This Row],[PID]],Batters[[#All],[PID]],0)))</f>
        <v>P</v>
      </c>
    </row>
    <row r="232" spans="1:64" ht="15" customHeight="1" x14ac:dyDescent="0.3">
      <c r="A232" s="40">
        <v>5419</v>
      </c>
      <c r="B232" s="40" t="s">
        <v>380</v>
      </c>
      <c r="C232" s="40" t="s">
        <v>127</v>
      </c>
      <c r="D232" s="40" t="s">
        <v>1538</v>
      </c>
      <c r="E232" s="40">
        <v>21</v>
      </c>
      <c r="F232" s="40" t="s">
        <v>53</v>
      </c>
      <c r="G232" s="40" t="s">
        <v>53</v>
      </c>
      <c r="H232" s="41" t="s">
        <v>561</v>
      </c>
      <c r="I232" s="42" t="s">
        <v>43</v>
      </c>
      <c r="J232" s="40" t="s">
        <v>43</v>
      </c>
      <c r="K232" s="41" t="s">
        <v>43</v>
      </c>
      <c r="L232" s="40">
        <v>2</v>
      </c>
      <c r="M232" s="40">
        <v>2</v>
      </c>
      <c r="N232" s="41">
        <v>1</v>
      </c>
      <c r="O232" s="40">
        <v>4</v>
      </c>
      <c r="P232" s="40">
        <v>2</v>
      </c>
      <c r="Q232" s="41">
        <v>3</v>
      </c>
      <c r="R232" s="40">
        <v>4</v>
      </c>
      <c r="S232" s="40">
        <v>5</v>
      </c>
      <c r="T232" s="40">
        <v>2</v>
      </c>
      <c r="U232" s="40">
        <v>5</v>
      </c>
      <c r="V232" s="40" t="s">
        <v>45</v>
      </c>
      <c r="W232" s="40" t="s">
        <v>45</v>
      </c>
      <c r="X232" s="40">
        <v>3</v>
      </c>
      <c r="Y232" s="40">
        <v>5</v>
      </c>
      <c r="Z232" s="40" t="s">
        <v>45</v>
      </c>
      <c r="AA232" s="40" t="s">
        <v>45</v>
      </c>
      <c r="AB232" s="40" t="s">
        <v>45</v>
      </c>
      <c r="AC232" s="40" t="s">
        <v>45</v>
      </c>
      <c r="AD232" s="40" t="s">
        <v>45</v>
      </c>
      <c r="AE232" s="40" t="s">
        <v>45</v>
      </c>
      <c r="AF232" s="40" t="s">
        <v>45</v>
      </c>
      <c r="AG232" s="40" t="s">
        <v>45</v>
      </c>
      <c r="AH232" s="40" t="s">
        <v>45</v>
      </c>
      <c r="AI232" s="40" t="s">
        <v>45</v>
      </c>
      <c r="AJ232" s="40" t="s">
        <v>45</v>
      </c>
      <c r="AK232" s="40" t="s">
        <v>45</v>
      </c>
      <c r="AL232" s="40" t="s">
        <v>45</v>
      </c>
      <c r="AM232" s="40" t="s">
        <v>45</v>
      </c>
      <c r="AN232" s="40" t="s">
        <v>45</v>
      </c>
      <c r="AO232" s="41" t="s">
        <v>45</v>
      </c>
      <c r="AP232" s="40" t="s">
        <v>57</v>
      </c>
      <c r="AQ232" s="40">
        <v>2</v>
      </c>
      <c r="AR232" s="48" t="s">
        <v>326</v>
      </c>
      <c r="AS232" s="43" t="s">
        <v>45</v>
      </c>
      <c r="AT232" s="43" t="s">
        <v>103</v>
      </c>
      <c r="AU232" s="44">
        <f t="shared" si="31"/>
        <v>-2.311361197028369</v>
      </c>
      <c r="AV232" s="44">
        <f t="shared" si="32"/>
        <v>-0.99184266516472974</v>
      </c>
      <c r="AW232" s="45">
        <f t="shared" si="33"/>
        <v>3</v>
      </c>
      <c r="AX232" s="45">
        <f t="shared" si="34"/>
        <v>0</v>
      </c>
      <c r="AY232" s="46">
        <f>VLOOKUP(AP232,COND!$A$10:$B$32,2,FALSE)</f>
        <v>1</v>
      </c>
      <c r="AZ232" s="44">
        <f>($AU$3*AU232+$AV$3*AV232+$AW$3*AW232+$AX$3*AX232)*AY232*IF(AQ232&lt;5,0.95,IF(AQ232&lt;7,0.975,1))+$I$3*VLOOKUP(I232,COND!$A$2:$E$7,4,FALSE)+$J$3*VLOOKUP(J232,COND!$A$2:$E$7,2,FALSE)+$K$3*VLOOKUP(K232,COND!$A$2:$E$7,3,FALSE)+IF(BB232="SP",$BB$3,0)+IF($AW232&lt;3,-5,0)+IF(AND($B$2&gt;0,$E232&lt;20),$B$2*25,0)</f>
        <v>27.140830734434743</v>
      </c>
      <c r="BA232" s="47">
        <f t="shared" si="37"/>
        <v>-0.75919171488290893</v>
      </c>
      <c r="BB232" s="45" t="str">
        <f t="shared" si="35"/>
        <v>RP</v>
      </c>
      <c r="BC232" s="45">
        <v>900</v>
      </c>
      <c r="BD232" s="45">
        <v>227</v>
      </c>
      <c r="BE232" s="45"/>
      <c r="BF232" s="45" t="str">
        <f t="shared" si="36"/>
        <v>Unlikely</v>
      </c>
      <c r="BG232" s="45"/>
      <c r="BH232" s="45">
        <f>INDEX(Table5[[#All],[Ovr]],MATCH(Table3[[#This Row],[PID]],Table5[[#All],[PID]],0))</f>
        <v>596</v>
      </c>
      <c r="BI232" s="45" t="str">
        <f>INDEX(Table5[[#All],[Rnd]],MATCH(Table3[[#This Row],[PID]],Table5[[#All],[PID]],0))</f>
        <v>18</v>
      </c>
      <c r="BJ232" s="45">
        <f>INDEX(Table5[[#All],[Pick]],MATCH(Table3[[#This Row],[PID]],Table5[[#All],[PID]],0))</f>
        <v>27</v>
      </c>
      <c r="BK232" s="45" t="str">
        <f>INDEX(Table5[[#All],[Team]],MATCH(Table3[[#This Row],[PID]],Table5[[#All],[PID]],0))</f>
        <v>Havana Leones</v>
      </c>
      <c r="BL232" s="45" t="str">
        <f>IF(OR(Table3[[#This Row],[POS]]="SP",Table3[[#This Row],[POS]]="RP",Table3[[#This Row],[POS]]="CL"),"P",INDEX(Batters[[#All],[zScore]],MATCH(Table3[[#This Row],[PID]],Batters[[#All],[PID]],0)))</f>
        <v>P</v>
      </c>
    </row>
    <row r="233" spans="1:64" ht="15" customHeight="1" x14ac:dyDescent="0.3">
      <c r="A233" s="40">
        <v>20275</v>
      </c>
      <c r="B233" s="40" t="s">
        <v>380</v>
      </c>
      <c r="C233" s="40" t="s">
        <v>564</v>
      </c>
      <c r="D233" s="40" t="s">
        <v>928</v>
      </c>
      <c r="E233" s="40">
        <v>22</v>
      </c>
      <c r="F233" s="40" t="s">
        <v>42</v>
      </c>
      <c r="G233" s="40" t="s">
        <v>42</v>
      </c>
      <c r="H233" s="41" t="s">
        <v>561</v>
      </c>
      <c r="I233" s="42" t="s">
        <v>43</v>
      </c>
      <c r="J233" s="40" t="s">
        <v>43</v>
      </c>
      <c r="K233" s="41" t="s">
        <v>43</v>
      </c>
      <c r="L233" s="40">
        <v>3</v>
      </c>
      <c r="M233" s="40">
        <v>1</v>
      </c>
      <c r="N233" s="41">
        <v>3</v>
      </c>
      <c r="O233" s="40">
        <v>4</v>
      </c>
      <c r="P233" s="40">
        <v>1</v>
      </c>
      <c r="Q233" s="41">
        <v>3</v>
      </c>
      <c r="R233" s="40">
        <v>4</v>
      </c>
      <c r="S233" s="40">
        <v>5</v>
      </c>
      <c r="T233" s="40">
        <v>1</v>
      </c>
      <c r="U233" s="40">
        <v>1</v>
      </c>
      <c r="V233" s="40">
        <v>5</v>
      </c>
      <c r="W233" s="40">
        <v>6</v>
      </c>
      <c r="X233" s="40" t="s">
        <v>45</v>
      </c>
      <c r="Y233" s="40" t="s">
        <v>45</v>
      </c>
      <c r="Z233" s="40" t="s">
        <v>45</v>
      </c>
      <c r="AA233" s="40" t="s">
        <v>45</v>
      </c>
      <c r="AB233" s="40" t="s">
        <v>45</v>
      </c>
      <c r="AC233" s="40" t="s">
        <v>45</v>
      </c>
      <c r="AD233" s="40" t="s">
        <v>45</v>
      </c>
      <c r="AE233" s="40" t="s">
        <v>45</v>
      </c>
      <c r="AF233" s="40" t="s">
        <v>45</v>
      </c>
      <c r="AG233" s="40" t="s">
        <v>45</v>
      </c>
      <c r="AH233" s="40" t="s">
        <v>45</v>
      </c>
      <c r="AI233" s="40" t="s">
        <v>45</v>
      </c>
      <c r="AJ233" s="40" t="s">
        <v>45</v>
      </c>
      <c r="AK233" s="40" t="s">
        <v>45</v>
      </c>
      <c r="AL233" s="40" t="s">
        <v>45</v>
      </c>
      <c r="AM233" s="40" t="s">
        <v>45</v>
      </c>
      <c r="AN233" s="40" t="s">
        <v>45</v>
      </c>
      <c r="AO233" s="41" t="s">
        <v>45</v>
      </c>
      <c r="AP233" s="40" t="s">
        <v>57</v>
      </c>
      <c r="AQ233" s="40">
        <v>5</v>
      </c>
      <c r="AR233" s="48" t="s">
        <v>14</v>
      </c>
      <c r="AS233" s="43" t="s">
        <v>45</v>
      </c>
      <c r="AT233" s="43" t="s">
        <v>103</v>
      </c>
      <c r="AU233" s="44">
        <f t="shared" si="31"/>
        <v>-1.8274604568410304</v>
      </c>
      <c r="AV233" s="44">
        <f t="shared" si="32"/>
        <v>-1.1872743815947853</v>
      </c>
      <c r="AW233" s="45">
        <f t="shared" si="33"/>
        <v>3</v>
      </c>
      <c r="AX233" s="45">
        <f t="shared" si="34"/>
        <v>1</v>
      </c>
      <c r="AY233" s="46">
        <f>VLOOKUP(AP233,COND!$A$10:$B$32,2,FALSE)</f>
        <v>1</v>
      </c>
      <c r="AZ233" s="44">
        <f>($AU$3*AU233+$AV$3*AV233+$AW$3*AW233+$AX$3*AX233)*AY233*IF(AQ233&lt;5,0.95,IF(AQ233&lt;7,0.975,1))+$I$3*VLOOKUP(I233,COND!$A$2:$E$7,4,FALSE)+$J$3*VLOOKUP(J233,COND!$A$2:$E$7,2,FALSE)+$K$3*VLOOKUP(K233,COND!$A$2:$E$7,3,FALSE)+IF(BB233="SP",$BB$3,0)+IF($AW233&lt;3,-5,0)+IF(AND($B$2&gt;0,$E233&lt;20),$B$2*25,0)</f>
        <v>26.173044769817686</v>
      </c>
      <c r="BA233" s="47">
        <f t="shared" si="37"/>
        <v>-0.82810488187940001</v>
      </c>
      <c r="BB233" s="45" t="str">
        <f t="shared" si="35"/>
        <v>SP</v>
      </c>
      <c r="BC233" s="45">
        <v>900</v>
      </c>
      <c r="BD233" s="45">
        <v>228</v>
      </c>
      <c r="BE233" s="45"/>
      <c r="BF233" s="45" t="str">
        <f t="shared" si="36"/>
        <v>Unlikely</v>
      </c>
      <c r="BG233" s="45"/>
      <c r="BH233" s="45">
        <f>INDEX(Table5[[#All],[Ovr]],MATCH(Table3[[#This Row],[PID]],Table5[[#All],[PID]],0))</f>
        <v>632</v>
      </c>
      <c r="BI233" s="45" t="str">
        <f>INDEX(Table5[[#All],[Rnd]],MATCH(Table3[[#This Row],[PID]],Table5[[#All],[PID]],0))</f>
        <v>19</v>
      </c>
      <c r="BJ233" s="45">
        <f>INDEX(Table5[[#All],[Pick]],MATCH(Table3[[#This Row],[PID]],Table5[[#All],[PID]],0))</f>
        <v>29</v>
      </c>
      <c r="BK233" s="45" t="str">
        <f>INDEX(Table5[[#All],[Team]],MATCH(Table3[[#This Row],[PID]],Table5[[#All],[PID]],0))</f>
        <v>Shin Seiki Evas</v>
      </c>
      <c r="BL233" s="45" t="str">
        <f>IF(OR(Table3[[#This Row],[POS]]="SP",Table3[[#This Row],[POS]]="RP",Table3[[#This Row],[POS]]="CL"),"P",INDEX(Batters[[#All],[zScore]],MATCH(Table3[[#This Row],[PID]],Batters[[#All],[PID]],0)))</f>
        <v>P</v>
      </c>
    </row>
    <row r="234" spans="1:64" ht="15" customHeight="1" x14ac:dyDescent="0.3">
      <c r="A234" s="40">
        <v>6587</v>
      </c>
      <c r="B234" s="40" t="s">
        <v>380</v>
      </c>
      <c r="C234" s="40" t="s">
        <v>647</v>
      </c>
      <c r="D234" s="40" t="s">
        <v>566</v>
      </c>
      <c r="E234" s="40">
        <v>21</v>
      </c>
      <c r="F234" s="40" t="s">
        <v>42</v>
      </c>
      <c r="G234" s="40" t="s">
        <v>53</v>
      </c>
      <c r="H234" s="41" t="s">
        <v>561</v>
      </c>
      <c r="I234" s="42" t="s">
        <v>43</v>
      </c>
      <c r="J234" s="40" t="s">
        <v>47</v>
      </c>
      <c r="K234" s="41" t="s">
        <v>43</v>
      </c>
      <c r="L234" s="40">
        <v>3</v>
      </c>
      <c r="M234" s="40">
        <v>2</v>
      </c>
      <c r="N234" s="41">
        <v>1</v>
      </c>
      <c r="O234" s="40">
        <v>4</v>
      </c>
      <c r="P234" s="40">
        <v>2</v>
      </c>
      <c r="Q234" s="41">
        <v>2</v>
      </c>
      <c r="R234" s="40">
        <v>3</v>
      </c>
      <c r="S234" s="40">
        <v>5</v>
      </c>
      <c r="T234" s="40">
        <v>1</v>
      </c>
      <c r="U234" s="40">
        <v>1</v>
      </c>
      <c r="V234" s="40" t="s">
        <v>45</v>
      </c>
      <c r="W234" s="40" t="s">
        <v>45</v>
      </c>
      <c r="X234" s="40" t="s">
        <v>45</v>
      </c>
      <c r="Y234" s="40" t="s">
        <v>45</v>
      </c>
      <c r="Z234" s="40" t="s">
        <v>45</v>
      </c>
      <c r="AA234" s="40" t="s">
        <v>45</v>
      </c>
      <c r="AB234" s="40">
        <v>4</v>
      </c>
      <c r="AC234" s="40">
        <v>5</v>
      </c>
      <c r="AD234" s="40" t="s">
        <v>45</v>
      </c>
      <c r="AE234" s="40" t="s">
        <v>45</v>
      </c>
      <c r="AF234" s="40" t="s">
        <v>45</v>
      </c>
      <c r="AG234" s="40" t="s">
        <v>45</v>
      </c>
      <c r="AH234" s="40" t="s">
        <v>45</v>
      </c>
      <c r="AI234" s="40" t="s">
        <v>45</v>
      </c>
      <c r="AJ234" s="40" t="s">
        <v>45</v>
      </c>
      <c r="AK234" s="40" t="s">
        <v>45</v>
      </c>
      <c r="AL234" s="40" t="s">
        <v>45</v>
      </c>
      <c r="AM234" s="40" t="s">
        <v>45</v>
      </c>
      <c r="AN234" s="40" t="s">
        <v>45</v>
      </c>
      <c r="AO234" s="41" t="s">
        <v>45</v>
      </c>
      <c r="AP234" s="40" t="s">
        <v>68</v>
      </c>
      <c r="AQ234" s="40">
        <v>6</v>
      </c>
      <c r="AR234" s="48" t="s">
        <v>326</v>
      </c>
      <c r="AS234" s="43" t="s">
        <v>45</v>
      </c>
      <c r="AT234" s="43" t="s">
        <v>103</v>
      </c>
      <c r="AU234" s="44">
        <f t="shared" si="31"/>
        <v>-2.1166698725191955</v>
      </c>
      <c r="AV234" s="44">
        <f t="shared" si="32"/>
        <v>-1.23416323121884</v>
      </c>
      <c r="AW234" s="45">
        <f t="shared" si="33"/>
        <v>3</v>
      </c>
      <c r="AX234" s="45">
        <f t="shared" si="34"/>
        <v>0</v>
      </c>
      <c r="AY234" s="46">
        <f>VLOOKUP(AP234,COND!$A$10:$B$32,2,FALSE)</f>
        <v>0.95</v>
      </c>
      <c r="AZ234" s="44">
        <f>($AU$3*AU234+$AV$3*AV234+$AW$3*AW234+$AX$3*AX234)*AY234*IF(AQ234&lt;5,0.95,IF(AQ234&lt;7,0.975,1))+$I$3*VLOOKUP(I234,COND!$A$2:$E$7,4,FALSE)+$J$3*VLOOKUP(J234,COND!$A$2:$E$7,2,FALSE)+$K$3*VLOOKUP(K234,COND!$A$2:$E$7,3,FALSE)+IF(BB234="SP",$BB$3,0)+IF($AW234&lt;3,-5,0)+IF(AND($B$2&gt;0,$E234&lt;20),$B$2*25,0)</f>
        <v>25.434388047786808</v>
      </c>
      <c r="BA234" s="47">
        <f t="shared" si="37"/>
        <v>-0.88070243536689718</v>
      </c>
      <c r="BB234" s="45" t="str">
        <f t="shared" si="35"/>
        <v>SP</v>
      </c>
      <c r="BC234" s="45">
        <v>900</v>
      </c>
      <c r="BD234" s="45">
        <v>229</v>
      </c>
      <c r="BE234" s="45"/>
      <c r="BF234" s="45" t="str">
        <f t="shared" si="36"/>
        <v>Unlikely</v>
      </c>
      <c r="BG234" s="45"/>
      <c r="BH234" s="45">
        <f>INDEX(Table5[[#All],[Ovr]],MATCH(Table3[[#This Row],[PID]],Table5[[#All],[PID]],0))</f>
        <v>652</v>
      </c>
      <c r="BI234" s="45" t="str">
        <f>INDEX(Table5[[#All],[Rnd]],MATCH(Table3[[#This Row],[PID]],Table5[[#All],[PID]],0))</f>
        <v>20</v>
      </c>
      <c r="BJ234" s="45">
        <f>INDEX(Table5[[#All],[Pick]],MATCH(Table3[[#This Row],[PID]],Table5[[#All],[PID]],0))</f>
        <v>15</v>
      </c>
      <c r="BK234" s="45" t="str">
        <f>INDEX(Table5[[#All],[Team]],MATCH(Table3[[#This Row],[PID]],Table5[[#All],[PID]],0))</f>
        <v>Niihama-shi Ghosts</v>
      </c>
      <c r="BL234" s="45" t="str">
        <f>IF(OR(Table3[[#This Row],[POS]]="SP",Table3[[#This Row],[POS]]="RP",Table3[[#This Row],[POS]]="CL"),"P",INDEX(Batters[[#All],[zScore]],MATCH(Table3[[#This Row],[PID]],Batters[[#All],[PID]],0)))</f>
        <v>P</v>
      </c>
    </row>
    <row r="235" spans="1:64" ht="15" customHeight="1" x14ac:dyDescent="0.3">
      <c r="A235" s="40">
        <v>17044</v>
      </c>
      <c r="B235" s="40" t="s">
        <v>380</v>
      </c>
      <c r="C235" s="40" t="s">
        <v>960</v>
      </c>
      <c r="D235" s="40" t="s">
        <v>961</v>
      </c>
      <c r="E235" s="40">
        <v>22</v>
      </c>
      <c r="F235" s="40" t="s">
        <v>42</v>
      </c>
      <c r="G235" s="40" t="s">
        <v>42</v>
      </c>
      <c r="H235" s="41" t="s">
        <v>561</v>
      </c>
      <c r="I235" s="42" t="s">
        <v>44</v>
      </c>
      <c r="J235" s="40" t="s">
        <v>43</v>
      </c>
      <c r="K235" s="41" t="s">
        <v>43</v>
      </c>
      <c r="L235" s="40">
        <v>2</v>
      </c>
      <c r="M235" s="40">
        <v>1</v>
      </c>
      <c r="N235" s="41">
        <v>1</v>
      </c>
      <c r="O235" s="40">
        <v>4</v>
      </c>
      <c r="P235" s="40">
        <v>1</v>
      </c>
      <c r="Q235" s="41">
        <v>3</v>
      </c>
      <c r="R235" s="40">
        <v>4</v>
      </c>
      <c r="S235" s="40">
        <v>5</v>
      </c>
      <c r="T235" s="40">
        <v>1</v>
      </c>
      <c r="U235" s="40">
        <v>1</v>
      </c>
      <c r="V235" s="40">
        <v>2</v>
      </c>
      <c r="W235" s="40">
        <v>6</v>
      </c>
      <c r="X235" s="40" t="s">
        <v>45</v>
      </c>
      <c r="Y235" s="40" t="s">
        <v>45</v>
      </c>
      <c r="Z235" s="40" t="s">
        <v>45</v>
      </c>
      <c r="AA235" s="40" t="s">
        <v>45</v>
      </c>
      <c r="AB235" s="40" t="s">
        <v>45</v>
      </c>
      <c r="AC235" s="40" t="s">
        <v>45</v>
      </c>
      <c r="AD235" s="40" t="s">
        <v>45</v>
      </c>
      <c r="AE235" s="40" t="s">
        <v>45</v>
      </c>
      <c r="AF235" s="40" t="s">
        <v>45</v>
      </c>
      <c r="AG235" s="40" t="s">
        <v>45</v>
      </c>
      <c r="AH235" s="40" t="s">
        <v>45</v>
      </c>
      <c r="AI235" s="40" t="s">
        <v>45</v>
      </c>
      <c r="AJ235" s="40" t="s">
        <v>45</v>
      </c>
      <c r="AK235" s="40" t="s">
        <v>45</v>
      </c>
      <c r="AL235" s="40" t="s">
        <v>45</v>
      </c>
      <c r="AM235" s="40" t="s">
        <v>45</v>
      </c>
      <c r="AN235" s="40" t="s">
        <v>45</v>
      </c>
      <c r="AO235" s="41" t="s">
        <v>45</v>
      </c>
      <c r="AP235" s="40" t="s">
        <v>329</v>
      </c>
      <c r="AQ235" s="40">
        <v>6</v>
      </c>
      <c r="AR235" s="48" t="s">
        <v>330</v>
      </c>
      <c r="AS235" s="43" t="s">
        <v>45</v>
      </c>
      <c r="AT235" s="43" t="s">
        <v>103</v>
      </c>
      <c r="AU235" s="44">
        <f t="shared" si="31"/>
        <v>-2.5067929134584248</v>
      </c>
      <c r="AV235" s="44">
        <f t="shared" si="32"/>
        <v>-1.1872743815947853</v>
      </c>
      <c r="AW235" s="45">
        <f t="shared" si="33"/>
        <v>3</v>
      </c>
      <c r="AX235" s="45">
        <f t="shared" si="34"/>
        <v>1</v>
      </c>
      <c r="AY235" s="46">
        <f>VLOOKUP(AP235,COND!$A$10:$B$32,2,FALSE)</f>
        <v>1</v>
      </c>
      <c r="AZ235" s="44">
        <f>($AU$3*AU235+$AV$3*AV235+$AW$3*AW235+$AX$3*AX235)*AY235*IF(AQ235&lt;5,0.95,IF(AQ235&lt;7,0.975,1))+$I$3*VLOOKUP(I235,COND!$A$2:$E$7,4,FALSE)+$J$3*VLOOKUP(J235,COND!$A$2:$E$7,2,FALSE)+$K$3*VLOOKUP(K235,COND!$A$2:$E$7,3,FALSE)+IF(BB235="SP",$BB$3,0)+IF($AW235&lt;3,-5,0)+IF(AND($B$2&gt;0,$E235&lt;20),$B$2*25,0)</f>
        <v>25.890574940777292</v>
      </c>
      <c r="BA235" s="47">
        <f t="shared" si="37"/>
        <v>-0.84821872028150314</v>
      </c>
      <c r="BB235" s="45" t="str">
        <f t="shared" si="35"/>
        <v>SP</v>
      </c>
      <c r="BC235" s="45">
        <v>900</v>
      </c>
      <c r="BD235" s="45">
        <v>230</v>
      </c>
      <c r="BE235" s="45"/>
      <c r="BF235" s="45" t="str">
        <f t="shared" si="36"/>
        <v>Unlikely</v>
      </c>
      <c r="BG235" s="45"/>
      <c r="BH235" s="45" t="str">
        <f>INDEX(Table5[[#All],[Ovr]],MATCH(Table3[[#This Row],[PID]],Table5[[#All],[PID]],0))</f>
        <v/>
      </c>
      <c r="BI235" s="45" t="str">
        <f>INDEX(Table5[[#All],[Rnd]],MATCH(Table3[[#This Row],[PID]],Table5[[#All],[PID]],0))</f>
        <v/>
      </c>
      <c r="BJ235" s="45" t="str">
        <f>INDEX(Table5[[#All],[Pick]],MATCH(Table3[[#This Row],[PID]],Table5[[#All],[PID]],0))</f>
        <v/>
      </c>
      <c r="BK235" s="45" t="str">
        <f>INDEX(Table5[[#All],[Team]],MATCH(Table3[[#This Row],[PID]],Table5[[#All],[PID]],0))</f>
        <v/>
      </c>
      <c r="BL235" s="45" t="str">
        <f>IF(OR(Table3[[#This Row],[POS]]="SP",Table3[[#This Row],[POS]]="RP",Table3[[#This Row],[POS]]="CL"),"P",INDEX(Batters[[#All],[zScore]],MATCH(Table3[[#This Row],[PID]],Batters[[#All],[PID]],0)))</f>
        <v>P</v>
      </c>
    </row>
    <row r="236" spans="1:64" ht="15" customHeight="1" x14ac:dyDescent="0.3">
      <c r="A236" s="40">
        <v>12823</v>
      </c>
      <c r="B236" s="40" t="s">
        <v>380</v>
      </c>
      <c r="C236" s="40" t="s">
        <v>1413</v>
      </c>
      <c r="D236" s="40" t="s">
        <v>596</v>
      </c>
      <c r="E236" s="40">
        <v>21</v>
      </c>
      <c r="F236" s="40" t="s">
        <v>42</v>
      </c>
      <c r="G236" s="40" t="s">
        <v>42</v>
      </c>
      <c r="H236" s="41" t="s">
        <v>561</v>
      </c>
      <c r="I236" s="42" t="s">
        <v>43</v>
      </c>
      <c r="J236" s="40" t="s">
        <v>47</v>
      </c>
      <c r="K236" s="41" t="s">
        <v>47</v>
      </c>
      <c r="L236" s="40">
        <v>2</v>
      </c>
      <c r="M236" s="40">
        <v>2</v>
      </c>
      <c r="N236" s="41">
        <v>1</v>
      </c>
      <c r="O236" s="40">
        <v>4</v>
      </c>
      <c r="P236" s="40">
        <v>2</v>
      </c>
      <c r="Q236" s="41">
        <v>2</v>
      </c>
      <c r="R236" s="40" t="s">
        <v>45</v>
      </c>
      <c r="S236" s="40" t="s">
        <v>45</v>
      </c>
      <c r="T236" s="40" t="s">
        <v>45</v>
      </c>
      <c r="U236" s="40" t="s">
        <v>45</v>
      </c>
      <c r="V236" s="40">
        <v>2</v>
      </c>
      <c r="W236" s="40">
        <v>4</v>
      </c>
      <c r="X236" s="40">
        <v>3</v>
      </c>
      <c r="Y236" s="40">
        <v>4</v>
      </c>
      <c r="Z236" s="40" t="s">
        <v>45</v>
      </c>
      <c r="AA236" s="40" t="s">
        <v>45</v>
      </c>
      <c r="AB236" s="40" t="s">
        <v>45</v>
      </c>
      <c r="AC236" s="40" t="s">
        <v>45</v>
      </c>
      <c r="AD236" s="40">
        <v>3</v>
      </c>
      <c r="AE236" s="40">
        <v>4</v>
      </c>
      <c r="AF236" s="40" t="s">
        <v>45</v>
      </c>
      <c r="AG236" s="40" t="s">
        <v>45</v>
      </c>
      <c r="AH236" s="40">
        <v>2</v>
      </c>
      <c r="AI236" s="40">
        <v>4</v>
      </c>
      <c r="AJ236" s="40" t="s">
        <v>45</v>
      </c>
      <c r="AK236" s="40" t="s">
        <v>45</v>
      </c>
      <c r="AL236" s="40" t="s">
        <v>45</v>
      </c>
      <c r="AM236" s="40" t="s">
        <v>45</v>
      </c>
      <c r="AN236" s="40" t="s">
        <v>45</v>
      </c>
      <c r="AO236" s="41" t="s">
        <v>45</v>
      </c>
      <c r="AP236" s="40" t="s">
        <v>56</v>
      </c>
      <c r="AQ236" s="40">
        <v>7</v>
      </c>
      <c r="AR236" s="48" t="s">
        <v>326</v>
      </c>
      <c r="AS236" s="43" t="s">
        <v>557</v>
      </c>
      <c r="AT236" s="43" t="s">
        <v>103</v>
      </c>
      <c r="AU236" s="44">
        <f t="shared" si="31"/>
        <v>-2.311361197028369</v>
      </c>
      <c r="AV236" s="44">
        <f t="shared" si="32"/>
        <v>-1.23416323121884</v>
      </c>
      <c r="AW236" s="45">
        <f t="shared" si="33"/>
        <v>4</v>
      </c>
      <c r="AX236" s="45">
        <f t="shared" si="34"/>
        <v>0</v>
      </c>
      <c r="AY236" s="46">
        <f>VLOOKUP(AP236,COND!$A$10:$B$32,2,FALSE)</f>
        <v>1</v>
      </c>
      <c r="AZ236" s="44">
        <f>($AU$3*AU236+$AV$3*AV236+$AW$3*AW236+$AX$3*AX236)*AY236*IF(AQ236&lt;5,0.95,IF(AQ236&lt;7,0.975,1))+$I$3*VLOOKUP(I236,COND!$A$2:$E$7,4,FALSE)+$J$3*VLOOKUP(J236,COND!$A$2:$E$7,2,FALSE)+$K$3*VLOOKUP(K236,COND!$A$2:$E$7,3,FALSE)+IF(BB236="SP",$BB$3,0)+IF($AW236&lt;3,-5,0)+IF(AND($B$2&gt;0,$E236&lt;20),$B$2*25,0)</f>
        <v>24.454463136217527</v>
      </c>
      <c r="BA236" s="47">
        <f t="shared" si="37"/>
        <v>-0.95047998075805851</v>
      </c>
      <c r="BB236" s="45" t="str">
        <f t="shared" si="35"/>
        <v>SP</v>
      </c>
      <c r="BC236" s="45">
        <v>900</v>
      </c>
      <c r="BD236" s="45">
        <v>231</v>
      </c>
      <c r="BE236" s="45"/>
      <c r="BF236" s="45" t="str">
        <f t="shared" si="36"/>
        <v>Unlikely</v>
      </c>
      <c r="BG236" s="45"/>
      <c r="BH236" s="45">
        <f>INDEX(Table5[[#All],[Ovr]],MATCH(Table3[[#This Row],[PID]],Table5[[#All],[PID]],0))</f>
        <v>441</v>
      </c>
      <c r="BI236" s="45" t="str">
        <f>INDEX(Table5[[#All],[Rnd]],MATCH(Table3[[#This Row],[PID]],Table5[[#All],[PID]],0))</f>
        <v>14</v>
      </c>
      <c r="BJ236" s="45">
        <f>INDEX(Table5[[#All],[Pick]],MATCH(Table3[[#This Row],[PID]],Table5[[#All],[PID]],0))</f>
        <v>8</v>
      </c>
      <c r="BK236" s="45" t="str">
        <f>INDEX(Table5[[#All],[Team]],MATCH(Table3[[#This Row],[PID]],Table5[[#All],[PID]],0))</f>
        <v>Gloucester Fishermen</v>
      </c>
      <c r="BL236" s="45" t="str">
        <f>IF(OR(Table3[[#This Row],[POS]]="SP",Table3[[#This Row],[POS]]="RP",Table3[[#This Row],[POS]]="CL"),"P",INDEX(Batters[[#All],[zScore]],MATCH(Table3[[#This Row],[PID]],Batters[[#All],[PID]],0)))</f>
        <v>P</v>
      </c>
    </row>
    <row r="237" spans="1:64" ht="15" customHeight="1" x14ac:dyDescent="0.3">
      <c r="A237" s="40">
        <v>6480</v>
      </c>
      <c r="B237" s="40" t="s">
        <v>24</v>
      </c>
      <c r="C237" s="40" t="s">
        <v>156</v>
      </c>
      <c r="D237" s="40" t="s">
        <v>604</v>
      </c>
      <c r="E237" s="40">
        <v>21</v>
      </c>
      <c r="F237" s="40" t="s">
        <v>42</v>
      </c>
      <c r="G237" s="40" t="s">
        <v>42</v>
      </c>
      <c r="H237" s="41" t="s">
        <v>561</v>
      </c>
      <c r="I237" s="42" t="s">
        <v>43</v>
      </c>
      <c r="J237" s="40" t="s">
        <v>47</v>
      </c>
      <c r="K237" s="41" t="s">
        <v>43</v>
      </c>
      <c r="L237" s="40">
        <v>2</v>
      </c>
      <c r="M237" s="40">
        <v>2</v>
      </c>
      <c r="N237" s="41">
        <v>1</v>
      </c>
      <c r="O237" s="40">
        <v>4</v>
      </c>
      <c r="P237" s="40">
        <v>2</v>
      </c>
      <c r="Q237" s="41">
        <v>2</v>
      </c>
      <c r="R237" s="40">
        <v>4</v>
      </c>
      <c r="S237" s="40">
        <v>5</v>
      </c>
      <c r="T237" s="40">
        <v>2</v>
      </c>
      <c r="U237" s="40">
        <v>5</v>
      </c>
      <c r="V237" s="40">
        <v>2</v>
      </c>
      <c r="W237" s="40">
        <v>5</v>
      </c>
      <c r="X237" s="40">
        <v>2</v>
      </c>
      <c r="Y237" s="40">
        <v>4</v>
      </c>
      <c r="Z237" s="40" t="s">
        <v>45</v>
      </c>
      <c r="AA237" s="40" t="s">
        <v>45</v>
      </c>
      <c r="AB237" s="40">
        <v>3</v>
      </c>
      <c r="AC237" s="40">
        <v>4</v>
      </c>
      <c r="AD237" s="40" t="s">
        <v>45</v>
      </c>
      <c r="AE237" s="40" t="s">
        <v>45</v>
      </c>
      <c r="AF237" s="40">
        <v>3</v>
      </c>
      <c r="AG237" s="40">
        <v>4</v>
      </c>
      <c r="AH237" s="40" t="s">
        <v>45</v>
      </c>
      <c r="AI237" s="40" t="s">
        <v>45</v>
      </c>
      <c r="AJ237" s="40" t="s">
        <v>45</v>
      </c>
      <c r="AK237" s="40" t="s">
        <v>45</v>
      </c>
      <c r="AL237" s="40" t="s">
        <v>45</v>
      </c>
      <c r="AM237" s="40" t="s">
        <v>45</v>
      </c>
      <c r="AN237" s="40" t="s">
        <v>45</v>
      </c>
      <c r="AO237" s="41" t="s">
        <v>45</v>
      </c>
      <c r="AP237" s="40" t="s">
        <v>329</v>
      </c>
      <c r="AQ237" s="40">
        <v>7</v>
      </c>
      <c r="AR237" s="48" t="s">
        <v>326</v>
      </c>
      <c r="AS237" s="43" t="s">
        <v>45</v>
      </c>
      <c r="AT237" s="43" t="s">
        <v>103</v>
      </c>
      <c r="AU237" s="44">
        <f t="shared" si="31"/>
        <v>-2.311361197028369</v>
      </c>
      <c r="AV237" s="44">
        <f t="shared" si="32"/>
        <v>-1.23416323121884</v>
      </c>
      <c r="AW237" s="45">
        <f t="shared" si="33"/>
        <v>6</v>
      </c>
      <c r="AX237" s="45">
        <f t="shared" si="34"/>
        <v>0</v>
      </c>
      <c r="AY237" s="46">
        <f>VLOOKUP(AP237,COND!$A$10:$B$32,2,FALSE)</f>
        <v>1</v>
      </c>
      <c r="AZ237" s="44">
        <f>($AU$3*AU237+$AV$3*AV237+$AW$3*AW237+$AX$3*AX237)*AY237*IF(AQ237&lt;5,0.95,IF(AQ237&lt;7,0.975,1))+$I$3*VLOOKUP(I237,COND!$A$2:$E$7,4,FALSE)+$J$3*VLOOKUP(J237,COND!$A$2:$E$7,2,FALSE)+$K$3*VLOOKUP(K237,COND!$A$2:$E$7,3,FALSE)+IF(BB237="SP",$BB$3,0)+IF($AW237&lt;3,-5,0)+IF(AND($B$2&gt;0,$E237&lt;20),$B$2*25,0)</f>
        <v>25.154463136217526</v>
      </c>
      <c r="BA237" s="47">
        <f t="shared" si="37"/>
        <v>-0.90063505774697572</v>
      </c>
      <c r="BB237" s="45" t="str">
        <f t="shared" si="35"/>
        <v>SP</v>
      </c>
      <c r="BC237" s="45">
        <v>900</v>
      </c>
      <c r="BD237" s="45">
        <v>232</v>
      </c>
      <c r="BE237" s="45"/>
      <c r="BF237" s="45" t="str">
        <f t="shared" si="36"/>
        <v>Unlikely</v>
      </c>
      <c r="BG237" s="45"/>
      <c r="BH237" s="45">
        <f>INDEX(Table5[[#All],[Ovr]],MATCH(Table3[[#This Row],[PID]],Table5[[#All],[PID]],0))</f>
        <v>345</v>
      </c>
      <c r="BI237" s="45" t="str">
        <f>INDEX(Table5[[#All],[Rnd]],MATCH(Table3[[#This Row],[PID]],Table5[[#All],[PID]],0))</f>
        <v>11</v>
      </c>
      <c r="BJ237" s="45">
        <f>INDEX(Table5[[#All],[Pick]],MATCH(Table3[[#This Row],[PID]],Table5[[#All],[PID]],0))</f>
        <v>14</v>
      </c>
      <c r="BK237" s="45" t="str">
        <f>INDEX(Table5[[#All],[Team]],MATCH(Table3[[#This Row],[PID]],Table5[[#All],[PID]],0))</f>
        <v>San Antonio Calzones of Laredo</v>
      </c>
      <c r="BL237" s="45" t="str">
        <f>IF(OR(Table3[[#This Row],[POS]]="SP",Table3[[#This Row],[POS]]="RP",Table3[[#This Row],[POS]]="CL"),"P",INDEX(Batters[[#All],[zScore]],MATCH(Table3[[#This Row],[PID]],Batters[[#All],[PID]],0)))</f>
        <v>P</v>
      </c>
    </row>
    <row r="238" spans="1:64" ht="15" customHeight="1" x14ac:dyDescent="0.3">
      <c r="A238" s="40">
        <v>20274</v>
      </c>
      <c r="B238" s="40" t="s">
        <v>380</v>
      </c>
      <c r="C238" s="40" t="s">
        <v>1604</v>
      </c>
      <c r="D238" s="40" t="s">
        <v>926</v>
      </c>
      <c r="E238" s="40">
        <v>21</v>
      </c>
      <c r="F238" s="40" t="s">
        <v>42</v>
      </c>
      <c r="G238" s="40" t="s">
        <v>42</v>
      </c>
      <c r="H238" s="41" t="s">
        <v>561</v>
      </c>
      <c r="I238" s="42" t="s">
        <v>43</v>
      </c>
      <c r="J238" s="40" t="s">
        <v>47</v>
      </c>
      <c r="K238" s="41" t="s">
        <v>43</v>
      </c>
      <c r="L238" s="40">
        <v>3</v>
      </c>
      <c r="M238" s="40">
        <v>1</v>
      </c>
      <c r="N238" s="41">
        <v>1</v>
      </c>
      <c r="O238" s="40">
        <v>4</v>
      </c>
      <c r="P238" s="40">
        <v>1</v>
      </c>
      <c r="Q238" s="41">
        <v>3</v>
      </c>
      <c r="R238" s="40">
        <v>5</v>
      </c>
      <c r="S238" s="40">
        <v>6</v>
      </c>
      <c r="T238" s="40">
        <v>3</v>
      </c>
      <c r="U238" s="40">
        <v>5</v>
      </c>
      <c r="V238" s="40" t="s">
        <v>45</v>
      </c>
      <c r="W238" s="40" t="s">
        <v>45</v>
      </c>
      <c r="X238" s="40">
        <v>2</v>
      </c>
      <c r="Y238" s="40">
        <v>3</v>
      </c>
      <c r="Z238" s="40" t="s">
        <v>45</v>
      </c>
      <c r="AA238" s="40" t="s">
        <v>45</v>
      </c>
      <c r="AB238" s="40" t="s">
        <v>45</v>
      </c>
      <c r="AC238" s="40" t="s">
        <v>45</v>
      </c>
      <c r="AD238" s="40" t="s">
        <v>45</v>
      </c>
      <c r="AE238" s="40" t="s">
        <v>45</v>
      </c>
      <c r="AF238" s="40" t="s">
        <v>45</v>
      </c>
      <c r="AG238" s="40" t="s">
        <v>45</v>
      </c>
      <c r="AH238" s="40" t="s">
        <v>45</v>
      </c>
      <c r="AI238" s="40" t="s">
        <v>45</v>
      </c>
      <c r="AJ238" s="40" t="s">
        <v>45</v>
      </c>
      <c r="AK238" s="40" t="s">
        <v>45</v>
      </c>
      <c r="AL238" s="40" t="s">
        <v>45</v>
      </c>
      <c r="AM238" s="40" t="s">
        <v>45</v>
      </c>
      <c r="AN238" s="40" t="s">
        <v>45</v>
      </c>
      <c r="AO238" s="41" t="s">
        <v>45</v>
      </c>
      <c r="AP238" s="40" t="s">
        <v>56</v>
      </c>
      <c r="AQ238" s="40">
        <v>4</v>
      </c>
      <c r="AR238" s="48" t="s">
        <v>14</v>
      </c>
      <c r="AS238" s="43" t="s">
        <v>45</v>
      </c>
      <c r="AT238" s="43" t="s">
        <v>103</v>
      </c>
      <c r="AU238" s="44">
        <f t="shared" si="31"/>
        <v>-2.3121015889492513</v>
      </c>
      <c r="AV238" s="44">
        <f t="shared" si="32"/>
        <v>-1.1872743815947853</v>
      </c>
      <c r="AW238" s="45">
        <f t="shared" si="33"/>
        <v>3</v>
      </c>
      <c r="AX238" s="45">
        <f t="shared" si="34"/>
        <v>1</v>
      </c>
      <c r="AY238" s="46">
        <f>VLOOKUP(AP238,COND!$A$10:$B$32,2,FALSE)</f>
        <v>1</v>
      </c>
      <c r="AZ238" s="44">
        <f>($AU$3*AU238+$AV$3*AV238+$AW$3*AW238+$AX$3*AX238)*AY238*IF(AQ238&lt;5,0.95,IF(AQ238&lt;7,0.975,1))+$I$3*VLOOKUP(I238,COND!$A$2:$E$7,4,FALSE)+$J$3*VLOOKUP(J238,COND!$A$2:$E$7,2,FALSE)+$K$3*VLOOKUP(K238,COND!$A$2:$E$7,3,FALSE)+IF(BB238="SP",$BB$3,0)+IF($AW238&lt;3,-5,0)+IF(AND($B$2&gt;0,$E238&lt;20),$B$2*25,0)</f>
        <v>24.914987447798723</v>
      </c>
      <c r="BA238" s="47">
        <f>STANDARDIZE(AZ238,AVERAGE($AZ$5:$AZ$455),STDEVP($AZ$5:$AZ$455))</f>
        <v>-0.91064074090798475</v>
      </c>
      <c r="BB238" s="45" t="str">
        <f t="shared" si="35"/>
        <v>RP</v>
      </c>
      <c r="BC238" s="45">
        <v>900</v>
      </c>
      <c r="BD238" s="45">
        <v>233</v>
      </c>
      <c r="BE238" s="45"/>
      <c r="BF238" s="45" t="str">
        <f t="shared" si="36"/>
        <v>Unlikely</v>
      </c>
      <c r="BG238" s="45"/>
      <c r="BH238" s="63" t="str">
        <f>INDEX(Table5[[#All],[Ovr]],MATCH(Table3[[#This Row],[PID]],Table5[[#All],[PID]],0))</f>
        <v/>
      </c>
      <c r="BI238" s="63" t="str">
        <f>INDEX(Table5[[#All],[Rnd]],MATCH(Table3[[#This Row],[PID]],Table5[[#All],[PID]],0))</f>
        <v/>
      </c>
      <c r="BJ238" s="63" t="str">
        <f>INDEX(Table5[[#All],[Pick]],MATCH(Table3[[#This Row],[PID]],Table5[[#All],[PID]],0))</f>
        <v/>
      </c>
      <c r="BK238" s="63" t="str">
        <f>INDEX(Table5[[#All],[Team]],MATCH(Table3[[#This Row],[PID]],Table5[[#All],[PID]],0))</f>
        <v/>
      </c>
      <c r="BL238" s="63" t="str">
        <f>IF(OR(Table3[[#This Row],[POS]]="SP",Table3[[#This Row],[POS]]="RP",Table3[[#This Row],[POS]]="CL"),"P",INDEX(Batters[[#All],[zScore]],MATCH(Table3[[#This Row],[PID]],Batters[[#All],[PID]],0)))</f>
        <v>P</v>
      </c>
    </row>
    <row r="239" spans="1:64" ht="15" customHeight="1" x14ac:dyDescent="0.3">
      <c r="A239" s="40">
        <v>9717</v>
      </c>
      <c r="B239" s="40" t="s">
        <v>380</v>
      </c>
      <c r="C239" s="40" t="s">
        <v>672</v>
      </c>
      <c r="D239" s="40" t="s">
        <v>972</v>
      </c>
      <c r="E239" s="40">
        <v>22</v>
      </c>
      <c r="F239" s="40" t="s">
        <v>42</v>
      </c>
      <c r="G239" s="40" t="s">
        <v>42</v>
      </c>
      <c r="H239" s="41" t="s">
        <v>561</v>
      </c>
      <c r="I239" s="42" t="s">
        <v>44</v>
      </c>
      <c r="J239" s="40" t="s">
        <v>43</v>
      </c>
      <c r="K239" s="41" t="s">
        <v>43</v>
      </c>
      <c r="L239" s="40">
        <v>2</v>
      </c>
      <c r="M239" s="40">
        <v>2</v>
      </c>
      <c r="N239" s="41">
        <v>1</v>
      </c>
      <c r="O239" s="40">
        <v>3</v>
      </c>
      <c r="P239" s="40">
        <v>2</v>
      </c>
      <c r="Q239" s="41">
        <v>3</v>
      </c>
      <c r="R239" s="40">
        <v>3</v>
      </c>
      <c r="S239" s="40">
        <v>4</v>
      </c>
      <c r="T239" s="40">
        <v>1</v>
      </c>
      <c r="U239" s="40">
        <v>1</v>
      </c>
      <c r="V239" s="40">
        <v>2</v>
      </c>
      <c r="W239" s="40">
        <v>4</v>
      </c>
      <c r="X239" s="40">
        <v>2</v>
      </c>
      <c r="Y239" s="40">
        <v>3</v>
      </c>
      <c r="Z239" s="40" t="s">
        <v>45</v>
      </c>
      <c r="AA239" s="40" t="s">
        <v>45</v>
      </c>
      <c r="AB239" s="40" t="s">
        <v>45</v>
      </c>
      <c r="AC239" s="40" t="s">
        <v>45</v>
      </c>
      <c r="AD239" s="40" t="s">
        <v>45</v>
      </c>
      <c r="AE239" s="40" t="s">
        <v>45</v>
      </c>
      <c r="AF239" s="40">
        <v>3</v>
      </c>
      <c r="AG239" s="40">
        <v>4</v>
      </c>
      <c r="AH239" s="40" t="s">
        <v>45</v>
      </c>
      <c r="AI239" s="40" t="s">
        <v>45</v>
      </c>
      <c r="AJ239" s="40" t="s">
        <v>45</v>
      </c>
      <c r="AK239" s="40" t="s">
        <v>45</v>
      </c>
      <c r="AL239" s="40" t="s">
        <v>45</v>
      </c>
      <c r="AM239" s="40" t="s">
        <v>45</v>
      </c>
      <c r="AN239" s="40" t="s">
        <v>45</v>
      </c>
      <c r="AO239" s="41" t="s">
        <v>45</v>
      </c>
      <c r="AP239" s="40" t="s">
        <v>329</v>
      </c>
      <c r="AQ239" s="40">
        <v>6</v>
      </c>
      <c r="AR239" s="48" t="s">
        <v>14</v>
      </c>
      <c r="AS239" s="43" t="s">
        <v>45</v>
      </c>
      <c r="AT239" s="43" t="s">
        <v>103</v>
      </c>
      <c r="AU239" s="44">
        <f t="shared" si="31"/>
        <v>-2.311361197028369</v>
      </c>
      <c r="AV239" s="44">
        <f t="shared" si="32"/>
        <v>-1.1865339896739031</v>
      </c>
      <c r="AW239" s="45">
        <f t="shared" si="33"/>
        <v>5</v>
      </c>
      <c r="AX239" s="45">
        <f t="shared" si="34"/>
        <v>0</v>
      </c>
      <c r="AY239" s="46">
        <f>VLOOKUP(AP239,COND!$A$10:$B$32,2,FALSE)</f>
        <v>1</v>
      </c>
      <c r="AZ239" s="44">
        <f>($AU$3*AU239+$AV$3*AV239+$AW$3*AW239+$AX$3*AX239)*AY239*IF(AQ239&lt;5,0.95,IF(AQ239&lt;7,0.975,1))+$I$3*VLOOKUP(I239,COND!$A$2:$E$7,4,FALSE)+$J$3*VLOOKUP(J239,COND!$A$2:$E$7,2,FALSE)+$K$3*VLOOKUP(K239,COND!$A$2:$E$7,3,FALSE)+IF(BB239="SP",$BB$3,0)+IF($AW239&lt;3,-5,0)+IF(AND($B$2&gt;0,$E239&lt;20),$B$2*25,0)</f>
        <v>25.699371767938359</v>
      </c>
      <c r="BA239" s="47">
        <f>STANDARDIZE(AZ239,AVERAGE($AZ$5:$AZ$428),STDEVP($AZ$5:$AZ$428))</f>
        <v>-0.86183373089526227</v>
      </c>
      <c r="BB239" s="45" t="str">
        <f t="shared" si="35"/>
        <v>SP</v>
      </c>
      <c r="BC239" s="45">
        <v>900</v>
      </c>
      <c r="BD239" s="45">
        <v>234</v>
      </c>
      <c r="BE239" s="45"/>
      <c r="BF239" s="45" t="str">
        <f t="shared" si="36"/>
        <v>Unlikely</v>
      </c>
      <c r="BG239" s="45"/>
      <c r="BH239" s="45">
        <f>INDEX(Table5[[#All],[Ovr]],MATCH(Table3[[#This Row],[PID]],Table5[[#All],[PID]],0))</f>
        <v>644</v>
      </c>
      <c r="BI239" s="45" t="str">
        <f>INDEX(Table5[[#All],[Rnd]],MATCH(Table3[[#This Row],[PID]],Table5[[#All],[PID]],0))</f>
        <v>20</v>
      </c>
      <c r="BJ239" s="45">
        <f>INDEX(Table5[[#All],[Pick]],MATCH(Table3[[#This Row],[PID]],Table5[[#All],[PID]],0))</f>
        <v>7</v>
      </c>
      <c r="BK239" s="45" t="str">
        <f>INDEX(Table5[[#All],[Team]],MATCH(Table3[[#This Row],[PID]],Table5[[#All],[PID]],0))</f>
        <v>Hartford Harpoon</v>
      </c>
      <c r="BL239" s="45" t="str">
        <f>IF(OR(Table3[[#This Row],[POS]]="SP",Table3[[#This Row],[POS]]="RP",Table3[[#This Row],[POS]]="CL"),"P",INDEX(Batters[[#All],[zScore]],MATCH(Table3[[#This Row],[PID]],Batters[[#All],[PID]],0)))</f>
        <v>P</v>
      </c>
    </row>
    <row r="240" spans="1:64" ht="15" customHeight="1" x14ac:dyDescent="0.3">
      <c r="A240" s="40">
        <v>11046</v>
      </c>
      <c r="B240" s="40" t="s">
        <v>380</v>
      </c>
      <c r="C240" s="40" t="s">
        <v>564</v>
      </c>
      <c r="D240" s="40" t="s">
        <v>1241</v>
      </c>
      <c r="E240" s="40">
        <v>21</v>
      </c>
      <c r="F240" s="40" t="s">
        <v>42</v>
      </c>
      <c r="G240" s="40" t="s">
        <v>42</v>
      </c>
      <c r="H240" s="41" t="s">
        <v>561</v>
      </c>
      <c r="I240" s="42" t="s">
        <v>43</v>
      </c>
      <c r="J240" s="40" t="s">
        <v>47</v>
      </c>
      <c r="K240" s="41" t="s">
        <v>43</v>
      </c>
      <c r="L240" s="40">
        <v>2</v>
      </c>
      <c r="M240" s="40">
        <v>2</v>
      </c>
      <c r="N240" s="41">
        <v>2</v>
      </c>
      <c r="O240" s="40">
        <v>3</v>
      </c>
      <c r="P240" s="40">
        <v>2</v>
      </c>
      <c r="Q240" s="41">
        <v>3</v>
      </c>
      <c r="R240" s="40">
        <v>3</v>
      </c>
      <c r="S240" s="40">
        <v>3</v>
      </c>
      <c r="T240" s="40">
        <v>2</v>
      </c>
      <c r="U240" s="40">
        <v>3</v>
      </c>
      <c r="V240" s="40" t="s">
        <v>45</v>
      </c>
      <c r="W240" s="40" t="s">
        <v>45</v>
      </c>
      <c r="X240" s="40">
        <v>2</v>
      </c>
      <c r="Y240" s="40">
        <v>4</v>
      </c>
      <c r="Z240" s="40" t="s">
        <v>45</v>
      </c>
      <c r="AA240" s="40" t="s">
        <v>45</v>
      </c>
      <c r="AB240" s="40" t="s">
        <v>45</v>
      </c>
      <c r="AC240" s="40" t="s">
        <v>45</v>
      </c>
      <c r="AD240" s="40" t="s">
        <v>45</v>
      </c>
      <c r="AE240" s="40" t="s">
        <v>45</v>
      </c>
      <c r="AF240" s="40" t="s">
        <v>45</v>
      </c>
      <c r="AG240" s="40" t="s">
        <v>45</v>
      </c>
      <c r="AH240" s="40" t="s">
        <v>45</v>
      </c>
      <c r="AI240" s="40" t="s">
        <v>45</v>
      </c>
      <c r="AJ240" s="40" t="s">
        <v>45</v>
      </c>
      <c r="AK240" s="40" t="s">
        <v>45</v>
      </c>
      <c r="AL240" s="40" t="s">
        <v>45</v>
      </c>
      <c r="AM240" s="40" t="s">
        <v>45</v>
      </c>
      <c r="AN240" s="40" t="s">
        <v>45</v>
      </c>
      <c r="AO240" s="41" t="s">
        <v>45</v>
      </c>
      <c r="AP240" s="40" t="s">
        <v>65</v>
      </c>
      <c r="AQ240" s="40">
        <v>4</v>
      </c>
      <c r="AR240" s="48" t="s">
        <v>326</v>
      </c>
      <c r="AS240" s="43" t="s">
        <v>45</v>
      </c>
      <c r="AT240" s="43" t="s">
        <v>103</v>
      </c>
      <c r="AU240" s="44">
        <f t="shared" si="31"/>
        <v>-2.0690406309742588</v>
      </c>
      <c r="AV240" s="44">
        <f t="shared" si="32"/>
        <v>-1.1865339896739031</v>
      </c>
      <c r="AW240" s="45">
        <f t="shared" si="33"/>
        <v>3</v>
      </c>
      <c r="AX240" s="45">
        <f t="shared" si="34"/>
        <v>0</v>
      </c>
      <c r="AY240" s="46">
        <f>VLOOKUP(AP240,COND!$A$10:$B$32,2,FALSE)</f>
        <v>0.95</v>
      </c>
      <c r="AZ240" s="44">
        <f>($AU$3*AU240+$AV$3*AV240+$AW$3*AW240+$AX$3*AX240)*AY240*IF(AQ240&lt;5,0.95,IF(AQ240&lt;7,0.975,1))+$I$3*VLOOKUP(I240,COND!$A$2:$E$7,4,FALSE)+$J$3*VLOOKUP(J240,COND!$A$2:$E$7,2,FALSE)+$K$3*VLOOKUP(K240,COND!$A$2:$E$7,3,FALSE)+IF(BB240="SP",$BB$3,0)+IF($AW240&lt;3,-5,0)+IF(AND($B$2&gt;0,$E240&lt;20),$B$2*25,0)</f>
        <v>24.863349652495199</v>
      </c>
      <c r="BA240" s="47">
        <f>STANDARDIZE(AZ240,AVERAGE($AZ$5:$AZ$445),STDEVP($AZ$5:$AZ$445))</f>
        <v>-0.91431444133125273</v>
      </c>
      <c r="BB240" s="45" t="str">
        <f t="shared" si="35"/>
        <v>RP</v>
      </c>
      <c r="BC240" s="45">
        <v>900</v>
      </c>
      <c r="BD240" s="45">
        <v>235</v>
      </c>
      <c r="BE240" s="45"/>
      <c r="BF240" s="45" t="str">
        <f t="shared" si="36"/>
        <v>Unlikely</v>
      </c>
      <c r="BG240" s="45"/>
      <c r="BH240" s="63" t="str">
        <f>INDEX(Table5[[#All],[Ovr]],MATCH(Table3[[#This Row],[PID]],Table5[[#All],[PID]],0))</f>
        <v/>
      </c>
      <c r="BI240" s="63" t="str">
        <f>INDEX(Table5[[#All],[Rnd]],MATCH(Table3[[#This Row],[PID]],Table5[[#All],[PID]],0))</f>
        <v/>
      </c>
      <c r="BJ240" s="63" t="str">
        <f>INDEX(Table5[[#All],[Pick]],MATCH(Table3[[#This Row],[PID]],Table5[[#All],[PID]],0))</f>
        <v/>
      </c>
      <c r="BK240" s="63" t="str">
        <f>INDEX(Table5[[#All],[Team]],MATCH(Table3[[#This Row],[PID]],Table5[[#All],[PID]],0))</f>
        <v/>
      </c>
      <c r="BL240" s="63" t="str">
        <f>IF(OR(Table3[[#This Row],[POS]]="SP",Table3[[#This Row],[POS]]="RP",Table3[[#This Row],[POS]]="CL"),"P",INDEX(Batters[[#All],[zScore]],MATCH(Table3[[#This Row],[PID]],Batters[[#All],[PID]],0)))</f>
        <v>P</v>
      </c>
    </row>
    <row r="241" spans="1:64" ht="15" customHeight="1" x14ac:dyDescent="0.3">
      <c r="A241" s="40">
        <v>21009</v>
      </c>
      <c r="B241" s="40" t="s">
        <v>380</v>
      </c>
      <c r="C241" s="40" t="s">
        <v>986</v>
      </c>
      <c r="D241" s="40" t="s">
        <v>1397</v>
      </c>
      <c r="E241" s="40">
        <v>17</v>
      </c>
      <c r="F241" s="40" t="s">
        <v>42</v>
      </c>
      <c r="G241" s="40" t="s">
        <v>42</v>
      </c>
      <c r="H241" s="41" t="s">
        <v>561</v>
      </c>
      <c r="I241" s="42" t="s">
        <v>47</v>
      </c>
      <c r="J241" s="40" t="s">
        <v>43</v>
      </c>
      <c r="K241" s="41" t="s">
        <v>43</v>
      </c>
      <c r="L241" s="40">
        <v>1</v>
      </c>
      <c r="M241" s="40">
        <v>1</v>
      </c>
      <c r="N241" s="41">
        <v>1</v>
      </c>
      <c r="O241" s="40">
        <v>4</v>
      </c>
      <c r="P241" s="40">
        <v>1</v>
      </c>
      <c r="Q241" s="41">
        <v>3</v>
      </c>
      <c r="R241" s="40">
        <v>2</v>
      </c>
      <c r="S241" s="40">
        <v>4</v>
      </c>
      <c r="T241" s="40" t="s">
        <v>45</v>
      </c>
      <c r="U241" s="40" t="s">
        <v>45</v>
      </c>
      <c r="V241" s="40">
        <v>1</v>
      </c>
      <c r="W241" s="40">
        <v>6</v>
      </c>
      <c r="X241" s="40" t="s">
        <v>45</v>
      </c>
      <c r="Y241" s="40" t="s">
        <v>45</v>
      </c>
      <c r="Z241" s="40" t="s">
        <v>45</v>
      </c>
      <c r="AA241" s="40" t="s">
        <v>45</v>
      </c>
      <c r="AB241" s="40" t="s">
        <v>45</v>
      </c>
      <c r="AC241" s="40" t="s">
        <v>45</v>
      </c>
      <c r="AD241" s="40" t="s">
        <v>45</v>
      </c>
      <c r="AE241" s="40" t="s">
        <v>45</v>
      </c>
      <c r="AF241" s="40" t="s">
        <v>45</v>
      </c>
      <c r="AG241" s="40" t="s">
        <v>45</v>
      </c>
      <c r="AH241" s="40" t="s">
        <v>45</v>
      </c>
      <c r="AI241" s="40" t="s">
        <v>45</v>
      </c>
      <c r="AJ241" s="40" t="s">
        <v>45</v>
      </c>
      <c r="AK241" s="40" t="s">
        <v>45</v>
      </c>
      <c r="AL241" s="40" t="s">
        <v>45</v>
      </c>
      <c r="AM241" s="40" t="s">
        <v>45</v>
      </c>
      <c r="AN241" s="40" t="s">
        <v>45</v>
      </c>
      <c r="AO241" s="41" t="s">
        <v>45</v>
      </c>
      <c r="AP241" s="40" t="s">
        <v>68</v>
      </c>
      <c r="AQ241" s="40">
        <v>4</v>
      </c>
      <c r="AR241" s="48" t="s">
        <v>330</v>
      </c>
      <c r="AS241" s="43" t="s">
        <v>572</v>
      </c>
      <c r="AT241" s="43" t="s">
        <v>103</v>
      </c>
      <c r="AU241" s="44">
        <f t="shared" si="31"/>
        <v>-2.7014842379675978</v>
      </c>
      <c r="AV241" s="44">
        <f t="shared" si="32"/>
        <v>-1.1872743815947853</v>
      </c>
      <c r="AW241" s="45">
        <f t="shared" si="33"/>
        <v>2</v>
      </c>
      <c r="AX241" s="45">
        <f t="shared" si="34"/>
        <v>1</v>
      </c>
      <c r="AY241" s="46">
        <f>VLOOKUP(AP241,COND!$A$10:$B$32,2,FALSE)</f>
        <v>0.95</v>
      </c>
      <c r="AZ241" s="44">
        <f>($AU$3*AU241+$AV$3*AV241+$AW$3*AW241+$AX$3*AX241)*AY241*IF(AQ241&lt;5,0.95,IF(AQ241&lt;7,0.975,1))+$I$3*VLOOKUP(I241,COND!$A$2:$E$7,4,FALSE)+$J$3*VLOOKUP(J241,COND!$A$2:$E$7,2,FALSE)+$K$3*VLOOKUP(K241,COND!$A$2:$E$7,3,FALSE)+IF(BB241="SP",$BB$3,0)+IF($AW241&lt;3,-5,0)+IF(AND($B$2&gt;0,$E241&lt;20),$B$2*25,0)</f>
        <v>25.337704507260973</v>
      </c>
      <c r="BA241" s="47">
        <f t="shared" ref="BA241:BA250" si="38">STANDARDIZE(AZ241,AVERAGE($AZ$5:$AZ$428),STDEVP($AZ$5:$AZ$428))</f>
        <v>-0.88758698341539588</v>
      </c>
      <c r="BB241" s="45" t="str">
        <f t="shared" si="35"/>
        <v>RP</v>
      </c>
      <c r="BC241" s="45">
        <v>900</v>
      </c>
      <c r="BD241" s="45">
        <v>236</v>
      </c>
      <c r="BE241" s="45"/>
      <c r="BF241" s="45" t="str">
        <f t="shared" si="36"/>
        <v>Unlikely</v>
      </c>
      <c r="BG241" s="45"/>
      <c r="BH241" s="45" t="str">
        <f>INDEX(Table5[[#All],[Ovr]],MATCH(Table3[[#This Row],[PID]],Table5[[#All],[PID]],0))</f>
        <v/>
      </c>
      <c r="BI241" s="45" t="str">
        <f>INDEX(Table5[[#All],[Rnd]],MATCH(Table3[[#This Row],[PID]],Table5[[#All],[PID]],0))</f>
        <v/>
      </c>
      <c r="BJ241" s="45" t="str">
        <f>INDEX(Table5[[#All],[Pick]],MATCH(Table3[[#This Row],[PID]],Table5[[#All],[PID]],0))</f>
        <v/>
      </c>
      <c r="BK241" s="45" t="str">
        <f>INDEX(Table5[[#All],[Team]],MATCH(Table3[[#This Row],[PID]],Table5[[#All],[PID]],0))</f>
        <v/>
      </c>
      <c r="BL241" s="45" t="str">
        <f>IF(OR(Table3[[#This Row],[POS]]="SP",Table3[[#This Row],[POS]]="RP",Table3[[#This Row],[POS]]="CL"),"P",INDEX(Batters[[#All],[zScore]],MATCH(Table3[[#This Row],[PID]],Batters[[#All],[PID]],0)))</f>
        <v>P</v>
      </c>
    </row>
    <row r="242" spans="1:64" ht="15" customHeight="1" x14ac:dyDescent="0.3">
      <c r="A242" s="40">
        <v>5422</v>
      </c>
      <c r="B242" s="40" t="s">
        <v>380</v>
      </c>
      <c r="C242" s="40" t="s">
        <v>133</v>
      </c>
      <c r="D242" s="40" t="s">
        <v>1440</v>
      </c>
      <c r="E242" s="40">
        <v>21</v>
      </c>
      <c r="F242" s="40" t="s">
        <v>42</v>
      </c>
      <c r="G242" s="40" t="s">
        <v>42</v>
      </c>
      <c r="H242" s="41" t="s">
        <v>561</v>
      </c>
      <c r="I242" s="42" t="s">
        <v>47</v>
      </c>
      <c r="J242" s="40" t="s">
        <v>43</v>
      </c>
      <c r="K242" s="41" t="s">
        <v>43</v>
      </c>
      <c r="L242" s="40">
        <v>2</v>
      </c>
      <c r="M242" s="40">
        <v>1</v>
      </c>
      <c r="N242" s="41">
        <v>1</v>
      </c>
      <c r="O242" s="40">
        <v>4</v>
      </c>
      <c r="P242" s="40">
        <v>1</v>
      </c>
      <c r="Q242" s="41">
        <v>3</v>
      </c>
      <c r="R242" s="40">
        <v>3</v>
      </c>
      <c r="S242" s="40">
        <v>5</v>
      </c>
      <c r="T242" s="40" t="s">
        <v>45</v>
      </c>
      <c r="U242" s="40" t="s">
        <v>45</v>
      </c>
      <c r="V242" s="40">
        <v>2</v>
      </c>
      <c r="W242" s="40">
        <v>4</v>
      </c>
      <c r="X242" s="40">
        <v>2</v>
      </c>
      <c r="Y242" s="40">
        <v>5</v>
      </c>
      <c r="Z242" s="40" t="s">
        <v>45</v>
      </c>
      <c r="AA242" s="40" t="s">
        <v>45</v>
      </c>
      <c r="AB242" s="40" t="s">
        <v>45</v>
      </c>
      <c r="AC242" s="40" t="s">
        <v>45</v>
      </c>
      <c r="AD242" s="40" t="s">
        <v>45</v>
      </c>
      <c r="AE242" s="40" t="s">
        <v>45</v>
      </c>
      <c r="AF242" s="40" t="s">
        <v>45</v>
      </c>
      <c r="AG242" s="40" t="s">
        <v>45</v>
      </c>
      <c r="AH242" s="40" t="s">
        <v>45</v>
      </c>
      <c r="AI242" s="40" t="s">
        <v>45</v>
      </c>
      <c r="AJ242" s="40" t="s">
        <v>45</v>
      </c>
      <c r="AK242" s="40" t="s">
        <v>45</v>
      </c>
      <c r="AL242" s="40" t="s">
        <v>45</v>
      </c>
      <c r="AM242" s="40" t="s">
        <v>45</v>
      </c>
      <c r="AN242" s="40" t="s">
        <v>45</v>
      </c>
      <c r="AO242" s="41" t="s">
        <v>45</v>
      </c>
      <c r="AP242" s="40" t="s">
        <v>64</v>
      </c>
      <c r="AQ242" s="40">
        <v>6</v>
      </c>
      <c r="AR242" s="48" t="s">
        <v>330</v>
      </c>
      <c r="AS242" s="43" t="s">
        <v>45</v>
      </c>
      <c r="AT242" s="43" t="s">
        <v>103</v>
      </c>
      <c r="AU242" s="44">
        <f t="shared" si="31"/>
        <v>-2.5067929134584248</v>
      </c>
      <c r="AV242" s="44">
        <f t="shared" si="32"/>
        <v>-1.1872743815947853</v>
      </c>
      <c r="AW242" s="45">
        <f t="shared" si="33"/>
        <v>3</v>
      </c>
      <c r="AX242" s="45">
        <f t="shared" si="34"/>
        <v>0</v>
      </c>
      <c r="AY242" s="46">
        <f>VLOOKUP(AP242,COND!$A$10:$B$32,2,FALSE)</f>
        <v>1</v>
      </c>
      <c r="AZ242" s="44">
        <f>($AU$3*AU242+$AV$3*AV242+$AW$3*AW242+$AX$3*AX242)*AY242*IF(AQ242&lt;5,0.95,IF(AQ242&lt;7,0.975,1))+$I$3*VLOOKUP(I242,COND!$A$2:$E$7,4,FALSE)+$J$3*VLOOKUP(J242,COND!$A$2:$E$7,2,FALSE)+$K$3*VLOOKUP(K242,COND!$A$2:$E$7,3,FALSE)+IF(BB242="SP",$BB$3,0)+IF($AW242&lt;3,-5,0)+IF(AND($B$2&gt;0,$E242&lt;20),$B$2*25,0)</f>
        <v>25.046824940777292</v>
      </c>
      <c r="BA242" s="47">
        <f t="shared" si="38"/>
        <v>-0.90829965426807624</v>
      </c>
      <c r="BB242" s="45" t="str">
        <f t="shared" si="35"/>
        <v>SP</v>
      </c>
      <c r="BC242" s="45">
        <v>900</v>
      </c>
      <c r="BD242" s="45">
        <v>237</v>
      </c>
      <c r="BE242" s="45"/>
      <c r="BF242" s="45" t="str">
        <f t="shared" si="36"/>
        <v>Unlikely</v>
      </c>
      <c r="BG242" s="45"/>
      <c r="BH242" s="45" t="str">
        <f>INDEX(Table5[[#All],[Ovr]],MATCH(Table3[[#This Row],[PID]],Table5[[#All],[PID]],0))</f>
        <v/>
      </c>
      <c r="BI242" s="45" t="str">
        <f>INDEX(Table5[[#All],[Rnd]],MATCH(Table3[[#This Row],[PID]],Table5[[#All],[PID]],0))</f>
        <v/>
      </c>
      <c r="BJ242" s="45" t="str">
        <f>INDEX(Table5[[#All],[Pick]],MATCH(Table3[[#This Row],[PID]],Table5[[#All],[PID]],0))</f>
        <v/>
      </c>
      <c r="BK242" s="45" t="str">
        <f>INDEX(Table5[[#All],[Team]],MATCH(Table3[[#This Row],[PID]],Table5[[#All],[PID]],0))</f>
        <v/>
      </c>
      <c r="BL242" s="45" t="str">
        <f>IF(OR(Table3[[#This Row],[POS]]="SP",Table3[[#This Row],[POS]]="RP",Table3[[#This Row],[POS]]="CL"),"P",INDEX(Batters[[#All],[zScore]],MATCH(Table3[[#This Row],[PID]],Batters[[#All],[PID]],0)))</f>
        <v>P</v>
      </c>
    </row>
    <row r="243" spans="1:64" ht="15" customHeight="1" x14ac:dyDescent="0.3">
      <c r="A243" s="40">
        <v>7978</v>
      </c>
      <c r="B243" s="40" t="s">
        <v>380</v>
      </c>
      <c r="C243" s="40" t="s">
        <v>611</v>
      </c>
      <c r="D243" s="40" t="s">
        <v>530</v>
      </c>
      <c r="E243" s="40">
        <v>21</v>
      </c>
      <c r="F243" s="40" t="s">
        <v>42</v>
      </c>
      <c r="G243" s="40" t="s">
        <v>42</v>
      </c>
      <c r="H243" s="41" t="s">
        <v>561</v>
      </c>
      <c r="I243" s="42" t="s">
        <v>43</v>
      </c>
      <c r="J243" s="40" t="s">
        <v>43</v>
      </c>
      <c r="K243" s="41" t="s">
        <v>43</v>
      </c>
      <c r="L243" s="40">
        <v>3</v>
      </c>
      <c r="M243" s="40">
        <v>2</v>
      </c>
      <c r="N243" s="41">
        <v>3</v>
      </c>
      <c r="O243" s="40">
        <v>3</v>
      </c>
      <c r="P243" s="40">
        <v>2</v>
      </c>
      <c r="Q243" s="41">
        <v>3</v>
      </c>
      <c r="R243" s="40" t="s">
        <v>45</v>
      </c>
      <c r="S243" s="40" t="s">
        <v>45</v>
      </c>
      <c r="T243" s="40">
        <v>4</v>
      </c>
      <c r="U243" s="40">
        <v>4</v>
      </c>
      <c r="V243" s="40">
        <v>3</v>
      </c>
      <c r="W243" s="40">
        <v>4</v>
      </c>
      <c r="X243" s="40" t="s">
        <v>45</v>
      </c>
      <c r="Y243" s="40" t="s">
        <v>45</v>
      </c>
      <c r="Z243" s="40" t="s">
        <v>45</v>
      </c>
      <c r="AA243" s="40" t="s">
        <v>45</v>
      </c>
      <c r="AB243" s="40" t="s">
        <v>45</v>
      </c>
      <c r="AC243" s="40" t="s">
        <v>45</v>
      </c>
      <c r="AD243" s="40">
        <v>4</v>
      </c>
      <c r="AE243" s="40">
        <v>4</v>
      </c>
      <c r="AF243" s="40" t="s">
        <v>45</v>
      </c>
      <c r="AG243" s="40" t="s">
        <v>45</v>
      </c>
      <c r="AH243" s="40" t="s">
        <v>45</v>
      </c>
      <c r="AI243" s="40" t="s">
        <v>45</v>
      </c>
      <c r="AJ243" s="40" t="s">
        <v>45</v>
      </c>
      <c r="AK243" s="40" t="s">
        <v>45</v>
      </c>
      <c r="AL243" s="40" t="s">
        <v>45</v>
      </c>
      <c r="AM243" s="40" t="s">
        <v>45</v>
      </c>
      <c r="AN243" s="40" t="s">
        <v>45</v>
      </c>
      <c r="AO243" s="41" t="s">
        <v>45</v>
      </c>
      <c r="AP243" s="40" t="s">
        <v>328</v>
      </c>
      <c r="AQ243" s="40">
        <v>6</v>
      </c>
      <c r="AR243" s="48" t="s">
        <v>326</v>
      </c>
      <c r="AS243" s="43" t="s">
        <v>45</v>
      </c>
      <c r="AT243" s="43" t="s">
        <v>103</v>
      </c>
      <c r="AU243" s="44">
        <f t="shared" si="31"/>
        <v>-1.6320287404109748</v>
      </c>
      <c r="AV243" s="44">
        <f t="shared" si="32"/>
        <v>-1.1865339896739031</v>
      </c>
      <c r="AW243" s="45">
        <f t="shared" si="33"/>
        <v>3</v>
      </c>
      <c r="AX243" s="45">
        <f t="shared" si="34"/>
        <v>0</v>
      </c>
      <c r="AY243" s="46">
        <f>VLOOKUP(AP243,COND!$A$10:$B$32,2,FALSE)</f>
        <v>1</v>
      </c>
      <c r="AZ243" s="44">
        <f>($AU$3*AU243+$AV$3*AV243+$AW$3*AW243+$AX$3*AX243)*AY243*IF(AQ243&lt;5,0.95,IF(AQ243&lt;7,0.975,1))+$I$3*VLOOKUP(I243,COND!$A$2:$E$7,4,FALSE)+$J$3*VLOOKUP(J243,COND!$A$2:$E$7,2,FALSE)+$K$3*VLOOKUP(K243,COND!$A$2:$E$7,3,FALSE)+IF(BB243="SP",$BB$3,0)+IF($AW243&lt;3,-5,0)+IF(AND($B$2&gt;0,$E243&lt;20),$B$2*25,0)</f>
        <v>25.006841596978752</v>
      </c>
      <c r="BA243" s="47">
        <f t="shared" si="38"/>
        <v>-0.9111467495443103</v>
      </c>
      <c r="BB243" s="45" t="str">
        <f t="shared" si="35"/>
        <v>SP</v>
      </c>
      <c r="BC243" s="45">
        <v>900</v>
      </c>
      <c r="BD243" s="45">
        <v>238</v>
      </c>
      <c r="BE243" s="45"/>
      <c r="BF243" s="45" t="str">
        <f t="shared" si="36"/>
        <v>Unlikely</v>
      </c>
      <c r="BG243" s="45"/>
      <c r="BH243" s="45" t="str">
        <f>INDEX(Table5[[#All],[Ovr]],MATCH(Table3[[#This Row],[PID]],Table5[[#All],[PID]],0))</f>
        <v/>
      </c>
      <c r="BI243" s="45" t="str">
        <f>INDEX(Table5[[#All],[Rnd]],MATCH(Table3[[#This Row],[PID]],Table5[[#All],[PID]],0))</f>
        <v/>
      </c>
      <c r="BJ243" s="45" t="str">
        <f>INDEX(Table5[[#All],[Pick]],MATCH(Table3[[#This Row],[PID]],Table5[[#All],[PID]],0))</f>
        <v/>
      </c>
      <c r="BK243" s="45" t="str">
        <f>INDEX(Table5[[#All],[Team]],MATCH(Table3[[#This Row],[PID]],Table5[[#All],[PID]],0))</f>
        <v/>
      </c>
      <c r="BL243" s="45" t="str">
        <f>IF(OR(Table3[[#This Row],[POS]]="SP",Table3[[#This Row],[POS]]="RP",Table3[[#This Row],[POS]]="CL"),"P",INDEX(Batters[[#All],[zScore]],MATCH(Table3[[#This Row],[PID]],Batters[[#All],[PID]],0)))</f>
        <v>P</v>
      </c>
    </row>
    <row r="244" spans="1:64" ht="15" customHeight="1" x14ac:dyDescent="0.3">
      <c r="A244" s="40">
        <v>7608</v>
      </c>
      <c r="B244" s="40" t="s">
        <v>380</v>
      </c>
      <c r="C244" s="40" t="s">
        <v>139</v>
      </c>
      <c r="D244" s="40" t="s">
        <v>1050</v>
      </c>
      <c r="E244" s="40">
        <v>21</v>
      </c>
      <c r="F244" s="40" t="s">
        <v>42</v>
      </c>
      <c r="G244" s="40" t="s">
        <v>42</v>
      </c>
      <c r="H244" s="41" t="s">
        <v>561</v>
      </c>
      <c r="I244" s="42" t="s">
        <v>43</v>
      </c>
      <c r="J244" s="40" t="s">
        <v>43</v>
      </c>
      <c r="K244" s="41" t="s">
        <v>43</v>
      </c>
      <c r="L244" s="40">
        <v>2</v>
      </c>
      <c r="M244" s="40">
        <v>2</v>
      </c>
      <c r="N244" s="41">
        <v>1</v>
      </c>
      <c r="O244" s="40">
        <v>3</v>
      </c>
      <c r="P244" s="40">
        <v>2</v>
      </c>
      <c r="Q244" s="41">
        <v>3</v>
      </c>
      <c r="R244" s="40">
        <v>3</v>
      </c>
      <c r="S244" s="40">
        <v>5</v>
      </c>
      <c r="T244" s="40">
        <v>1</v>
      </c>
      <c r="U244" s="40">
        <v>1</v>
      </c>
      <c r="V244" s="40">
        <v>2</v>
      </c>
      <c r="W244" s="40">
        <v>4</v>
      </c>
      <c r="X244" s="40" t="s">
        <v>45</v>
      </c>
      <c r="Y244" s="40" t="s">
        <v>45</v>
      </c>
      <c r="Z244" s="40" t="s">
        <v>45</v>
      </c>
      <c r="AA244" s="40" t="s">
        <v>45</v>
      </c>
      <c r="AB244" s="40" t="s">
        <v>45</v>
      </c>
      <c r="AC244" s="40" t="s">
        <v>45</v>
      </c>
      <c r="AD244" s="40" t="s">
        <v>45</v>
      </c>
      <c r="AE244" s="40" t="s">
        <v>45</v>
      </c>
      <c r="AF244" s="40" t="s">
        <v>45</v>
      </c>
      <c r="AG244" s="40" t="s">
        <v>45</v>
      </c>
      <c r="AH244" s="40" t="s">
        <v>45</v>
      </c>
      <c r="AI244" s="40" t="s">
        <v>45</v>
      </c>
      <c r="AJ244" s="40" t="s">
        <v>45</v>
      </c>
      <c r="AK244" s="40" t="s">
        <v>45</v>
      </c>
      <c r="AL244" s="40" t="s">
        <v>45</v>
      </c>
      <c r="AM244" s="40" t="s">
        <v>45</v>
      </c>
      <c r="AN244" s="40" t="s">
        <v>45</v>
      </c>
      <c r="AO244" s="41" t="s">
        <v>45</v>
      </c>
      <c r="AP244" s="40" t="s">
        <v>328</v>
      </c>
      <c r="AQ244" s="40">
        <v>6</v>
      </c>
      <c r="AR244" s="48" t="s">
        <v>326</v>
      </c>
      <c r="AS244" s="43" t="s">
        <v>45</v>
      </c>
      <c r="AT244" s="43" t="s">
        <v>103</v>
      </c>
      <c r="AU244" s="44">
        <f t="shared" si="31"/>
        <v>-2.311361197028369</v>
      </c>
      <c r="AV244" s="44">
        <f t="shared" si="32"/>
        <v>-1.1865339896739031</v>
      </c>
      <c r="AW244" s="45">
        <f t="shared" si="33"/>
        <v>3</v>
      </c>
      <c r="AX244" s="45">
        <f t="shared" si="34"/>
        <v>0</v>
      </c>
      <c r="AY244" s="46">
        <f>VLOOKUP(AP244,COND!$A$10:$B$32,2,FALSE)</f>
        <v>1</v>
      </c>
      <c r="AZ244" s="44">
        <f>($AU$3*AU244+$AV$3*AV244+$AW$3*AW244+$AX$3*AX244)*AY244*IF(AQ244&lt;5,0.95,IF(AQ244&lt;7,0.975,1))+$I$3*VLOOKUP(I244,COND!$A$2:$E$7,4,FALSE)+$J$3*VLOOKUP(J244,COND!$A$2:$E$7,2,FALSE)+$K$3*VLOOKUP(K244,COND!$A$2:$E$7,3,FALSE)+IF(BB244="SP",$BB$3,0)+IF($AW244&lt;3,-5,0)+IF(AND($B$2&gt;0,$E244&lt;20),$B$2*25,0)</f>
        <v>24.87437176793836</v>
      </c>
      <c r="BA244" s="47">
        <f t="shared" si="38"/>
        <v>-0.92057953301546702</v>
      </c>
      <c r="BB244" s="45" t="str">
        <f t="shared" si="35"/>
        <v>SP</v>
      </c>
      <c r="BC244" s="45">
        <v>900</v>
      </c>
      <c r="BD244" s="45">
        <v>239</v>
      </c>
      <c r="BE244" s="45"/>
      <c r="BF244" s="45" t="str">
        <f t="shared" si="36"/>
        <v>Unlikely</v>
      </c>
      <c r="BG244" s="45"/>
      <c r="BH244" s="45" t="str">
        <f>INDEX(Table5[[#All],[Ovr]],MATCH(Table3[[#This Row],[PID]],Table5[[#All],[PID]],0))</f>
        <v/>
      </c>
      <c r="BI244" s="45" t="str">
        <f>INDEX(Table5[[#All],[Rnd]],MATCH(Table3[[#This Row],[PID]],Table5[[#All],[PID]],0))</f>
        <v/>
      </c>
      <c r="BJ244" s="45" t="str">
        <f>INDEX(Table5[[#All],[Pick]],MATCH(Table3[[#This Row],[PID]],Table5[[#All],[PID]],0))</f>
        <v/>
      </c>
      <c r="BK244" s="45" t="str">
        <f>INDEX(Table5[[#All],[Team]],MATCH(Table3[[#This Row],[PID]],Table5[[#All],[PID]],0))</f>
        <v/>
      </c>
      <c r="BL244" s="45" t="str">
        <f>IF(OR(Table3[[#This Row],[POS]]="SP",Table3[[#This Row],[POS]]="RP",Table3[[#This Row],[POS]]="CL"),"P",INDEX(Batters[[#All],[zScore]],MATCH(Table3[[#This Row],[PID]],Batters[[#All],[PID]],0)))</f>
        <v>P</v>
      </c>
    </row>
    <row r="245" spans="1:64" ht="15" customHeight="1" x14ac:dyDescent="0.3">
      <c r="A245" s="40">
        <v>20266</v>
      </c>
      <c r="B245" s="40" t="s">
        <v>24</v>
      </c>
      <c r="C245" s="40" t="s">
        <v>956</v>
      </c>
      <c r="D245" s="40" t="s">
        <v>957</v>
      </c>
      <c r="E245" s="40">
        <v>22</v>
      </c>
      <c r="F245" s="40" t="s">
        <v>62</v>
      </c>
      <c r="G245" s="40" t="s">
        <v>42</v>
      </c>
      <c r="H245" s="41" t="s">
        <v>561</v>
      </c>
      <c r="I245" s="42" t="s">
        <v>43</v>
      </c>
      <c r="J245" s="40" t="s">
        <v>43</v>
      </c>
      <c r="K245" s="41" t="s">
        <v>43</v>
      </c>
      <c r="L245" s="40">
        <v>3</v>
      </c>
      <c r="M245" s="40">
        <v>1</v>
      </c>
      <c r="N245" s="41">
        <v>2</v>
      </c>
      <c r="O245" s="40">
        <v>4</v>
      </c>
      <c r="P245" s="40">
        <v>1</v>
      </c>
      <c r="Q245" s="41">
        <v>3</v>
      </c>
      <c r="R245" s="40">
        <v>5</v>
      </c>
      <c r="S245" s="40">
        <v>5</v>
      </c>
      <c r="T245" s="40">
        <v>3</v>
      </c>
      <c r="U245" s="40">
        <v>5</v>
      </c>
      <c r="V245" s="40" t="s">
        <v>45</v>
      </c>
      <c r="W245" s="40" t="s">
        <v>45</v>
      </c>
      <c r="X245" s="40">
        <v>2</v>
      </c>
      <c r="Y245" s="40">
        <v>2</v>
      </c>
      <c r="Z245" s="40" t="s">
        <v>45</v>
      </c>
      <c r="AA245" s="40" t="s">
        <v>45</v>
      </c>
      <c r="AB245" s="40" t="s">
        <v>45</v>
      </c>
      <c r="AC245" s="40" t="s">
        <v>45</v>
      </c>
      <c r="AD245" s="40" t="s">
        <v>45</v>
      </c>
      <c r="AE245" s="40" t="s">
        <v>45</v>
      </c>
      <c r="AF245" s="40">
        <v>4</v>
      </c>
      <c r="AG245" s="40">
        <v>5</v>
      </c>
      <c r="AH245" s="40" t="s">
        <v>45</v>
      </c>
      <c r="AI245" s="40" t="s">
        <v>45</v>
      </c>
      <c r="AJ245" s="40" t="s">
        <v>45</v>
      </c>
      <c r="AK245" s="40" t="s">
        <v>45</v>
      </c>
      <c r="AL245" s="40" t="s">
        <v>45</v>
      </c>
      <c r="AM245" s="40" t="s">
        <v>45</v>
      </c>
      <c r="AN245" s="40" t="s">
        <v>45</v>
      </c>
      <c r="AO245" s="41" t="s">
        <v>45</v>
      </c>
      <c r="AP245" s="40" t="s">
        <v>329</v>
      </c>
      <c r="AQ245" s="40">
        <v>8</v>
      </c>
      <c r="AR245" s="48" t="s">
        <v>14</v>
      </c>
      <c r="AS245" s="43" t="s">
        <v>557</v>
      </c>
      <c r="AT245" s="43" t="s">
        <v>103</v>
      </c>
      <c r="AU245" s="44">
        <f t="shared" si="31"/>
        <v>-2.0697810228951408</v>
      </c>
      <c r="AV245" s="44">
        <f t="shared" si="32"/>
        <v>-1.1872743815947853</v>
      </c>
      <c r="AW245" s="45">
        <f t="shared" si="33"/>
        <v>4</v>
      </c>
      <c r="AX245" s="45">
        <f t="shared" si="34"/>
        <v>0</v>
      </c>
      <c r="AY245" s="46">
        <f>VLOOKUP(AP245,COND!$A$10:$B$32,2,FALSE)</f>
        <v>1</v>
      </c>
      <c r="AZ245" s="44">
        <f>($AU$3*AU245+$AV$3*AV245+$AW$3*AW245+$AX$3*AX245)*AY245*IF(AQ245&lt;5,0.95,IF(AQ245&lt;7,0.975,1))+$I$3*VLOOKUP(I245,COND!$A$2:$E$7,4,FALSE)+$J$3*VLOOKUP(J245,COND!$A$2:$E$7,2,FALSE)+$K$3*VLOOKUP(K245,COND!$A$2:$E$7,3,FALSE)+IF(BB245="SP",$BB$3,0)+IF($AW245&lt;3,-5,0)+IF(AND($B$2&gt;0,$E245&lt;20),$B$2*25,0)</f>
        <v>24.840556163525264</v>
      </c>
      <c r="BA245" s="47">
        <f t="shared" si="38"/>
        <v>-0.92298744187052983</v>
      </c>
      <c r="BB245" s="45" t="str">
        <f t="shared" si="35"/>
        <v>SP</v>
      </c>
      <c r="BC245" s="45">
        <v>900</v>
      </c>
      <c r="BD245" s="45">
        <v>240</v>
      </c>
      <c r="BE245" s="45"/>
      <c r="BF245" s="45" t="str">
        <f t="shared" si="36"/>
        <v>Unlikely</v>
      </c>
      <c r="BG245" s="45"/>
      <c r="BH245" s="45">
        <f>INDEX(Table5[[#All],[Ovr]],MATCH(Table3[[#This Row],[PID]],Table5[[#All],[PID]],0))</f>
        <v>518</v>
      </c>
      <c r="BI245" s="45" t="str">
        <f>INDEX(Table5[[#All],[Rnd]],MATCH(Table3[[#This Row],[PID]],Table5[[#All],[PID]],0))</f>
        <v>16</v>
      </c>
      <c r="BJ245" s="45">
        <f>INDEX(Table5[[#All],[Pick]],MATCH(Table3[[#This Row],[PID]],Table5[[#All],[PID]],0))</f>
        <v>17</v>
      </c>
      <c r="BK245" s="45" t="str">
        <f>INDEX(Table5[[#All],[Team]],MATCH(Table3[[#This Row],[PID]],Table5[[#All],[PID]],0))</f>
        <v>Duluth Warriors</v>
      </c>
      <c r="BL245" s="45" t="str">
        <f>IF(OR(Table3[[#This Row],[POS]]="SP",Table3[[#This Row],[POS]]="RP",Table3[[#This Row],[POS]]="CL"),"P",INDEX(Batters[[#All],[zScore]],MATCH(Table3[[#This Row],[PID]],Batters[[#All],[PID]],0)))</f>
        <v>P</v>
      </c>
    </row>
    <row r="246" spans="1:64" ht="15" customHeight="1" x14ac:dyDescent="0.3">
      <c r="A246" s="40">
        <v>12401</v>
      </c>
      <c r="B246" s="40" t="s">
        <v>380</v>
      </c>
      <c r="C246" s="40" t="s">
        <v>381</v>
      </c>
      <c r="D246" s="40" t="s">
        <v>186</v>
      </c>
      <c r="E246" s="40">
        <v>21</v>
      </c>
      <c r="F246" s="40" t="s">
        <v>42</v>
      </c>
      <c r="G246" s="40" t="s">
        <v>42</v>
      </c>
      <c r="H246" s="41" t="s">
        <v>561</v>
      </c>
      <c r="I246" s="42" t="s">
        <v>44</v>
      </c>
      <c r="J246" s="40" t="s">
        <v>43</v>
      </c>
      <c r="K246" s="41" t="s">
        <v>43</v>
      </c>
      <c r="L246" s="40">
        <v>3</v>
      </c>
      <c r="M246" s="40">
        <v>1</v>
      </c>
      <c r="N246" s="41">
        <v>1</v>
      </c>
      <c r="O246" s="40">
        <v>5</v>
      </c>
      <c r="P246" s="40">
        <v>1</v>
      </c>
      <c r="Q246" s="41">
        <v>2</v>
      </c>
      <c r="R246" s="40">
        <v>4</v>
      </c>
      <c r="S246" s="40">
        <v>6</v>
      </c>
      <c r="T246" s="40" t="s">
        <v>45</v>
      </c>
      <c r="U246" s="40" t="s">
        <v>45</v>
      </c>
      <c r="V246" s="40">
        <v>2</v>
      </c>
      <c r="W246" s="40">
        <v>5</v>
      </c>
      <c r="X246" s="40">
        <v>3</v>
      </c>
      <c r="Y246" s="40">
        <v>6</v>
      </c>
      <c r="Z246" s="40" t="s">
        <v>45</v>
      </c>
      <c r="AA246" s="40" t="s">
        <v>45</v>
      </c>
      <c r="AB246" s="40" t="s">
        <v>45</v>
      </c>
      <c r="AC246" s="40" t="s">
        <v>45</v>
      </c>
      <c r="AD246" s="40" t="s">
        <v>45</v>
      </c>
      <c r="AE246" s="40" t="s">
        <v>45</v>
      </c>
      <c r="AF246" s="40" t="s">
        <v>45</v>
      </c>
      <c r="AG246" s="40" t="s">
        <v>45</v>
      </c>
      <c r="AH246" s="40" t="s">
        <v>45</v>
      </c>
      <c r="AI246" s="40" t="s">
        <v>45</v>
      </c>
      <c r="AJ246" s="40" t="s">
        <v>45</v>
      </c>
      <c r="AK246" s="40" t="s">
        <v>45</v>
      </c>
      <c r="AL246" s="40" t="s">
        <v>45</v>
      </c>
      <c r="AM246" s="40" t="s">
        <v>45</v>
      </c>
      <c r="AN246" s="40" t="s">
        <v>45</v>
      </c>
      <c r="AO246" s="41" t="s">
        <v>45</v>
      </c>
      <c r="AP246" s="40" t="s">
        <v>58</v>
      </c>
      <c r="AQ246" s="40">
        <v>3</v>
      </c>
      <c r="AR246" s="48" t="s">
        <v>330</v>
      </c>
      <c r="AS246" s="43" t="s">
        <v>45</v>
      </c>
      <c r="AT246" s="43" t="s">
        <v>103</v>
      </c>
      <c r="AU246" s="44">
        <f t="shared" si="31"/>
        <v>-2.3121015889492513</v>
      </c>
      <c r="AV246" s="44">
        <f t="shared" si="32"/>
        <v>-1.2349036231397219</v>
      </c>
      <c r="AW246" s="45">
        <f t="shared" si="33"/>
        <v>3</v>
      </c>
      <c r="AX246" s="45">
        <f t="shared" si="34"/>
        <v>2</v>
      </c>
      <c r="AY246" s="46">
        <f>VLOOKUP(AP246,COND!$A$10:$B$32,2,FALSE)</f>
        <v>1</v>
      </c>
      <c r="AZ246" s="44">
        <f>($AU$3*AU246+$AV$3*AV246+$AW$3*AW246+$AX$3*AX246)*AY246*IF(AQ246&lt;5,0.95,IF(AQ246&lt;7,0.975,1))+$I$3*VLOOKUP(I246,COND!$A$2:$E$7,4,FALSE)+$J$3*VLOOKUP(J246,COND!$A$2:$E$7,2,FALSE)+$K$3*VLOOKUP(K246,COND!$A$2:$E$7,3,FALSE)+IF(BB246="SP",$BB$3,0)+IF($AW246&lt;3,-5,0)+IF(AND($B$2&gt;0,$E246&lt;20),$B$2*25,0)</f>
        <v>24.74753185844493</v>
      </c>
      <c r="BA246" s="47">
        <f t="shared" si="38"/>
        <v>-0.92961142662037088</v>
      </c>
      <c r="BB246" s="45" t="str">
        <f t="shared" si="35"/>
        <v>RP</v>
      </c>
      <c r="BC246" s="45">
        <v>900</v>
      </c>
      <c r="BD246" s="45">
        <v>241</v>
      </c>
      <c r="BE246" s="45"/>
      <c r="BF246" s="45" t="str">
        <f t="shared" si="36"/>
        <v>Unlikely</v>
      </c>
      <c r="BG246" s="45"/>
      <c r="BH246" s="45" t="str">
        <f>INDEX(Table5[[#All],[Ovr]],MATCH(Table3[[#This Row],[PID]],Table5[[#All],[PID]],0))</f>
        <v/>
      </c>
      <c r="BI246" s="45" t="str">
        <f>INDEX(Table5[[#All],[Rnd]],MATCH(Table3[[#This Row],[PID]],Table5[[#All],[PID]],0))</f>
        <v/>
      </c>
      <c r="BJ246" s="45" t="str">
        <f>INDEX(Table5[[#All],[Pick]],MATCH(Table3[[#This Row],[PID]],Table5[[#All],[PID]],0))</f>
        <v/>
      </c>
      <c r="BK246" s="45" t="str">
        <f>INDEX(Table5[[#All],[Team]],MATCH(Table3[[#This Row],[PID]],Table5[[#All],[PID]],0))</f>
        <v/>
      </c>
      <c r="BL246" s="45" t="str">
        <f>IF(OR(Table3[[#This Row],[POS]]="SP",Table3[[#This Row],[POS]]="RP",Table3[[#This Row],[POS]]="CL"),"P",INDEX(Batters[[#All],[zScore]],MATCH(Table3[[#This Row],[PID]],Batters[[#All],[PID]],0)))</f>
        <v>P</v>
      </c>
    </row>
    <row r="247" spans="1:64" ht="15" customHeight="1" x14ac:dyDescent="0.3">
      <c r="A247" s="40">
        <v>12667</v>
      </c>
      <c r="B247" s="40" t="s">
        <v>380</v>
      </c>
      <c r="C247" s="40" t="s">
        <v>976</v>
      </c>
      <c r="D247" s="40" t="s">
        <v>501</v>
      </c>
      <c r="E247" s="40">
        <v>21</v>
      </c>
      <c r="F247" s="40" t="s">
        <v>42</v>
      </c>
      <c r="G247" s="40" t="s">
        <v>42</v>
      </c>
      <c r="H247" s="41" t="s">
        <v>561</v>
      </c>
      <c r="I247" s="42" t="s">
        <v>43</v>
      </c>
      <c r="J247" s="40" t="s">
        <v>43</v>
      </c>
      <c r="K247" s="41" t="s">
        <v>43</v>
      </c>
      <c r="L247" s="40">
        <v>2</v>
      </c>
      <c r="M247" s="40">
        <v>2</v>
      </c>
      <c r="N247" s="41">
        <v>2</v>
      </c>
      <c r="O247" s="40">
        <v>3</v>
      </c>
      <c r="P247" s="40">
        <v>2</v>
      </c>
      <c r="Q247" s="41">
        <v>3</v>
      </c>
      <c r="R247" s="40">
        <v>4</v>
      </c>
      <c r="S247" s="40">
        <v>4</v>
      </c>
      <c r="T247" s="40">
        <v>2</v>
      </c>
      <c r="U247" s="40">
        <v>3</v>
      </c>
      <c r="V247" s="40">
        <v>2</v>
      </c>
      <c r="W247" s="40">
        <v>4</v>
      </c>
      <c r="X247" s="40" t="s">
        <v>45</v>
      </c>
      <c r="Y247" s="40" t="s">
        <v>45</v>
      </c>
      <c r="Z247" s="40" t="s">
        <v>45</v>
      </c>
      <c r="AA247" s="40" t="s">
        <v>45</v>
      </c>
      <c r="AB247" s="40" t="s">
        <v>45</v>
      </c>
      <c r="AC247" s="40" t="s">
        <v>45</v>
      </c>
      <c r="AD247" s="40" t="s">
        <v>45</v>
      </c>
      <c r="AE247" s="40" t="s">
        <v>45</v>
      </c>
      <c r="AF247" s="40" t="s">
        <v>45</v>
      </c>
      <c r="AG247" s="40" t="s">
        <v>45</v>
      </c>
      <c r="AH247" s="40" t="s">
        <v>45</v>
      </c>
      <c r="AI247" s="40" t="s">
        <v>45</v>
      </c>
      <c r="AJ247" s="40" t="s">
        <v>45</v>
      </c>
      <c r="AK247" s="40" t="s">
        <v>45</v>
      </c>
      <c r="AL247" s="40" t="s">
        <v>45</v>
      </c>
      <c r="AM247" s="40" t="s">
        <v>45</v>
      </c>
      <c r="AN247" s="40" t="s">
        <v>45</v>
      </c>
      <c r="AO247" s="41" t="s">
        <v>45</v>
      </c>
      <c r="AP247" s="40" t="s">
        <v>329</v>
      </c>
      <c r="AQ247" s="40">
        <v>8</v>
      </c>
      <c r="AR247" s="48" t="s">
        <v>326</v>
      </c>
      <c r="AS247" s="43" t="s">
        <v>45</v>
      </c>
      <c r="AT247" s="43" t="s">
        <v>103</v>
      </c>
      <c r="AU247" s="44">
        <f t="shared" si="31"/>
        <v>-2.0690406309742588</v>
      </c>
      <c r="AV247" s="44">
        <f t="shared" si="32"/>
        <v>-1.1865339896739031</v>
      </c>
      <c r="AW247" s="45">
        <f t="shared" si="33"/>
        <v>3</v>
      </c>
      <c r="AX247" s="45">
        <f t="shared" si="34"/>
        <v>0</v>
      </c>
      <c r="AY247" s="46">
        <f>VLOOKUP(AP247,COND!$A$10:$B$32,2,FALSE)</f>
        <v>1</v>
      </c>
      <c r="AZ247" s="44">
        <f>($AU$3*AU247+$AV$3*AV247+$AW$3*AW247+$AX$3*AX247)*AY247*IF(AQ247&lt;5,0.95,IF(AQ247&lt;7,0.975,1))+$I$3*VLOOKUP(I247,COND!$A$2:$E$7,4,FALSE)+$J$3*VLOOKUP(J247,COND!$A$2:$E$7,2,FALSE)+$K$3*VLOOKUP(K247,COND!$A$2:$E$7,3,FALSE)+IF(BB247="SP",$BB$3,0)+IF($AW247&lt;3,-5,0)+IF(AND($B$2&gt;0,$E247&lt;20),$B$2*25,0)</f>
        <v>24.355512080327088</v>
      </c>
      <c r="BA247" s="47">
        <f t="shared" si="38"/>
        <v>-0.95752599184766463</v>
      </c>
      <c r="BB247" s="45" t="str">
        <f t="shared" si="35"/>
        <v>SP</v>
      </c>
      <c r="BC247" s="45">
        <v>900</v>
      </c>
      <c r="BD247" s="45">
        <v>242</v>
      </c>
      <c r="BE247" s="45"/>
      <c r="BF247" s="45" t="str">
        <f t="shared" si="36"/>
        <v>Unlikely</v>
      </c>
      <c r="BG247" s="45"/>
      <c r="BH247" s="45">
        <f>INDEX(Table5[[#All],[Ovr]],MATCH(Table3[[#This Row],[PID]],Table5[[#All],[PID]],0))</f>
        <v>666</v>
      </c>
      <c r="BI247" s="45" t="str">
        <f>INDEX(Table5[[#All],[Rnd]],MATCH(Table3[[#This Row],[PID]],Table5[[#All],[PID]],0))</f>
        <v>20</v>
      </c>
      <c r="BJ247" s="45">
        <f>INDEX(Table5[[#All],[Pick]],MATCH(Table3[[#This Row],[PID]],Table5[[#All],[PID]],0))</f>
        <v>29</v>
      </c>
      <c r="BK247" s="45" t="str">
        <f>INDEX(Table5[[#All],[Team]],MATCH(Table3[[#This Row],[PID]],Table5[[#All],[PID]],0))</f>
        <v>Shin Seiki Evas</v>
      </c>
      <c r="BL247" s="45" t="str">
        <f>IF(OR(Table3[[#This Row],[POS]]="SP",Table3[[#This Row],[POS]]="RP",Table3[[#This Row],[POS]]="CL"),"P",INDEX(Batters[[#All],[zScore]],MATCH(Table3[[#This Row],[PID]],Batters[[#All],[PID]],0)))</f>
        <v>P</v>
      </c>
    </row>
    <row r="248" spans="1:64" ht="15" customHeight="1" x14ac:dyDescent="0.3">
      <c r="A248" s="40">
        <v>12285</v>
      </c>
      <c r="B248" s="40" t="s">
        <v>380</v>
      </c>
      <c r="C248" s="40" t="s">
        <v>630</v>
      </c>
      <c r="D248" s="40" t="s">
        <v>556</v>
      </c>
      <c r="E248" s="40">
        <v>21</v>
      </c>
      <c r="F248" s="40" t="s">
        <v>53</v>
      </c>
      <c r="G248" s="40" t="s">
        <v>42</v>
      </c>
      <c r="H248" s="41" t="s">
        <v>561</v>
      </c>
      <c r="I248" s="42" t="s">
        <v>43</v>
      </c>
      <c r="J248" s="40" t="s">
        <v>43</v>
      </c>
      <c r="K248" s="41" t="s">
        <v>43</v>
      </c>
      <c r="L248" s="40">
        <v>2</v>
      </c>
      <c r="M248" s="40">
        <v>2</v>
      </c>
      <c r="N248" s="41">
        <v>1</v>
      </c>
      <c r="O248" s="40">
        <v>3</v>
      </c>
      <c r="P248" s="40">
        <v>2</v>
      </c>
      <c r="Q248" s="41">
        <v>3</v>
      </c>
      <c r="R248" s="40" t="s">
        <v>45</v>
      </c>
      <c r="S248" s="40" t="s">
        <v>45</v>
      </c>
      <c r="T248" s="40">
        <v>1</v>
      </c>
      <c r="U248" s="40">
        <v>1</v>
      </c>
      <c r="V248" s="40" t="s">
        <v>45</v>
      </c>
      <c r="W248" s="40" t="s">
        <v>45</v>
      </c>
      <c r="X248" s="40" t="s">
        <v>45</v>
      </c>
      <c r="Y248" s="40" t="s">
        <v>45</v>
      </c>
      <c r="Z248" s="40">
        <v>3</v>
      </c>
      <c r="AA248" s="40">
        <v>4</v>
      </c>
      <c r="AB248" s="40" t="s">
        <v>45</v>
      </c>
      <c r="AC248" s="40" t="s">
        <v>45</v>
      </c>
      <c r="AD248" s="40">
        <v>3</v>
      </c>
      <c r="AE248" s="40">
        <v>5</v>
      </c>
      <c r="AF248" s="40" t="s">
        <v>45</v>
      </c>
      <c r="AG248" s="40" t="s">
        <v>45</v>
      </c>
      <c r="AH248" s="40" t="s">
        <v>45</v>
      </c>
      <c r="AI248" s="40" t="s">
        <v>45</v>
      </c>
      <c r="AJ248" s="40" t="s">
        <v>45</v>
      </c>
      <c r="AK248" s="40" t="s">
        <v>45</v>
      </c>
      <c r="AL248" s="40" t="s">
        <v>45</v>
      </c>
      <c r="AM248" s="40" t="s">
        <v>45</v>
      </c>
      <c r="AN248" s="40" t="s">
        <v>45</v>
      </c>
      <c r="AO248" s="41" t="s">
        <v>45</v>
      </c>
      <c r="AP248" s="40" t="s">
        <v>328</v>
      </c>
      <c r="AQ248" s="40">
        <v>8</v>
      </c>
      <c r="AR248" s="48" t="s">
        <v>326</v>
      </c>
      <c r="AS248" s="43" t="s">
        <v>557</v>
      </c>
      <c r="AT248" s="43" t="s">
        <v>103</v>
      </c>
      <c r="AU248" s="44">
        <f t="shared" si="31"/>
        <v>-2.311361197028369</v>
      </c>
      <c r="AV248" s="44">
        <f t="shared" si="32"/>
        <v>-1.1865339896739031</v>
      </c>
      <c r="AW248" s="45">
        <f t="shared" si="33"/>
        <v>3</v>
      </c>
      <c r="AX248" s="45">
        <f t="shared" si="34"/>
        <v>0</v>
      </c>
      <c r="AY248" s="46">
        <f>VLOOKUP(AP248,COND!$A$10:$B$32,2,FALSE)</f>
        <v>1</v>
      </c>
      <c r="AZ248" s="44">
        <f>($AU$3*AU248+$AV$3*AV248+$AW$3*AW248+$AX$3*AX248)*AY248*IF(AQ248&lt;5,0.95,IF(AQ248&lt;7,0.975,1))+$I$3*VLOOKUP(I248,COND!$A$2:$E$7,4,FALSE)+$J$3*VLOOKUP(J248,COND!$A$2:$E$7,2,FALSE)+$K$3*VLOOKUP(K248,COND!$A$2:$E$7,3,FALSE)+IF(BB248="SP",$BB$3,0)+IF($AW248&lt;3,-5,0)+IF(AND($B$2&gt;0,$E248&lt;20),$B$2*25,0)</f>
        <v>24.307047967116265</v>
      </c>
      <c r="BA248" s="47">
        <f t="shared" si="38"/>
        <v>-0.96097697755022737</v>
      </c>
      <c r="BB248" s="45" t="str">
        <f t="shared" si="35"/>
        <v>SP</v>
      </c>
      <c r="BC248" s="45">
        <v>900</v>
      </c>
      <c r="BD248" s="45">
        <v>243</v>
      </c>
      <c r="BE248" s="45"/>
      <c r="BF248" s="45" t="str">
        <f t="shared" si="36"/>
        <v>Unlikely</v>
      </c>
      <c r="BG248" s="45"/>
      <c r="BH248" s="45">
        <f>INDEX(Table5[[#All],[Ovr]],MATCH(Table3[[#This Row],[PID]],Table5[[#All],[PID]],0))</f>
        <v>407</v>
      </c>
      <c r="BI248" s="45" t="str">
        <f>INDEX(Table5[[#All],[Rnd]],MATCH(Table3[[#This Row],[PID]],Table5[[#All],[PID]],0))</f>
        <v>13</v>
      </c>
      <c r="BJ248" s="45">
        <f>INDEX(Table5[[#All],[Pick]],MATCH(Table3[[#This Row],[PID]],Table5[[#All],[PID]],0))</f>
        <v>8</v>
      </c>
      <c r="BK248" s="45" t="str">
        <f>INDEX(Table5[[#All],[Team]],MATCH(Table3[[#This Row],[PID]],Table5[[#All],[PID]],0))</f>
        <v>Gloucester Fishermen</v>
      </c>
      <c r="BL248" s="45" t="str">
        <f>IF(OR(Table3[[#This Row],[POS]]="SP",Table3[[#This Row],[POS]]="RP",Table3[[#This Row],[POS]]="CL"),"P",INDEX(Batters[[#All],[zScore]],MATCH(Table3[[#This Row],[PID]],Batters[[#All],[PID]],0)))</f>
        <v>P</v>
      </c>
    </row>
    <row r="249" spans="1:64" ht="15" customHeight="1" x14ac:dyDescent="0.3">
      <c r="A249" s="40">
        <v>10688</v>
      </c>
      <c r="B249" s="40" t="s">
        <v>380</v>
      </c>
      <c r="C249" s="40" t="s">
        <v>1489</v>
      </c>
      <c r="D249" s="40" t="s">
        <v>1490</v>
      </c>
      <c r="E249" s="40">
        <v>21</v>
      </c>
      <c r="F249" s="40" t="s">
        <v>42</v>
      </c>
      <c r="G249" s="40" t="s">
        <v>42</v>
      </c>
      <c r="H249" s="41" t="s">
        <v>561</v>
      </c>
      <c r="I249" s="42" t="s">
        <v>43</v>
      </c>
      <c r="J249" s="40" t="s">
        <v>43</v>
      </c>
      <c r="K249" s="41" t="s">
        <v>43</v>
      </c>
      <c r="L249" s="40">
        <v>2</v>
      </c>
      <c r="M249" s="40">
        <v>2</v>
      </c>
      <c r="N249" s="41">
        <v>1</v>
      </c>
      <c r="O249" s="40">
        <v>3</v>
      </c>
      <c r="P249" s="40">
        <v>2</v>
      </c>
      <c r="Q249" s="41">
        <v>3</v>
      </c>
      <c r="R249" s="40">
        <v>3</v>
      </c>
      <c r="S249" s="40">
        <v>4</v>
      </c>
      <c r="T249" s="40">
        <v>1</v>
      </c>
      <c r="U249" s="40">
        <v>1</v>
      </c>
      <c r="V249" s="40" t="s">
        <v>45</v>
      </c>
      <c r="W249" s="40" t="s">
        <v>45</v>
      </c>
      <c r="X249" s="40">
        <v>2</v>
      </c>
      <c r="Y249" s="40">
        <v>5</v>
      </c>
      <c r="Z249" s="40" t="s">
        <v>45</v>
      </c>
      <c r="AA249" s="40" t="s">
        <v>45</v>
      </c>
      <c r="AB249" s="40" t="s">
        <v>45</v>
      </c>
      <c r="AC249" s="40" t="s">
        <v>45</v>
      </c>
      <c r="AD249" s="40" t="s">
        <v>45</v>
      </c>
      <c r="AE249" s="40" t="s">
        <v>45</v>
      </c>
      <c r="AF249" s="40" t="s">
        <v>45</v>
      </c>
      <c r="AG249" s="40" t="s">
        <v>45</v>
      </c>
      <c r="AH249" s="40" t="s">
        <v>45</v>
      </c>
      <c r="AI249" s="40" t="s">
        <v>45</v>
      </c>
      <c r="AJ249" s="40" t="s">
        <v>45</v>
      </c>
      <c r="AK249" s="40" t="s">
        <v>45</v>
      </c>
      <c r="AL249" s="40" t="s">
        <v>45</v>
      </c>
      <c r="AM249" s="40" t="s">
        <v>45</v>
      </c>
      <c r="AN249" s="40" t="s">
        <v>45</v>
      </c>
      <c r="AO249" s="41" t="s">
        <v>45</v>
      </c>
      <c r="AP249" s="40" t="s">
        <v>64</v>
      </c>
      <c r="AQ249" s="40">
        <v>7</v>
      </c>
      <c r="AR249" s="48" t="s">
        <v>326</v>
      </c>
      <c r="AS249" s="43" t="s">
        <v>45</v>
      </c>
      <c r="AT249" s="43" t="s">
        <v>103</v>
      </c>
      <c r="AU249" s="44">
        <f t="shared" si="31"/>
        <v>-2.311361197028369</v>
      </c>
      <c r="AV249" s="44">
        <f t="shared" si="32"/>
        <v>-1.1865339896739031</v>
      </c>
      <c r="AW249" s="45">
        <f t="shared" si="33"/>
        <v>3</v>
      </c>
      <c r="AX249" s="45">
        <f t="shared" si="34"/>
        <v>0</v>
      </c>
      <c r="AY249" s="46">
        <f>VLOOKUP(AP249,COND!$A$10:$B$32,2,FALSE)</f>
        <v>1</v>
      </c>
      <c r="AZ249" s="44">
        <f>($AU$3*AU249+$AV$3*AV249+$AW$3*AW249+$AX$3*AX249)*AY249*IF(AQ249&lt;5,0.95,IF(AQ249&lt;7,0.975,1))+$I$3*VLOOKUP(I249,COND!$A$2:$E$7,4,FALSE)+$J$3*VLOOKUP(J249,COND!$A$2:$E$7,2,FALSE)+$K$3*VLOOKUP(K249,COND!$A$2:$E$7,3,FALSE)+IF(BB249="SP",$BB$3,0)+IF($AW249&lt;3,-5,0)+IF(AND($B$2&gt;0,$E249&lt;20),$B$2*25,0)</f>
        <v>24.307047967116265</v>
      </c>
      <c r="BA249" s="47">
        <f t="shared" si="38"/>
        <v>-0.96097697755022737</v>
      </c>
      <c r="BB249" s="45" t="str">
        <f t="shared" si="35"/>
        <v>SP</v>
      </c>
      <c r="BC249" s="45">
        <v>900</v>
      </c>
      <c r="BD249" s="45">
        <v>244</v>
      </c>
      <c r="BE249" s="45"/>
      <c r="BF249" s="45" t="str">
        <f t="shared" si="36"/>
        <v>Unlikely</v>
      </c>
      <c r="BG249" s="45"/>
      <c r="BH249" s="45" t="str">
        <f>INDEX(Table5[[#All],[Ovr]],MATCH(Table3[[#This Row],[PID]],Table5[[#All],[PID]],0))</f>
        <v/>
      </c>
      <c r="BI249" s="45" t="str">
        <f>INDEX(Table5[[#All],[Rnd]],MATCH(Table3[[#This Row],[PID]],Table5[[#All],[PID]],0))</f>
        <v/>
      </c>
      <c r="BJ249" s="45" t="str">
        <f>INDEX(Table5[[#All],[Pick]],MATCH(Table3[[#This Row],[PID]],Table5[[#All],[PID]],0))</f>
        <v/>
      </c>
      <c r="BK249" s="45" t="str">
        <f>INDEX(Table5[[#All],[Team]],MATCH(Table3[[#This Row],[PID]],Table5[[#All],[PID]],0))</f>
        <v/>
      </c>
      <c r="BL249" s="45" t="str">
        <f>IF(OR(Table3[[#This Row],[POS]]="SP",Table3[[#This Row],[POS]]="RP",Table3[[#This Row],[POS]]="CL"),"P",INDEX(Batters[[#All],[zScore]],MATCH(Table3[[#This Row],[PID]],Batters[[#All],[PID]],0)))</f>
        <v>P</v>
      </c>
    </row>
    <row r="250" spans="1:64" ht="15" customHeight="1" x14ac:dyDescent="0.3">
      <c r="A250" s="40">
        <v>6671</v>
      </c>
      <c r="B250" s="40" t="s">
        <v>380</v>
      </c>
      <c r="C250" s="40" t="s">
        <v>393</v>
      </c>
      <c r="D250" s="40" t="s">
        <v>1390</v>
      </c>
      <c r="E250" s="40">
        <v>21</v>
      </c>
      <c r="F250" s="40" t="s">
        <v>53</v>
      </c>
      <c r="G250" s="40" t="s">
        <v>42</v>
      </c>
      <c r="H250" s="41" t="s">
        <v>561</v>
      </c>
      <c r="I250" s="42" t="s">
        <v>44</v>
      </c>
      <c r="J250" s="40" t="s">
        <v>43</v>
      </c>
      <c r="K250" s="41" t="s">
        <v>43</v>
      </c>
      <c r="L250" s="40">
        <v>2</v>
      </c>
      <c r="M250" s="40">
        <v>1</v>
      </c>
      <c r="N250" s="41">
        <v>2</v>
      </c>
      <c r="O250" s="40">
        <v>4</v>
      </c>
      <c r="P250" s="40">
        <v>1</v>
      </c>
      <c r="Q250" s="41">
        <v>3</v>
      </c>
      <c r="R250" s="40">
        <v>3</v>
      </c>
      <c r="S250" s="40">
        <v>4</v>
      </c>
      <c r="T250" s="40" t="s">
        <v>45</v>
      </c>
      <c r="U250" s="40" t="s">
        <v>45</v>
      </c>
      <c r="V250" s="40">
        <v>2</v>
      </c>
      <c r="W250" s="40">
        <v>5</v>
      </c>
      <c r="X250" s="40">
        <v>2</v>
      </c>
      <c r="Y250" s="40">
        <v>5</v>
      </c>
      <c r="Z250" s="40" t="s">
        <v>45</v>
      </c>
      <c r="AA250" s="40" t="s">
        <v>45</v>
      </c>
      <c r="AB250" s="40" t="s">
        <v>45</v>
      </c>
      <c r="AC250" s="40" t="s">
        <v>45</v>
      </c>
      <c r="AD250" s="40" t="s">
        <v>45</v>
      </c>
      <c r="AE250" s="40" t="s">
        <v>45</v>
      </c>
      <c r="AF250" s="40" t="s">
        <v>45</v>
      </c>
      <c r="AG250" s="40" t="s">
        <v>45</v>
      </c>
      <c r="AH250" s="40" t="s">
        <v>45</v>
      </c>
      <c r="AI250" s="40" t="s">
        <v>45</v>
      </c>
      <c r="AJ250" s="40" t="s">
        <v>45</v>
      </c>
      <c r="AK250" s="40" t="s">
        <v>45</v>
      </c>
      <c r="AL250" s="40" t="s">
        <v>45</v>
      </c>
      <c r="AM250" s="40" t="s">
        <v>45</v>
      </c>
      <c r="AN250" s="40" t="s">
        <v>45</v>
      </c>
      <c r="AO250" s="41" t="s">
        <v>45</v>
      </c>
      <c r="AP250" s="40" t="s">
        <v>328</v>
      </c>
      <c r="AQ250" s="40">
        <v>9</v>
      </c>
      <c r="AR250" s="48" t="s">
        <v>330</v>
      </c>
      <c r="AS250" s="43" t="s">
        <v>45</v>
      </c>
      <c r="AT250" s="43" t="s">
        <v>103</v>
      </c>
      <c r="AU250" s="44">
        <f t="shared" si="31"/>
        <v>-2.2644723474043147</v>
      </c>
      <c r="AV250" s="44">
        <f t="shared" si="32"/>
        <v>-1.1872743815947853</v>
      </c>
      <c r="AW250" s="45">
        <f t="shared" si="33"/>
        <v>3</v>
      </c>
      <c r="AX250" s="45">
        <f t="shared" si="34"/>
        <v>0</v>
      </c>
      <c r="AY250" s="46">
        <f>VLOOKUP(AP250,COND!$A$10:$B$32,2,FALSE)</f>
        <v>1</v>
      </c>
      <c r="AZ250" s="44">
        <f>($AU$3*AU250+$AV$3*AV250+$AW$3*AW250+$AX$3*AX250)*AY250*IF(AQ250&lt;5,0.95,IF(AQ250&lt;7,0.975,1))+$I$3*VLOOKUP(I250,COND!$A$2:$E$7,4,FALSE)+$J$3*VLOOKUP(J250,COND!$A$2:$E$7,2,FALSE)+$K$3*VLOOKUP(K250,COND!$A$2:$E$7,3,FALSE)+IF(BB250="SP",$BB$3,0)+IF($AW250&lt;3,-5,0)+IF(AND($B$2&gt;0,$E250&lt;20),$B$2*25,0)</f>
        <v>24.151617898623428</v>
      </c>
      <c r="BA250" s="47">
        <f t="shared" si="38"/>
        <v>-0.97204469154684559</v>
      </c>
      <c r="BB250" s="45" t="str">
        <f t="shared" si="35"/>
        <v>SP</v>
      </c>
      <c r="BC250" s="45">
        <v>900</v>
      </c>
      <c r="BD250" s="45">
        <v>245</v>
      </c>
      <c r="BE250" s="45"/>
      <c r="BF250" s="45" t="str">
        <f t="shared" si="36"/>
        <v>Unlikely</v>
      </c>
      <c r="BG250" s="45"/>
      <c r="BH250" s="45">
        <f>INDEX(Table5[[#All],[Ovr]],MATCH(Table3[[#This Row],[PID]],Table5[[#All],[PID]],0))</f>
        <v>552</v>
      </c>
      <c r="BI250" s="45" t="str">
        <f>INDEX(Table5[[#All],[Rnd]],MATCH(Table3[[#This Row],[PID]],Table5[[#All],[PID]],0))</f>
        <v>17</v>
      </c>
      <c r="BJ250" s="45">
        <f>INDEX(Table5[[#All],[Pick]],MATCH(Table3[[#This Row],[PID]],Table5[[#All],[PID]],0))</f>
        <v>17</v>
      </c>
      <c r="BK250" s="45" t="str">
        <f>INDEX(Table5[[#All],[Team]],MATCH(Table3[[#This Row],[PID]],Table5[[#All],[PID]],0))</f>
        <v>Duluth Warriors</v>
      </c>
      <c r="BL250" s="45" t="str">
        <f>IF(OR(Table3[[#This Row],[POS]]="SP",Table3[[#This Row],[POS]]="RP",Table3[[#This Row],[POS]]="CL"),"P",INDEX(Batters[[#All],[zScore]],MATCH(Table3[[#This Row],[PID]],Batters[[#All],[PID]],0)))</f>
        <v>P</v>
      </c>
    </row>
    <row r="251" spans="1:64" ht="15" customHeight="1" x14ac:dyDescent="0.3">
      <c r="A251" s="40">
        <v>6459</v>
      </c>
      <c r="B251" s="40" t="s">
        <v>380</v>
      </c>
      <c r="C251" s="40" t="s">
        <v>140</v>
      </c>
      <c r="D251" s="40" t="s">
        <v>342</v>
      </c>
      <c r="E251" s="40">
        <v>21</v>
      </c>
      <c r="F251" s="40" t="s">
        <v>53</v>
      </c>
      <c r="G251" s="40" t="s">
        <v>42</v>
      </c>
      <c r="H251" s="41" t="s">
        <v>561</v>
      </c>
      <c r="I251" s="42" t="s">
        <v>43</v>
      </c>
      <c r="J251" s="40" t="s">
        <v>43</v>
      </c>
      <c r="K251" s="41" t="s">
        <v>43</v>
      </c>
      <c r="L251" s="40">
        <v>3</v>
      </c>
      <c r="M251" s="40">
        <v>2</v>
      </c>
      <c r="N251" s="41">
        <v>1</v>
      </c>
      <c r="O251" s="40">
        <v>4</v>
      </c>
      <c r="P251" s="40">
        <v>2</v>
      </c>
      <c r="Q251" s="41">
        <v>2</v>
      </c>
      <c r="R251" s="40">
        <v>4</v>
      </c>
      <c r="S251" s="40">
        <v>5</v>
      </c>
      <c r="T251" s="40">
        <v>2</v>
      </c>
      <c r="U251" s="40">
        <v>3</v>
      </c>
      <c r="V251" s="40">
        <v>3</v>
      </c>
      <c r="W251" s="40">
        <v>5</v>
      </c>
      <c r="X251" s="40" t="s">
        <v>45</v>
      </c>
      <c r="Y251" s="40" t="s">
        <v>45</v>
      </c>
      <c r="Z251" s="40" t="s">
        <v>45</v>
      </c>
      <c r="AA251" s="40" t="s">
        <v>45</v>
      </c>
      <c r="AB251" s="40" t="s">
        <v>45</v>
      </c>
      <c r="AC251" s="40" t="s">
        <v>45</v>
      </c>
      <c r="AD251" s="40" t="s">
        <v>45</v>
      </c>
      <c r="AE251" s="40" t="s">
        <v>45</v>
      </c>
      <c r="AF251" s="40" t="s">
        <v>45</v>
      </c>
      <c r="AG251" s="40" t="s">
        <v>45</v>
      </c>
      <c r="AH251" s="40" t="s">
        <v>45</v>
      </c>
      <c r="AI251" s="40" t="s">
        <v>45</v>
      </c>
      <c r="AJ251" s="40" t="s">
        <v>45</v>
      </c>
      <c r="AK251" s="40" t="s">
        <v>45</v>
      </c>
      <c r="AL251" s="40" t="s">
        <v>45</v>
      </c>
      <c r="AM251" s="40" t="s">
        <v>45</v>
      </c>
      <c r="AN251" s="40" t="s">
        <v>45</v>
      </c>
      <c r="AO251" s="41" t="s">
        <v>45</v>
      </c>
      <c r="AP251" s="40" t="s">
        <v>56</v>
      </c>
      <c r="AQ251" s="40">
        <v>6</v>
      </c>
      <c r="AR251" s="48" t="s">
        <v>326</v>
      </c>
      <c r="AS251" s="43" t="s">
        <v>45</v>
      </c>
      <c r="AT251" s="43" t="s">
        <v>103</v>
      </c>
      <c r="AU251" s="44">
        <f t="shared" si="31"/>
        <v>-2.1166698725191955</v>
      </c>
      <c r="AV251" s="44">
        <f t="shared" si="32"/>
        <v>-1.23416323121884</v>
      </c>
      <c r="AW251" s="45">
        <f t="shared" si="33"/>
        <v>3</v>
      </c>
      <c r="AX251" s="45">
        <f t="shared" si="34"/>
        <v>0</v>
      </c>
      <c r="AY251" s="46">
        <f>VLOOKUP(AP251,COND!$A$10:$B$32,2,FALSE)</f>
        <v>1</v>
      </c>
      <c r="AZ251" s="44">
        <f>($AU$3*AU251+$AV$3*AV251+$AW$3*AW251+$AX$3*AX251)*AY251*IF(AQ251&lt;5,0.95,IF(AQ251&lt;7,0.975,1))+$I$3*VLOOKUP(I251,COND!$A$2:$E$7,4,FALSE)+$J$3*VLOOKUP(J251,COND!$A$2:$E$7,2,FALSE)+$K$3*VLOOKUP(K251,COND!$A$2:$E$7,3,FALSE)+IF(BB251="SP",$BB$3,0)+IF($AW251&lt;3,-5,0)+IF(AND($B$2&gt;0,$E251&lt;20),$B$2*25,0)</f>
        <v>23.983566366091374</v>
      </c>
      <c r="BA251" s="47">
        <f>STANDARDIZE(AZ251,AVERAGE($AZ$5:$AZ$445),STDEVP($AZ$5:$AZ$445))</f>
        <v>-0.97690542169065808</v>
      </c>
      <c r="BB251" s="45" t="str">
        <f t="shared" si="35"/>
        <v>SP</v>
      </c>
      <c r="BC251" s="45">
        <v>900</v>
      </c>
      <c r="BD251" s="45">
        <v>246</v>
      </c>
      <c r="BE251" s="45"/>
      <c r="BF251" s="45" t="str">
        <f t="shared" si="36"/>
        <v>Unlikely</v>
      </c>
      <c r="BG251" s="45"/>
      <c r="BH251" s="63">
        <f>INDEX(Table5[[#All],[Ovr]],MATCH(Table3[[#This Row],[PID]],Table5[[#All],[PID]],0))</f>
        <v>618</v>
      </c>
      <c r="BI251" s="63" t="str">
        <f>INDEX(Table5[[#All],[Rnd]],MATCH(Table3[[#This Row],[PID]],Table5[[#All],[PID]],0))</f>
        <v>19</v>
      </c>
      <c r="BJ251" s="63">
        <f>INDEX(Table5[[#All],[Pick]],MATCH(Table3[[#This Row],[PID]],Table5[[#All],[PID]],0))</f>
        <v>15</v>
      </c>
      <c r="BK251" s="63" t="str">
        <f>INDEX(Table5[[#All],[Team]],MATCH(Table3[[#This Row],[PID]],Table5[[#All],[PID]],0))</f>
        <v>Niihama-shi Ghosts</v>
      </c>
      <c r="BL251" s="63" t="str">
        <f>IF(OR(Table3[[#This Row],[POS]]="SP",Table3[[#This Row],[POS]]="RP",Table3[[#This Row],[POS]]="CL"),"P",INDEX(Batters[[#All],[zScore]],MATCH(Table3[[#This Row],[PID]],Batters[[#All],[PID]],0)))</f>
        <v>P</v>
      </c>
    </row>
    <row r="252" spans="1:64" ht="15" customHeight="1" x14ac:dyDescent="0.3">
      <c r="A252" s="40">
        <v>14542</v>
      </c>
      <c r="B252" s="40" t="s">
        <v>380</v>
      </c>
      <c r="C252" s="40" t="s">
        <v>168</v>
      </c>
      <c r="D252" s="40" t="s">
        <v>1439</v>
      </c>
      <c r="E252" s="40">
        <v>21</v>
      </c>
      <c r="F252" s="40" t="s">
        <v>42</v>
      </c>
      <c r="G252" s="40" t="s">
        <v>42</v>
      </c>
      <c r="H252" s="41" t="s">
        <v>561</v>
      </c>
      <c r="I252" s="42" t="s">
        <v>43</v>
      </c>
      <c r="J252" s="40" t="s">
        <v>43</v>
      </c>
      <c r="K252" s="41" t="s">
        <v>43</v>
      </c>
      <c r="L252" s="40">
        <v>2</v>
      </c>
      <c r="M252" s="40">
        <v>2</v>
      </c>
      <c r="N252" s="41">
        <v>1</v>
      </c>
      <c r="O252" s="40">
        <v>4</v>
      </c>
      <c r="P252" s="40">
        <v>2</v>
      </c>
      <c r="Q252" s="41">
        <v>2</v>
      </c>
      <c r="R252" s="40">
        <v>3</v>
      </c>
      <c r="S252" s="40">
        <v>5</v>
      </c>
      <c r="T252" s="40">
        <v>1</v>
      </c>
      <c r="U252" s="40">
        <v>2</v>
      </c>
      <c r="V252" s="40" t="s">
        <v>45</v>
      </c>
      <c r="W252" s="40" t="s">
        <v>45</v>
      </c>
      <c r="X252" s="40">
        <v>3</v>
      </c>
      <c r="Y252" s="40">
        <v>5</v>
      </c>
      <c r="Z252" s="40" t="s">
        <v>45</v>
      </c>
      <c r="AA252" s="40" t="s">
        <v>45</v>
      </c>
      <c r="AB252" s="40" t="s">
        <v>45</v>
      </c>
      <c r="AC252" s="40" t="s">
        <v>45</v>
      </c>
      <c r="AD252" s="40" t="s">
        <v>45</v>
      </c>
      <c r="AE252" s="40" t="s">
        <v>45</v>
      </c>
      <c r="AF252" s="40" t="s">
        <v>45</v>
      </c>
      <c r="AG252" s="40" t="s">
        <v>45</v>
      </c>
      <c r="AH252" s="40" t="s">
        <v>45</v>
      </c>
      <c r="AI252" s="40" t="s">
        <v>45</v>
      </c>
      <c r="AJ252" s="40" t="s">
        <v>45</v>
      </c>
      <c r="AK252" s="40" t="s">
        <v>45</v>
      </c>
      <c r="AL252" s="40" t="s">
        <v>45</v>
      </c>
      <c r="AM252" s="40" t="s">
        <v>45</v>
      </c>
      <c r="AN252" s="40" t="s">
        <v>45</v>
      </c>
      <c r="AO252" s="41" t="s">
        <v>45</v>
      </c>
      <c r="AP252" s="40" t="s">
        <v>328</v>
      </c>
      <c r="AQ252" s="40">
        <v>6</v>
      </c>
      <c r="AR252" s="48" t="s">
        <v>326</v>
      </c>
      <c r="AS252" s="43" t="s">
        <v>45</v>
      </c>
      <c r="AT252" s="43" t="s">
        <v>103</v>
      </c>
      <c r="AU252" s="44">
        <f t="shared" si="31"/>
        <v>-2.311361197028369</v>
      </c>
      <c r="AV252" s="44">
        <f t="shared" si="32"/>
        <v>-1.23416323121884</v>
      </c>
      <c r="AW252" s="45">
        <f t="shared" si="33"/>
        <v>3</v>
      </c>
      <c r="AX252" s="45">
        <f t="shared" si="34"/>
        <v>0</v>
      </c>
      <c r="AY252" s="46">
        <f>VLOOKUP(AP252,COND!$A$10:$B$32,2,FALSE)</f>
        <v>1</v>
      </c>
      <c r="AZ252" s="44">
        <f>($AU$3*AU252+$AV$3*AV252+$AW$3*AW252+$AX$3*AX252)*AY252*IF(AQ252&lt;5,0.95,IF(AQ252&lt;7,0.975,1))+$I$3*VLOOKUP(I252,COND!$A$2:$E$7,4,FALSE)+$J$3*VLOOKUP(J252,COND!$A$2:$E$7,2,FALSE)+$K$3*VLOOKUP(K252,COND!$A$2:$E$7,3,FALSE)+IF(BB252="SP",$BB$3,0)+IF($AW252&lt;3,-5,0)+IF(AND($B$2&gt;0,$E252&lt;20),$B$2*25,0)</f>
        <v>23.945601557812086</v>
      </c>
      <c r="BA252" s="47">
        <f>STANDARDIZE(AZ252,AVERAGE($AZ$5:$AZ$445),STDEVP($AZ$5:$AZ$445))</f>
        <v>-0.97960637612577872</v>
      </c>
      <c r="BB252" s="45" t="str">
        <f t="shared" si="35"/>
        <v>SP</v>
      </c>
      <c r="BC252" s="45">
        <v>900</v>
      </c>
      <c r="BD252" s="45">
        <v>247</v>
      </c>
      <c r="BE252" s="45"/>
      <c r="BF252" s="45" t="str">
        <f t="shared" si="36"/>
        <v>Unlikely</v>
      </c>
      <c r="BG252" s="45"/>
      <c r="BH252" s="63" t="str">
        <f>INDEX(Table5[[#All],[Ovr]],MATCH(Table3[[#This Row],[PID]],Table5[[#All],[PID]],0))</f>
        <v/>
      </c>
      <c r="BI252" s="63" t="str">
        <f>INDEX(Table5[[#All],[Rnd]],MATCH(Table3[[#This Row],[PID]],Table5[[#All],[PID]],0))</f>
        <v/>
      </c>
      <c r="BJ252" s="63" t="str">
        <f>INDEX(Table5[[#All],[Pick]],MATCH(Table3[[#This Row],[PID]],Table5[[#All],[PID]],0))</f>
        <v/>
      </c>
      <c r="BK252" s="63" t="str">
        <f>INDEX(Table5[[#All],[Team]],MATCH(Table3[[#This Row],[PID]],Table5[[#All],[PID]],0))</f>
        <v/>
      </c>
      <c r="BL252" s="63" t="str">
        <f>IF(OR(Table3[[#This Row],[POS]]="SP",Table3[[#This Row],[POS]]="RP",Table3[[#This Row],[POS]]="CL"),"P",INDEX(Batters[[#All],[zScore]],MATCH(Table3[[#This Row],[PID]],Batters[[#All],[PID]],0)))</f>
        <v>P</v>
      </c>
    </row>
    <row r="253" spans="1:64" ht="15" customHeight="1" x14ac:dyDescent="0.3">
      <c r="A253" s="40">
        <v>13808</v>
      </c>
      <c r="B253" s="40" t="s">
        <v>380</v>
      </c>
      <c r="C253" s="40" t="s">
        <v>931</v>
      </c>
      <c r="D253" s="40" t="s">
        <v>772</v>
      </c>
      <c r="E253" s="40">
        <v>22</v>
      </c>
      <c r="F253" s="40" t="s">
        <v>53</v>
      </c>
      <c r="G253" s="40" t="s">
        <v>53</v>
      </c>
      <c r="H253" s="41" t="s">
        <v>561</v>
      </c>
      <c r="I253" s="42" t="s">
        <v>47</v>
      </c>
      <c r="J253" s="40" t="s">
        <v>43</v>
      </c>
      <c r="K253" s="41" t="s">
        <v>43</v>
      </c>
      <c r="L253" s="40">
        <v>2</v>
      </c>
      <c r="M253" s="40">
        <v>1</v>
      </c>
      <c r="N253" s="41">
        <v>2</v>
      </c>
      <c r="O253" s="40">
        <v>4</v>
      </c>
      <c r="P253" s="40">
        <v>1</v>
      </c>
      <c r="Q253" s="41">
        <v>4</v>
      </c>
      <c r="R253" s="40">
        <v>4</v>
      </c>
      <c r="S253" s="40">
        <v>5</v>
      </c>
      <c r="T253" s="40" t="s">
        <v>45</v>
      </c>
      <c r="U253" s="40" t="s">
        <v>45</v>
      </c>
      <c r="V253" s="40" t="s">
        <v>45</v>
      </c>
      <c r="W253" s="40" t="s">
        <v>45</v>
      </c>
      <c r="X253" s="40">
        <v>2</v>
      </c>
      <c r="Y253" s="40">
        <v>6</v>
      </c>
      <c r="Z253" s="40" t="s">
        <v>45</v>
      </c>
      <c r="AA253" s="40" t="s">
        <v>45</v>
      </c>
      <c r="AB253" s="40" t="s">
        <v>45</v>
      </c>
      <c r="AC253" s="40" t="s">
        <v>45</v>
      </c>
      <c r="AD253" s="40" t="s">
        <v>45</v>
      </c>
      <c r="AE253" s="40" t="s">
        <v>45</v>
      </c>
      <c r="AF253" s="40" t="s">
        <v>45</v>
      </c>
      <c r="AG253" s="40" t="s">
        <v>45</v>
      </c>
      <c r="AH253" s="40" t="s">
        <v>45</v>
      </c>
      <c r="AI253" s="40" t="s">
        <v>45</v>
      </c>
      <c r="AJ253" s="40" t="s">
        <v>45</v>
      </c>
      <c r="AK253" s="40" t="s">
        <v>45</v>
      </c>
      <c r="AL253" s="40" t="s">
        <v>45</v>
      </c>
      <c r="AM253" s="40" t="s">
        <v>45</v>
      </c>
      <c r="AN253" s="40" t="s">
        <v>45</v>
      </c>
      <c r="AO253" s="41" t="s">
        <v>45</v>
      </c>
      <c r="AP253" s="40" t="s">
        <v>328</v>
      </c>
      <c r="AQ253" s="40">
        <v>1</v>
      </c>
      <c r="AR253" s="48" t="s">
        <v>14</v>
      </c>
      <c r="AS253" s="43" t="s">
        <v>45</v>
      </c>
      <c r="AT253" s="43" t="s">
        <v>103</v>
      </c>
      <c r="AU253" s="44">
        <f t="shared" si="31"/>
        <v>-2.2644723474043147</v>
      </c>
      <c r="AV253" s="44">
        <f t="shared" si="32"/>
        <v>-0.94495381554067481</v>
      </c>
      <c r="AW253" s="45">
        <f t="shared" si="33"/>
        <v>2</v>
      </c>
      <c r="AX253" s="45">
        <f t="shared" si="34"/>
        <v>1</v>
      </c>
      <c r="AY253" s="46">
        <f>VLOOKUP(AP253,COND!$A$10:$B$32,2,FALSE)</f>
        <v>1</v>
      </c>
      <c r="AZ253" s="44">
        <f>($AU$3*AU253+$AV$3*AV253+$AW$3*AW253+$AX$3*AX253)*AY253*IF(AQ253&lt;5,0.95,IF(AQ253&lt;7,0.975,1))+$I$3*VLOOKUP(I253,COND!$A$2:$E$7,4,FALSE)+$J$3*VLOOKUP(J253,COND!$A$2:$E$7,2,FALSE)+$K$3*VLOOKUP(K253,COND!$A$2:$E$7,3,FALSE)+IF(BB253="SP",$BB$3,0)+IF($AW253&lt;3,-5,0)+IF(AND($B$2&gt;0,$E253&lt;20),$B$2*25,0)</f>
        <v>23.978127758720358</v>
      </c>
      <c r="BA253" s="47">
        <f>STANDARDIZE(AZ253,AVERAGE($AZ$5:$AZ$428),STDEVP($AZ$5:$AZ$428))</f>
        <v>-0.9843984096420606</v>
      </c>
      <c r="BB253" s="45" t="str">
        <f t="shared" si="35"/>
        <v>RP</v>
      </c>
      <c r="BC253" s="45">
        <v>900</v>
      </c>
      <c r="BD253" s="45">
        <v>248</v>
      </c>
      <c r="BE253" s="45"/>
      <c r="BF253" s="45" t="str">
        <f t="shared" si="36"/>
        <v>Unlikely</v>
      </c>
      <c r="BG253" s="45"/>
      <c r="BH253" s="45">
        <f>INDEX(Table5[[#All],[Ovr]],MATCH(Table3[[#This Row],[PID]],Table5[[#All],[PID]],0))</f>
        <v>648</v>
      </c>
      <c r="BI253" s="45" t="str">
        <f>INDEX(Table5[[#All],[Rnd]],MATCH(Table3[[#This Row],[PID]],Table5[[#All],[PID]],0))</f>
        <v>20</v>
      </c>
      <c r="BJ253" s="45">
        <f>INDEX(Table5[[#All],[Pick]],MATCH(Table3[[#This Row],[PID]],Table5[[#All],[PID]],0))</f>
        <v>11</v>
      </c>
      <c r="BK253" s="45" t="str">
        <f>INDEX(Table5[[#All],[Team]],MATCH(Table3[[#This Row],[PID]],Table5[[#All],[PID]],0))</f>
        <v>Arlington Bureaucrats</v>
      </c>
      <c r="BL253" s="45" t="str">
        <f>IF(OR(Table3[[#This Row],[POS]]="SP",Table3[[#This Row],[POS]]="RP",Table3[[#This Row],[POS]]="CL"),"P",INDEX(Batters[[#All],[zScore]],MATCH(Table3[[#This Row],[PID]],Batters[[#All],[PID]],0)))</f>
        <v>P</v>
      </c>
    </row>
    <row r="254" spans="1:64" ht="15" customHeight="1" x14ac:dyDescent="0.3">
      <c r="A254" s="40">
        <v>10812</v>
      </c>
      <c r="B254" s="40" t="s">
        <v>380</v>
      </c>
      <c r="C254" s="40" t="s">
        <v>942</v>
      </c>
      <c r="D254" s="40" t="s">
        <v>1513</v>
      </c>
      <c r="E254" s="40">
        <v>21</v>
      </c>
      <c r="F254" s="40" t="s">
        <v>53</v>
      </c>
      <c r="G254" s="40" t="s">
        <v>53</v>
      </c>
      <c r="H254" s="41" t="s">
        <v>561</v>
      </c>
      <c r="I254" s="42" t="s">
        <v>43</v>
      </c>
      <c r="J254" s="40" t="s">
        <v>43</v>
      </c>
      <c r="K254" s="41" t="s">
        <v>43</v>
      </c>
      <c r="L254" s="40">
        <v>1</v>
      </c>
      <c r="M254" s="40">
        <v>1</v>
      </c>
      <c r="N254" s="41">
        <v>1</v>
      </c>
      <c r="O254" s="40">
        <v>4</v>
      </c>
      <c r="P254" s="40">
        <v>1</v>
      </c>
      <c r="Q254" s="41">
        <v>2</v>
      </c>
      <c r="R254" s="40">
        <v>2</v>
      </c>
      <c r="S254" s="40">
        <v>3</v>
      </c>
      <c r="T254" s="40">
        <v>2</v>
      </c>
      <c r="U254" s="40">
        <v>6</v>
      </c>
      <c r="V254" s="40" t="s">
        <v>45</v>
      </c>
      <c r="W254" s="40" t="s">
        <v>45</v>
      </c>
      <c r="X254" s="40" t="s">
        <v>45</v>
      </c>
      <c r="Y254" s="40" t="s">
        <v>45</v>
      </c>
      <c r="Z254" s="40" t="s">
        <v>45</v>
      </c>
      <c r="AA254" s="40" t="s">
        <v>45</v>
      </c>
      <c r="AB254" s="40">
        <v>2</v>
      </c>
      <c r="AC254" s="40">
        <v>2</v>
      </c>
      <c r="AD254" s="40" t="s">
        <v>45</v>
      </c>
      <c r="AE254" s="40" t="s">
        <v>45</v>
      </c>
      <c r="AF254" s="40">
        <v>2</v>
      </c>
      <c r="AG254" s="40">
        <v>4</v>
      </c>
      <c r="AH254" s="40" t="s">
        <v>45</v>
      </c>
      <c r="AI254" s="40" t="s">
        <v>45</v>
      </c>
      <c r="AJ254" s="40" t="s">
        <v>45</v>
      </c>
      <c r="AK254" s="40" t="s">
        <v>45</v>
      </c>
      <c r="AL254" s="40" t="s">
        <v>45</v>
      </c>
      <c r="AM254" s="40" t="s">
        <v>45</v>
      </c>
      <c r="AN254" s="40" t="s">
        <v>45</v>
      </c>
      <c r="AO254" s="41" t="s">
        <v>45</v>
      </c>
      <c r="AP254" s="40" t="s">
        <v>67</v>
      </c>
      <c r="AQ254" s="40">
        <v>8</v>
      </c>
      <c r="AR254" s="48" t="s">
        <v>14</v>
      </c>
      <c r="AS254" s="43" t="s">
        <v>45</v>
      </c>
      <c r="AT254" s="43" t="s">
        <v>103</v>
      </c>
      <c r="AU254" s="44">
        <f t="shared" si="31"/>
        <v>-2.7014842379675978</v>
      </c>
      <c r="AV254" s="44">
        <f t="shared" si="32"/>
        <v>-1.4295949476488956</v>
      </c>
      <c r="AW254" s="45">
        <f t="shared" si="33"/>
        <v>4</v>
      </c>
      <c r="AX254" s="45">
        <f t="shared" si="34"/>
        <v>1</v>
      </c>
      <c r="AY254" s="46">
        <f>VLOOKUP(AP254,COND!$A$10:$B$32,2,FALSE)</f>
        <v>0.9</v>
      </c>
      <c r="AZ254" s="44">
        <f>($AU$3*AU254+$AV$3*AV254+$AW$3*AW254+$AX$3*AX254)*AY254*IF(AQ254&lt;5,0.95,IF(AQ254&lt;7,0.975,1))+$I$3*VLOOKUP(I254,COND!$A$2:$E$7,4,FALSE)+$J$3*VLOOKUP(J254,COND!$A$2:$E$7,2,FALSE)+$K$3*VLOOKUP(K254,COND!$A$2:$E$7,3,FALSE)+IF(BB254="SP",$BB$3,0)+IF($AW254&lt;3,-5,0)+IF(AND($B$2&gt;0,$E254&lt;20),$B$2*25,0)</f>
        <v>23.706023779485708</v>
      </c>
      <c r="BA254" s="47">
        <f>STANDARDIZE(AZ254,AVERAGE($AZ$5:$AZ$428),STDEVP($AZ$5:$AZ$428))</f>
        <v>-1.0037741266362898</v>
      </c>
      <c r="BB254" s="45" t="str">
        <f t="shared" si="35"/>
        <v>SP</v>
      </c>
      <c r="BC254" s="45">
        <v>900</v>
      </c>
      <c r="BD254" s="45">
        <v>249</v>
      </c>
      <c r="BE254" s="45"/>
      <c r="BF254" s="45" t="str">
        <f t="shared" si="36"/>
        <v>Unlikely</v>
      </c>
      <c r="BG254" s="45"/>
      <c r="BH254" s="45" t="str">
        <f>INDEX(Table5[[#All],[Ovr]],MATCH(Table3[[#This Row],[PID]],Table5[[#All],[PID]],0))</f>
        <v/>
      </c>
      <c r="BI254" s="45" t="str">
        <f>INDEX(Table5[[#All],[Rnd]],MATCH(Table3[[#This Row],[PID]],Table5[[#All],[PID]],0))</f>
        <v/>
      </c>
      <c r="BJ254" s="45" t="str">
        <f>INDEX(Table5[[#All],[Pick]],MATCH(Table3[[#This Row],[PID]],Table5[[#All],[PID]],0))</f>
        <v/>
      </c>
      <c r="BK254" s="45" t="str">
        <f>INDEX(Table5[[#All],[Team]],MATCH(Table3[[#This Row],[PID]],Table5[[#All],[PID]],0))</f>
        <v/>
      </c>
      <c r="BL254" s="45" t="str">
        <f>IF(OR(Table3[[#This Row],[POS]]="SP",Table3[[#This Row],[POS]]="RP",Table3[[#This Row],[POS]]="CL"),"P",INDEX(Batters[[#All],[zScore]],MATCH(Table3[[#This Row],[PID]],Batters[[#All],[PID]],0)))</f>
        <v>P</v>
      </c>
    </row>
    <row r="255" spans="1:64" ht="15" customHeight="1" x14ac:dyDescent="0.3">
      <c r="A255" s="40">
        <v>5804</v>
      </c>
      <c r="B255" s="40" t="s">
        <v>380</v>
      </c>
      <c r="C255" s="40" t="s">
        <v>320</v>
      </c>
      <c r="D255" s="40" t="s">
        <v>1505</v>
      </c>
      <c r="E255" s="40">
        <v>21</v>
      </c>
      <c r="F255" s="40" t="s">
        <v>42</v>
      </c>
      <c r="G255" s="40" t="s">
        <v>42</v>
      </c>
      <c r="H255" s="41" t="s">
        <v>561</v>
      </c>
      <c r="I255" s="42" t="s">
        <v>43</v>
      </c>
      <c r="J255" s="40" t="s">
        <v>43</v>
      </c>
      <c r="K255" s="41" t="s">
        <v>43</v>
      </c>
      <c r="L255" s="40">
        <v>2</v>
      </c>
      <c r="M255" s="40">
        <v>2</v>
      </c>
      <c r="N255" s="41">
        <v>1</v>
      </c>
      <c r="O255" s="40">
        <v>4</v>
      </c>
      <c r="P255" s="40">
        <v>2</v>
      </c>
      <c r="Q255" s="41">
        <v>3</v>
      </c>
      <c r="R255" s="40">
        <v>4</v>
      </c>
      <c r="S255" s="40">
        <v>6</v>
      </c>
      <c r="T255" s="40" t="s">
        <v>45</v>
      </c>
      <c r="U255" s="40" t="s">
        <v>45</v>
      </c>
      <c r="V255" s="40">
        <v>2</v>
      </c>
      <c r="W255" s="40">
        <v>5</v>
      </c>
      <c r="X255" s="40" t="s">
        <v>45</v>
      </c>
      <c r="Y255" s="40" t="s">
        <v>45</v>
      </c>
      <c r="Z255" s="40" t="s">
        <v>45</v>
      </c>
      <c r="AA255" s="40" t="s">
        <v>45</v>
      </c>
      <c r="AB255" s="40" t="s">
        <v>45</v>
      </c>
      <c r="AC255" s="40" t="s">
        <v>45</v>
      </c>
      <c r="AD255" s="40" t="s">
        <v>45</v>
      </c>
      <c r="AE255" s="40" t="s">
        <v>45</v>
      </c>
      <c r="AF255" s="40" t="s">
        <v>45</v>
      </c>
      <c r="AG255" s="40" t="s">
        <v>45</v>
      </c>
      <c r="AH255" s="40" t="s">
        <v>45</v>
      </c>
      <c r="AI255" s="40" t="s">
        <v>45</v>
      </c>
      <c r="AJ255" s="40" t="s">
        <v>45</v>
      </c>
      <c r="AK255" s="40" t="s">
        <v>45</v>
      </c>
      <c r="AL255" s="40" t="s">
        <v>45</v>
      </c>
      <c r="AM255" s="40" t="s">
        <v>45</v>
      </c>
      <c r="AN255" s="40" t="s">
        <v>45</v>
      </c>
      <c r="AO255" s="41" t="s">
        <v>45</v>
      </c>
      <c r="AP255" s="40" t="s">
        <v>328</v>
      </c>
      <c r="AQ255" s="40">
        <v>2</v>
      </c>
      <c r="AR255" s="48" t="s">
        <v>326</v>
      </c>
      <c r="AS255" s="43" t="s">
        <v>45</v>
      </c>
      <c r="AT255" s="43" t="s">
        <v>103</v>
      </c>
      <c r="AU255" s="44">
        <f t="shared" si="31"/>
        <v>-2.311361197028369</v>
      </c>
      <c r="AV255" s="44">
        <f t="shared" si="32"/>
        <v>-0.99184266516472974</v>
      </c>
      <c r="AW255" s="45">
        <f t="shared" si="33"/>
        <v>2</v>
      </c>
      <c r="AX255" s="45">
        <f t="shared" si="34"/>
        <v>1</v>
      </c>
      <c r="AY255" s="46">
        <f>VLOOKUP(AP255,COND!$A$10:$B$32,2,FALSE)</f>
        <v>1</v>
      </c>
      <c r="AZ255" s="44">
        <f>($AU$3*AU255+$AV$3*AV255+$AW$3*AW255+$AX$3*AX255)*AY255*IF(AQ255&lt;5,0.95,IF(AQ255&lt;7,0.975,1))+$I$3*VLOOKUP(I255,COND!$A$2:$E$7,4,FALSE)+$J$3*VLOOKUP(J255,COND!$A$2:$E$7,2,FALSE)+$K$3*VLOOKUP(K255,COND!$A$2:$E$7,3,FALSE)+IF(BB255="SP",$BB$3,0)+IF($AW255&lt;3,-5,0)+IF(AND($B$2&gt;0,$E255&lt;20),$B$2*25,0)</f>
        <v>22.853330734434742</v>
      </c>
      <c r="BA255" s="47">
        <f>STANDARDIZE(AZ255,AVERAGE($AZ$5:$AZ$428),STDEVP($AZ$5:$AZ$428))</f>
        <v>-1.0644918683257916</v>
      </c>
      <c r="BB255" s="45" t="str">
        <f t="shared" si="35"/>
        <v>RP</v>
      </c>
      <c r="BC255" s="45">
        <v>900</v>
      </c>
      <c r="BD255" s="45">
        <v>250</v>
      </c>
      <c r="BE255" s="45"/>
      <c r="BF255" s="45" t="str">
        <f t="shared" si="36"/>
        <v>Unlikely</v>
      </c>
      <c r="BG255" s="45"/>
      <c r="BH255" s="45" t="str">
        <f>INDEX(Table5[[#All],[Ovr]],MATCH(Table3[[#This Row],[PID]],Table5[[#All],[PID]],0))</f>
        <v/>
      </c>
      <c r="BI255" s="45" t="str">
        <f>INDEX(Table5[[#All],[Rnd]],MATCH(Table3[[#This Row],[PID]],Table5[[#All],[PID]],0))</f>
        <v/>
      </c>
      <c r="BJ255" s="45" t="str">
        <f>INDEX(Table5[[#All],[Pick]],MATCH(Table3[[#This Row],[PID]],Table5[[#All],[PID]],0))</f>
        <v/>
      </c>
      <c r="BK255" s="45" t="str">
        <f>INDEX(Table5[[#All],[Team]],MATCH(Table3[[#This Row],[PID]],Table5[[#All],[PID]],0))</f>
        <v/>
      </c>
      <c r="BL255" s="45" t="str">
        <f>IF(OR(Table3[[#This Row],[POS]]="SP",Table3[[#This Row],[POS]]="RP",Table3[[#This Row],[POS]]="CL"),"P",INDEX(Batters[[#All],[zScore]],MATCH(Table3[[#This Row],[PID]],Batters[[#All],[PID]],0)))</f>
        <v>P</v>
      </c>
    </row>
    <row r="256" spans="1:64" ht="15" customHeight="1" x14ac:dyDescent="0.3">
      <c r="A256" s="40">
        <v>10964</v>
      </c>
      <c r="B256" s="40" t="s">
        <v>380</v>
      </c>
      <c r="C256" s="40" t="s">
        <v>1595</v>
      </c>
      <c r="D256" s="40" t="s">
        <v>1596</v>
      </c>
      <c r="E256" s="40">
        <v>21</v>
      </c>
      <c r="F256" s="40" t="s">
        <v>42</v>
      </c>
      <c r="G256" s="40" t="s">
        <v>42</v>
      </c>
      <c r="H256" s="41" t="s">
        <v>561</v>
      </c>
      <c r="I256" s="42" t="s">
        <v>44</v>
      </c>
      <c r="J256" s="40" t="s">
        <v>43</v>
      </c>
      <c r="K256" s="41" t="s">
        <v>43</v>
      </c>
      <c r="L256" s="40">
        <v>2</v>
      </c>
      <c r="M256" s="40">
        <v>1</v>
      </c>
      <c r="N256" s="41">
        <v>2</v>
      </c>
      <c r="O256" s="40">
        <v>3</v>
      </c>
      <c r="P256" s="40">
        <v>1</v>
      </c>
      <c r="Q256" s="41">
        <v>3</v>
      </c>
      <c r="R256" s="40">
        <v>3</v>
      </c>
      <c r="S256" s="40">
        <v>3</v>
      </c>
      <c r="T256" s="40">
        <v>1</v>
      </c>
      <c r="U256" s="40">
        <v>1</v>
      </c>
      <c r="V256" s="40">
        <v>2</v>
      </c>
      <c r="W256" s="40">
        <v>3</v>
      </c>
      <c r="X256" s="40" t="s">
        <v>45</v>
      </c>
      <c r="Y256" s="40" t="s">
        <v>45</v>
      </c>
      <c r="Z256" s="40" t="s">
        <v>45</v>
      </c>
      <c r="AA256" s="40" t="s">
        <v>45</v>
      </c>
      <c r="AB256" s="40" t="s">
        <v>45</v>
      </c>
      <c r="AC256" s="40" t="s">
        <v>45</v>
      </c>
      <c r="AD256" s="40" t="s">
        <v>45</v>
      </c>
      <c r="AE256" s="40" t="s">
        <v>45</v>
      </c>
      <c r="AF256" s="40">
        <v>3</v>
      </c>
      <c r="AG256" s="40">
        <v>4</v>
      </c>
      <c r="AH256" s="40" t="s">
        <v>45</v>
      </c>
      <c r="AI256" s="40" t="s">
        <v>45</v>
      </c>
      <c r="AJ256" s="40" t="s">
        <v>45</v>
      </c>
      <c r="AK256" s="40" t="s">
        <v>45</v>
      </c>
      <c r="AL256" s="40" t="s">
        <v>45</v>
      </c>
      <c r="AM256" s="40" t="s">
        <v>45</v>
      </c>
      <c r="AN256" s="40" t="s">
        <v>45</v>
      </c>
      <c r="AO256" s="41" t="s">
        <v>45</v>
      </c>
      <c r="AP256" s="40" t="s">
        <v>328</v>
      </c>
      <c r="AQ256" s="40">
        <v>6</v>
      </c>
      <c r="AR256" s="48" t="s">
        <v>330</v>
      </c>
      <c r="AS256" s="43" t="s">
        <v>45</v>
      </c>
      <c r="AT256" s="43" t="s">
        <v>103</v>
      </c>
      <c r="AU256" s="44">
        <f t="shared" si="31"/>
        <v>-2.2644723474043147</v>
      </c>
      <c r="AV256" s="44">
        <f t="shared" si="32"/>
        <v>-1.3819657061039585</v>
      </c>
      <c r="AW256" s="45">
        <f t="shared" si="33"/>
        <v>4</v>
      </c>
      <c r="AX256" s="45">
        <f t="shared" si="34"/>
        <v>0</v>
      </c>
      <c r="AY256" s="46">
        <f>VLOOKUP(AP256,COND!$A$10:$B$32,2,FALSE)</f>
        <v>1</v>
      </c>
      <c r="AZ256" s="44">
        <f>($AU$3*AU256+$AV$3*AV256+$AW$3*AW256+$AX$3*AX256)*AY256*IF(AQ256&lt;5,0.95,IF(AQ256&lt;7,0.975,1))+$I$3*VLOOKUP(I256,COND!$A$2:$E$7,4,FALSE)+$J$3*VLOOKUP(J256,COND!$A$2:$E$7,2,FALSE)+$K$3*VLOOKUP(K256,COND!$A$2:$E$7,3,FALSE)+IF(BB256="SP",$BB$3,0)+IF($AW256&lt;3,-5,0)+IF(AND($B$2&gt;0,$E256&lt;20),$B$2*25,0)</f>
        <v>21.410096623228966</v>
      </c>
      <c r="BA256" s="47">
        <f>STANDARDIZE(AZ256,AVERAGE($AZ$5:$AZ$445),STDEVP($AZ$5:$AZ$445))</f>
        <v>-1.1599914118660728</v>
      </c>
      <c r="BB256" s="45" t="str">
        <f t="shared" si="35"/>
        <v>SP</v>
      </c>
      <c r="BC256" s="45">
        <v>900</v>
      </c>
      <c r="BD256" s="45">
        <v>251</v>
      </c>
      <c r="BE256" s="45"/>
      <c r="BF256" s="45" t="str">
        <f t="shared" si="36"/>
        <v>Unlikely</v>
      </c>
      <c r="BG256" s="45"/>
      <c r="BH256" s="63">
        <f>INDEX(Table5[[#All],[Ovr]],MATCH(Table3[[#This Row],[PID]],Table5[[#All],[PID]],0))</f>
        <v>635</v>
      </c>
      <c r="BI256" s="63" t="str">
        <f>INDEX(Table5[[#All],[Rnd]],MATCH(Table3[[#This Row],[PID]],Table5[[#All],[PID]],0))</f>
        <v>19</v>
      </c>
      <c r="BJ256" s="63">
        <f>INDEX(Table5[[#All],[Pick]],MATCH(Table3[[#This Row],[PID]],Table5[[#All],[PID]],0))</f>
        <v>32</v>
      </c>
      <c r="BK256" s="63" t="str">
        <f>INDEX(Table5[[#All],[Team]],MATCH(Table3[[#This Row],[PID]],Table5[[#All],[PID]],0))</f>
        <v>Florida Farstriders</v>
      </c>
      <c r="BL256" s="63" t="str">
        <f>IF(OR(Table3[[#This Row],[POS]]="SP",Table3[[#This Row],[POS]]="RP",Table3[[#This Row],[POS]]="CL"),"P",INDEX(Batters[[#All],[zScore]],MATCH(Table3[[#This Row],[PID]],Batters[[#All],[PID]],0)))</f>
        <v>P</v>
      </c>
    </row>
    <row r="257" spans="1:64" ht="15" customHeight="1" x14ac:dyDescent="0.3">
      <c r="A257" s="40">
        <v>8237</v>
      </c>
      <c r="B257" s="40" t="s">
        <v>380</v>
      </c>
      <c r="C257" s="40" t="s">
        <v>143</v>
      </c>
      <c r="D257" s="40" t="s">
        <v>1129</v>
      </c>
      <c r="E257" s="40">
        <v>21</v>
      </c>
      <c r="F257" s="40" t="s">
        <v>42</v>
      </c>
      <c r="G257" s="40" t="s">
        <v>42</v>
      </c>
      <c r="H257" s="41" t="s">
        <v>561</v>
      </c>
      <c r="I257" s="42" t="s">
        <v>43</v>
      </c>
      <c r="J257" s="40" t="s">
        <v>43</v>
      </c>
      <c r="K257" s="41" t="s">
        <v>43</v>
      </c>
      <c r="L257" s="40">
        <v>1</v>
      </c>
      <c r="M257" s="40">
        <v>2</v>
      </c>
      <c r="N257" s="41">
        <v>1</v>
      </c>
      <c r="O257" s="40">
        <v>3</v>
      </c>
      <c r="P257" s="40">
        <v>2</v>
      </c>
      <c r="Q257" s="41">
        <v>2</v>
      </c>
      <c r="R257" s="40">
        <v>2</v>
      </c>
      <c r="S257" s="40">
        <v>4</v>
      </c>
      <c r="T257" s="40">
        <v>2</v>
      </c>
      <c r="U257" s="40">
        <v>5</v>
      </c>
      <c r="V257" s="40" t="s">
        <v>45</v>
      </c>
      <c r="W257" s="40" t="s">
        <v>45</v>
      </c>
      <c r="X257" s="40">
        <v>2</v>
      </c>
      <c r="Y257" s="40">
        <v>2</v>
      </c>
      <c r="Z257" s="40" t="s">
        <v>45</v>
      </c>
      <c r="AA257" s="40" t="s">
        <v>45</v>
      </c>
      <c r="AB257" s="40" t="s">
        <v>45</v>
      </c>
      <c r="AC257" s="40" t="s">
        <v>45</v>
      </c>
      <c r="AD257" s="40" t="s">
        <v>45</v>
      </c>
      <c r="AE257" s="40" t="s">
        <v>45</v>
      </c>
      <c r="AF257" s="40" t="s">
        <v>45</v>
      </c>
      <c r="AG257" s="40" t="s">
        <v>45</v>
      </c>
      <c r="AH257" s="40" t="s">
        <v>45</v>
      </c>
      <c r="AI257" s="40" t="s">
        <v>45</v>
      </c>
      <c r="AJ257" s="40" t="s">
        <v>45</v>
      </c>
      <c r="AK257" s="40" t="s">
        <v>45</v>
      </c>
      <c r="AL257" s="40" t="s">
        <v>45</v>
      </c>
      <c r="AM257" s="40" t="s">
        <v>45</v>
      </c>
      <c r="AN257" s="40" t="s">
        <v>45</v>
      </c>
      <c r="AO257" s="41" t="s">
        <v>45</v>
      </c>
      <c r="AP257" s="40" t="s">
        <v>65</v>
      </c>
      <c r="AQ257" s="40">
        <v>6</v>
      </c>
      <c r="AR257" s="48" t="s">
        <v>326</v>
      </c>
      <c r="AS257" s="43" t="s">
        <v>45</v>
      </c>
      <c r="AT257" s="43" t="s">
        <v>103</v>
      </c>
      <c r="AU257" s="44">
        <f t="shared" si="31"/>
        <v>-2.5060525215375429</v>
      </c>
      <c r="AV257" s="44">
        <f t="shared" si="32"/>
        <v>-1.4288545557280135</v>
      </c>
      <c r="AW257" s="45">
        <f t="shared" si="33"/>
        <v>3</v>
      </c>
      <c r="AX257" s="45">
        <f t="shared" si="34"/>
        <v>0</v>
      </c>
      <c r="AY257" s="46">
        <f>VLOOKUP(AP257,COND!$A$10:$B$32,2,FALSE)</f>
        <v>0.95</v>
      </c>
      <c r="AZ257" s="44">
        <f>($AU$3*AU257+$AV$3*AV257+$AW$3*AW257+$AX$3*AX257)*AY257*IF(AQ257&lt;5,0.95,IF(AQ257&lt;7,0.975,1))+$I$3*VLOOKUP(I257,COND!$A$2:$E$7,4,FALSE)+$J$3*VLOOKUP(J257,COND!$A$2:$E$7,2,FALSE)+$K$3*VLOOKUP(K257,COND!$A$2:$E$7,3,FALSE)+IF(BB257="SP",$BB$3,0)+IF($AW257&lt;3,-5,0)+IF(AND($B$2&gt;0,$E257&lt;20),$B$2*25,0)</f>
        <v>21.455598125523725</v>
      </c>
      <c r="BA257" s="47">
        <f>STANDARDIZE(AZ257,AVERAGE($AZ$5:$AZ$428),STDEVP($AZ$5:$AZ$428))</f>
        <v>-1.1640202601561482</v>
      </c>
      <c r="BB257" s="45" t="str">
        <f t="shared" si="35"/>
        <v>SP</v>
      </c>
      <c r="BC257" s="45">
        <v>900</v>
      </c>
      <c r="BD257" s="45">
        <v>252</v>
      </c>
      <c r="BE257" s="45"/>
      <c r="BF257" s="45" t="str">
        <f t="shared" si="36"/>
        <v>Unlikely</v>
      </c>
      <c r="BG257" s="45"/>
      <c r="BH257" s="45" t="str">
        <f>INDEX(Table5[[#All],[Ovr]],MATCH(Table3[[#This Row],[PID]],Table5[[#All],[PID]],0))</f>
        <v/>
      </c>
      <c r="BI257" s="45" t="str">
        <f>INDEX(Table5[[#All],[Rnd]],MATCH(Table3[[#This Row],[PID]],Table5[[#All],[PID]],0))</f>
        <v/>
      </c>
      <c r="BJ257" s="45" t="str">
        <f>INDEX(Table5[[#All],[Pick]],MATCH(Table3[[#This Row],[PID]],Table5[[#All],[PID]],0))</f>
        <v/>
      </c>
      <c r="BK257" s="45" t="str">
        <f>INDEX(Table5[[#All],[Team]],MATCH(Table3[[#This Row],[PID]],Table5[[#All],[PID]],0))</f>
        <v/>
      </c>
      <c r="BL257" s="45" t="str">
        <f>IF(OR(Table3[[#This Row],[POS]]="SP",Table3[[#This Row],[POS]]="RP",Table3[[#This Row],[POS]]="CL"),"P",INDEX(Batters[[#All],[zScore]],MATCH(Table3[[#This Row],[PID]],Batters[[#All],[PID]],0)))</f>
        <v>P</v>
      </c>
    </row>
    <row r="258" spans="1:64" ht="15" customHeight="1" x14ac:dyDescent="0.3">
      <c r="A258" s="40">
        <v>8832</v>
      </c>
      <c r="B258" s="40" t="s">
        <v>380</v>
      </c>
      <c r="C258" s="40" t="s">
        <v>190</v>
      </c>
      <c r="D258" s="40" t="s">
        <v>760</v>
      </c>
      <c r="E258" s="40">
        <v>21</v>
      </c>
      <c r="F258" s="40" t="s">
        <v>42</v>
      </c>
      <c r="G258" s="40" t="s">
        <v>42</v>
      </c>
      <c r="H258" s="41" t="s">
        <v>561</v>
      </c>
      <c r="I258" s="42" t="s">
        <v>43</v>
      </c>
      <c r="J258" s="40" t="s">
        <v>43</v>
      </c>
      <c r="K258" s="41" t="s">
        <v>43</v>
      </c>
      <c r="L258" s="40">
        <v>2</v>
      </c>
      <c r="M258" s="40">
        <v>2</v>
      </c>
      <c r="N258" s="41">
        <v>1</v>
      </c>
      <c r="O258" s="40">
        <v>4</v>
      </c>
      <c r="P258" s="40">
        <v>2</v>
      </c>
      <c r="Q258" s="41">
        <v>3</v>
      </c>
      <c r="R258" s="40">
        <v>3</v>
      </c>
      <c r="S258" s="40">
        <v>5</v>
      </c>
      <c r="T258" s="40" t="s">
        <v>45</v>
      </c>
      <c r="U258" s="40" t="s">
        <v>45</v>
      </c>
      <c r="V258" s="40" t="s">
        <v>45</v>
      </c>
      <c r="W258" s="40" t="s">
        <v>45</v>
      </c>
      <c r="X258" s="40">
        <v>2</v>
      </c>
      <c r="Y258" s="40">
        <v>5</v>
      </c>
      <c r="Z258" s="40" t="s">
        <v>45</v>
      </c>
      <c r="AA258" s="40" t="s">
        <v>45</v>
      </c>
      <c r="AB258" s="40" t="s">
        <v>45</v>
      </c>
      <c r="AC258" s="40" t="s">
        <v>45</v>
      </c>
      <c r="AD258" s="40" t="s">
        <v>45</v>
      </c>
      <c r="AE258" s="40" t="s">
        <v>45</v>
      </c>
      <c r="AF258" s="40" t="s">
        <v>45</v>
      </c>
      <c r="AG258" s="40" t="s">
        <v>45</v>
      </c>
      <c r="AH258" s="40" t="s">
        <v>45</v>
      </c>
      <c r="AI258" s="40" t="s">
        <v>45</v>
      </c>
      <c r="AJ258" s="40" t="s">
        <v>45</v>
      </c>
      <c r="AK258" s="40" t="s">
        <v>45</v>
      </c>
      <c r="AL258" s="40" t="s">
        <v>45</v>
      </c>
      <c r="AM258" s="40" t="s">
        <v>45</v>
      </c>
      <c r="AN258" s="40" t="s">
        <v>45</v>
      </c>
      <c r="AO258" s="41" t="s">
        <v>45</v>
      </c>
      <c r="AP258" s="40" t="s">
        <v>64</v>
      </c>
      <c r="AQ258" s="40">
        <v>6</v>
      </c>
      <c r="AR258" s="48" t="s">
        <v>326</v>
      </c>
      <c r="AS258" s="43" t="s">
        <v>557</v>
      </c>
      <c r="AT258" s="43" t="s">
        <v>103</v>
      </c>
      <c r="AU258" s="44">
        <f t="shared" si="31"/>
        <v>-2.311361197028369</v>
      </c>
      <c r="AV258" s="44">
        <f t="shared" si="32"/>
        <v>-0.99184266516472974</v>
      </c>
      <c r="AW258" s="45">
        <f t="shared" si="33"/>
        <v>2</v>
      </c>
      <c r="AX258" s="45">
        <f t="shared" si="34"/>
        <v>0</v>
      </c>
      <c r="AY258" s="46">
        <f>VLOOKUP(AP258,COND!$A$10:$B$32,2,FALSE)</f>
        <v>1</v>
      </c>
      <c r="AZ258" s="44">
        <f>($AU$3*AU258+$AV$3*AV258+$AW$3*AW258+$AX$3*AX258)*AY258*IF(AQ258&lt;5,0.95,IF(AQ258&lt;7,0.975,1))+$I$3*VLOOKUP(I258,COND!$A$2:$E$7,4,FALSE)+$J$3*VLOOKUP(J258,COND!$A$2:$E$7,2,FALSE)+$K$3*VLOOKUP(K258,COND!$A$2:$E$7,3,FALSE)+IF(BB258="SP",$BB$3,0)+IF($AW258&lt;3,-5,0)+IF(AND($B$2&gt;0,$E258&lt;20),$B$2*25,0)</f>
        <v>21.183352595867238</v>
      </c>
      <c r="BA258" s="47">
        <f>STANDARDIZE(AZ258,AVERAGE($AZ$5:$AZ$428),STDEVP($AZ$5:$AZ$428))</f>
        <v>-1.1834060565359183</v>
      </c>
      <c r="BB258" s="45" t="str">
        <f t="shared" si="35"/>
        <v>RP</v>
      </c>
      <c r="BC258" s="45">
        <v>900</v>
      </c>
      <c r="BD258" s="45">
        <v>253</v>
      </c>
      <c r="BE258" s="45"/>
      <c r="BF258" s="45" t="str">
        <f t="shared" si="36"/>
        <v>Unlikely</v>
      </c>
      <c r="BG258" s="45"/>
      <c r="BH258" s="45">
        <f>INDEX(Table5[[#All],[Ovr]],MATCH(Table3[[#This Row],[PID]],Table5[[#All],[PID]],0))</f>
        <v>662</v>
      </c>
      <c r="BI258" s="45" t="str">
        <f>INDEX(Table5[[#All],[Rnd]],MATCH(Table3[[#This Row],[PID]],Table5[[#All],[PID]],0))</f>
        <v>20</v>
      </c>
      <c r="BJ258" s="45">
        <f>INDEX(Table5[[#All],[Pick]],MATCH(Table3[[#This Row],[PID]],Table5[[#All],[PID]],0))</f>
        <v>25</v>
      </c>
      <c r="BK258" s="45" t="str">
        <f>INDEX(Table5[[#All],[Team]],MATCH(Table3[[#This Row],[PID]],Table5[[#All],[PID]],0))</f>
        <v>Kalamazoo Badgers</v>
      </c>
      <c r="BL258" s="45" t="str">
        <f>IF(OR(Table3[[#This Row],[POS]]="SP",Table3[[#This Row],[POS]]="RP",Table3[[#This Row],[POS]]="CL"),"P",INDEX(Batters[[#All],[zScore]],MATCH(Table3[[#This Row],[PID]],Batters[[#All],[PID]],0)))</f>
        <v>P</v>
      </c>
    </row>
    <row r="259" spans="1:64" ht="15" customHeight="1" x14ac:dyDescent="0.3">
      <c r="A259" s="40">
        <v>7942</v>
      </c>
      <c r="B259" s="40" t="s">
        <v>380</v>
      </c>
      <c r="C259" s="40" t="s">
        <v>130</v>
      </c>
      <c r="D259" s="40" t="s">
        <v>1391</v>
      </c>
      <c r="E259" s="40">
        <v>21</v>
      </c>
      <c r="F259" s="40" t="s">
        <v>53</v>
      </c>
      <c r="G259" s="40" t="s">
        <v>53</v>
      </c>
      <c r="H259" s="41" t="s">
        <v>561</v>
      </c>
      <c r="I259" s="42" t="s">
        <v>43</v>
      </c>
      <c r="J259" s="40" t="s">
        <v>43</v>
      </c>
      <c r="K259" s="41" t="s">
        <v>43</v>
      </c>
      <c r="L259" s="40">
        <v>2</v>
      </c>
      <c r="M259" s="40">
        <v>1</v>
      </c>
      <c r="N259" s="41">
        <v>1</v>
      </c>
      <c r="O259" s="40">
        <v>5</v>
      </c>
      <c r="P259" s="40">
        <v>1</v>
      </c>
      <c r="Q259" s="41">
        <v>1</v>
      </c>
      <c r="R259" s="40">
        <v>4</v>
      </c>
      <c r="S259" s="40">
        <v>6</v>
      </c>
      <c r="T259" s="40">
        <v>1</v>
      </c>
      <c r="U259" s="40">
        <v>1</v>
      </c>
      <c r="V259" s="40">
        <v>2</v>
      </c>
      <c r="W259" s="40">
        <v>6</v>
      </c>
      <c r="X259" s="40" t="s">
        <v>45</v>
      </c>
      <c r="Y259" s="40" t="s">
        <v>45</v>
      </c>
      <c r="Z259" s="40" t="s">
        <v>45</v>
      </c>
      <c r="AA259" s="40" t="s">
        <v>45</v>
      </c>
      <c r="AB259" s="40" t="s">
        <v>45</v>
      </c>
      <c r="AC259" s="40" t="s">
        <v>45</v>
      </c>
      <c r="AD259" s="40" t="s">
        <v>45</v>
      </c>
      <c r="AE259" s="40" t="s">
        <v>45</v>
      </c>
      <c r="AF259" s="40" t="s">
        <v>45</v>
      </c>
      <c r="AG259" s="40" t="s">
        <v>45</v>
      </c>
      <c r="AH259" s="40" t="s">
        <v>45</v>
      </c>
      <c r="AI259" s="40" t="s">
        <v>45</v>
      </c>
      <c r="AJ259" s="40" t="s">
        <v>45</v>
      </c>
      <c r="AK259" s="40" t="s">
        <v>45</v>
      </c>
      <c r="AL259" s="40" t="s">
        <v>45</v>
      </c>
      <c r="AM259" s="40" t="s">
        <v>45</v>
      </c>
      <c r="AN259" s="40" t="s">
        <v>45</v>
      </c>
      <c r="AO259" s="41" t="s">
        <v>45</v>
      </c>
      <c r="AP259" s="40" t="s">
        <v>329</v>
      </c>
      <c r="AQ259" s="40">
        <v>7</v>
      </c>
      <c r="AR259" s="48" t="s">
        <v>14</v>
      </c>
      <c r="AS259" s="43" t="s">
        <v>45</v>
      </c>
      <c r="AT259" s="43" t="s">
        <v>103</v>
      </c>
      <c r="AU259" s="44">
        <f t="shared" si="31"/>
        <v>-2.5067929134584248</v>
      </c>
      <c r="AV259" s="44">
        <f t="shared" si="32"/>
        <v>-1.4772241891938322</v>
      </c>
      <c r="AW259" s="45">
        <f t="shared" si="33"/>
        <v>3</v>
      </c>
      <c r="AX259" s="45">
        <f t="shared" si="34"/>
        <v>2</v>
      </c>
      <c r="AY259" s="46">
        <f>VLOOKUP(AP259,COND!$A$10:$B$32,2,FALSE)</f>
        <v>1</v>
      </c>
      <c r="AZ259" s="44">
        <f>($AU$3*AU259+$AV$3*AV259+$AW$3*AW259+$AX$3*AX259)*AY259*IF(AQ259&lt;5,0.95,IF(AQ259&lt;7,0.975,1))+$I$3*VLOOKUP(I259,COND!$A$2:$E$7,4,FALSE)+$J$3*VLOOKUP(J259,COND!$A$2:$E$7,2,FALSE)+$K$3*VLOOKUP(K259,COND!$A$2:$E$7,3,FALSE)+IF(BB259="SP",$BB$3,0)+IF($AW259&lt;3,-5,0)+IF(AND($B$2&gt;0,$E259&lt;20),$B$2*25,0)</f>
        <v>20.95415763343167</v>
      </c>
      <c r="BA259" s="47">
        <f>STANDARDIZE(AZ259,AVERAGE($AZ$5:$AZ$445),STDEVP($AZ$5:$AZ$445))</f>
        <v>-1.1924285686028635</v>
      </c>
      <c r="BB259" s="45" t="str">
        <f t="shared" si="35"/>
        <v>SP</v>
      </c>
      <c r="BC259" s="45">
        <v>900</v>
      </c>
      <c r="BD259" s="45">
        <v>254</v>
      </c>
      <c r="BE259" s="45"/>
      <c r="BF259" s="45" t="str">
        <f t="shared" si="36"/>
        <v>Unlikely</v>
      </c>
      <c r="BG259" s="45"/>
      <c r="BH259" s="63">
        <f>INDEX(Table5[[#All],[Ovr]],MATCH(Table3[[#This Row],[PID]],Table5[[#All],[PID]],0))</f>
        <v>657</v>
      </c>
      <c r="BI259" s="63" t="str">
        <f>INDEX(Table5[[#All],[Rnd]],MATCH(Table3[[#This Row],[PID]],Table5[[#All],[PID]],0))</f>
        <v>20</v>
      </c>
      <c r="BJ259" s="63">
        <f>INDEX(Table5[[#All],[Pick]],MATCH(Table3[[#This Row],[PID]],Table5[[#All],[PID]],0))</f>
        <v>20</v>
      </c>
      <c r="BK259" s="63" t="str">
        <f>INDEX(Table5[[#All],[Team]],MATCH(Table3[[#This Row],[PID]],Table5[[#All],[PID]],0))</f>
        <v>Crystal Lake Sandgnats</v>
      </c>
      <c r="BL259" s="63" t="str">
        <f>IF(OR(Table3[[#This Row],[POS]]="SP",Table3[[#This Row],[POS]]="RP",Table3[[#This Row],[POS]]="CL"),"P",INDEX(Batters[[#All],[zScore]],MATCH(Table3[[#This Row],[PID]],Batters[[#All],[PID]],0)))</f>
        <v>P</v>
      </c>
    </row>
    <row r="260" spans="1:64" ht="15" customHeight="1" x14ac:dyDescent="0.3">
      <c r="A260" s="40">
        <v>16194</v>
      </c>
      <c r="B260" s="40" t="s">
        <v>380</v>
      </c>
      <c r="C260" s="40" t="s">
        <v>971</v>
      </c>
      <c r="D260" s="40" t="s">
        <v>694</v>
      </c>
      <c r="E260" s="40">
        <v>22</v>
      </c>
      <c r="F260" s="40" t="s">
        <v>53</v>
      </c>
      <c r="G260" s="40" t="s">
        <v>53</v>
      </c>
      <c r="H260" s="41" t="s">
        <v>561</v>
      </c>
      <c r="I260" s="42" t="s">
        <v>43</v>
      </c>
      <c r="J260" s="40" t="s">
        <v>47</v>
      </c>
      <c r="K260" s="41" t="s">
        <v>47</v>
      </c>
      <c r="L260" s="40">
        <v>2</v>
      </c>
      <c r="M260" s="40">
        <v>2</v>
      </c>
      <c r="N260" s="41">
        <v>2</v>
      </c>
      <c r="O260" s="40">
        <v>3</v>
      </c>
      <c r="P260" s="40">
        <v>2</v>
      </c>
      <c r="Q260" s="41">
        <v>2</v>
      </c>
      <c r="R260" s="40">
        <v>4</v>
      </c>
      <c r="S260" s="40">
        <v>4</v>
      </c>
      <c r="T260" s="40">
        <v>1</v>
      </c>
      <c r="U260" s="40">
        <v>4</v>
      </c>
      <c r="V260" s="40" t="s">
        <v>45</v>
      </c>
      <c r="W260" s="40" t="s">
        <v>45</v>
      </c>
      <c r="X260" s="40">
        <v>2</v>
      </c>
      <c r="Y260" s="40">
        <v>2</v>
      </c>
      <c r="Z260" s="40" t="s">
        <v>45</v>
      </c>
      <c r="AA260" s="40" t="s">
        <v>45</v>
      </c>
      <c r="AB260" s="40" t="s">
        <v>45</v>
      </c>
      <c r="AC260" s="40" t="s">
        <v>45</v>
      </c>
      <c r="AD260" s="40" t="s">
        <v>45</v>
      </c>
      <c r="AE260" s="40" t="s">
        <v>45</v>
      </c>
      <c r="AF260" s="40" t="s">
        <v>45</v>
      </c>
      <c r="AG260" s="40" t="s">
        <v>45</v>
      </c>
      <c r="AH260" s="40" t="s">
        <v>45</v>
      </c>
      <c r="AI260" s="40" t="s">
        <v>45</v>
      </c>
      <c r="AJ260" s="40" t="s">
        <v>45</v>
      </c>
      <c r="AK260" s="40" t="s">
        <v>45</v>
      </c>
      <c r="AL260" s="40" t="s">
        <v>45</v>
      </c>
      <c r="AM260" s="40" t="s">
        <v>45</v>
      </c>
      <c r="AN260" s="40" t="s">
        <v>45</v>
      </c>
      <c r="AO260" s="41" t="s">
        <v>45</v>
      </c>
      <c r="AP260" s="40" t="s">
        <v>64</v>
      </c>
      <c r="AQ260" s="40">
        <v>4</v>
      </c>
      <c r="AR260" s="48" t="s">
        <v>326</v>
      </c>
      <c r="AS260" s="43" t="s">
        <v>45</v>
      </c>
      <c r="AT260" s="43" t="s">
        <v>103</v>
      </c>
      <c r="AU260" s="44">
        <f t="shared" si="31"/>
        <v>-2.0690406309742588</v>
      </c>
      <c r="AV260" s="44">
        <f t="shared" si="32"/>
        <v>-1.4288545557280135</v>
      </c>
      <c r="AW260" s="45">
        <f t="shared" si="33"/>
        <v>3</v>
      </c>
      <c r="AX260" s="45">
        <f t="shared" si="34"/>
        <v>0</v>
      </c>
      <c r="AY260" s="46">
        <f>VLOOKUP(AP260,COND!$A$10:$B$32,2,FALSE)</f>
        <v>1</v>
      </c>
      <c r="AZ260" s="44">
        <f>($AU$3*AU260+$AV$3*AV260+$AW$3*AW260+$AX$3*AX260)*AY260*IF(AQ260&lt;5,0.95,IF(AQ260&lt;7,0.975,1))+$I$3*VLOOKUP(I260,COND!$A$2:$E$7,4,FALSE)+$J$3*VLOOKUP(J260,COND!$A$2:$E$7,2,FALSE)+$K$3*VLOOKUP(K260,COND!$A$2:$E$7,3,FALSE)+IF(BB260="SP",$BB$3,0)+IF($AW260&lt;3,-5,0)+IF(AND($B$2&gt;0,$E260&lt;20),$B$2*25,0)</f>
        <v>19.483645721282638</v>
      </c>
      <c r="BA260" s="47">
        <f>STANDARDIZE(AZ260,AVERAGE($AZ$5:$AZ$445),STDEVP($AZ$5:$AZ$445))</f>
        <v>-1.297046130261502</v>
      </c>
      <c r="BB260" s="45" t="str">
        <f t="shared" si="35"/>
        <v>RP</v>
      </c>
      <c r="BC260" s="45">
        <v>900</v>
      </c>
      <c r="BD260" s="45">
        <v>255</v>
      </c>
      <c r="BE260" s="45"/>
      <c r="BF260" s="45" t="str">
        <f t="shared" si="36"/>
        <v>Unlikely</v>
      </c>
      <c r="BG260" s="45"/>
      <c r="BH260" s="63" t="str">
        <f>INDEX(Table5[[#All],[Ovr]],MATCH(Table3[[#This Row],[PID]],Table5[[#All],[PID]],0))</f>
        <v/>
      </c>
      <c r="BI260" s="63" t="str">
        <f>INDEX(Table5[[#All],[Rnd]],MATCH(Table3[[#This Row],[PID]],Table5[[#All],[PID]],0))</f>
        <v/>
      </c>
      <c r="BJ260" s="63" t="str">
        <f>INDEX(Table5[[#All],[Pick]],MATCH(Table3[[#This Row],[PID]],Table5[[#All],[PID]],0))</f>
        <v/>
      </c>
      <c r="BK260" s="63" t="str">
        <f>INDEX(Table5[[#All],[Team]],MATCH(Table3[[#This Row],[PID]],Table5[[#All],[PID]],0))</f>
        <v/>
      </c>
      <c r="BL260" s="63" t="str">
        <f>IF(OR(Table3[[#This Row],[POS]]="SP",Table3[[#This Row],[POS]]="RP",Table3[[#This Row],[POS]]="CL"),"P",INDEX(Batters[[#All],[zScore]],MATCH(Table3[[#This Row],[PID]],Batters[[#All],[PID]],0)))</f>
        <v>P</v>
      </c>
    </row>
    <row r="261" spans="1:64" ht="15" customHeight="1" x14ac:dyDescent="0.3">
      <c r="A261" s="40">
        <v>10662</v>
      </c>
      <c r="B261" s="40" t="s">
        <v>380</v>
      </c>
      <c r="C261" s="40" t="s">
        <v>402</v>
      </c>
      <c r="D261" s="40" t="s">
        <v>809</v>
      </c>
      <c r="E261" s="40">
        <v>21</v>
      </c>
      <c r="F261" s="40" t="s">
        <v>53</v>
      </c>
      <c r="G261" s="40" t="s">
        <v>53</v>
      </c>
      <c r="H261" s="41" t="s">
        <v>561</v>
      </c>
      <c r="I261" s="42" t="s">
        <v>43</v>
      </c>
      <c r="J261" s="40" t="s">
        <v>43</v>
      </c>
      <c r="K261" s="41" t="s">
        <v>47</v>
      </c>
      <c r="L261" s="40">
        <v>3</v>
      </c>
      <c r="M261" s="40">
        <v>1</v>
      </c>
      <c r="N261" s="41">
        <v>1</v>
      </c>
      <c r="O261" s="40">
        <v>5</v>
      </c>
      <c r="P261" s="40">
        <v>1</v>
      </c>
      <c r="Q261" s="41">
        <v>2</v>
      </c>
      <c r="R261" s="40">
        <v>5</v>
      </c>
      <c r="S261" s="40">
        <v>6</v>
      </c>
      <c r="T261" s="40" t="s">
        <v>45</v>
      </c>
      <c r="U261" s="40" t="s">
        <v>45</v>
      </c>
      <c r="V261" s="40" t="s">
        <v>45</v>
      </c>
      <c r="W261" s="40" t="s">
        <v>45</v>
      </c>
      <c r="X261" s="40">
        <v>3</v>
      </c>
      <c r="Y261" s="40">
        <v>6</v>
      </c>
      <c r="Z261" s="40" t="s">
        <v>45</v>
      </c>
      <c r="AA261" s="40" t="s">
        <v>45</v>
      </c>
      <c r="AB261" s="40" t="s">
        <v>45</v>
      </c>
      <c r="AC261" s="40" t="s">
        <v>45</v>
      </c>
      <c r="AD261" s="40" t="s">
        <v>45</v>
      </c>
      <c r="AE261" s="40" t="s">
        <v>45</v>
      </c>
      <c r="AF261" s="40" t="s">
        <v>45</v>
      </c>
      <c r="AG261" s="40" t="s">
        <v>45</v>
      </c>
      <c r="AH261" s="40" t="s">
        <v>45</v>
      </c>
      <c r="AI261" s="40" t="s">
        <v>45</v>
      </c>
      <c r="AJ261" s="40" t="s">
        <v>45</v>
      </c>
      <c r="AK261" s="40" t="s">
        <v>45</v>
      </c>
      <c r="AL261" s="40" t="s">
        <v>45</v>
      </c>
      <c r="AM261" s="40" t="s">
        <v>45</v>
      </c>
      <c r="AN261" s="40" t="s">
        <v>45</v>
      </c>
      <c r="AO261" s="41" t="s">
        <v>45</v>
      </c>
      <c r="AP261" s="40" t="s">
        <v>57</v>
      </c>
      <c r="AQ261" s="40">
        <v>2</v>
      </c>
      <c r="AR261" s="48" t="s">
        <v>326</v>
      </c>
      <c r="AS261" s="43" t="s">
        <v>45</v>
      </c>
      <c r="AT261" s="43" t="s">
        <v>103</v>
      </c>
      <c r="AU261" s="44">
        <f t="shared" ref="AU261:AU324" si="39">($O$3*(L261-$O$1)/$O$2+$P$3*(M261-$P$1)/$P$2+$Q$3*(N261-$P$1)/$Q$2)/SUM($O$3:$Q$3)</f>
        <v>-2.3121015889492513</v>
      </c>
      <c r="AV261" s="44">
        <f t="shared" ref="AV261:AV324" si="40">($O$3*(O261-$O$1)/$O$2+$P$3*(P261-$P$1)/$P$2+$Q$3*(Q261-$Q$1)/$Q$2)/SUM($O$3:$Q$3)</f>
        <v>-1.2349036231397219</v>
      </c>
      <c r="AW261" s="45">
        <f t="shared" ref="AW261:AW324" si="41">COUNT(R261:AO261)/2</f>
        <v>2</v>
      </c>
      <c r="AX261" s="45">
        <f t="shared" ref="AX261:AX324" si="42">IF(AND(S261&lt;&gt;"-",S261&gt;5),1,0)+IF(AND(U261&lt;&gt;"-",U261&gt;5),1,0)+IF(AND(W261&lt;&gt;"-",W261&gt;5),1,0)+IF(AND(Y261&lt;&gt;"-",Y261&gt;5),1,0)+IF(AND(AA261&lt;&gt;"-",AA261&gt;5),1,0)+IF(AND(AC261&lt;&gt;"-",AC261&gt;5),1,0)+IF(AND(AE261&lt;&gt;"-",AE261&gt;5),1,0)+IF(AND(AG261&lt;&gt;"-",AG261&gt;5),1,0)+IF(AND(AI261&lt;&gt;"-",AI261&gt;5),1,0)+IF(AND(AK261&lt;&gt;"-",AK261&gt;5),1,0)+IF(AND(AM261&lt;&gt;"-",AM261&gt;5),1,0)+IF(AND(AO261&lt;&gt;"-",AO261&gt;5),1,0)</f>
        <v>2</v>
      </c>
      <c r="AY261" s="46">
        <f>VLOOKUP(AP261,COND!$A$10:$B$32,2,FALSE)</f>
        <v>1</v>
      </c>
      <c r="AZ261" s="44">
        <f>($AU$3*AU261+$AV$3*AV261+$AW$3*AW261+$AX$3*AX261)*AY261*IF(AQ261&lt;5,0.95,IF(AQ261&lt;7,0.975,1))+$I$3*VLOOKUP(I261,COND!$A$2:$E$7,4,FALSE)+$J$3*VLOOKUP(J261,COND!$A$2:$E$7,2,FALSE)+$K$3*VLOOKUP(K261,COND!$A$2:$E$7,3,FALSE)+IF(BB261="SP",$BB$3,0)+IF($AW261&lt;3,-5,0)+IF(AND($B$2&gt;0,$E261&lt;20),$B$2*25,0)</f>
        <v>19.722531858444928</v>
      </c>
      <c r="BA261" s="47">
        <f>STANDARDIZE(AZ261,AVERAGE($AZ$5:$AZ$445),STDEVP($AZ$5:$AZ$445))</f>
        <v>-1.2800509022885123</v>
      </c>
      <c r="BB261" s="45" t="str">
        <f t="shared" ref="BB261:BB324" si="43">IF(OR(AND(AQ261&gt;7,AX261&gt;1),AND(AQ261&gt;4,AW261&gt;2)),"SP","RP")</f>
        <v>RP</v>
      </c>
      <c r="BC261" s="45">
        <v>900</v>
      </c>
      <c r="BD261" s="45">
        <v>256</v>
      </c>
      <c r="BE261" s="45"/>
      <c r="BF261" s="45" t="str">
        <f t="shared" ref="BF261:BF324" si="44">IF(AVERAGE($O261:$Q261)&gt;=6,"Likely",IF(AVERAGE($O261:$Q261)&gt;=4,"Possible","Unlikely"))</f>
        <v>Unlikely</v>
      </c>
      <c r="BG261" s="45"/>
      <c r="BH261" s="63">
        <f>INDEX(Table5[[#All],[Ovr]],MATCH(Table3[[#This Row],[PID]],Table5[[#All],[PID]],0))</f>
        <v>577</v>
      </c>
      <c r="BI261" s="63" t="str">
        <f>INDEX(Table5[[#All],[Rnd]],MATCH(Table3[[#This Row],[PID]],Table5[[#All],[PID]],0))</f>
        <v>18</v>
      </c>
      <c r="BJ261" s="63">
        <f>INDEX(Table5[[#All],[Pick]],MATCH(Table3[[#This Row],[PID]],Table5[[#All],[PID]],0))</f>
        <v>8</v>
      </c>
      <c r="BK261" s="63" t="str">
        <f>INDEX(Table5[[#All],[Team]],MATCH(Table3[[#This Row],[PID]],Table5[[#All],[PID]],0))</f>
        <v>Gloucester Fishermen</v>
      </c>
      <c r="BL261" s="63" t="str">
        <f>IF(OR(Table3[[#This Row],[POS]]="SP",Table3[[#This Row],[POS]]="RP",Table3[[#This Row],[POS]]="CL"),"P",INDEX(Batters[[#All],[zScore]],MATCH(Table3[[#This Row],[PID]],Batters[[#All],[PID]],0)))</f>
        <v>P</v>
      </c>
    </row>
    <row r="262" spans="1:64" ht="15" customHeight="1" x14ac:dyDescent="0.3">
      <c r="A262" s="40">
        <v>12297</v>
      </c>
      <c r="B262" s="40" t="s">
        <v>380</v>
      </c>
      <c r="C262" s="40" t="s">
        <v>188</v>
      </c>
      <c r="D262" s="40" t="s">
        <v>1301</v>
      </c>
      <c r="E262" s="40">
        <v>21</v>
      </c>
      <c r="F262" s="40" t="s">
        <v>42</v>
      </c>
      <c r="G262" s="40" t="s">
        <v>42</v>
      </c>
      <c r="H262" s="41" t="s">
        <v>561</v>
      </c>
      <c r="I262" s="42" t="s">
        <v>43</v>
      </c>
      <c r="J262" s="40" t="s">
        <v>43</v>
      </c>
      <c r="K262" s="41" t="s">
        <v>43</v>
      </c>
      <c r="L262" s="40">
        <v>2</v>
      </c>
      <c r="M262" s="40">
        <v>1</v>
      </c>
      <c r="N262" s="41">
        <v>1</v>
      </c>
      <c r="O262" s="40">
        <v>4</v>
      </c>
      <c r="P262" s="40">
        <v>1</v>
      </c>
      <c r="Q262" s="41">
        <v>3</v>
      </c>
      <c r="R262" s="40">
        <v>4</v>
      </c>
      <c r="S262" s="40">
        <v>6</v>
      </c>
      <c r="T262" s="40" t="s">
        <v>45</v>
      </c>
      <c r="U262" s="40" t="s">
        <v>45</v>
      </c>
      <c r="V262" s="40">
        <v>1</v>
      </c>
      <c r="W262" s="40">
        <v>5</v>
      </c>
      <c r="X262" s="40" t="s">
        <v>45</v>
      </c>
      <c r="Y262" s="40" t="s">
        <v>45</v>
      </c>
      <c r="Z262" s="40" t="s">
        <v>45</v>
      </c>
      <c r="AA262" s="40" t="s">
        <v>45</v>
      </c>
      <c r="AB262" s="40" t="s">
        <v>45</v>
      </c>
      <c r="AC262" s="40" t="s">
        <v>45</v>
      </c>
      <c r="AD262" s="40" t="s">
        <v>45</v>
      </c>
      <c r="AE262" s="40" t="s">
        <v>45</v>
      </c>
      <c r="AF262" s="40" t="s">
        <v>45</v>
      </c>
      <c r="AG262" s="40" t="s">
        <v>45</v>
      </c>
      <c r="AH262" s="40" t="s">
        <v>45</v>
      </c>
      <c r="AI262" s="40" t="s">
        <v>45</v>
      </c>
      <c r="AJ262" s="40" t="s">
        <v>45</v>
      </c>
      <c r="AK262" s="40" t="s">
        <v>45</v>
      </c>
      <c r="AL262" s="40" t="s">
        <v>45</v>
      </c>
      <c r="AM262" s="40" t="s">
        <v>45</v>
      </c>
      <c r="AN262" s="40" t="s">
        <v>45</v>
      </c>
      <c r="AO262" s="41" t="s">
        <v>45</v>
      </c>
      <c r="AP262" s="40" t="s">
        <v>328</v>
      </c>
      <c r="AQ262" s="40">
        <v>2</v>
      </c>
      <c r="AR262" s="48" t="s">
        <v>14</v>
      </c>
      <c r="AS262" s="43" t="s">
        <v>557</v>
      </c>
      <c r="AT262" s="43" t="s">
        <v>103</v>
      </c>
      <c r="AU262" s="44">
        <f t="shared" si="39"/>
        <v>-2.5067929134584248</v>
      </c>
      <c r="AV262" s="44">
        <f t="shared" si="40"/>
        <v>-1.1872743815947853</v>
      </c>
      <c r="AW262" s="45">
        <f t="shared" si="41"/>
        <v>2</v>
      </c>
      <c r="AX262" s="45">
        <f t="shared" si="42"/>
        <v>1</v>
      </c>
      <c r="AY262" s="46">
        <f>VLOOKUP(AP262,COND!$A$10:$B$32,2,FALSE)</f>
        <v>1</v>
      </c>
      <c r="AZ262" s="44">
        <f>($AU$3*AU262+$AV$3*AV262+$AW$3*AW262+$AX$3*AX262)*AY262*IF(AQ262&lt;5,0.95,IF(AQ262&lt;7,0.975,1))+$I$3*VLOOKUP(I262,COND!$A$2:$E$7,4,FALSE)+$J$3*VLOOKUP(J262,COND!$A$2:$E$7,2,FALSE)+$K$3*VLOOKUP(K262,COND!$A$2:$E$7,3,FALSE)+IF(BB262="SP",$BB$3,0)+IF($AW262&lt;3,-5,0)+IF(AND($B$2&gt;0,$E262&lt;20),$B$2*25,0)</f>
        <v>19.102996096141979</v>
      </c>
      <c r="BA262" s="47">
        <f>STANDARDIZE(AZ262,AVERAGE($AZ$5:$AZ$428),STDEVP($AZ$5:$AZ$428))</f>
        <v>-1.331542070199363</v>
      </c>
      <c r="BB262" s="45" t="str">
        <f t="shared" si="43"/>
        <v>RP</v>
      </c>
      <c r="BC262" s="45">
        <v>900</v>
      </c>
      <c r="BD262" s="45">
        <v>257</v>
      </c>
      <c r="BE262" s="45"/>
      <c r="BF262" s="45" t="str">
        <f t="shared" si="44"/>
        <v>Unlikely</v>
      </c>
      <c r="BG262" s="45"/>
      <c r="BH262" s="45" t="str">
        <f>INDEX(Table5[[#All],[Ovr]],MATCH(Table3[[#This Row],[PID]],Table5[[#All],[PID]],0))</f>
        <v/>
      </c>
      <c r="BI262" s="45" t="str">
        <f>INDEX(Table5[[#All],[Rnd]],MATCH(Table3[[#This Row],[PID]],Table5[[#All],[PID]],0))</f>
        <v/>
      </c>
      <c r="BJ262" s="45" t="str">
        <f>INDEX(Table5[[#All],[Pick]],MATCH(Table3[[#This Row],[PID]],Table5[[#All],[PID]],0))</f>
        <v/>
      </c>
      <c r="BK262" s="45" t="str">
        <f>INDEX(Table5[[#All],[Team]],MATCH(Table3[[#This Row],[PID]],Table5[[#All],[PID]],0))</f>
        <v/>
      </c>
      <c r="BL262" s="45" t="str">
        <f>IF(OR(Table3[[#This Row],[POS]]="SP",Table3[[#This Row],[POS]]="RP",Table3[[#This Row],[POS]]="CL"),"P",INDEX(Batters[[#All],[zScore]],MATCH(Table3[[#This Row],[PID]],Batters[[#All],[PID]],0)))</f>
        <v>P</v>
      </c>
    </row>
    <row r="263" spans="1:64" ht="15" customHeight="1" x14ac:dyDescent="0.3">
      <c r="A263" s="40">
        <v>15682</v>
      </c>
      <c r="B263" s="40" t="s">
        <v>380</v>
      </c>
      <c r="C263" s="40" t="s">
        <v>1532</v>
      </c>
      <c r="D263" s="40" t="s">
        <v>1533</v>
      </c>
      <c r="E263" s="40">
        <v>21</v>
      </c>
      <c r="F263" s="40" t="s">
        <v>42</v>
      </c>
      <c r="G263" s="40" t="s">
        <v>42</v>
      </c>
      <c r="H263" s="41" t="s">
        <v>561</v>
      </c>
      <c r="I263" s="42" t="s">
        <v>43</v>
      </c>
      <c r="J263" s="40" t="s">
        <v>43</v>
      </c>
      <c r="K263" s="41" t="s">
        <v>43</v>
      </c>
      <c r="L263" s="40">
        <v>2</v>
      </c>
      <c r="M263" s="40">
        <v>1</v>
      </c>
      <c r="N263" s="41">
        <v>2</v>
      </c>
      <c r="O263" s="40">
        <v>4</v>
      </c>
      <c r="P263" s="40">
        <v>1</v>
      </c>
      <c r="Q263" s="41">
        <v>2</v>
      </c>
      <c r="R263" s="40" t="s">
        <v>45</v>
      </c>
      <c r="S263" s="40" t="s">
        <v>45</v>
      </c>
      <c r="T263" s="40" t="s">
        <v>45</v>
      </c>
      <c r="U263" s="40" t="s">
        <v>45</v>
      </c>
      <c r="V263" s="40">
        <v>2</v>
      </c>
      <c r="W263" s="40">
        <v>4</v>
      </c>
      <c r="X263" s="40">
        <v>3</v>
      </c>
      <c r="Y263" s="40">
        <v>5</v>
      </c>
      <c r="Z263" s="40" t="s">
        <v>45</v>
      </c>
      <c r="AA263" s="40" t="s">
        <v>45</v>
      </c>
      <c r="AB263" s="40" t="s">
        <v>45</v>
      </c>
      <c r="AC263" s="40" t="s">
        <v>45</v>
      </c>
      <c r="AD263" s="40">
        <v>3</v>
      </c>
      <c r="AE263" s="40">
        <v>4</v>
      </c>
      <c r="AF263" s="40" t="s">
        <v>45</v>
      </c>
      <c r="AG263" s="40" t="s">
        <v>45</v>
      </c>
      <c r="AH263" s="40" t="s">
        <v>45</v>
      </c>
      <c r="AI263" s="40" t="s">
        <v>45</v>
      </c>
      <c r="AJ263" s="40" t="s">
        <v>45</v>
      </c>
      <c r="AK263" s="40" t="s">
        <v>45</v>
      </c>
      <c r="AL263" s="40" t="s">
        <v>45</v>
      </c>
      <c r="AM263" s="40" t="s">
        <v>45</v>
      </c>
      <c r="AN263" s="40" t="s">
        <v>45</v>
      </c>
      <c r="AO263" s="41" t="s">
        <v>45</v>
      </c>
      <c r="AP263" s="40" t="s">
        <v>328</v>
      </c>
      <c r="AQ263" s="40">
        <v>3</v>
      </c>
      <c r="AR263" s="48" t="s">
        <v>14</v>
      </c>
      <c r="AS263" s="43" t="s">
        <v>45</v>
      </c>
      <c r="AT263" s="43" t="s">
        <v>103</v>
      </c>
      <c r="AU263" s="44">
        <f t="shared" si="39"/>
        <v>-2.2644723474043147</v>
      </c>
      <c r="AV263" s="44">
        <f t="shared" si="40"/>
        <v>-1.4295949476488956</v>
      </c>
      <c r="AW263" s="45">
        <f t="shared" si="41"/>
        <v>3</v>
      </c>
      <c r="AX263" s="45">
        <f t="shared" si="42"/>
        <v>0</v>
      </c>
      <c r="AY263" s="46">
        <f>VLOOKUP(AP263,COND!$A$10:$B$32,2,FALSE)</f>
        <v>1</v>
      </c>
      <c r="AZ263" s="44">
        <f>($AU$3*AU263+$AV$3*AV263+$AW$3*AW263+$AX$3*AX263)*AY263*IF(AQ263&lt;5,0.95,IF(AQ263&lt;7,0.975,1))+$I$3*VLOOKUP(I263,COND!$A$2:$E$7,4,FALSE)+$J$3*VLOOKUP(J263,COND!$A$2:$E$7,2,FALSE)+$K$3*VLOOKUP(K263,COND!$A$2:$E$7,3,FALSE)+IF(BB263="SP",$BB$3,0)+IF($AW263&lt;3,-5,0)+IF(AND($B$2&gt;0,$E263&lt;20),$B$2*25,0)</f>
        <v>18.832446248664162</v>
      </c>
      <c r="BA263" s="47">
        <f>STANDARDIZE(AZ263,AVERAGE($AZ$5:$AZ$428),STDEVP($AZ$5:$AZ$428))</f>
        <v>-1.3508071220824944</v>
      </c>
      <c r="BB263" s="45" t="str">
        <f t="shared" si="43"/>
        <v>RP</v>
      </c>
      <c r="BC263" s="45">
        <v>900</v>
      </c>
      <c r="BD263" s="45">
        <v>258</v>
      </c>
      <c r="BE263" s="45"/>
      <c r="BF263" s="45" t="str">
        <f t="shared" si="44"/>
        <v>Unlikely</v>
      </c>
      <c r="BG263" s="45"/>
      <c r="BH263" s="45" t="str">
        <f>INDEX(Table5[[#All],[Ovr]],MATCH(Table3[[#This Row],[PID]],Table5[[#All],[PID]],0))</f>
        <v/>
      </c>
      <c r="BI263" s="45" t="str">
        <f>INDEX(Table5[[#All],[Rnd]],MATCH(Table3[[#This Row],[PID]],Table5[[#All],[PID]],0))</f>
        <v/>
      </c>
      <c r="BJ263" s="45" t="str">
        <f>INDEX(Table5[[#All],[Pick]],MATCH(Table3[[#This Row],[PID]],Table5[[#All],[PID]],0))</f>
        <v/>
      </c>
      <c r="BK263" s="45" t="str">
        <f>INDEX(Table5[[#All],[Team]],MATCH(Table3[[#This Row],[PID]],Table5[[#All],[PID]],0))</f>
        <v/>
      </c>
      <c r="BL263" s="45" t="str">
        <f>IF(OR(Table3[[#This Row],[POS]]="SP",Table3[[#This Row],[POS]]="RP",Table3[[#This Row],[POS]]="CL"),"P",INDEX(Batters[[#All],[zScore]],MATCH(Table3[[#This Row],[PID]],Batters[[#All],[PID]],0)))</f>
        <v>P</v>
      </c>
    </row>
    <row r="264" spans="1:64" ht="15" customHeight="1" x14ac:dyDescent="0.3">
      <c r="A264" s="40">
        <v>8006</v>
      </c>
      <c r="B264" s="40" t="s">
        <v>380</v>
      </c>
      <c r="C264" s="40" t="s">
        <v>1323</v>
      </c>
      <c r="D264" s="40" t="s">
        <v>1324</v>
      </c>
      <c r="E264" s="40">
        <v>21</v>
      </c>
      <c r="F264" s="40" t="s">
        <v>53</v>
      </c>
      <c r="G264" s="40" t="s">
        <v>42</v>
      </c>
      <c r="H264" s="41" t="s">
        <v>561</v>
      </c>
      <c r="I264" s="42" t="s">
        <v>43</v>
      </c>
      <c r="J264" s="40" t="s">
        <v>43</v>
      </c>
      <c r="K264" s="41" t="s">
        <v>43</v>
      </c>
      <c r="L264" s="40">
        <v>1</v>
      </c>
      <c r="M264" s="40">
        <v>1</v>
      </c>
      <c r="N264" s="41">
        <v>1</v>
      </c>
      <c r="O264" s="40">
        <v>4</v>
      </c>
      <c r="P264" s="40">
        <v>1</v>
      </c>
      <c r="Q264" s="41">
        <v>3</v>
      </c>
      <c r="R264" s="40">
        <v>3</v>
      </c>
      <c r="S264" s="40">
        <v>5</v>
      </c>
      <c r="T264" s="40">
        <v>1</v>
      </c>
      <c r="U264" s="40">
        <v>7</v>
      </c>
      <c r="V264" s="40" t="s">
        <v>45</v>
      </c>
      <c r="W264" s="40" t="s">
        <v>45</v>
      </c>
      <c r="X264" s="40" t="s">
        <v>45</v>
      </c>
      <c r="Y264" s="40" t="s">
        <v>45</v>
      </c>
      <c r="Z264" s="40" t="s">
        <v>45</v>
      </c>
      <c r="AA264" s="40" t="s">
        <v>45</v>
      </c>
      <c r="AB264" s="40" t="s">
        <v>45</v>
      </c>
      <c r="AC264" s="40" t="s">
        <v>45</v>
      </c>
      <c r="AD264" s="40" t="s">
        <v>45</v>
      </c>
      <c r="AE264" s="40" t="s">
        <v>45</v>
      </c>
      <c r="AF264" s="40" t="s">
        <v>45</v>
      </c>
      <c r="AG264" s="40" t="s">
        <v>45</v>
      </c>
      <c r="AH264" s="40" t="s">
        <v>45</v>
      </c>
      <c r="AI264" s="40" t="s">
        <v>45</v>
      </c>
      <c r="AJ264" s="40" t="s">
        <v>45</v>
      </c>
      <c r="AK264" s="40" t="s">
        <v>45</v>
      </c>
      <c r="AL264" s="40" t="s">
        <v>45</v>
      </c>
      <c r="AM264" s="40" t="s">
        <v>45</v>
      </c>
      <c r="AN264" s="40" t="s">
        <v>45</v>
      </c>
      <c r="AO264" s="41" t="s">
        <v>45</v>
      </c>
      <c r="AP264" s="40" t="s">
        <v>328</v>
      </c>
      <c r="AQ264" s="40">
        <v>7</v>
      </c>
      <c r="AR264" s="48" t="s">
        <v>14</v>
      </c>
      <c r="AS264" s="43" t="s">
        <v>45</v>
      </c>
      <c r="AT264" s="43" t="s">
        <v>103</v>
      </c>
      <c r="AU264" s="44">
        <f t="shared" si="39"/>
        <v>-2.7014842379675978</v>
      </c>
      <c r="AV264" s="44">
        <f t="shared" si="40"/>
        <v>-1.1872743815947853</v>
      </c>
      <c r="AW264" s="45">
        <f t="shared" si="41"/>
        <v>2</v>
      </c>
      <c r="AX264" s="45">
        <f t="shared" si="42"/>
        <v>1</v>
      </c>
      <c r="AY264" s="46">
        <f>VLOOKUP(AP264,COND!$A$10:$B$32,2,FALSE)</f>
        <v>1</v>
      </c>
      <c r="AZ264" s="44">
        <f>($AU$3*AU264+$AV$3*AV264+$AW$3*AW264+$AX$3*AX264)*AY264*IF(AQ264&lt;5,0.95,IF(AQ264&lt;7,0.975,1))+$I$3*VLOOKUP(I264,COND!$A$2:$E$7,4,FALSE)+$J$3*VLOOKUP(J264,COND!$A$2:$E$7,2,FALSE)+$K$3*VLOOKUP(K264,COND!$A$2:$E$7,3,FALSE)+IF(BB264="SP",$BB$3,0)+IF($AW264&lt;3,-5,0)+IF(AND($B$2&gt;0,$E264&lt;20),$B$2*25,0)</f>
        <v>17.964215520510773</v>
      </c>
      <c r="BA264" s="47">
        <f>STANDARDIZE(AZ264,AVERAGE($AZ$5:$AZ$428),STDEVP($AZ$5:$AZ$428))</f>
        <v>-1.4126312560834404</v>
      </c>
      <c r="BB264" s="45" t="str">
        <f t="shared" si="43"/>
        <v>RP</v>
      </c>
      <c r="BC264" s="45">
        <v>900</v>
      </c>
      <c r="BD264" s="45">
        <v>259</v>
      </c>
      <c r="BE264" s="45"/>
      <c r="BF264" s="45" t="str">
        <f t="shared" si="44"/>
        <v>Unlikely</v>
      </c>
      <c r="BG264" s="45"/>
      <c r="BH264" s="45" t="str">
        <f>INDEX(Table5[[#All],[Ovr]],MATCH(Table3[[#This Row],[PID]],Table5[[#All],[PID]],0))</f>
        <v/>
      </c>
      <c r="BI264" s="45" t="str">
        <f>INDEX(Table5[[#All],[Rnd]],MATCH(Table3[[#This Row],[PID]],Table5[[#All],[PID]],0))</f>
        <v/>
      </c>
      <c r="BJ264" s="45" t="str">
        <f>INDEX(Table5[[#All],[Pick]],MATCH(Table3[[#This Row],[PID]],Table5[[#All],[PID]],0))</f>
        <v/>
      </c>
      <c r="BK264" s="45" t="str">
        <f>INDEX(Table5[[#All],[Team]],MATCH(Table3[[#This Row],[PID]],Table5[[#All],[PID]],0))</f>
        <v/>
      </c>
      <c r="BL264" s="45" t="str">
        <f>IF(OR(Table3[[#This Row],[POS]]="SP",Table3[[#This Row],[POS]]="RP",Table3[[#This Row],[POS]]="CL"),"P",INDEX(Batters[[#All],[zScore]],MATCH(Table3[[#This Row],[PID]],Batters[[#All],[PID]],0)))</f>
        <v>P</v>
      </c>
    </row>
    <row r="265" spans="1:64" ht="15" customHeight="1" x14ac:dyDescent="0.3">
      <c r="A265" s="40">
        <v>16890</v>
      </c>
      <c r="B265" s="40" t="s">
        <v>380</v>
      </c>
      <c r="C265" s="40" t="s">
        <v>618</v>
      </c>
      <c r="D265" s="40" t="s">
        <v>597</v>
      </c>
      <c r="E265" s="40">
        <v>22</v>
      </c>
      <c r="F265" s="40" t="s">
        <v>42</v>
      </c>
      <c r="G265" s="40" t="s">
        <v>42</v>
      </c>
      <c r="H265" s="41" t="s">
        <v>561</v>
      </c>
      <c r="I265" s="42" t="s">
        <v>43</v>
      </c>
      <c r="J265" s="40" t="s">
        <v>43</v>
      </c>
      <c r="K265" s="41" t="s">
        <v>43</v>
      </c>
      <c r="L265" s="40">
        <v>2</v>
      </c>
      <c r="M265" s="40">
        <v>1</v>
      </c>
      <c r="N265" s="41">
        <v>1</v>
      </c>
      <c r="O265" s="40">
        <v>4</v>
      </c>
      <c r="P265" s="40">
        <v>1</v>
      </c>
      <c r="Q265" s="41">
        <v>1</v>
      </c>
      <c r="R265" s="40">
        <v>4</v>
      </c>
      <c r="S265" s="40">
        <v>4</v>
      </c>
      <c r="T265" s="40">
        <v>1</v>
      </c>
      <c r="U265" s="40">
        <v>3</v>
      </c>
      <c r="V265" s="40">
        <v>2</v>
      </c>
      <c r="W265" s="40">
        <v>3</v>
      </c>
      <c r="X265" s="40">
        <v>2</v>
      </c>
      <c r="Y265" s="40">
        <v>5</v>
      </c>
      <c r="Z265" s="40" t="s">
        <v>45</v>
      </c>
      <c r="AA265" s="40" t="s">
        <v>45</v>
      </c>
      <c r="AB265" s="40" t="s">
        <v>45</v>
      </c>
      <c r="AC265" s="40" t="s">
        <v>45</v>
      </c>
      <c r="AD265" s="40" t="s">
        <v>45</v>
      </c>
      <c r="AE265" s="40" t="s">
        <v>45</v>
      </c>
      <c r="AF265" s="40" t="s">
        <v>45</v>
      </c>
      <c r="AG265" s="40" t="s">
        <v>45</v>
      </c>
      <c r="AH265" s="40" t="s">
        <v>45</v>
      </c>
      <c r="AI265" s="40" t="s">
        <v>45</v>
      </c>
      <c r="AJ265" s="40" t="s">
        <v>45</v>
      </c>
      <c r="AK265" s="40" t="s">
        <v>45</v>
      </c>
      <c r="AL265" s="40" t="s">
        <v>45</v>
      </c>
      <c r="AM265" s="40" t="s">
        <v>45</v>
      </c>
      <c r="AN265" s="40" t="s">
        <v>45</v>
      </c>
      <c r="AO265" s="41" t="s">
        <v>45</v>
      </c>
      <c r="AP265" s="40" t="s">
        <v>329</v>
      </c>
      <c r="AQ265" s="40">
        <v>4</v>
      </c>
      <c r="AR265" s="48" t="s">
        <v>330</v>
      </c>
      <c r="AS265" s="43" t="s">
        <v>45</v>
      </c>
      <c r="AT265" s="43" t="s">
        <v>103</v>
      </c>
      <c r="AU265" s="44">
        <f t="shared" si="39"/>
        <v>-2.5067929134584248</v>
      </c>
      <c r="AV265" s="44">
        <f t="shared" si="40"/>
        <v>-1.671915513703006</v>
      </c>
      <c r="AW265" s="45">
        <f t="shared" si="41"/>
        <v>4</v>
      </c>
      <c r="AX265" s="45">
        <f t="shared" si="42"/>
        <v>0</v>
      </c>
      <c r="AY265" s="46">
        <f>VLOOKUP(AP265,COND!$A$10:$B$32,2,FALSE)</f>
        <v>1</v>
      </c>
      <c r="AZ265" s="44">
        <f>($AU$3*AU265+$AV$3*AV265+$AW$3*AW265+$AX$3*AX265)*AY265*IF(AQ265&lt;5,0.95,IF(AQ265&lt;7,0.975,1))+$I$3*VLOOKUP(I265,COND!$A$2:$E$7,4,FALSE)+$J$3*VLOOKUP(J265,COND!$A$2:$E$7,2,FALSE)+$K$3*VLOOKUP(K265,COND!$A$2:$E$7,3,FALSE)+IF(BB265="SP",$BB$3,0)+IF($AW265&lt;3,-5,0)+IF(AND($B$2&gt;0,$E265&lt;20),$B$2*25,0)</f>
        <v>14.657314586085782</v>
      </c>
      <c r="BA265" s="47">
        <f>STANDARDIZE(AZ265,AVERAGE($AZ$5:$AZ$428),STDEVP($AZ$5:$AZ$428))</f>
        <v>-1.6481058596287141</v>
      </c>
      <c r="BB265" s="45" t="str">
        <f t="shared" si="43"/>
        <v>RP</v>
      </c>
      <c r="BC265" s="45">
        <v>900</v>
      </c>
      <c r="BD265" s="45">
        <v>260</v>
      </c>
      <c r="BE265" s="45"/>
      <c r="BF265" s="45" t="str">
        <f t="shared" si="44"/>
        <v>Unlikely</v>
      </c>
      <c r="BG265" s="45"/>
      <c r="BH265" s="45" t="str">
        <f>INDEX(Table5[[#All],[Ovr]],MATCH(Table3[[#This Row],[PID]],Table5[[#All],[PID]],0))</f>
        <v/>
      </c>
      <c r="BI265" s="45" t="str">
        <f>INDEX(Table5[[#All],[Rnd]],MATCH(Table3[[#This Row],[PID]],Table5[[#All],[PID]],0))</f>
        <v/>
      </c>
      <c r="BJ265" s="45" t="str">
        <f>INDEX(Table5[[#All],[Pick]],MATCH(Table3[[#This Row],[PID]],Table5[[#All],[PID]],0))</f>
        <v/>
      </c>
      <c r="BK265" s="45" t="str">
        <f>INDEX(Table5[[#All],[Team]],MATCH(Table3[[#This Row],[PID]],Table5[[#All],[PID]],0))</f>
        <v/>
      </c>
      <c r="BL265" s="45" t="str">
        <f>IF(OR(Table3[[#This Row],[POS]]="SP",Table3[[#This Row],[POS]]="RP",Table3[[#This Row],[POS]]="CL"),"P",INDEX(Batters[[#All],[zScore]],MATCH(Table3[[#This Row],[PID]],Batters[[#All],[PID]],0)))</f>
        <v>P</v>
      </c>
    </row>
    <row r="266" spans="1:64" ht="15" customHeight="1" x14ac:dyDescent="0.3">
      <c r="A266" s="40">
        <v>20434</v>
      </c>
      <c r="B266" s="40" t="s">
        <v>380</v>
      </c>
      <c r="C266" s="40" t="s">
        <v>1610</v>
      </c>
      <c r="D266" s="40" t="s">
        <v>796</v>
      </c>
      <c r="E266" s="40">
        <v>17</v>
      </c>
      <c r="F266" s="40" t="s">
        <v>42</v>
      </c>
      <c r="G266" s="40" t="s">
        <v>42</v>
      </c>
      <c r="H266" s="41" t="s">
        <v>561</v>
      </c>
      <c r="I266" s="42" t="s">
        <v>43</v>
      </c>
      <c r="J266" s="40" t="s">
        <v>44</v>
      </c>
      <c r="K266" s="41" t="s">
        <v>43</v>
      </c>
      <c r="L266" s="40">
        <v>2</v>
      </c>
      <c r="M266" s="40">
        <v>2</v>
      </c>
      <c r="N266" s="41">
        <v>2</v>
      </c>
      <c r="O266" s="40">
        <v>5</v>
      </c>
      <c r="P266" s="40">
        <v>2</v>
      </c>
      <c r="Q266" s="41">
        <v>4</v>
      </c>
      <c r="R266" s="40">
        <v>4</v>
      </c>
      <c r="S266" s="40">
        <v>5</v>
      </c>
      <c r="T266" s="40">
        <v>3</v>
      </c>
      <c r="U266" s="40">
        <v>7</v>
      </c>
      <c r="V266" s="40">
        <v>2</v>
      </c>
      <c r="W266" s="40">
        <v>2</v>
      </c>
      <c r="X266" s="40" t="s">
        <v>45</v>
      </c>
      <c r="Y266" s="40" t="s">
        <v>45</v>
      </c>
      <c r="Z266" s="40" t="s">
        <v>45</v>
      </c>
      <c r="AA266" s="40" t="s">
        <v>45</v>
      </c>
      <c r="AB266" s="40" t="s">
        <v>45</v>
      </c>
      <c r="AC266" s="40" t="s">
        <v>45</v>
      </c>
      <c r="AD266" s="40" t="s">
        <v>45</v>
      </c>
      <c r="AE266" s="40" t="s">
        <v>45</v>
      </c>
      <c r="AF266" s="40" t="s">
        <v>45</v>
      </c>
      <c r="AG266" s="40" t="s">
        <v>45</v>
      </c>
      <c r="AH266" s="40" t="s">
        <v>45</v>
      </c>
      <c r="AI266" s="40" t="s">
        <v>45</v>
      </c>
      <c r="AJ266" s="40" t="s">
        <v>45</v>
      </c>
      <c r="AK266" s="40" t="s">
        <v>45</v>
      </c>
      <c r="AL266" s="40" t="s">
        <v>45</v>
      </c>
      <c r="AM266" s="40" t="s">
        <v>45</v>
      </c>
      <c r="AN266" s="40" t="s">
        <v>45</v>
      </c>
      <c r="AO266" s="41" t="s">
        <v>45</v>
      </c>
      <c r="AP266" s="40" t="s">
        <v>328</v>
      </c>
      <c r="AQ266" s="40">
        <v>6</v>
      </c>
      <c r="AR266" s="48" t="s">
        <v>326</v>
      </c>
      <c r="AS266" s="43" t="s">
        <v>500</v>
      </c>
      <c r="AT266" s="43" t="s">
        <v>103</v>
      </c>
      <c r="AU266" s="44">
        <f t="shared" si="39"/>
        <v>-2.0690406309742588</v>
      </c>
      <c r="AV266" s="44">
        <f t="shared" si="40"/>
        <v>-0.55483077460144581</v>
      </c>
      <c r="AW266" s="45">
        <f t="shared" si="41"/>
        <v>3</v>
      </c>
      <c r="AX266" s="45">
        <f t="shared" si="42"/>
        <v>1</v>
      </c>
      <c r="AY266" s="46">
        <f>VLOOKUP(AP266,COND!$A$10:$B$32,2,FALSE)</f>
        <v>1</v>
      </c>
      <c r="AZ266" s="44">
        <f>($AU$3*AU266+$AV$3*AV266+$AW$3*AW266+$AX$3*AX266)*AY266*IF(AQ266&lt;5,0.95,IF(AQ266&lt;7,0.975,1))+$I$3*VLOOKUP(I266,COND!$A$2:$E$7,4,FALSE)+$J$3*VLOOKUP(J266,COND!$A$2:$E$7,2,FALSE)+$K$3*VLOOKUP(K266,COND!$A$2:$E$7,3,FALSE)+IF(BB266="SP",$BB$3,0)+IF($AW266&lt;3,-5,0)+IF(AND($B$2&gt;0,$E266&lt;20),$B$2*25,0)</f>
        <v>43.158586972231824</v>
      </c>
      <c r="BA266" s="47">
        <f>STANDARDIZE(AZ266,AVERAGE($AZ$5:$AZ$455),STDEVP($AZ$5:$AZ$455))</f>
        <v>0.38727523131533598</v>
      </c>
      <c r="BB266" s="45" t="str">
        <f t="shared" si="43"/>
        <v>SP</v>
      </c>
      <c r="BC266" s="45">
        <v>930</v>
      </c>
      <c r="BD266" s="45">
        <v>261</v>
      </c>
      <c r="BE266" s="45"/>
      <c r="BF266" s="45" t="str">
        <f t="shared" si="44"/>
        <v>Unlikely</v>
      </c>
      <c r="BG266" s="45"/>
      <c r="BH266" s="63">
        <f>INDEX(Table5[[#All],[Ovr]],MATCH(Table3[[#This Row],[PID]],Table5[[#All],[PID]],0))</f>
        <v>377</v>
      </c>
      <c r="BI266" s="63" t="str">
        <f>INDEX(Table5[[#All],[Rnd]],MATCH(Table3[[#This Row],[PID]],Table5[[#All],[PID]],0))</f>
        <v>12</v>
      </c>
      <c r="BJ266" s="63">
        <f>INDEX(Table5[[#All],[Pick]],MATCH(Table3[[#This Row],[PID]],Table5[[#All],[PID]],0))</f>
        <v>12</v>
      </c>
      <c r="BK266" s="63" t="str">
        <f>INDEX(Table5[[#All],[Team]],MATCH(Table3[[#This Row],[PID]],Table5[[#All],[PID]],0))</f>
        <v>Manchester Maulers</v>
      </c>
      <c r="BL266" s="63" t="str">
        <f>IF(OR(Table3[[#This Row],[POS]]="SP",Table3[[#This Row],[POS]]="RP",Table3[[#This Row],[POS]]="CL"),"P",INDEX(Batters[[#All],[zScore]],MATCH(Table3[[#This Row],[PID]],Batters[[#All],[PID]],0)))</f>
        <v>P</v>
      </c>
    </row>
    <row r="267" spans="1:64" ht="15" customHeight="1" x14ac:dyDescent="0.3">
      <c r="A267" s="40">
        <v>9807</v>
      </c>
      <c r="B267" s="40" t="s">
        <v>380</v>
      </c>
      <c r="C267" s="40" t="s">
        <v>782</v>
      </c>
      <c r="D267" s="40" t="s">
        <v>1302</v>
      </c>
      <c r="E267" s="40">
        <v>18</v>
      </c>
      <c r="F267" s="40" t="s">
        <v>42</v>
      </c>
      <c r="G267" s="40" t="s">
        <v>42</v>
      </c>
      <c r="H267" s="41" t="s">
        <v>561</v>
      </c>
      <c r="I267" s="42" t="s">
        <v>43</v>
      </c>
      <c r="J267" s="40" t="s">
        <v>44</v>
      </c>
      <c r="K267" s="41" t="s">
        <v>43</v>
      </c>
      <c r="L267" s="40">
        <v>2</v>
      </c>
      <c r="M267" s="40">
        <v>2</v>
      </c>
      <c r="N267" s="41">
        <v>1</v>
      </c>
      <c r="O267" s="40">
        <v>5</v>
      </c>
      <c r="P267" s="40">
        <v>2</v>
      </c>
      <c r="Q267" s="41">
        <v>4</v>
      </c>
      <c r="R267" s="40">
        <v>4</v>
      </c>
      <c r="S267" s="40">
        <v>6</v>
      </c>
      <c r="T267" s="40">
        <v>1</v>
      </c>
      <c r="U267" s="40">
        <v>4</v>
      </c>
      <c r="V267" s="40" t="s">
        <v>45</v>
      </c>
      <c r="W267" s="40" t="s">
        <v>45</v>
      </c>
      <c r="X267" s="40" t="s">
        <v>45</v>
      </c>
      <c r="Y267" s="40" t="s">
        <v>45</v>
      </c>
      <c r="Z267" s="40" t="s">
        <v>45</v>
      </c>
      <c r="AA267" s="40" t="s">
        <v>45</v>
      </c>
      <c r="AB267" s="40" t="s">
        <v>45</v>
      </c>
      <c r="AC267" s="40" t="s">
        <v>45</v>
      </c>
      <c r="AD267" s="40">
        <v>3</v>
      </c>
      <c r="AE267" s="40">
        <v>5</v>
      </c>
      <c r="AF267" s="40" t="s">
        <v>45</v>
      </c>
      <c r="AG267" s="40" t="s">
        <v>45</v>
      </c>
      <c r="AH267" s="40" t="s">
        <v>45</v>
      </c>
      <c r="AI267" s="40" t="s">
        <v>45</v>
      </c>
      <c r="AJ267" s="40" t="s">
        <v>45</v>
      </c>
      <c r="AK267" s="40" t="s">
        <v>45</v>
      </c>
      <c r="AL267" s="40" t="s">
        <v>45</v>
      </c>
      <c r="AM267" s="40" t="s">
        <v>45</v>
      </c>
      <c r="AN267" s="40" t="s">
        <v>45</v>
      </c>
      <c r="AO267" s="41" t="s">
        <v>45</v>
      </c>
      <c r="AP267" s="40" t="s">
        <v>57</v>
      </c>
      <c r="AQ267" s="40">
        <v>7</v>
      </c>
      <c r="AR267" s="48" t="s">
        <v>326</v>
      </c>
      <c r="AS267" s="43" t="s">
        <v>558</v>
      </c>
      <c r="AT267" s="43" t="s">
        <v>103</v>
      </c>
      <c r="AU267" s="44">
        <f t="shared" si="39"/>
        <v>-2.311361197028369</v>
      </c>
      <c r="AV267" s="44">
        <f t="shared" si="40"/>
        <v>-0.55483077460144581</v>
      </c>
      <c r="AW267" s="45">
        <f t="shared" si="41"/>
        <v>3</v>
      </c>
      <c r="AX267" s="45">
        <f t="shared" si="42"/>
        <v>1</v>
      </c>
      <c r="AY267" s="46">
        <f>VLOOKUP(AP267,COND!$A$10:$B$32,2,FALSE)</f>
        <v>1</v>
      </c>
      <c r="AZ267" s="44">
        <f>($AU$3*AU267+$AV$3*AV267+$AW$3*AW267+$AX$3*AX267)*AY267*IF(AQ267&lt;5,0.95,IF(AQ267&lt;7,0.975,1))+$I$3*VLOOKUP(I267,COND!$A$2:$E$7,4,FALSE)+$J$3*VLOOKUP(J267,COND!$A$2:$E$7,2,FALSE)+$K$3*VLOOKUP(K267,COND!$A$2:$E$7,3,FALSE)+IF(BB267="SP",$BB$3,0)+IF($AW267&lt;3,-5,0)+IF(AND($B$2&gt;0,$E267&lt;20),$B$2*25,0)</f>
        <v>42.891112268565408</v>
      </c>
      <c r="BA267" s="47">
        <f>STANDARDIZE(AZ267,AVERAGE($AZ$5:$AZ$445),STDEVP($AZ$5:$AZ$445))</f>
        <v>0.36824610882284758</v>
      </c>
      <c r="BB267" s="45" t="str">
        <f t="shared" si="43"/>
        <v>SP</v>
      </c>
      <c r="BC267" s="45">
        <v>930</v>
      </c>
      <c r="BD267" s="45">
        <v>262</v>
      </c>
      <c r="BE267" s="45"/>
      <c r="BF267" s="45" t="str">
        <f t="shared" si="44"/>
        <v>Unlikely</v>
      </c>
      <c r="BG267" s="45"/>
      <c r="BH267" s="63">
        <f>INDEX(Table5[[#All],[Ovr]],MATCH(Table3[[#This Row],[PID]],Table5[[#All],[PID]],0))</f>
        <v>423</v>
      </c>
      <c r="BI267" s="63" t="str">
        <f>INDEX(Table5[[#All],[Rnd]],MATCH(Table3[[#This Row],[PID]],Table5[[#All],[PID]],0))</f>
        <v>13</v>
      </c>
      <c r="BJ267" s="63">
        <f>INDEX(Table5[[#All],[Pick]],MATCH(Table3[[#This Row],[PID]],Table5[[#All],[PID]],0))</f>
        <v>24</v>
      </c>
      <c r="BK267" s="63" t="str">
        <f>INDEX(Table5[[#All],[Team]],MATCH(Table3[[#This Row],[PID]],Table5[[#All],[PID]],0))</f>
        <v>Reno Zephyrs</v>
      </c>
      <c r="BL267" s="63" t="str">
        <f>IF(OR(Table3[[#This Row],[POS]]="SP",Table3[[#This Row],[POS]]="RP",Table3[[#This Row],[POS]]="CL"),"P",INDEX(Batters[[#All],[zScore]],MATCH(Table3[[#This Row],[PID]],Batters[[#All],[PID]],0)))</f>
        <v>P</v>
      </c>
    </row>
    <row r="268" spans="1:64" ht="15" customHeight="1" x14ac:dyDescent="0.3">
      <c r="A268" s="40">
        <v>20458</v>
      </c>
      <c r="B268" s="40" t="s">
        <v>380</v>
      </c>
      <c r="C268" s="40" t="s">
        <v>786</v>
      </c>
      <c r="D268" s="40" t="s">
        <v>787</v>
      </c>
      <c r="E268" s="40">
        <v>16</v>
      </c>
      <c r="F268" s="40" t="s">
        <v>42</v>
      </c>
      <c r="G268" s="40" t="s">
        <v>53</v>
      </c>
      <c r="H268" s="41" t="s">
        <v>561</v>
      </c>
      <c r="I268" s="42" t="s">
        <v>43</v>
      </c>
      <c r="J268" s="40" t="s">
        <v>44</v>
      </c>
      <c r="K268" s="41" t="s">
        <v>43</v>
      </c>
      <c r="L268" s="40">
        <v>2</v>
      </c>
      <c r="M268" s="40">
        <v>2</v>
      </c>
      <c r="N268" s="41">
        <v>1</v>
      </c>
      <c r="O268" s="40">
        <v>5</v>
      </c>
      <c r="P268" s="40">
        <v>2</v>
      </c>
      <c r="Q268" s="41">
        <v>4</v>
      </c>
      <c r="R268" s="40">
        <v>3</v>
      </c>
      <c r="S268" s="40">
        <v>5</v>
      </c>
      <c r="T268" s="40">
        <v>1</v>
      </c>
      <c r="U268" s="40">
        <v>3</v>
      </c>
      <c r="V268" s="40">
        <v>2</v>
      </c>
      <c r="W268" s="40">
        <v>6</v>
      </c>
      <c r="X268" s="40" t="s">
        <v>45</v>
      </c>
      <c r="Y268" s="40" t="s">
        <v>45</v>
      </c>
      <c r="Z268" s="40" t="s">
        <v>45</v>
      </c>
      <c r="AA268" s="40" t="s">
        <v>45</v>
      </c>
      <c r="AB268" s="40" t="s">
        <v>45</v>
      </c>
      <c r="AC268" s="40" t="s">
        <v>45</v>
      </c>
      <c r="AD268" s="40" t="s">
        <v>45</v>
      </c>
      <c r="AE268" s="40" t="s">
        <v>45</v>
      </c>
      <c r="AF268" s="40" t="s">
        <v>45</v>
      </c>
      <c r="AG268" s="40" t="s">
        <v>45</v>
      </c>
      <c r="AH268" s="40" t="s">
        <v>45</v>
      </c>
      <c r="AI268" s="40" t="s">
        <v>45</v>
      </c>
      <c r="AJ268" s="40" t="s">
        <v>45</v>
      </c>
      <c r="AK268" s="40" t="s">
        <v>45</v>
      </c>
      <c r="AL268" s="40" t="s">
        <v>45</v>
      </c>
      <c r="AM268" s="40" t="s">
        <v>45</v>
      </c>
      <c r="AN268" s="40" t="s">
        <v>45</v>
      </c>
      <c r="AO268" s="41" t="s">
        <v>45</v>
      </c>
      <c r="AP268" s="40" t="s">
        <v>328</v>
      </c>
      <c r="AQ268" s="40">
        <v>10</v>
      </c>
      <c r="AR268" s="48" t="s">
        <v>326</v>
      </c>
      <c r="AS268" s="43" t="s">
        <v>576</v>
      </c>
      <c r="AT268" s="43" t="s">
        <v>103</v>
      </c>
      <c r="AU268" s="44">
        <f t="shared" si="39"/>
        <v>-2.311361197028369</v>
      </c>
      <c r="AV268" s="44">
        <f t="shared" si="40"/>
        <v>-0.55483077460144581</v>
      </c>
      <c r="AW268" s="45">
        <f t="shared" si="41"/>
        <v>3</v>
      </c>
      <c r="AX268" s="45">
        <f t="shared" si="42"/>
        <v>1</v>
      </c>
      <c r="AY268" s="46">
        <f>VLOOKUP(AP268,COND!$A$10:$B$32,2,FALSE)</f>
        <v>1</v>
      </c>
      <c r="AZ268" s="44">
        <f>($AU$3*AU268+$AV$3*AV268+$AW$3*AW268+$AX$3*AX268)*AY268*IF(AQ268&lt;5,0.95,IF(AQ268&lt;7,0.975,1))+$I$3*VLOOKUP(I268,COND!$A$2:$E$7,4,FALSE)+$J$3*VLOOKUP(J268,COND!$A$2:$E$7,2,FALSE)+$K$3*VLOOKUP(K268,COND!$A$2:$E$7,3,FALSE)+IF(BB268="SP",$BB$3,0)+IF($AW268&lt;3,-5,0)+IF(AND($B$2&gt;0,$E268&lt;20),$B$2*25,0)</f>
        <v>42.891112268565408</v>
      </c>
      <c r="BA268" s="47">
        <f>STANDARDIZE(AZ268,AVERAGE($AZ$5:$AZ$445),STDEVP($AZ$5:$AZ$445))</f>
        <v>0.36824610882284758</v>
      </c>
      <c r="BB268" s="45" t="str">
        <f t="shared" si="43"/>
        <v>SP</v>
      </c>
      <c r="BC268" s="45">
        <v>930</v>
      </c>
      <c r="BD268" s="45">
        <v>263</v>
      </c>
      <c r="BE268" s="45"/>
      <c r="BF268" s="45" t="str">
        <f t="shared" si="44"/>
        <v>Unlikely</v>
      </c>
      <c r="BG268" s="45"/>
      <c r="BH268" s="63">
        <f>INDEX(Table5[[#All],[Ovr]],MATCH(Table3[[#This Row],[PID]],Table5[[#All],[PID]],0))</f>
        <v>341</v>
      </c>
      <c r="BI268" s="63" t="str">
        <f>INDEX(Table5[[#All],[Rnd]],MATCH(Table3[[#This Row],[PID]],Table5[[#All],[PID]],0))</f>
        <v>11</v>
      </c>
      <c r="BJ268" s="63">
        <f>INDEX(Table5[[#All],[Pick]],MATCH(Table3[[#This Row],[PID]],Table5[[#All],[PID]],0))</f>
        <v>10</v>
      </c>
      <c r="BK268" s="63" t="str">
        <f>INDEX(Table5[[#All],[Team]],MATCH(Table3[[#This Row],[PID]],Table5[[#All],[PID]],0))</f>
        <v>London Underground</v>
      </c>
      <c r="BL268" s="63" t="str">
        <f>IF(OR(Table3[[#This Row],[POS]]="SP",Table3[[#This Row],[POS]]="RP",Table3[[#This Row],[POS]]="CL"),"P",INDEX(Batters[[#All],[zScore]],MATCH(Table3[[#This Row],[PID]],Batters[[#All],[PID]],0)))</f>
        <v>P</v>
      </c>
    </row>
    <row r="269" spans="1:64" ht="15" customHeight="1" x14ac:dyDescent="0.3">
      <c r="A269" s="40">
        <v>20860</v>
      </c>
      <c r="B269" s="40" t="s">
        <v>380</v>
      </c>
      <c r="C269" s="40" t="s">
        <v>167</v>
      </c>
      <c r="D269" s="40" t="s">
        <v>607</v>
      </c>
      <c r="E269" s="40">
        <v>17</v>
      </c>
      <c r="F269" s="40" t="s">
        <v>53</v>
      </c>
      <c r="G269" s="40" t="s">
        <v>53</v>
      </c>
      <c r="H269" s="41" t="s">
        <v>561</v>
      </c>
      <c r="I269" s="42" t="s">
        <v>43</v>
      </c>
      <c r="J269" s="40" t="s">
        <v>44</v>
      </c>
      <c r="K269" s="41" t="s">
        <v>43</v>
      </c>
      <c r="L269" s="40">
        <v>2</v>
      </c>
      <c r="M269" s="40">
        <v>2</v>
      </c>
      <c r="N269" s="41">
        <v>1</v>
      </c>
      <c r="O269" s="40">
        <v>5</v>
      </c>
      <c r="P269" s="40">
        <v>3</v>
      </c>
      <c r="Q269" s="41">
        <v>3</v>
      </c>
      <c r="R269" s="40">
        <v>4</v>
      </c>
      <c r="S269" s="40">
        <v>5</v>
      </c>
      <c r="T269" s="40">
        <v>1</v>
      </c>
      <c r="U269" s="40">
        <v>8</v>
      </c>
      <c r="V269" s="40" t="s">
        <v>45</v>
      </c>
      <c r="W269" s="40" t="s">
        <v>45</v>
      </c>
      <c r="X269" s="40" t="s">
        <v>45</v>
      </c>
      <c r="Y269" s="40" t="s">
        <v>45</v>
      </c>
      <c r="Z269" s="40" t="s">
        <v>45</v>
      </c>
      <c r="AA269" s="40" t="s">
        <v>45</v>
      </c>
      <c r="AB269" s="40">
        <v>3</v>
      </c>
      <c r="AC269" s="40">
        <v>3</v>
      </c>
      <c r="AD269" s="40" t="s">
        <v>45</v>
      </c>
      <c r="AE269" s="40" t="s">
        <v>45</v>
      </c>
      <c r="AF269" s="40" t="s">
        <v>45</v>
      </c>
      <c r="AG269" s="40" t="s">
        <v>45</v>
      </c>
      <c r="AH269" s="40" t="s">
        <v>45</v>
      </c>
      <c r="AI269" s="40" t="s">
        <v>45</v>
      </c>
      <c r="AJ269" s="40" t="s">
        <v>45</v>
      </c>
      <c r="AK269" s="40" t="s">
        <v>45</v>
      </c>
      <c r="AL269" s="40" t="s">
        <v>45</v>
      </c>
      <c r="AM269" s="40" t="s">
        <v>45</v>
      </c>
      <c r="AN269" s="40" t="s">
        <v>45</v>
      </c>
      <c r="AO269" s="41" t="s">
        <v>45</v>
      </c>
      <c r="AP269" s="40" t="s">
        <v>329</v>
      </c>
      <c r="AQ269" s="40">
        <v>5</v>
      </c>
      <c r="AR269" s="48" t="s">
        <v>326</v>
      </c>
      <c r="AS269" s="43" t="s">
        <v>583</v>
      </c>
      <c r="AT269" s="43" t="s">
        <v>103</v>
      </c>
      <c r="AU269" s="44">
        <f t="shared" si="39"/>
        <v>-2.311361197028369</v>
      </c>
      <c r="AV269" s="44">
        <f t="shared" si="40"/>
        <v>-0.60171962422550074</v>
      </c>
      <c r="AW269" s="45">
        <f t="shared" si="41"/>
        <v>3</v>
      </c>
      <c r="AX269" s="45">
        <f t="shared" si="42"/>
        <v>1</v>
      </c>
      <c r="AY269" s="46">
        <f>VLOOKUP(AP269,COND!$A$10:$B$32,2,FALSE)</f>
        <v>1</v>
      </c>
      <c r="AZ269" s="44">
        <f>($AU$3*AU269+$AV$3*AV269+$AW$3*AW269+$AX$3*AX269)*AY269*IF(AQ269&lt;5,0.95,IF(AQ269&lt;7,0.975,1))+$I$3*VLOOKUP(I269,COND!$A$2:$E$7,4,FALSE)+$J$3*VLOOKUP(J269,COND!$A$2:$E$7,2,FALSE)+$K$3*VLOOKUP(K269,COND!$A$2:$E$7,3,FALSE)+IF(BB269="SP",$BB$3,0)+IF($AW269&lt;3,-5,0)+IF(AND($B$2&gt;0,$E269&lt;20),$B$2*25,0)</f>
        <v>42.1970018941822</v>
      </c>
      <c r="BA269" s="47">
        <f>STANDARDIZE(AZ269,AVERAGE($AZ$5:$AZ$428),STDEVP($AZ$5:$AZ$428))</f>
        <v>0.31291355983037428</v>
      </c>
      <c r="BB269" s="45" t="str">
        <f t="shared" si="43"/>
        <v>SP</v>
      </c>
      <c r="BC269" s="45">
        <v>930</v>
      </c>
      <c r="BD269" s="45">
        <v>264</v>
      </c>
      <c r="BE269" s="45"/>
      <c r="BF269" s="45" t="str">
        <f t="shared" si="44"/>
        <v>Unlikely</v>
      </c>
      <c r="BG269" s="45"/>
      <c r="BH269" s="45">
        <f>INDEX(Table5[[#All],[Ovr]],MATCH(Table3[[#This Row],[PID]],Table5[[#All],[PID]],0))</f>
        <v>623</v>
      </c>
      <c r="BI269" s="45" t="str">
        <f>INDEX(Table5[[#All],[Rnd]],MATCH(Table3[[#This Row],[PID]],Table5[[#All],[PID]],0))</f>
        <v>19</v>
      </c>
      <c r="BJ269" s="45">
        <f>INDEX(Table5[[#All],[Pick]],MATCH(Table3[[#This Row],[PID]],Table5[[#All],[PID]],0))</f>
        <v>20</v>
      </c>
      <c r="BK269" s="45" t="str">
        <f>INDEX(Table5[[#All],[Team]],MATCH(Table3[[#This Row],[PID]],Table5[[#All],[PID]],0))</f>
        <v>Amsterdam Lions</v>
      </c>
      <c r="BL269" s="45" t="str">
        <f>IF(OR(Table3[[#This Row],[POS]]="SP",Table3[[#This Row],[POS]]="RP",Table3[[#This Row],[POS]]="CL"),"P",INDEX(Batters[[#All],[zScore]],MATCH(Table3[[#This Row],[PID]],Batters[[#All],[PID]],0)))</f>
        <v>P</v>
      </c>
    </row>
    <row r="270" spans="1:64" ht="15" customHeight="1" x14ac:dyDescent="0.3">
      <c r="A270" s="40">
        <v>10394</v>
      </c>
      <c r="B270" s="40" t="s">
        <v>24</v>
      </c>
      <c r="C270" s="40" t="s">
        <v>130</v>
      </c>
      <c r="D270" s="40" t="s">
        <v>861</v>
      </c>
      <c r="E270" s="40">
        <v>18</v>
      </c>
      <c r="F270" s="40" t="s">
        <v>42</v>
      </c>
      <c r="G270" s="40" t="s">
        <v>42</v>
      </c>
      <c r="H270" s="41" t="s">
        <v>561</v>
      </c>
      <c r="I270" s="42" t="s">
        <v>44</v>
      </c>
      <c r="J270" s="40" t="s">
        <v>44</v>
      </c>
      <c r="K270" s="41" t="s">
        <v>43</v>
      </c>
      <c r="L270" s="40">
        <v>3</v>
      </c>
      <c r="M270" s="40">
        <v>1</v>
      </c>
      <c r="N270" s="41">
        <v>1</v>
      </c>
      <c r="O270" s="40">
        <v>6</v>
      </c>
      <c r="P270" s="40">
        <v>1</v>
      </c>
      <c r="Q270" s="41">
        <v>3</v>
      </c>
      <c r="R270" s="40">
        <v>6</v>
      </c>
      <c r="S270" s="40">
        <v>7</v>
      </c>
      <c r="T270" s="40">
        <v>1</v>
      </c>
      <c r="U270" s="40">
        <v>4</v>
      </c>
      <c r="V270" s="40">
        <v>2</v>
      </c>
      <c r="W270" s="40">
        <v>6</v>
      </c>
      <c r="X270" s="40">
        <v>3</v>
      </c>
      <c r="Y270" s="40">
        <v>6</v>
      </c>
      <c r="Z270" s="40" t="s">
        <v>45</v>
      </c>
      <c r="AA270" s="40" t="s">
        <v>45</v>
      </c>
      <c r="AB270" s="40" t="s">
        <v>45</v>
      </c>
      <c r="AC270" s="40" t="s">
        <v>45</v>
      </c>
      <c r="AD270" s="40" t="s">
        <v>45</v>
      </c>
      <c r="AE270" s="40" t="s">
        <v>45</v>
      </c>
      <c r="AF270" s="40">
        <v>4</v>
      </c>
      <c r="AG270" s="40">
        <v>6</v>
      </c>
      <c r="AH270" s="40" t="s">
        <v>45</v>
      </c>
      <c r="AI270" s="40" t="s">
        <v>45</v>
      </c>
      <c r="AJ270" s="40" t="s">
        <v>45</v>
      </c>
      <c r="AK270" s="40" t="s">
        <v>45</v>
      </c>
      <c r="AL270" s="40" t="s">
        <v>45</v>
      </c>
      <c r="AM270" s="40" t="s">
        <v>45</v>
      </c>
      <c r="AN270" s="40" t="s">
        <v>45</v>
      </c>
      <c r="AO270" s="41" t="s">
        <v>45</v>
      </c>
      <c r="AP270" s="40" t="s">
        <v>46</v>
      </c>
      <c r="AQ270" s="40">
        <v>8</v>
      </c>
      <c r="AR270" s="48" t="s">
        <v>330</v>
      </c>
      <c r="AS270" s="43" t="s">
        <v>558</v>
      </c>
      <c r="AT270" s="43" t="s">
        <v>103</v>
      </c>
      <c r="AU270" s="44">
        <f t="shared" si="39"/>
        <v>-2.3121015889492513</v>
      </c>
      <c r="AV270" s="44">
        <f t="shared" si="40"/>
        <v>-0.79789173257643808</v>
      </c>
      <c r="AW270" s="45">
        <f t="shared" si="41"/>
        <v>5</v>
      </c>
      <c r="AX270" s="45">
        <f t="shared" si="42"/>
        <v>4</v>
      </c>
      <c r="AY270" s="46">
        <f>VLOOKUP(AP270,COND!$A$10:$B$32,2,FALSE)</f>
        <v>1.05</v>
      </c>
      <c r="AZ270" s="44">
        <f>($AU$3*AU270+$AV$3*AV270+$AW$3*AW270+$AX$3*AX270)*AY270*IF(AQ270&lt;5,0.95,IF(AQ270&lt;7,0.975,1))+$I$3*VLOOKUP(I270,COND!$A$2:$E$7,4,FALSE)+$J$3*VLOOKUP(J270,COND!$A$2:$E$7,2,FALSE)+$K$3*VLOOKUP(K270,COND!$A$2:$E$7,3,FALSE)+IF(BB270="SP",$BB$3,0)+IF($AW270&lt;3,-5,0)+IF(AND($B$2&gt;0,$E270&lt;20),$B$2*25,0)</f>
        <v>42.183732282215459</v>
      </c>
      <c r="BA270" s="47">
        <f>STANDARDIZE(AZ270,AVERAGE($AZ$5:$AZ$428),STDEVP($AZ$5:$AZ$428))</f>
        <v>0.31196867013484686</v>
      </c>
      <c r="BB270" s="45" t="str">
        <f t="shared" si="43"/>
        <v>SP</v>
      </c>
      <c r="BC270" s="45">
        <v>930</v>
      </c>
      <c r="BD270" s="45">
        <v>265</v>
      </c>
      <c r="BE270" s="45"/>
      <c r="BF270" s="45" t="str">
        <f t="shared" si="44"/>
        <v>Unlikely</v>
      </c>
      <c r="BG270" s="45"/>
      <c r="BH270" s="45">
        <f>INDEX(Table5[[#All],[Ovr]],MATCH(Table3[[#This Row],[PID]],Table5[[#All],[PID]],0))</f>
        <v>240</v>
      </c>
      <c r="BI270" s="45" t="str">
        <f>INDEX(Table5[[#All],[Rnd]],MATCH(Table3[[#This Row],[PID]],Table5[[#All],[PID]],0))</f>
        <v>8</v>
      </c>
      <c r="BJ270" s="45">
        <f>INDEX(Table5[[#All],[Pick]],MATCH(Table3[[#This Row],[PID]],Table5[[#All],[PID]],0))</f>
        <v>7</v>
      </c>
      <c r="BK270" s="45" t="str">
        <f>INDEX(Table5[[#All],[Team]],MATCH(Table3[[#This Row],[PID]],Table5[[#All],[PID]],0))</f>
        <v>Hartford Harpoon</v>
      </c>
      <c r="BL270" s="45" t="str">
        <f>IF(OR(Table3[[#This Row],[POS]]="SP",Table3[[#This Row],[POS]]="RP",Table3[[#This Row],[POS]]="CL"),"P",INDEX(Batters[[#All],[zScore]],MATCH(Table3[[#This Row],[PID]],Batters[[#All],[PID]],0)))</f>
        <v>P</v>
      </c>
    </row>
    <row r="271" spans="1:64" ht="15" customHeight="1" x14ac:dyDescent="0.3">
      <c r="A271" s="40">
        <v>6216</v>
      </c>
      <c r="B271" s="40" t="s">
        <v>49</v>
      </c>
      <c r="C271" s="40" t="s">
        <v>127</v>
      </c>
      <c r="D271" s="40" t="s">
        <v>164</v>
      </c>
      <c r="E271" s="40">
        <v>21</v>
      </c>
      <c r="F271" s="40" t="s">
        <v>42</v>
      </c>
      <c r="G271" s="40" t="s">
        <v>42</v>
      </c>
      <c r="H271" s="41" t="s">
        <v>561</v>
      </c>
      <c r="I271" s="42" t="s">
        <v>44</v>
      </c>
      <c r="J271" s="40" t="s">
        <v>44</v>
      </c>
      <c r="K271" s="41" t="s">
        <v>43</v>
      </c>
      <c r="L271" s="40">
        <v>4</v>
      </c>
      <c r="M271" s="40">
        <v>2</v>
      </c>
      <c r="N271" s="41">
        <v>2</v>
      </c>
      <c r="O271" s="40">
        <v>5</v>
      </c>
      <c r="P271" s="40">
        <v>3</v>
      </c>
      <c r="Q271" s="41">
        <v>4</v>
      </c>
      <c r="R271" s="40">
        <v>6</v>
      </c>
      <c r="S271" s="40">
        <v>7</v>
      </c>
      <c r="T271" s="40">
        <v>2</v>
      </c>
      <c r="U271" s="40">
        <v>3</v>
      </c>
      <c r="V271" s="40">
        <v>3</v>
      </c>
      <c r="W271" s="40">
        <v>4</v>
      </c>
      <c r="X271" s="40" t="s">
        <v>45</v>
      </c>
      <c r="Y271" s="40" t="s">
        <v>45</v>
      </c>
      <c r="Z271" s="40" t="s">
        <v>45</v>
      </c>
      <c r="AA271" s="40" t="s">
        <v>45</v>
      </c>
      <c r="AB271" s="40" t="s">
        <v>45</v>
      </c>
      <c r="AC271" s="40" t="s">
        <v>45</v>
      </c>
      <c r="AD271" s="40" t="s">
        <v>45</v>
      </c>
      <c r="AE271" s="40" t="s">
        <v>45</v>
      </c>
      <c r="AF271" s="40" t="s">
        <v>45</v>
      </c>
      <c r="AG271" s="40" t="s">
        <v>45</v>
      </c>
      <c r="AH271" s="40" t="s">
        <v>45</v>
      </c>
      <c r="AI271" s="40" t="s">
        <v>45</v>
      </c>
      <c r="AJ271" s="40" t="s">
        <v>45</v>
      </c>
      <c r="AK271" s="40" t="s">
        <v>45</v>
      </c>
      <c r="AL271" s="40" t="s">
        <v>45</v>
      </c>
      <c r="AM271" s="40" t="s">
        <v>45</v>
      </c>
      <c r="AN271" s="40" t="s">
        <v>45</v>
      </c>
      <c r="AO271" s="41" t="s">
        <v>45</v>
      </c>
      <c r="AP271" s="40" t="s">
        <v>48</v>
      </c>
      <c r="AQ271" s="40">
        <v>8</v>
      </c>
      <c r="AR271" s="48" t="s">
        <v>326</v>
      </c>
      <c r="AS271" s="43" t="s">
        <v>1367</v>
      </c>
      <c r="AT271" s="43" t="s">
        <v>103</v>
      </c>
      <c r="AU271" s="44">
        <f t="shared" si="39"/>
        <v>-1.6796579819559116</v>
      </c>
      <c r="AV271" s="44">
        <f t="shared" si="40"/>
        <v>-0.35939905817139028</v>
      </c>
      <c r="AW271" s="45">
        <f t="shared" si="41"/>
        <v>3</v>
      </c>
      <c r="AX271" s="45">
        <f t="shared" si="42"/>
        <v>1</v>
      </c>
      <c r="AY271" s="46">
        <f>VLOOKUP(AP271,COND!$A$10:$B$32,2,FALSE)</f>
        <v>1.05</v>
      </c>
      <c r="AZ271" s="44">
        <f>($AU$3*AU271+$AV$3*AV271+$AW$3*AW271+$AX$3*AX271)*AY271*IF(AQ271&lt;5,0.95,IF(AQ271&lt;7,0.975,1))+$I$3*VLOOKUP(I271,COND!$A$2:$E$7,4,FALSE)+$J$3*VLOOKUP(J271,COND!$A$2:$E$7,2,FALSE)+$K$3*VLOOKUP(K271,COND!$A$2:$E$7,3,FALSE)+IF(BB271="SP",$BB$3,0)+IF($AW271&lt;3,-5,0)+IF(AND($B$2&gt;0,$E271&lt;20),$B$2*25,0)</f>
        <v>41.537391602190063</v>
      </c>
      <c r="BA271" s="47">
        <f>STANDARDIZE(AZ271,AVERAGE($AZ$5:$AZ$445),STDEVP($AZ$5:$AZ$445))</f>
        <v>0.27193750083875762</v>
      </c>
      <c r="BB271" s="45" t="str">
        <f t="shared" si="43"/>
        <v>SP</v>
      </c>
      <c r="BC271" s="45">
        <v>930</v>
      </c>
      <c r="BD271" s="45">
        <v>266</v>
      </c>
      <c r="BE271" s="45"/>
      <c r="BF271" s="45" t="str">
        <f t="shared" si="44"/>
        <v>Possible</v>
      </c>
      <c r="BG271" s="45"/>
      <c r="BH271" s="63">
        <f>INDEX(Table5[[#All],[Ovr]],MATCH(Table3[[#This Row],[PID]],Table5[[#All],[PID]],0))</f>
        <v>425</v>
      </c>
      <c r="BI271" s="63" t="str">
        <f>INDEX(Table5[[#All],[Rnd]],MATCH(Table3[[#This Row],[PID]],Table5[[#All],[PID]],0))</f>
        <v>13</v>
      </c>
      <c r="BJ271" s="63">
        <f>INDEX(Table5[[#All],[Pick]],MATCH(Table3[[#This Row],[PID]],Table5[[#All],[PID]],0))</f>
        <v>26</v>
      </c>
      <c r="BK271" s="63" t="str">
        <f>INDEX(Table5[[#All],[Team]],MATCH(Table3[[#This Row],[PID]],Table5[[#All],[PID]],0))</f>
        <v>Aurora Borealis</v>
      </c>
      <c r="BL271" s="63" t="str">
        <f>IF(OR(Table3[[#This Row],[POS]]="SP",Table3[[#This Row],[POS]]="RP",Table3[[#This Row],[POS]]="CL"),"P",INDEX(Batters[[#All],[zScore]],MATCH(Table3[[#This Row],[PID]],Batters[[#All],[PID]],0)))</f>
        <v>P</v>
      </c>
    </row>
    <row r="272" spans="1:64" ht="15" customHeight="1" x14ac:dyDescent="0.3">
      <c r="A272" s="40">
        <v>20831</v>
      </c>
      <c r="B272" s="40" t="s">
        <v>380</v>
      </c>
      <c r="C272" s="40" t="s">
        <v>143</v>
      </c>
      <c r="D272" s="40" t="s">
        <v>614</v>
      </c>
      <c r="E272" s="40">
        <v>17</v>
      </c>
      <c r="F272" s="40" t="s">
        <v>53</v>
      </c>
      <c r="G272" s="40" t="s">
        <v>53</v>
      </c>
      <c r="H272" s="41" t="s">
        <v>553</v>
      </c>
      <c r="I272" s="42" t="s">
        <v>44</v>
      </c>
      <c r="J272" s="40" t="s">
        <v>44</v>
      </c>
      <c r="K272" s="41" t="s">
        <v>43</v>
      </c>
      <c r="L272" s="40">
        <v>1</v>
      </c>
      <c r="M272" s="40">
        <v>2</v>
      </c>
      <c r="N272" s="41">
        <v>1</v>
      </c>
      <c r="O272" s="40">
        <v>5</v>
      </c>
      <c r="P272" s="40">
        <v>2</v>
      </c>
      <c r="Q272" s="41">
        <v>4</v>
      </c>
      <c r="R272" s="40">
        <v>3</v>
      </c>
      <c r="S272" s="40">
        <v>5</v>
      </c>
      <c r="T272" s="40">
        <v>1</v>
      </c>
      <c r="U272" s="40">
        <v>4</v>
      </c>
      <c r="V272" s="40">
        <v>2</v>
      </c>
      <c r="W272" s="40">
        <v>7</v>
      </c>
      <c r="X272" s="40" t="s">
        <v>45</v>
      </c>
      <c r="Y272" s="40" t="s">
        <v>45</v>
      </c>
      <c r="Z272" s="40" t="s">
        <v>45</v>
      </c>
      <c r="AA272" s="40" t="s">
        <v>45</v>
      </c>
      <c r="AB272" s="40" t="s">
        <v>45</v>
      </c>
      <c r="AC272" s="40" t="s">
        <v>45</v>
      </c>
      <c r="AD272" s="40" t="s">
        <v>45</v>
      </c>
      <c r="AE272" s="40" t="s">
        <v>45</v>
      </c>
      <c r="AF272" s="40" t="s">
        <v>45</v>
      </c>
      <c r="AG272" s="40" t="s">
        <v>45</v>
      </c>
      <c r="AH272" s="40" t="s">
        <v>45</v>
      </c>
      <c r="AI272" s="40" t="s">
        <v>45</v>
      </c>
      <c r="AJ272" s="40" t="s">
        <v>45</v>
      </c>
      <c r="AK272" s="40" t="s">
        <v>45</v>
      </c>
      <c r="AL272" s="40" t="s">
        <v>45</v>
      </c>
      <c r="AM272" s="40" t="s">
        <v>45</v>
      </c>
      <c r="AN272" s="40" t="s">
        <v>45</v>
      </c>
      <c r="AO272" s="41" t="s">
        <v>45</v>
      </c>
      <c r="AP272" s="40" t="s">
        <v>64</v>
      </c>
      <c r="AQ272" s="40">
        <v>1</v>
      </c>
      <c r="AR272" s="48" t="s">
        <v>326</v>
      </c>
      <c r="AS272" s="43" t="s">
        <v>572</v>
      </c>
      <c r="AT272" s="43" t="s">
        <v>103</v>
      </c>
      <c r="AU272" s="44">
        <f t="shared" si="39"/>
        <v>-2.5060525215375429</v>
      </c>
      <c r="AV272" s="44">
        <f t="shared" si="40"/>
        <v>-0.55483077460144581</v>
      </c>
      <c r="AW272" s="45">
        <f t="shared" si="41"/>
        <v>3</v>
      </c>
      <c r="AX272" s="45">
        <f t="shared" si="42"/>
        <v>1</v>
      </c>
      <c r="AY272" s="46">
        <f>VLOOKUP(AP272,COND!$A$10:$B$32,2,FALSE)</f>
        <v>1</v>
      </c>
      <c r="AZ272" s="44">
        <f>($AU$3*AU272+$AV$3*AV272+$AW$3*AW272+$AX$3*AX272)*AY272*IF(AQ272&lt;5,0.95,IF(AQ272&lt;7,0.975,1))+$I$3*VLOOKUP(I272,COND!$A$2:$E$7,4,FALSE)+$J$3*VLOOKUP(J272,COND!$A$2:$E$7,2,FALSE)+$K$3*VLOOKUP(K272,COND!$A$2:$E$7,3,FALSE)+IF(BB272="SP",$BB$3,0)+IF($AW272&lt;3,-5,0)+IF(AND($B$2&gt;0,$E272&lt;20),$B$2*25,0)</f>
        <v>41.144565303480391</v>
      </c>
      <c r="BA272" s="47">
        <f>STANDARDIZE(AZ272,AVERAGE($AZ$5:$AZ$428),STDEVP($AZ$5:$AZ$428))</f>
        <v>0.23797267291954824</v>
      </c>
      <c r="BB272" s="45" t="str">
        <f t="shared" si="43"/>
        <v>RP</v>
      </c>
      <c r="BC272" s="45">
        <v>930</v>
      </c>
      <c r="BD272" s="45">
        <v>267</v>
      </c>
      <c r="BE272" s="45"/>
      <c r="BF272" s="45" t="str">
        <f t="shared" si="44"/>
        <v>Unlikely</v>
      </c>
      <c r="BG272" s="45"/>
      <c r="BH272" s="45">
        <f>INDEX(Table5[[#All],[Ovr]],MATCH(Table3[[#This Row],[PID]],Table5[[#All],[PID]],0))</f>
        <v>457</v>
      </c>
      <c r="BI272" s="45" t="str">
        <f>INDEX(Table5[[#All],[Rnd]],MATCH(Table3[[#This Row],[PID]],Table5[[#All],[PID]],0))</f>
        <v>14</v>
      </c>
      <c r="BJ272" s="45">
        <f>INDEX(Table5[[#All],[Pick]],MATCH(Table3[[#This Row],[PID]],Table5[[#All],[PID]],0))</f>
        <v>24</v>
      </c>
      <c r="BK272" s="45" t="str">
        <f>INDEX(Table5[[#All],[Team]],MATCH(Table3[[#This Row],[PID]],Table5[[#All],[PID]],0))</f>
        <v>Reno Zephyrs</v>
      </c>
      <c r="BL272" s="45" t="str">
        <f>IF(OR(Table3[[#This Row],[POS]]="SP",Table3[[#This Row],[POS]]="RP",Table3[[#This Row],[POS]]="CL"),"P",INDEX(Batters[[#All],[zScore]],MATCH(Table3[[#This Row],[PID]],Batters[[#All],[PID]],0)))</f>
        <v>P</v>
      </c>
    </row>
    <row r="273" spans="1:64" ht="15" customHeight="1" x14ac:dyDescent="0.3">
      <c r="A273" s="40">
        <v>20754</v>
      </c>
      <c r="B273" s="40" t="s">
        <v>24</v>
      </c>
      <c r="C273" s="40" t="s">
        <v>156</v>
      </c>
      <c r="D273" s="40" t="s">
        <v>565</v>
      </c>
      <c r="E273" s="40">
        <v>18</v>
      </c>
      <c r="F273" s="40" t="s">
        <v>42</v>
      </c>
      <c r="G273" s="40" t="s">
        <v>42</v>
      </c>
      <c r="H273" s="41" t="s">
        <v>561</v>
      </c>
      <c r="I273" s="42" t="s">
        <v>43</v>
      </c>
      <c r="J273" s="40" t="s">
        <v>44</v>
      </c>
      <c r="K273" s="41" t="s">
        <v>43</v>
      </c>
      <c r="L273" s="40">
        <v>2</v>
      </c>
      <c r="M273" s="40">
        <v>2</v>
      </c>
      <c r="N273" s="41">
        <v>1</v>
      </c>
      <c r="O273" s="40">
        <v>5</v>
      </c>
      <c r="P273" s="40">
        <v>2</v>
      </c>
      <c r="Q273" s="41">
        <v>3</v>
      </c>
      <c r="R273" s="40">
        <v>4</v>
      </c>
      <c r="S273" s="40">
        <v>8</v>
      </c>
      <c r="T273" s="40">
        <v>1</v>
      </c>
      <c r="U273" s="40">
        <v>6</v>
      </c>
      <c r="V273" s="40" t="s">
        <v>45</v>
      </c>
      <c r="W273" s="40" t="s">
        <v>45</v>
      </c>
      <c r="X273" s="40" t="s">
        <v>45</v>
      </c>
      <c r="Y273" s="40" t="s">
        <v>45</v>
      </c>
      <c r="Z273" s="40" t="s">
        <v>45</v>
      </c>
      <c r="AA273" s="40" t="s">
        <v>45</v>
      </c>
      <c r="AB273" s="40">
        <v>4</v>
      </c>
      <c r="AC273" s="40">
        <v>6</v>
      </c>
      <c r="AD273" s="40" t="s">
        <v>45</v>
      </c>
      <c r="AE273" s="40" t="s">
        <v>45</v>
      </c>
      <c r="AF273" s="40" t="s">
        <v>45</v>
      </c>
      <c r="AG273" s="40" t="s">
        <v>45</v>
      </c>
      <c r="AH273" s="40" t="s">
        <v>45</v>
      </c>
      <c r="AI273" s="40" t="s">
        <v>45</v>
      </c>
      <c r="AJ273" s="40" t="s">
        <v>45</v>
      </c>
      <c r="AK273" s="40" t="s">
        <v>45</v>
      </c>
      <c r="AL273" s="40">
        <v>2</v>
      </c>
      <c r="AM273" s="40">
        <v>2</v>
      </c>
      <c r="AN273" s="40" t="s">
        <v>45</v>
      </c>
      <c r="AO273" s="41" t="s">
        <v>45</v>
      </c>
      <c r="AP273" s="40" t="s">
        <v>60</v>
      </c>
      <c r="AQ273" s="40">
        <v>6</v>
      </c>
      <c r="AR273" s="48" t="s">
        <v>326</v>
      </c>
      <c r="AS273" s="43" t="s">
        <v>583</v>
      </c>
      <c r="AT273" s="43" t="s">
        <v>103</v>
      </c>
      <c r="AU273" s="44">
        <f t="shared" si="39"/>
        <v>-2.311361197028369</v>
      </c>
      <c r="AV273" s="44">
        <f t="shared" si="40"/>
        <v>-0.79715134065555615</v>
      </c>
      <c r="AW273" s="45">
        <f t="shared" si="41"/>
        <v>4</v>
      </c>
      <c r="AX273" s="45">
        <f t="shared" si="42"/>
        <v>3</v>
      </c>
      <c r="AY273" s="46">
        <f>VLOOKUP(AP273,COND!$A$10:$B$32,2,FALSE)</f>
        <v>1.0249999999999999</v>
      </c>
      <c r="AZ273" s="44">
        <f>($AU$3*AU273+$AV$3*AV273+$AW$3*AW273+$AX$3*AX273)*AY273*IF(AQ273&lt;5,0.95,IF(AQ273&lt;7,0.975,1))+$I$3*VLOOKUP(I273,COND!$A$2:$E$7,4,FALSE)+$J$3*VLOOKUP(J273,COND!$A$2:$E$7,2,FALSE)+$K$3*VLOOKUP(K273,COND!$A$2:$E$7,3,FALSE)+IF(BB273="SP",$BB$3,0)+IF($AW273&lt;3,-5,0)+IF(AND($B$2&gt;0,$E273&lt;20),$B$2*25,0)</f>
        <v>41.051360509391031</v>
      </c>
      <c r="BA273" s="47">
        <f>STANDARDIZE(AZ273,AVERAGE($AZ$5:$AZ$428),STDEVP($AZ$5:$AZ$428))</f>
        <v>0.23133583608290828</v>
      </c>
      <c r="BB273" s="45" t="str">
        <f t="shared" si="43"/>
        <v>SP</v>
      </c>
      <c r="BC273" s="45">
        <v>930</v>
      </c>
      <c r="BD273" s="45">
        <v>268</v>
      </c>
      <c r="BE273" s="45"/>
      <c r="BF273" s="45" t="str">
        <f t="shared" si="44"/>
        <v>Unlikely</v>
      </c>
      <c r="BG273" s="45"/>
      <c r="BH273" s="45">
        <f>INDEX(Table5[[#All],[Ovr]],MATCH(Table3[[#This Row],[PID]],Table5[[#All],[PID]],0))</f>
        <v>366</v>
      </c>
      <c r="BI273" s="45" t="str">
        <f>INDEX(Table5[[#All],[Rnd]],MATCH(Table3[[#This Row],[PID]],Table5[[#All],[PID]],0))</f>
        <v>12</v>
      </c>
      <c r="BJ273" s="45">
        <f>INDEX(Table5[[#All],[Pick]],MATCH(Table3[[#This Row],[PID]],Table5[[#All],[PID]],0))</f>
        <v>1</v>
      </c>
      <c r="BK273" s="45" t="str">
        <f>INDEX(Table5[[#All],[Team]],MATCH(Table3[[#This Row],[PID]],Table5[[#All],[PID]],0))</f>
        <v>Yuma Arroyos</v>
      </c>
      <c r="BL273" s="45" t="str">
        <f>IF(OR(Table3[[#This Row],[POS]]="SP",Table3[[#This Row],[POS]]="RP",Table3[[#This Row],[POS]]="CL"),"P",INDEX(Batters[[#All],[zScore]],MATCH(Table3[[#This Row],[PID]],Batters[[#All],[PID]],0)))</f>
        <v>P</v>
      </c>
    </row>
    <row r="274" spans="1:64" ht="15" customHeight="1" x14ac:dyDescent="0.3">
      <c r="A274" s="40">
        <v>9579</v>
      </c>
      <c r="B274" s="40" t="s">
        <v>24</v>
      </c>
      <c r="C274" s="40" t="s">
        <v>710</v>
      </c>
      <c r="D274" s="40" t="s">
        <v>1431</v>
      </c>
      <c r="E274" s="40">
        <v>17</v>
      </c>
      <c r="F274" s="40" t="s">
        <v>42</v>
      </c>
      <c r="G274" s="40" t="s">
        <v>42</v>
      </c>
      <c r="H274" s="41" t="s">
        <v>561</v>
      </c>
      <c r="I274" s="42" t="s">
        <v>44</v>
      </c>
      <c r="J274" s="40" t="s">
        <v>44</v>
      </c>
      <c r="K274" s="41" t="s">
        <v>47</v>
      </c>
      <c r="L274" s="40">
        <v>3</v>
      </c>
      <c r="M274" s="40">
        <v>2</v>
      </c>
      <c r="N274" s="41">
        <v>1</v>
      </c>
      <c r="O274" s="40">
        <v>5</v>
      </c>
      <c r="P274" s="40">
        <v>2</v>
      </c>
      <c r="Q274" s="41">
        <v>3</v>
      </c>
      <c r="R274" s="40">
        <v>5</v>
      </c>
      <c r="S274" s="40">
        <v>8</v>
      </c>
      <c r="T274" s="40" t="s">
        <v>45</v>
      </c>
      <c r="U274" s="40" t="s">
        <v>45</v>
      </c>
      <c r="V274" s="40">
        <v>2</v>
      </c>
      <c r="W274" s="40">
        <v>7</v>
      </c>
      <c r="X274" s="40">
        <v>3</v>
      </c>
      <c r="Y274" s="40">
        <v>7</v>
      </c>
      <c r="Z274" s="40" t="s">
        <v>45</v>
      </c>
      <c r="AA274" s="40" t="s">
        <v>45</v>
      </c>
      <c r="AB274" s="40" t="s">
        <v>45</v>
      </c>
      <c r="AC274" s="40" t="s">
        <v>45</v>
      </c>
      <c r="AD274" s="40" t="s">
        <v>45</v>
      </c>
      <c r="AE274" s="40" t="s">
        <v>45</v>
      </c>
      <c r="AF274" s="40" t="s">
        <v>45</v>
      </c>
      <c r="AG274" s="40" t="s">
        <v>45</v>
      </c>
      <c r="AH274" s="40" t="s">
        <v>45</v>
      </c>
      <c r="AI274" s="40" t="s">
        <v>45</v>
      </c>
      <c r="AJ274" s="40" t="s">
        <v>45</v>
      </c>
      <c r="AK274" s="40" t="s">
        <v>45</v>
      </c>
      <c r="AL274" s="40" t="s">
        <v>45</v>
      </c>
      <c r="AM274" s="40" t="s">
        <v>45</v>
      </c>
      <c r="AN274" s="40" t="s">
        <v>45</v>
      </c>
      <c r="AO274" s="41" t="s">
        <v>45</v>
      </c>
      <c r="AP274" s="40" t="s">
        <v>48</v>
      </c>
      <c r="AQ274" s="40">
        <v>10</v>
      </c>
      <c r="AR274" s="48" t="s">
        <v>326</v>
      </c>
      <c r="AS274" s="43" t="s">
        <v>500</v>
      </c>
      <c r="AT274" s="43" t="s">
        <v>103</v>
      </c>
      <c r="AU274" s="44">
        <f t="shared" si="39"/>
        <v>-2.1166698725191955</v>
      </c>
      <c r="AV274" s="44">
        <f t="shared" si="40"/>
        <v>-0.79715134065555615</v>
      </c>
      <c r="AW274" s="45">
        <f t="shared" si="41"/>
        <v>3</v>
      </c>
      <c r="AX274" s="45">
        <f t="shared" si="42"/>
        <v>3</v>
      </c>
      <c r="AY274" s="46">
        <f>VLOOKUP(AP274,COND!$A$10:$B$32,2,FALSE)</f>
        <v>1.05</v>
      </c>
      <c r="AZ274" s="44">
        <f>($AU$3*AU274+$AV$3*AV274+$AW$3*AW274+$AX$3*AX274)*AY274*IF(AQ274&lt;5,0.95,IF(AQ274&lt;7,0.975,1))+$I$3*VLOOKUP(I274,COND!$A$2:$E$7,4,FALSE)+$J$3*VLOOKUP(J274,COND!$A$2:$E$7,2,FALSE)+$K$3*VLOOKUP(K274,COND!$A$2:$E$7,3,FALSE)+IF(BB274="SP",$BB$3,0)+IF($AW274&lt;3,-5,0)+IF(AND($B$2&gt;0,$E274&lt;20),$B$2*25,0)</f>
        <v>40.17782117300429</v>
      </c>
      <c r="BA274" s="47">
        <f>STANDARDIZE(AZ274,AVERAGE($AZ$5:$AZ$428),STDEVP($AZ$5:$AZ$428))</f>
        <v>0.16913369184098034</v>
      </c>
      <c r="BB274" s="45" t="str">
        <f t="shared" si="43"/>
        <v>SP</v>
      </c>
      <c r="BC274" s="45">
        <v>930</v>
      </c>
      <c r="BD274" s="45">
        <v>269</v>
      </c>
      <c r="BE274" s="45"/>
      <c r="BF274" s="45" t="str">
        <f t="shared" si="44"/>
        <v>Unlikely</v>
      </c>
      <c r="BG274" s="45"/>
      <c r="BH274" s="45">
        <f>INDEX(Table5[[#All],[Ovr]],MATCH(Table3[[#This Row],[PID]],Table5[[#All],[PID]],0))</f>
        <v>184</v>
      </c>
      <c r="BI274" s="45" t="str">
        <f>INDEX(Table5[[#All],[Rnd]],MATCH(Table3[[#This Row],[PID]],Table5[[#All],[PID]],0))</f>
        <v>6</v>
      </c>
      <c r="BJ274" s="45">
        <f>INDEX(Table5[[#All],[Pick]],MATCH(Table3[[#This Row],[PID]],Table5[[#All],[PID]],0))</f>
        <v>15</v>
      </c>
      <c r="BK274" s="45" t="str">
        <f>INDEX(Table5[[#All],[Team]],MATCH(Table3[[#This Row],[PID]],Table5[[#All],[PID]],0))</f>
        <v>Scottish Claymores</v>
      </c>
      <c r="BL274" s="45" t="str">
        <f>IF(OR(Table3[[#This Row],[POS]]="SP",Table3[[#This Row],[POS]]="RP",Table3[[#This Row],[POS]]="CL"),"P",INDEX(Batters[[#All],[zScore]],MATCH(Table3[[#This Row],[PID]],Batters[[#All],[PID]],0)))</f>
        <v>P</v>
      </c>
    </row>
    <row r="275" spans="1:64" ht="15" customHeight="1" x14ac:dyDescent="0.3">
      <c r="A275" s="40">
        <v>20902</v>
      </c>
      <c r="B275" s="40" t="s">
        <v>380</v>
      </c>
      <c r="C275" s="40" t="s">
        <v>176</v>
      </c>
      <c r="D275" s="40" t="s">
        <v>152</v>
      </c>
      <c r="E275" s="40">
        <v>16</v>
      </c>
      <c r="F275" s="40" t="s">
        <v>42</v>
      </c>
      <c r="G275" s="40" t="s">
        <v>42</v>
      </c>
      <c r="H275" s="41" t="s">
        <v>561</v>
      </c>
      <c r="I275" s="42" t="s">
        <v>43</v>
      </c>
      <c r="J275" s="40" t="s">
        <v>44</v>
      </c>
      <c r="K275" s="41" t="s">
        <v>43</v>
      </c>
      <c r="L275" s="40">
        <v>2</v>
      </c>
      <c r="M275" s="40">
        <v>1</v>
      </c>
      <c r="N275" s="41">
        <v>1</v>
      </c>
      <c r="O275" s="40">
        <v>5</v>
      </c>
      <c r="P275" s="40">
        <v>1</v>
      </c>
      <c r="Q275" s="41">
        <v>4</v>
      </c>
      <c r="R275" s="40">
        <v>4</v>
      </c>
      <c r="S275" s="40">
        <v>7</v>
      </c>
      <c r="T275" s="40">
        <v>1</v>
      </c>
      <c r="U275" s="40">
        <v>1</v>
      </c>
      <c r="V275" s="40" t="s">
        <v>45</v>
      </c>
      <c r="W275" s="40" t="s">
        <v>45</v>
      </c>
      <c r="X275" s="40" t="s">
        <v>45</v>
      </c>
      <c r="Y275" s="40" t="s">
        <v>45</v>
      </c>
      <c r="Z275" s="40" t="s">
        <v>45</v>
      </c>
      <c r="AA275" s="40" t="s">
        <v>45</v>
      </c>
      <c r="AB275" s="40">
        <v>3</v>
      </c>
      <c r="AC275" s="40">
        <v>6</v>
      </c>
      <c r="AD275" s="40" t="s">
        <v>45</v>
      </c>
      <c r="AE275" s="40" t="s">
        <v>45</v>
      </c>
      <c r="AF275" s="40" t="s">
        <v>45</v>
      </c>
      <c r="AG275" s="40" t="s">
        <v>45</v>
      </c>
      <c r="AH275" s="40" t="s">
        <v>45</v>
      </c>
      <c r="AI275" s="40" t="s">
        <v>45</v>
      </c>
      <c r="AJ275" s="40" t="s">
        <v>45</v>
      </c>
      <c r="AK275" s="40" t="s">
        <v>45</v>
      </c>
      <c r="AL275" s="40" t="s">
        <v>45</v>
      </c>
      <c r="AM275" s="40" t="s">
        <v>45</v>
      </c>
      <c r="AN275" s="40" t="s">
        <v>45</v>
      </c>
      <c r="AO275" s="41" t="s">
        <v>45</v>
      </c>
      <c r="AP275" s="40" t="s">
        <v>57</v>
      </c>
      <c r="AQ275" s="40">
        <v>6</v>
      </c>
      <c r="AR275" s="48" t="s">
        <v>330</v>
      </c>
      <c r="AS275" s="43" t="s">
        <v>558</v>
      </c>
      <c r="AT275" s="43" t="s">
        <v>103</v>
      </c>
      <c r="AU275" s="44">
        <f t="shared" si="39"/>
        <v>-2.5067929134584248</v>
      </c>
      <c r="AV275" s="44">
        <f t="shared" si="40"/>
        <v>-0.75026249103150122</v>
      </c>
      <c r="AW275" s="45">
        <f t="shared" si="41"/>
        <v>3</v>
      </c>
      <c r="AX275" s="45">
        <f t="shared" si="42"/>
        <v>2</v>
      </c>
      <c r="AY275" s="46">
        <f>VLOOKUP(AP275,COND!$A$10:$B$32,2,FALSE)</f>
        <v>1</v>
      </c>
      <c r="AZ275" s="44">
        <f>($AU$3*AU275+$AV$3*AV275+$AW$3*AW275+$AX$3*AX275)*AY275*IF(AQ275&lt;5,0.95,IF(AQ275&lt;7,0.975,1))+$I$3*VLOOKUP(I275,COND!$A$2:$E$7,4,FALSE)+$J$3*VLOOKUP(J275,COND!$A$2:$E$7,2,FALSE)+$K$3*VLOOKUP(K275,COND!$A$2:$E$7,3,FALSE)+IF(BB275="SP",$BB$3,0)+IF($AW275&lt;3,-5,0)+IF(AND($B$2&gt;0,$E275&lt;20),$B$2*25,0)</f>
        <v>40.48105680676133</v>
      </c>
      <c r="BA275" s="47">
        <f>STANDARDIZE(AZ275,AVERAGE($AZ$5:$AZ$428),STDEVP($AZ$5:$AZ$428))</f>
        <v>0.19072620158217551</v>
      </c>
      <c r="BB275" s="45" t="str">
        <f t="shared" si="43"/>
        <v>SP</v>
      </c>
      <c r="BC275" s="45">
        <v>930</v>
      </c>
      <c r="BD275" s="45">
        <v>270</v>
      </c>
      <c r="BE275" s="45"/>
      <c r="BF275" s="45" t="str">
        <f t="shared" si="44"/>
        <v>Unlikely</v>
      </c>
      <c r="BG275" s="45"/>
      <c r="BH275" s="45">
        <f>INDEX(Table5[[#All],[Ovr]],MATCH(Table3[[#This Row],[PID]],Table5[[#All],[PID]],0))</f>
        <v>321</v>
      </c>
      <c r="BI275" s="45" t="str">
        <f>INDEX(Table5[[#All],[Rnd]],MATCH(Table3[[#This Row],[PID]],Table5[[#All],[PID]],0))</f>
        <v>10</v>
      </c>
      <c r="BJ275" s="45">
        <f>INDEX(Table5[[#All],[Pick]],MATCH(Table3[[#This Row],[PID]],Table5[[#All],[PID]],0))</f>
        <v>24</v>
      </c>
      <c r="BK275" s="45" t="str">
        <f>INDEX(Table5[[#All],[Team]],MATCH(Table3[[#This Row],[PID]],Table5[[#All],[PID]],0))</f>
        <v>Reno Zephyrs</v>
      </c>
      <c r="BL275" s="45" t="str">
        <f>IF(OR(Table3[[#This Row],[POS]]="SP",Table3[[#This Row],[POS]]="RP",Table3[[#This Row],[POS]]="CL"),"P",INDEX(Batters[[#All],[zScore]],MATCH(Table3[[#This Row],[PID]],Batters[[#All],[PID]],0)))</f>
        <v>P</v>
      </c>
    </row>
    <row r="276" spans="1:64" ht="15" customHeight="1" x14ac:dyDescent="0.3">
      <c r="A276" s="40">
        <v>20209</v>
      </c>
      <c r="B276" s="40" t="s">
        <v>380</v>
      </c>
      <c r="C276" s="40" t="s">
        <v>1549</v>
      </c>
      <c r="D276" s="40" t="s">
        <v>1550</v>
      </c>
      <c r="E276" s="40">
        <v>21</v>
      </c>
      <c r="F276" s="40" t="s">
        <v>42</v>
      </c>
      <c r="G276" s="40" t="s">
        <v>42</v>
      </c>
      <c r="H276" s="41" t="s">
        <v>553</v>
      </c>
      <c r="I276" s="42" t="s">
        <v>43</v>
      </c>
      <c r="J276" s="40" t="s">
        <v>44</v>
      </c>
      <c r="K276" s="41" t="s">
        <v>47</v>
      </c>
      <c r="L276" s="40">
        <v>3</v>
      </c>
      <c r="M276" s="40">
        <v>1</v>
      </c>
      <c r="N276" s="41">
        <v>3</v>
      </c>
      <c r="O276" s="40">
        <v>5</v>
      </c>
      <c r="P276" s="40">
        <v>2</v>
      </c>
      <c r="Q276" s="41">
        <v>4</v>
      </c>
      <c r="R276" s="40" t="s">
        <v>45</v>
      </c>
      <c r="S276" s="40" t="s">
        <v>45</v>
      </c>
      <c r="T276" s="40">
        <v>3</v>
      </c>
      <c r="U276" s="40">
        <v>6</v>
      </c>
      <c r="V276" s="40" t="s">
        <v>45</v>
      </c>
      <c r="W276" s="40" t="s">
        <v>45</v>
      </c>
      <c r="X276" s="40" t="s">
        <v>45</v>
      </c>
      <c r="Y276" s="40" t="s">
        <v>45</v>
      </c>
      <c r="Z276" s="40" t="s">
        <v>45</v>
      </c>
      <c r="AA276" s="40" t="s">
        <v>45</v>
      </c>
      <c r="AB276" s="40" t="s">
        <v>45</v>
      </c>
      <c r="AC276" s="40" t="s">
        <v>45</v>
      </c>
      <c r="AD276" s="40">
        <v>4</v>
      </c>
      <c r="AE276" s="40">
        <v>5</v>
      </c>
      <c r="AF276" s="40" t="s">
        <v>45</v>
      </c>
      <c r="AG276" s="40" t="s">
        <v>45</v>
      </c>
      <c r="AH276" s="40" t="s">
        <v>45</v>
      </c>
      <c r="AI276" s="40" t="s">
        <v>45</v>
      </c>
      <c r="AJ276" s="40">
        <v>5</v>
      </c>
      <c r="AK276" s="40">
        <v>6</v>
      </c>
      <c r="AL276" s="40" t="s">
        <v>45</v>
      </c>
      <c r="AM276" s="40" t="s">
        <v>45</v>
      </c>
      <c r="AN276" s="40" t="s">
        <v>45</v>
      </c>
      <c r="AO276" s="41" t="s">
        <v>45</v>
      </c>
      <c r="AP276" s="40" t="s">
        <v>329</v>
      </c>
      <c r="AQ276" s="40">
        <v>6</v>
      </c>
      <c r="AR276" s="48" t="s">
        <v>14</v>
      </c>
      <c r="AS276" s="43" t="s">
        <v>45</v>
      </c>
      <c r="AT276" s="43" t="s">
        <v>103</v>
      </c>
      <c r="AU276" s="44">
        <f t="shared" si="39"/>
        <v>-1.8274604568410304</v>
      </c>
      <c r="AV276" s="44">
        <f t="shared" si="40"/>
        <v>-0.55483077460144581</v>
      </c>
      <c r="AW276" s="45">
        <f t="shared" si="41"/>
        <v>3</v>
      </c>
      <c r="AX276" s="45">
        <f t="shared" si="42"/>
        <v>2</v>
      </c>
      <c r="AY276" s="46">
        <f>VLOOKUP(AP276,COND!$A$10:$B$32,2,FALSE)</f>
        <v>1</v>
      </c>
      <c r="AZ276" s="44">
        <f>($AU$3*AU276+$AV$3*AV276+$AW$3*AW276+$AX$3*AX276)*AY276*IF(AQ276&lt;5,0.95,IF(AQ276&lt;7,0.975,1))+$I$3*VLOOKUP(I276,COND!$A$2:$E$7,4,FALSE)+$J$3*VLOOKUP(J276,COND!$A$2:$E$7,2,FALSE)+$K$3*VLOOKUP(K276,COND!$A$2:$E$7,3,FALSE)+IF(BB276="SP",$BB$3,0)+IF($AW276&lt;3,-5,0)+IF(AND($B$2&gt;0,$E276&lt;20),$B$2*25,0)</f>
        <v>39.724445106187801</v>
      </c>
      <c r="BA276" s="47">
        <f>STANDARDIZE(AZ276,AVERAGE($AZ$5:$AZ$428),STDEVP($AZ$5:$AZ$428))</f>
        <v>0.1368501273473583</v>
      </c>
      <c r="BB276" s="45" t="str">
        <f t="shared" si="43"/>
        <v>SP</v>
      </c>
      <c r="BC276" s="45">
        <v>930</v>
      </c>
      <c r="BD276" s="45">
        <v>271</v>
      </c>
      <c r="BE276" s="45"/>
      <c r="BF276" s="45" t="str">
        <f t="shared" si="44"/>
        <v>Unlikely</v>
      </c>
      <c r="BG276" s="45"/>
      <c r="BH276" s="45">
        <f>INDEX(Table5[[#All],[Ovr]],MATCH(Table3[[#This Row],[PID]],Table5[[#All],[PID]],0))</f>
        <v>363</v>
      </c>
      <c r="BI276" s="45" t="str">
        <f>INDEX(Table5[[#All],[Rnd]],MATCH(Table3[[#This Row],[PID]],Table5[[#All],[PID]],0))</f>
        <v>11</v>
      </c>
      <c r="BJ276" s="45">
        <f>INDEX(Table5[[#All],[Pick]],MATCH(Table3[[#This Row],[PID]],Table5[[#All],[PID]],0))</f>
        <v>32</v>
      </c>
      <c r="BK276" s="45" t="str">
        <f>INDEX(Table5[[#All],[Team]],MATCH(Table3[[#This Row],[PID]],Table5[[#All],[PID]],0))</f>
        <v>Florida Farstriders</v>
      </c>
      <c r="BL276" s="45" t="str">
        <f>IF(OR(Table3[[#This Row],[POS]]="SP",Table3[[#This Row],[POS]]="RP",Table3[[#This Row],[POS]]="CL"),"P",INDEX(Batters[[#All],[zScore]],MATCH(Table3[[#This Row],[PID]],Batters[[#All],[PID]],0)))</f>
        <v>P</v>
      </c>
    </row>
    <row r="277" spans="1:64" ht="15" customHeight="1" x14ac:dyDescent="0.3">
      <c r="A277" s="40">
        <v>10953</v>
      </c>
      <c r="B277" s="40" t="s">
        <v>380</v>
      </c>
      <c r="C277" s="40" t="s">
        <v>1108</v>
      </c>
      <c r="D277" s="40" t="s">
        <v>642</v>
      </c>
      <c r="E277" s="40">
        <v>18</v>
      </c>
      <c r="F277" s="40" t="s">
        <v>53</v>
      </c>
      <c r="G277" s="40" t="s">
        <v>53</v>
      </c>
      <c r="H277" s="41" t="s">
        <v>561</v>
      </c>
      <c r="I277" s="42" t="s">
        <v>43</v>
      </c>
      <c r="J277" s="40" t="s">
        <v>44</v>
      </c>
      <c r="K277" s="41" t="s">
        <v>43</v>
      </c>
      <c r="L277" s="40">
        <v>2</v>
      </c>
      <c r="M277" s="40">
        <v>1</v>
      </c>
      <c r="N277" s="41">
        <v>1</v>
      </c>
      <c r="O277" s="40">
        <v>5</v>
      </c>
      <c r="P277" s="40">
        <v>1</v>
      </c>
      <c r="Q277" s="41">
        <v>4</v>
      </c>
      <c r="R277" s="40">
        <v>3</v>
      </c>
      <c r="S277" s="40">
        <v>5</v>
      </c>
      <c r="T277" s="40" t="s">
        <v>45</v>
      </c>
      <c r="U277" s="40" t="s">
        <v>45</v>
      </c>
      <c r="V277" s="40">
        <v>2</v>
      </c>
      <c r="W277" s="40">
        <v>6</v>
      </c>
      <c r="X277" s="40">
        <v>3</v>
      </c>
      <c r="Y277" s="40">
        <v>6</v>
      </c>
      <c r="Z277" s="40" t="s">
        <v>45</v>
      </c>
      <c r="AA277" s="40" t="s">
        <v>45</v>
      </c>
      <c r="AB277" s="40" t="s">
        <v>45</v>
      </c>
      <c r="AC277" s="40" t="s">
        <v>45</v>
      </c>
      <c r="AD277" s="40" t="s">
        <v>45</v>
      </c>
      <c r="AE277" s="40" t="s">
        <v>45</v>
      </c>
      <c r="AF277" s="40" t="s">
        <v>45</v>
      </c>
      <c r="AG277" s="40" t="s">
        <v>45</v>
      </c>
      <c r="AH277" s="40" t="s">
        <v>45</v>
      </c>
      <c r="AI277" s="40" t="s">
        <v>45</v>
      </c>
      <c r="AJ277" s="40" t="s">
        <v>45</v>
      </c>
      <c r="AK277" s="40" t="s">
        <v>45</v>
      </c>
      <c r="AL277" s="40" t="s">
        <v>45</v>
      </c>
      <c r="AM277" s="40" t="s">
        <v>45</v>
      </c>
      <c r="AN277" s="40" t="s">
        <v>45</v>
      </c>
      <c r="AO277" s="41" t="s">
        <v>45</v>
      </c>
      <c r="AP277" s="40" t="s">
        <v>328</v>
      </c>
      <c r="AQ277" s="40">
        <v>7</v>
      </c>
      <c r="AR277" s="48" t="s">
        <v>330</v>
      </c>
      <c r="AS277" s="43" t="s">
        <v>558</v>
      </c>
      <c r="AT277" s="43" t="s">
        <v>103</v>
      </c>
      <c r="AU277" s="44">
        <f t="shared" si="39"/>
        <v>-2.5067929134584248</v>
      </c>
      <c r="AV277" s="44">
        <f t="shared" si="40"/>
        <v>-0.75026249103150122</v>
      </c>
      <c r="AW277" s="45">
        <f t="shared" si="41"/>
        <v>3</v>
      </c>
      <c r="AX277" s="45">
        <f t="shared" si="42"/>
        <v>2</v>
      </c>
      <c r="AY277" s="46">
        <f>VLOOKUP(AP277,COND!$A$10:$B$32,2,FALSE)</f>
        <v>1</v>
      </c>
      <c r="AZ277" s="44">
        <f>($AU$3*AU277+$AV$3*AV277+$AW$3*AW277+$AX$3*AX277)*AY277*IF(AQ277&lt;5,0.95,IF(AQ277&lt;7,0.975,1))+$I$3*VLOOKUP(I277,COND!$A$2:$E$7,4,FALSE)+$J$3*VLOOKUP(J277,COND!$A$2:$E$7,2,FALSE)+$K$3*VLOOKUP(K277,COND!$A$2:$E$7,3,FALSE)+IF(BB277="SP",$BB$3,0)+IF($AW277&lt;3,-5,0)+IF(AND($B$2&gt;0,$E277&lt;20),$B$2*25,0)</f>
        <v>40.193391596678289</v>
      </c>
      <c r="BA277" s="47">
        <f>STANDARDIZE(AZ277,AVERAGE($AZ$5:$AZ$445),STDEVP($AZ$5:$AZ$445))</f>
        <v>0.176320455995949</v>
      </c>
      <c r="BB277" s="45" t="str">
        <f t="shared" si="43"/>
        <v>SP</v>
      </c>
      <c r="BC277" s="45">
        <v>930</v>
      </c>
      <c r="BD277" s="45">
        <v>272</v>
      </c>
      <c r="BE277" s="45"/>
      <c r="BF277" s="45" t="str">
        <f t="shared" si="44"/>
        <v>Unlikely</v>
      </c>
      <c r="BG277" s="45"/>
      <c r="BH277" s="63" t="str">
        <f>INDEX(Table5[[#All],[Ovr]],MATCH(Table3[[#This Row],[PID]],Table5[[#All],[PID]],0))</f>
        <v/>
      </c>
      <c r="BI277" s="63" t="str">
        <f>INDEX(Table5[[#All],[Rnd]],MATCH(Table3[[#This Row],[PID]],Table5[[#All],[PID]],0))</f>
        <v/>
      </c>
      <c r="BJ277" s="63" t="str">
        <f>INDEX(Table5[[#All],[Pick]],MATCH(Table3[[#This Row],[PID]],Table5[[#All],[PID]],0))</f>
        <v/>
      </c>
      <c r="BK277" s="63" t="str">
        <f>INDEX(Table5[[#All],[Team]],MATCH(Table3[[#This Row],[PID]],Table5[[#All],[PID]],0))</f>
        <v/>
      </c>
      <c r="BL277" s="63" t="str">
        <f>IF(OR(Table3[[#This Row],[POS]]="SP",Table3[[#This Row],[POS]]="RP",Table3[[#This Row],[POS]]="CL"),"P",INDEX(Batters[[#All],[zScore]],MATCH(Table3[[#This Row],[PID]],Batters[[#All],[PID]],0)))</f>
        <v>P</v>
      </c>
    </row>
    <row r="278" spans="1:64" ht="15" customHeight="1" x14ac:dyDescent="0.3">
      <c r="A278" s="40">
        <v>13283</v>
      </c>
      <c r="B278" s="40" t="s">
        <v>380</v>
      </c>
      <c r="C278" s="40" t="s">
        <v>1458</v>
      </c>
      <c r="D278" s="40" t="s">
        <v>339</v>
      </c>
      <c r="E278" s="40">
        <v>17</v>
      </c>
      <c r="F278" s="40" t="s">
        <v>53</v>
      </c>
      <c r="G278" s="40" t="s">
        <v>42</v>
      </c>
      <c r="H278" s="41" t="s">
        <v>553</v>
      </c>
      <c r="I278" s="42" t="s">
        <v>43</v>
      </c>
      <c r="J278" s="40" t="s">
        <v>44</v>
      </c>
      <c r="K278" s="41" t="s">
        <v>43</v>
      </c>
      <c r="L278" s="40">
        <v>2</v>
      </c>
      <c r="M278" s="40">
        <v>1</v>
      </c>
      <c r="N278" s="41">
        <v>2</v>
      </c>
      <c r="O278" s="40">
        <v>5</v>
      </c>
      <c r="P278" s="40">
        <v>1</v>
      </c>
      <c r="Q278" s="41">
        <v>4</v>
      </c>
      <c r="R278" s="40">
        <v>4</v>
      </c>
      <c r="S278" s="40">
        <v>6</v>
      </c>
      <c r="T278" s="40">
        <v>2</v>
      </c>
      <c r="U278" s="40">
        <v>6</v>
      </c>
      <c r="V278" s="40" t="s">
        <v>45</v>
      </c>
      <c r="W278" s="40" t="s">
        <v>45</v>
      </c>
      <c r="X278" s="40">
        <v>2</v>
      </c>
      <c r="Y278" s="40">
        <v>3</v>
      </c>
      <c r="Z278" s="40" t="s">
        <v>45</v>
      </c>
      <c r="AA278" s="40" t="s">
        <v>45</v>
      </c>
      <c r="AB278" s="40" t="s">
        <v>45</v>
      </c>
      <c r="AC278" s="40" t="s">
        <v>45</v>
      </c>
      <c r="AD278" s="40" t="s">
        <v>45</v>
      </c>
      <c r="AE278" s="40" t="s">
        <v>45</v>
      </c>
      <c r="AF278" s="40" t="s">
        <v>45</v>
      </c>
      <c r="AG278" s="40" t="s">
        <v>45</v>
      </c>
      <c r="AH278" s="40" t="s">
        <v>45</v>
      </c>
      <c r="AI278" s="40" t="s">
        <v>45</v>
      </c>
      <c r="AJ278" s="40" t="s">
        <v>45</v>
      </c>
      <c r="AK278" s="40" t="s">
        <v>45</v>
      </c>
      <c r="AL278" s="40" t="s">
        <v>45</v>
      </c>
      <c r="AM278" s="40" t="s">
        <v>45</v>
      </c>
      <c r="AN278" s="40" t="s">
        <v>45</v>
      </c>
      <c r="AO278" s="41" t="s">
        <v>45</v>
      </c>
      <c r="AP278" s="40" t="s">
        <v>57</v>
      </c>
      <c r="AQ278" s="40">
        <v>8</v>
      </c>
      <c r="AR278" s="48" t="s">
        <v>14</v>
      </c>
      <c r="AS278" s="43" t="s">
        <v>583</v>
      </c>
      <c r="AT278" s="43" t="s">
        <v>103</v>
      </c>
      <c r="AU278" s="44">
        <f t="shared" si="39"/>
        <v>-2.2644723474043147</v>
      </c>
      <c r="AV278" s="44">
        <f t="shared" si="40"/>
        <v>-0.75026249103150122</v>
      </c>
      <c r="AW278" s="45">
        <f t="shared" si="41"/>
        <v>3</v>
      </c>
      <c r="AX278" s="45">
        <f t="shared" si="42"/>
        <v>2</v>
      </c>
      <c r="AY278" s="46">
        <f>VLOOKUP(AP278,COND!$A$10:$B$32,2,FALSE)</f>
        <v>1</v>
      </c>
      <c r="AZ278" s="44">
        <f>($AU$3*AU278+$AV$3*AV278+$AW$3*AW278+$AX$3*AX278)*AY278*IF(AQ278&lt;5,0.95,IF(AQ278&lt;7,0.975,1))+$I$3*VLOOKUP(I278,COND!$A$2:$E$7,4,FALSE)+$J$3*VLOOKUP(J278,COND!$A$2:$E$7,2,FALSE)+$K$3*VLOOKUP(K278,COND!$A$2:$E$7,3,FALSE)+IF(BB278="SP",$BB$3,0)+IF($AW278&lt;3,-5,0)+IF(AND($B$2&gt;0,$E278&lt;20),$B$2*25,0)</f>
        <v>40.241855709889109</v>
      </c>
      <c r="BA278" s="47">
        <f>STANDARDIZE(AZ278,AVERAGE($AZ$5:$AZ$428),STDEVP($AZ$5:$AZ$428))</f>
        <v>0.17369340121394339</v>
      </c>
      <c r="BB278" s="45" t="str">
        <f t="shared" si="43"/>
        <v>SP</v>
      </c>
      <c r="BC278" s="45">
        <v>930</v>
      </c>
      <c r="BD278" s="45">
        <v>273</v>
      </c>
      <c r="BE278" s="45"/>
      <c r="BF278" s="45" t="str">
        <f t="shared" si="44"/>
        <v>Unlikely</v>
      </c>
      <c r="BG278" s="45"/>
      <c r="BH278" s="45">
        <f>INDEX(Table5[[#All],[Ovr]],MATCH(Table3[[#This Row],[PID]],Table5[[#All],[PID]],0))</f>
        <v>477</v>
      </c>
      <c r="BI278" s="45" t="str">
        <f>INDEX(Table5[[#All],[Rnd]],MATCH(Table3[[#This Row],[PID]],Table5[[#All],[PID]],0))</f>
        <v>15</v>
      </c>
      <c r="BJ278" s="45">
        <f>INDEX(Table5[[#All],[Pick]],MATCH(Table3[[#This Row],[PID]],Table5[[#All],[PID]],0))</f>
        <v>10</v>
      </c>
      <c r="BK278" s="45" t="str">
        <f>INDEX(Table5[[#All],[Team]],MATCH(Table3[[#This Row],[PID]],Table5[[#All],[PID]],0))</f>
        <v>London Underground</v>
      </c>
      <c r="BL278" s="45" t="str">
        <f>IF(OR(Table3[[#This Row],[POS]]="SP",Table3[[#This Row],[POS]]="RP",Table3[[#This Row],[POS]]="CL"),"P",INDEX(Batters[[#All],[zScore]],MATCH(Table3[[#This Row],[PID]],Batters[[#All],[PID]],0)))</f>
        <v>P</v>
      </c>
    </row>
    <row r="279" spans="1:64" ht="15" customHeight="1" x14ac:dyDescent="0.3">
      <c r="A279" s="40">
        <v>13041</v>
      </c>
      <c r="B279" s="40" t="s">
        <v>24</v>
      </c>
      <c r="C279" s="40" t="s">
        <v>809</v>
      </c>
      <c r="D279" s="40" t="s">
        <v>607</v>
      </c>
      <c r="E279" s="40">
        <v>18</v>
      </c>
      <c r="F279" s="40" t="s">
        <v>42</v>
      </c>
      <c r="G279" s="40" t="s">
        <v>42</v>
      </c>
      <c r="H279" s="41" t="s">
        <v>561</v>
      </c>
      <c r="I279" s="42" t="s">
        <v>44</v>
      </c>
      <c r="J279" s="40" t="s">
        <v>44</v>
      </c>
      <c r="K279" s="41" t="s">
        <v>47</v>
      </c>
      <c r="L279" s="40">
        <v>3</v>
      </c>
      <c r="M279" s="40">
        <v>1</v>
      </c>
      <c r="N279" s="41">
        <v>1</v>
      </c>
      <c r="O279" s="40">
        <v>6</v>
      </c>
      <c r="P279" s="40">
        <v>1</v>
      </c>
      <c r="Q279" s="41">
        <v>3</v>
      </c>
      <c r="R279" s="40">
        <v>5</v>
      </c>
      <c r="S279" s="40">
        <v>7</v>
      </c>
      <c r="T279" s="40">
        <v>3</v>
      </c>
      <c r="U279" s="40">
        <v>3</v>
      </c>
      <c r="V279" s="40">
        <v>5</v>
      </c>
      <c r="W279" s="40">
        <v>10</v>
      </c>
      <c r="X279" s="40" t="s">
        <v>45</v>
      </c>
      <c r="Y279" s="40" t="s">
        <v>45</v>
      </c>
      <c r="Z279" s="40" t="s">
        <v>45</v>
      </c>
      <c r="AA279" s="40" t="s">
        <v>45</v>
      </c>
      <c r="AB279" s="40" t="s">
        <v>45</v>
      </c>
      <c r="AC279" s="40" t="s">
        <v>45</v>
      </c>
      <c r="AD279" s="40" t="s">
        <v>45</v>
      </c>
      <c r="AE279" s="40" t="s">
        <v>45</v>
      </c>
      <c r="AF279" s="40" t="s">
        <v>45</v>
      </c>
      <c r="AG279" s="40" t="s">
        <v>45</v>
      </c>
      <c r="AH279" s="40" t="s">
        <v>45</v>
      </c>
      <c r="AI279" s="40" t="s">
        <v>45</v>
      </c>
      <c r="AJ279" s="40" t="s">
        <v>45</v>
      </c>
      <c r="AK279" s="40" t="s">
        <v>45</v>
      </c>
      <c r="AL279" s="40" t="s">
        <v>45</v>
      </c>
      <c r="AM279" s="40" t="s">
        <v>45</v>
      </c>
      <c r="AN279" s="40" t="s">
        <v>45</v>
      </c>
      <c r="AO279" s="41" t="s">
        <v>45</v>
      </c>
      <c r="AP279" s="40" t="s">
        <v>56</v>
      </c>
      <c r="AQ279" s="40">
        <v>10</v>
      </c>
      <c r="AR279" s="48" t="s">
        <v>14</v>
      </c>
      <c r="AS279" s="43" t="s">
        <v>572</v>
      </c>
      <c r="AT279" s="43" t="s">
        <v>103</v>
      </c>
      <c r="AU279" s="44">
        <f t="shared" si="39"/>
        <v>-2.3121015889492513</v>
      </c>
      <c r="AV279" s="44">
        <f t="shared" si="40"/>
        <v>-0.79789173257643808</v>
      </c>
      <c r="AW279" s="45">
        <f t="shared" si="41"/>
        <v>3</v>
      </c>
      <c r="AX279" s="45">
        <f t="shared" si="42"/>
        <v>2</v>
      </c>
      <c r="AY279" s="46">
        <f>VLOOKUP(AP279,COND!$A$10:$B$32,2,FALSE)</f>
        <v>1</v>
      </c>
      <c r="AZ279" s="44">
        <f>($AU$3*AU279+$AV$3*AV279+$AW$3*AW279+$AX$3*AX279)*AY279*IF(AQ279&lt;5,0.95,IF(AQ279&lt;7,0.975,1))+$I$3*VLOOKUP(I279,COND!$A$2:$E$7,4,FALSE)+$J$3*VLOOKUP(J279,COND!$A$2:$E$7,2,FALSE)+$K$3*VLOOKUP(K279,COND!$A$2:$E$7,3,FALSE)+IF(BB279="SP",$BB$3,0)+IF($AW279&lt;3,-5,0)+IF(AND($B$2&gt;0,$E279&lt;20),$B$2*25,0)</f>
        <v>39.429745030681389</v>
      </c>
      <c r="BA279" s="47">
        <f>STANDARDIZE(AZ279,AVERAGE($AZ$5:$AZ$428),STDEVP($AZ$5:$AZ$428))</f>
        <v>0.11586540938310481</v>
      </c>
      <c r="BB279" s="45" t="str">
        <f t="shared" si="43"/>
        <v>SP</v>
      </c>
      <c r="BC279" s="45">
        <v>930</v>
      </c>
      <c r="BD279" s="45">
        <v>274</v>
      </c>
      <c r="BE279" s="45"/>
      <c r="BF279" s="45" t="str">
        <f t="shared" si="44"/>
        <v>Unlikely</v>
      </c>
      <c r="BG279" s="45"/>
      <c r="BH279" s="45">
        <f>INDEX(Table5[[#All],[Ovr]],MATCH(Table3[[#This Row],[PID]],Table5[[#All],[PID]],0))</f>
        <v>217</v>
      </c>
      <c r="BI279" s="45" t="str">
        <f>INDEX(Table5[[#All],[Rnd]],MATCH(Table3[[#This Row],[PID]],Table5[[#All],[PID]],0))</f>
        <v>7</v>
      </c>
      <c r="BJ279" s="45">
        <f>INDEX(Table5[[#All],[Pick]],MATCH(Table3[[#This Row],[PID]],Table5[[#All],[PID]],0))</f>
        <v>16</v>
      </c>
      <c r="BK279" s="45" t="str">
        <f>INDEX(Table5[[#All],[Team]],MATCH(Table3[[#This Row],[PID]],Table5[[#All],[PID]],0))</f>
        <v>Madison Malts</v>
      </c>
      <c r="BL279" s="45" t="str">
        <f>IF(OR(Table3[[#This Row],[POS]]="SP",Table3[[#This Row],[POS]]="RP",Table3[[#This Row],[POS]]="CL"),"P",INDEX(Batters[[#All],[zScore]],MATCH(Table3[[#This Row],[PID]],Batters[[#All],[PID]],0)))</f>
        <v>P</v>
      </c>
    </row>
    <row r="280" spans="1:64" ht="15" customHeight="1" x14ac:dyDescent="0.3">
      <c r="A280" s="40">
        <v>13072</v>
      </c>
      <c r="B280" s="40" t="s">
        <v>24</v>
      </c>
      <c r="C280" s="40" t="s">
        <v>1434</v>
      </c>
      <c r="D280" s="40" t="s">
        <v>1435</v>
      </c>
      <c r="E280" s="40">
        <v>17</v>
      </c>
      <c r="F280" s="40" t="s">
        <v>53</v>
      </c>
      <c r="G280" s="40" t="s">
        <v>53</v>
      </c>
      <c r="H280" s="41" t="s">
        <v>561</v>
      </c>
      <c r="I280" s="42" t="s">
        <v>44</v>
      </c>
      <c r="J280" s="40" t="s">
        <v>44</v>
      </c>
      <c r="K280" s="41" t="s">
        <v>43</v>
      </c>
      <c r="L280" s="40">
        <v>2</v>
      </c>
      <c r="M280" s="40">
        <v>2</v>
      </c>
      <c r="N280" s="41">
        <v>1</v>
      </c>
      <c r="O280" s="40">
        <v>5</v>
      </c>
      <c r="P280" s="40">
        <v>2</v>
      </c>
      <c r="Q280" s="41">
        <v>3</v>
      </c>
      <c r="R280" s="40" t="s">
        <v>45</v>
      </c>
      <c r="S280" s="40" t="s">
        <v>45</v>
      </c>
      <c r="T280" s="40">
        <v>2</v>
      </c>
      <c r="U280" s="40">
        <v>6</v>
      </c>
      <c r="V280" s="40" t="s">
        <v>45</v>
      </c>
      <c r="W280" s="40" t="s">
        <v>45</v>
      </c>
      <c r="X280" s="40">
        <v>3</v>
      </c>
      <c r="Y280" s="40">
        <v>7</v>
      </c>
      <c r="Z280" s="40" t="s">
        <v>45</v>
      </c>
      <c r="AA280" s="40" t="s">
        <v>45</v>
      </c>
      <c r="AB280" s="40">
        <v>4</v>
      </c>
      <c r="AC280" s="40">
        <v>5</v>
      </c>
      <c r="AD280" s="40">
        <v>4</v>
      </c>
      <c r="AE280" s="40">
        <v>5</v>
      </c>
      <c r="AF280" s="40" t="s">
        <v>45</v>
      </c>
      <c r="AG280" s="40" t="s">
        <v>45</v>
      </c>
      <c r="AH280" s="40" t="s">
        <v>45</v>
      </c>
      <c r="AI280" s="40" t="s">
        <v>45</v>
      </c>
      <c r="AJ280" s="40" t="s">
        <v>45</v>
      </c>
      <c r="AK280" s="40" t="s">
        <v>45</v>
      </c>
      <c r="AL280" s="40" t="s">
        <v>45</v>
      </c>
      <c r="AM280" s="40" t="s">
        <v>45</v>
      </c>
      <c r="AN280" s="40" t="s">
        <v>45</v>
      </c>
      <c r="AO280" s="41" t="s">
        <v>45</v>
      </c>
      <c r="AP280" s="40" t="s">
        <v>57</v>
      </c>
      <c r="AQ280" s="40">
        <v>7</v>
      </c>
      <c r="AR280" s="48" t="s">
        <v>326</v>
      </c>
      <c r="AS280" s="43" t="s">
        <v>583</v>
      </c>
      <c r="AT280" s="43" t="s">
        <v>103</v>
      </c>
      <c r="AU280" s="44">
        <f t="shared" si="39"/>
        <v>-2.311361197028369</v>
      </c>
      <c r="AV280" s="44">
        <f t="shared" si="40"/>
        <v>-0.79715134065555615</v>
      </c>
      <c r="AW280" s="45">
        <f t="shared" si="41"/>
        <v>4</v>
      </c>
      <c r="AX280" s="45">
        <f t="shared" si="42"/>
        <v>2</v>
      </c>
      <c r="AY280" s="46">
        <f>VLOOKUP(AP280,COND!$A$10:$B$32,2,FALSE)</f>
        <v>1</v>
      </c>
      <c r="AZ280" s="44">
        <f>($AU$3*AU280+$AV$3*AV280+$AW$3*AW280+$AX$3*AX280)*AY280*IF(AQ280&lt;5,0.95,IF(AQ280&lt;7,0.975,1))+$I$3*VLOOKUP(I280,COND!$A$2:$E$7,4,FALSE)+$J$3*VLOOKUP(J280,COND!$A$2:$E$7,2,FALSE)+$K$3*VLOOKUP(K280,COND!$A$2:$E$7,3,FALSE)+IF(BB280="SP",$BB$3,0)+IF($AW280&lt;3,-5,0)+IF(AND($B$2&gt;0,$E280&lt;20),$B$2*25,0)</f>
        <v>39.644700947483202</v>
      </c>
      <c r="BA280" s="47">
        <f>STANDARDIZE(AZ280,AVERAGE($AZ$5:$AZ$428),STDEVP($AZ$5:$AZ$428))</f>
        <v>0.1311717824170521</v>
      </c>
      <c r="BB280" s="45" t="str">
        <f t="shared" si="43"/>
        <v>SP</v>
      </c>
      <c r="BC280" s="45">
        <v>930</v>
      </c>
      <c r="BD280" s="45">
        <v>275</v>
      </c>
      <c r="BE280" s="45"/>
      <c r="BF280" s="45" t="str">
        <f t="shared" si="44"/>
        <v>Unlikely</v>
      </c>
      <c r="BG280" s="45"/>
      <c r="BH280" s="45">
        <f>INDEX(Table5[[#All],[Ovr]],MATCH(Table3[[#This Row],[PID]],Table5[[#All],[PID]],0))</f>
        <v>378</v>
      </c>
      <c r="BI280" s="45" t="str">
        <f>INDEX(Table5[[#All],[Rnd]],MATCH(Table3[[#This Row],[PID]],Table5[[#All],[PID]],0))</f>
        <v>12</v>
      </c>
      <c r="BJ280" s="45">
        <f>INDEX(Table5[[#All],[Pick]],MATCH(Table3[[#This Row],[PID]],Table5[[#All],[PID]],0))</f>
        <v>13</v>
      </c>
      <c r="BK280" s="45" t="str">
        <f>INDEX(Table5[[#All],[Team]],MATCH(Table3[[#This Row],[PID]],Table5[[#All],[PID]],0))</f>
        <v>Scottish Claymores</v>
      </c>
      <c r="BL280" s="45" t="str">
        <f>IF(OR(Table3[[#This Row],[POS]]="SP",Table3[[#This Row],[POS]]="RP",Table3[[#This Row],[POS]]="CL"),"P",INDEX(Batters[[#All],[zScore]],MATCH(Table3[[#This Row],[PID]],Batters[[#All],[PID]],0)))</f>
        <v>P</v>
      </c>
    </row>
    <row r="281" spans="1:64" ht="15" customHeight="1" x14ac:dyDescent="0.3">
      <c r="A281" s="40">
        <v>20854</v>
      </c>
      <c r="B281" s="40" t="s">
        <v>380</v>
      </c>
      <c r="C281" s="40" t="s">
        <v>1412</v>
      </c>
      <c r="D281" s="40" t="s">
        <v>1050</v>
      </c>
      <c r="E281" s="40">
        <v>17</v>
      </c>
      <c r="F281" s="40" t="s">
        <v>42</v>
      </c>
      <c r="G281" s="40" t="s">
        <v>42</v>
      </c>
      <c r="H281" s="41" t="s">
        <v>561</v>
      </c>
      <c r="I281" s="42" t="s">
        <v>43</v>
      </c>
      <c r="J281" s="40" t="s">
        <v>44</v>
      </c>
      <c r="K281" s="41" t="s">
        <v>43</v>
      </c>
      <c r="L281" s="40">
        <v>3</v>
      </c>
      <c r="M281" s="40">
        <v>1</v>
      </c>
      <c r="N281" s="41">
        <v>1</v>
      </c>
      <c r="O281" s="40">
        <v>5</v>
      </c>
      <c r="P281" s="40">
        <v>2</v>
      </c>
      <c r="Q281" s="41">
        <v>3</v>
      </c>
      <c r="R281" s="40">
        <v>5</v>
      </c>
      <c r="S281" s="40">
        <v>6</v>
      </c>
      <c r="T281" s="40">
        <v>1</v>
      </c>
      <c r="U281" s="40">
        <v>5</v>
      </c>
      <c r="V281" s="40">
        <v>2</v>
      </c>
      <c r="W281" s="40">
        <v>6</v>
      </c>
      <c r="X281" s="40" t="s">
        <v>45</v>
      </c>
      <c r="Y281" s="40" t="s">
        <v>45</v>
      </c>
      <c r="Z281" s="40" t="s">
        <v>45</v>
      </c>
      <c r="AA281" s="40" t="s">
        <v>45</v>
      </c>
      <c r="AB281" s="40" t="s">
        <v>45</v>
      </c>
      <c r="AC281" s="40" t="s">
        <v>45</v>
      </c>
      <c r="AD281" s="40" t="s">
        <v>45</v>
      </c>
      <c r="AE281" s="40" t="s">
        <v>45</v>
      </c>
      <c r="AF281" s="40" t="s">
        <v>45</v>
      </c>
      <c r="AG281" s="40" t="s">
        <v>45</v>
      </c>
      <c r="AH281" s="40" t="s">
        <v>45</v>
      </c>
      <c r="AI281" s="40" t="s">
        <v>45</v>
      </c>
      <c r="AJ281" s="40" t="s">
        <v>45</v>
      </c>
      <c r="AK281" s="40" t="s">
        <v>45</v>
      </c>
      <c r="AL281" s="40" t="s">
        <v>45</v>
      </c>
      <c r="AM281" s="40" t="s">
        <v>45</v>
      </c>
      <c r="AN281" s="40" t="s">
        <v>45</v>
      </c>
      <c r="AO281" s="41" t="s">
        <v>45</v>
      </c>
      <c r="AP281" s="40" t="s">
        <v>60</v>
      </c>
      <c r="AQ281" s="40">
        <v>6</v>
      </c>
      <c r="AR281" s="48" t="s">
        <v>14</v>
      </c>
      <c r="AS281" s="43" t="s">
        <v>572</v>
      </c>
      <c r="AT281" s="43" t="s">
        <v>103</v>
      </c>
      <c r="AU281" s="44">
        <f t="shared" si="39"/>
        <v>-2.3121015889492513</v>
      </c>
      <c r="AV281" s="44">
        <f t="shared" si="40"/>
        <v>-0.79715134065555615</v>
      </c>
      <c r="AW281" s="45">
        <f t="shared" si="41"/>
        <v>3</v>
      </c>
      <c r="AX281" s="45">
        <f t="shared" si="42"/>
        <v>2</v>
      </c>
      <c r="AY281" s="46">
        <f>VLOOKUP(AP281,COND!$A$10:$B$32,2,FALSE)</f>
        <v>1.0249999999999999</v>
      </c>
      <c r="AZ281" s="44">
        <f>($AU$3*AU281+$AV$3*AV281+$AW$3*AW281+$AX$3*AX281)*AY281*IF(AQ281&lt;5,0.95,IF(AQ281&lt;7,0.975,1))+$I$3*VLOOKUP(I281,COND!$A$2:$E$7,4,FALSE)+$J$3*VLOOKUP(J281,COND!$A$2:$E$7,2,FALSE)+$K$3*VLOOKUP(K281,COND!$A$2:$E$7,3,FALSE)+IF(BB281="SP",$BB$3,0)+IF($AW281&lt;3,-5,0)+IF(AND($B$2&gt;0,$E281&lt;20),$B$2*25,0)</f>
        <v>39.302306273555843</v>
      </c>
      <c r="BA281" s="47">
        <f>STANDARDIZE(AZ281,AVERAGE($AZ$5:$AZ$428),STDEVP($AZ$5:$AZ$428))</f>
        <v>0.10679087361517492</v>
      </c>
      <c r="BB281" s="45" t="str">
        <f t="shared" si="43"/>
        <v>SP</v>
      </c>
      <c r="BC281" s="45">
        <v>930</v>
      </c>
      <c r="BD281" s="45">
        <v>276</v>
      </c>
      <c r="BE281" s="45"/>
      <c r="BF281" s="45" t="str">
        <f t="shared" si="44"/>
        <v>Unlikely</v>
      </c>
      <c r="BG281" s="45"/>
      <c r="BH281" s="45">
        <f>INDEX(Table5[[#All],[Ovr]],MATCH(Table3[[#This Row],[PID]],Table5[[#All],[PID]],0))</f>
        <v>574</v>
      </c>
      <c r="BI281" s="45" t="str">
        <f>INDEX(Table5[[#All],[Rnd]],MATCH(Table3[[#This Row],[PID]],Table5[[#All],[PID]],0))</f>
        <v>18</v>
      </c>
      <c r="BJ281" s="45">
        <f>INDEX(Table5[[#All],[Pick]],MATCH(Table3[[#This Row],[PID]],Table5[[#All],[PID]],0))</f>
        <v>5</v>
      </c>
      <c r="BK281" s="45" t="str">
        <f>INDEX(Table5[[#All],[Team]],MATCH(Table3[[#This Row],[PID]],Table5[[#All],[PID]],0))</f>
        <v>Tempe Knights</v>
      </c>
      <c r="BL281" s="45" t="str">
        <f>IF(OR(Table3[[#This Row],[POS]]="SP",Table3[[#This Row],[POS]]="RP",Table3[[#This Row],[POS]]="CL"),"P",INDEX(Batters[[#All],[zScore]],MATCH(Table3[[#This Row],[PID]],Batters[[#All],[PID]],0)))</f>
        <v>P</v>
      </c>
    </row>
    <row r="282" spans="1:64" ht="15" customHeight="1" x14ac:dyDescent="0.3">
      <c r="A282" s="40">
        <v>20323</v>
      </c>
      <c r="B282" s="40" t="s">
        <v>24</v>
      </c>
      <c r="C282" s="40" t="s">
        <v>1462</v>
      </c>
      <c r="D282" s="40" t="s">
        <v>602</v>
      </c>
      <c r="E282" s="40">
        <v>17</v>
      </c>
      <c r="F282" s="40" t="s">
        <v>42</v>
      </c>
      <c r="G282" s="40" t="s">
        <v>42</v>
      </c>
      <c r="H282" s="41" t="s">
        <v>561</v>
      </c>
      <c r="I282" s="42" t="s">
        <v>43</v>
      </c>
      <c r="J282" s="40" t="s">
        <v>44</v>
      </c>
      <c r="K282" s="41" t="s">
        <v>43</v>
      </c>
      <c r="L282" s="40">
        <v>2</v>
      </c>
      <c r="M282" s="40">
        <v>2</v>
      </c>
      <c r="N282" s="41">
        <v>1</v>
      </c>
      <c r="O282" s="40">
        <v>4</v>
      </c>
      <c r="P282" s="40">
        <v>2</v>
      </c>
      <c r="Q282" s="41">
        <v>4</v>
      </c>
      <c r="R282" s="40">
        <v>4</v>
      </c>
      <c r="S282" s="40">
        <v>5</v>
      </c>
      <c r="T282" s="40">
        <v>1</v>
      </c>
      <c r="U282" s="40">
        <v>4</v>
      </c>
      <c r="V282" s="40">
        <v>2</v>
      </c>
      <c r="W282" s="40">
        <v>4</v>
      </c>
      <c r="X282" s="40">
        <v>2</v>
      </c>
      <c r="Y282" s="40">
        <v>4</v>
      </c>
      <c r="Z282" s="40" t="s">
        <v>45</v>
      </c>
      <c r="AA282" s="40" t="s">
        <v>45</v>
      </c>
      <c r="AB282" s="40">
        <v>3</v>
      </c>
      <c r="AC282" s="40">
        <v>4</v>
      </c>
      <c r="AD282" s="40" t="s">
        <v>45</v>
      </c>
      <c r="AE282" s="40" t="s">
        <v>45</v>
      </c>
      <c r="AF282" s="40">
        <v>3</v>
      </c>
      <c r="AG282" s="40">
        <v>4</v>
      </c>
      <c r="AH282" s="40" t="s">
        <v>45</v>
      </c>
      <c r="AI282" s="40" t="s">
        <v>45</v>
      </c>
      <c r="AJ282" s="40" t="s">
        <v>45</v>
      </c>
      <c r="AK282" s="40" t="s">
        <v>45</v>
      </c>
      <c r="AL282" s="40" t="s">
        <v>45</v>
      </c>
      <c r="AM282" s="40" t="s">
        <v>45</v>
      </c>
      <c r="AN282" s="40" t="s">
        <v>45</v>
      </c>
      <c r="AO282" s="41" t="s">
        <v>45</v>
      </c>
      <c r="AP282" s="40" t="s">
        <v>57</v>
      </c>
      <c r="AQ282" s="40">
        <v>9</v>
      </c>
      <c r="AR282" s="48" t="s">
        <v>326</v>
      </c>
      <c r="AS282" s="43" t="s">
        <v>568</v>
      </c>
      <c r="AT282" s="43" t="s">
        <v>103</v>
      </c>
      <c r="AU282" s="44">
        <f t="shared" si="39"/>
        <v>-2.311361197028369</v>
      </c>
      <c r="AV282" s="44">
        <f t="shared" si="40"/>
        <v>-0.74952209911061918</v>
      </c>
      <c r="AW282" s="45">
        <f t="shared" si="41"/>
        <v>6</v>
      </c>
      <c r="AX282" s="45">
        <f t="shared" si="42"/>
        <v>0</v>
      </c>
      <c r="AY282" s="46">
        <f>VLOOKUP(AP282,COND!$A$10:$B$32,2,FALSE)</f>
        <v>1</v>
      </c>
      <c r="AZ282" s="44">
        <f>($AU$3*AU282+$AV$3*AV282+$AW$3*AW282+$AX$3*AX282)*AY282*IF(AQ282&lt;5,0.95,IF(AQ282&lt;7,0.975,1))+$I$3*VLOOKUP(I282,COND!$A$2:$E$7,4,FALSE)+$J$3*VLOOKUP(J282,COND!$A$2:$E$7,2,FALSE)+$K$3*VLOOKUP(K282,COND!$A$2:$E$7,3,FALSE)+IF(BB282="SP",$BB$3,0)+IF($AW282&lt;3,-5,0)+IF(AND($B$2&gt;0,$E282&lt;20),$B$2*25,0)</f>
        <v>39.247285778381944</v>
      </c>
      <c r="BA282" s="47">
        <f>STANDARDIZE(AZ282,AVERAGE($AZ$5:$AZ$428),STDEVP($AZ$5:$AZ$428))</f>
        <v>0.10287302740663969</v>
      </c>
      <c r="BB282" s="45" t="str">
        <f t="shared" si="43"/>
        <v>SP</v>
      </c>
      <c r="BC282" s="45">
        <v>930</v>
      </c>
      <c r="BD282" s="45">
        <v>277</v>
      </c>
      <c r="BE282" s="45"/>
      <c r="BF282" s="45" t="str">
        <f t="shared" si="44"/>
        <v>Unlikely</v>
      </c>
      <c r="BG282" s="45"/>
      <c r="BH282" s="45">
        <f>INDEX(Table5[[#All],[Ovr]],MATCH(Table3[[#This Row],[PID]],Table5[[#All],[PID]],0))</f>
        <v>428</v>
      </c>
      <c r="BI282" s="45" t="str">
        <f>INDEX(Table5[[#All],[Rnd]],MATCH(Table3[[#This Row],[PID]],Table5[[#All],[PID]],0))</f>
        <v>13</v>
      </c>
      <c r="BJ282" s="45">
        <f>INDEX(Table5[[#All],[Pick]],MATCH(Table3[[#This Row],[PID]],Table5[[#All],[PID]],0))</f>
        <v>29</v>
      </c>
      <c r="BK282" s="45" t="str">
        <f>INDEX(Table5[[#All],[Team]],MATCH(Table3[[#This Row],[PID]],Table5[[#All],[PID]],0))</f>
        <v>Shin Seiki Evas</v>
      </c>
      <c r="BL282" s="45" t="str">
        <f>IF(OR(Table3[[#This Row],[POS]]="SP",Table3[[#This Row],[POS]]="RP",Table3[[#This Row],[POS]]="CL"),"P",INDEX(Batters[[#All],[zScore]],MATCH(Table3[[#This Row],[PID]],Batters[[#All],[PID]],0)))</f>
        <v>P</v>
      </c>
    </row>
    <row r="283" spans="1:64" ht="15" customHeight="1" x14ac:dyDescent="0.3">
      <c r="A283" s="40">
        <v>20978</v>
      </c>
      <c r="B283" s="40" t="s">
        <v>380</v>
      </c>
      <c r="C283" s="40" t="s">
        <v>136</v>
      </c>
      <c r="D283" s="40" t="s">
        <v>1560</v>
      </c>
      <c r="E283" s="40">
        <v>17</v>
      </c>
      <c r="F283" s="40" t="s">
        <v>42</v>
      </c>
      <c r="G283" s="40" t="s">
        <v>42</v>
      </c>
      <c r="H283" s="41" t="s">
        <v>561</v>
      </c>
      <c r="I283" s="42" t="s">
        <v>43</v>
      </c>
      <c r="J283" s="40" t="s">
        <v>44</v>
      </c>
      <c r="K283" s="41" t="s">
        <v>43</v>
      </c>
      <c r="L283" s="40">
        <v>2</v>
      </c>
      <c r="M283" s="40">
        <v>1</v>
      </c>
      <c r="N283" s="41">
        <v>1</v>
      </c>
      <c r="O283" s="40">
        <v>4</v>
      </c>
      <c r="P283" s="40">
        <v>1</v>
      </c>
      <c r="Q283" s="41">
        <v>5</v>
      </c>
      <c r="R283" s="40">
        <v>4</v>
      </c>
      <c r="S283" s="40">
        <v>5</v>
      </c>
      <c r="T283" s="40">
        <v>1</v>
      </c>
      <c r="U283" s="40">
        <v>4</v>
      </c>
      <c r="V283" s="40">
        <v>2</v>
      </c>
      <c r="W283" s="40">
        <v>4</v>
      </c>
      <c r="X283" s="40">
        <v>2</v>
      </c>
      <c r="Y283" s="40">
        <v>4</v>
      </c>
      <c r="Z283" s="40" t="s">
        <v>45</v>
      </c>
      <c r="AA283" s="40" t="s">
        <v>45</v>
      </c>
      <c r="AB283" s="40" t="s">
        <v>45</v>
      </c>
      <c r="AC283" s="40" t="s">
        <v>45</v>
      </c>
      <c r="AD283" s="40" t="s">
        <v>45</v>
      </c>
      <c r="AE283" s="40" t="s">
        <v>45</v>
      </c>
      <c r="AF283" s="40" t="s">
        <v>45</v>
      </c>
      <c r="AG283" s="40" t="s">
        <v>45</v>
      </c>
      <c r="AH283" s="40" t="s">
        <v>45</v>
      </c>
      <c r="AI283" s="40" t="s">
        <v>45</v>
      </c>
      <c r="AJ283" s="40" t="s">
        <v>45</v>
      </c>
      <c r="AK283" s="40" t="s">
        <v>45</v>
      </c>
      <c r="AL283" s="40" t="s">
        <v>45</v>
      </c>
      <c r="AM283" s="40" t="s">
        <v>45</v>
      </c>
      <c r="AN283" s="40" t="s">
        <v>45</v>
      </c>
      <c r="AO283" s="41" t="s">
        <v>45</v>
      </c>
      <c r="AP283" s="40" t="s">
        <v>57</v>
      </c>
      <c r="AQ283" s="40">
        <v>9</v>
      </c>
      <c r="AR283" s="48" t="s">
        <v>14</v>
      </c>
      <c r="AS283" s="43" t="s">
        <v>568</v>
      </c>
      <c r="AT283" s="43" t="s">
        <v>103</v>
      </c>
      <c r="AU283" s="44">
        <f t="shared" si="39"/>
        <v>-2.5067929134584248</v>
      </c>
      <c r="AV283" s="44">
        <f t="shared" si="40"/>
        <v>-0.70263324948656447</v>
      </c>
      <c r="AW283" s="45">
        <f t="shared" si="41"/>
        <v>4</v>
      </c>
      <c r="AX283" s="45">
        <f t="shared" si="42"/>
        <v>0</v>
      </c>
      <c r="AY283" s="46">
        <f>VLOOKUP(AP283,COND!$A$10:$B$32,2,FALSE)</f>
        <v>1</v>
      </c>
      <c r="AZ283" s="44">
        <f>($AU$3*AU283+$AV$3*AV283+$AW$3*AW283+$AX$3*AX283)*AY283*IF(AQ283&lt;5,0.95,IF(AQ283&lt;7,0.975,1))+$I$3*VLOOKUP(I283,COND!$A$2:$E$7,4,FALSE)+$J$3*VLOOKUP(J283,COND!$A$2:$E$7,2,FALSE)+$K$3*VLOOKUP(K283,COND!$A$2:$E$7,3,FALSE)+IF(BB283="SP",$BB$3,0)+IF($AW283&lt;3,-5,0)+IF(AND($B$2&gt;0,$E283&lt;20),$B$2*25,0)</f>
        <v>39.145976427577025</v>
      </c>
      <c r="BA283" s="47">
        <f>STANDARDIZE(AZ283,AVERAGE($AZ$5:$AZ$445),STDEVP($AZ$5:$AZ$445))</f>
        <v>0.10180353428294818</v>
      </c>
      <c r="BB283" s="45" t="str">
        <f t="shared" si="43"/>
        <v>SP</v>
      </c>
      <c r="BC283" s="45">
        <v>930</v>
      </c>
      <c r="BD283" s="45">
        <v>278</v>
      </c>
      <c r="BE283" s="45"/>
      <c r="BF283" s="45" t="str">
        <f t="shared" si="44"/>
        <v>Unlikely</v>
      </c>
      <c r="BG283" s="45"/>
      <c r="BH283" s="63">
        <f>INDEX(Table5[[#All],[Ovr]],MATCH(Table3[[#This Row],[PID]],Table5[[#All],[PID]],0))</f>
        <v>438</v>
      </c>
      <c r="BI283" s="63" t="str">
        <f>INDEX(Table5[[#All],[Rnd]],MATCH(Table3[[#This Row],[PID]],Table5[[#All],[PID]],0))</f>
        <v>14</v>
      </c>
      <c r="BJ283" s="63">
        <f>INDEX(Table5[[#All],[Pick]],MATCH(Table3[[#This Row],[PID]],Table5[[#All],[PID]],0))</f>
        <v>5</v>
      </c>
      <c r="BK283" s="63" t="str">
        <f>INDEX(Table5[[#All],[Team]],MATCH(Table3[[#This Row],[PID]],Table5[[#All],[PID]],0))</f>
        <v>Tempe Knights</v>
      </c>
      <c r="BL283" s="63" t="str">
        <f>IF(OR(Table3[[#This Row],[POS]]="SP",Table3[[#This Row],[POS]]="RP",Table3[[#This Row],[POS]]="CL"),"P",INDEX(Batters[[#All],[zScore]],MATCH(Table3[[#This Row],[PID]],Batters[[#All],[PID]],0)))</f>
        <v>P</v>
      </c>
    </row>
    <row r="284" spans="1:64" ht="15" customHeight="1" x14ac:dyDescent="0.3">
      <c r="A284" s="40">
        <v>12264</v>
      </c>
      <c r="B284" s="40" t="s">
        <v>380</v>
      </c>
      <c r="C284" s="40" t="s">
        <v>887</v>
      </c>
      <c r="D284" s="40" t="s">
        <v>1423</v>
      </c>
      <c r="E284" s="40">
        <v>17</v>
      </c>
      <c r="F284" s="40" t="s">
        <v>53</v>
      </c>
      <c r="G284" s="40" t="s">
        <v>53</v>
      </c>
      <c r="H284" s="41" t="s">
        <v>553</v>
      </c>
      <c r="I284" s="42" t="s">
        <v>43</v>
      </c>
      <c r="J284" s="40" t="s">
        <v>44</v>
      </c>
      <c r="K284" s="41" t="s">
        <v>43</v>
      </c>
      <c r="L284" s="40">
        <v>4</v>
      </c>
      <c r="M284" s="40">
        <v>1</v>
      </c>
      <c r="N284" s="41">
        <v>1</v>
      </c>
      <c r="O284" s="40">
        <v>6</v>
      </c>
      <c r="P284" s="40">
        <v>1</v>
      </c>
      <c r="Q284" s="41">
        <v>3</v>
      </c>
      <c r="R284" s="40">
        <v>6</v>
      </c>
      <c r="S284" s="40">
        <v>8</v>
      </c>
      <c r="T284" s="40">
        <v>1</v>
      </c>
      <c r="U284" s="40">
        <v>1</v>
      </c>
      <c r="V284" s="40">
        <v>4</v>
      </c>
      <c r="W284" s="40">
        <v>8</v>
      </c>
      <c r="X284" s="40" t="s">
        <v>45</v>
      </c>
      <c r="Y284" s="40" t="s">
        <v>45</v>
      </c>
      <c r="Z284" s="40" t="s">
        <v>45</v>
      </c>
      <c r="AA284" s="40" t="s">
        <v>45</v>
      </c>
      <c r="AB284" s="40" t="s">
        <v>45</v>
      </c>
      <c r="AC284" s="40" t="s">
        <v>45</v>
      </c>
      <c r="AD284" s="40" t="s">
        <v>45</v>
      </c>
      <c r="AE284" s="40" t="s">
        <v>45</v>
      </c>
      <c r="AF284" s="40" t="s">
        <v>45</v>
      </c>
      <c r="AG284" s="40" t="s">
        <v>45</v>
      </c>
      <c r="AH284" s="40" t="s">
        <v>45</v>
      </c>
      <c r="AI284" s="40" t="s">
        <v>45</v>
      </c>
      <c r="AJ284" s="40" t="s">
        <v>45</v>
      </c>
      <c r="AK284" s="40" t="s">
        <v>45</v>
      </c>
      <c r="AL284" s="40" t="s">
        <v>45</v>
      </c>
      <c r="AM284" s="40" t="s">
        <v>45</v>
      </c>
      <c r="AN284" s="40" t="s">
        <v>45</v>
      </c>
      <c r="AO284" s="41" t="s">
        <v>45</v>
      </c>
      <c r="AP284" s="40" t="s">
        <v>54</v>
      </c>
      <c r="AQ284" s="40">
        <v>8</v>
      </c>
      <c r="AR284" s="48" t="s">
        <v>330</v>
      </c>
      <c r="AS284" s="43" t="s">
        <v>572</v>
      </c>
      <c r="AT284" s="43" t="s">
        <v>103</v>
      </c>
      <c r="AU284" s="44">
        <f t="shared" si="39"/>
        <v>-2.1174102644400774</v>
      </c>
      <c r="AV284" s="44">
        <f t="shared" si="40"/>
        <v>-0.79789173257643808</v>
      </c>
      <c r="AW284" s="45">
        <f t="shared" si="41"/>
        <v>3</v>
      </c>
      <c r="AX284" s="45">
        <f t="shared" si="42"/>
        <v>2</v>
      </c>
      <c r="AY284" s="46">
        <f>VLOOKUP(AP284,COND!$A$10:$B$32,2,FALSE)</f>
        <v>1.0249999999999999</v>
      </c>
      <c r="AZ284" s="44">
        <f>($AU$3*AU284+$AV$3*AV284+$AW$3*AW284+$AX$3*AX284)*AY284*IF(AQ284&lt;5,0.95,IF(AQ284&lt;7,0.975,1))+$I$3*VLOOKUP(I284,COND!$A$2:$E$7,4,FALSE)+$J$3*VLOOKUP(J284,COND!$A$2:$E$7,2,FALSE)+$K$3*VLOOKUP(K284,COND!$A$2:$E$7,3,FALSE)+IF(BB284="SP",$BB$3,0)+IF($AW284&lt;3,-5,0)+IF(AND($B$2&gt;0,$E284&lt;20),$B$2*25,0)</f>
        <v>39.009150377972801</v>
      </c>
      <c r="BA284" s="47">
        <f>STANDARDIZE(AZ284,AVERAGE($AZ$5:$AZ$428),STDEVP($AZ$5:$AZ$428))</f>
        <v>8.5916112121486726E-2</v>
      </c>
      <c r="BB284" s="45" t="str">
        <f t="shared" si="43"/>
        <v>SP</v>
      </c>
      <c r="BC284" s="45">
        <v>930</v>
      </c>
      <c r="BD284" s="45">
        <v>279</v>
      </c>
      <c r="BE284" s="45"/>
      <c r="BF284" s="45" t="str">
        <f t="shared" si="44"/>
        <v>Unlikely</v>
      </c>
      <c r="BG284" s="45"/>
      <c r="BH284" s="45">
        <f>INDEX(Table5[[#All],[Ovr]],MATCH(Table3[[#This Row],[PID]],Table5[[#All],[PID]],0))</f>
        <v>185</v>
      </c>
      <c r="BI284" s="45" t="str">
        <f>INDEX(Table5[[#All],[Rnd]],MATCH(Table3[[#This Row],[PID]],Table5[[#All],[PID]],0))</f>
        <v>6</v>
      </c>
      <c r="BJ284" s="45">
        <f>INDEX(Table5[[#All],[Pick]],MATCH(Table3[[#This Row],[PID]],Table5[[#All],[PID]],0))</f>
        <v>16</v>
      </c>
      <c r="BK284" s="45" t="str">
        <f>INDEX(Table5[[#All],[Team]],MATCH(Table3[[#This Row],[PID]],Table5[[#All],[PID]],0))</f>
        <v>Madison Malts</v>
      </c>
      <c r="BL284" s="45" t="str">
        <f>IF(OR(Table3[[#This Row],[POS]]="SP",Table3[[#This Row],[POS]]="RP",Table3[[#This Row],[POS]]="CL"),"P",INDEX(Batters[[#All],[zScore]],MATCH(Table3[[#This Row],[PID]],Batters[[#All],[PID]],0)))</f>
        <v>P</v>
      </c>
    </row>
    <row r="285" spans="1:64" ht="15" customHeight="1" x14ac:dyDescent="0.3">
      <c r="A285" s="40">
        <v>11666</v>
      </c>
      <c r="B285" s="40" t="s">
        <v>380</v>
      </c>
      <c r="C285" s="40" t="s">
        <v>123</v>
      </c>
      <c r="D285" s="40" t="s">
        <v>604</v>
      </c>
      <c r="E285" s="40">
        <v>17</v>
      </c>
      <c r="F285" s="40" t="s">
        <v>42</v>
      </c>
      <c r="G285" s="40" t="s">
        <v>42</v>
      </c>
      <c r="H285" s="41" t="s">
        <v>561</v>
      </c>
      <c r="I285" s="42" t="s">
        <v>43</v>
      </c>
      <c r="J285" s="40" t="s">
        <v>44</v>
      </c>
      <c r="K285" s="41" t="s">
        <v>43</v>
      </c>
      <c r="L285" s="40">
        <v>3</v>
      </c>
      <c r="M285" s="40">
        <v>1</v>
      </c>
      <c r="N285" s="41">
        <v>2</v>
      </c>
      <c r="O285" s="40">
        <v>5</v>
      </c>
      <c r="P285" s="40">
        <v>1</v>
      </c>
      <c r="Q285" s="41">
        <v>4</v>
      </c>
      <c r="R285" s="40">
        <v>5</v>
      </c>
      <c r="S285" s="40">
        <v>7</v>
      </c>
      <c r="T285" s="40">
        <v>1</v>
      </c>
      <c r="U285" s="40">
        <v>5</v>
      </c>
      <c r="V285" s="40">
        <v>2</v>
      </c>
      <c r="W285" s="40">
        <v>5</v>
      </c>
      <c r="X285" s="40" t="s">
        <v>45</v>
      </c>
      <c r="Y285" s="40" t="s">
        <v>45</v>
      </c>
      <c r="Z285" s="40" t="s">
        <v>45</v>
      </c>
      <c r="AA285" s="40" t="s">
        <v>45</v>
      </c>
      <c r="AB285" s="40" t="s">
        <v>45</v>
      </c>
      <c r="AC285" s="40" t="s">
        <v>45</v>
      </c>
      <c r="AD285" s="40" t="s">
        <v>45</v>
      </c>
      <c r="AE285" s="40" t="s">
        <v>45</v>
      </c>
      <c r="AF285" s="40" t="s">
        <v>45</v>
      </c>
      <c r="AG285" s="40" t="s">
        <v>45</v>
      </c>
      <c r="AH285" s="40" t="s">
        <v>45</v>
      </c>
      <c r="AI285" s="40" t="s">
        <v>45</v>
      </c>
      <c r="AJ285" s="40" t="s">
        <v>45</v>
      </c>
      <c r="AK285" s="40" t="s">
        <v>45</v>
      </c>
      <c r="AL285" s="40" t="s">
        <v>45</v>
      </c>
      <c r="AM285" s="40" t="s">
        <v>45</v>
      </c>
      <c r="AN285" s="40" t="s">
        <v>45</v>
      </c>
      <c r="AO285" s="41" t="s">
        <v>45</v>
      </c>
      <c r="AP285" s="40" t="s">
        <v>54</v>
      </c>
      <c r="AQ285" s="40">
        <v>7</v>
      </c>
      <c r="AR285" s="48" t="s">
        <v>14</v>
      </c>
      <c r="AS285" s="43" t="s">
        <v>558</v>
      </c>
      <c r="AT285" s="43" t="s">
        <v>103</v>
      </c>
      <c r="AU285" s="44">
        <f t="shared" si="39"/>
        <v>-2.0697810228951408</v>
      </c>
      <c r="AV285" s="44">
        <f t="shared" si="40"/>
        <v>-0.75026249103150122</v>
      </c>
      <c r="AW285" s="45">
        <f t="shared" si="41"/>
        <v>3</v>
      </c>
      <c r="AX285" s="45">
        <f t="shared" si="42"/>
        <v>1</v>
      </c>
      <c r="AY285" s="46">
        <f>VLOOKUP(AP285,COND!$A$10:$B$32,2,FALSE)</f>
        <v>1.0249999999999999</v>
      </c>
      <c r="AZ285" s="44">
        <f>($AU$3*AU285+$AV$3*AV285+$AW$3*AW285+$AX$3*AX285)*AY285*IF(AQ285&lt;5,0.95,IF(AQ285&lt;7,0.975,1))+$I$3*VLOOKUP(I285,COND!$A$2:$E$7,4,FALSE)+$J$3*VLOOKUP(J285,COND!$A$2:$E$7,2,FALSE)+$K$3*VLOOKUP(K285,COND!$A$2:$E$7,3,FALSE)+IF(BB285="SP",$BB$3,0)+IF($AW285&lt;3,-5,0)+IF(AND($B$2&gt;0,$E285&lt;20),$B$2*25,0)</f>
        <v>38.714063824160725</v>
      </c>
      <c r="BA285" s="47">
        <f>STANDARDIZE(AZ285,AVERAGE($AZ$5:$AZ$428),STDEVP($AZ$5:$AZ$428))</f>
        <v>6.4903874183817128E-2</v>
      </c>
      <c r="BB285" s="45" t="str">
        <f t="shared" si="43"/>
        <v>SP</v>
      </c>
      <c r="BC285" s="45">
        <v>930</v>
      </c>
      <c r="BD285" s="45">
        <v>280</v>
      </c>
      <c r="BE285" s="45"/>
      <c r="BF285" s="45" t="str">
        <f t="shared" si="44"/>
        <v>Unlikely</v>
      </c>
      <c r="BG285" s="45"/>
      <c r="BH285" s="45">
        <f>INDEX(Table5[[#All],[Ovr]],MATCH(Table3[[#This Row],[PID]],Table5[[#All],[PID]],0))</f>
        <v>472</v>
      </c>
      <c r="BI285" s="45" t="str">
        <f>INDEX(Table5[[#All],[Rnd]],MATCH(Table3[[#This Row],[PID]],Table5[[#All],[PID]],0))</f>
        <v>15</v>
      </c>
      <c r="BJ285" s="45">
        <f>INDEX(Table5[[#All],[Pick]],MATCH(Table3[[#This Row],[PID]],Table5[[#All],[PID]],0))</f>
        <v>5</v>
      </c>
      <c r="BK285" s="45" t="str">
        <f>INDEX(Table5[[#All],[Team]],MATCH(Table3[[#This Row],[PID]],Table5[[#All],[PID]],0))</f>
        <v>Tempe Knights</v>
      </c>
      <c r="BL285" s="45" t="str">
        <f>IF(OR(Table3[[#This Row],[POS]]="SP",Table3[[#This Row],[POS]]="RP",Table3[[#This Row],[POS]]="CL"),"P",INDEX(Batters[[#All],[zScore]],MATCH(Table3[[#This Row],[PID]],Batters[[#All],[PID]],0)))</f>
        <v>P</v>
      </c>
    </row>
    <row r="286" spans="1:64" ht="15" customHeight="1" x14ac:dyDescent="0.3">
      <c r="A286" s="40">
        <v>21057</v>
      </c>
      <c r="B286" s="40" t="s">
        <v>380</v>
      </c>
      <c r="C286" s="40" t="s">
        <v>160</v>
      </c>
      <c r="D286" s="40" t="s">
        <v>191</v>
      </c>
      <c r="E286" s="40">
        <v>17</v>
      </c>
      <c r="F286" s="40" t="s">
        <v>42</v>
      </c>
      <c r="G286" s="40" t="s">
        <v>42</v>
      </c>
      <c r="H286" s="41" t="s">
        <v>561</v>
      </c>
      <c r="I286" s="42" t="s">
        <v>44</v>
      </c>
      <c r="J286" s="40" t="s">
        <v>44</v>
      </c>
      <c r="K286" s="41" t="s">
        <v>43</v>
      </c>
      <c r="L286" s="40">
        <v>3</v>
      </c>
      <c r="M286" s="40">
        <v>1</v>
      </c>
      <c r="N286" s="41">
        <v>2</v>
      </c>
      <c r="O286" s="40">
        <v>5</v>
      </c>
      <c r="P286" s="40">
        <v>1</v>
      </c>
      <c r="Q286" s="41">
        <v>4</v>
      </c>
      <c r="R286" s="40" t="s">
        <v>45</v>
      </c>
      <c r="S286" s="40" t="s">
        <v>45</v>
      </c>
      <c r="T286" s="40">
        <v>1</v>
      </c>
      <c r="U286" s="40">
        <v>2</v>
      </c>
      <c r="V286" s="40" t="s">
        <v>45</v>
      </c>
      <c r="W286" s="40" t="s">
        <v>45</v>
      </c>
      <c r="X286" s="40">
        <v>3</v>
      </c>
      <c r="Y286" s="40">
        <v>5</v>
      </c>
      <c r="Z286" s="40" t="s">
        <v>45</v>
      </c>
      <c r="AA286" s="40" t="s">
        <v>45</v>
      </c>
      <c r="AB286" s="40" t="s">
        <v>45</v>
      </c>
      <c r="AC286" s="40" t="s">
        <v>45</v>
      </c>
      <c r="AD286" s="40">
        <v>4</v>
      </c>
      <c r="AE286" s="40">
        <v>7</v>
      </c>
      <c r="AF286" s="40" t="s">
        <v>45</v>
      </c>
      <c r="AG286" s="40" t="s">
        <v>45</v>
      </c>
      <c r="AH286" s="40" t="s">
        <v>45</v>
      </c>
      <c r="AI286" s="40" t="s">
        <v>45</v>
      </c>
      <c r="AJ286" s="40" t="s">
        <v>45</v>
      </c>
      <c r="AK286" s="40" t="s">
        <v>45</v>
      </c>
      <c r="AL286" s="40" t="s">
        <v>45</v>
      </c>
      <c r="AM286" s="40" t="s">
        <v>45</v>
      </c>
      <c r="AN286" s="40" t="s">
        <v>45</v>
      </c>
      <c r="AO286" s="41" t="s">
        <v>45</v>
      </c>
      <c r="AP286" s="40" t="s">
        <v>54</v>
      </c>
      <c r="AQ286" s="40">
        <v>9</v>
      </c>
      <c r="AR286" s="48" t="s">
        <v>330</v>
      </c>
      <c r="AS286" s="43" t="s">
        <v>500</v>
      </c>
      <c r="AT286" s="43" t="s">
        <v>103</v>
      </c>
      <c r="AU286" s="44">
        <f t="shared" si="39"/>
        <v>-2.0697810228951408</v>
      </c>
      <c r="AV286" s="44">
        <f t="shared" si="40"/>
        <v>-0.75026249103150122</v>
      </c>
      <c r="AW286" s="45">
        <f t="shared" si="41"/>
        <v>3</v>
      </c>
      <c r="AX286" s="45">
        <f t="shared" si="42"/>
        <v>1</v>
      </c>
      <c r="AY286" s="46">
        <f>VLOOKUP(AP286,COND!$A$10:$B$32,2,FALSE)</f>
        <v>1.0249999999999999</v>
      </c>
      <c r="AZ286" s="44">
        <f>($AU$3*AU286+$AV$3*AV286+$AW$3*AW286+$AX$3*AX286)*AY286*IF(AQ286&lt;5,0.95,IF(AQ286&lt;7,0.975,1))+$I$3*VLOOKUP(I286,COND!$A$2:$E$7,4,FALSE)+$J$3*VLOOKUP(J286,COND!$A$2:$E$7,2,FALSE)+$K$3*VLOOKUP(K286,COND!$A$2:$E$7,3,FALSE)+IF(BB286="SP",$BB$3,0)+IF($AW286&lt;3,-5,0)+IF(AND($B$2&gt;0,$E286&lt;20),$B$2*25,0)</f>
        <v>38.564063824160726</v>
      </c>
      <c r="BA286" s="47">
        <f>STANDARDIZE(AZ286,AVERAGE($AZ$5:$AZ$428),STDEVP($AZ$5:$AZ$428))</f>
        <v>5.4222819252870896E-2</v>
      </c>
      <c r="BB286" s="45" t="str">
        <f t="shared" si="43"/>
        <v>SP</v>
      </c>
      <c r="BC286" s="45">
        <v>930</v>
      </c>
      <c r="BD286" s="45">
        <v>281</v>
      </c>
      <c r="BE286" s="45"/>
      <c r="BF286" s="45" t="str">
        <f t="shared" si="44"/>
        <v>Unlikely</v>
      </c>
      <c r="BG286" s="45"/>
      <c r="BH286" s="45">
        <f>INDEX(Table5[[#All],[Ovr]],MATCH(Table3[[#This Row],[PID]],Table5[[#All],[PID]],0))</f>
        <v>381</v>
      </c>
      <c r="BI286" s="45" t="str">
        <f>INDEX(Table5[[#All],[Rnd]],MATCH(Table3[[#This Row],[PID]],Table5[[#All],[PID]],0))</f>
        <v>12</v>
      </c>
      <c r="BJ286" s="45">
        <f>INDEX(Table5[[#All],[Pick]],MATCH(Table3[[#This Row],[PID]],Table5[[#All],[PID]],0))</f>
        <v>16</v>
      </c>
      <c r="BK286" s="45" t="str">
        <f>INDEX(Table5[[#All],[Team]],MATCH(Table3[[#This Row],[PID]],Table5[[#All],[PID]],0))</f>
        <v>Madison Malts</v>
      </c>
      <c r="BL286" s="45" t="str">
        <f>IF(OR(Table3[[#This Row],[POS]]="SP",Table3[[#This Row],[POS]]="RP",Table3[[#This Row],[POS]]="CL"),"P",INDEX(Batters[[#All],[zScore]],MATCH(Table3[[#This Row],[PID]],Batters[[#All],[PID]],0)))</f>
        <v>P</v>
      </c>
    </row>
    <row r="287" spans="1:64" ht="15" customHeight="1" x14ac:dyDescent="0.3">
      <c r="A287" s="40">
        <v>9242</v>
      </c>
      <c r="B287" s="40" t="s">
        <v>380</v>
      </c>
      <c r="C287" s="40" t="s">
        <v>196</v>
      </c>
      <c r="D287" s="40" t="s">
        <v>597</v>
      </c>
      <c r="E287" s="40">
        <v>21</v>
      </c>
      <c r="F287" s="40" t="s">
        <v>53</v>
      </c>
      <c r="G287" s="40" t="s">
        <v>53</v>
      </c>
      <c r="H287" s="41" t="s">
        <v>561</v>
      </c>
      <c r="I287" s="42" t="s">
        <v>43</v>
      </c>
      <c r="J287" s="40" t="s">
        <v>44</v>
      </c>
      <c r="K287" s="41" t="s">
        <v>43</v>
      </c>
      <c r="L287" s="40">
        <v>2</v>
      </c>
      <c r="M287" s="40">
        <v>2</v>
      </c>
      <c r="N287" s="41">
        <v>2</v>
      </c>
      <c r="O287" s="40">
        <v>5</v>
      </c>
      <c r="P287" s="40">
        <v>3</v>
      </c>
      <c r="Q287" s="41">
        <v>3</v>
      </c>
      <c r="R287" s="40" t="s">
        <v>45</v>
      </c>
      <c r="S287" s="40" t="s">
        <v>45</v>
      </c>
      <c r="T287" s="40">
        <v>1</v>
      </c>
      <c r="U287" s="40">
        <v>1</v>
      </c>
      <c r="V287" s="40" t="s">
        <v>45</v>
      </c>
      <c r="W287" s="40" t="s">
        <v>45</v>
      </c>
      <c r="X287" s="40">
        <v>3</v>
      </c>
      <c r="Y287" s="40">
        <v>7</v>
      </c>
      <c r="Z287" s="40" t="s">
        <v>45</v>
      </c>
      <c r="AA287" s="40" t="s">
        <v>45</v>
      </c>
      <c r="AB287" s="40" t="s">
        <v>45</v>
      </c>
      <c r="AC287" s="40" t="s">
        <v>45</v>
      </c>
      <c r="AD287" s="40">
        <v>3</v>
      </c>
      <c r="AE287" s="40">
        <v>6</v>
      </c>
      <c r="AF287" s="40" t="s">
        <v>45</v>
      </c>
      <c r="AG287" s="40" t="s">
        <v>45</v>
      </c>
      <c r="AH287" s="40" t="s">
        <v>45</v>
      </c>
      <c r="AI287" s="40" t="s">
        <v>45</v>
      </c>
      <c r="AJ287" s="40" t="s">
        <v>45</v>
      </c>
      <c r="AK287" s="40" t="s">
        <v>45</v>
      </c>
      <c r="AL287" s="40" t="s">
        <v>45</v>
      </c>
      <c r="AM287" s="40" t="s">
        <v>45</v>
      </c>
      <c r="AN287" s="40" t="s">
        <v>45</v>
      </c>
      <c r="AO287" s="41" t="s">
        <v>45</v>
      </c>
      <c r="AP287" s="40" t="s">
        <v>56</v>
      </c>
      <c r="AQ287" s="40">
        <v>8</v>
      </c>
      <c r="AR287" s="48" t="s">
        <v>326</v>
      </c>
      <c r="AS287" s="43" t="s">
        <v>45</v>
      </c>
      <c r="AT287" s="43" t="s">
        <v>103</v>
      </c>
      <c r="AU287" s="44">
        <f t="shared" si="39"/>
        <v>-2.0690406309742588</v>
      </c>
      <c r="AV287" s="44">
        <f t="shared" si="40"/>
        <v>-0.60171962422550074</v>
      </c>
      <c r="AW287" s="45">
        <f t="shared" si="41"/>
        <v>3</v>
      </c>
      <c r="AX287" s="45">
        <f t="shared" si="42"/>
        <v>2</v>
      </c>
      <c r="AY287" s="46">
        <f>VLOOKUP(AP287,COND!$A$10:$B$32,2,FALSE)</f>
        <v>1</v>
      </c>
      <c r="AZ287" s="44">
        <f>($AU$3*AU287+$AV$3*AV287+$AW$3*AW287+$AX$3*AX287)*AY287*IF(AQ287&lt;5,0.95,IF(AQ287&lt;7,0.975,1))+$I$3*VLOOKUP(I287,COND!$A$2:$E$7,4,FALSE)+$J$3*VLOOKUP(J287,COND!$A$2:$E$7,2,FALSE)+$K$3*VLOOKUP(K287,COND!$A$2:$E$7,3,FALSE)+IF(BB287="SP",$BB$3,0)+IF($AW287&lt;3,-5,0)+IF(AND($B$2&gt;0,$E287&lt;20),$B$2*25,0)</f>
        <v>38.25179938929513</v>
      </c>
      <c r="BA287" s="47">
        <f>STANDARDIZE(AZ287,AVERAGE($AZ$5:$AZ$428),STDEVP($AZ$5:$AZ$428))</f>
        <v>3.1987395374335224E-2</v>
      </c>
      <c r="BB287" s="45" t="str">
        <f t="shared" si="43"/>
        <v>SP</v>
      </c>
      <c r="BC287" s="45">
        <v>930</v>
      </c>
      <c r="BD287" s="45">
        <v>282</v>
      </c>
      <c r="BE287" s="45"/>
      <c r="BF287" s="45" t="str">
        <f t="shared" si="44"/>
        <v>Unlikely</v>
      </c>
      <c r="BG287" s="45"/>
      <c r="BH287" s="45">
        <f>INDEX(Table5[[#All],[Ovr]],MATCH(Table3[[#This Row],[PID]],Table5[[#All],[PID]],0))</f>
        <v>277</v>
      </c>
      <c r="BI287" s="45" t="str">
        <f>INDEX(Table5[[#All],[Rnd]],MATCH(Table3[[#This Row],[PID]],Table5[[#All],[PID]],0))</f>
        <v>9</v>
      </c>
      <c r="BJ287" s="45">
        <f>INDEX(Table5[[#All],[Pick]],MATCH(Table3[[#This Row],[PID]],Table5[[#All],[PID]],0))</f>
        <v>12</v>
      </c>
      <c r="BK287" s="45" t="str">
        <f>INDEX(Table5[[#All],[Team]],MATCH(Table3[[#This Row],[PID]],Table5[[#All],[PID]],0))</f>
        <v>Manchester Maulers</v>
      </c>
      <c r="BL287" s="45" t="str">
        <f>IF(OR(Table3[[#This Row],[POS]]="SP",Table3[[#This Row],[POS]]="RP",Table3[[#This Row],[POS]]="CL"),"P",INDEX(Batters[[#All],[zScore]],MATCH(Table3[[#This Row],[PID]],Batters[[#All],[PID]],0)))</f>
        <v>P</v>
      </c>
    </row>
    <row r="288" spans="1:64" ht="15" customHeight="1" x14ac:dyDescent="0.3">
      <c r="A288" s="40">
        <v>11973</v>
      </c>
      <c r="B288" s="40" t="s">
        <v>380</v>
      </c>
      <c r="C288" s="40" t="s">
        <v>789</v>
      </c>
      <c r="D288" s="40" t="s">
        <v>969</v>
      </c>
      <c r="E288" s="40">
        <v>22</v>
      </c>
      <c r="F288" s="40" t="s">
        <v>53</v>
      </c>
      <c r="G288" s="40" t="s">
        <v>42</v>
      </c>
      <c r="H288" s="41" t="s">
        <v>561</v>
      </c>
      <c r="I288" s="42" t="s">
        <v>43</v>
      </c>
      <c r="J288" s="40" t="s">
        <v>44</v>
      </c>
      <c r="K288" s="41" t="s">
        <v>43</v>
      </c>
      <c r="L288" s="40">
        <v>3</v>
      </c>
      <c r="M288" s="40">
        <v>2</v>
      </c>
      <c r="N288" s="41">
        <v>2</v>
      </c>
      <c r="O288" s="40">
        <v>5</v>
      </c>
      <c r="P288" s="40">
        <v>2</v>
      </c>
      <c r="Q288" s="41">
        <v>4</v>
      </c>
      <c r="R288" s="40">
        <v>5</v>
      </c>
      <c r="S288" s="40">
        <v>6</v>
      </c>
      <c r="T288" s="40">
        <v>1</v>
      </c>
      <c r="U288" s="40">
        <v>4</v>
      </c>
      <c r="V288" s="40">
        <v>3</v>
      </c>
      <c r="W288" s="40">
        <v>6</v>
      </c>
      <c r="X288" s="40" t="s">
        <v>45</v>
      </c>
      <c r="Y288" s="40" t="s">
        <v>45</v>
      </c>
      <c r="Z288" s="40" t="s">
        <v>45</v>
      </c>
      <c r="AA288" s="40" t="s">
        <v>45</v>
      </c>
      <c r="AB288" s="40" t="s">
        <v>45</v>
      </c>
      <c r="AC288" s="40" t="s">
        <v>45</v>
      </c>
      <c r="AD288" s="40">
        <v>4</v>
      </c>
      <c r="AE288" s="40">
        <v>4</v>
      </c>
      <c r="AF288" s="40" t="s">
        <v>45</v>
      </c>
      <c r="AG288" s="40" t="s">
        <v>45</v>
      </c>
      <c r="AH288" s="40" t="s">
        <v>45</v>
      </c>
      <c r="AI288" s="40" t="s">
        <v>45</v>
      </c>
      <c r="AJ288" s="40" t="s">
        <v>45</v>
      </c>
      <c r="AK288" s="40" t="s">
        <v>45</v>
      </c>
      <c r="AL288" s="40" t="s">
        <v>45</v>
      </c>
      <c r="AM288" s="40" t="s">
        <v>45</v>
      </c>
      <c r="AN288" s="40" t="s">
        <v>45</v>
      </c>
      <c r="AO288" s="41" t="s">
        <v>45</v>
      </c>
      <c r="AP288" s="40" t="s">
        <v>60</v>
      </c>
      <c r="AQ288" s="40">
        <v>3</v>
      </c>
      <c r="AR288" s="48" t="s">
        <v>326</v>
      </c>
      <c r="AS288" s="43" t="s">
        <v>45</v>
      </c>
      <c r="AT288" s="43" t="s">
        <v>103</v>
      </c>
      <c r="AU288" s="44">
        <f t="shared" si="39"/>
        <v>-1.8743493064650851</v>
      </c>
      <c r="AV288" s="44">
        <f t="shared" si="40"/>
        <v>-0.55483077460144581</v>
      </c>
      <c r="AW288" s="45">
        <f t="shared" si="41"/>
        <v>4</v>
      </c>
      <c r="AX288" s="45">
        <f t="shared" si="42"/>
        <v>2</v>
      </c>
      <c r="AY288" s="46">
        <f>VLOOKUP(AP288,COND!$A$10:$B$32,2,FALSE)</f>
        <v>1.0249999999999999</v>
      </c>
      <c r="AZ288" s="44">
        <f>($AU$3*AU288+$AV$3*AV288+$AW$3*AW288+$AX$3*AX288)*AY288*IF(AQ288&lt;5,0.95,IF(AQ288&lt;7,0.975,1))+$I$3*VLOOKUP(I288,COND!$A$2:$E$7,4,FALSE)+$J$3*VLOOKUP(J288,COND!$A$2:$E$7,2,FALSE)+$K$3*VLOOKUP(K288,COND!$A$2:$E$7,3,FALSE)+IF(BB288="SP",$BB$3,0)+IF($AW288&lt;3,-5,0)+IF(AND($B$2&gt;0,$E288&lt;20),$B$2*25,0)</f>
        <v>37.911516137202767</v>
      </c>
      <c r="BA288" s="47">
        <f>STANDARDIZE(AZ288,AVERAGE($AZ$5:$AZ$445),STDEVP($AZ$5:$AZ$445))</f>
        <v>1.3979542871254675E-2</v>
      </c>
      <c r="BB288" s="45" t="str">
        <f t="shared" si="43"/>
        <v>RP</v>
      </c>
      <c r="BC288" s="45">
        <v>930</v>
      </c>
      <c r="BD288" s="45">
        <v>283</v>
      </c>
      <c r="BE288" s="45"/>
      <c r="BF288" s="45" t="str">
        <f t="shared" si="44"/>
        <v>Unlikely</v>
      </c>
      <c r="BG288" s="45"/>
      <c r="BH288" s="63" t="str">
        <f>INDEX(Table5[[#All],[Ovr]],MATCH(Table3[[#This Row],[PID]],Table5[[#All],[PID]],0))</f>
        <v/>
      </c>
      <c r="BI288" s="63" t="str">
        <f>INDEX(Table5[[#All],[Rnd]],MATCH(Table3[[#This Row],[PID]],Table5[[#All],[PID]],0))</f>
        <v/>
      </c>
      <c r="BJ288" s="63" t="str">
        <f>INDEX(Table5[[#All],[Pick]],MATCH(Table3[[#This Row],[PID]],Table5[[#All],[PID]],0))</f>
        <v/>
      </c>
      <c r="BK288" s="63" t="str">
        <f>INDEX(Table5[[#All],[Team]],MATCH(Table3[[#This Row],[PID]],Table5[[#All],[PID]],0))</f>
        <v/>
      </c>
      <c r="BL288" s="63" t="str">
        <f>IF(OR(Table3[[#This Row],[POS]]="SP",Table3[[#This Row],[POS]]="RP",Table3[[#This Row],[POS]]="CL"),"P",INDEX(Batters[[#All],[zScore]],MATCH(Table3[[#This Row],[PID]],Batters[[#All],[PID]],0)))</f>
        <v>P</v>
      </c>
    </row>
    <row r="289" spans="1:64" ht="15" customHeight="1" x14ac:dyDescent="0.3">
      <c r="A289" s="40">
        <v>20456</v>
      </c>
      <c r="B289" s="40" t="s">
        <v>380</v>
      </c>
      <c r="C289" s="40" t="s">
        <v>1457</v>
      </c>
      <c r="D289" s="40" t="s">
        <v>943</v>
      </c>
      <c r="E289" s="40">
        <v>17</v>
      </c>
      <c r="F289" s="40" t="s">
        <v>53</v>
      </c>
      <c r="G289" s="40" t="s">
        <v>53</v>
      </c>
      <c r="H289" s="41" t="s">
        <v>561</v>
      </c>
      <c r="I289" s="42" t="s">
        <v>44</v>
      </c>
      <c r="J289" s="40" t="s">
        <v>44</v>
      </c>
      <c r="K289" s="41" t="s">
        <v>43</v>
      </c>
      <c r="L289" s="40">
        <v>2</v>
      </c>
      <c r="M289" s="40">
        <v>2</v>
      </c>
      <c r="N289" s="41">
        <v>1</v>
      </c>
      <c r="O289" s="40">
        <v>5</v>
      </c>
      <c r="P289" s="40">
        <v>2</v>
      </c>
      <c r="Q289" s="41">
        <v>3</v>
      </c>
      <c r="R289" s="40">
        <v>4</v>
      </c>
      <c r="S289" s="40">
        <v>6</v>
      </c>
      <c r="T289" s="40">
        <v>1</v>
      </c>
      <c r="U289" s="40">
        <v>1</v>
      </c>
      <c r="V289" s="40">
        <v>3</v>
      </c>
      <c r="W289" s="40">
        <v>7</v>
      </c>
      <c r="X289" s="40" t="s">
        <v>45</v>
      </c>
      <c r="Y289" s="40" t="s">
        <v>45</v>
      </c>
      <c r="Z289" s="40" t="s">
        <v>45</v>
      </c>
      <c r="AA289" s="40" t="s">
        <v>45</v>
      </c>
      <c r="AB289" s="40" t="s">
        <v>45</v>
      </c>
      <c r="AC289" s="40" t="s">
        <v>45</v>
      </c>
      <c r="AD289" s="40" t="s">
        <v>45</v>
      </c>
      <c r="AE289" s="40" t="s">
        <v>45</v>
      </c>
      <c r="AF289" s="40" t="s">
        <v>45</v>
      </c>
      <c r="AG289" s="40" t="s">
        <v>45</v>
      </c>
      <c r="AH289" s="40" t="s">
        <v>45</v>
      </c>
      <c r="AI289" s="40" t="s">
        <v>45</v>
      </c>
      <c r="AJ289" s="40" t="s">
        <v>45</v>
      </c>
      <c r="AK289" s="40" t="s">
        <v>45</v>
      </c>
      <c r="AL289" s="40" t="s">
        <v>45</v>
      </c>
      <c r="AM289" s="40" t="s">
        <v>45</v>
      </c>
      <c r="AN289" s="40" t="s">
        <v>45</v>
      </c>
      <c r="AO289" s="41" t="s">
        <v>45</v>
      </c>
      <c r="AP289" s="40" t="s">
        <v>329</v>
      </c>
      <c r="AQ289" s="40">
        <v>2</v>
      </c>
      <c r="AR289" s="48" t="s">
        <v>326</v>
      </c>
      <c r="AS289" s="43" t="s">
        <v>571</v>
      </c>
      <c r="AT289" s="43" t="s">
        <v>103</v>
      </c>
      <c r="AU289" s="44">
        <f t="shared" si="39"/>
        <v>-2.311361197028369</v>
      </c>
      <c r="AV289" s="44">
        <f t="shared" si="40"/>
        <v>-0.79715134065555615</v>
      </c>
      <c r="AW289" s="45">
        <f t="shared" si="41"/>
        <v>3</v>
      </c>
      <c r="AX289" s="45">
        <f t="shared" si="42"/>
        <v>2</v>
      </c>
      <c r="AY289" s="46">
        <f>VLOOKUP(AP289,COND!$A$10:$B$32,2,FALSE)</f>
        <v>1</v>
      </c>
      <c r="AZ289" s="44">
        <f>($AU$3*AU289+$AV$3*AV289+$AW$3*AW289+$AX$3*AX289)*AY289*IF(AQ289&lt;5,0.95,IF(AQ289&lt;7,0.975,1))+$I$3*VLOOKUP(I289,COND!$A$2:$E$7,4,FALSE)+$J$3*VLOOKUP(J289,COND!$A$2:$E$7,2,FALSE)+$K$3*VLOOKUP(K289,COND!$A$2:$E$7,3,FALSE)+IF(BB289="SP",$BB$3,0)+IF($AW289&lt;3,-5,0)+IF(AND($B$2&gt;0,$E289&lt;20),$B$2*25,0)</f>
        <v>37.764965900109047</v>
      </c>
      <c r="BA289" s="47">
        <f t="shared" ref="BA289:BA306" si="45">STANDARDIZE(AZ289,AVERAGE($AZ$5:$AZ$428),STDEVP($AZ$5:$AZ$428))</f>
        <v>-2.6785728938035296E-3</v>
      </c>
      <c r="BB289" s="45" t="str">
        <f t="shared" si="43"/>
        <v>RP</v>
      </c>
      <c r="BC289" s="45">
        <v>930</v>
      </c>
      <c r="BD289" s="45">
        <v>284</v>
      </c>
      <c r="BE289" s="45"/>
      <c r="BF289" s="45" t="str">
        <f t="shared" si="44"/>
        <v>Unlikely</v>
      </c>
      <c r="BG289" s="45"/>
      <c r="BH289" s="45">
        <f>INDEX(Table5[[#All],[Ovr]],MATCH(Table3[[#This Row],[PID]],Table5[[#All],[PID]],0))</f>
        <v>561</v>
      </c>
      <c r="BI289" s="45" t="str">
        <f>INDEX(Table5[[#All],[Rnd]],MATCH(Table3[[#This Row],[PID]],Table5[[#All],[PID]],0))</f>
        <v>17</v>
      </c>
      <c r="BJ289" s="45">
        <f>INDEX(Table5[[#All],[Pick]],MATCH(Table3[[#This Row],[PID]],Table5[[#All],[PID]],0))</f>
        <v>26</v>
      </c>
      <c r="BK289" s="45" t="str">
        <f>INDEX(Table5[[#All],[Team]],MATCH(Table3[[#This Row],[PID]],Table5[[#All],[PID]],0))</f>
        <v>Aurora Borealis</v>
      </c>
      <c r="BL289" s="45" t="str">
        <f>IF(OR(Table3[[#This Row],[POS]]="SP",Table3[[#This Row],[POS]]="RP",Table3[[#This Row],[POS]]="CL"),"P",INDEX(Batters[[#All],[zScore]],MATCH(Table3[[#This Row],[PID]],Batters[[#All],[PID]],0)))</f>
        <v>P</v>
      </c>
    </row>
    <row r="290" spans="1:64" ht="15" customHeight="1" x14ac:dyDescent="0.3">
      <c r="A290" s="40">
        <v>12339</v>
      </c>
      <c r="B290" s="40" t="s">
        <v>380</v>
      </c>
      <c r="C290" s="40" t="s">
        <v>142</v>
      </c>
      <c r="D290" s="40" t="s">
        <v>164</v>
      </c>
      <c r="E290" s="40">
        <v>18</v>
      </c>
      <c r="F290" s="40" t="s">
        <v>53</v>
      </c>
      <c r="G290" s="40" t="s">
        <v>53</v>
      </c>
      <c r="H290" s="41" t="s">
        <v>561</v>
      </c>
      <c r="I290" s="42" t="s">
        <v>43</v>
      </c>
      <c r="J290" s="40" t="s">
        <v>44</v>
      </c>
      <c r="K290" s="41" t="s">
        <v>43</v>
      </c>
      <c r="L290" s="40">
        <v>2</v>
      </c>
      <c r="M290" s="40">
        <v>2</v>
      </c>
      <c r="N290" s="41">
        <v>1</v>
      </c>
      <c r="O290" s="40">
        <v>4</v>
      </c>
      <c r="P290" s="40">
        <v>2</v>
      </c>
      <c r="Q290" s="41">
        <v>4</v>
      </c>
      <c r="R290" s="40">
        <v>3</v>
      </c>
      <c r="S290" s="40">
        <v>5</v>
      </c>
      <c r="T290" s="40">
        <v>1</v>
      </c>
      <c r="U290" s="40">
        <v>1</v>
      </c>
      <c r="V290" s="40">
        <v>2</v>
      </c>
      <c r="W290" s="40">
        <v>5</v>
      </c>
      <c r="X290" s="40" t="s">
        <v>45</v>
      </c>
      <c r="Y290" s="40" t="s">
        <v>45</v>
      </c>
      <c r="Z290" s="40" t="s">
        <v>45</v>
      </c>
      <c r="AA290" s="40" t="s">
        <v>45</v>
      </c>
      <c r="AB290" s="40" t="s">
        <v>45</v>
      </c>
      <c r="AC290" s="40" t="s">
        <v>45</v>
      </c>
      <c r="AD290" s="40" t="s">
        <v>45</v>
      </c>
      <c r="AE290" s="40" t="s">
        <v>45</v>
      </c>
      <c r="AF290" s="40" t="s">
        <v>45</v>
      </c>
      <c r="AG290" s="40" t="s">
        <v>45</v>
      </c>
      <c r="AH290" s="40" t="s">
        <v>45</v>
      </c>
      <c r="AI290" s="40" t="s">
        <v>45</v>
      </c>
      <c r="AJ290" s="40" t="s">
        <v>45</v>
      </c>
      <c r="AK290" s="40" t="s">
        <v>45</v>
      </c>
      <c r="AL290" s="40" t="s">
        <v>45</v>
      </c>
      <c r="AM290" s="40" t="s">
        <v>45</v>
      </c>
      <c r="AN290" s="40" t="s">
        <v>45</v>
      </c>
      <c r="AO290" s="41" t="s">
        <v>45</v>
      </c>
      <c r="AP290" s="40" t="s">
        <v>328</v>
      </c>
      <c r="AQ290" s="40">
        <v>8</v>
      </c>
      <c r="AR290" s="48" t="s">
        <v>326</v>
      </c>
      <c r="AS290" s="43" t="s">
        <v>572</v>
      </c>
      <c r="AT290" s="43" t="s">
        <v>103</v>
      </c>
      <c r="AU290" s="44">
        <f t="shared" si="39"/>
        <v>-2.311361197028369</v>
      </c>
      <c r="AV290" s="44">
        <f t="shared" si="40"/>
        <v>-0.74952209911061918</v>
      </c>
      <c r="AW290" s="45">
        <f t="shared" si="41"/>
        <v>3</v>
      </c>
      <c r="AX290" s="45">
        <f t="shared" si="42"/>
        <v>0</v>
      </c>
      <c r="AY290" s="46">
        <f>VLOOKUP(AP290,COND!$A$10:$B$32,2,FALSE)</f>
        <v>1</v>
      </c>
      <c r="AZ290" s="44">
        <f>($AU$3*AU290+$AV$3*AV290+$AW$3*AW290+$AX$3*AX290)*AY290*IF(AQ290&lt;5,0.95,IF(AQ290&lt;7,0.975,1))+$I$3*VLOOKUP(I290,COND!$A$2:$E$7,4,FALSE)+$J$3*VLOOKUP(J290,COND!$A$2:$E$7,2,FALSE)+$K$3*VLOOKUP(K290,COND!$A$2:$E$7,3,FALSE)+IF(BB290="SP",$BB$3,0)+IF($AW290&lt;3,-5,0)+IF(AND($B$2&gt;0,$E290&lt;20),$B$2*25,0)</f>
        <v>37.747285778381944</v>
      </c>
      <c r="BA290" s="47">
        <f t="shared" si="45"/>
        <v>-3.9375219028235922E-3</v>
      </c>
      <c r="BB290" s="45" t="str">
        <f t="shared" si="43"/>
        <v>SP</v>
      </c>
      <c r="BC290" s="45">
        <v>930</v>
      </c>
      <c r="BD290" s="45">
        <v>285</v>
      </c>
      <c r="BE290" s="45"/>
      <c r="BF290" s="45" t="str">
        <f t="shared" si="44"/>
        <v>Unlikely</v>
      </c>
      <c r="BG290" s="45"/>
      <c r="BH290" s="45">
        <f>INDEX(Table5[[#All],[Ovr]],MATCH(Table3[[#This Row],[PID]],Table5[[#All],[PID]],0))</f>
        <v>591</v>
      </c>
      <c r="BI290" s="45" t="str">
        <f>INDEX(Table5[[#All],[Rnd]],MATCH(Table3[[#This Row],[PID]],Table5[[#All],[PID]],0))</f>
        <v>18</v>
      </c>
      <c r="BJ290" s="45">
        <f>INDEX(Table5[[#All],[Pick]],MATCH(Table3[[#This Row],[PID]],Table5[[#All],[PID]],0))</f>
        <v>22</v>
      </c>
      <c r="BK290" s="45" t="str">
        <f>INDEX(Table5[[#All],[Team]],MATCH(Table3[[#This Row],[PID]],Table5[[#All],[PID]],0))</f>
        <v>Bakersfield Bears</v>
      </c>
      <c r="BL290" s="45" t="str">
        <f>IF(OR(Table3[[#This Row],[POS]]="SP",Table3[[#This Row],[POS]]="RP",Table3[[#This Row],[POS]]="CL"),"P",INDEX(Batters[[#All],[zScore]],MATCH(Table3[[#This Row],[PID]],Batters[[#All],[PID]],0)))</f>
        <v>P</v>
      </c>
    </row>
    <row r="291" spans="1:64" ht="15" customHeight="1" x14ac:dyDescent="0.3">
      <c r="A291" s="40">
        <v>20956</v>
      </c>
      <c r="B291" s="40" t="s">
        <v>380</v>
      </c>
      <c r="C291" s="40" t="s">
        <v>282</v>
      </c>
      <c r="D291" s="40" t="s">
        <v>1375</v>
      </c>
      <c r="E291" s="40">
        <v>17</v>
      </c>
      <c r="F291" s="40" t="s">
        <v>53</v>
      </c>
      <c r="G291" s="40" t="s">
        <v>42</v>
      </c>
      <c r="H291" s="41" t="s">
        <v>561</v>
      </c>
      <c r="I291" s="42" t="s">
        <v>43</v>
      </c>
      <c r="J291" s="40" t="s">
        <v>44</v>
      </c>
      <c r="K291" s="41" t="s">
        <v>43</v>
      </c>
      <c r="L291" s="40">
        <v>2</v>
      </c>
      <c r="M291" s="40">
        <v>1</v>
      </c>
      <c r="N291" s="41">
        <v>1</v>
      </c>
      <c r="O291" s="40">
        <v>4</v>
      </c>
      <c r="P291" s="40">
        <v>2</v>
      </c>
      <c r="Q291" s="41">
        <v>4</v>
      </c>
      <c r="R291" s="40">
        <v>3</v>
      </c>
      <c r="S291" s="40">
        <v>4</v>
      </c>
      <c r="T291" s="40">
        <v>1</v>
      </c>
      <c r="U291" s="40">
        <v>1</v>
      </c>
      <c r="V291" s="40" t="s">
        <v>45</v>
      </c>
      <c r="W291" s="40" t="s">
        <v>45</v>
      </c>
      <c r="X291" s="40" t="s">
        <v>45</v>
      </c>
      <c r="Y291" s="40" t="s">
        <v>45</v>
      </c>
      <c r="Z291" s="40" t="s">
        <v>45</v>
      </c>
      <c r="AA291" s="40" t="s">
        <v>45</v>
      </c>
      <c r="AB291" s="40" t="s">
        <v>45</v>
      </c>
      <c r="AC291" s="40" t="s">
        <v>45</v>
      </c>
      <c r="AD291" s="40" t="s">
        <v>45</v>
      </c>
      <c r="AE291" s="40" t="s">
        <v>45</v>
      </c>
      <c r="AF291" s="40" t="s">
        <v>45</v>
      </c>
      <c r="AG291" s="40" t="s">
        <v>45</v>
      </c>
      <c r="AH291" s="40" t="s">
        <v>45</v>
      </c>
      <c r="AI291" s="40" t="s">
        <v>45</v>
      </c>
      <c r="AJ291" s="40" t="s">
        <v>45</v>
      </c>
      <c r="AK291" s="40" t="s">
        <v>45</v>
      </c>
      <c r="AL291" s="40">
        <v>2</v>
      </c>
      <c r="AM291" s="40">
        <v>6</v>
      </c>
      <c r="AN291" s="40" t="s">
        <v>45</v>
      </c>
      <c r="AO291" s="41" t="s">
        <v>45</v>
      </c>
      <c r="AP291" s="40" t="s">
        <v>328</v>
      </c>
      <c r="AQ291" s="40">
        <v>4</v>
      </c>
      <c r="AR291" s="48" t="s">
        <v>14</v>
      </c>
      <c r="AS291" s="43" t="s">
        <v>583</v>
      </c>
      <c r="AT291" s="43" t="s">
        <v>103</v>
      </c>
      <c r="AU291" s="44">
        <f t="shared" si="39"/>
        <v>-2.5067929134584248</v>
      </c>
      <c r="AV291" s="44">
        <f t="shared" si="40"/>
        <v>-0.74952209911061918</v>
      </c>
      <c r="AW291" s="45">
        <f t="shared" si="41"/>
        <v>3</v>
      </c>
      <c r="AX291" s="45">
        <f t="shared" si="42"/>
        <v>1</v>
      </c>
      <c r="AY291" s="46">
        <f>VLOOKUP(AP291,COND!$A$10:$B$32,2,FALSE)</f>
        <v>1</v>
      </c>
      <c r="AZ291" s="44">
        <f>($AU$3*AU291+$AV$3*AV291+$AW$3*AW291+$AX$3*AX291)*AY291*IF(AQ291&lt;5,0.95,IF(AQ291&lt;7,0.975,1))+$I$3*VLOOKUP(I291,COND!$A$2:$E$7,4,FALSE)+$J$3*VLOOKUP(J291,COND!$A$2:$E$7,2,FALSE)+$K$3*VLOOKUP(K291,COND!$A$2:$E$7,3,FALSE)+IF(BB291="SP",$BB$3,0)+IF($AW291&lt;3,-5,0)+IF(AND($B$2&gt;0,$E291&lt;20),$B$2*25,0)</f>
        <v>37.595289463341132</v>
      </c>
      <c r="BA291" s="47">
        <f t="shared" si="45"/>
        <v>-1.4760728504505813E-2</v>
      </c>
      <c r="BB291" s="45" t="str">
        <f t="shared" si="43"/>
        <v>RP</v>
      </c>
      <c r="BC291" s="45">
        <v>930</v>
      </c>
      <c r="BD291" s="45">
        <v>286</v>
      </c>
      <c r="BE291" s="45"/>
      <c r="BF291" s="45" t="str">
        <f t="shared" si="44"/>
        <v>Unlikely</v>
      </c>
      <c r="BG291" s="45"/>
      <c r="BH291" s="45" t="str">
        <f>INDEX(Table5[[#All],[Ovr]],MATCH(Table3[[#This Row],[PID]],Table5[[#All],[PID]],0))</f>
        <v/>
      </c>
      <c r="BI291" s="45" t="str">
        <f>INDEX(Table5[[#All],[Rnd]],MATCH(Table3[[#This Row],[PID]],Table5[[#All],[PID]],0))</f>
        <v/>
      </c>
      <c r="BJ291" s="45" t="str">
        <f>INDEX(Table5[[#All],[Pick]],MATCH(Table3[[#This Row],[PID]],Table5[[#All],[PID]],0))</f>
        <v/>
      </c>
      <c r="BK291" s="45" t="str">
        <f>INDEX(Table5[[#All],[Team]],MATCH(Table3[[#This Row],[PID]],Table5[[#All],[PID]],0))</f>
        <v/>
      </c>
      <c r="BL291" s="45" t="str">
        <f>IF(OR(Table3[[#This Row],[POS]]="SP",Table3[[#This Row],[POS]]="RP",Table3[[#This Row],[POS]]="CL"),"P",INDEX(Batters[[#All],[zScore]],MATCH(Table3[[#This Row],[PID]],Batters[[#All],[PID]],0)))</f>
        <v>P</v>
      </c>
    </row>
    <row r="292" spans="1:64" ht="15" customHeight="1" x14ac:dyDescent="0.3">
      <c r="A292" s="40">
        <v>12652</v>
      </c>
      <c r="B292" s="40" t="s">
        <v>380</v>
      </c>
      <c r="C292" s="40" t="s">
        <v>130</v>
      </c>
      <c r="D292" s="40" t="s">
        <v>1398</v>
      </c>
      <c r="E292" s="40">
        <v>17</v>
      </c>
      <c r="F292" s="40" t="s">
        <v>42</v>
      </c>
      <c r="G292" s="40" t="s">
        <v>53</v>
      </c>
      <c r="H292" s="41" t="s">
        <v>561</v>
      </c>
      <c r="I292" s="42" t="s">
        <v>43</v>
      </c>
      <c r="J292" s="40" t="s">
        <v>44</v>
      </c>
      <c r="K292" s="41" t="s">
        <v>43</v>
      </c>
      <c r="L292" s="40">
        <v>2</v>
      </c>
      <c r="M292" s="40">
        <v>3</v>
      </c>
      <c r="N292" s="41">
        <v>1</v>
      </c>
      <c r="O292" s="40">
        <v>4</v>
      </c>
      <c r="P292" s="40">
        <v>3</v>
      </c>
      <c r="Q292" s="41">
        <v>3</v>
      </c>
      <c r="R292" s="40">
        <v>3</v>
      </c>
      <c r="S292" s="40">
        <v>5</v>
      </c>
      <c r="T292" s="40">
        <v>1</v>
      </c>
      <c r="U292" s="40">
        <v>2</v>
      </c>
      <c r="V292" s="40" t="s">
        <v>45</v>
      </c>
      <c r="W292" s="40" t="s">
        <v>45</v>
      </c>
      <c r="X292" s="40" t="s">
        <v>45</v>
      </c>
      <c r="Y292" s="40" t="s">
        <v>45</v>
      </c>
      <c r="Z292" s="40">
        <v>3</v>
      </c>
      <c r="AA292" s="40">
        <v>5</v>
      </c>
      <c r="AB292" s="40" t="s">
        <v>45</v>
      </c>
      <c r="AC292" s="40" t="s">
        <v>45</v>
      </c>
      <c r="AD292" s="40" t="s">
        <v>45</v>
      </c>
      <c r="AE292" s="40" t="s">
        <v>45</v>
      </c>
      <c r="AF292" s="40" t="s">
        <v>45</v>
      </c>
      <c r="AG292" s="40" t="s">
        <v>45</v>
      </c>
      <c r="AH292" s="40" t="s">
        <v>45</v>
      </c>
      <c r="AI292" s="40" t="s">
        <v>45</v>
      </c>
      <c r="AJ292" s="40" t="s">
        <v>45</v>
      </c>
      <c r="AK292" s="40" t="s">
        <v>45</v>
      </c>
      <c r="AL292" s="40" t="s">
        <v>45</v>
      </c>
      <c r="AM292" s="40" t="s">
        <v>45</v>
      </c>
      <c r="AN292" s="40" t="s">
        <v>45</v>
      </c>
      <c r="AO292" s="41" t="s">
        <v>45</v>
      </c>
      <c r="AP292" s="40" t="s">
        <v>68</v>
      </c>
      <c r="AQ292" s="40">
        <v>8</v>
      </c>
      <c r="AR292" s="48" t="s">
        <v>326</v>
      </c>
      <c r="AS292" s="43" t="s">
        <v>572</v>
      </c>
      <c r="AT292" s="43" t="s">
        <v>103</v>
      </c>
      <c r="AU292" s="44">
        <f t="shared" si="39"/>
        <v>-2.1159294805983135</v>
      </c>
      <c r="AV292" s="44">
        <f t="shared" si="40"/>
        <v>-0.79641094873467422</v>
      </c>
      <c r="AW292" s="45">
        <f t="shared" si="41"/>
        <v>3</v>
      </c>
      <c r="AX292" s="45">
        <f t="shared" si="42"/>
        <v>0</v>
      </c>
      <c r="AY292" s="46">
        <f>VLOOKUP(AP292,COND!$A$10:$B$32,2,FALSE)</f>
        <v>0.95</v>
      </c>
      <c r="AZ292" s="44">
        <f>($AU$3*AU292+$AV$3*AV292+$AW$3*AW292+$AX$3*AX292)*AY292*IF(AQ292&lt;5,0.95,IF(AQ292&lt;7,0.975,1))+$I$3*VLOOKUP(I292,COND!$A$2:$E$7,4,FALSE)+$J$3*VLOOKUP(J292,COND!$A$2:$E$7,2,FALSE)+$K$3*VLOOKUP(K292,COND!$A$2:$E$7,3,FALSE)+IF(BB292="SP",$BB$3,0)+IF($AW292&lt;3,-5,0)+IF(AND($B$2&gt;0,$E292&lt;20),$B$2*25,0)</f>
        <v>37.591165372727509</v>
      </c>
      <c r="BA292" s="47">
        <f t="shared" si="45"/>
        <v>-1.5054392760401153E-2</v>
      </c>
      <c r="BB292" s="45" t="str">
        <f t="shared" si="43"/>
        <v>SP</v>
      </c>
      <c r="BC292" s="45">
        <v>930</v>
      </c>
      <c r="BD292" s="45">
        <v>287</v>
      </c>
      <c r="BE292" s="45"/>
      <c r="BF292" s="45" t="str">
        <f t="shared" si="44"/>
        <v>Unlikely</v>
      </c>
      <c r="BG292" s="45"/>
      <c r="BH292" s="45">
        <f>INDEX(Table5[[#All],[Ovr]],MATCH(Table3[[#This Row],[PID]],Table5[[#All],[PID]],0))</f>
        <v>490</v>
      </c>
      <c r="BI292" s="45" t="str">
        <f>INDEX(Table5[[#All],[Rnd]],MATCH(Table3[[#This Row],[PID]],Table5[[#All],[PID]],0))</f>
        <v>15</v>
      </c>
      <c r="BJ292" s="45">
        <f>INDEX(Table5[[#All],[Pick]],MATCH(Table3[[#This Row],[PID]],Table5[[#All],[PID]],0))</f>
        <v>23</v>
      </c>
      <c r="BK292" s="45" t="str">
        <f>INDEX(Table5[[#All],[Team]],MATCH(Table3[[#This Row],[PID]],Table5[[#All],[PID]],0))</f>
        <v>Kentucky Thoroughbreds</v>
      </c>
      <c r="BL292" s="45" t="str">
        <f>IF(OR(Table3[[#This Row],[POS]]="SP",Table3[[#This Row],[POS]]="RP",Table3[[#This Row],[POS]]="CL"),"P",INDEX(Batters[[#All],[zScore]],MATCH(Table3[[#This Row],[PID]],Batters[[#All],[PID]],0)))</f>
        <v>P</v>
      </c>
    </row>
    <row r="293" spans="1:64" ht="15" customHeight="1" x14ac:dyDescent="0.3">
      <c r="A293" s="40">
        <v>12029</v>
      </c>
      <c r="B293" s="40" t="s">
        <v>24</v>
      </c>
      <c r="C293" s="40" t="s">
        <v>126</v>
      </c>
      <c r="D293" s="40" t="s">
        <v>556</v>
      </c>
      <c r="E293" s="40">
        <v>17</v>
      </c>
      <c r="F293" s="40" t="s">
        <v>42</v>
      </c>
      <c r="G293" s="40" t="s">
        <v>42</v>
      </c>
      <c r="H293" s="41" t="s">
        <v>561</v>
      </c>
      <c r="I293" s="42" t="s">
        <v>43</v>
      </c>
      <c r="J293" s="40" t="s">
        <v>44</v>
      </c>
      <c r="K293" s="41" t="s">
        <v>43</v>
      </c>
      <c r="L293" s="40">
        <v>2</v>
      </c>
      <c r="M293" s="40">
        <v>1</v>
      </c>
      <c r="N293" s="41">
        <v>1</v>
      </c>
      <c r="O293" s="40">
        <v>4</v>
      </c>
      <c r="P293" s="40">
        <v>1</v>
      </c>
      <c r="Q293" s="41">
        <v>4</v>
      </c>
      <c r="R293" s="40">
        <v>4</v>
      </c>
      <c r="S293" s="40">
        <v>6</v>
      </c>
      <c r="T293" s="40">
        <v>3</v>
      </c>
      <c r="U293" s="40">
        <v>4</v>
      </c>
      <c r="V293" s="40" t="s">
        <v>45</v>
      </c>
      <c r="W293" s="40" t="s">
        <v>45</v>
      </c>
      <c r="X293" s="40">
        <v>3</v>
      </c>
      <c r="Y293" s="40">
        <v>6</v>
      </c>
      <c r="Z293" s="40" t="s">
        <v>45</v>
      </c>
      <c r="AA293" s="40" t="s">
        <v>45</v>
      </c>
      <c r="AB293" s="40" t="s">
        <v>45</v>
      </c>
      <c r="AC293" s="40" t="s">
        <v>45</v>
      </c>
      <c r="AD293" s="40" t="s">
        <v>45</v>
      </c>
      <c r="AE293" s="40" t="s">
        <v>45</v>
      </c>
      <c r="AF293" s="40" t="s">
        <v>45</v>
      </c>
      <c r="AG293" s="40" t="s">
        <v>45</v>
      </c>
      <c r="AH293" s="40" t="s">
        <v>45</v>
      </c>
      <c r="AI293" s="40" t="s">
        <v>45</v>
      </c>
      <c r="AJ293" s="40" t="s">
        <v>45</v>
      </c>
      <c r="AK293" s="40" t="s">
        <v>45</v>
      </c>
      <c r="AL293" s="40" t="s">
        <v>45</v>
      </c>
      <c r="AM293" s="40" t="s">
        <v>45</v>
      </c>
      <c r="AN293" s="40" t="s">
        <v>45</v>
      </c>
      <c r="AO293" s="41" t="s">
        <v>45</v>
      </c>
      <c r="AP293" s="40" t="s">
        <v>329</v>
      </c>
      <c r="AQ293" s="40">
        <v>6</v>
      </c>
      <c r="AR293" s="48" t="s">
        <v>330</v>
      </c>
      <c r="AS293" s="43" t="s">
        <v>511</v>
      </c>
      <c r="AT293" s="43" t="s">
        <v>103</v>
      </c>
      <c r="AU293" s="44">
        <f t="shared" si="39"/>
        <v>-2.5067929134584248</v>
      </c>
      <c r="AV293" s="44">
        <f t="shared" si="40"/>
        <v>-0.94495381554067481</v>
      </c>
      <c r="AW293" s="45">
        <f t="shared" si="41"/>
        <v>3</v>
      </c>
      <c r="AX293" s="45">
        <f t="shared" si="42"/>
        <v>2</v>
      </c>
      <c r="AY293" s="46">
        <f>VLOOKUP(AP293,COND!$A$10:$B$32,2,FALSE)</f>
        <v>1</v>
      </c>
      <c r="AZ293" s="44">
        <f>($AU$3*AU293+$AV$3*AV293+$AW$3*AW293+$AX$3*AX293)*AY293*IF(AQ293&lt;5,0.95,IF(AQ293&lt;7,0.975,1))+$I$3*VLOOKUP(I293,COND!$A$2:$E$7,4,FALSE)+$J$3*VLOOKUP(J293,COND!$A$2:$E$7,2,FALSE)+$K$3*VLOOKUP(K293,COND!$A$2:$E$7,3,FALSE)+IF(BB293="SP",$BB$3,0)+IF($AW293&lt;3,-5,0)+IF(AND($B$2&gt;0,$E293&lt;20),$B$2*25,0)</f>
        <v>36.684575978832449</v>
      </c>
      <c r="BA293" s="47">
        <f t="shared" si="45"/>
        <v>-7.960993353377771E-2</v>
      </c>
      <c r="BB293" s="45" t="str">
        <f t="shared" si="43"/>
        <v>SP</v>
      </c>
      <c r="BC293" s="45">
        <v>930</v>
      </c>
      <c r="BD293" s="45">
        <v>288</v>
      </c>
      <c r="BE293" s="45"/>
      <c r="BF293" s="45" t="str">
        <f t="shared" si="44"/>
        <v>Unlikely</v>
      </c>
      <c r="BG293" s="45"/>
      <c r="BH293" s="45">
        <f>INDEX(Table5[[#All],[Ovr]],MATCH(Table3[[#This Row],[PID]],Table5[[#All],[PID]],0))</f>
        <v>607</v>
      </c>
      <c r="BI293" s="45" t="str">
        <f>INDEX(Table5[[#All],[Rnd]],MATCH(Table3[[#This Row],[PID]],Table5[[#All],[PID]],0))</f>
        <v>19</v>
      </c>
      <c r="BJ293" s="45">
        <f>INDEX(Table5[[#All],[Pick]],MATCH(Table3[[#This Row],[PID]],Table5[[#All],[PID]],0))</f>
        <v>4</v>
      </c>
      <c r="BK293" s="45" t="str">
        <f>INDEX(Table5[[#All],[Team]],MATCH(Table3[[#This Row],[PID]],Table5[[#All],[PID]],0))</f>
        <v>Palm Springs Codgers</v>
      </c>
      <c r="BL293" s="45" t="str">
        <f>IF(OR(Table3[[#This Row],[POS]]="SP",Table3[[#This Row],[POS]]="RP",Table3[[#This Row],[POS]]="CL"),"P",INDEX(Batters[[#All],[zScore]],MATCH(Table3[[#This Row],[PID]],Batters[[#All],[PID]],0)))</f>
        <v>P</v>
      </c>
    </row>
    <row r="294" spans="1:64" ht="15" customHeight="1" x14ac:dyDescent="0.3">
      <c r="A294" s="40">
        <v>20786</v>
      </c>
      <c r="B294" s="40" t="s">
        <v>380</v>
      </c>
      <c r="C294" s="40" t="s">
        <v>140</v>
      </c>
      <c r="D294" s="40" t="s">
        <v>1422</v>
      </c>
      <c r="E294" s="40">
        <v>17</v>
      </c>
      <c r="F294" s="40" t="s">
        <v>53</v>
      </c>
      <c r="G294" s="40" t="s">
        <v>53</v>
      </c>
      <c r="H294" s="41" t="s">
        <v>553</v>
      </c>
      <c r="I294" s="42" t="s">
        <v>43</v>
      </c>
      <c r="J294" s="40" t="s">
        <v>44</v>
      </c>
      <c r="K294" s="41" t="s">
        <v>43</v>
      </c>
      <c r="L294" s="40">
        <v>2</v>
      </c>
      <c r="M294" s="40">
        <v>2</v>
      </c>
      <c r="N294" s="41">
        <v>1</v>
      </c>
      <c r="O294" s="40">
        <v>5</v>
      </c>
      <c r="P294" s="40">
        <v>2</v>
      </c>
      <c r="Q294" s="41">
        <v>4</v>
      </c>
      <c r="R294" s="40">
        <v>4</v>
      </c>
      <c r="S294" s="40">
        <v>6</v>
      </c>
      <c r="T294" s="40" t="s">
        <v>45</v>
      </c>
      <c r="U294" s="40" t="s">
        <v>45</v>
      </c>
      <c r="V294" s="40" t="s">
        <v>45</v>
      </c>
      <c r="W294" s="40" t="s">
        <v>45</v>
      </c>
      <c r="X294" s="40">
        <v>3</v>
      </c>
      <c r="Y294" s="40">
        <v>7</v>
      </c>
      <c r="Z294" s="40" t="s">
        <v>45</v>
      </c>
      <c r="AA294" s="40" t="s">
        <v>45</v>
      </c>
      <c r="AB294" s="40" t="s">
        <v>45</v>
      </c>
      <c r="AC294" s="40" t="s">
        <v>45</v>
      </c>
      <c r="AD294" s="40" t="s">
        <v>45</v>
      </c>
      <c r="AE294" s="40" t="s">
        <v>45</v>
      </c>
      <c r="AF294" s="40" t="s">
        <v>45</v>
      </c>
      <c r="AG294" s="40" t="s">
        <v>45</v>
      </c>
      <c r="AH294" s="40" t="s">
        <v>45</v>
      </c>
      <c r="AI294" s="40" t="s">
        <v>45</v>
      </c>
      <c r="AJ294" s="40" t="s">
        <v>45</v>
      </c>
      <c r="AK294" s="40" t="s">
        <v>45</v>
      </c>
      <c r="AL294" s="40" t="s">
        <v>45</v>
      </c>
      <c r="AM294" s="40" t="s">
        <v>45</v>
      </c>
      <c r="AN294" s="40" t="s">
        <v>45</v>
      </c>
      <c r="AO294" s="41" t="s">
        <v>45</v>
      </c>
      <c r="AP294" s="40" t="s">
        <v>57</v>
      </c>
      <c r="AQ294" s="40">
        <v>7</v>
      </c>
      <c r="AR294" s="48" t="s">
        <v>326</v>
      </c>
      <c r="AS294" s="43" t="s">
        <v>583</v>
      </c>
      <c r="AT294" s="43" t="s">
        <v>103</v>
      </c>
      <c r="AU294" s="44">
        <f t="shared" si="39"/>
        <v>-2.311361197028369</v>
      </c>
      <c r="AV294" s="44">
        <f t="shared" si="40"/>
        <v>-0.55483077460144581</v>
      </c>
      <c r="AW294" s="45">
        <f t="shared" si="41"/>
        <v>2</v>
      </c>
      <c r="AX294" s="45">
        <f t="shared" si="42"/>
        <v>2</v>
      </c>
      <c r="AY294" s="46">
        <f>VLOOKUP(AP294,COND!$A$10:$B$32,2,FALSE)</f>
        <v>1</v>
      </c>
      <c r="AZ294" s="44">
        <f>($AU$3*AU294+$AV$3*AV294+$AW$3*AW294+$AX$3*AX294)*AY294*IF(AQ294&lt;5,0.95,IF(AQ294&lt;7,0.975,1))+$I$3*VLOOKUP(I294,COND!$A$2:$E$7,4,FALSE)+$J$3*VLOOKUP(J294,COND!$A$2:$E$7,2,FALSE)+$K$3*VLOOKUP(K294,COND!$A$2:$E$7,3,FALSE)+IF(BB294="SP",$BB$3,0)+IF($AW294&lt;3,-5,0)+IF(AND($B$2&gt;0,$E294&lt;20),$B$2*25,0)</f>
        <v>36.641112268565408</v>
      </c>
      <c r="BA294" s="47">
        <f t="shared" si="45"/>
        <v>-8.2704855379544362E-2</v>
      </c>
      <c r="BB294" s="45" t="str">
        <f t="shared" si="43"/>
        <v>RP</v>
      </c>
      <c r="BC294" s="45">
        <v>930</v>
      </c>
      <c r="BD294" s="45">
        <v>289</v>
      </c>
      <c r="BE294" s="45"/>
      <c r="BF294" s="45" t="str">
        <f t="shared" si="44"/>
        <v>Unlikely</v>
      </c>
      <c r="BG294" s="45"/>
      <c r="BH294" s="45">
        <f>INDEX(Table5[[#All],[Ovr]],MATCH(Table3[[#This Row],[PID]],Table5[[#All],[PID]],0))</f>
        <v>390</v>
      </c>
      <c r="BI294" s="45" t="str">
        <f>INDEX(Table5[[#All],[Rnd]],MATCH(Table3[[#This Row],[PID]],Table5[[#All],[PID]],0))</f>
        <v>12</v>
      </c>
      <c r="BJ294" s="45">
        <f>INDEX(Table5[[#All],[Pick]],MATCH(Table3[[#This Row],[PID]],Table5[[#All],[PID]],0))</f>
        <v>25</v>
      </c>
      <c r="BK294" s="45" t="str">
        <f>INDEX(Table5[[#All],[Team]],MATCH(Table3[[#This Row],[PID]],Table5[[#All],[PID]],0))</f>
        <v>Kalamazoo Badgers</v>
      </c>
      <c r="BL294" s="45" t="str">
        <f>IF(OR(Table3[[#This Row],[POS]]="SP",Table3[[#This Row],[POS]]="RP",Table3[[#This Row],[POS]]="CL"),"P",INDEX(Batters[[#All],[zScore]],MATCH(Table3[[#This Row],[PID]],Batters[[#All],[PID]],0)))</f>
        <v>P</v>
      </c>
    </row>
    <row r="295" spans="1:64" ht="15" customHeight="1" x14ac:dyDescent="0.3">
      <c r="A295" s="40">
        <v>10569</v>
      </c>
      <c r="B295" s="40" t="s">
        <v>24</v>
      </c>
      <c r="C295" s="40" t="s">
        <v>169</v>
      </c>
      <c r="D295" s="40" t="s">
        <v>604</v>
      </c>
      <c r="E295" s="40">
        <v>17</v>
      </c>
      <c r="F295" s="40" t="s">
        <v>42</v>
      </c>
      <c r="G295" s="40" t="s">
        <v>53</v>
      </c>
      <c r="H295" s="41" t="s">
        <v>561</v>
      </c>
      <c r="I295" s="42" t="s">
        <v>43</v>
      </c>
      <c r="J295" s="40" t="s">
        <v>44</v>
      </c>
      <c r="K295" s="41" t="s">
        <v>43</v>
      </c>
      <c r="L295" s="40">
        <v>2</v>
      </c>
      <c r="M295" s="40">
        <v>1</v>
      </c>
      <c r="N295" s="41">
        <v>1</v>
      </c>
      <c r="O295" s="40">
        <v>4</v>
      </c>
      <c r="P295" s="40">
        <v>1</v>
      </c>
      <c r="Q295" s="41">
        <v>4</v>
      </c>
      <c r="R295" s="40">
        <v>5</v>
      </c>
      <c r="S295" s="40">
        <v>6</v>
      </c>
      <c r="T295" s="40">
        <v>1</v>
      </c>
      <c r="U295" s="40">
        <v>6</v>
      </c>
      <c r="V295" s="40">
        <v>2</v>
      </c>
      <c r="W295" s="40">
        <v>4</v>
      </c>
      <c r="X295" s="40" t="s">
        <v>45</v>
      </c>
      <c r="Y295" s="40" t="s">
        <v>45</v>
      </c>
      <c r="Z295" s="40" t="s">
        <v>45</v>
      </c>
      <c r="AA295" s="40" t="s">
        <v>45</v>
      </c>
      <c r="AB295" s="40" t="s">
        <v>45</v>
      </c>
      <c r="AC295" s="40" t="s">
        <v>45</v>
      </c>
      <c r="AD295" s="40" t="s">
        <v>45</v>
      </c>
      <c r="AE295" s="40" t="s">
        <v>45</v>
      </c>
      <c r="AF295" s="40" t="s">
        <v>45</v>
      </c>
      <c r="AG295" s="40" t="s">
        <v>45</v>
      </c>
      <c r="AH295" s="40" t="s">
        <v>45</v>
      </c>
      <c r="AI295" s="40" t="s">
        <v>45</v>
      </c>
      <c r="AJ295" s="40" t="s">
        <v>45</v>
      </c>
      <c r="AK295" s="40" t="s">
        <v>45</v>
      </c>
      <c r="AL295" s="40" t="s">
        <v>45</v>
      </c>
      <c r="AM295" s="40" t="s">
        <v>45</v>
      </c>
      <c r="AN295" s="40" t="s">
        <v>45</v>
      </c>
      <c r="AO295" s="41" t="s">
        <v>45</v>
      </c>
      <c r="AP295" s="40" t="s">
        <v>60</v>
      </c>
      <c r="AQ295" s="40">
        <v>6</v>
      </c>
      <c r="AR295" s="48" t="s">
        <v>14</v>
      </c>
      <c r="AS295" s="43" t="s">
        <v>568</v>
      </c>
      <c r="AT295" s="43" t="s">
        <v>103</v>
      </c>
      <c r="AU295" s="44">
        <f t="shared" si="39"/>
        <v>-2.5067929134584248</v>
      </c>
      <c r="AV295" s="44">
        <f t="shared" si="40"/>
        <v>-0.94495381554067481</v>
      </c>
      <c r="AW295" s="45">
        <f t="shared" si="41"/>
        <v>3</v>
      </c>
      <c r="AX295" s="45">
        <f t="shared" si="42"/>
        <v>2</v>
      </c>
      <c r="AY295" s="46">
        <f>VLOOKUP(AP295,COND!$A$10:$B$32,2,FALSE)</f>
        <v>1.0249999999999999</v>
      </c>
      <c r="AZ295" s="44">
        <f>($AU$3*AU295+$AV$3*AV295+$AW$3*AW295+$AX$3*AX295)*AY295*IF(AQ295&lt;5,0.95,IF(AQ295&lt;7,0.975,1))+$I$3*VLOOKUP(I295,COND!$A$2:$E$7,4,FALSE)+$J$3*VLOOKUP(J295,COND!$A$2:$E$7,2,FALSE)+$K$3*VLOOKUP(K295,COND!$A$2:$E$7,3,FALSE)+IF(BB295="SP",$BB$3,0)+IF($AW295&lt;3,-5,0)+IF(AND($B$2&gt;0,$E295&lt;20),$B$2*25,0)</f>
        <v>36.309190378303263</v>
      </c>
      <c r="BA295" s="47">
        <f t="shared" si="45"/>
        <v>-0.10634002833070105</v>
      </c>
      <c r="BB295" s="45" t="str">
        <f t="shared" si="43"/>
        <v>SP</v>
      </c>
      <c r="BC295" s="45">
        <v>930</v>
      </c>
      <c r="BD295" s="45">
        <v>290</v>
      </c>
      <c r="BE295" s="45"/>
      <c r="BF295" s="45" t="str">
        <f t="shared" si="44"/>
        <v>Unlikely</v>
      </c>
      <c r="BG295" s="45"/>
      <c r="BH295" s="45">
        <f>INDEX(Table5[[#All],[Ovr]],MATCH(Table3[[#This Row],[PID]],Table5[[#All],[PID]],0))</f>
        <v>620</v>
      </c>
      <c r="BI295" s="45" t="str">
        <f>INDEX(Table5[[#All],[Rnd]],MATCH(Table3[[#This Row],[PID]],Table5[[#All],[PID]],0))</f>
        <v>19</v>
      </c>
      <c r="BJ295" s="45">
        <f>INDEX(Table5[[#All],[Pick]],MATCH(Table3[[#This Row],[PID]],Table5[[#All],[PID]],0))</f>
        <v>17</v>
      </c>
      <c r="BK295" s="45" t="str">
        <f>INDEX(Table5[[#All],[Team]],MATCH(Table3[[#This Row],[PID]],Table5[[#All],[PID]],0))</f>
        <v>Duluth Warriors</v>
      </c>
      <c r="BL295" s="45" t="str">
        <f>IF(OR(Table3[[#This Row],[POS]]="SP",Table3[[#This Row],[POS]]="RP",Table3[[#This Row],[POS]]="CL"),"P",INDEX(Batters[[#All],[zScore]],MATCH(Table3[[#This Row],[PID]],Batters[[#All],[PID]],0)))</f>
        <v>P</v>
      </c>
    </row>
    <row r="296" spans="1:64" ht="15" customHeight="1" x14ac:dyDescent="0.3">
      <c r="A296" s="40">
        <v>21036</v>
      </c>
      <c r="B296" s="40" t="s">
        <v>24</v>
      </c>
      <c r="C296" s="40" t="s">
        <v>730</v>
      </c>
      <c r="D296" s="40" t="s">
        <v>877</v>
      </c>
      <c r="E296" s="40">
        <v>17</v>
      </c>
      <c r="F296" s="40" t="s">
        <v>42</v>
      </c>
      <c r="G296" s="40" t="s">
        <v>42</v>
      </c>
      <c r="H296" s="41" t="s">
        <v>561</v>
      </c>
      <c r="I296" s="42" t="s">
        <v>43</v>
      </c>
      <c r="J296" s="40" t="s">
        <v>44</v>
      </c>
      <c r="K296" s="41" t="s">
        <v>43</v>
      </c>
      <c r="L296" s="40">
        <v>2</v>
      </c>
      <c r="M296" s="40">
        <v>1</v>
      </c>
      <c r="N296" s="41">
        <v>1</v>
      </c>
      <c r="O296" s="40">
        <v>4</v>
      </c>
      <c r="P296" s="40">
        <v>1</v>
      </c>
      <c r="Q296" s="41">
        <v>4</v>
      </c>
      <c r="R296" s="40">
        <v>5</v>
      </c>
      <c r="S296" s="40">
        <v>6</v>
      </c>
      <c r="T296" s="40" t="s">
        <v>45</v>
      </c>
      <c r="U296" s="40" t="s">
        <v>45</v>
      </c>
      <c r="V296" s="40" t="s">
        <v>45</v>
      </c>
      <c r="W296" s="40" t="s">
        <v>45</v>
      </c>
      <c r="X296" s="40">
        <v>3</v>
      </c>
      <c r="Y296" s="40">
        <v>7</v>
      </c>
      <c r="Z296" s="40" t="s">
        <v>45</v>
      </c>
      <c r="AA296" s="40" t="s">
        <v>45</v>
      </c>
      <c r="AB296" s="40" t="s">
        <v>45</v>
      </c>
      <c r="AC296" s="40" t="s">
        <v>45</v>
      </c>
      <c r="AD296" s="40" t="s">
        <v>45</v>
      </c>
      <c r="AE296" s="40" t="s">
        <v>45</v>
      </c>
      <c r="AF296" s="40">
        <v>3</v>
      </c>
      <c r="AG296" s="40">
        <v>5</v>
      </c>
      <c r="AH296" s="40" t="s">
        <v>45</v>
      </c>
      <c r="AI296" s="40" t="s">
        <v>45</v>
      </c>
      <c r="AJ296" s="40" t="s">
        <v>45</v>
      </c>
      <c r="AK296" s="40" t="s">
        <v>45</v>
      </c>
      <c r="AL296" s="40" t="s">
        <v>45</v>
      </c>
      <c r="AM296" s="40" t="s">
        <v>45</v>
      </c>
      <c r="AN296" s="40" t="s">
        <v>45</v>
      </c>
      <c r="AO296" s="41" t="s">
        <v>45</v>
      </c>
      <c r="AP296" s="40" t="s">
        <v>60</v>
      </c>
      <c r="AQ296" s="40">
        <v>8</v>
      </c>
      <c r="AR296" s="48" t="s">
        <v>14</v>
      </c>
      <c r="AS296" s="43" t="s">
        <v>583</v>
      </c>
      <c r="AT296" s="43" t="s">
        <v>103</v>
      </c>
      <c r="AU296" s="44">
        <f t="shared" si="39"/>
        <v>-2.5067929134584248</v>
      </c>
      <c r="AV296" s="44">
        <f t="shared" si="40"/>
        <v>-0.94495381554067481</v>
      </c>
      <c r="AW296" s="45">
        <f t="shared" si="41"/>
        <v>3</v>
      </c>
      <c r="AX296" s="45">
        <f t="shared" si="42"/>
        <v>2</v>
      </c>
      <c r="AY296" s="46">
        <f>VLOOKUP(AP296,COND!$A$10:$B$32,2,FALSE)</f>
        <v>1.0249999999999999</v>
      </c>
      <c r="AZ296" s="44">
        <f>($AU$3*AU296+$AV$3*AV296+$AW$3*AW296+$AX$3*AX296)*AY296*IF(AQ296&lt;5,0.95,IF(AQ296&lt;7,0.975,1))+$I$3*VLOOKUP(I296,COND!$A$2:$E$7,4,FALSE)+$J$3*VLOOKUP(J296,COND!$A$2:$E$7,2,FALSE)+$K$3*VLOOKUP(K296,COND!$A$2:$E$7,3,FALSE)+IF(BB296="SP",$BB$3,0)+IF($AW296&lt;3,-5,0)+IF(AND($B$2&gt;0,$E296&lt;20),$B$2*25,0)</f>
        <v>35.914554234157194</v>
      </c>
      <c r="BA296" s="47">
        <f t="shared" si="45"/>
        <v>-0.13444089721977454</v>
      </c>
      <c r="BB296" s="45" t="str">
        <f t="shared" si="43"/>
        <v>SP</v>
      </c>
      <c r="BC296" s="45">
        <v>930</v>
      </c>
      <c r="BD296" s="45">
        <v>291</v>
      </c>
      <c r="BE296" s="45"/>
      <c r="BF296" s="45" t="str">
        <f t="shared" si="44"/>
        <v>Unlikely</v>
      </c>
      <c r="BG296" s="45"/>
      <c r="BH296" s="45">
        <f>INDEX(Table5[[#All],[Ovr]],MATCH(Table3[[#This Row],[PID]],Table5[[#All],[PID]],0))</f>
        <v>356</v>
      </c>
      <c r="BI296" s="45" t="str">
        <f>INDEX(Table5[[#All],[Rnd]],MATCH(Table3[[#This Row],[PID]],Table5[[#All],[PID]],0))</f>
        <v>11</v>
      </c>
      <c r="BJ296" s="45">
        <f>INDEX(Table5[[#All],[Pick]],MATCH(Table3[[#This Row],[PID]],Table5[[#All],[PID]],0))</f>
        <v>25</v>
      </c>
      <c r="BK296" s="45" t="str">
        <f>INDEX(Table5[[#All],[Team]],MATCH(Table3[[#This Row],[PID]],Table5[[#All],[PID]],0))</f>
        <v>Kalamazoo Badgers</v>
      </c>
      <c r="BL296" s="45" t="str">
        <f>IF(OR(Table3[[#This Row],[POS]]="SP",Table3[[#This Row],[POS]]="RP",Table3[[#This Row],[POS]]="CL"),"P",INDEX(Batters[[#All],[zScore]],MATCH(Table3[[#This Row],[PID]],Batters[[#All],[PID]],0)))</f>
        <v>P</v>
      </c>
    </row>
    <row r="297" spans="1:64" ht="15" customHeight="1" x14ac:dyDescent="0.3">
      <c r="A297" s="40">
        <v>20531</v>
      </c>
      <c r="B297" s="40" t="s">
        <v>380</v>
      </c>
      <c r="C297" s="40" t="s">
        <v>309</v>
      </c>
      <c r="D297" s="40" t="s">
        <v>1351</v>
      </c>
      <c r="E297" s="40">
        <v>17</v>
      </c>
      <c r="F297" s="40" t="s">
        <v>53</v>
      </c>
      <c r="G297" s="40" t="s">
        <v>53</v>
      </c>
      <c r="H297" s="41" t="s">
        <v>561</v>
      </c>
      <c r="I297" s="42" t="s">
        <v>43</v>
      </c>
      <c r="J297" s="40" t="s">
        <v>44</v>
      </c>
      <c r="K297" s="41" t="s">
        <v>43</v>
      </c>
      <c r="L297" s="40">
        <v>2</v>
      </c>
      <c r="M297" s="40">
        <v>2</v>
      </c>
      <c r="N297" s="41">
        <v>1</v>
      </c>
      <c r="O297" s="40">
        <v>4</v>
      </c>
      <c r="P297" s="40">
        <v>3</v>
      </c>
      <c r="Q297" s="41">
        <v>3</v>
      </c>
      <c r="R297" s="40">
        <v>3</v>
      </c>
      <c r="S297" s="40">
        <v>5</v>
      </c>
      <c r="T297" s="40">
        <v>2</v>
      </c>
      <c r="U297" s="40">
        <v>5</v>
      </c>
      <c r="V297" s="40">
        <v>1</v>
      </c>
      <c r="W297" s="40">
        <v>1</v>
      </c>
      <c r="X297" s="40" t="s">
        <v>45</v>
      </c>
      <c r="Y297" s="40" t="s">
        <v>45</v>
      </c>
      <c r="Z297" s="40" t="s">
        <v>45</v>
      </c>
      <c r="AA297" s="40" t="s">
        <v>45</v>
      </c>
      <c r="AB297" s="40" t="s">
        <v>45</v>
      </c>
      <c r="AC297" s="40" t="s">
        <v>45</v>
      </c>
      <c r="AD297" s="40" t="s">
        <v>45</v>
      </c>
      <c r="AE297" s="40" t="s">
        <v>45</v>
      </c>
      <c r="AF297" s="40" t="s">
        <v>45</v>
      </c>
      <c r="AG297" s="40" t="s">
        <v>45</v>
      </c>
      <c r="AH297" s="40" t="s">
        <v>45</v>
      </c>
      <c r="AI297" s="40" t="s">
        <v>45</v>
      </c>
      <c r="AJ297" s="40" t="s">
        <v>45</v>
      </c>
      <c r="AK297" s="40" t="s">
        <v>45</v>
      </c>
      <c r="AL297" s="40" t="s">
        <v>45</v>
      </c>
      <c r="AM297" s="40" t="s">
        <v>45</v>
      </c>
      <c r="AN297" s="40" t="s">
        <v>45</v>
      </c>
      <c r="AO297" s="41" t="s">
        <v>45</v>
      </c>
      <c r="AP297" s="40" t="s">
        <v>64</v>
      </c>
      <c r="AQ297" s="40">
        <v>3</v>
      </c>
      <c r="AR297" s="48" t="s">
        <v>326</v>
      </c>
      <c r="AS297" s="43" t="s">
        <v>558</v>
      </c>
      <c r="AT297" s="43" t="s">
        <v>103</v>
      </c>
      <c r="AU297" s="44">
        <f t="shared" si="39"/>
        <v>-2.311361197028369</v>
      </c>
      <c r="AV297" s="44">
        <f t="shared" si="40"/>
        <v>-0.79641094873467422</v>
      </c>
      <c r="AW297" s="45">
        <f t="shared" si="41"/>
        <v>3</v>
      </c>
      <c r="AX297" s="45">
        <f t="shared" si="42"/>
        <v>0</v>
      </c>
      <c r="AY297" s="46">
        <f>VLOOKUP(AP297,COND!$A$10:$B$32,2,FALSE)</f>
        <v>1</v>
      </c>
      <c r="AZ297" s="44">
        <f>($AU$3*AU297+$AV$3*AV297+$AW$3*AW297+$AX$3*AX297)*AY297*IF(AQ297&lt;5,0.95,IF(AQ297&lt;7,0.975,1))+$I$3*VLOOKUP(I297,COND!$A$2:$E$7,4,FALSE)+$J$3*VLOOKUP(J297,COND!$A$2:$E$7,2,FALSE)+$K$3*VLOOKUP(K297,COND!$A$2:$E$7,3,FALSE)+IF(BB297="SP",$BB$3,0)+IF($AW297&lt;3,-5,0)+IF(AND($B$2&gt;0,$E297&lt;20),$B$2*25,0)</f>
        <v>35.554033346605799</v>
      </c>
      <c r="BA297" s="47">
        <f t="shared" si="45"/>
        <v>-0.16011251991104103</v>
      </c>
      <c r="BB297" s="45" t="str">
        <f t="shared" si="43"/>
        <v>RP</v>
      </c>
      <c r="BC297" s="45">
        <v>930</v>
      </c>
      <c r="BD297" s="45">
        <v>292</v>
      </c>
      <c r="BE297" s="45"/>
      <c r="BF297" s="45" t="str">
        <f t="shared" si="44"/>
        <v>Unlikely</v>
      </c>
      <c r="BG297" s="45"/>
      <c r="BH297" s="45" t="str">
        <f>INDEX(Table5[[#All],[Ovr]],MATCH(Table3[[#This Row],[PID]],Table5[[#All],[PID]],0))</f>
        <v/>
      </c>
      <c r="BI297" s="45" t="str">
        <f>INDEX(Table5[[#All],[Rnd]],MATCH(Table3[[#This Row],[PID]],Table5[[#All],[PID]],0))</f>
        <v/>
      </c>
      <c r="BJ297" s="45" t="str">
        <f>INDEX(Table5[[#All],[Pick]],MATCH(Table3[[#This Row],[PID]],Table5[[#All],[PID]],0))</f>
        <v/>
      </c>
      <c r="BK297" s="45" t="str">
        <f>INDEX(Table5[[#All],[Team]],MATCH(Table3[[#This Row],[PID]],Table5[[#All],[PID]],0))</f>
        <v/>
      </c>
      <c r="BL297" s="45" t="str">
        <f>IF(OR(Table3[[#This Row],[POS]]="SP",Table3[[#This Row],[POS]]="RP",Table3[[#This Row],[POS]]="CL"),"P",INDEX(Batters[[#All],[zScore]],MATCH(Table3[[#This Row],[PID]],Batters[[#All],[PID]],0)))</f>
        <v>P</v>
      </c>
    </row>
    <row r="298" spans="1:64" ht="15" customHeight="1" x14ac:dyDescent="0.3">
      <c r="A298" s="40">
        <v>20482</v>
      </c>
      <c r="B298" s="40" t="s">
        <v>49</v>
      </c>
      <c r="C298" s="40" t="s">
        <v>1456</v>
      </c>
      <c r="D298" s="40" t="s">
        <v>913</v>
      </c>
      <c r="E298" s="40">
        <v>17</v>
      </c>
      <c r="F298" s="40" t="s">
        <v>53</v>
      </c>
      <c r="G298" s="40" t="s">
        <v>53</v>
      </c>
      <c r="H298" s="41" t="s">
        <v>553</v>
      </c>
      <c r="I298" s="42" t="s">
        <v>43</v>
      </c>
      <c r="J298" s="40" t="s">
        <v>44</v>
      </c>
      <c r="K298" s="41" t="s">
        <v>43</v>
      </c>
      <c r="L298" s="40">
        <v>2</v>
      </c>
      <c r="M298" s="40">
        <v>1</v>
      </c>
      <c r="N298" s="41">
        <v>1</v>
      </c>
      <c r="O298" s="40">
        <v>4</v>
      </c>
      <c r="P298" s="40">
        <v>3</v>
      </c>
      <c r="Q298" s="41">
        <v>4</v>
      </c>
      <c r="R298" s="40">
        <v>4</v>
      </c>
      <c r="S298" s="40">
        <v>5</v>
      </c>
      <c r="T298" s="40" t="s">
        <v>45</v>
      </c>
      <c r="U298" s="40" t="s">
        <v>45</v>
      </c>
      <c r="V298" s="40" t="s">
        <v>45</v>
      </c>
      <c r="W298" s="40" t="s">
        <v>45</v>
      </c>
      <c r="X298" s="40">
        <v>2</v>
      </c>
      <c r="Y298" s="40">
        <v>6</v>
      </c>
      <c r="Z298" s="40" t="s">
        <v>45</v>
      </c>
      <c r="AA298" s="40" t="s">
        <v>45</v>
      </c>
      <c r="AB298" s="40" t="s">
        <v>45</v>
      </c>
      <c r="AC298" s="40" t="s">
        <v>45</v>
      </c>
      <c r="AD298" s="40" t="s">
        <v>45</v>
      </c>
      <c r="AE298" s="40" t="s">
        <v>45</v>
      </c>
      <c r="AF298" s="40" t="s">
        <v>45</v>
      </c>
      <c r="AG298" s="40" t="s">
        <v>45</v>
      </c>
      <c r="AH298" s="40" t="s">
        <v>45</v>
      </c>
      <c r="AI298" s="40" t="s">
        <v>45</v>
      </c>
      <c r="AJ298" s="40" t="s">
        <v>45</v>
      </c>
      <c r="AK298" s="40" t="s">
        <v>45</v>
      </c>
      <c r="AL298" s="40" t="s">
        <v>45</v>
      </c>
      <c r="AM298" s="40" t="s">
        <v>45</v>
      </c>
      <c r="AN298" s="40" t="s">
        <v>45</v>
      </c>
      <c r="AO298" s="41" t="s">
        <v>45</v>
      </c>
      <c r="AP298" s="40" t="s">
        <v>57</v>
      </c>
      <c r="AQ298" s="40">
        <v>10</v>
      </c>
      <c r="AR298" s="48" t="s">
        <v>326</v>
      </c>
      <c r="AS298" s="43" t="s">
        <v>583</v>
      </c>
      <c r="AT298" s="43" t="s">
        <v>103</v>
      </c>
      <c r="AU298" s="44">
        <f t="shared" si="39"/>
        <v>-2.5067929134584248</v>
      </c>
      <c r="AV298" s="44">
        <f t="shared" si="40"/>
        <v>-0.55409038268056388</v>
      </c>
      <c r="AW298" s="45">
        <f t="shared" si="41"/>
        <v>2</v>
      </c>
      <c r="AX298" s="45">
        <f t="shared" si="42"/>
        <v>1</v>
      </c>
      <c r="AY298" s="46">
        <f>VLOOKUP(AP298,COND!$A$10:$B$32,2,FALSE)</f>
        <v>1</v>
      </c>
      <c r="AZ298" s="44">
        <f>($AU$3*AU298+$AV$3*AV298+$AW$3*AW298+$AX$3*AX298)*AY298*IF(AQ298&lt;5,0.95,IF(AQ298&lt;7,0.975,1))+$I$3*VLOOKUP(I298,COND!$A$2:$E$7,4,FALSE)+$J$3*VLOOKUP(J298,COND!$A$2:$E$7,2,FALSE)+$K$3*VLOOKUP(K298,COND!$A$2:$E$7,3,FALSE)+IF(BB298="SP",$BB$3,0)+IF($AW298&lt;3,-5,0)+IF(AND($B$2&gt;0,$E298&lt;20),$B$2*25,0)</f>
        <v>35.366833763697038</v>
      </c>
      <c r="BA298" s="47">
        <f t="shared" si="45"/>
        <v>-0.17344244676503248</v>
      </c>
      <c r="BB298" s="45" t="str">
        <f t="shared" si="43"/>
        <v>RP</v>
      </c>
      <c r="BC298" s="45">
        <v>930</v>
      </c>
      <c r="BD298" s="45">
        <v>293</v>
      </c>
      <c r="BE298" s="45"/>
      <c r="BF298" s="45" t="str">
        <f t="shared" si="44"/>
        <v>Unlikely</v>
      </c>
      <c r="BG298" s="45"/>
      <c r="BH298" s="45">
        <f>INDEX(Table5[[#All],[Ovr]],MATCH(Table3[[#This Row],[PID]],Table5[[#All],[PID]],0))</f>
        <v>360</v>
      </c>
      <c r="BI298" s="45" t="str">
        <f>INDEX(Table5[[#All],[Rnd]],MATCH(Table3[[#This Row],[PID]],Table5[[#All],[PID]],0))</f>
        <v>11</v>
      </c>
      <c r="BJ298" s="45">
        <f>INDEX(Table5[[#All],[Pick]],MATCH(Table3[[#This Row],[PID]],Table5[[#All],[PID]],0))</f>
        <v>29</v>
      </c>
      <c r="BK298" s="45" t="str">
        <f>INDEX(Table5[[#All],[Team]],MATCH(Table3[[#This Row],[PID]],Table5[[#All],[PID]],0))</f>
        <v>Shin Seiki Evas</v>
      </c>
      <c r="BL298" s="45" t="str">
        <f>IF(OR(Table3[[#This Row],[POS]]="SP",Table3[[#This Row],[POS]]="RP",Table3[[#This Row],[POS]]="CL"),"P",INDEX(Batters[[#All],[zScore]],MATCH(Table3[[#This Row],[PID]],Batters[[#All],[PID]],0)))</f>
        <v>P</v>
      </c>
    </row>
    <row r="299" spans="1:64" ht="15" customHeight="1" x14ac:dyDescent="0.3">
      <c r="A299" s="40">
        <v>20850</v>
      </c>
      <c r="B299" s="40" t="s">
        <v>24</v>
      </c>
      <c r="C299" s="40" t="s">
        <v>316</v>
      </c>
      <c r="D299" s="40" t="s">
        <v>1353</v>
      </c>
      <c r="E299" s="40">
        <v>17</v>
      </c>
      <c r="F299" s="40" t="s">
        <v>42</v>
      </c>
      <c r="G299" s="40" t="s">
        <v>42</v>
      </c>
      <c r="H299" s="41" t="s">
        <v>561</v>
      </c>
      <c r="I299" s="42" t="s">
        <v>43</v>
      </c>
      <c r="J299" s="40" t="s">
        <v>44</v>
      </c>
      <c r="K299" s="41" t="s">
        <v>43</v>
      </c>
      <c r="L299" s="40">
        <v>2</v>
      </c>
      <c r="M299" s="40">
        <v>1</v>
      </c>
      <c r="N299" s="41">
        <v>1</v>
      </c>
      <c r="O299" s="40">
        <v>4</v>
      </c>
      <c r="P299" s="40">
        <v>2</v>
      </c>
      <c r="Q299" s="41">
        <v>3</v>
      </c>
      <c r="R299" s="40" t="s">
        <v>45</v>
      </c>
      <c r="S299" s="40" t="s">
        <v>45</v>
      </c>
      <c r="T299" s="40" t="s">
        <v>45</v>
      </c>
      <c r="U299" s="40" t="s">
        <v>45</v>
      </c>
      <c r="V299" s="40">
        <v>3</v>
      </c>
      <c r="W299" s="40">
        <v>6</v>
      </c>
      <c r="X299" s="40" t="s">
        <v>45</v>
      </c>
      <c r="Y299" s="40" t="s">
        <v>45</v>
      </c>
      <c r="Z299" s="40" t="s">
        <v>45</v>
      </c>
      <c r="AA299" s="40" t="s">
        <v>45</v>
      </c>
      <c r="AB299" s="40" t="s">
        <v>45</v>
      </c>
      <c r="AC299" s="40" t="s">
        <v>45</v>
      </c>
      <c r="AD299" s="40">
        <v>3</v>
      </c>
      <c r="AE299" s="40">
        <v>5</v>
      </c>
      <c r="AF299" s="40" t="s">
        <v>45</v>
      </c>
      <c r="AG299" s="40" t="s">
        <v>45</v>
      </c>
      <c r="AH299" s="40">
        <v>1</v>
      </c>
      <c r="AI299" s="40">
        <v>6</v>
      </c>
      <c r="AJ299" s="40" t="s">
        <v>45</v>
      </c>
      <c r="AK299" s="40" t="s">
        <v>45</v>
      </c>
      <c r="AL299" s="40" t="s">
        <v>45</v>
      </c>
      <c r="AM299" s="40" t="s">
        <v>45</v>
      </c>
      <c r="AN299" s="40" t="s">
        <v>45</v>
      </c>
      <c r="AO299" s="41" t="s">
        <v>45</v>
      </c>
      <c r="AP299" s="40" t="s">
        <v>58</v>
      </c>
      <c r="AQ299" s="40">
        <v>8</v>
      </c>
      <c r="AR299" s="48" t="s">
        <v>326</v>
      </c>
      <c r="AS299" s="43" t="s">
        <v>568</v>
      </c>
      <c r="AT299" s="43" t="s">
        <v>103</v>
      </c>
      <c r="AU299" s="44">
        <f t="shared" si="39"/>
        <v>-2.5067929134584248</v>
      </c>
      <c r="AV299" s="44">
        <f t="shared" si="40"/>
        <v>-0.99184266516472974</v>
      </c>
      <c r="AW299" s="45">
        <f t="shared" si="41"/>
        <v>3</v>
      </c>
      <c r="AX299" s="45">
        <f t="shared" si="42"/>
        <v>2</v>
      </c>
      <c r="AY299" s="46">
        <f>VLOOKUP(AP299,COND!$A$10:$B$32,2,FALSE)</f>
        <v>1</v>
      </c>
      <c r="AZ299" s="44">
        <f>($AU$3*AU299+$AV$3*AV299+$AW$3*AW299+$AX$3*AX299)*AY299*IF(AQ299&lt;5,0.95,IF(AQ299&lt;7,0.975,1))+$I$3*VLOOKUP(I299,COND!$A$2:$E$7,4,FALSE)+$J$3*VLOOKUP(J299,COND!$A$2:$E$7,2,FALSE)+$K$3*VLOOKUP(K299,COND!$A$2:$E$7,3,FALSE)+IF(BB299="SP",$BB$3,0)+IF($AW299&lt;3,-5,0)+IF(AND($B$2&gt;0,$E299&lt;20),$B$2*25,0)</f>
        <v>35.36178811401372</v>
      </c>
      <c r="BA299" s="47">
        <f t="shared" si="45"/>
        <v>-0.17380173250789802</v>
      </c>
      <c r="BB299" s="45" t="str">
        <f t="shared" si="43"/>
        <v>SP</v>
      </c>
      <c r="BC299" s="45">
        <v>930</v>
      </c>
      <c r="BD299" s="45">
        <v>294</v>
      </c>
      <c r="BE299" s="45"/>
      <c r="BF299" s="45" t="str">
        <f t="shared" si="44"/>
        <v>Unlikely</v>
      </c>
      <c r="BG299" s="45"/>
      <c r="BH299" s="45">
        <f>INDEX(Table5[[#All],[Ovr]],MATCH(Table3[[#This Row],[PID]],Table5[[#All],[PID]],0))</f>
        <v>443</v>
      </c>
      <c r="BI299" s="45" t="str">
        <f>INDEX(Table5[[#All],[Rnd]],MATCH(Table3[[#This Row],[PID]],Table5[[#All],[PID]],0))</f>
        <v>14</v>
      </c>
      <c r="BJ299" s="45">
        <f>INDEX(Table5[[#All],[Pick]],MATCH(Table3[[#This Row],[PID]],Table5[[#All],[PID]],0))</f>
        <v>10</v>
      </c>
      <c r="BK299" s="45" t="str">
        <f>INDEX(Table5[[#All],[Team]],MATCH(Table3[[#This Row],[PID]],Table5[[#All],[PID]],0))</f>
        <v>London Underground</v>
      </c>
      <c r="BL299" s="45" t="str">
        <f>IF(OR(Table3[[#This Row],[POS]]="SP",Table3[[#This Row],[POS]]="RP",Table3[[#This Row],[POS]]="CL"),"P",INDEX(Batters[[#All],[zScore]],MATCH(Table3[[#This Row],[PID]],Batters[[#All],[PID]],0)))</f>
        <v>P</v>
      </c>
    </row>
    <row r="300" spans="1:64" ht="15" customHeight="1" x14ac:dyDescent="0.3">
      <c r="A300" s="40">
        <v>20852</v>
      </c>
      <c r="B300" s="40" t="s">
        <v>380</v>
      </c>
      <c r="C300" s="40" t="s">
        <v>144</v>
      </c>
      <c r="D300" s="40" t="s">
        <v>157</v>
      </c>
      <c r="E300" s="40">
        <v>17</v>
      </c>
      <c r="F300" s="40" t="s">
        <v>42</v>
      </c>
      <c r="G300" s="40" t="s">
        <v>42</v>
      </c>
      <c r="H300" s="41" t="s">
        <v>561</v>
      </c>
      <c r="I300" s="42" t="s">
        <v>43</v>
      </c>
      <c r="J300" s="40" t="s">
        <v>44</v>
      </c>
      <c r="K300" s="41" t="s">
        <v>43</v>
      </c>
      <c r="L300" s="40">
        <v>1</v>
      </c>
      <c r="M300" s="40">
        <v>1</v>
      </c>
      <c r="N300" s="41">
        <v>1</v>
      </c>
      <c r="O300" s="40">
        <v>4</v>
      </c>
      <c r="P300" s="40">
        <v>1</v>
      </c>
      <c r="Q300" s="41">
        <v>4</v>
      </c>
      <c r="R300" s="40">
        <v>2</v>
      </c>
      <c r="S300" s="40">
        <v>4</v>
      </c>
      <c r="T300" s="40">
        <v>1</v>
      </c>
      <c r="U300" s="40">
        <v>2</v>
      </c>
      <c r="V300" s="40">
        <v>1</v>
      </c>
      <c r="W300" s="40">
        <v>5</v>
      </c>
      <c r="X300" s="40" t="s">
        <v>45</v>
      </c>
      <c r="Y300" s="40" t="s">
        <v>45</v>
      </c>
      <c r="Z300" s="40" t="s">
        <v>45</v>
      </c>
      <c r="AA300" s="40" t="s">
        <v>45</v>
      </c>
      <c r="AB300" s="40" t="s">
        <v>45</v>
      </c>
      <c r="AC300" s="40" t="s">
        <v>45</v>
      </c>
      <c r="AD300" s="40" t="s">
        <v>45</v>
      </c>
      <c r="AE300" s="40" t="s">
        <v>45</v>
      </c>
      <c r="AF300" s="40" t="s">
        <v>45</v>
      </c>
      <c r="AG300" s="40" t="s">
        <v>45</v>
      </c>
      <c r="AH300" s="40" t="s">
        <v>45</v>
      </c>
      <c r="AI300" s="40" t="s">
        <v>45</v>
      </c>
      <c r="AJ300" s="40" t="s">
        <v>45</v>
      </c>
      <c r="AK300" s="40" t="s">
        <v>45</v>
      </c>
      <c r="AL300" s="40" t="s">
        <v>45</v>
      </c>
      <c r="AM300" s="40" t="s">
        <v>45</v>
      </c>
      <c r="AN300" s="40" t="s">
        <v>45</v>
      </c>
      <c r="AO300" s="41" t="s">
        <v>45</v>
      </c>
      <c r="AP300" s="40" t="s">
        <v>65</v>
      </c>
      <c r="AQ300" s="40">
        <v>10</v>
      </c>
      <c r="AR300" s="48" t="s">
        <v>326</v>
      </c>
      <c r="AS300" s="43" t="s">
        <v>45</v>
      </c>
      <c r="AT300" s="43" t="s">
        <v>103</v>
      </c>
      <c r="AU300" s="44">
        <f t="shared" si="39"/>
        <v>-2.7014842379675978</v>
      </c>
      <c r="AV300" s="44">
        <f t="shared" si="40"/>
        <v>-0.94495381554067481</v>
      </c>
      <c r="AW300" s="45">
        <f t="shared" si="41"/>
        <v>3</v>
      </c>
      <c r="AX300" s="45">
        <f t="shared" si="42"/>
        <v>0</v>
      </c>
      <c r="AY300" s="46">
        <f>VLOOKUP(AP300,COND!$A$10:$B$32,2,FALSE)</f>
        <v>0.95</v>
      </c>
      <c r="AZ300" s="44">
        <f>($AU$3*AU300+$AV$3*AV300+$AW$3*AW300+$AX$3*AX300)*AY300*IF(AQ300&lt;5,0.95,IF(AQ300&lt;7,0.975,1))+$I$3*VLOOKUP(I300,COND!$A$2:$E$7,4,FALSE)+$J$3*VLOOKUP(J300,COND!$A$2:$E$7,2,FALSE)+$K$3*VLOOKUP(K300,COND!$A$2:$E$7,3,FALSE)+IF(BB300="SP",$BB$3,0)+IF($AW300&lt;3,-5,0)+IF(AND($B$2&gt;0,$E300&lt;20),$B$2*25,0)</f>
        <v>34.657595499513334</v>
      </c>
      <c r="BA300" s="47">
        <f t="shared" si="45"/>
        <v>-0.22394519915753355</v>
      </c>
      <c r="BB300" s="45" t="str">
        <f t="shared" si="43"/>
        <v>SP</v>
      </c>
      <c r="BC300" s="45">
        <v>930</v>
      </c>
      <c r="BD300" s="45">
        <v>295</v>
      </c>
      <c r="BE300" s="45"/>
      <c r="BF300" s="45" t="str">
        <f t="shared" si="44"/>
        <v>Unlikely</v>
      </c>
      <c r="BG300" s="45"/>
      <c r="BH300" s="45">
        <f>INDEX(Table5[[#All],[Ovr]],MATCH(Table3[[#This Row],[PID]],Table5[[#All],[PID]],0))</f>
        <v>447</v>
      </c>
      <c r="BI300" s="45" t="str">
        <f>INDEX(Table5[[#All],[Rnd]],MATCH(Table3[[#This Row],[PID]],Table5[[#All],[PID]],0))</f>
        <v>14</v>
      </c>
      <c r="BJ300" s="45">
        <f>INDEX(Table5[[#All],[Pick]],MATCH(Table3[[#This Row],[PID]],Table5[[#All],[PID]],0))</f>
        <v>14</v>
      </c>
      <c r="BK300" s="45" t="str">
        <f>INDEX(Table5[[#All],[Team]],MATCH(Table3[[#This Row],[PID]],Table5[[#All],[PID]],0))</f>
        <v>San Antonio Calzones of Laredo</v>
      </c>
      <c r="BL300" s="45" t="str">
        <f>IF(OR(Table3[[#This Row],[POS]]="SP",Table3[[#This Row],[POS]]="RP",Table3[[#This Row],[POS]]="CL"),"P",INDEX(Batters[[#All],[zScore]],MATCH(Table3[[#This Row],[PID]],Batters[[#All],[PID]],0)))</f>
        <v>P</v>
      </c>
    </row>
    <row r="301" spans="1:64" ht="15" customHeight="1" x14ac:dyDescent="0.3">
      <c r="A301" s="40">
        <v>11958</v>
      </c>
      <c r="B301" s="40" t="s">
        <v>24</v>
      </c>
      <c r="C301" s="40" t="s">
        <v>397</v>
      </c>
      <c r="D301" s="40" t="s">
        <v>1377</v>
      </c>
      <c r="E301" s="40">
        <v>17</v>
      </c>
      <c r="F301" s="40" t="s">
        <v>53</v>
      </c>
      <c r="G301" s="40" t="s">
        <v>53</v>
      </c>
      <c r="H301" s="41" t="s">
        <v>561</v>
      </c>
      <c r="I301" s="42" t="s">
        <v>43</v>
      </c>
      <c r="J301" s="40" t="s">
        <v>44</v>
      </c>
      <c r="K301" s="41" t="s">
        <v>43</v>
      </c>
      <c r="L301" s="40">
        <v>2</v>
      </c>
      <c r="M301" s="40">
        <v>2</v>
      </c>
      <c r="N301" s="41">
        <v>1</v>
      </c>
      <c r="O301" s="40">
        <v>4</v>
      </c>
      <c r="P301" s="40">
        <v>2</v>
      </c>
      <c r="Q301" s="41">
        <v>3</v>
      </c>
      <c r="R301" s="40">
        <v>4</v>
      </c>
      <c r="S301" s="40">
        <v>5</v>
      </c>
      <c r="T301" s="40">
        <v>2</v>
      </c>
      <c r="U301" s="40">
        <v>4</v>
      </c>
      <c r="V301" s="40" t="s">
        <v>45</v>
      </c>
      <c r="W301" s="40" t="s">
        <v>45</v>
      </c>
      <c r="X301" s="40">
        <v>2</v>
      </c>
      <c r="Y301" s="40">
        <v>3</v>
      </c>
      <c r="Z301" s="40" t="s">
        <v>45</v>
      </c>
      <c r="AA301" s="40" t="s">
        <v>45</v>
      </c>
      <c r="AB301" s="40">
        <v>3</v>
      </c>
      <c r="AC301" s="40">
        <v>6</v>
      </c>
      <c r="AD301" s="40" t="s">
        <v>45</v>
      </c>
      <c r="AE301" s="40" t="s">
        <v>45</v>
      </c>
      <c r="AF301" s="40" t="s">
        <v>45</v>
      </c>
      <c r="AG301" s="40" t="s">
        <v>45</v>
      </c>
      <c r="AH301" s="40" t="s">
        <v>45</v>
      </c>
      <c r="AI301" s="40" t="s">
        <v>45</v>
      </c>
      <c r="AJ301" s="40" t="s">
        <v>45</v>
      </c>
      <c r="AK301" s="40" t="s">
        <v>45</v>
      </c>
      <c r="AL301" s="40" t="s">
        <v>45</v>
      </c>
      <c r="AM301" s="40" t="s">
        <v>45</v>
      </c>
      <c r="AN301" s="40" t="s">
        <v>45</v>
      </c>
      <c r="AO301" s="41" t="s">
        <v>45</v>
      </c>
      <c r="AP301" s="40" t="s">
        <v>57</v>
      </c>
      <c r="AQ301" s="40">
        <v>10</v>
      </c>
      <c r="AR301" s="48" t="s">
        <v>326</v>
      </c>
      <c r="AS301" s="43" t="s">
        <v>572</v>
      </c>
      <c r="AT301" s="43" t="s">
        <v>103</v>
      </c>
      <c r="AU301" s="44">
        <f t="shared" si="39"/>
        <v>-2.311361197028369</v>
      </c>
      <c r="AV301" s="44">
        <f t="shared" si="40"/>
        <v>-0.99184266516472974</v>
      </c>
      <c r="AW301" s="45">
        <f t="shared" si="41"/>
        <v>4</v>
      </c>
      <c r="AX301" s="45">
        <f t="shared" si="42"/>
        <v>1</v>
      </c>
      <c r="AY301" s="46">
        <f>VLOOKUP(AP301,COND!$A$10:$B$32,2,FALSE)</f>
        <v>1</v>
      </c>
      <c r="AZ301" s="44">
        <f>($AU$3*AU301+$AV$3*AV301+$AW$3*AW301+$AX$3*AX301)*AY301*IF(AQ301&lt;5,0.95,IF(AQ301&lt;7,0.975,1))+$I$3*VLOOKUP(I301,COND!$A$2:$E$7,4,FALSE)+$J$3*VLOOKUP(J301,COND!$A$2:$E$7,2,FALSE)+$K$3*VLOOKUP(K301,COND!$A$2:$E$7,3,FALSE)+IF(BB301="SP",$BB$3,0)+IF($AW301&lt;3,-5,0)+IF(AND($B$2&gt;0,$E301&lt;20),$B$2*25,0)</f>
        <v>34.650874457299729</v>
      </c>
      <c r="BA301" s="47">
        <f t="shared" si="45"/>
        <v>-0.22442378463137844</v>
      </c>
      <c r="BB301" s="45" t="str">
        <f t="shared" si="43"/>
        <v>SP</v>
      </c>
      <c r="BC301" s="45">
        <v>930</v>
      </c>
      <c r="BD301" s="45">
        <v>296</v>
      </c>
      <c r="BE301" s="45"/>
      <c r="BF301" s="45" t="str">
        <f t="shared" si="44"/>
        <v>Unlikely</v>
      </c>
      <c r="BG301" s="45"/>
      <c r="BH301" s="45">
        <f>INDEX(Table5[[#All],[Ovr]],MATCH(Table3[[#This Row],[PID]],Table5[[#All],[PID]],0))</f>
        <v>434</v>
      </c>
      <c r="BI301" s="45" t="str">
        <f>INDEX(Table5[[#All],[Rnd]],MATCH(Table3[[#This Row],[PID]],Table5[[#All],[PID]],0))</f>
        <v>14</v>
      </c>
      <c r="BJ301" s="45">
        <f>INDEX(Table5[[#All],[Pick]],MATCH(Table3[[#This Row],[PID]],Table5[[#All],[PID]],0))</f>
        <v>1</v>
      </c>
      <c r="BK301" s="45" t="str">
        <f>INDEX(Table5[[#All],[Team]],MATCH(Table3[[#This Row],[PID]],Table5[[#All],[PID]],0))</f>
        <v>Yuma Arroyos</v>
      </c>
      <c r="BL301" s="45" t="str">
        <f>IF(OR(Table3[[#This Row],[POS]]="SP",Table3[[#This Row],[POS]]="RP",Table3[[#This Row],[POS]]="CL"),"P",INDEX(Batters[[#All],[zScore]],MATCH(Table3[[#This Row],[PID]],Batters[[#All],[PID]],0)))</f>
        <v>P</v>
      </c>
    </row>
    <row r="302" spans="1:64" ht="15" customHeight="1" x14ac:dyDescent="0.3">
      <c r="A302" s="40">
        <v>12666</v>
      </c>
      <c r="B302" s="40" t="s">
        <v>380</v>
      </c>
      <c r="C302" s="40" t="s">
        <v>677</v>
      </c>
      <c r="D302" s="40" t="s">
        <v>1387</v>
      </c>
      <c r="E302" s="40">
        <v>17</v>
      </c>
      <c r="F302" s="40" t="s">
        <v>42</v>
      </c>
      <c r="G302" s="40" t="s">
        <v>53</v>
      </c>
      <c r="H302" s="41" t="s">
        <v>561</v>
      </c>
      <c r="I302" s="42" t="s">
        <v>43</v>
      </c>
      <c r="J302" s="40" t="s">
        <v>44</v>
      </c>
      <c r="K302" s="41" t="s">
        <v>43</v>
      </c>
      <c r="L302" s="40">
        <v>2</v>
      </c>
      <c r="M302" s="40">
        <v>2</v>
      </c>
      <c r="N302" s="41">
        <v>1</v>
      </c>
      <c r="O302" s="40">
        <v>4</v>
      </c>
      <c r="P302" s="40">
        <v>2</v>
      </c>
      <c r="Q302" s="41">
        <v>3</v>
      </c>
      <c r="R302" s="40">
        <v>4</v>
      </c>
      <c r="S302" s="40">
        <v>5</v>
      </c>
      <c r="T302" s="40">
        <v>1</v>
      </c>
      <c r="U302" s="40">
        <v>4</v>
      </c>
      <c r="V302" s="40" t="s">
        <v>45</v>
      </c>
      <c r="W302" s="40" t="s">
        <v>45</v>
      </c>
      <c r="X302" s="40" t="s">
        <v>45</v>
      </c>
      <c r="Y302" s="40" t="s">
        <v>45</v>
      </c>
      <c r="Z302" s="40" t="s">
        <v>45</v>
      </c>
      <c r="AA302" s="40" t="s">
        <v>45</v>
      </c>
      <c r="AB302" s="40">
        <v>3</v>
      </c>
      <c r="AC302" s="40">
        <v>3</v>
      </c>
      <c r="AD302" s="40" t="s">
        <v>45</v>
      </c>
      <c r="AE302" s="40" t="s">
        <v>45</v>
      </c>
      <c r="AF302" s="40" t="s">
        <v>45</v>
      </c>
      <c r="AG302" s="40" t="s">
        <v>45</v>
      </c>
      <c r="AH302" s="40" t="s">
        <v>45</v>
      </c>
      <c r="AI302" s="40" t="s">
        <v>45</v>
      </c>
      <c r="AJ302" s="40" t="s">
        <v>45</v>
      </c>
      <c r="AK302" s="40" t="s">
        <v>45</v>
      </c>
      <c r="AL302" s="40">
        <v>2</v>
      </c>
      <c r="AM302" s="40">
        <v>6</v>
      </c>
      <c r="AN302" s="40" t="s">
        <v>45</v>
      </c>
      <c r="AO302" s="41" t="s">
        <v>45</v>
      </c>
      <c r="AP302" s="40" t="s">
        <v>57</v>
      </c>
      <c r="AQ302" s="40">
        <v>8</v>
      </c>
      <c r="AR302" s="48" t="s">
        <v>326</v>
      </c>
      <c r="AS302" s="43" t="s">
        <v>568</v>
      </c>
      <c r="AT302" s="43" t="s">
        <v>103</v>
      </c>
      <c r="AU302" s="44">
        <f t="shared" si="39"/>
        <v>-2.311361197028369</v>
      </c>
      <c r="AV302" s="44">
        <f t="shared" si="40"/>
        <v>-0.99184266516472974</v>
      </c>
      <c r="AW302" s="45">
        <f t="shared" si="41"/>
        <v>4</v>
      </c>
      <c r="AX302" s="45">
        <f t="shared" si="42"/>
        <v>1</v>
      </c>
      <c r="AY302" s="46">
        <f>VLOOKUP(AP302,COND!$A$10:$B$32,2,FALSE)</f>
        <v>1</v>
      </c>
      <c r="AZ302" s="44">
        <f>($AU$3*AU302+$AV$3*AV302+$AW$3*AW302+$AX$3*AX302)*AY302*IF(AQ302&lt;5,0.95,IF(AQ302&lt;7,0.975,1))+$I$3*VLOOKUP(I302,COND!$A$2:$E$7,4,FALSE)+$J$3*VLOOKUP(J302,COND!$A$2:$E$7,2,FALSE)+$K$3*VLOOKUP(K302,COND!$A$2:$E$7,3,FALSE)+IF(BB302="SP",$BB$3,0)+IF($AW302&lt;3,-5,0)+IF(AND($B$2&gt;0,$E302&lt;20),$B$2*25,0)</f>
        <v>34.650874457299729</v>
      </c>
      <c r="BA302" s="47">
        <f t="shared" si="45"/>
        <v>-0.22442378463137844</v>
      </c>
      <c r="BB302" s="45" t="str">
        <f t="shared" si="43"/>
        <v>SP</v>
      </c>
      <c r="BC302" s="45">
        <v>930</v>
      </c>
      <c r="BD302" s="45">
        <v>297</v>
      </c>
      <c r="BE302" s="45"/>
      <c r="BF302" s="45" t="str">
        <f t="shared" si="44"/>
        <v>Unlikely</v>
      </c>
      <c r="BG302" s="45"/>
      <c r="BH302" s="45">
        <f>INDEX(Table5[[#All],[Ovr]],MATCH(Table3[[#This Row],[PID]],Table5[[#All],[PID]],0))</f>
        <v>382</v>
      </c>
      <c r="BI302" s="45" t="str">
        <f>INDEX(Table5[[#All],[Rnd]],MATCH(Table3[[#This Row],[PID]],Table5[[#All],[PID]],0))</f>
        <v>12</v>
      </c>
      <c r="BJ302" s="45">
        <f>INDEX(Table5[[#All],[Pick]],MATCH(Table3[[#This Row],[PID]],Table5[[#All],[PID]],0))</f>
        <v>17</v>
      </c>
      <c r="BK302" s="45" t="str">
        <f>INDEX(Table5[[#All],[Team]],MATCH(Table3[[#This Row],[PID]],Table5[[#All],[PID]],0))</f>
        <v>Duluth Warriors</v>
      </c>
      <c r="BL302" s="45" t="str">
        <f>IF(OR(Table3[[#This Row],[POS]]="SP",Table3[[#This Row],[POS]]="RP",Table3[[#This Row],[POS]]="CL"),"P",INDEX(Batters[[#All],[zScore]],MATCH(Table3[[#This Row],[PID]],Batters[[#All],[PID]],0)))</f>
        <v>P</v>
      </c>
    </row>
    <row r="303" spans="1:64" ht="15" customHeight="1" x14ac:dyDescent="0.3">
      <c r="A303" s="40">
        <v>5137</v>
      </c>
      <c r="B303" s="40" t="s">
        <v>380</v>
      </c>
      <c r="C303" s="40" t="s">
        <v>1307</v>
      </c>
      <c r="D303" s="40" t="s">
        <v>1140</v>
      </c>
      <c r="E303" s="40">
        <v>21</v>
      </c>
      <c r="F303" s="40" t="s">
        <v>42</v>
      </c>
      <c r="G303" s="40" t="s">
        <v>42</v>
      </c>
      <c r="H303" s="41" t="s">
        <v>561</v>
      </c>
      <c r="I303" s="42" t="s">
        <v>43</v>
      </c>
      <c r="J303" s="40" t="s">
        <v>44</v>
      </c>
      <c r="K303" s="41" t="s">
        <v>43</v>
      </c>
      <c r="L303" s="40">
        <v>2</v>
      </c>
      <c r="M303" s="40">
        <v>2</v>
      </c>
      <c r="N303" s="41">
        <v>1</v>
      </c>
      <c r="O303" s="40">
        <v>5</v>
      </c>
      <c r="P303" s="40">
        <v>2</v>
      </c>
      <c r="Q303" s="41">
        <v>3</v>
      </c>
      <c r="R303" s="40" t="s">
        <v>45</v>
      </c>
      <c r="S303" s="40" t="s">
        <v>45</v>
      </c>
      <c r="T303" s="40">
        <v>1</v>
      </c>
      <c r="U303" s="40">
        <v>1</v>
      </c>
      <c r="V303" s="40" t="s">
        <v>45</v>
      </c>
      <c r="W303" s="40" t="s">
        <v>45</v>
      </c>
      <c r="X303" s="40">
        <v>3</v>
      </c>
      <c r="Y303" s="40">
        <v>7</v>
      </c>
      <c r="Z303" s="40" t="s">
        <v>45</v>
      </c>
      <c r="AA303" s="40" t="s">
        <v>45</v>
      </c>
      <c r="AB303" s="40" t="s">
        <v>45</v>
      </c>
      <c r="AC303" s="40" t="s">
        <v>45</v>
      </c>
      <c r="AD303" s="40">
        <v>3</v>
      </c>
      <c r="AE303" s="40">
        <v>6</v>
      </c>
      <c r="AF303" s="40" t="s">
        <v>45</v>
      </c>
      <c r="AG303" s="40" t="s">
        <v>45</v>
      </c>
      <c r="AH303" s="40" t="s">
        <v>45</v>
      </c>
      <c r="AI303" s="40" t="s">
        <v>45</v>
      </c>
      <c r="AJ303" s="40" t="s">
        <v>45</v>
      </c>
      <c r="AK303" s="40" t="s">
        <v>45</v>
      </c>
      <c r="AL303" s="40" t="s">
        <v>45</v>
      </c>
      <c r="AM303" s="40" t="s">
        <v>45</v>
      </c>
      <c r="AN303" s="40" t="s">
        <v>45</v>
      </c>
      <c r="AO303" s="41" t="s">
        <v>45</v>
      </c>
      <c r="AP303" s="40" t="s">
        <v>328</v>
      </c>
      <c r="AQ303" s="40">
        <v>6</v>
      </c>
      <c r="AR303" s="48" t="s">
        <v>326</v>
      </c>
      <c r="AS303" s="43" t="s">
        <v>45</v>
      </c>
      <c r="AT303" s="43" t="s">
        <v>103</v>
      </c>
      <c r="AU303" s="44">
        <f t="shared" si="39"/>
        <v>-2.311361197028369</v>
      </c>
      <c r="AV303" s="44">
        <f t="shared" si="40"/>
        <v>-0.79715134065555615</v>
      </c>
      <c r="AW303" s="45">
        <f t="shared" si="41"/>
        <v>3</v>
      </c>
      <c r="AX303" s="45">
        <f t="shared" si="42"/>
        <v>2</v>
      </c>
      <c r="AY303" s="46">
        <f>VLOOKUP(AP303,COND!$A$10:$B$32,2,FALSE)</f>
        <v>1</v>
      </c>
      <c r="AZ303" s="44">
        <f>($AU$3*AU303+$AV$3*AV303+$AW$3*AW303+$AX$3*AX303)*AY303*IF(AQ303&lt;5,0.95,IF(AQ303&lt;7,0.975,1))+$I$3*VLOOKUP(I303,COND!$A$2:$E$7,4,FALSE)+$J$3*VLOOKUP(J303,COND!$A$2:$E$7,2,FALSE)+$K$3*VLOOKUP(K303,COND!$A$2:$E$7,3,FALSE)+IF(BB303="SP",$BB$3,0)+IF($AW303&lt;3,-5,0)+IF(AND($B$2&gt;0,$E303&lt;20),$B$2*25,0)</f>
        <v>34.604833423796123</v>
      </c>
      <c r="BA303" s="47">
        <f t="shared" si="45"/>
        <v>-0.22770223001757545</v>
      </c>
      <c r="BB303" s="45" t="str">
        <f t="shared" si="43"/>
        <v>SP</v>
      </c>
      <c r="BC303" s="45">
        <v>930</v>
      </c>
      <c r="BD303" s="45">
        <v>298</v>
      </c>
      <c r="BE303" s="45"/>
      <c r="BF303" s="45" t="str">
        <f t="shared" si="44"/>
        <v>Unlikely</v>
      </c>
      <c r="BG303" s="45"/>
      <c r="BH303" s="45">
        <f>INDEX(Table5[[#All],[Ovr]],MATCH(Table3[[#This Row],[PID]],Table5[[#All],[PID]],0))</f>
        <v>329</v>
      </c>
      <c r="BI303" s="45" t="str">
        <f>INDEX(Table5[[#All],[Rnd]],MATCH(Table3[[#This Row],[PID]],Table5[[#All],[PID]],0))</f>
        <v>10</v>
      </c>
      <c r="BJ303" s="45">
        <f>INDEX(Table5[[#All],[Pick]],MATCH(Table3[[#This Row],[PID]],Table5[[#All],[PID]],0))</f>
        <v>32</v>
      </c>
      <c r="BK303" s="45" t="str">
        <f>INDEX(Table5[[#All],[Team]],MATCH(Table3[[#This Row],[PID]],Table5[[#All],[PID]],0))</f>
        <v>Florida Farstriders</v>
      </c>
      <c r="BL303" s="45" t="str">
        <f>IF(OR(Table3[[#This Row],[POS]]="SP",Table3[[#This Row],[POS]]="RP",Table3[[#This Row],[POS]]="CL"),"P",INDEX(Batters[[#All],[zScore]],MATCH(Table3[[#This Row],[PID]],Batters[[#All],[PID]],0)))</f>
        <v>P</v>
      </c>
    </row>
    <row r="304" spans="1:64" ht="15" customHeight="1" x14ac:dyDescent="0.3">
      <c r="A304" s="40">
        <v>5209</v>
      </c>
      <c r="B304" s="40" t="s">
        <v>24</v>
      </c>
      <c r="C304" s="40" t="s">
        <v>130</v>
      </c>
      <c r="D304" s="40" t="s">
        <v>1548</v>
      </c>
      <c r="E304" s="40">
        <v>21</v>
      </c>
      <c r="F304" s="40" t="s">
        <v>42</v>
      </c>
      <c r="G304" s="40" t="s">
        <v>42</v>
      </c>
      <c r="H304" s="41" t="s">
        <v>561</v>
      </c>
      <c r="I304" s="42" t="s">
        <v>43</v>
      </c>
      <c r="J304" s="40" t="s">
        <v>44</v>
      </c>
      <c r="K304" s="41" t="s">
        <v>43</v>
      </c>
      <c r="L304" s="40">
        <v>2</v>
      </c>
      <c r="M304" s="40">
        <v>2</v>
      </c>
      <c r="N304" s="41">
        <v>2</v>
      </c>
      <c r="O304" s="40">
        <v>4</v>
      </c>
      <c r="P304" s="40">
        <v>2</v>
      </c>
      <c r="Q304" s="41">
        <v>4</v>
      </c>
      <c r="R304" s="40">
        <v>5</v>
      </c>
      <c r="S304" s="40">
        <v>7</v>
      </c>
      <c r="T304" s="40">
        <v>1</v>
      </c>
      <c r="U304" s="40">
        <v>5</v>
      </c>
      <c r="V304" s="40">
        <v>2</v>
      </c>
      <c r="W304" s="40">
        <v>2</v>
      </c>
      <c r="X304" s="40">
        <v>3</v>
      </c>
      <c r="Y304" s="40">
        <v>5</v>
      </c>
      <c r="Z304" s="40" t="s">
        <v>45</v>
      </c>
      <c r="AA304" s="40" t="s">
        <v>45</v>
      </c>
      <c r="AB304" s="40" t="s">
        <v>45</v>
      </c>
      <c r="AC304" s="40" t="s">
        <v>45</v>
      </c>
      <c r="AD304" s="40" t="s">
        <v>45</v>
      </c>
      <c r="AE304" s="40" t="s">
        <v>45</v>
      </c>
      <c r="AF304" s="40" t="s">
        <v>45</v>
      </c>
      <c r="AG304" s="40" t="s">
        <v>45</v>
      </c>
      <c r="AH304" s="40" t="s">
        <v>45</v>
      </c>
      <c r="AI304" s="40" t="s">
        <v>45</v>
      </c>
      <c r="AJ304" s="40" t="s">
        <v>45</v>
      </c>
      <c r="AK304" s="40" t="s">
        <v>45</v>
      </c>
      <c r="AL304" s="40" t="s">
        <v>45</v>
      </c>
      <c r="AM304" s="40" t="s">
        <v>45</v>
      </c>
      <c r="AN304" s="40" t="s">
        <v>45</v>
      </c>
      <c r="AO304" s="41" t="s">
        <v>45</v>
      </c>
      <c r="AP304" s="40" t="s">
        <v>60</v>
      </c>
      <c r="AQ304" s="40">
        <v>6</v>
      </c>
      <c r="AR304" s="48" t="s">
        <v>14</v>
      </c>
      <c r="AS304" s="43" t="s">
        <v>45</v>
      </c>
      <c r="AT304" s="43" t="s">
        <v>103</v>
      </c>
      <c r="AU304" s="44">
        <f t="shared" si="39"/>
        <v>-2.0690406309742588</v>
      </c>
      <c r="AV304" s="44">
        <f t="shared" si="40"/>
        <v>-0.74952209911061918</v>
      </c>
      <c r="AW304" s="45">
        <f t="shared" si="41"/>
        <v>4</v>
      </c>
      <c r="AX304" s="45">
        <f t="shared" si="42"/>
        <v>1</v>
      </c>
      <c r="AY304" s="46">
        <f>VLOOKUP(AP304,COND!$A$10:$B$32,2,FALSE)</f>
        <v>1.0249999999999999</v>
      </c>
      <c r="AZ304" s="44">
        <f>($AU$3*AU304+$AV$3*AV304+$AW$3*AW304+$AX$3*AX304)*AY304*IF(AQ304&lt;5,0.95,IF(AQ304&lt;7,0.975,1))+$I$3*VLOOKUP(I304,COND!$A$2:$E$7,4,FALSE)+$J$3*VLOOKUP(J304,COND!$A$2:$E$7,2,FALSE)+$K$3*VLOOKUP(K304,COND!$A$2:$E$7,3,FALSE)+IF(BB304="SP",$BB$3,0)+IF($AW304&lt;3,-5,0)+IF(AND($B$2&gt;0,$E304&lt;20),$B$2*25,0)</f>
        <v>34.553346297910522</v>
      </c>
      <c r="BA304" s="47">
        <f t="shared" si="45"/>
        <v>-0.23136847548304643</v>
      </c>
      <c r="BB304" s="45" t="str">
        <f t="shared" si="43"/>
        <v>SP</v>
      </c>
      <c r="BC304" s="45">
        <v>930</v>
      </c>
      <c r="BD304" s="45">
        <v>299</v>
      </c>
      <c r="BE304" s="45"/>
      <c r="BF304" s="45" t="str">
        <f t="shared" si="44"/>
        <v>Unlikely</v>
      </c>
      <c r="BG304" s="45"/>
      <c r="BH304" s="45">
        <f>INDEX(Table5[[#All],[Ovr]],MATCH(Table3[[#This Row],[PID]],Table5[[#All],[PID]],0))</f>
        <v>450</v>
      </c>
      <c r="BI304" s="45" t="str">
        <f>INDEX(Table5[[#All],[Rnd]],MATCH(Table3[[#This Row],[PID]],Table5[[#All],[PID]],0))</f>
        <v>14</v>
      </c>
      <c r="BJ304" s="45">
        <f>INDEX(Table5[[#All],[Pick]],MATCH(Table3[[#This Row],[PID]],Table5[[#All],[PID]],0))</f>
        <v>17</v>
      </c>
      <c r="BK304" s="45" t="str">
        <f>INDEX(Table5[[#All],[Team]],MATCH(Table3[[#This Row],[PID]],Table5[[#All],[PID]],0))</f>
        <v>Duluth Warriors</v>
      </c>
      <c r="BL304" s="45" t="str">
        <f>IF(OR(Table3[[#This Row],[POS]]="SP",Table3[[#This Row],[POS]]="RP",Table3[[#This Row],[POS]]="CL"),"P",INDEX(Batters[[#All],[zScore]],MATCH(Table3[[#This Row],[PID]],Batters[[#All],[PID]],0)))</f>
        <v>P</v>
      </c>
    </row>
    <row r="305" spans="1:64" ht="15" customHeight="1" x14ac:dyDescent="0.3">
      <c r="A305" s="40">
        <v>20705</v>
      </c>
      <c r="B305" s="40" t="s">
        <v>380</v>
      </c>
      <c r="C305" s="40" t="s">
        <v>1001</v>
      </c>
      <c r="D305" s="40" t="s">
        <v>1589</v>
      </c>
      <c r="E305" s="40">
        <v>17</v>
      </c>
      <c r="F305" s="40" t="s">
        <v>42</v>
      </c>
      <c r="G305" s="40" t="s">
        <v>42</v>
      </c>
      <c r="H305" s="41" t="s">
        <v>561</v>
      </c>
      <c r="I305" s="42" t="s">
        <v>43</v>
      </c>
      <c r="J305" s="40" t="s">
        <v>44</v>
      </c>
      <c r="K305" s="41" t="s">
        <v>43</v>
      </c>
      <c r="L305" s="40">
        <v>1</v>
      </c>
      <c r="M305" s="40">
        <v>1</v>
      </c>
      <c r="N305" s="41">
        <v>1</v>
      </c>
      <c r="O305" s="40">
        <v>3</v>
      </c>
      <c r="P305" s="40">
        <v>2</v>
      </c>
      <c r="Q305" s="41">
        <v>4</v>
      </c>
      <c r="R305" s="40">
        <v>3</v>
      </c>
      <c r="S305" s="40">
        <v>4</v>
      </c>
      <c r="T305" s="40" t="s">
        <v>45</v>
      </c>
      <c r="U305" s="40" t="s">
        <v>45</v>
      </c>
      <c r="V305" s="40">
        <v>2</v>
      </c>
      <c r="W305" s="40">
        <v>5</v>
      </c>
      <c r="X305" s="40" t="s">
        <v>45</v>
      </c>
      <c r="Y305" s="40" t="s">
        <v>45</v>
      </c>
      <c r="Z305" s="40" t="s">
        <v>45</v>
      </c>
      <c r="AA305" s="40" t="s">
        <v>45</v>
      </c>
      <c r="AB305" s="40" t="s">
        <v>45</v>
      </c>
      <c r="AC305" s="40" t="s">
        <v>45</v>
      </c>
      <c r="AD305" s="40" t="s">
        <v>45</v>
      </c>
      <c r="AE305" s="40" t="s">
        <v>45</v>
      </c>
      <c r="AF305" s="40" t="s">
        <v>45</v>
      </c>
      <c r="AG305" s="40" t="s">
        <v>45</v>
      </c>
      <c r="AH305" s="40" t="s">
        <v>45</v>
      </c>
      <c r="AI305" s="40" t="s">
        <v>45</v>
      </c>
      <c r="AJ305" s="40" t="s">
        <v>45</v>
      </c>
      <c r="AK305" s="40" t="s">
        <v>45</v>
      </c>
      <c r="AL305" s="40">
        <v>1</v>
      </c>
      <c r="AM305" s="40">
        <v>4</v>
      </c>
      <c r="AN305" s="40" t="s">
        <v>45</v>
      </c>
      <c r="AO305" s="41" t="s">
        <v>45</v>
      </c>
      <c r="AP305" s="40" t="s">
        <v>64</v>
      </c>
      <c r="AQ305" s="40">
        <v>6</v>
      </c>
      <c r="AR305" s="48" t="s">
        <v>326</v>
      </c>
      <c r="AS305" s="43" t="s">
        <v>572</v>
      </c>
      <c r="AT305" s="43" t="s">
        <v>103</v>
      </c>
      <c r="AU305" s="44">
        <f t="shared" si="39"/>
        <v>-2.7014842379675978</v>
      </c>
      <c r="AV305" s="44">
        <f t="shared" si="40"/>
        <v>-0.94421342361979277</v>
      </c>
      <c r="AW305" s="45">
        <f t="shared" si="41"/>
        <v>3</v>
      </c>
      <c r="AX305" s="45">
        <f t="shared" si="42"/>
        <v>0</v>
      </c>
      <c r="AY305" s="46">
        <f>VLOOKUP(AP305,COND!$A$10:$B$32,2,FALSE)</f>
        <v>1</v>
      </c>
      <c r="AZ305" s="44">
        <f>($AU$3*AU305+$AV$3*AV305+$AW$3*AW305+$AX$3*AX305)*AY305*IF(AQ305&lt;5,0.95,IF(AQ305&lt;7,0.975,1))+$I$3*VLOOKUP(I305,COND!$A$2:$E$7,4,FALSE)+$J$3*VLOOKUP(J305,COND!$A$2:$E$7,2,FALSE)+$K$3*VLOOKUP(K305,COND!$A$2:$E$7,3,FALSE)+IF(BB305="SP",$BB$3,0)+IF($AW305&lt;3,-5,0)+IF(AND($B$2&gt;0,$E305&lt;20),$B$2*25,0)</f>
        <v>34.223548813010353</v>
      </c>
      <c r="BA305" s="47">
        <f t="shared" si="45"/>
        <v>-0.25485237583175741</v>
      </c>
      <c r="BB305" s="45" t="str">
        <f t="shared" si="43"/>
        <v>SP</v>
      </c>
      <c r="BC305" s="45">
        <v>930</v>
      </c>
      <c r="BD305" s="45">
        <v>300</v>
      </c>
      <c r="BE305" s="45"/>
      <c r="BF305" s="45" t="str">
        <f t="shared" si="44"/>
        <v>Unlikely</v>
      </c>
      <c r="BG305" s="45"/>
      <c r="BH305" s="45" t="str">
        <f>INDEX(Table5[[#All],[Ovr]],MATCH(Table3[[#This Row],[PID]],Table5[[#All],[PID]],0))</f>
        <v/>
      </c>
      <c r="BI305" s="45" t="str">
        <f>INDEX(Table5[[#All],[Rnd]],MATCH(Table3[[#This Row],[PID]],Table5[[#All],[PID]],0))</f>
        <v/>
      </c>
      <c r="BJ305" s="45" t="str">
        <f>INDEX(Table5[[#All],[Pick]],MATCH(Table3[[#This Row],[PID]],Table5[[#All],[PID]],0))</f>
        <v/>
      </c>
      <c r="BK305" s="45" t="str">
        <f>INDEX(Table5[[#All],[Team]],MATCH(Table3[[#This Row],[PID]],Table5[[#All],[PID]],0))</f>
        <v/>
      </c>
      <c r="BL305" s="45" t="str">
        <f>IF(OR(Table3[[#This Row],[POS]]="SP",Table3[[#This Row],[POS]]="RP",Table3[[#This Row],[POS]]="CL"),"P",INDEX(Batters[[#All],[zScore]],MATCH(Table3[[#This Row],[PID]],Batters[[#All],[PID]],0)))</f>
        <v>P</v>
      </c>
    </row>
    <row r="306" spans="1:64" ht="15" customHeight="1" x14ac:dyDescent="0.3">
      <c r="A306" s="40">
        <v>13309</v>
      </c>
      <c r="B306" s="40" t="s">
        <v>24</v>
      </c>
      <c r="C306" s="40" t="s">
        <v>1465</v>
      </c>
      <c r="D306" s="40" t="s">
        <v>726</v>
      </c>
      <c r="E306" s="40">
        <v>17</v>
      </c>
      <c r="F306" s="40" t="s">
        <v>53</v>
      </c>
      <c r="G306" s="40" t="s">
        <v>42</v>
      </c>
      <c r="H306" s="41" t="s">
        <v>561</v>
      </c>
      <c r="I306" s="42" t="s">
        <v>43</v>
      </c>
      <c r="J306" s="40" t="s">
        <v>44</v>
      </c>
      <c r="K306" s="41" t="s">
        <v>43</v>
      </c>
      <c r="L306" s="40">
        <v>2</v>
      </c>
      <c r="M306" s="40">
        <v>2</v>
      </c>
      <c r="N306" s="41">
        <v>1</v>
      </c>
      <c r="O306" s="40">
        <v>4</v>
      </c>
      <c r="P306" s="40">
        <v>2</v>
      </c>
      <c r="Q306" s="41">
        <v>3</v>
      </c>
      <c r="R306" s="40">
        <v>4</v>
      </c>
      <c r="S306" s="40">
        <v>5</v>
      </c>
      <c r="T306" s="40" t="s">
        <v>45</v>
      </c>
      <c r="U306" s="40" t="s">
        <v>45</v>
      </c>
      <c r="V306" s="40">
        <v>2</v>
      </c>
      <c r="W306" s="40">
        <v>6</v>
      </c>
      <c r="X306" s="40" t="s">
        <v>45</v>
      </c>
      <c r="Y306" s="40" t="s">
        <v>45</v>
      </c>
      <c r="Z306" s="40">
        <v>3</v>
      </c>
      <c r="AA306" s="40">
        <v>5</v>
      </c>
      <c r="AB306" s="40" t="s">
        <v>45</v>
      </c>
      <c r="AC306" s="40" t="s">
        <v>45</v>
      </c>
      <c r="AD306" s="40" t="s">
        <v>45</v>
      </c>
      <c r="AE306" s="40" t="s">
        <v>45</v>
      </c>
      <c r="AF306" s="40" t="s">
        <v>45</v>
      </c>
      <c r="AG306" s="40" t="s">
        <v>45</v>
      </c>
      <c r="AH306" s="40" t="s">
        <v>45</v>
      </c>
      <c r="AI306" s="40" t="s">
        <v>45</v>
      </c>
      <c r="AJ306" s="40" t="s">
        <v>45</v>
      </c>
      <c r="AK306" s="40" t="s">
        <v>45</v>
      </c>
      <c r="AL306" s="40" t="s">
        <v>45</v>
      </c>
      <c r="AM306" s="40" t="s">
        <v>45</v>
      </c>
      <c r="AN306" s="40" t="s">
        <v>45</v>
      </c>
      <c r="AO306" s="41" t="s">
        <v>45</v>
      </c>
      <c r="AP306" s="40" t="s">
        <v>329</v>
      </c>
      <c r="AQ306" s="40">
        <v>9</v>
      </c>
      <c r="AR306" s="48" t="s">
        <v>326</v>
      </c>
      <c r="AS306" s="43" t="s">
        <v>572</v>
      </c>
      <c r="AT306" s="43" t="s">
        <v>103</v>
      </c>
      <c r="AU306" s="44">
        <f t="shared" si="39"/>
        <v>-2.311361197028369</v>
      </c>
      <c r="AV306" s="44">
        <f t="shared" si="40"/>
        <v>-0.99184266516472974</v>
      </c>
      <c r="AW306" s="45">
        <f t="shared" si="41"/>
        <v>3</v>
      </c>
      <c r="AX306" s="45">
        <f t="shared" si="42"/>
        <v>1</v>
      </c>
      <c r="AY306" s="46">
        <f>VLOOKUP(AP306,COND!$A$10:$B$32,2,FALSE)</f>
        <v>1</v>
      </c>
      <c r="AZ306" s="44">
        <f>($AU$3*AU306+$AV$3*AV306+$AW$3*AW306+$AX$3*AX306)*AY306*IF(AQ306&lt;5,0.95,IF(AQ306&lt;7,0.975,1))+$I$3*VLOOKUP(I306,COND!$A$2:$E$7,4,FALSE)+$J$3*VLOOKUP(J306,COND!$A$2:$E$7,2,FALSE)+$K$3*VLOOKUP(K306,COND!$A$2:$E$7,3,FALSE)+IF(BB306="SP",$BB$3,0)+IF($AW306&lt;3,-5,0)+IF(AND($B$2&gt;0,$E306&lt;20),$B$2*25,0)</f>
        <v>34.150874457299729</v>
      </c>
      <c r="BA306" s="47">
        <f t="shared" si="45"/>
        <v>-0.2600273010678662</v>
      </c>
      <c r="BB306" s="45" t="str">
        <f t="shared" si="43"/>
        <v>SP</v>
      </c>
      <c r="BC306" s="45">
        <v>930</v>
      </c>
      <c r="BD306" s="45">
        <v>301</v>
      </c>
      <c r="BE306" s="45"/>
      <c r="BF306" s="45" t="str">
        <f t="shared" si="44"/>
        <v>Unlikely</v>
      </c>
      <c r="BG306" s="45"/>
      <c r="BH306" s="45">
        <f>INDEX(Table5[[#All],[Ovr]],MATCH(Table3[[#This Row],[PID]],Table5[[#All],[PID]],0))</f>
        <v>354</v>
      </c>
      <c r="BI306" s="45" t="str">
        <f>INDEX(Table5[[#All],[Rnd]],MATCH(Table3[[#This Row],[PID]],Table5[[#All],[PID]],0))</f>
        <v>11</v>
      </c>
      <c r="BJ306" s="45">
        <f>INDEX(Table5[[#All],[Pick]],MATCH(Table3[[#This Row],[PID]],Table5[[#All],[PID]],0))</f>
        <v>23</v>
      </c>
      <c r="BK306" s="45" t="str">
        <f>INDEX(Table5[[#All],[Team]],MATCH(Table3[[#This Row],[PID]],Table5[[#All],[PID]],0))</f>
        <v>Kentucky Thoroughbreds</v>
      </c>
      <c r="BL306" s="45" t="str">
        <f>IF(OR(Table3[[#This Row],[POS]]="SP",Table3[[#This Row],[POS]]="RP",Table3[[#This Row],[POS]]="CL"),"P",INDEX(Batters[[#All],[zScore]],MATCH(Table3[[#This Row],[PID]],Batters[[#All],[PID]],0)))</f>
        <v>P</v>
      </c>
    </row>
    <row r="307" spans="1:64" ht="15" customHeight="1" x14ac:dyDescent="0.3">
      <c r="A307" s="40">
        <v>20929</v>
      </c>
      <c r="B307" s="40" t="s">
        <v>380</v>
      </c>
      <c r="C307" s="40" t="s">
        <v>615</v>
      </c>
      <c r="D307" s="40" t="s">
        <v>742</v>
      </c>
      <c r="E307" s="40">
        <v>16</v>
      </c>
      <c r="F307" s="40" t="s">
        <v>62</v>
      </c>
      <c r="G307" s="40" t="s">
        <v>42</v>
      </c>
      <c r="H307" s="41" t="s">
        <v>561</v>
      </c>
      <c r="I307" s="42" t="s">
        <v>43</v>
      </c>
      <c r="J307" s="40" t="s">
        <v>44</v>
      </c>
      <c r="K307" s="41" t="s">
        <v>43</v>
      </c>
      <c r="L307" s="40">
        <v>2</v>
      </c>
      <c r="M307" s="40">
        <v>1</v>
      </c>
      <c r="N307" s="41">
        <v>1</v>
      </c>
      <c r="O307" s="40">
        <v>4</v>
      </c>
      <c r="P307" s="40">
        <v>1</v>
      </c>
      <c r="Q307" s="41">
        <v>4</v>
      </c>
      <c r="R307" s="40">
        <v>3</v>
      </c>
      <c r="S307" s="40">
        <v>5</v>
      </c>
      <c r="T307" s="40">
        <v>1</v>
      </c>
      <c r="U307" s="40">
        <v>2</v>
      </c>
      <c r="V307" s="40" t="s">
        <v>45</v>
      </c>
      <c r="W307" s="40" t="s">
        <v>45</v>
      </c>
      <c r="X307" s="40">
        <v>2</v>
      </c>
      <c r="Y307" s="40">
        <v>5</v>
      </c>
      <c r="Z307" s="40" t="s">
        <v>45</v>
      </c>
      <c r="AA307" s="40" t="s">
        <v>45</v>
      </c>
      <c r="AB307" s="40" t="s">
        <v>45</v>
      </c>
      <c r="AC307" s="40" t="s">
        <v>45</v>
      </c>
      <c r="AD307" s="40" t="s">
        <v>45</v>
      </c>
      <c r="AE307" s="40" t="s">
        <v>45</v>
      </c>
      <c r="AF307" s="40" t="s">
        <v>45</v>
      </c>
      <c r="AG307" s="40" t="s">
        <v>45</v>
      </c>
      <c r="AH307" s="40" t="s">
        <v>45</v>
      </c>
      <c r="AI307" s="40" t="s">
        <v>45</v>
      </c>
      <c r="AJ307" s="40" t="s">
        <v>45</v>
      </c>
      <c r="AK307" s="40" t="s">
        <v>45</v>
      </c>
      <c r="AL307" s="40" t="s">
        <v>45</v>
      </c>
      <c r="AM307" s="40" t="s">
        <v>45</v>
      </c>
      <c r="AN307" s="40" t="s">
        <v>45</v>
      </c>
      <c r="AO307" s="41" t="s">
        <v>45</v>
      </c>
      <c r="AP307" s="40" t="s">
        <v>329</v>
      </c>
      <c r="AQ307" s="40">
        <v>10</v>
      </c>
      <c r="AR307" s="48" t="s">
        <v>14</v>
      </c>
      <c r="AS307" s="43" t="s">
        <v>558</v>
      </c>
      <c r="AT307" s="43" t="s">
        <v>103</v>
      </c>
      <c r="AU307" s="44">
        <f t="shared" si="39"/>
        <v>-2.5067929134584248</v>
      </c>
      <c r="AV307" s="44">
        <f t="shared" si="40"/>
        <v>-0.94495381554067481</v>
      </c>
      <c r="AW307" s="45">
        <f t="shared" si="41"/>
        <v>3</v>
      </c>
      <c r="AX307" s="45">
        <f t="shared" si="42"/>
        <v>0</v>
      </c>
      <c r="AY307" s="46">
        <f>VLOOKUP(AP307,COND!$A$10:$B$32,2,FALSE)</f>
        <v>1</v>
      </c>
      <c r="AZ307" s="44">
        <f>($AU$3*AU307+$AV$3*AV307+$AW$3*AW307+$AX$3*AX307)*AY307*IF(AQ307&lt;5,0.95,IF(AQ307&lt;7,0.975,1))+$I$3*VLOOKUP(I307,COND!$A$2:$E$7,4,FALSE)+$J$3*VLOOKUP(J307,COND!$A$2:$E$7,2,FALSE)+$K$3*VLOOKUP(K307,COND!$A$2:$E$7,3,FALSE)+IF(BB307="SP",$BB$3,0)+IF($AW307&lt;3,-5,0)+IF(AND($B$2&gt;0,$E307&lt;20),$B$2*25,0)</f>
        <v>33.799565106494818</v>
      </c>
      <c r="BA307" s="47">
        <f>STANDARDIZE(AZ307,AVERAGE($AZ$5:$AZ$445),STDEVP($AZ$5:$AZ$445))</f>
        <v>-0.27855959736849656</v>
      </c>
      <c r="BB307" s="45" t="str">
        <f t="shared" si="43"/>
        <v>SP</v>
      </c>
      <c r="BC307" s="45">
        <v>930</v>
      </c>
      <c r="BD307" s="45">
        <v>302</v>
      </c>
      <c r="BE307" s="45"/>
      <c r="BF307" s="45" t="str">
        <f t="shared" si="44"/>
        <v>Unlikely</v>
      </c>
      <c r="BG307" s="45"/>
      <c r="BH307" s="63">
        <f>INDEX(Table5[[#All],[Ovr]],MATCH(Table3[[#This Row],[PID]],Table5[[#All],[PID]],0))</f>
        <v>479</v>
      </c>
      <c r="BI307" s="63" t="str">
        <f>INDEX(Table5[[#All],[Rnd]],MATCH(Table3[[#This Row],[PID]],Table5[[#All],[PID]],0))</f>
        <v>15</v>
      </c>
      <c r="BJ307" s="63">
        <f>INDEX(Table5[[#All],[Pick]],MATCH(Table3[[#This Row],[PID]],Table5[[#All],[PID]],0))</f>
        <v>12</v>
      </c>
      <c r="BK307" s="63" t="str">
        <f>INDEX(Table5[[#All],[Team]],MATCH(Table3[[#This Row],[PID]],Table5[[#All],[PID]],0))</f>
        <v>Manchester Maulers</v>
      </c>
      <c r="BL307" s="63" t="str">
        <f>IF(OR(Table3[[#This Row],[POS]]="SP",Table3[[#This Row],[POS]]="RP",Table3[[#This Row],[POS]]="CL"),"P",INDEX(Batters[[#All],[zScore]],MATCH(Table3[[#This Row],[PID]],Batters[[#All],[PID]],0)))</f>
        <v>P</v>
      </c>
    </row>
    <row r="308" spans="1:64" ht="15" customHeight="1" x14ac:dyDescent="0.3">
      <c r="A308" s="40">
        <v>20403</v>
      </c>
      <c r="B308" s="40" t="s">
        <v>24</v>
      </c>
      <c r="C308" s="40" t="s">
        <v>1346</v>
      </c>
      <c r="D308" s="40" t="s">
        <v>663</v>
      </c>
      <c r="E308" s="40">
        <v>17</v>
      </c>
      <c r="F308" s="40" t="s">
        <v>42</v>
      </c>
      <c r="G308" s="40" t="s">
        <v>42</v>
      </c>
      <c r="H308" s="41" t="s">
        <v>561</v>
      </c>
      <c r="I308" s="42" t="s">
        <v>43</v>
      </c>
      <c r="J308" s="40" t="s">
        <v>44</v>
      </c>
      <c r="K308" s="41" t="s">
        <v>43</v>
      </c>
      <c r="L308" s="40">
        <v>2</v>
      </c>
      <c r="M308" s="40">
        <v>2</v>
      </c>
      <c r="N308" s="41">
        <v>1</v>
      </c>
      <c r="O308" s="40">
        <v>3</v>
      </c>
      <c r="P308" s="40">
        <v>2</v>
      </c>
      <c r="Q308" s="41">
        <v>4</v>
      </c>
      <c r="R308" s="40">
        <v>4</v>
      </c>
      <c r="S308" s="40">
        <v>5</v>
      </c>
      <c r="T308" s="40" t="s">
        <v>45</v>
      </c>
      <c r="U308" s="40" t="s">
        <v>45</v>
      </c>
      <c r="V308" s="40">
        <v>2</v>
      </c>
      <c r="W308" s="40">
        <v>5</v>
      </c>
      <c r="X308" s="40">
        <v>2</v>
      </c>
      <c r="Y308" s="40">
        <v>5</v>
      </c>
      <c r="Z308" s="40" t="s">
        <v>45</v>
      </c>
      <c r="AA308" s="40" t="s">
        <v>45</v>
      </c>
      <c r="AB308" s="40" t="s">
        <v>45</v>
      </c>
      <c r="AC308" s="40" t="s">
        <v>45</v>
      </c>
      <c r="AD308" s="40" t="s">
        <v>45</v>
      </c>
      <c r="AE308" s="40" t="s">
        <v>45</v>
      </c>
      <c r="AF308" s="40" t="s">
        <v>45</v>
      </c>
      <c r="AG308" s="40" t="s">
        <v>45</v>
      </c>
      <c r="AH308" s="40" t="s">
        <v>45</v>
      </c>
      <c r="AI308" s="40" t="s">
        <v>45</v>
      </c>
      <c r="AJ308" s="40" t="s">
        <v>45</v>
      </c>
      <c r="AK308" s="40" t="s">
        <v>45</v>
      </c>
      <c r="AL308" s="40" t="s">
        <v>45</v>
      </c>
      <c r="AM308" s="40" t="s">
        <v>45</v>
      </c>
      <c r="AN308" s="40" t="s">
        <v>45</v>
      </c>
      <c r="AO308" s="41" t="s">
        <v>45</v>
      </c>
      <c r="AP308" s="40" t="s">
        <v>329</v>
      </c>
      <c r="AQ308" s="40">
        <v>8</v>
      </c>
      <c r="AR308" s="48" t="s">
        <v>326</v>
      </c>
      <c r="AS308" s="43" t="s">
        <v>558</v>
      </c>
      <c r="AT308" s="43" t="s">
        <v>103</v>
      </c>
      <c r="AU308" s="44">
        <f t="shared" si="39"/>
        <v>-2.311361197028369</v>
      </c>
      <c r="AV308" s="44">
        <f t="shared" si="40"/>
        <v>-0.94421342361979277</v>
      </c>
      <c r="AW308" s="45">
        <f t="shared" si="41"/>
        <v>3</v>
      </c>
      <c r="AX308" s="45">
        <f t="shared" si="42"/>
        <v>0</v>
      </c>
      <c r="AY308" s="46">
        <f>VLOOKUP(AP308,COND!$A$10:$B$32,2,FALSE)</f>
        <v>1</v>
      </c>
      <c r="AZ308" s="44">
        <f>($AU$3*AU308+$AV$3*AV308+$AW$3*AW308+$AX$3*AX308)*AY308*IF(AQ308&lt;5,0.95,IF(AQ308&lt;7,0.975,1))+$I$3*VLOOKUP(I308,COND!$A$2:$E$7,4,FALSE)+$J$3*VLOOKUP(J308,COND!$A$2:$E$7,2,FALSE)+$K$3*VLOOKUP(K308,COND!$A$2:$E$7,3,FALSE)+IF(BB308="SP",$BB$3,0)+IF($AW308&lt;3,-5,0)+IF(AND($B$2&gt;0,$E308&lt;20),$B$2*25,0)</f>
        <v>33.853459288198465</v>
      </c>
      <c r="BA308" s="47">
        <f t="shared" ref="BA308:BA315" si="46">STANDARDIZE(AZ308,AVERAGE($AZ$5:$AZ$428),STDEVP($AZ$5:$AZ$428))</f>
        <v>-0.28120535279098147</v>
      </c>
      <c r="BB308" s="45" t="str">
        <f t="shared" si="43"/>
        <v>SP</v>
      </c>
      <c r="BC308" s="45">
        <v>930</v>
      </c>
      <c r="BD308" s="45">
        <v>303</v>
      </c>
      <c r="BE308" s="45"/>
      <c r="BF308" s="45" t="str">
        <f t="shared" si="44"/>
        <v>Unlikely</v>
      </c>
      <c r="BG308" s="45"/>
      <c r="BH308" s="45" t="str">
        <f>INDEX(Table5[[#All],[Ovr]],MATCH(Table3[[#This Row],[PID]],Table5[[#All],[PID]],0))</f>
        <v/>
      </c>
      <c r="BI308" s="45" t="str">
        <f>INDEX(Table5[[#All],[Rnd]],MATCH(Table3[[#This Row],[PID]],Table5[[#All],[PID]],0))</f>
        <v/>
      </c>
      <c r="BJ308" s="45" t="str">
        <f>INDEX(Table5[[#All],[Pick]],MATCH(Table3[[#This Row],[PID]],Table5[[#All],[PID]],0))</f>
        <v/>
      </c>
      <c r="BK308" s="45" t="str">
        <f>INDEX(Table5[[#All],[Team]],MATCH(Table3[[#This Row],[PID]],Table5[[#All],[PID]],0))</f>
        <v/>
      </c>
      <c r="BL308" s="45" t="str">
        <f>IF(OR(Table3[[#This Row],[POS]]="SP",Table3[[#This Row],[POS]]="RP",Table3[[#This Row],[POS]]="CL"),"P",INDEX(Batters[[#All],[zScore]],MATCH(Table3[[#This Row],[PID]],Batters[[#All],[PID]],0)))</f>
        <v>P</v>
      </c>
    </row>
    <row r="309" spans="1:64" ht="15" customHeight="1" x14ac:dyDescent="0.3">
      <c r="A309" s="40">
        <v>20382</v>
      </c>
      <c r="B309" s="40" t="s">
        <v>380</v>
      </c>
      <c r="C309" s="40" t="s">
        <v>952</v>
      </c>
      <c r="D309" s="40" t="s">
        <v>1495</v>
      </c>
      <c r="E309" s="40">
        <v>17</v>
      </c>
      <c r="F309" s="40" t="s">
        <v>42</v>
      </c>
      <c r="G309" s="40" t="s">
        <v>42</v>
      </c>
      <c r="H309" s="41" t="s">
        <v>561</v>
      </c>
      <c r="I309" s="42" t="s">
        <v>43</v>
      </c>
      <c r="J309" s="40" t="s">
        <v>44</v>
      </c>
      <c r="K309" s="41" t="s">
        <v>43</v>
      </c>
      <c r="L309" s="40">
        <v>2</v>
      </c>
      <c r="M309" s="40">
        <v>1</v>
      </c>
      <c r="N309" s="41">
        <v>1</v>
      </c>
      <c r="O309" s="40">
        <v>4</v>
      </c>
      <c r="P309" s="40">
        <v>1</v>
      </c>
      <c r="Q309" s="41">
        <v>4</v>
      </c>
      <c r="R309" s="40">
        <v>4</v>
      </c>
      <c r="S309" s="40">
        <v>5</v>
      </c>
      <c r="T309" s="40" t="s">
        <v>45</v>
      </c>
      <c r="U309" s="40" t="s">
        <v>45</v>
      </c>
      <c r="V309" s="40">
        <v>2</v>
      </c>
      <c r="W309" s="40">
        <v>4</v>
      </c>
      <c r="X309" s="40">
        <v>2</v>
      </c>
      <c r="Y309" s="40">
        <v>4</v>
      </c>
      <c r="Z309" s="40" t="s">
        <v>45</v>
      </c>
      <c r="AA309" s="40" t="s">
        <v>45</v>
      </c>
      <c r="AB309" s="40" t="s">
        <v>45</v>
      </c>
      <c r="AC309" s="40" t="s">
        <v>45</v>
      </c>
      <c r="AD309" s="40" t="s">
        <v>45</v>
      </c>
      <c r="AE309" s="40" t="s">
        <v>45</v>
      </c>
      <c r="AF309" s="40" t="s">
        <v>45</v>
      </c>
      <c r="AG309" s="40" t="s">
        <v>45</v>
      </c>
      <c r="AH309" s="40" t="s">
        <v>45</v>
      </c>
      <c r="AI309" s="40" t="s">
        <v>45</v>
      </c>
      <c r="AJ309" s="40" t="s">
        <v>45</v>
      </c>
      <c r="AK309" s="40" t="s">
        <v>45</v>
      </c>
      <c r="AL309" s="40" t="s">
        <v>45</v>
      </c>
      <c r="AM309" s="40" t="s">
        <v>45</v>
      </c>
      <c r="AN309" s="40" t="s">
        <v>45</v>
      </c>
      <c r="AO309" s="41" t="s">
        <v>45</v>
      </c>
      <c r="AP309" s="40" t="s">
        <v>57</v>
      </c>
      <c r="AQ309" s="40">
        <v>8</v>
      </c>
      <c r="AR309" s="48" t="s">
        <v>14</v>
      </c>
      <c r="AS309" s="43" t="s">
        <v>558</v>
      </c>
      <c r="AT309" s="43" t="s">
        <v>103</v>
      </c>
      <c r="AU309" s="44">
        <f t="shared" si="39"/>
        <v>-2.5067929134584248</v>
      </c>
      <c r="AV309" s="44">
        <f t="shared" si="40"/>
        <v>-0.94495381554067481</v>
      </c>
      <c r="AW309" s="45">
        <f t="shared" si="41"/>
        <v>3</v>
      </c>
      <c r="AX309" s="45">
        <f t="shared" si="42"/>
        <v>0</v>
      </c>
      <c r="AY309" s="46">
        <f>VLOOKUP(AP309,COND!$A$10:$B$32,2,FALSE)</f>
        <v>1</v>
      </c>
      <c r="AZ309" s="44">
        <f>($AU$3*AU309+$AV$3*AV309+$AW$3*AW309+$AX$3*AX309)*AY309*IF(AQ309&lt;5,0.95,IF(AQ309&lt;7,0.975,1))+$I$3*VLOOKUP(I309,COND!$A$2:$E$7,4,FALSE)+$J$3*VLOOKUP(J309,COND!$A$2:$E$7,2,FALSE)+$K$3*VLOOKUP(K309,COND!$A$2:$E$7,3,FALSE)+IF(BB309="SP",$BB$3,0)+IF($AW309&lt;3,-5,0)+IF(AND($B$2&gt;0,$E309&lt;20),$B$2*25,0)</f>
        <v>33.799565106494818</v>
      </c>
      <c r="BA309" s="47">
        <f t="shared" si="46"/>
        <v>-0.28504299755921519</v>
      </c>
      <c r="BB309" s="45" t="str">
        <f t="shared" si="43"/>
        <v>SP</v>
      </c>
      <c r="BC309" s="45">
        <v>930</v>
      </c>
      <c r="BD309" s="45">
        <v>304</v>
      </c>
      <c r="BE309" s="45"/>
      <c r="BF309" s="45" t="str">
        <f t="shared" si="44"/>
        <v>Unlikely</v>
      </c>
      <c r="BG309" s="45"/>
      <c r="BH309" s="45" t="str">
        <f>INDEX(Table5[[#All],[Ovr]],MATCH(Table3[[#This Row],[PID]],Table5[[#All],[PID]],0))</f>
        <v/>
      </c>
      <c r="BI309" s="45" t="str">
        <f>INDEX(Table5[[#All],[Rnd]],MATCH(Table3[[#This Row],[PID]],Table5[[#All],[PID]],0))</f>
        <v/>
      </c>
      <c r="BJ309" s="45" t="str">
        <f>INDEX(Table5[[#All],[Pick]],MATCH(Table3[[#This Row],[PID]],Table5[[#All],[PID]],0))</f>
        <v/>
      </c>
      <c r="BK309" s="45" t="str">
        <f>INDEX(Table5[[#All],[Team]],MATCH(Table3[[#This Row],[PID]],Table5[[#All],[PID]],0))</f>
        <v/>
      </c>
      <c r="BL309" s="45" t="str">
        <f>IF(OR(Table3[[#This Row],[POS]]="SP",Table3[[#This Row],[POS]]="RP",Table3[[#This Row],[POS]]="CL"),"P",INDEX(Batters[[#All],[zScore]],MATCH(Table3[[#This Row],[PID]],Batters[[#All],[PID]],0)))</f>
        <v>P</v>
      </c>
    </row>
    <row r="310" spans="1:64" ht="15" customHeight="1" x14ac:dyDescent="0.3">
      <c r="A310" s="40">
        <v>12309</v>
      </c>
      <c r="B310" s="40" t="s">
        <v>380</v>
      </c>
      <c r="C310" s="40" t="s">
        <v>142</v>
      </c>
      <c r="D310" s="40" t="s">
        <v>141</v>
      </c>
      <c r="E310" s="40">
        <v>21</v>
      </c>
      <c r="F310" s="40" t="s">
        <v>53</v>
      </c>
      <c r="G310" s="40" t="s">
        <v>53</v>
      </c>
      <c r="H310" s="41" t="s">
        <v>561</v>
      </c>
      <c r="I310" s="42" t="s">
        <v>43</v>
      </c>
      <c r="J310" s="40" t="s">
        <v>44</v>
      </c>
      <c r="K310" s="41" t="s">
        <v>43</v>
      </c>
      <c r="L310" s="40">
        <v>3</v>
      </c>
      <c r="M310" s="40">
        <v>2</v>
      </c>
      <c r="N310" s="41">
        <v>1</v>
      </c>
      <c r="O310" s="40">
        <v>6</v>
      </c>
      <c r="P310" s="40">
        <v>2</v>
      </c>
      <c r="Q310" s="41">
        <v>2</v>
      </c>
      <c r="R310" s="40">
        <v>5</v>
      </c>
      <c r="S310" s="40">
        <v>7</v>
      </c>
      <c r="T310" s="40">
        <v>1</v>
      </c>
      <c r="U310" s="40">
        <v>1</v>
      </c>
      <c r="V310" s="40" t="s">
        <v>45</v>
      </c>
      <c r="W310" s="40" t="s">
        <v>45</v>
      </c>
      <c r="X310" s="40">
        <v>4</v>
      </c>
      <c r="Y310" s="40">
        <v>7</v>
      </c>
      <c r="Z310" s="40" t="s">
        <v>45</v>
      </c>
      <c r="AA310" s="40" t="s">
        <v>45</v>
      </c>
      <c r="AB310" s="40" t="s">
        <v>45</v>
      </c>
      <c r="AC310" s="40" t="s">
        <v>45</v>
      </c>
      <c r="AD310" s="40" t="s">
        <v>45</v>
      </c>
      <c r="AE310" s="40" t="s">
        <v>45</v>
      </c>
      <c r="AF310" s="40" t="s">
        <v>45</v>
      </c>
      <c r="AG310" s="40" t="s">
        <v>45</v>
      </c>
      <c r="AH310" s="40" t="s">
        <v>45</v>
      </c>
      <c r="AI310" s="40" t="s">
        <v>45</v>
      </c>
      <c r="AJ310" s="40" t="s">
        <v>45</v>
      </c>
      <c r="AK310" s="40" t="s">
        <v>45</v>
      </c>
      <c r="AL310" s="40" t="s">
        <v>45</v>
      </c>
      <c r="AM310" s="40" t="s">
        <v>45</v>
      </c>
      <c r="AN310" s="40" t="s">
        <v>45</v>
      </c>
      <c r="AO310" s="41" t="s">
        <v>45</v>
      </c>
      <c r="AP310" s="40" t="s">
        <v>58</v>
      </c>
      <c r="AQ310" s="40">
        <v>6</v>
      </c>
      <c r="AR310" s="48" t="s">
        <v>326</v>
      </c>
      <c r="AS310" s="43" t="s">
        <v>45</v>
      </c>
      <c r="AT310" s="43" t="s">
        <v>103</v>
      </c>
      <c r="AU310" s="44">
        <f t="shared" si="39"/>
        <v>-2.1166698725191955</v>
      </c>
      <c r="AV310" s="44">
        <f t="shared" si="40"/>
        <v>-0.84478058220049301</v>
      </c>
      <c r="AW310" s="45">
        <f t="shared" si="41"/>
        <v>3</v>
      </c>
      <c r="AX310" s="45">
        <f t="shared" si="42"/>
        <v>2</v>
      </c>
      <c r="AY310" s="46">
        <f>VLOOKUP(AP310,COND!$A$10:$B$32,2,FALSE)</f>
        <v>1</v>
      </c>
      <c r="AZ310" s="44">
        <f>($AU$3*AU310+$AV$3*AV310+$AW$3*AW310+$AX$3*AX310)*AY310*IF(AQ310&lt;5,0.95,IF(AQ310&lt;7,0.975,1))+$I$3*VLOOKUP(I310,COND!$A$2:$E$7,4,FALSE)+$J$3*VLOOKUP(J310,COND!$A$2:$E$7,2,FALSE)+$K$3*VLOOKUP(K310,COND!$A$2:$E$7,3,FALSE)+IF(BB310="SP",$BB$3,0)+IF($AW310&lt;3,-5,0)+IF(AND($B$2&gt;0,$E310&lt;20),$B$2*25,0)</f>
        <v>33.71402802194914</v>
      </c>
      <c r="BA310" s="47">
        <f t="shared" si="46"/>
        <v>-0.29113383955031774</v>
      </c>
      <c r="BB310" s="45" t="str">
        <f t="shared" si="43"/>
        <v>SP</v>
      </c>
      <c r="BC310" s="45">
        <v>930</v>
      </c>
      <c r="BD310" s="45">
        <v>305</v>
      </c>
      <c r="BE310" s="45"/>
      <c r="BF310" s="45" t="str">
        <f t="shared" si="44"/>
        <v>Unlikely</v>
      </c>
      <c r="BG310" s="45"/>
      <c r="BH310" s="45">
        <f>INDEX(Table5[[#All],[Ovr]],MATCH(Table3[[#This Row],[PID]],Table5[[#All],[PID]],0))</f>
        <v>459</v>
      </c>
      <c r="BI310" s="45" t="str">
        <f>INDEX(Table5[[#All],[Rnd]],MATCH(Table3[[#This Row],[PID]],Table5[[#All],[PID]],0))</f>
        <v>14</v>
      </c>
      <c r="BJ310" s="45">
        <f>INDEX(Table5[[#All],[Pick]],MATCH(Table3[[#This Row],[PID]],Table5[[#All],[PID]],0))</f>
        <v>26</v>
      </c>
      <c r="BK310" s="45" t="str">
        <f>INDEX(Table5[[#All],[Team]],MATCH(Table3[[#This Row],[PID]],Table5[[#All],[PID]],0))</f>
        <v>Aurora Borealis</v>
      </c>
      <c r="BL310" s="45" t="str">
        <f>IF(OR(Table3[[#This Row],[POS]]="SP",Table3[[#This Row],[POS]]="RP",Table3[[#This Row],[POS]]="CL"),"P",INDEX(Batters[[#All],[zScore]],MATCH(Table3[[#This Row],[PID]],Batters[[#All],[PID]],0)))</f>
        <v>P</v>
      </c>
    </row>
    <row r="311" spans="1:64" ht="15" customHeight="1" x14ac:dyDescent="0.3">
      <c r="A311" s="40">
        <v>20936</v>
      </c>
      <c r="B311" s="40" t="s">
        <v>380</v>
      </c>
      <c r="C311" s="40" t="s">
        <v>1097</v>
      </c>
      <c r="D311" s="40" t="s">
        <v>131</v>
      </c>
      <c r="E311" s="40">
        <v>17</v>
      </c>
      <c r="F311" s="40" t="s">
        <v>42</v>
      </c>
      <c r="G311" s="40" t="s">
        <v>42</v>
      </c>
      <c r="H311" s="41" t="s">
        <v>561</v>
      </c>
      <c r="I311" s="42" t="s">
        <v>43</v>
      </c>
      <c r="J311" s="40" t="s">
        <v>44</v>
      </c>
      <c r="K311" s="41" t="s">
        <v>43</v>
      </c>
      <c r="L311" s="40">
        <v>2</v>
      </c>
      <c r="M311" s="40">
        <v>2</v>
      </c>
      <c r="N311" s="41">
        <v>1</v>
      </c>
      <c r="O311" s="40">
        <v>5</v>
      </c>
      <c r="P311" s="40">
        <v>2</v>
      </c>
      <c r="Q311" s="41">
        <v>2</v>
      </c>
      <c r="R311" s="40">
        <v>3</v>
      </c>
      <c r="S311" s="40">
        <v>5</v>
      </c>
      <c r="T311" s="40">
        <v>1</v>
      </c>
      <c r="U311" s="40">
        <v>2</v>
      </c>
      <c r="V311" s="40">
        <v>2</v>
      </c>
      <c r="W311" s="40">
        <v>8</v>
      </c>
      <c r="X311" s="40" t="s">
        <v>45</v>
      </c>
      <c r="Y311" s="40" t="s">
        <v>45</v>
      </c>
      <c r="Z311" s="40" t="s">
        <v>45</v>
      </c>
      <c r="AA311" s="40" t="s">
        <v>45</v>
      </c>
      <c r="AB311" s="40" t="s">
        <v>45</v>
      </c>
      <c r="AC311" s="40" t="s">
        <v>45</v>
      </c>
      <c r="AD311" s="40" t="s">
        <v>45</v>
      </c>
      <c r="AE311" s="40" t="s">
        <v>45</v>
      </c>
      <c r="AF311" s="40" t="s">
        <v>45</v>
      </c>
      <c r="AG311" s="40" t="s">
        <v>45</v>
      </c>
      <c r="AH311" s="40" t="s">
        <v>45</v>
      </c>
      <c r="AI311" s="40" t="s">
        <v>45</v>
      </c>
      <c r="AJ311" s="40" t="s">
        <v>45</v>
      </c>
      <c r="AK311" s="40" t="s">
        <v>45</v>
      </c>
      <c r="AL311" s="40" t="s">
        <v>45</v>
      </c>
      <c r="AM311" s="40" t="s">
        <v>45</v>
      </c>
      <c r="AN311" s="40" t="s">
        <v>45</v>
      </c>
      <c r="AO311" s="41" t="s">
        <v>45</v>
      </c>
      <c r="AP311" s="40" t="s">
        <v>329</v>
      </c>
      <c r="AQ311" s="40">
        <v>5</v>
      </c>
      <c r="AR311" s="48" t="s">
        <v>326</v>
      </c>
      <c r="AS311" s="43" t="s">
        <v>576</v>
      </c>
      <c r="AT311" s="43" t="s">
        <v>1025</v>
      </c>
      <c r="AU311" s="44">
        <f t="shared" si="39"/>
        <v>-2.311361197028369</v>
      </c>
      <c r="AV311" s="44">
        <f t="shared" si="40"/>
        <v>-1.0394719067096667</v>
      </c>
      <c r="AW311" s="45">
        <f t="shared" si="41"/>
        <v>3</v>
      </c>
      <c r="AX311" s="45">
        <f t="shared" si="42"/>
        <v>1</v>
      </c>
      <c r="AY311" s="46">
        <f>VLOOKUP(AP311,COND!$A$10:$B$32,2,FALSE)</f>
        <v>1</v>
      </c>
      <c r="AZ311" s="44">
        <f>($AU$3*AU311+$AV$3*AV311+$AW$3*AW311+$AX$3*AX311)*AY311*IF(AQ311&lt;5,0.95,IF(AQ311&lt;7,0.975,1))+$I$3*VLOOKUP(I311,COND!$A$2:$E$7,4,FALSE)+$J$3*VLOOKUP(J311,COND!$A$2:$E$7,2,FALSE)+$K$3*VLOOKUP(K311,COND!$A$2:$E$7,3,FALSE)+IF(BB311="SP",$BB$3,0)+IF($AW311&lt;3,-5,0)+IF(AND($B$2&gt;0,$E311&lt;20),$B$2*25,0)</f>
        <v>33.660832385740967</v>
      </c>
      <c r="BA311" s="47">
        <f t="shared" si="46"/>
        <v>-0.29492174296649193</v>
      </c>
      <c r="BB311" s="45" t="str">
        <f t="shared" si="43"/>
        <v>SP</v>
      </c>
      <c r="BC311" s="45">
        <v>930</v>
      </c>
      <c r="BD311" s="45">
        <v>306</v>
      </c>
      <c r="BE311" s="45"/>
      <c r="BF311" s="45" t="str">
        <f t="shared" si="44"/>
        <v>Unlikely</v>
      </c>
      <c r="BG311" s="45"/>
      <c r="BH311" s="45">
        <f>INDEX(Table5[[#All],[Ovr]],MATCH(Table3[[#This Row],[PID]],Table5[[#All],[PID]],0))</f>
        <v>559</v>
      </c>
      <c r="BI311" s="45" t="str">
        <f>INDEX(Table5[[#All],[Rnd]],MATCH(Table3[[#This Row],[PID]],Table5[[#All],[PID]],0))</f>
        <v>17</v>
      </c>
      <c r="BJ311" s="45">
        <f>INDEX(Table5[[#All],[Pick]],MATCH(Table3[[#This Row],[PID]],Table5[[#All],[PID]],0))</f>
        <v>24</v>
      </c>
      <c r="BK311" s="45" t="str">
        <f>INDEX(Table5[[#All],[Team]],MATCH(Table3[[#This Row],[PID]],Table5[[#All],[PID]],0))</f>
        <v>Reno Zephyrs</v>
      </c>
      <c r="BL311" s="45" t="str">
        <f>IF(OR(Table3[[#This Row],[POS]]="SP",Table3[[#This Row],[POS]]="RP",Table3[[#This Row],[POS]]="CL"),"P",INDEX(Batters[[#All],[zScore]],MATCH(Table3[[#This Row],[PID]],Batters[[#All],[PID]],0)))</f>
        <v>P</v>
      </c>
    </row>
    <row r="312" spans="1:64" ht="15" customHeight="1" x14ac:dyDescent="0.3">
      <c r="A312" s="40">
        <v>6643</v>
      </c>
      <c r="B312" s="40" t="s">
        <v>24</v>
      </c>
      <c r="C312" s="40" t="s">
        <v>127</v>
      </c>
      <c r="D312" s="40" t="s">
        <v>623</v>
      </c>
      <c r="E312" s="40">
        <v>21</v>
      </c>
      <c r="F312" s="40" t="s">
        <v>53</v>
      </c>
      <c r="G312" s="40" t="s">
        <v>42</v>
      </c>
      <c r="H312" s="41" t="s">
        <v>561</v>
      </c>
      <c r="I312" s="42" t="s">
        <v>43</v>
      </c>
      <c r="J312" s="40" t="s">
        <v>44</v>
      </c>
      <c r="K312" s="41" t="s">
        <v>43</v>
      </c>
      <c r="L312" s="40">
        <v>3</v>
      </c>
      <c r="M312" s="40">
        <v>2</v>
      </c>
      <c r="N312" s="41">
        <v>2</v>
      </c>
      <c r="O312" s="40">
        <v>4</v>
      </c>
      <c r="P312" s="40">
        <v>2</v>
      </c>
      <c r="Q312" s="41">
        <v>4</v>
      </c>
      <c r="R312" s="40">
        <v>5</v>
      </c>
      <c r="S312" s="40">
        <v>7</v>
      </c>
      <c r="T312" s="40" t="s">
        <v>45</v>
      </c>
      <c r="U312" s="40" t="s">
        <v>45</v>
      </c>
      <c r="V312" s="40">
        <v>2</v>
      </c>
      <c r="W312" s="40">
        <v>5</v>
      </c>
      <c r="X312" s="40" t="s">
        <v>45</v>
      </c>
      <c r="Y312" s="40" t="s">
        <v>45</v>
      </c>
      <c r="Z312" s="40" t="s">
        <v>45</v>
      </c>
      <c r="AA312" s="40" t="s">
        <v>45</v>
      </c>
      <c r="AB312" s="40">
        <v>4</v>
      </c>
      <c r="AC312" s="40">
        <v>6</v>
      </c>
      <c r="AD312" s="40" t="s">
        <v>45</v>
      </c>
      <c r="AE312" s="40" t="s">
        <v>45</v>
      </c>
      <c r="AF312" s="40" t="s">
        <v>45</v>
      </c>
      <c r="AG312" s="40" t="s">
        <v>45</v>
      </c>
      <c r="AH312" s="40" t="s">
        <v>45</v>
      </c>
      <c r="AI312" s="40" t="s">
        <v>45</v>
      </c>
      <c r="AJ312" s="40" t="s">
        <v>45</v>
      </c>
      <c r="AK312" s="40" t="s">
        <v>45</v>
      </c>
      <c r="AL312" s="40" t="s">
        <v>45</v>
      </c>
      <c r="AM312" s="40" t="s">
        <v>45</v>
      </c>
      <c r="AN312" s="40" t="s">
        <v>45</v>
      </c>
      <c r="AO312" s="41" t="s">
        <v>45</v>
      </c>
      <c r="AP312" s="40" t="s">
        <v>54</v>
      </c>
      <c r="AQ312" s="40">
        <v>3</v>
      </c>
      <c r="AR312" s="48" t="s">
        <v>326</v>
      </c>
      <c r="AS312" s="43" t="s">
        <v>45</v>
      </c>
      <c r="AT312" s="43" t="s">
        <v>103</v>
      </c>
      <c r="AU312" s="44">
        <f t="shared" si="39"/>
        <v>-1.8743493064650851</v>
      </c>
      <c r="AV312" s="44">
        <f t="shared" si="40"/>
        <v>-0.74952209911061918</v>
      </c>
      <c r="AW312" s="45">
        <f t="shared" si="41"/>
        <v>3</v>
      </c>
      <c r="AX312" s="45">
        <f t="shared" si="42"/>
        <v>2</v>
      </c>
      <c r="AY312" s="46">
        <f>VLOOKUP(AP312,COND!$A$10:$B$32,2,FALSE)</f>
        <v>1.0249999999999999</v>
      </c>
      <c r="AZ312" s="44">
        <f>($AU$3*AU312+$AV$3*AV312+$AW$3*AW312+$AX$3*AX312)*AY312*IF(AQ312&lt;5,0.95,IF(AQ312&lt;7,0.975,1))+$I$3*VLOOKUP(I312,COND!$A$2:$E$7,4,FALSE)+$J$3*VLOOKUP(J312,COND!$A$2:$E$7,2,FALSE)+$K$3*VLOOKUP(K312,COND!$A$2:$E$7,3,FALSE)+IF(BB312="SP",$BB$3,0)+IF($AW312&lt;3,-5,0)+IF(AND($B$2&gt;0,$E312&lt;20),$B$2*25,0)</f>
        <v>33.633027592386618</v>
      </c>
      <c r="BA312" s="47">
        <f t="shared" si="46"/>
        <v>-0.29690163980090134</v>
      </c>
      <c r="BB312" s="45" t="str">
        <f t="shared" si="43"/>
        <v>RP</v>
      </c>
      <c r="BC312" s="45">
        <v>930</v>
      </c>
      <c r="BD312" s="45">
        <v>307</v>
      </c>
      <c r="BE312" s="45"/>
      <c r="BF312" s="45" t="str">
        <f t="shared" si="44"/>
        <v>Unlikely</v>
      </c>
      <c r="BG312" s="45"/>
      <c r="BH312" s="45">
        <f>INDEX(Table5[[#All],[Ovr]],MATCH(Table3[[#This Row],[PID]],Table5[[#All],[PID]],0))</f>
        <v>588</v>
      </c>
      <c r="BI312" s="45" t="str">
        <f>INDEX(Table5[[#All],[Rnd]],MATCH(Table3[[#This Row],[PID]],Table5[[#All],[PID]],0))</f>
        <v>18</v>
      </c>
      <c r="BJ312" s="45">
        <f>INDEX(Table5[[#All],[Pick]],MATCH(Table3[[#This Row],[PID]],Table5[[#All],[PID]],0))</f>
        <v>19</v>
      </c>
      <c r="BK312" s="45" t="str">
        <f>INDEX(Table5[[#All],[Team]],MATCH(Table3[[#This Row],[PID]],Table5[[#All],[PID]],0))</f>
        <v>Fargo Dinosaurs</v>
      </c>
      <c r="BL312" s="45" t="str">
        <f>IF(OR(Table3[[#This Row],[POS]]="SP",Table3[[#This Row],[POS]]="RP",Table3[[#This Row],[POS]]="CL"),"P",INDEX(Batters[[#All],[zScore]],MATCH(Table3[[#This Row],[PID]],Batters[[#All],[PID]],0)))</f>
        <v>P</v>
      </c>
    </row>
    <row r="313" spans="1:64" ht="15" customHeight="1" x14ac:dyDescent="0.3">
      <c r="A313" s="40">
        <v>7123</v>
      </c>
      <c r="B313" s="40" t="s">
        <v>380</v>
      </c>
      <c r="C313" s="40" t="s">
        <v>1337</v>
      </c>
      <c r="D313" s="40" t="s">
        <v>1338</v>
      </c>
      <c r="E313" s="40">
        <v>21</v>
      </c>
      <c r="F313" s="40" t="s">
        <v>42</v>
      </c>
      <c r="G313" s="40" t="s">
        <v>42</v>
      </c>
      <c r="H313" s="41" t="s">
        <v>561</v>
      </c>
      <c r="I313" s="42" t="s">
        <v>44</v>
      </c>
      <c r="J313" s="40" t="s">
        <v>44</v>
      </c>
      <c r="K313" s="41" t="s">
        <v>43</v>
      </c>
      <c r="L313" s="40">
        <v>2</v>
      </c>
      <c r="M313" s="40">
        <v>3</v>
      </c>
      <c r="N313" s="41">
        <v>2</v>
      </c>
      <c r="O313" s="40">
        <v>5</v>
      </c>
      <c r="P313" s="40">
        <v>3</v>
      </c>
      <c r="Q313" s="41">
        <v>2</v>
      </c>
      <c r="R313" s="40">
        <v>5</v>
      </c>
      <c r="S313" s="40">
        <v>7</v>
      </c>
      <c r="T313" s="40">
        <v>1</v>
      </c>
      <c r="U313" s="40">
        <v>1</v>
      </c>
      <c r="V313" s="40" t="s">
        <v>45</v>
      </c>
      <c r="W313" s="40" t="s">
        <v>45</v>
      </c>
      <c r="X313" s="40">
        <v>2</v>
      </c>
      <c r="Y313" s="40">
        <v>6</v>
      </c>
      <c r="Z313" s="40" t="s">
        <v>45</v>
      </c>
      <c r="AA313" s="40" t="s">
        <v>45</v>
      </c>
      <c r="AB313" s="40" t="s">
        <v>45</v>
      </c>
      <c r="AC313" s="40" t="s">
        <v>45</v>
      </c>
      <c r="AD313" s="40" t="s">
        <v>45</v>
      </c>
      <c r="AE313" s="40" t="s">
        <v>45</v>
      </c>
      <c r="AF313" s="40" t="s">
        <v>45</v>
      </c>
      <c r="AG313" s="40" t="s">
        <v>45</v>
      </c>
      <c r="AH313" s="40" t="s">
        <v>45</v>
      </c>
      <c r="AI313" s="40" t="s">
        <v>45</v>
      </c>
      <c r="AJ313" s="40" t="s">
        <v>45</v>
      </c>
      <c r="AK313" s="40" t="s">
        <v>45</v>
      </c>
      <c r="AL313" s="40" t="s">
        <v>45</v>
      </c>
      <c r="AM313" s="40" t="s">
        <v>45</v>
      </c>
      <c r="AN313" s="40" t="s">
        <v>45</v>
      </c>
      <c r="AO313" s="41" t="s">
        <v>45</v>
      </c>
      <c r="AP313" s="40" t="s">
        <v>56</v>
      </c>
      <c r="AQ313" s="40">
        <v>6</v>
      </c>
      <c r="AR313" s="48" t="s">
        <v>326</v>
      </c>
      <c r="AS313" s="43" t="s">
        <v>45</v>
      </c>
      <c r="AT313" s="43" t="s">
        <v>103</v>
      </c>
      <c r="AU313" s="44">
        <f t="shared" si="39"/>
        <v>-1.8736089145442034</v>
      </c>
      <c r="AV313" s="44">
        <f t="shared" si="40"/>
        <v>-0.84404019027961108</v>
      </c>
      <c r="AW313" s="45">
        <f t="shared" si="41"/>
        <v>3</v>
      </c>
      <c r="AX313" s="45">
        <f t="shared" si="42"/>
        <v>2</v>
      </c>
      <c r="AY313" s="46">
        <f>VLOOKUP(AP313,COND!$A$10:$B$32,2,FALSE)</f>
        <v>1</v>
      </c>
      <c r="AZ313" s="44">
        <f>($AU$3*AU313+$AV$3*AV313+$AW$3*AW313+$AX$3*AX313)*AY313*IF(AQ313&lt;5,0.95,IF(AQ313&lt;7,0.975,1))+$I$3*VLOOKUP(I313,COND!$A$2:$E$7,4,FALSE)+$J$3*VLOOKUP(J313,COND!$A$2:$E$7,2,FALSE)+$K$3*VLOOKUP(K313,COND!$A$2:$E$7,3,FALSE)+IF(BB313="SP",$BB$3,0)+IF($AW313&lt;3,-5,0)+IF(AND($B$2&gt;0,$E313&lt;20),$B$2*25,0)</f>
        <v>33.625862551211462</v>
      </c>
      <c r="BA313" s="47">
        <f t="shared" si="46"/>
        <v>-0.29741184112339691</v>
      </c>
      <c r="BB313" s="45" t="str">
        <f t="shared" si="43"/>
        <v>SP</v>
      </c>
      <c r="BC313" s="45">
        <v>930</v>
      </c>
      <c r="BD313" s="45">
        <v>308</v>
      </c>
      <c r="BE313" s="45"/>
      <c r="BF313" s="45" t="str">
        <f t="shared" si="44"/>
        <v>Unlikely</v>
      </c>
      <c r="BG313" s="45"/>
      <c r="BH313" s="45">
        <f>INDEX(Table5[[#All],[Ovr]],MATCH(Table3[[#This Row],[PID]],Table5[[#All],[PID]],0))</f>
        <v>604</v>
      </c>
      <c r="BI313" s="45" t="str">
        <f>INDEX(Table5[[#All],[Rnd]],MATCH(Table3[[#This Row],[PID]],Table5[[#All],[PID]],0))</f>
        <v>19</v>
      </c>
      <c r="BJ313" s="45">
        <f>INDEX(Table5[[#All],[Pick]],MATCH(Table3[[#This Row],[PID]],Table5[[#All],[PID]],0))</f>
        <v>1</v>
      </c>
      <c r="BK313" s="45" t="str">
        <f>INDEX(Table5[[#All],[Team]],MATCH(Table3[[#This Row],[PID]],Table5[[#All],[PID]],0))</f>
        <v>Yuma Arroyos</v>
      </c>
      <c r="BL313" s="45" t="str">
        <f>IF(OR(Table3[[#This Row],[POS]]="SP",Table3[[#This Row],[POS]]="RP",Table3[[#This Row],[POS]]="CL"),"P",INDEX(Batters[[#All],[zScore]],MATCH(Table3[[#This Row],[PID]],Batters[[#All],[PID]],0)))</f>
        <v>P</v>
      </c>
    </row>
    <row r="314" spans="1:64" ht="15" customHeight="1" x14ac:dyDescent="0.3">
      <c r="A314" s="40">
        <v>12916</v>
      </c>
      <c r="B314" s="40" t="s">
        <v>380</v>
      </c>
      <c r="C314" s="40" t="s">
        <v>1464</v>
      </c>
      <c r="D314" s="40" t="s">
        <v>632</v>
      </c>
      <c r="E314" s="40">
        <v>21</v>
      </c>
      <c r="F314" s="40" t="s">
        <v>42</v>
      </c>
      <c r="G314" s="40" t="s">
        <v>42</v>
      </c>
      <c r="H314" s="41" t="s">
        <v>561</v>
      </c>
      <c r="I314" s="42" t="s">
        <v>43</v>
      </c>
      <c r="J314" s="40" t="s">
        <v>44</v>
      </c>
      <c r="K314" s="41" t="s">
        <v>43</v>
      </c>
      <c r="L314" s="40">
        <v>2</v>
      </c>
      <c r="M314" s="40">
        <v>2</v>
      </c>
      <c r="N314" s="41">
        <v>2</v>
      </c>
      <c r="O314" s="40">
        <v>4</v>
      </c>
      <c r="P314" s="40">
        <v>2</v>
      </c>
      <c r="Q314" s="41">
        <v>4</v>
      </c>
      <c r="R314" s="40">
        <v>4</v>
      </c>
      <c r="S314" s="40">
        <v>5</v>
      </c>
      <c r="T314" s="40">
        <v>2</v>
      </c>
      <c r="U314" s="40">
        <v>5</v>
      </c>
      <c r="V314" s="40">
        <v>2</v>
      </c>
      <c r="W314" s="40">
        <v>2</v>
      </c>
      <c r="X314" s="40">
        <v>3</v>
      </c>
      <c r="Y314" s="40">
        <v>5</v>
      </c>
      <c r="Z314" s="40" t="s">
        <v>45</v>
      </c>
      <c r="AA314" s="40" t="s">
        <v>45</v>
      </c>
      <c r="AB314" s="40" t="s">
        <v>45</v>
      </c>
      <c r="AC314" s="40" t="s">
        <v>45</v>
      </c>
      <c r="AD314" s="40" t="s">
        <v>45</v>
      </c>
      <c r="AE314" s="40" t="s">
        <v>45</v>
      </c>
      <c r="AF314" s="40" t="s">
        <v>45</v>
      </c>
      <c r="AG314" s="40" t="s">
        <v>45</v>
      </c>
      <c r="AH314" s="40" t="s">
        <v>45</v>
      </c>
      <c r="AI314" s="40" t="s">
        <v>45</v>
      </c>
      <c r="AJ314" s="40" t="s">
        <v>45</v>
      </c>
      <c r="AK314" s="40" t="s">
        <v>45</v>
      </c>
      <c r="AL314" s="40" t="s">
        <v>45</v>
      </c>
      <c r="AM314" s="40" t="s">
        <v>45</v>
      </c>
      <c r="AN314" s="40" t="s">
        <v>45</v>
      </c>
      <c r="AO314" s="41" t="s">
        <v>45</v>
      </c>
      <c r="AP314" s="40" t="s">
        <v>329</v>
      </c>
      <c r="AQ314" s="40">
        <v>10</v>
      </c>
      <c r="AR314" s="48" t="s">
        <v>326</v>
      </c>
      <c r="AS314" s="43" t="s">
        <v>45</v>
      </c>
      <c r="AT314" s="43" t="s">
        <v>103</v>
      </c>
      <c r="AU314" s="44">
        <f t="shared" si="39"/>
        <v>-2.0690406309742588</v>
      </c>
      <c r="AV314" s="44">
        <f t="shared" si="40"/>
        <v>-0.74952209911061918</v>
      </c>
      <c r="AW314" s="45">
        <f t="shared" si="41"/>
        <v>4</v>
      </c>
      <c r="AX314" s="45">
        <f t="shared" si="42"/>
        <v>0</v>
      </c>
      <c r="AY314" s="46">
        <f>VLOOKUP(AP314,COND!$A$10:$B$32,2,FALSE)</f>
        <v>1</v>
      </c>
      <c r="AZ314" s="44">
        <f>($AU$3*AU314+$AV$3*AV314+$AW$3*AW314+$AX$3*AX314)*AY314*IF(AQ314&lt;5,0.95,IF(AQ314&lt;7,0.975,1))+$I$3*VLOOKUP(I314,COND!$A$2:$E$7,4,FALSE)+$J$3*VLOOKUP(J314,COND!$A$2:$E$7,2,FALSE)+$K$3*VLOOKUP(K314,COND!$A$2:$E$7,3,FALSE)+IF(BB314="SP",$BB$3,0)+IF($AW314&lt;3,-5,0)+IF(AND($B$2&gt;0,$E314&lt;20),$B$2*25,0)</f>
        <v>33.295749891592763</v>
      </c>
      <c r="BA314" s="47">
        <f t="shared" si="46"/>
        <v>-0.32091818412865103</v>
      </c>
      <c r="BB314" s="45" t="str">
        <f t="shared" si="43"/>
        <v>SP</v>
      </c>
      <c r="BC314" s="45">
        <v>930</v>
      </c>
      <c r="BD314" s="45">
        <v>309</v>
      </c>
      <c r="BE314" s="45"/>
      <c r="BF314" s="45" t="str">
        <f t="shared" si="44"/>
        <v>Unlikely</v>
      </c>
      <c r="BG314" s="45"/>
      <c r="BH314" s="45">
        <f>INDEX(Table5[[#All],[Ovr]],MATCH(Table3[[#This Row],[PID]],Table5[[#All],[PID]],0))</f>
        <v>399</v>
      </c>
      <c r="BI314" s="45" t="str">
        <f>INDEX(Table5[[#All],[Rnd]],MATCH(Table3[[#This Row],[PID]],Table5[[#All],[PID]],0))</f>
        <v>12</v>
      </c>
      <c r="BJ314" s="45">
        <f>INDEX(Table5[[#All],[Pick]],MATCH(Table3[[#This Row],[PID]],Table5[[#All],[PID]],0))</f>
        <v>34</v>
      </c>
      <c r="BK314" s="45" t="str">
        <f>INDEX(Table5[[#All],[Team]],MATCH(Table3[[#This Row],[PID]],Table5[[#All],[PID]],0))</f>
        <v>Gloucester Fishermen</v>
      </c>
      <c r="BL314" s="45" t="str">
        <f>IF(OR(Table3[[#This Row],[POS]]="SP",Table3[[#This Row],[POS]]="RP",Table3[[#This Row],[POS]]="CL"),"P",INDEX(Batters[[#All],[zScore]],MATCH(Table3[[#This Row],[PID]],Batters[[#All],[PID]],0)))</f>
        <v>P</v>
      </c>
    </row>
    <row r="315" spans="1:64" ht="15" customHeight="1" x14ac:dyDescent="0.3">
      <c r="A315" s="40">
        <v>20935</v>
      </c>
      <c r="B315" s="40" t="s">
        <v>380</v>
      </c>
      <c r="C315" s="40" t="s">
        <v>1529</v>
      </c>
      <c r="D315" s="40" t="s">
        <v>166</v>
      </c>
      <c r="E315" s="40">
        <v>17</v>
      </c>
      <c r="F315" s="40" t="s">
        <v>42</v>
      </c>
      <c r="G315" s="40" t="s">
        <v>42</v>
      </c>
      <c r="H315" s="41" t="s">
        <v>553</v>
      </c>
      <c r="I315" s="42" t="s">
        <v>43</v>
      </c>
      <c r="J315" s="40" t="s">
        <v>44</v>
      </c>
      <c r="K315" s="41" t="s">
        <v>43</v>
      </c>
      <c r="L315" s="40">
        <v>2</v>
      </c>
      <c r="M315" s="40">
        <v>1</v>
      </c>
      <c r="N315" s="41">
        <v>1</v>
      </c>
      <c r="O315" s="40">
        <v>5</v>
      </c>
      <c r="P315" s="40">
        <v>1</v>
      </c>
      <c r="Q315" s="41">
        <v>4</v>
      </c>
      <c r="R315" s="40">
        <v>4</v>
      </c>
      <c r="S315" s="40">
        <v>7</v>
      </c>
      <c r="T315" s="40" t="s">
        <v>45</v>
      </c>
      <c r="U315" s="40" t="s">
        <v>45</v>
      </c>
      <c r="V315" s="40" t="s">
        <v>45</v>
      </c>
      <c r="W315" s="40" t="s">
        <v>45</v>
      </c>
      <c r="X315" s="40">
        <v>2</v>
      </c>
      <c r="Y315" s="40">
        <v>7</v>
      </c>
      <c r="Z315" s="40" t="s">
        <v>45</v>
      </c>
      <c r="AA315" s="40" t="s">
        <v>45</v>
      </c>
      <c r="AB315" s="40" t="s">
        <v>45</v>
      </c>
      <c r="AC315" s="40" t="s">
        <v>45</v>
      </c>
      <c r="AD315" s="40" t="s">
        <v>45</v>
      </c>
      <c r="AE315" s="40" t="s">
        <v>45</v>
      </c>
      <c r="AF315" s="40" t="s">
        <v>45</v>
      </c>
      <c r="AG315" s="40" t="s">
        <v>45</v>
      </c>
      <c r="AH315" s="40" t="s">
        <v>45</v>
      </c>
      <c r="AI315" s="40" t="s">
        <v>45</v>
      </c>
      <c r="AJ315" s="40" t="s">
        <v>45</v>
      </c>
      <c r="AK315" s="40" t="s">
        <v>45</v>
      </c>
      <c r="AL315" s="40" t="s">
        <v>45</v>
      </c>
      <c r="AM315" s="40" t="s">
        <v>45</v>
      </c>
      <c r="AN315" s="40" t="s">
        <v>45</v>
      </c>
      <c r="AO315" s="41" t="s">
        <v>45</v>
      </c>
      <c r="AP315" s="40" t="s">
        <v>58</v>
      </c>
      <c r="AQ315" s="40">
        <v>4</v>
      </c>
      <c r="AR315" s="48" t="s">
        <v>14</v>
      </c>
      <c r="AS315" s="43" t="s">
        <v>500</v>
      </c>
      <c r="AT315" s="43" t="s">
        <v>103</v>
      </c>
      <c r="AU315" s="44">
        <f t="shared" si="39"/>
        <v>-2.5067929134584248</v>
      </c>
      <c r="AV315" s="44">
        <f t="shared" si="40"/>
        <v>-0.75026249103150122</v>
      </c>
      <c r="AW315" s="45">
        <f t="shared" si="41"/>
        <v>2</v>
      </c>
      <c r="AX315" s="45">
        <f t="shared" si="42"/>
        <v>2</v>
      </c>
      <c r="AY315" s="46">
        <f>VLOOKUP(AP315,COND!$A$10:$B$32,2,FALSE)</f>
        <v>1</v>
      </c>
      <c r="AZ315" s="44">
        <f>($AU$3*AU315+$AV$3*AV315+$AW$3*AW315+$AX$3*AX315)*AY315*IF(AQ315&lt;5,0.95,IF(AQ315&lt;7,0.975,1))+$I$3*VLOOKUP(I315,COND!$A$2:$E$7,4,FALSE)+$J$3*VLOOKUP(J315,COND!$A$2:$E$7,2,FALSE)+$K$3*VLOOKUP(K315,COND!$A$2:$E$7,3,FALSE)+IF(BB315="SP",$BB$3,0)+IF($AW315&lt;3,-5,0)+IF(AND($B$2&gt;0,$E315&lt;20),$B$2*25,0)</f>
        <v>33.293722016844377</v>
      </c>
      <c r="BA315" s="47">
        <f t="shared" si="46"/>
        <v>-0.32106258307252161</v>
      </c>
      <c r="BB315" s="45" t="str">
        <f t="shared" si="43"/>
        <v>RP</v>
      </c>
      <c r="BC315" s="45">
        <v>930</v>
      </c>
      <c r="BD315" s="45">
        <v>310</v>
      </c>
      <c r="BE315" s="45"/>
      <c r="BF315" s="45" t="str">
        <f t="shared" si="44"/>
        <v>Unlikely</v>
      </c>
      <c r="BG315" s="45"/>
      <c r="BH315" s="45" t="str">
        <f>INDEX(Table5[[#All],[Ovr]],MATCH(Table3[[#This Row],[PID]],Table5[[#All],[PID]],0))</f>
        <v/>
      </c>
      <c r="BI315" s="45" t="str">
        <f>INDEX(Table5[[#All],[Rnd]],MATCH(Table3[[#This Row],[PID]],Table5[[#All],[PID]],0))</f>
        <v/>
      </c>
      <c r="BJ315" s="45" t="str">
        <f>INDEX(Table5[[#All],[Pick]],MATCH(Table3[[#This Row],[PID]],Table5[[#All],[PID]],0))</f>
        <v/>
      </c>
      <c r="BK315" s="45" t="str">
        <f>INDEX(Table5[[#All],[Team]],MATCH(Table3[[#This Row],[PID]],Table5[[#All],[PID]],0))</f>
        <v/>
      </c>
      <c r="BL315" s="45" t="str">
        <f>IF(OR(Table3[[#This Row],[POS]]="SP",Table3[[#This Row],[POS]]="RP",Table3[[#This Row],[POS]]="CL"),"P",INDEX(Batters[[#All],[zScore]],MATCH(Table3[[#This Row],[PID]],Batters[[#All],[PID]],0)))</f>
        <v>P</v>
      </c>
    </row>
    <row r="316" spans="1:64" ht="15" customHeight="1" x14ac:dyDescent="0.3">
      <c r="A316" s="40">
        <v>21055</v>
      </c>
      <c r="B316" s="40" t="s">
        <v>380</v>
      </c>
      <c r="C316" s="40" t="s">
        <v>481</v>
      </c>
      <c r="D316" s="40" t="s">
        <v>1204</v>
      </c>
      <c r="E316" s="40">
        <v>17</v>
      </c>
      <c r="F316" s="40" t="s">
        <v>42</v>
      </c>
      <c r="G316" s="40" t="s">
        <v>42</v>
      </c>
      <c r="H316" s="41" t="s">
        <v>561</v>
      </c>
      <c r="I316" s="42" t="s">
        <v>43</v>
      </c>
      <c r="J316" s="40" t="s">
        <v>44</v>
      </c>
      <c r="K316" s="41" t="s">
        <v>47</v>
      </c>
      <c r="L316" s="40">
        <v>2</v>
      </c>
      <c r="M316" s="40">
        <v>3</v>
      </c>
      <c r="N316" s="41">
        <v>1</v>
      </c>
      <c r="O316" s="40">
        <v>3</v>
      </c>
      <c r="P316" s="40">
        <v>3</v>
      </c>
      <c r="Q316" s="41">
        <v>3</v>
      </c>
      <c r="R316" s="40">
        <v>3</v>
      </c>
      <c r="S316" s="40">
        <v>4</v>
      </c>
      <c r="T316" s="40" t="s">
        <v>45</v>
      </c>
      <c r="U316" s="40" t="s">
        <v>45</v>
      </c>
      <c r="V316" s="40">
        <v>1</v>
      </c>
      <c r="W316" s="40">
        <v>4</v>
      </c>
      <c r="X316" s="40" t="s">
        <v>45</v>
      </c>
      <c r="Y316" s="40" t="s">
        <v>45</v>
      </c>
      <c r="Z316" s="40">
        <v>3</v>
      </c>
      <c r="AA316" s="40">
        <v>4</v>
      </c>
      <c r="AB316" s="40" t="s">
        <v>45</v>
      </c>
      <c r="AC316" s="40" t="s">
        <v>45</v>
      </c>
      <c r="AD316" s="40" t="s">
        <v>45</v>
      </c>
      <c r="AE316" s="40" t="s">
        <v>45</v>
      </c>
      <c r="AF316" s="40" t="s">
        <v>45</v>
      </c>
      <c r="AG316" s="40" t="s">
        <v>45</v>
      </c>
      <c r="AH316" s="40" t="s">
        <v>45</v>
      </c>
      <c r="AI316" s="40" t="s">
        <v>45</v>
      </c>
      <c r="AJ316" s="40" t="s">
        <v>45</v>
      </c>
      <c r="AK316" s="40" t="s">
        <v>45</v>
      </c>
      <c r="AL316" s="40" t="s">
        <v>45</v>
      </c>
      <c r="AM316" s="40" t="s">
        <v>45</v>
      </c>
      <c r="AN316" s="40" t="s">
        <v>45</v>
      </c>
      <c r="AO316" s="41" t="s">
        <v>45</v>
      </c>
      <c r="AP316" s="40" t="s">
        <v>64</v>
      </c>
      <c r="AQ316" s="40">
        <v>1</v>
      </c>
      <c r="AR316" s="48" t="s">
        <v>325</v>
      </c>
      <c r="AS316" s="43" t="s">
        <v>558</v>
      </c>
      <c r="AT316" s="43" t="s">
        <v>103</v>
      </c>
      <c r="AU316" s="44">
        <f t="shared" si="39"/>
        <v>-2.1159294805983135</v>
      </c>
      <c r="AV316" s="44">
        <f t="shared" si="40"/>
        <v>-0.9911022732438477</v>
      </c>
      <c r="AW316" s="45">
        <f t="shared" si="41"/>
        <v>3</v>
      </c>
      <c r="AX316" s="45">
        <f t="shared" si="42"/>
        <v>0</v>
      </c>
      <c r="AY316" s="46">
        <f>VLOOKUP(AP316,COND!$A$10:$B$32,2,FALSE)</f>
        <v>1</v>
      </c>
      <c r="AZ316" s="44">
        <f>($AU$3*AU316+$AV$3*AV316+$AW$3*AW316+$AX$3*AX316)*AY316*IF(AQ316&lt;5,0.95,IF(AQ316&lt;7,0.975,1))+$I$3*VLOOKUP(I316,COND!$A$2:$E$7,4,FALSE)+$J$3*VLOOKUP(J316,COND!$A$2:$E$7,2,FALSE)+$K$3*VLOOKUP(K316,COND!$A$2:$E$7,3,FALSE)+IF(BB316="SP",$BB$3,0)+IF($AW316&lt;3,-5,0)+IF(AND($B$2&gt;0,$E316&lt;20),$B$2*25,0)</f>
        <v>32.192030207053214</v>
      </c>
      <c r="BA316" s="47">
        <f>STANDARDIZE(AZ316,AVERAGE($AZ$5:$AZ$445),STDEVP($AZ$5:$AZ$445))</f>
        <v>-0.39292547232082453</v>
      </c>
      <c r="BB316" s="45" t="str">
        <f t="shared" si="43"/>
        <v>RP</v>
      </c>
      <c r="BC316" s="45">
        <v>930</v>
      </c>
      <c r="BD316" s="45">
        <v>311</v>
      </c>
      <c r="BE316" s="45"/>
      <c r="BF316" s="45" t="str">
        <f t="shared" si="44"/>
        <v>Unlikely</v>
      </c>
      <c r="BG316" s="45"/>
      <c r="BH316" s="63">
        <f>INDEX(Table5[[#All],[Ovr]],MATCH(Table3[[#This Row],[PID]],Table5[[#All],[PID]],0))</f>
        <v>520</v>
      </c>
      <c r="BI316" s="63" t="str">
        <f>INDEX(Table5[[#All],[Rnd]],MATCH(Table3[[#This Row],[PID]],Table5[[#All],[PID]],0))</f>
        <v>16</v>
      </c>
      <c r="BJ316" s="63">
        <f>INDEX(Table5[[#All],[Pick]],MATCH(Table3[[#This Row],[PID]],Table5[[#All],[PID]],0))</f>
        <v>19</v>
      </c>
      <c r="BK316" s="63" t="str">
        <f>INDEX(Table5[[#All],[Team]],MATCH(Table3[[#This Row],[PID]],Table5[[#All],[PID]],0))</f>
        <v>Fargo Dinosaurs</v>
      </c>
      <c r="BL316" s="63" t="str">
        <f>IF(OR(Table3[[#This Row],[POS]]="SP",Table3[[#This Row],[POS]]="RP",Table3[[#This Row],[POS]]="CL"),"P",INDEX(Batters[[#All],[zScore]],MATCH(Table3[[#This Row],[PID]],Batters[[#All],[PID]],0)))</f>
        <v>P</v>
      </c>
    </row>
    <row r="317" spans="1:64" ht="15" customHeight="1" x14ac:dyDescent="0.3">
      <c r="A317" s="40">
        <v>20605</v>
      </c>
      <c r="B317" s="40" t="s">
        <v>380</v>
      </c>
      <c r="C317" s="40" t="s">
        <v>1371</v>
      </c>
      <c r="D317" s="40" t="s">
        <v>804</v>
      </c>
      <c r="E317" s="40">
        <v>17</v>
      </c>
      <c r="F317" s="40" t="s">
        <v>53</v>
      </c>
      <c r="G317" s="40" t="s">
        <v>53</v>
      </c>
      <c r="H317" s="41" t="s">
        <v>561</v>
      </c>
      <c r="I317" s="42" t="s">
        <v>43</v>
      </c>
      <c r="J317" s="40" t="s">
        <v>44</v>
      </c>
      <c r="K317" s="41" t="s">
        <v>47</v>
      </c>
      <c r="L317" s="40">
        <v>2</v>
      </c>
      <c r="M317" s="40">
        <v>2</v>
      </c>
      <c r="N317" s="41">
        <v>1</v>
      </c>
      <c r="O317" s="40">
        <v>4</v>
      </c>
      <c r="P317" s="40">
        <v>2</v>
      </c>
      <c r="Q317" s="41">
        <v>3</v>
      </c>
      <c r="R317" s="40">
        <v>4</v>
      </c>
      <c r="S317" s="40">
        <v>5</v>
      </c>
      <c r="T317" s="40">
        <v>1</v>
      </c>
      <c r="U317" s="40">
        <v>4</v>
      </c>
      <c r="V317" s="40">
        <v>2</v>
      </c>
      <c r="W317" s="40">
        <v>5</v>
      </c>
      <c r="X317" s="40" t="s">
        <v>45</v>
      </c>
      <c r="Y317" s="40" t="s">
        <v>45</v>
      </c>
      <c r="Z317" s="40" t="s">
        <v>45</v>
      </c>
      <c r="AA317" s="40" t="s">
        <v>45</v>
      </c>
      <c r="AB317" s="40" t="s">
        <v>45</v>
      </c>
      <c r="AC317" s="40" t="s">
        <v>45</v>
      </c>
      <c r="AD317" s="40" t="s">
        <v>45</v>
      </c>
      <c r="AE317" s="40" t="s">
        <v>45</v>
      </c>
      <c r="AF317" s="40" t="s">
        <v>45</v>
      </c>
      <c r="AG317" s="40" t="s">
        <v>45</v>
      </c>
      <c r="AH317" s="40" t="s">
        <v>45</v>
      </c>
      <c r="AI317" s="40" t="s">
        <v>45</v>
      </c>
      <c r="AJ317" s="40" t="s">
        <v>45</v>
      </c>
      <c r="AK317" s="40" t="s">
        <v>45</v>
      </c>
      <c r="AL317" s="40" t="s">
        <v>45</v>
      </c>
      <c r="AM317" s="40" t="s">
        <v>45</v>
      </c>
      <c r="AN317" s="40" t="s">
        <v>45</v>
      </c>
      <c r="AO317" s="41" t="s">
        <v>45</v>
      </c>
      <c r="AP317" s="40" t="s">
        <v>56</v>
      </c>
      <c r="AQ317" s="40">
        <v>3</v>
      </c>
      <c r="AR317" s="48" t="s">
        <v>326</v>
      </c>
      <c r="AS317" s="43" t="s">
        <v>558</v>
      </c>
      <c r="AT317" s="43" t="s">
        <v>103</v>
      </c>
      <c r="AU317" s="44">
        <f t="shared" si="39"/>
        <v>-2.311361197028369</v>
      </c>
      <c r="AV317" s="44">
        <f t="shared" si="40"/>
        <v>-0.99184266516472974</v>
      </c>
      <c r="AW317" s="45">
        <f t="shared" si="41"/>
        <v>3</v>
      </c>
      <c r="AX317" s="45">
        <f t="shared" si="42"/>
        <v>0</v>
      </c>
      <c r="AY317" s="46">
        <f>VLOOKUP(AP317,COND!$A$10:$B$32,2,FALSE)</f>
        <v>1</v>
      </c>
      <c r="AZ317" s="44">
        <f>($AU$3*AU317+$AV$3*AV317+$AW$3*AW317+$AX$3*AX317)*AY317*IF(AQ317&lt;5,0.95,IF(AQ317&lt;7,0.975,1))+$I$3*VLOOKUP(I317,COND!$A$2:$E$7,4,FALSE)+$J$3*VLOOKUP(J317,COND!$A$2:$E$7,2,FALSE)+$K$3*VLOOKUP(K317,COND!$A$2:$E$7,3,FALSE)+IF(BB317="SP",$BB$3,0)+IF($AW317&lt;3,-5,0)+IF(AND($B$2&gt;0,$E317&lt;20),$B$2*25,0)</f>
        <v>32.140830734434743</v>
      </c>
      <c r="BA317" s="47">
        <f>STANDARDIZE(AZ317,AVERAGE($AZ$5:$AZ$445),STDEVP($AZ$5:$AZ$445))</f>
        <v>-0.39656798887529759</v>
      </c>
      <c r="BB317" s="45" t="str">
        <f t="shared" si="43"/>
        <v>RP</v>
      </c>
      <c r="BC317" s="45">
        <v>930</v>
      </c>
      <c r="BD317" s="45">
        <v>312</v>
      </c>
      <c r="BE317" s="45"/>
      <c r="BF317" s="45" t="str">
        <f t="shared" si="44"/>
        <v>Unlikely</v>
      </c>
      <c r="BG317" s="45"/>
      <c r="BH317" s="63" t="str">
        <f>INDEX(Table5[[#All],[Ovr]],MATCH(Table3[[#This Row],[PID]],Table5[[#All],[PID]],0))</f>
        <v/>
      </c>
      <c r="BI317" s="63" t="str">
        <f>INDEX(Table5[[#All],[Rnd]],MATCH(Table3[[#This Row],[PID]],Table5[[#All],[PID]],0))</f>
        <v/>
      </c>
      <c r="BJ317" s="63" t="str">
        <f>INDEX(Table5[[#All],[Pick]],MATCH(Table3[[#This Row],[PID]],Table5[[#All],[PID]],0))</f>
        <v/>
      </c>
      <c r="BK317" s="63" t="str">
        <f>INDEX(Table5[[#All],[Team]],MATCH(Table3[[#This Row],[PID]],Table5[[#All],[PID]],0))</f>
        <v/>
      </c>
      <c r="BL317" s="63" t="str">
        <f>IF(OR(Table3[[#This Row],[POS]]="SP",Table3[[#This Row],[POS]]="RP",Table3[[#This Row],[POS]]="CL"),"P",INDEX(Batters[[#All],[zScore]],MATCH(Table3[[#This Row],[PID]],Batters[[#All],[PID]],0)))</f>
        <v>P</v>
      </c>
    </row>
    <row r="318" spans="1:64" ht="15" customHeight="1" x14ac:dyDescent="0.3">
      <c r="A318" s="40">
        <v>20273</v>
      </c>
      <c r="B318" s="40" t="s">
        <v>380</v>
      </c>
      <c r="C318" s="40" t="s">
        <v>954</v>
      </c>
      <c r="D318" s="40" t="s">
        <v>955</v>
      </c>
      <c r="E318" s="40">
        <v>23</v>
      </c>
      <c r="F318" s="40" t="s">
        <v>42</v>
      </c>
      <c r="G318" s="40" t="s">
        <v>42</v>
      </c>
      <c r="H318" s="41" t="s">
        <v>561</v>
      </c>
      <c r="I318" s="42" t="s">
        <v>44</v>
      </c>
      <c r="J318" s="40" t="s">
        <v>44</v>
      </c>
      <c r="K318" s="41" t="s">
        <v>43</v>
      </c>
      <c r="L318" s="40">
        <v>3</v>
      </c>
      <c r="M318" s="40">
        <v>2</v>
      </c>
      <c r="N318" s="41">
        <v>4</v>
      </c>
      <c r="O318" s="40">
        <v>4</v>
      </c>
      <c r="P318" s="40">
        <v>2</v>
      </c>
      <c r="Q318" s="41">
        <v>4</v>
      </c>
      <c r="R318" s="40">
        <v>5</v>
      </c>
      <c r="S318" s="40">
        <v>6</v>
      </c>
      <c r="T318" s="40">
        <v>1</v>
      </c>
      <c r="U318" s="40">
        <v>1</v>
      </c>
      <c r="V318" s="40" t="s">
        <v>45</v>
      </c>
      <c r="W318" s="40" t="s">
        <v>45</v>
      </c>
      <c r="X318" s="40">
        <v>4</v>
      </c>
      <c r="Y318" s="40">
        <v>4</v>
      </c>
      <c r="Z318" s="40" t="s">
        <v>45</v>
      </c>
      <c r="AA318" s="40" t="s">
        <v>45</v>
      </c>
      <c r="AB318" s="40" t="s">
        <v>45</v>
      </c>
      <c r="AC318" s="40" t="s">
        <v>45</v>
      </c>
      <c r="AD318" s="40" t="s">
        <v>45</v>
      </c>
      <c r="AE318" s="40" t="s">
        <v>45</v>
      </c>
      <c r="AF318" s="40">
        <v>4</v>
      </c>
      <c r="AG318" s="40">
        <v>5</v>
      </c>
      <c r="AH318" s="40" t="s">
        <v>45</v>
      </c>
      <c r="AI318" s="40" t="s">
        <v>45</v>
      </c>
      <c r="AJ318" s="40" t="s">
        <v>45</v>
      </c>
      <c r="AK318" s="40" t="s">
        <v>45</v>
      </c>
      <c r="AL318" s="40" t="s">
        <v>45</v>
      </c>
      <c r="AM318" s="40" t="s">
        <v>45</v>
      </c>
      <c r="AN318" s="40" t="s">
        <v>45</v>
      </c>
      <c r="AO318" s="41" t="s">
        <v>45</v>
      </c>
      <c r="AP318" s="40" t="s">
        <v>54</v>
      </c>
      <c r="AQ318" s="40">
        <v>4</v>
      </c>
      <c r="AR318" s="48" t="s">
        <v>326</v>
      </c>
      <c r="AS318" s="43" t="s">
        <v>45</v>
      </c>
      <c r="AT318" s="43" t="s">
        <v>103</v>
      </c>
      <c r="AU318" s="44">
        <f t="shared" si="39"/>
        <v>-1.3897081743568644</v>
      </c>
      <c r="AV318" s="44">
        <f t="shared" si="40"/>
        <v>-0.74952209911061918</v>
      </c>
      <c r="AW318" s="45">
        <f t="shared" si="41"/>
        <v>4</v>
      </c>
      <c r="AX318" s="45">
        <f t="shared" si="42"/>
        <v>1</v>
      </c>
      <c r="AY318" s="46">
        <f>VLOOKUP(AP318,COND!$A$10:$B$32,2,FALSE)</f>
        <v>1.0249999999999999</v>
      </c>
      <c r="AZ318" s="44">
        <f>($AU$3*AU318+$AV$3*AV318+$AW$3*AW318+$AX$3*AX318)*AY318*IF(AQ318&lt;5,0.95,IF(AQ318&lt;7,0.975,1))+$I$3*VLOOKUP(I318,COND!$A$2:$E$7,4,FALSE)+$J$3*VLOOKUP(J318,COND!$A$2:$E$7,2,FALSE)+$K$3*VLOOKUP(K318,COND!$A$2:$E$7,3,FALSE)+IF(BB318="SP",$BB$3,0)+IF($AW318&lt;3,-5,0)+IF(AND($B$2&gt;0,$E318&lt;20),$B$2*25,0)</f>
        <v>32.847098952864691</v>
      </c>
      <c r="BA318" s="47">
        <f>STANDARDIZE(AZ318,AVERAGE($AZ$5:$AZ$428),STDEVP($AZ$5:$AZ$428))</f>
        <v>-0.35286528627115216</v>
      </c>
      <c r="BB318" s="45" t="str">
        <f t="shared" si="43"/>
        <v>RP</v>
      </c>
      <c r="BC318" s="45">
        <v>930</v>
      </c>
      <c r="BD318" s="45">
        <v>313</v>
      </c>
      <c r="BE318" s="45"/>
      <c r="BF318" s="45" t="str">
        <f t="shared" si="44"/>
        <v>Unlikely</v>
      </c>
      <c r="BG318" s="45"/>
      <c r="BH318" s="45">
        <f>INDEX(Table5[[#All],[Ovr]],MATCH(Table3[[#This Row],[PID]],Table5[[#All],[PID]],0))</f>
        <v>622</v>
      </c>
      <c r="BI318" s="45" t="str">
        <f>INDEX(Table5[[#All],[Rnd]],MATCH(Table3[[#This Row],[PID]],Table5[[#All],[PID]],0))</f>
        <v>19</v>
      </c>
      <c r="BJ318" s="45">
        <f>INDEX(Table5[[#All],[Pick]],MATCH(Table3[[#This Row],[PID]],Table5[[#All],[PID]],0))</f>
        <v>19</v>
      </c>
      <c r="BK318" s="45" t="str">
        <f>INDEX(Table5[[#All],[Team]],MATCH(Table3[[#This Row],[PID]],Table5[[#All],[PID]],0))</f>
        <v>Fargo Dinosaurs</v>
      </c>
      <c r="BL318" s="45" t="str">
        <f>IF(OR(Table3[[#This Row],[POS]]="SP",Table3[[#This Row],[POS]]="RP",Table3[[#This Row],[POS]]="CL"),"P",INDEX(Batters[[#All],[zScore]],MATCH(Table3[[#This Row],[PID]],Batters[[#All],[PID]],0)))</f>
        <v>P</v>
      </c>
    </row>
    <row r="319" spans="1:64" ht="15" customHeight="1" x14ac:dyDescent="0.3">
      <c r="A319" s="40">
        <v>14608</v>
      </c>
      <c r="B319" s="40" t="s">
        <v>380</v>
      </c>
      <c r="C319" s="40" t="s">
        <v>199</v>
      </c>
      <c r="D319" s="40" t="s">
        <v>1496</v>
      </c>
      <c r="E319" s="40">
        <v>21</v>
      </c>
      <c r="F319" s="40" t="s">
        <v>42</v>
      </c>
      <c r="G319" s="40" t="s">
        <v>42</v>
      </c>
      <c r="H319" s="41" t="s">
        <v>561</v>
      </c>
      <c r="I319" s="42" t="s">
        <v>43</v>
      </c>
      <c r="J319" s="40" t="s">
        <v>44</v>
      </c>
      <c r="K319" s="41" t="s">
        <v>43</v>
      </c>
      <c r="L319" s="40">
        <v>2</v>
      </c>
      <c r="M319" s="40">
        <v>1</v>
      </c>
      <c r="N319" s="41">
        <v>3</v>
      </c>
      <c r="O319" s="40">
        <v>4</v>
      </c>
      <c r="P319" s="40">
        <v>2</v>
      </c>
      <c r="Q319" s="41">
        <v>4</v>
      </c>
      <c r="R319" s="40">
        <v>4</v>
      </c>
      <c r="S319" s="40">
        <v>5</v>
      </c>
      <c r="T319" s="40">
        <v>1</v>
      </c>
      <c r="U319" s="40">
        <v>1</v>
      </c>
      <c r="V319" s="40">
        <v>2</v>
      </c>
      <c r="W319" s="40">
        <v>6</v>
      </c>
      <c r="X319" s="40" t="s">
        <v>45</v>
      </c>
      <c r="Y319" s="40" t="s">
        <v>45</v>
      </c>
      <c r="Z319" s="40" t="s">
        <v>45</v>
      </c>
      <c r="AA319" s="40" t="s">
        <v>45</v>
      </c>
      <c r="AB319" s="40" t="s">
        <v>45</v>
      </c>
      <c r="AC319" s="40" t="s">
        <v>45</v>
      </c>
      <c r="AD319" s="40" t="s">
        <v>45</v>
      </c>
      <c r="AE319" s="40" t="s">
        <v>45</v>
      </c>
      <c r="AF319" s="40" t="s">
        <v>45</v>
      </c>
      <c r="AG319" s="40" t="s">
        <v>45</v>
      </c>
      <c r="AH319" s="40" t="s">
        <v>45</v>
      </c>
      <c r="AI319" s="40" t="s">
        <v>45</v>
      </c>
      <c r="AJ319" s="40" t="s">
        <v>45</v>
      </c>
      <c r="AK319" s="40" t="s">
        <v>45</v>
      </c>
      <c r="AL319" s="40" t="s">
        <v>45</v>
      </c>
      <c r="AM319" s="40" t="s">
        <v>45</v>
      </c>
      <c r="AN319" s="40" t="s">
        <v>45</v>
      </c>
      <c r="AO319" s="41" t="s">
        <v>45</v>
      </c>
      <c r="AP319" s="40" t="s">
        <v>329</v>
      </c>
      <c r="AQ319" s="40">
        <v>3</v>
      </c>
      <c r="AR319" s="48" t="s">
        <v>14</v>
      </c>
      <c r="AS319" s="43" t="s">
        <v>45</v>
      </c>
      <c r="AT319" s="43" t="s">
        <v>103</v>
      </c>
      <c r="AU319" s="44">
        <f t="shared" si="39"/>
        <v>-2.0221517813502041</v>
      </c>
      <c r="AV319" s="44">
        <f t="shared" si="40"/>
        <v>-0.74952209911061918</v>
      </c>
      <c r="AW319" s="45">
        <f t="shared" si="41"/>
        <v>3</v>
      </c>
      <c r="AX319" s="45">
        <f t="shared" si="42"/>
        <v>1</v>
      </c>
      <c r="AY319" s="46">
        <f>VLOOKUP(AP319,COND!$A$10:$B$32,2,FALSE)</f>
        <v>1</v>
      </c>
      <c r="AZ319" s="44">
        <f>($AU$3*AU319+$AV$3*AV319+$AW$3*AW319+$AX$3*AX319)*AY319*IF(AQ319&lt;5,0.95,IF(AQ319&lt;7,0.975,1))+$I$3*VLOOKUP(I319,COND!$A$2:$E$7,4,FALSE)+$J$3*VLOOKUP(J319,COND!$A$2:$E$7,2,FALSE)+$K$3*VLOOKUP(K319,COND!$A$2:$E$7,3,FALSE)+IF(BB319="SP",$BB$3,0)+IF($AW319&lt;3,-5,0)+IF(AND($B$2&gt;0,$E319&lt;20),$B$2*25,0)</f>
        <v>32.687371278441695</v>
      </c>
      <c r="BA319" s="47">
        <f>STANDARDIZE(AZ319,AVERAGE($AZ$5:$AZ$428),STDEVP($AZ$5:$AZ$428))</f>
        <v>-0.36423902003451436</v>
      </c>
      <c r="BB319" s="45" t="str">
        <f t="shared" si="43"/>
        <v>RP</v>
      </c>
      <c r="BC319" s="45">
        <v>930</v>
      </c>
      <c r="BD319" s="45">
        <v>314</v>
      </c>
      <c r="BE319" s="45"/>
      <c r="BF319" s="45" t="str">
        <f t="shared" si="44"/>
        <v>Unlikely</v>
      </c>
      <c r="BG319" s="45"/>
      <c r="BH319" s="45" t="str">
        <f>INDEX(Table5[[#All],[Ovr]],MATCH(Table3[[#This Row],[PID]],Table5[[#All],[PID]],0))</f>
        <v/>
      </c>
      <c r="BI319" s="45" t="str">
        <f>INDEX(Table5[[#All],[Rnd]],MATCH(Table3[[#This Row],[PID]],Table5[[#All],[PID]],0))</f>
        <v/>
      </c>
      <c r="BJ319" s="45" t="str">
        <f>INDEX(Table5[[#All],[Pick]],MATCH(Table3[[#This Row],[PID]],Table5[[#All],[PID]],0))</f>
        <v/>
      </c>
      <c r="BK319" s="45" t="str">
        <f>INDEX(Table5[[#All],[Team]],MATCH(Table3[[#This Row],[PID]],Table5[[#All],[PID]],0))</f>
        <v/>
      </c>
      <c r="BL319" s="45" t="str">
        <f>IF(OR(Table3[[#This Row],[POS]]="SP",Table3[[#This Row],[POS]]="RP",Table3[[#This Row],[POS]]="CL"),"P",INDEX(Batters[[#All],[zScore]],MATCH(Table3[[#This Row],[PID]],Batters[[#All],[PID]],0)))</f>
        <v>P</v>
      </c>
    </row>
    <row r="320" spans="1:64" ht="15" customHeight="1" x14ac:dyDescent="0.3">
      <c r="A320" s="40">
        <v>20291</v>
      </c>
      <c r="B320" s="40" t="s">
        <v>24</v>
      </c>
      <c r="C320" s="40" t="s">
        <v>1410</v>
      </c>
      <c r="D320" s="40" t="s">
        <v>1411</v>
      </c>
      <c r="E320" s="40">
        <v>21</v>
      </c>
      <c r="F320" s="40" t="s">
        <v>42</v>
      </c>
      <c r="G320" s="40" t="s">
        <v>42</v>
      </c>
      <c r="H320" s="41" t="s">
        <v>561</v>
      </c>
      <c r="I320" s="42" t="s">
        <v>43</v>
      </c>
      <c r="J320" s="40" t="s">
        <v>44</v>
      </c>
      <c r="K320" s="41" t="s">
        <v>43</v>
      </c>
      <c r="L320" s="40">
        <v>3</v>
      </c>
      <c r="M320" s="40">
        <v>2</v>
      </c>
      <c r="N320" s="41">
        <v>2</v>
      </c>
      <c r="O320" s="40">
        <v>4</v>
      </c>
      <c r="P320" s="40">
        <v>2</v>
      </c>
      <c r="Q320" s="41">
        <v>3</v>
      </c>
      <c r="R320" s="40">
        <v>5</v>
      </c>
      <c r="S320" s="40">
        <v>6</v>
      </c>
      <c r="T320" s="40">
        <v>2</v>
      </c>
      <c r="U320" s="40">
        <v>6</v>
      </c>
      <c r="V320" s="40" t="s">
        <v>45</v>
      </c>
      <c r="W320" s="40" t="s">
        <v>45</v>
      </c>
      <c r="X320" s="40" t="s">
        <v>45</v>
      </c>
      <c r="Y320" s="40" t="s">
        <v>45</v>
      </c>
      <c r="Z320" s="40" t="s">
        <v>45</v>
      </c>
      <c r="AA320" s="40" t="s">
        <v>45</v>
      </c>
      <c r="AB320" s="40">
        <v>4</v>
      </c>
      <c r="AC320" s="40">
        <v>6</v>
      </c>
      <c r="AD320" s="40" t="s">
        <v>45</v>
      </c>
      <c r="AE320" s="40" t="s">
        <v>45</v>
      </c>
      <c r="AF320" s="40" t="s">
        <v>45</v>
      </c>
      <c r="AG320" s="40" t="s">
        <v>45</v>
      </c>
      <c r="AH320" s="40" t="s">
        <v>45</v>
      </c>
      <c r="AI320" s="40" t="s">
        <v>45</v>
      </c>
      <c r="AJ320" s="40" t="s">
        <v>45</v>
      </c>
      <c r="AK320" s="40" t="s">
        <v>45</v>
      </c>
      <c r="AL320" s="40" t="s">
        <v>45</v>
      </c>
      <c r="AM320" s="40" t="s">
        <v>45</v>
      </c>
      <c r="AN320" s="40" t="s">
        <v>45</v>
      </c>
      <c r="AO320" s="41" t="s">
        <v>45</v>
      </c>
      <c r="AP320" s="40" t="s">
        <v>58</v>
      </c>
      <c r="AQ320" s="40">
        <v>6</v>
      </c>
      <c r="AR320" s="48" t="s">
        <v>326</v>
      </c>
      <c r="AS320" s="43" t="s">
        <v>563</v>
      </c>
      <c r="AT320" s="43" t="s">
        <v>103</v>
      </c>
      <c r="AU320" s="44">
        <f t="shared" si="39"/>
        <v>-1.8743493064650851</v>
      </c>
      <c r="AV320" s="44">
        <f t="shared" si="40"/>
        <v>-0.99184266516472974</v>
      </c>
      <c r="AW320" s="45">
        <f t="shared" si="41"/>
        <v>3</v>
      </c>
      <c r="AX320" s="45">
        <f t="shared" si="42"/>
        <v>3</v>
      </c>
      <c r="AY320" s="46">
        <f>VLOOKUP(AP320,COND!$A$10:$B$32,2,FALSE)</f>
        <v>1</v>
      </c>
      <c r="AZ320" s="44">
        <f>($AU$3*AU320+$AV$3*AV320+$AW$3*AW320+$AX$3*AX320)*AY320*IF(AQ320&lt;5,0.95,IF(AQ320&lt;7,0.975,1))+$I$3*VLOOKUP(I320,COND!$A$2:$E$7,4,FALSE)+$J$3*VLOOKUP(J320,COND!$A$2:$E$7,2,FALSE)+$K$3*VLOOKUP(K320,COND!$A$2:$E$7,3,FALSE)+IF(BB320="SP",$BB$3,0)+IF($AW320&lt;3,-5,0)+IF(AND($B$2&gt;0,$E320&lt;20),$B$2*25,0)</f>
        <v>32.112319914527077</v>
      </c>
      <c r="BA320" s="47">
        <f>STANDARDIZE(AZ320,AVERAGE($AZ$5:$AZ$445),STDEVP($AZ$5:$AZ$445))</f>
        <v>-0.39859635221937251</v>
      </c>
      <c r="BB320" s="45" t="str">
        <f t="shared" si="43"/>
        <v>SP</v>
      </c>
      <c r="BC320" s="45">
        <v>930</v>
      </c>
      <c r="BD320" s="45">
        <v>315</v>
      </c>
      <c r="BE320" s="45"/>
      <c r="BF320" s="45" t="str">
        <f t="shared" si="44"/>
        <v>Unlikely</v>
      </c>
      <c r="BG320" s="45"/>
      <c r="BH320" s="63">
        <f>INDEX(Table5[[#All],[Ovr]],MATCH(Table3[[#This Row],[PID]],Table5[[#All],[PID]],0))</f>
        <v>424</v>
      </c>
      <c r="BI320" s="63" t="str">
        <f>INDEX(Table5[[#All],[Rnd]],MATCH(Table3[[#This Row],[PID]],Table5[[#All],[PID]],0))</f>
        <v>13</v>
      </c>
      <c r="BJ320" s="63">
        <f>INDEX(Table5[[#All],[Pick]],MATCH(Table3[[#This Row],[PID]],Table5[[#All],[PID]],0))</f>
        <v>25</v>
      </c>
      <c r="BK320" s="63" t="str">
        <f>INDEX(Table5[[#All],[Team]],MATCH(Table3[[#This Row],[PID]],Table5[[#All],[PID]],0))</f>
        <v>Kalamazoo Badgers</v>
      </c>
      <c r="BL320" s="63" t="str">
        <f>IF(OR(Table3[[#This Row],[POS]]="SP",Table3[[#This Row],[POS]]="RP",Table3[[#This Row],[POS]]="CL"),"P",INDEX(Batters[[#All],[zScore]],MATCH(Table3[[#This Row],[PID]],Batters[[#All],[PID]],0)))</f>
        <v>P</v>
      </c>
    </row>
    <row r="321" spans="1:64" ht="15" customHeight="1" x14ac:dyDescent="0.3">
      <c r="A321" s="40">
        <v>5077</v>
      </c>
      <c r="B321" s="40" t="s">
        <v>380</v>
      </c>
      <c r="C321" s="40" t="s">
        <v>281</v>
      </c>
      <c r="D321" s="40" t="s">
        <v>1512</v>
      </c>
      <c r="E321" s="40">
        <v>21</v>
      </c>
      <c r="F321" s="40" t="s">
        <v>42</v>
      </c>
      <c r="G321" s="40" t="s">
        <v>42</v>
      </c>
      <c r="H321" s="41" t="s">
        <v>561</v>
      </c>
      <c r="I321" s="42" t="s">
        <v>43</v>
      </c>
      <c r="J321" s="40" t="s">
        <v>44</v>
      </c>
      <c r="K321" s="41" t="s">
        <v>43</v>
      </c>
      <c r="L321" s="40">
        <v>2</v>
      </c>
      <c r="M321" s="40">
        <v>2</v>
      </c>
      <c r="N321" s="41">
        <v>1</v>
      </c>
      <c r="O321" s="40">
        <v>5</v>
      </c>
      <c r="P321" s="40">
        <v>3</v>
      </c>
      <c r="Q321" s="41">
        <v>2</v>
      </c>
      <c r="R321" s="40">
        <v>4</v>
      </c>
      <c r="S321" s="40">
        <v>6</v>
      </c>
      <c r="T321" s="40">
        <v>1</v>
      </c>
      <c r="U321" s="40">
        <v>1</v>
      </c>
      <c r="V321" s="40" t="s">
        <v>45</v>
      </c>
      <c r="W321" s="40" t="s">
        <v>45</v>
      </c>
      <c r="X321" s="40" t="s">
        <v>45</v>
      </c>
      <c r="Y321" s="40" t="s">
        <v>45</v>
      </c>
      <c r="Z321" s="40" t="s">
        <v>45</v>
      </c>
      <c r="AA321" s="40" t="s">
        <v>45</v>
      </c>
      <c r="AB321" s="40">
        <v>3</v>
      </c>
      <c r="AC321" s="40">
        <v>5</v>
      </c>
      <c r="AD321" s="40" t="s">
        <v>45</v>
      </c>
      <c r="AE321" s="40" t="s">
        <v>45</v>
      </c>
      <c r="AF321" s="40" t="s">
        <v>45</v>
      </c>
      <c r="AG321" s="40" t="s">
        <v>45</v>
      </c>
      <c r="AH321" s="40" t="s">
        <v>45</v>
      </c>
      <c r="AI321" s="40" t="s">
        <v>45</v>
      </c>
      <c r="AJ321" s="40" t="s">
        <v>45</v>
      </c>
      <c r="AK321" s="40" t="s">
        <v>45</v>
      </c>
      <c r="AL321" s="40" t="s">
        <v>45</v>
      </c>
      <c r="AM321" s="40" t="s">
        <v>45</v>
      </c>
      <c r="AN321" s="40" t="s">
        <v>45</v>
      </c>
      <c r="AO321" s="41" t="s">
        <v>45</v>
      </c>
      <c r="AP321" s="40" t="s">
        <v>329</v>
      </c>
      <c r="AQ321" s="40">
        <v>9</v>
      </c>
      <c r="AR321" s="48" t="s">
        <v>326</v>
      </c>
      <c r="AS321" s="43" t="s">
        <v>45</v>
      </c>
      <c r="AT321" s="43" t="s">
        <v>103</v>
      </c>
      <c r="AU321" s="44">
        <f t="shared" si="39"/>
        <v>-2.311361197028369</v>
      </c>
      <c r="AV321" s="44">
        <f t="shared" si="40"/>
        <v>-0.84404019027961108</v>
      </c>
      <c r="AW321" s="45">
        <f t="shared" si="41"/>
        <v>3</v>
      </c>
      <c r="AX321" s="45">
        <f t="shared" si="42"/>
        <v>1</v>
      </c>
      <c r="AY321" s="46">
        <f>VLOOKUP(AP321,COND!$A$10:$B$32,2,FALSE)</f>
        <v>1</v>
      </c>
      <c r="AZ321" s="44">
        <f>($AU$3*AU321+$AV$3*AV321+$AW$3*AW321+$AX$3*AX321)*AY321*IF(AQ321&lt;5,0.95,IF(AQ321&lt;7,0.975,1))+$I$3*VLOOKUP(I321,COND!$A$2:$E$7,4,FALSE)+$J$3*VLOOKUP(J321,COND!$A$2:$E$7,2,FALSE)+$K$3*VLOOKUP(K321,COND!$A$2:$E$7,3,FALSE)+IF(BB321="SP",$BB$3,0)+IF($AW321&lt;3,-5,0)+IF(AND($B$2&gt;0,$E321&lt;20),$B$2*25,0)</f>
        <v>32.106923955002102</v>
      </c>
      <c r="BA321" s="47">
        <f>STANDARDIZE(AZ321,AVERAGE($AZ$5:$AZ$428),STDEVP($AZ$5:$AZ$428))</f>
        <v>-0.40557095167570811</v>
      </c>
      <c r="BB321" s="45" t="str">
        <f t="shared" si="43"/>
        <v>SP</v>
      </c>
      <c r="BC321" s="45">
        <v>930</v>
      </c>
      <c r="BD321" s="45">
        <v>316</v>
      </c>
      <c r="BE321" s="45"/>
      <c r="BF321" s="45" t="str">
        <f t="shared" si="44"/>
        <v>Unlikely</v>
      </c>
      <c r="BG321" s="45"/>
      <c r="BH321" s="45">
        <f>INDEX(Table5[[#All],[Ovr]],MATCH(Table3[[#This Row],[PID]],Table5[[#All],[PID]],0))</f>
        <v>412</v>
      </c>
      <c r="BI321" s="45" t="str">
        <f>INDEX(Table5[[#All],[Rnd]],MATCH(Table3[[#This Row],[PID]],Table5[[#All],[PID]],0))</f>
        <v>13</v>
      </c>
      <c r="BJ321" s="45">
        <f>INDEX(Table5[[#All],[Pick]],MATCH(Table3[[#This Row],[PID]],Table5[[#All],[PID]],0))</f>
        <v>13</v>
      </c>
      <c r="BK321" s="45" t="str">
        <f>INDEX(Table5[[#All],[Team]],MATCH(Table3[[#This Row],[PID]],Table5[[#All],[PID]],0))</f>
        <v>Scottish Claymores</v>
      </c>
      <c r="BL321" s="45" t="str">
        <f>IF(OR(Table3[[#This Row],[POS]]="SP",Table3[[#This Row],[POS]]="RP",Table3[[#This Row],[POS]]="CL"),"P",INDEX(Batters[[#All],[zScore]],MATCH(Table3[[#This Row],[PID]],Batters[[#All],[PID]],0)))</f>
        <v>P</v>
      </c>
    </row>
    <row r="322" spans="1:64" ht="15" customHeight="1" x14ac:dyDescent="0.3">
      <c r="A322" s="40">
        <v>6889</v>
      </c>
      <c r="B322" s="40" t="s">
        <v>24</v>
      </c>
      <c r="C322" s="40" t="s">
        <v>316</v>
      </c>
      <c r="D322" s="40" t="s">
        <v>1537</v>
      </c>
      <c r="E322" s="40">
        <v>21</v>
      </c>
      <c r="F322" s="40" t="s">
        <v>42</v>
      </c>
      <c r="G322" s="40" t="s">
        <v>42</v>
      </c>
      <c r="H322" s="41" t="s">
        <v>561</v>
      </c>
      <c r="I322" s="42" t="s">
        <v>43</v>
      </c>
      <c r="J322" s="40" t="s">
        <v>44</v>
      </c>
      <c r="K322" s="41" t="s">
        <v>43</v>
      </c>
      <c r="L322" s="40">
        <v>2</v>
      </c>
      <c r="M322" s="40">
        <v>2</v>
      </c>
      <c r="N322" s="41">
        <v>2</v>
      </c>
      <c r="O322" s="40">
        <v>4</v>
      </c>
      <c r="P322" s="40">
        <v>2</v>
      </c>
      <c r="Q322" s="41">
        <v>3</v>
      </c>
      <c r="R322" s="40">
        <v>4</v>
      </c>
      <c r="S322" s="40">
        <v>6</v>
      </c>
      <c r="T322" s="40">
        <v>2</v>
      </c>
      <c r="U322" s="40">
        <v>6</v>
      </c>
      <c r="V322" s="40" t="s">
        <v>45</v>
      </c>
      <c r="W322" s="40" t="s">
        <v>45</v>
      </c>
      <c r="X322" s="40" t="s">
        <v>45</v>
      </c>
      <c r="Y322" s="40" t="s">
        <v>45</v>
      </c>
      <c r="Z322" s="40" t="s">
        <v>45</v>
      </c>
      <c r="AA322" s="40" t="s">
        <v>45</v>
      </c>
      <c r="AB322" s="40" t="s">
        <v>45</v>
      </c>
      <c r="AC322" s="40" t="s">
        <v>45</v>
      </c>
      <c r="AD322" s="40">
        <v>3</v>
      </c>
      <c r="AE322" s="40">
        <v>6</v>
      </c>
      <c r="AF322" s="40" t="s">
        <v>45</v>
      </c>
      <c r="AG322" s="40" t="s">
        <v>45</v>
      </c>
      <c r="AH322" s="40" t="s">
        <v>45</v>
      </c>
      <c r="AI322" s="40" t="s">
        <v>45</v>
      </c>
      <c r="AJ322" s="40" t="s">
        <v>45</v>
      </c>
      <c r="AK322" s="40" t="s">
        <v>45</v>
      </c>
      <c r="AL322" s="40" t="s">
        <v>45</v>
      </c>
      <c r="AM322" s="40" t="s">
        <v>45</v>
      </c>
      <c r="AN322" s="40" t="s">
        <v>45</v>
      </c>
      <c r="AO322" s="41" t="s">
        <v>45</v>
      </c>
      <c r="AP322" s="40" t="s">
        <v>56</v>
      </c>
      <c r="AQ322" s="40">
        <v>5</v>
      </c>
      <c r="AR322" s="48" t="s">
        <v>14</v>
      </c>
      <c r="AS322" s="43" t="s">
        <v>45</v>
      </c>
      <c r="AT322" s="43" t="s">
        <v>103</v>
      </c>
      <c r="AU322" s="44">
        <f t="shared" si="39"/>
        <v>-2.0690406309742588</v>
      </c>
      <c r="AV322" s="44">
        <f t="shared" si="40"/>
        <v>-0.99184266516472974</v>
      </c>
      <c r="AW322" s="45">
        <f t="shared" si="41"/>
        <v>3</v>
      </c>
      <c r="AX322" s="45">
        <f t="shared" si="42"/>
        <v>3</v>
      </c>
      <c r="AY322" s="46">
        <f>VLOOKUP(AP322,COND!$A$10:$B$32,2,FALSE)</f>
        <v>1</v>
      </c>
      <c r="AZ322" s="44">
        <f>($AU$3*AU322+$AV$3*AV322+$AW$3*AW322+$AX$3*AX322)*AY322*IF(AQ322&lt;5,0.95,IF(AQ322&lt;7,0.975,1))+$I$3*VLOOKUP(I322,COND!$A$2:$E$7,4,FALSE)+$J$3*VLOOKUP(J322,COND!$A$2:$E$7,2,FALSE)+$K$3*VLOOKUP(K322,COND!$A$2:$E$7,3,FALSE)+IF(BB322="SP",$BB$3,0)+IF($AW322&lt;3,-5,0)+IF(AND($B$2&gt;0,$E322&lt;20),$B$2*25,0)</f>
        <v>32.074355106247786</v>
      </c>
      <c r="BA322" s="47">
        <f>STANDARDIZE(AZ322,AVERAGE($AZ$5:$AZ$428),STDEVP($AZ$5:$AZ$428))</f>
        <v>-0.40789008275959165</v>
      </c>
      <c r="BB322" s="45" t="str">
        <f t="shared" si="43"/>
        <v>SP</v>
      </c>
      <c r="BC322" s="45">
        <v>930</v>
      </c>
      <c r="BD322" s="45">
        <v>317</v>
      </c>
      <c r="BE322" s="45"/>
      <c r="BF322" s="45" t="str">
        <f t="shared" si="44"/>
        <v>Unlikely</v>
      </c>
      <c r="BG322" s="45"/>
      <c r="BH322" s="45">
        <f>INDEX(Table5[[#All],[Ovr]],MATCH(Table3[[#This Row],[PID]],Table5[[#All],[PID]],0))</f>
        <v>426</v>
      </c>
      <c r="BI322" s="45" t="str">
        <f>INDEX(Table5[[#All],[Rnd]],MATCH(Table3[[#This Row],[PID]],Table5[[#All],[PID]],0))</f>
        <v>13</v>
      </c>
      <c r="BJ322" s="45">
        <f>INDEX(Table5[[#All],[Pick]],MATCH(Table3[[#This Row],[PID]],Table5[[#All],[PID]],0))</f>
        <v>27</v>
      </c>
      <c r="BK322" s="45" t="str">
        <f>INDEX(Table5[[#All],[Team]],MATCH(Table3[[#This Row],[PID]],Table5[[#All],[PID]],0))</f>
        <v>Havana Leones</v>
      </c>
      <c r="BL322" s="45" t="str">
        <f>IF(OR(Table3[[#This Row],[POS]]="SP",Table3[[#This Row],[POS]]="RP",Table3[[#This Row],[POS]]="CL"),"P",INDEX(Batters[[#All],[zScore]],MATCH(Table3[[#This Row],[PID]],Batters[[#All],[PID]],0)))</f>
        <v>P</v>
      </c>
    </row>
    <row r="323" spans="1:64" ht="15" customHeight="1" x14ac:dyDescent="0.3">
      <c r="A323" s="40">
        <v>20481</v>
      </c>
      <c r="B323" s="40" t="s">
        <v>380</v>
      </c>
      <c r="C323" s="40" t="s">
        <v>964</v>
      </c>
      <c r="D323" s="40" t="s">
        <v>340</v>
      </c>
      <c r="E323" s="40">
        <v>17</v>
      </c>
      <c r="F323" s="40" t="s">
        <v>53</v>
      </c>
      <c r="G323" s="40" t="s">
        <v>53</v>
      </c>
      <c r="H323" s="41" t="s">
        <v>561</v>
      </c>
      <c r="I323" s="42" t="s">
        <v>43</v>
      </c>
      <c r="J323" s="40" t="s">
        <v>44</v>
      </c>
      <c r="K323" s="41" t="s">
        <v>43</v>
      </c>
      <c r="L323" s="40">
        <v>2</v>
      </c>
      <c r="M323" s="40">
        <v>2</v>
      </c>
      <c r="N323" s="41">
        <v>1</v>
      </c>
      <c r="O323" s="40">
        <v>4</v>
      </c>
      <c r="P323" s="40">
        <v>2</v>
      </c>
      <c r="Q323" s="41">
        <v>3</v>
      </c>
      <c r="R323" s="40">
        <v>4</v>
      </c>
      <c r="S323" s="40">
        <v>5</v>
      </c>
      <c r="T323" s="40">
        <v>1</v>
      </c>
      <c r="U323" s="40">
        <v>1</v>
      </c>
      <c r="V323" s="40">
        <v>2</v>
      </c>
      <c r="W323" s="40">
        <v>5</v>
      </c>
      <c r="X323" s="40" t="s">
        <v>45</v>
      </c>
      <c r="Y323" s="40" t="s">
        <v>45</v>
      </c>
      <c r="Z323" s="40" t="s">
        <v>45</v>
      </c>
      <c r="AA323" s="40" t="s">
        <v>45</v>
      </c>
      <c r="AB323" s="40" t="s">
        <v>45</v>
      </c>
      <c r="AC323" s="40" t="s">
        <v>45</v>
      </c>
      <c r="AD323" s="40" t="s">
        <v>45</v>
      </c>
      <c r="AE323" s="40" t="s">
        <v>45</v>
      </c>
      <c r="AF323" s="40" t="s">
        <v>45</v>
      </c>
      <c r="AG323" s="40" t="s">
        <v>45</v>
      </c>
      <c r="AH323" s="40" t="s">
        <v>45</v>
      </c>
      <c r="AI323" s="40" t="s">
        <v>45</v>
      </c>
      <c r="AJ323" s="40" t="s">
        <v>45</v>
      </c>
      <c r="AK323" s="40" t="s">
        <v>45</v>
      </c>
      <c r="AL323" s="40" t="s">
        <v>45</v>
      </c>
      <c r="AM323" s="40" t="s">
        <v>45</v>
      </c>
      <c r="AN323" s="40" t="s">
        <v>45</v>
      </c>
      <c r="AO323" s="41" t="s">
        <v>45</v>
      </c>
      <c r="AP323" s="40" t="s">
        <v>329</v>
      </c>
      <c r="AQ323" s="40">
        <v>2</v>
      </c>
      <c r="AR323" s="48" t="s">
        <v>326</v>
      </c>
      <c r="AS323" s="43" t="s">
        <v>558</v>
      </c>
      <c r="AT323" s="43" t="s">
        <v>103</v>
      </c>
      <c r="AU323" s="44">
        <f t="shared" si="39"/>
        <v>-2.311361197028369</v>
      </c>
      <c r="AV323" s="44">
        <f t="shared" si="40"/>
        <v>-0.99184266516472974</v>
      </c>
      <c r="AW323" s="45">
        <f t="shared" si="41"/>
        <v>3</v>
      </c>
      <c r="AX323" s="45">
        <f t="shared" si="42"/>
        <v>0</v>
      </c>
      <c r="AY323" s="46">
        <f>VLOOKUP(AP323,COND!$A$10:$B$32,2,FALSE)</f>
        <v>1</v>
      </c>
      <c r="AZ323" s="44">
        <f>($AU$3*AU323+$AV$3*AV323+$AW$3*AW323+$AX$3*AX323)*AY323*IF(AQ323&lt;5,0.95,IF(AQ323&lt;7,0.975,1))+$I$3*VLOOKUP(I323,COND!$A$2:$E$7,4,FALSE)+$J$3*VLOOKUP(J323,COND!$A$2:$E$7,2,FALSE)+$K$3*VLOOKUP(K323,COND!$A$2:$E$7,3,FALSE)+IF(BB323="SP",$BB$3,0)+IF($AW323&lt;3,-5,0)+IF(AND($B$2&gt;0,$E323&lt;20),$B$2*25,0)</f>
        <v>31.840830734434743</v>
      </c>
      <c r="BA323" s="47">
        <f>STANDARDIZE(AZ323,AVERAGE($AZ$5:$AZ$428),STDEVP($AZ$5:$AZ$428))</f>
        <v>-0.42451866037992397</v>
      </c>
      <c r="BB323" s="45" t="str">
        <f t="shared" si="43"/>
        <v>RP</v>
      </c>
      <c r="BC323" s="45">
        <v>930</v>
      </c>
      <c r="BD323" s="45">
        <v>318</v>
      </c>
      <c r="BE323" s="45"/>
      <c r="BF323" s="45" t="str">
        <f t="shared" si="44"/>
        <v>Unlikely</v>
      </c>
      <c r="BG323" s="45"/>
      <c r="BH323" s="45" t="str">
        <f>INDEX(Table5[[#All],[Ovr]],MATCH(Table3[[#This Row],[PID]],Table5[[#All],[PID]],0))</f>
        <v/>
      </c>
      <c r="BI323" s="45" t="str">
        <f>INDEX(Table5[[#All],[Rnd]],MATCH(Table3[[#This Row],[PID]],Table5[[#All],[PID]],0))</f>
        <v/>
      </c>
      <c r="BJ323" s="45" t="str">
        <f>INDEX(Table5[[#All],[Pick]],MATCH(Table3[[#This Row],[PID]],Table5[[#All],[PID]],0))</f>
        <v/>
      </c>
      <c r="BK323" s="45" t="str">
        <f>INDEX(Table5[[#All],[Team]],MATCH(Table3[[#This Row],[PID]],Table5[[#All],[PID]],0))</f>
        <v/>
      </c>
      <c r="BL323" s="45" t="str">
        <f>IF(OR(Table3[[#This Row],[POS]]="SP",Table3[[#This Row],[POS]]="RP",Table3[[#This Row],[POS]]="CL"),"P",INDEX(Batters[[#All],[zScore]],MATCH(Table3[[#This Row],[PID]],Batters[[#All],[PID]],0)))</f>
        <v>P</v>
      </c>
    </row>
    <row r="324" spans="1:64" ht="15" customHeight="1" x14ac:dyDescent="0.3">
      <c r="A324" s="40">
        <v>20678</v>
      </c>
      <c r="B324" s="40" t="s">
        <v>380</v>
      </c>
      <c r="C324" s="40" t="s">
        <v>1608</v>
      </c>
      <c r="D324" s="40" t="s">
        <v>1609</v>
      </c>
      <c r="E324" s="40">
        <v>17</v>
      </c>
      <c r="F324" s="40" t="s">
        <v>42</v>
      </c>
      <c r="G324" s="40" t="s">
        <v>42</v>
      </c>
      <c r="H324" s="41" t="s">
        <v>561</v>
      </c>
      <c r="I324" s="42" t="s">
        <v>43</v>
      </c>
      <c r="J324" s="40" t="s">
        <v>44</v>
      </c>
      <c r="K324" s="41" t="s">
        <v>47</v>
      </c>
      <c r="L324" s="40">
        <v>2</v>
      </c>
      <c r="M324" s="40">
        <v>2</v>
      </c>
      <c r="N324" s="41">
        <v>1</v>
      </c>
      <c r="O324" s="40">
        <v>3</v>
      </c>
      <c r="P324" s="40">
        <v>2</v>
      </c>
      <c r="Q324" s="41">
        <v>3</v>
      </c>
      <c r="R324" s="40">
        <v>3</v>
      </c>
      <c r="S324" s="40">
        <v>4</v>
      </c>
      <c r="T324" s="40">
        <v>2</v>
      </c>
      <c r="U324" s="40">
        <v>5</v>
      </c>
      <c r="V324" s="40">
        <v>3</v>
      </c>
      <c r="W324" s="40">
        <v>4</v>
      </c>
      <c r="X324" s="40" t="s">
        <v>45</v>
      </c>
      <c r="Y324" s="40" t="s">
        <v>45</v>
      </c>
      <c r="Z324" s="40" t="s">
        <v>45</v>
      </c>
      <c r="AA324" s="40" t="s">
        <v>45</v>
      </c>
      <c r="AB324" s="40" t="s">
        <v>45</v>
      </c>
      <c r="AC324" s="40" t="s">
        <v>45</v>
      </c>
      <c r="AD324" s="40" t="s">
        <v>45</v>
      </c>
      <c r="AE324" s="40" t="s">
        <v>45</v>
      </c>
      <c r="AF324" s="40" t="s">
        <v>45</v>
      </c>
      <c r="AG324" s="40" t="s">
        <v>45</v>
      </c>
      <c r="AH324" s="40" t="s">
        <v>45</v>
      </c>
      <c r="AI324" s="40" t="s">
        <v>45</v>
      </c>
      <c r="AJ324" s="40" t="s">
        <v>45</v>
      </c>
      <c r="AK324" s="40" t="s">
        <v>45</v>
      </c>
      <c r="AL324" s="40" t="s">
        <v>45</v>
      </c>
      <c r="AM324" s="40" t="s">
        <v>45</v>
      </c>
      <c r="AN324" s="40" t="s">
        <v>45</v>
      </c>
      <c r="AO324" s="41" t="s">
        <v>45</v>
      </c>
      <c r="AP324" s="40" t="s">
        <v>68</v>
      </c>
      <c r="AQ324" s="40">
        <v>6</v>
      </c>
      <c r="AR324" s="48" t="s">
        <v>326</v>
      </c>
      <c r="AS324" s="43" t="s">
        <v>572</v>
      </c>
      <c r="AT324" s="43" t="s">
        <v>103</v>
      </c>
      <c r="AU324" s="44">
        <f t="shared" si="39"/>
        <v>-2.311361197028369</v>
      </c>
      <c r="AV324" s="44">
        <f t="shared" si="40"/>
        <v>-1.1865339896739031</v>
      </c>
      <c r="AW324" s="45">
        <f t="shared" si="41"/>
        <v>3</v>
      </c>
      <c r="AX324" s="45">
        <f t="shared" si="42"/>
        <v>0</v>
      </c>
      <c r="AY324" s="46">
        <f>VLOOKUP(AP324,COND!$A$10:$B$32,2,FALSE)</f>
        <v>0.95</v>
      </c>
      <c r="AZ324" s="44">
        <f>($AU$3*AU324+$AV$3*AV324+$AW$3*AW324+$AX$3*AX324)*AY324*IF(AQ324&lt;5,0.95,IF(AQ324&lt;7,0.975,1))+$I$3*VLOOKUP(I324,COND!$A$2:$E$7,4,FALSE)+$J$3*VLOOKUP(J324,COND!$A$2:$E$7,2,FALSE)+$K$3*VLOOKUP(K324,COND!$A$2:$E$7,3,FALSE)+IF(BB324="SP",$BB$3,0)+IF($AW324&lt;3,-5,0)+IF(AND($B$2&gt;0,$E324&lt;20),$B$2*25,0)</f>
        <v>30.980653179541441</v>
      </c>
      <c r="BA324" s="47">
        <f>STANDARDIZE(AZ324,AVERAGE($AZ$5:$AZ$455),STDEVP($AZ$5:$AZ$455))</f>
        <v>-0.47910723652181192</v>
      </c>
      <c r="BB324" s="45" t="str">
        <f t="shared" si="43"/>
        <v>SP</v>
      </c>
      <c r="BC324" s="45">
        <v>930</v>
      </c>
      <c r="BD324" s="45">
        <v>319</v>
      </c>
      <c r="BE324" s="45"/>
      <c r="BF324" s="45" t="str">
        <f t="shared" si="44"/>
        <v>Unlikely</v>
      </c>
      <c r="BG324" s="45"/>
      <c r="BH324" s="63" t="str">
        <f>INDEX(Table5[[#All],[Ovr]],MATCH(Table3[[#This Row],[PID]],Table5[[#All],[PID]],0))</f>
        <v/>
      </c>
      <c r="BI324" s="63" t="str">
        <f>INDEX(Table5[[#All],[Rnd]],MATCH(Table3[[#This Row],[PID]],Table5[[#All],[PID]],0))</f>
        <v/>
      </c>
      <c r="BJ324" s="63" t="str">
        <f>INDEX(Table5[[#All],[Pick]],MATCH(Table3[[#This Row],[PID]],Table5[[#All],[PID]],0))</f>
        <v/>
      </c>
      <c r="BK324" s="63" t="str">
        <f>INDEX(Table5[[#All],[Team]],MATCH(Table3[[#This Row],[PID]],Table5[[#All],[PID]],0))</f>
        <v/>
      </c>
      <c r="BL324" s="63" t="str">
        <f>IF(OR(Table3[[#This Row],[POS]]="SP",Table3[[#This Row],[POS]]="RP",Table3[[#This Row],[POS]]="CL"),"P",INDEX(Batters[[#All],[zScore]],MATCH(Table3[[#This Row],[PID]],Batters[[#All],[PID]],0)))</f>
        <v>P</v>
      </c>
    </row>
    <row r="325" spans="1:64" ht="15" customHeight="1" x14ac:dyDescent="0.3">
      <c r="A325" s="40">
        <v>13558</v>
      </c>
      <c r="B325" s="40" t="s">
        <v>380</v>
      </c>
      <c r="C325" s="40" t="s">
        <v>534</v>
      </c>
      <c r="D325" s="40" t="s">
        <v>1520</v>
      </c>
      <c r="E325" s="40">
        <v>21</v>
      </c>
      <c r="F325" s="40" t="s">
        <v>53</v>
      </c>
      <c r="G325" s="40" t="s">
        <v>53</v>
      </c>
      <c r="H325" s="41" t="s">
        <v>561</v>
      </c>
      <c r="I325" s="42" t="s">
        <v>43</v>
      </c>
      <c r="J325" s="40" t="s">
        <v>44</v>
      </c>
      <c r="K325" s="41" t="s">
        <v>43</v>
      </c>
      <c r="L325" s="40">
        <v>2</v>
      </c>
      <c r="M325" s="40">
        <v>1</v>
      </c>
      <c r="N325" s="41">
        <v>2</v>
      </c>
      <c r="O325" s="40">
        <v>4</v>
      </c>
      <c r="P325" s="40">
        <v>1</v>
      </c>
      <c r="Q325" s="41">
        <v>4</v>
      </c>
      <c r="R325" s="40">
        <v>3</v>
      </c>
      <c r="S325" s="40">
        <v>4</v>
      </c>
      <c r="T325" s="40">
        <v>2</v>
      </c>
      <c r="U325" s="40">
        <v>6</v>
      </c>
      <c r="V325" s="40">
        <v>2</v>
      </c>
      <c r="W325" s="40">
        <v>5</v>
      </c>
      <c r="X325" s="40">
        <v>3</v>
      </c>
      <c r="Y325" s="40">
        <v>4</v>
      </c>
      <c r="Z325" s="40" t="s">
        <v>45</v>
      </c>
      <c r="AA325" s="40" t="s">
        <v>45</v>
      </c>
      <c r="AB325" s="40" t="s">
        <v>45</v>
      </c>
      <c r="AC325" s="40" t="s">
        <v>45</v>
      </c>
      <c r="AD325" s="40" t="s">
        <v>45</v>
      </c>
      <c r="AE325" s="40" t="s">
        <v>45</v>
      </c>
      <c r="AF325" s="40" t="s">
        <v>45</v>
      </c>
      <c r="AG325" s="40" t="s">
        <v>45</v>
      </c>
      <c r="AH325" s="40" t="s">
        <v>45</v>
      </c>
      <c r="AI325" s="40" t="s">
        <v>45</v>
      </c>
      <c r="AJ325" s="40" t="s">
        <v>45</v>
      </c>
      <c r="AK325" s="40" t="s">
        <v>45</v>
      </c>
      <c r="AL325" s="40" t="s">
        <v>45</v>
      </c>
      <c r="AM325" s="40" t="s">
        <v>45</v>
      </c>
      <c r="AN325" s="40" t="s">
        <v>45</v>
      </c>
      <c r="AO325" s="41" t="s">
        <v>45</v>
      </c>
      <c r="AP325" s="40" t="s">
        <v>68</v>
      </c>
      <c r="AQ325" s="40">
        <v>9</v>
      </c>
      <c r="AR325" s="48" t="s">
        <v>330</v>
      </c>
      <c r="AS325" s="43" t="s">
        <v>557</v>
      </c>
      <c r="AT325" s="43" t="s">
        <v>103</v>
      </c>
      <c r="AU325" s="44">
        <f t="shared" ref="AU325:AU388" si="47">($O$3*(L325-$O$1)/$O$2+$P$3*(M325-$P$1)/$P$2+$Q$3*(N325-$P$1)/$Q$2)/SUM($O$3:$Q$3)</f>
        <v>-2.2644723474043147</v>
      </c>
      <c r="AV325" s="44">
        <f t="shared" ref="AV325:AV388" si="48">($O$3*(O325-$O$1)/$O$2+$P$3*(P325-$P$1)/$P$2+$Q$3*(Q325-$Q$1)/$Q$2)/SUM($O$3:$Q$3)</f>
        <v>-0.94495381554067481</v>
      </c>
      <c r="AW325" s="45">
        <f t="shared" ref="AW325:AW388" si="49">COUNT(R325:AO325)/2</f>
        <v>4</v>
      </c>
      <c r="AX325" s="45">
        <f t="shared" ref="AX325:AX388" si="50">IF(AND(S325&lt;&gt;"-",S325&gt;5),1,0)+IF(AND(U325&lt;&gt;"-",U325&gt;5),1,0)+IF(AND(W325&lt;&gt;"-",W325&gt;5),1,0)+IF(AND(Y325&lt;&gt;"-",Y325&gt;5),1,0)+IF(AND(AA325&lt;&gt;"-",AA325&gt;5),1,0)+IF(AND(AC325&lt;&gt;"-",AC325&gt;5),1,0)+IF(AND(AE325&lt;&gt;"-",AE325&gt;5),1,0)+IF(AND(AG325&lt;&gt;"-",AG325&gt;5),1,0)+IF(AND(AI325&lt;&gt;"-",AI325&gt;5),1,0)+IF(AND(AK325&lt;&gt;"-",AK325&gt;5),1,0)+IF(AND(AM325&lt;&gt;"-",AM325&gt;5),1,0)+IF(AND(AO325&lt;&gt;"-",AO325&gt;5),1,0)</f>
        <v>1</v>
      </c>
      <c r="AY325" s="46">
        <f>VLOOKUP(AP325,COND!$A$10:$B$32,2,FALSE)</f>
        <v>0.95</v>
      </c>
      <c r="AZ325" s="44">
        <f>($AU$3*AU325+$AV$3*AV325+$AW$3*AW325+$AX$3*AX325)*AY325*IF(AQ325&lt;5,0.95,IF(AQ325&lt;7,0.975,1))+$I$3*VLOOKUP(I325,COND!$A$2:$E$7,4,FALSE)+$J$3*VLOOKUP(J325,COND!$A$2:$E$7,2,FALSE)+$K$3*VLOOKUP(K325,COND!$A$2:$E$7,3,FALSE)+IF(BB325="SP",$BB$3,0)+IF($AW325&lt;3,-5,0)+IF(AND($B$2&gt;0,$E325&lt;20),$B$2*25,0)</f>
        <v>31.403127758720359</v>
      </c>
      <c r="BA325" s="47">
        <f t="shared" ref="BA325:BA330" si="51">STANDARDIZE(AZ325,AVERAGE($AZ$5:$AZ$428),STDEVP($AZ$5:$AZ$428))</f>
        <v>-0.45568619056021731</v>
      </c>
      <c r="BB325" s="45" t="str">
        <f t="shared" ref="BB325:BB388" si="52">IF(OR(AND(AQ325&gt;7,AX325&gt;1),AND(AQ325&gt;4,AW325&gt;2)),"SP","RP")</f>
        <v>SP</v>
      </c>
      <c r="BC325" s="45">
        <v>930</v>
      </c>
      <c r="BD325" s="45">
        <v>320</v>
      </c>
      <c r="BE325" s="45"/>
      <c r="BF325" s="45" t="str">
        <f t="shared" ref="BF325:BF388" si="53">IF(AVERAGE($O325:$Q325)&gt;=6,"Likely",IF(AVERAGE($O325:$Q325)&gt;=4,"Possible","Unlikely"))</f>
        <v>Unlikely</v>
      </c>
      <c r="BG325" s="45"/>
      <c r="BH325" s="45">
        <f>INDEX(Table5[[#All],[Ovr]],MATCH(Table3[[#This Row],[PID]],Table5[[#All],[PID]],0))</f>
        <v>462</v>
      </c>
      <c r="BI325" s="45" t="str">
        <f>INDEX(Table5[[#All],[Rnd]],MATCH(Table3[[#This Row],[PID]],Table5[[#All],[PID]],0))</f>
        <v>14</v>
      </c>
      <c r="BJ325" s="45">
        <f>INDEX(Table5[[#All],[Pick]],MATCH(Table3[[#This Row],[PID]],Table5[[#All],[PID]],0))</f>
        <v>29</v>
      </c>
      <c r="BK325" s="45" t="str">
        <f>INDEX(Table5[[#All],[Team]],MATCH(Table3[[#This Row],[PID]],Table5[[#All],[PID]],0))</f>
        <v>Shin Seiki Evas</v>
      </c>
      <c r="BL325" s="45" t="str">
        <f>IF(OR(Table3[[#This Row],[POS]]="SP",Table3[[#This Row],[POS]]="RP",Table3[[#This Row],[POS]]="CL"),"P",INDEX(Batters[[#All],[zScore]],MATCH(Table3[[#This Row],[PID]],Batters[[#All],[PID]],0)))</f>
        <v>P</v>
      </c>
    </row>
    <row r="326" spans="1:64" ht="15" customHeight="1" x14ac:dyDescent="0.3">
      <c r="A326" s="40">
        <v>16916</v>
      </c>
      <c r="B326" s="40" t="s">
        <v>380</v>
      </c>
      <c r="C326" s="40" t="s">
        <v>625</v>
      </c>
      <c r="D326" s="40" t="s">
        <v>928</v>
      </c>
      <c r="E326" s="40">
        <v>22</v>
      </c>
      <c r="F326" s="40" t="s">
        <v>42</v>
      </c>
      <c r="G326" s="40" t="s">
        <v>42</v>
      </c>
      <c r="H326" s="41" t="s">
        <v>561</v>
      </c>
      <c r="I326" s="42" t="s">
        <v>43</v>
      </c>
      <c r="J326" s="40" t="s">
        <v>44</v>
      </c>
      <c r="K326" s="41" t="s">
        <v>43</v>
      </c>
      <c r="L326" s="40">
        <v>4</v>
      </c>
      <c r="M326" s="40">
        <v>2</v>
      </c>
      <c r="N326" s="41">
        <v>1</v>
      </c>
      <c r="O326" s="40">
        <v>5</v>
      </c>
      <c r="P326" s="40">
        <v>2</v>
      </c>
      <c r="Q326" s="41">
        <v>3</v>
      </c>
      <c r="R326" s="40">
        <v>6</v>
      </c>
      <c r="S326" s="40">
        <v>7</v>
      </c>
      <c r="T326" s="40">
        <v>1</v>
      </c>
      <c r="U326" s="40">
        <v>3</v>
      </c>
      <c r="V326" s="40" t="s">
        <v>45</v>
      </c>
      <c r="W326" s="40" t="s">
        <v>45</v>
      </c>
      <c r="X326" s="40">
        <v>4</v>
      </c>
      <c r="Y326" s="40">
        <v>5</v>
      </c>
      <c r="Z326" s="40" t="s">
        <v>45</v>
      </c>
      <c r="AA326" s="40" t="s">
        <v>45</v>
      </c>
      <c r="AB326" s="40" t="s">
        <v>45</v>
      </c>
      <c r="AC326" s="40" t="s">
        <v>45</v>
      </c>
      <c r="AD326" s="40" t="s">
        <v>45</v>
      </c>
      <c r="AE326" s="40" t="s">
        <v>45</v>
      </c>
      <c r="AF326" s="40" t="s">
        <v>45</v>
      </c>
      <c r="AG326" s="40" t="s">
        <v>45</v>
      </c>
      <c r="AH326" s="40" t="s">
        <v>45</v>
      </c>
      <c r="AI326" s="40" t="s">
        <v>45</v>
      </c>
      <c r="AJ326" s="40" t="s">
        <v>45</v>
      </c>
      <c r="AK326" s="40" t="s">
        <v>45</v>
      </c>
      <c r="AL326" s="40" t="s">
        <v>45</v>
      </c>
      <c r="AM326" s="40" t="s">
        <v>45</v>
      </c>
      <c r="AN326" s="40" t="s">
        <v>45</v>
      </c>
      <c r="AO326" s="41" t="s">
        <v>45</v>
      </c>
      <c r="AP326" s="40" t="s">
        <v>61</v>
      </c>
      <c r="AQ326" s="40">
        <v>4</v>
      </c>
      <c r="AR326" s="48" t="s">
        <v>326</v>
      </c>
      <c r="AS326" s="43" t="s">
        <v>45</v>
      </c>
      <c r="AT326" s="43" t="s">
        <v>103</v>
      </c>
      <c r="AU326" s="44">
        <f t="shared" si="47"/>
        <v>-1.9219785480100218</v>
      </c>
      <c r="AV326" s="44">
        <f t="shared" si="48"/>
        <v>-0.79715134065555615</v>
      </c>
      <c r="AW326" s="45">
        <f t="shared" si="49"/>
        <v>3</v>
      </c>
      <c r="AX326" s="45">
        <f t="shared" si="50"/>
        <v>1</v>
      </c>
      <c r="AY326" s="46">
        <f>VLOOKUP(AP326,COND!$A$10:$B$32,2,FALSE)</f>
        <v>1.05</v>
      </c>
      <c r="AZ326" s="44">
        <f>($AU$3*AU326+$AV$3*AV326+$AW$3*AW326+$AX$3*AX326)*AY326*IF(AQ326&lt;5,0.95,IF(AQ326&lt;7,0.975,1))+$I$3*VLOOKUP(I326,COND!$A$2:$E$7,4,FALSE)+$J$3*VLOOKUP(J326,COND!$A$2:$E$7,2,FALSE)+$K$3*VLOOKUP(K326,COND!$A$2:$E$7,3,FALSE)+IF(BB326="SP",$BB$3,0)+IF($AW326&lt;3,-5,0)+IF(AND($B$2&gt;0,$E326&lt;20),$B$2*25,0)</f>
        <v>31.156521033593656</v>
      </c>
      <c r="BA326" s="47">
        <f t="shared" si="51"/>
        <v>-0.47324632374301134</v>
      </c>
      <c r="BB326" s="45" t="str">
        <f t="shared" si="52"/>
        <v>RP</v>
      </c>
      <c r="BC326" s="45">
        <v>930</v>
      </c>
      <c r="BD326" s="45">
        <v>321</v>
      </c>
      <c r="BE326" s="45"/>
      <c r="BF326" s="45" t="str">
        <f t="shared" si="53"/>
        <v>Unlikely</v>
      </c>
      <c r="BG326" s="45"/>
      <c r="BH326" s="45">
        <f>INDEX(Table5[[#All],[Ovr]],MATCH(Table3[[#This Row],[PID]],Table5[[#All],[PID]],0))</f>
        <v>350</v>
      </c>
      <c r="BI326" s="45" t="str">
        <f>INDEX(Table5[[#All],[Rnd]],MATCH(Table3[[#This Row],[PID]],Table5[[#All],[PID]],0))</f>
        <v>11</v>
      </c>
      <c r="BJ326" s="45">
        <f>INDEX(Table5[[#All],[Pick]],MATCH(Table3[[#This Row],[PID]],Table5[[#All],[PID]],0))</f>
        <v>19</v>
      </c>
      <c r="BK326" s="45" t="str">
        <f>INDEX(Table5[[#All],[Team]],MATCH(Table3[[#This Row],[PID]],Table5[[#All],[PID]],0))</f>
        <v>Fargo Dinosaurs</v>
      </c>
      <c r="BL326" s="45" t="str">
        <f>IF(OR(Table3[[#This Row],[POS]]="SP",Table3[[#This Row],[POS]]="RP",Table3[[#This Row],[POS]]="CL"),"P",INDEX(Batters[[#All],[zScore]],MATCH(Table3[[#This Row],[PID]],Batters[[#All],[PID]],0)))</f>
        <v>P</v>
      </c>
    </row>
    <row r="327" spans="1:64" ht="15" customHeight="1" x14ac:dyDescent="0.3">
      <c r="A327" s="40">
        <v>20884</v>
      </c>
      <c r="B327" s="40" t="s">
        <v>380</v>
      </c>
      <c r="C327" s="40" t="s">
        <v>1373</v>
      </c>
      <c r="D327" s="40" t="s">
        <v>141</v>
      </c>
      <c r="E327" s="40">
        <v>17</v>
      </c>
      <c r="F327" s="40" t="s">
        <v>42</v>
      </c>
      <c r="G327" s="40" t="s">
        <v>42</v>
      </c>
      <c r="H327" s="41" t="s">
        <v>561</v>
      </c>
      <c r="I327" s="42" t="s">
        <v>43</v>
      </c>
      <c r="J327" s="40" t="s">
        <v>44</v>
      </c>
      <c r="K327" s="41" t="s">
        <v>43</v>
      </c>
      <c r="L327" s="40">
        <v>2</v>
      </c>
      <c r="M327" s="40">
        <v>2</v>
      </c>
      <c r="N327" s="41">
        <v>2</v>
      </c>
      <c r="O327" s="40">
        <v>5</v>
      </c>
      <c r="P327" s="40">
        <v>2</v>
      </c>
      <c r="Q327" s="41">
        <v>3</v>
      </c>
      <c r="R327" s="40">
        <v>3</v>
      </c>
      <c r="S327" s="40">
        <v>5</v>
      </c>
      <c r="T327" s="40" t="s">
        <v>45</v>
      </c>
      <c r="U327" s="40" t="s">
        <v>45</v>
      </c>
      <c r="V327" s="40" t="s">
        <v>45</v>
      </c>
      <c r="W327" s="40" t="s">
        <v>45</v>
      </c>
      <c r="X327" s="40" t="s">
        <v>45</v>
      </c>
      <c r="Y327" s="40" t="s">
        <v>45</v>
      </c>
      <c r="Z327" s="40" t="s">
        <v>45</v>
      </c>
      <c r="AA327" s="40" t="s">
        <v>45</v>
      </c>
      <c r="AB327" s="40">
        <v>3</v>
      </c>
      <c r="AC327" s="40">
        <v>6</v>
      </c>
      <c r="AD327" s="40" t="s">
        <v>45</v>
      </c>
      <c r="AE327" s="40" t="s">
        <v>45</v>
      </c>
      <c r="AF327" s="40" t="s">
        <v>45</v>
      </c>
      <c r="AG327" s="40" t="s">
        <v>45</v>
      </c>
      <c r="AH327" s="40" t="s">
        <v>45</v>
      </c>
      <c r="AI327" s="40" t="s">
        <v>45</v>
      </c>
      <c r="AJ327" s="40" t="s">
        <v>45</v>
      </c>
      <c r="AK327" s="40" t="s">
        <v>45</v>
      </c>
      <c r="AL327" s="40" t="s">
        <v>45</v>
      </c>
      <c r="AM327" s="40" t="s">
        <v>45</v>
      </c>
      <c r="AN327" s="40" t="s">
        <v>45</v>
      </c>
      <c r="AO327" s="41" t="s">
        <v>45</v>
      </c>
      <c r="AP327" s="40" t="s">
        <v>328</v>
      </c>
      <c r="AQ327" s="40">
        <v>5</v>
      </c>
      <c r="AR327" s="48" t="s">
        <v>326</v>
      </c>
      <c r="AS327" s="43" t="s">
        <v>568</v>
      </c>
      <c r="AT327" s="43" t="s">
        <v>103</v>
      </c>
      <c r="AU327" s="44">
        <f t="shared" si="47"/>
        <v>-2.0690406309742588</v>
      </c>
      <c r="AV327" s="44">
        <f t="shared" si="48"/>
        <v>-0.79715134065555615</v>
      </c>
      <c r="AW327" s="45">
        <f t="shared" si="49"/>
        <v>2</v>
      </c>
      <c r="AX327" s="45">
        <f t="shared" si="50"/>
        <v>1</v>
      </c>
      <c r="AY327" s="46">
        <f>VLOOKUP(AP327,COND!$A$10:$B$32,2,FALSE)</f>
        <v>1</v>
      </c>
      <c r="AZ327" s="44">
        <f>($AU$3*AU327+$AV$3*AV327+$AW$3*AW327+$AX$3*AX327)*AY327*IF(AQ327&lt;5,0.95,IF(AQ327&lt;7,0.975,1))+$I$3*VLOOKUP(I327,COND!$A$2:$E$7,4,FALSE)+$J$3*VLOOKUP(J327,COND!$A$2:$E$7,2,FALSE)+$K$3*VLOOKUP(K327,COND!$A$2:$E$7,3,FALSE)+IF(BB327="SP",$BB$3,0)+IF($AW327&lt;3,-5,0)+IF(AND($B$2&gt;0,$E327&lt;20),$B$2*25,0)</f>
        <v>30.945835934176671</v>
      </c>
      <c r="BA327" s="47">
        <f t="shared" si="51"/>
        <v>-0.48824858454304271</v>
      </c>
      <c r="BB327" s="45" t="str">
        <f t="shared" si="52"/>
        <v>RP</v>
      </c>
      <c r="BC327" s="45">
        <v>930</v>
      </c>
      <c r="BD327" s="45">
        <v>322</v>
      </c>
      <c r="BE327" s="45"/>
      <c r="BF327" s="45" t="str">
        <f t="shared" si="53"/>
        <v>Unlikely</v>
      </c>
      <c r="BG327" s="45"/>
      <c r="BH327" s="45">
        <f>INDEX(Table5[[#All],[Ovr]],MATCH(Table3[[#This Row],[PID]],Table5[[#All],[PID]],0))</f>
        <v>512</v>
      </c>
      <c r="BI327" s="45" t="str">
        <f>INDEX(Table5[[#All],[Rnd]],MATCH(Table3[[#This Row],[PID]],Table5[[#All],[PID]],0))</f>
        <v>16</v>
      </c>
      <c r="BJ327" s="45">
        <f>INDEX(Table5[[#All],[Pick]],MATCH(Table3[[#This Row],[PID]],Table5[[#All],[PID]],0))</f>
        <v>11</v>
      </c>
      <c r="BK327" s="45" t="str">
        <f>INDEX(Table5[[#All],[Team]],MATCH(Table3[[#This Row],[PID]],Table5[[#All],[PID]],0))</f>
        <v>Arlington Bureaucrats</v>
      </c>
      <c r="BL327" s="45" t="str">
        <f>IF(OR(Table3[[#This Row],[POS]]="SP",Table3[[#This Row],[POS]]="RP",Table3[[#This Row],[POS]]="CL"),"P",INDEX(Batters[[#All],[zScore]],MATCH(Table3[[#This Row],[PID]],Batters[[#All],[PID]],0)))</f>
        <v>P</v>
      </c>
    </row>
    <row r="328" spans="1:64" ht="15" customHeight="1" x14ac:dyDescent="0.3">
      <c r="A328" s="40">
        <v>13580</v>
      </c>
      <c r="B328" s="40" t="s">
        <v>24</v>
      </c>
      <c r="C328" s="40" t="s">
        <v>788</v>
      </c>
      <c r="D328" s="40" t="s">
        <v>645</v>
      </c>
      <c r="E328" s="40">
        <v>21</v>
      </c>
      <c r="F328" s="40" t="s">
        <v>42</v>
      </c>
      <c r="G328" s="40" t="s">
        <v>42</v>
      </c>
      <c r="H328" s="41" t="s">
        <v>561</v>
      </c>
      <c r="I328" s="42" t="s">
        <v>44</v>
      </c>
      <c r="J328" s="40" t="s">
        <v>44</v>
      </c>
      <c r="K328" s="41" t="s">
        <v>43</v>
      </c>
      <c r="L328" s="40">
        <v>1</v>
      </c>
      <c r="M328" s="40">
        <v>1</v>
      </c>
      <c r="N328" s="41">
        <v>2</v>
      </c>
      <c r="O328" s="40">
        <v>4</v>
      </c>
      <c r="P328" s="40">
        <v>1</v>
      </c>
      <c r="Q328" s="41">
        <v>4</v>
      </c>
      <c r="R328" s="40">
        <v>3</v>
      </c>
      <c r="S328" s="40">
        <v>4</v>
      </c>
      <c r="T328" s="40">
        <v>2</v>
      </c>
      <c r="U328" s="40">
        <v>6</v>
      </c>
      <c r="V328" s="40" t="s">
        <v>45</v>
      </c>
      <c r="W328" s="40" t="s">
        <v>45</v>
      </c>
      <c r="X328" s="40">
        <v>2</v>
      </c>
      <c r="Y328" s="40">
        <v>2</v>
      </c>
      <c r="Z328" s="40" t="s">
        <v>45</v>
      </c>
      <c r="AA328" s="40" t="s">
        <v>45</v>
      </c>
      <c r="AB328" s="40" t="s">
        <v>45</v>
      </c>
      <c r="AC328" s="40" t="s">
        <v>45</v>
      </c>
      <c r="AD328" s="40" t="s">
        <v>45</v>
      </c>
      <c r="AE328" s="40" t="s">
        <v>45</v>
      </c>
      <c r="AF328" s="40">
        <v>3</v>
      </c>
      <c r="AG328" s="40">
        <v>4</v>
      </c>
      <c r="AH328" s="40" t="s">
        <v>45</v>
      </c>
      <c r="AI328" s="40" t="s">
        <v>45</v>
      </c>
      <c r="AJ328" s="40" t="s">
        <v>45</v>
      </c>
      <c r="AK328" s="40" t="s">
        <v>45</v>
      </c>
      <c r="AL328" s="40" t="s">
        <v>45</v>
      </c>
      <c r="AM328" s="40" t="s">
        <v>45</v>
      </c>
      <c r="AN328" s="40" t="s">
        <v>45</v>
      </c>
      <c r="AO328" s="41" t="s">
        <v>45</v>
      </c>
      <c r="AP328" s="40" t="s">
        <v>328</v>
      </c>
      <c r="AQ328" s="40">
        <v>6</v>
      </c>
      <c r="AR328" s="48" t="s">
        <v>14</v>
      </c>
      <c r="AS328" s="43" t="s">
        <v>557</v>
      </c>
      <c r="AT328" s="43" t="s">
        <v>103</v>
      </c>
      <c r="AU328" s="44">
        <f t="shared" si="47"/>
        <v>-2.4591636719134877</v>
      </c>
      <c r="AV328" s="44">
        <f t="shared" si="48"/>
        <v>-0.94495381554067481</v>
      </c>
      <c r="AW328" s="45">
        <f t="shared" si="49"/>
        <v>4</v>
      </c>
      <c r="AX328" s="45">
        <f t="shared" si="50"/>
        <v>1</v>
      </c>
      <c r="AY328" s="46">
        <f>VLOOKUP(AP328,COND!$A$10:$B$32,2,FALSE)</f>
        <v>1</v>
      </c>
      <c r="AZ328" s="44">
        <f>($AU$3*AU328+$AV$3*AV328+$AW$3*AW328+$AX$3*AX328)*AY328*IF(AQ328&lt;5,0.95,IF(AQ328&lt;7,0.975,1))+$I$3*VLOOKUP(I328,COND!$A$2:$E$7,4,FALSE)+$J$3*VLOOKUP(J328,COND!$A$2:$E$7,2,FALSE)+$K$3*VLOOKUP(K328,COND!$A$2:$E$7,3,FALSE)+IF(BB328="SP",$BB$3,0)+IF($AW328&lt;3,-5,0)+IF(AND($B$2&gt;0,$E328&lt;20),$B$2*25,0)</f>
        <v>30.812613680933712</v>
      </c>
      <c r="BA328" s="47">
        <f t="shared" si="51"/>
        <v>-0.49773494590912593</v>
      </c>
      <c r="BB328" s="45" t="str">
        <f t="shared" si="52"/>
        <v>SP</v>
      </c>
      <c r="BC328" s="45">
        <v>930</v>
      </c>
      <c r="BD328" s="45">
        <v>323</v>
      </c>
      <c r="BE328" s="45"/>
      <c r="BF328" s="45" t="str">
        <f t="shared" si="53"/>
        <v>Unlikely</v>
      </c>
      <c r="BG328" s="45"/>
      <c r="BH328" s="45">
        <f>INDEX(Table5[[#All],[Ovr]],MATCH(Table3[[#This Row],[PID]],Table5[[#All],[PID]],0))</f>
        <v>562</v>
      </c>
      <c r="BI328" s="45" t="str">
        <f>INDEX(Table5[[#All],[Rnd]],MATCH(Table3[[#This Row],[PID]],Table5[[#All],[PID]],0))</f>
        <v>17</v>
      </c>
      <c r="BJ328" s="45">
        <f>INDEX(Table5[[#All],[Pick]],MATCH(Table3[[#This Row],[PID]],Table5[[#All],[PID]],0))</f>
        <v>27</v>
      </c>
      <c r="BK328" s="45" t="str">
        <f>INDEX(Table5[[#All],[Team]],MATCH(Table3[[#This Row],[PID]],Table5[[#All],[PID]],0))</f>
        <v>Havana Leones</v>
      </c>
      <c r="BL328" s="45" t="str">
        <f>IF(OR(Table3[[#This Row],[POS]]="SP",Table3[[#This Row],[POS]]="RP",Table3[[#This Row],[POS]]="CL"),"P",INDEX(Batters[[#All],[zScore]],MATCH(Table3[[#This Row],[PID]],Batters[[#All],[PID]],0)))</f>
        <v>P</v>
      </c>
    </row>
    <row r="329" spans="1:64" ht="15" customHeight="1" x14ac:dyDescent="0.3">
      <c r="A329" s="40">
        <v>20460</v>
      </c>
      <c r="B329" s="40" t="s">
        <v>380</v>
      </c>
      <c r="C329" s="40" t="s">
        <v>1563</v>
      </c>
      <c r="D329" s="40" t="s">
        <v>879</v>
      </c>
      <c r="E329" s="40">
        <v>17</v>
      </c>
      <c r="F329" s="40" t="s">
        <v>42</v>
      </c>
      <c r="G329" s="40" t="s">
        <v>42</v>
      </c>
      <c r="H329" s="41" t="s">
        <v>561</v>
      </c>
      <c r="I329" s="42" t="s">
        <v>43</v>
      </c>
      <c r="J329" s="40" t="s">
        <v>44</v>
      </c>
      <c r="K329" s="41" t="s">
        <v>43</v>
      </c>
      <c r="L329" s="40">
        <v>2</v>
      </c>
      <c r="M329" s="40">
        <v>2</v>
      </c>
      <c r="N329" s="41">
        <v>1</v>
      </c>
      <c r="O329" s="40">
        <v>4</v>
      </c>
      <c r="P329" s="40">
        <v>2</v>
      </c>
      <c r="Q329" s="41">
        <v>4</v>
      </c>
      <c r="R329" s="40">
        <v>3</v>
      </c>
      <c r="S329" s="40">
        <v>5</v>
      </c>
      <c r="T329" s="40" t="s">
        <v>45</v>
      </c>
      <c r="U329" s="40" t="s">
        <v>45</v>
      </c>
      <c r="V329" s="40" t="s">
        <v>45</v>
      </c>
      <c r="W329" s="40" t="s">
        <v>45</v>
      </c>
      <c r="X329" s="40" t="s">
        <v>45</v>
      </c>
      <c r="Y329" s="40" t="s">
        <v>45</v>
      </c>
      <c r="Z329" s="40" t="s">
        <v>45</v>
      </c>
      <c r="AA329" s="40" t="s">
        <v>45</v>
      </c>
      <c r="AB329" s="40">
        <v>3</v>
      </c>
      <c r="AC329" s="40">
        <v>5</v>
      </c>
      <c r="AD329" s="40" t="s">
        <v>45</v>
      </c>
      <c r="AE329" s="40" t="s">
        <v>45</v>
      </c>
      <c r="AF329" s="40" t="s">
        <v>45</v>
      </c>
      <c r="AG329" s="40" t="s">
        <v>45</v>
      </c>
      <c r="AH329" s="40" t="s">
        <v>45</v>
      </c>
      <c r="AI329" s="40" t="s">
        <v>45</v>
      </c>
      <c r="AJ329" s="40" t="s">
        <v>45</v>
      </c>
      <c r="AK329" s="40" t="s">
        <v>45</v>
      </c>
      <c r="AL329" s="40" t="s">
        <v>45</v>
      </c>
      <c r="AM329" s="40" t="s">
        <v>45</v>
      </c>
      <c r="AN329" s="40" t="s">
        <v>45</v>
      </c>
      <c r="AO329" s="41" t="s">
        <v>45</v>
      </c>
      <c r="AP329" s="40" t="s">
        <v>64</v>
      </c>
      <c r="AQ329" s="40">
        <v>6</v>
      </c>
      <c r="AR329" s="48" t="s">
        <v>326</v>
      </c>
      <c r="AS329" s="43" t="s">
        <v>572</v>
      </c>
      <c r="AT329" s="43" t="s">
        <v>103</v>
      </c>
      <c r="AU329" s="44">
        <f t="shared" si="47"/>
        <v>-2.311361197028369</v>
      </c>
      <c r="AV329" s="44">
        <f t="shared" si="48"/>
        <v>-0.74952209911061918</v>
      </c>
      <c r="AW329" s="45">
        <f t="shared" si="49"/>
        <v>2</v>
      </c>
      <c r="AX329" s="45">
        <f t="shared" si="50"/>
        <v>0</v>
      </c>
      <c r="AY329" s="46">
        <f>VLOOKUP(AP329,COND!$A$10:$B$32,2,FALSE)</f>
        <v>1</v>
      </c>
      <c r="AZ329" s="44">
        <f>($AU$3*AU329+$AV$3*AV329+$AW$3*AW329+$AX$3*AX329)*AY329*IF(AQ329&lt;5,0.95,IF(AQ329&lt;7,0.975,1))+$I$3*VLOOKUP(I329,COND!$A$2:$E$7,4,FALSE)+$J$3*VLOOKUP(J329,COND!$A$2:$E$7,2,FALSE)+$K$3*VLOOKUP(K329,COND!$A$2:$E$7,3,FALSE)+IF(BB329="SP",$BB$3,0)+IF($AW329&lt;3,-5,0)+IF(AND($B$2&gt;0,$E329&lt;20),$B$2*25,0)</f>
        <v>30.608603633922392</v>
      </c>
      <c r="BA329" s="47">
        <f t="shared" si="51"/>
        <v>-0.51226189603307826</v>
      </c>
      <c r="BB329" s="45" t="str">
        <f t="shared" si="52"/>
        <v>RP</v>
      </c>
      <c r="BC329" s="45">
        <v>930</v>
      </c>
      <c r="BD329" s="45">
        <v>324</v>
      </c>
      <c r="BE329" s="45"/>
      <c r="BF329" s="45" t="str">
        <f t="shared" si="53"/>
        <v>Unlikely</v>
      </c>
      <c r="BG329" s="45"/>
      <c r="BH329" s="45" t="str">
        <f>INDEX(Table5[[#All],[Ovr]],MATCH(Table3[[#This Row],[PID]],Table5[[#All],[PID]],0))</f>
        <v/>
      </c>
      <c r="BI329" s="45" t="str">
        <f>INDEX(Table5[[#All],[Rnd]],MATCH(Table3[[#This Row],[PID]],Table5[[#All],[PID]],0))</f>
        <v/>
      </c>
      <c r="BJ329" s="45" t="str">
        <f>INDEX(Table5[[#All],[Pick]],MATCH(Table3[[#This Row],[PID]],Table5[[#All],[PID]],0))</f>
        <v/>
      </c>
      <c r="BK329" s="45" t="str">
        <f>INDEX(Table5[[#All],[Team]],MATCH(Table3[[#This Row],[PID]],Table5[[#All],[PID]],0))</f>
        <v/>
      </c>
      <c r="BL329" s="45" t="str">
        <f>IF(OR(Table3[[#This Row],[POS]]="SP",Table3[[#This Row],[POS]]="RP",Table3[[#This Row],[POS]]="CL"),"P",INDEX(Batters[[#All],[zScore]],MATCH(Table3[[#This Row],[PID]],Batters[[#All],[PID]],0)))</f>
        <v>P</v>
      </c>
    </row>
    <row r="330" spans="1:64" ht="15" customHeight="1" x14ac:dyDescent="0.3">
      <c r="A330" s="40">
        <v>10930</v>
      </c>
      <c r="B330" s="40" t="s">
        <v>380</v>
      </c>
      <c r="C330" s="40" t="s">
        <v>1581</v>
      </c>
      <c r="D330" s="40" t="s">
        <v>1582</v>
      </c>
      <c r="E330" s="40">
        <v>21</v>
      </c>
      <c r="F330" s="40" t="s">
        <v>42</v>
      </c>
      <c r="G330" s="40" t="s">
        <v>42</v>
      </c>
      <c r="H330" s="41" t="s">
        <v>561</v>
      </c>
      <c r="I330" s="42" t="s">
        <v>43</v>
      </c>
      <c r="J330" s="40" t="s">
        <v>44</v>
      </c>
      <c r="K330" s="41" t="s">
        <v>43</v>
      </c>
      <c r="L330" s="40">
        <v>2</v>
      </c>
      <c r="M330" s="40">
        <v>2</v>
      </c>
      <c r="N330" s="41">
        <v>1</v>
      </c>
      <c r="O330" s="40">
        <v>4</v>
      </c>
      <c r="P330" s="40">
        <v>2</v>
      </c>
      <c r="Q330" s="41">
        <v>3</v>
      </c>
      <c r="R330" s="40">
        <v>3</v>
      </c>
      <c r="S330" s="40">
        <v>4</v>
      </c>
      <c r="T330" s="40">
        <v>1</v>
      </c>
      <c r="U330" s="40">
        <v>2</v>
      </c>
      <c r="V330" s="40">
        <v>2</v>
      </c>
      <c r="W330" s="40">
        <v>6</v>
      </c>
      <c r="X330" s="40">
        <v>2</v>
      </c>
      <c r="Y330" s="40">
        <v>5</v>
      </c>
      <c r="Z330" s="40" t="s">
        <v>45</v>
      </c>
      <c r="AA330" s="40" t="s">
        <v>45</v>
      </c>
      <c r="AB330" s="40" t="s">
        <v>45</v>
      </c>
      <c r="AC330" s="40" t="s">
        <v>45</v>
      </c>
      <c r="AD330" s="40" t="s">
        <v>45</v>
      </c>
      <c r="AE330" s="40" t="s">
        <v>45</v>
      </c>
      <c r="AF330" s="40">
        <v>3</v>
      </c>
      <c r="AG330" s="40">
        <v>5</v>
      </c>
      <c r="AH330" s="40" t="s">
        <v>45</v>
      </c>
      <c r="AI330" s="40" t="s">
        <v>45</v>
      </c>
      <c r="AJ330" s="40" t="s">
        <v>45</v>
      </c>
      <c r="AK330" s="40" t="s">
        <v>45</v>
      </c>
      <c r="AL330" s="40" t="s">
        <v>45</v>
      </c>
      <c r="AM330" s="40" t="s">
        <v>45</v>
      </c>
      <c r="AN330" s="40" t="s">
        <v>45</v>
      </c>
      <c r="AO330" s="41" t="s">
        <v>45</v>
      </c>
      <c r="AP330" s="40" t="s">
        <v>329</v>
      </c>
      <c r="AQ330" s="40">
        <v>6</v>
      </c>
      <c r="AR330" s="48" t="s">
        <v>326</v>
      </c>
      <c r="AS330" s="43" t="s">
        <v>45</v>
      </c>
      <c r="AT330" s="43" t="s">
        <v>103</v>
      </c>
      <c r="AU330" s="44">
        <f t="shared" si="47"/>
        <v>-2.311361197028369</v>
      </c>
      <c r="AV330" s="44">
        <f t="shared" si="48"/>
        <v>-0.99184266516472974</v>
      </c>
      <c r="AW330" s="45">
        <f t="shared" si="49"/>
        <v>5</v>
      </c>
      <c r="AX330" s="45">
        <f t="shared" si="50"/>
        <v>1</v>
      </c>
      <c r="AY330" s="46">
        <f>VLOOKUP(AP330,COND!$A$10:$B$32,2,FALSE)</f>
        <v>1</v>
      </c>
      <c r="AZ330" s="44">
        <f>($AU$3*AU330+$AV$3*AV330+$AW$3*AW330+$AX$3*AX330)*AY330*IF(AQ330&lt;5,0.95,IF(AQ330&lt;7,0.975,1))+$I$3*VLOOKUP(I330,COND!$A$2:$E$7,4,FALSE)+$J$3*VLOOKUP(J330,COND!$A$2:$E$7,2,FALSE)+$K$3*VLOOKUP(K330,COND!$A$2:$E$7,3,FALSE)+IF(BB330="SP",$BB$3,0)+IF($AW330&lt;3,-5,0)+IF(AND($B$2&gt;0,$E330&lt;20),$B$2*25,0)</f>
        <v>30.564602595867235</v>
      </c>
      <c r="BA330" s="47">
        <f t="shared" si="51"/>
        <v>-0.5153950793963169</v>
      </c>
      <c r="BB330" s="45" t="str">
        <f t="shared" si="52"/>
        <v>SP</v>
      </c>
      <c r="BC330" s="45">
        <v>930</v>
      </c>
      <c r="BD330" s="45">
        <v>325</v>
      </c>
      <c r="BE330" s="45"/>
      <c r="BF330" s="45" t="str">
        <f t="shared" si="53"/>
        <v>Unlikely</v>
      </c>
      <c r="BG330" s="45"/>
      <c r="BH330" s="45">
        <f>INDEX(Table5[[#All],[Ovr]],MATCH(Table3[[#This Row],[PID]],Table5[[#All],[PID]],0))</f>
        <v>601</v>
      </c>
      <c r="BI330" s="45" t="str">
        <f>INDEX(Table5[[#All],[Rnd]],MATCH(Table3[[#This Row],[PID]],Table5[[#All],[PID]],0))</f>
        <v>18</v>
      </c>
      <c r="BJ330" s="45">
        <f>INDEX(Table5[[#All],[Pick]],MATCH(Table3[[#This Row],[PID]],Table5[[#All],[PID]],0))</f>
        <v>32</v>
      </c>
      <c r="BK330" s="45" t="str">
        <f>INDEX(Table5[[#All],[Team]],MATCH(Table3[[#This Row],[PID]],Table5[[#All],[PID]],0))</f>
        <v>Florida Farstriders</v>
      </c>
      <c r="BL330" s="45" t="str">
        <f>IF(OR(Table3[[#This Row],[POS]]="SP",Table3[[#This Row],[POS]]="RP",Table3[[#This Row],[POS]]="CL"),"P",INDEX(Batters[[#All],[zScore]],MATCH(Table3[[#This Row],[PID]],Batters[[#All],[PID]],0)))</f>
        <v>P</v>
      </c>
    </row>
    <row r="331" spans="1:64" ht="15" customHeight="1" x14ac:dyDescent="0.3">
      <c r="A331" s="40">
        <v>12633</v>
      </c>
      <c r="B331" s="40" t="s">
        <v>380</v>
      </c>
      <c r="C331" s="40" t="s">
        <v>381</v>
      </c>
      <c r="D331" s="40" t="s">
        <v>1327</v>
      </c>
      <c r="E331" s="40">
        <v>18</v>
      </c>
      <c r="F331" s="40" t="s">
        <v>53</v>
      </c>
      <c r="G331" s="40" t="s">
        <v>53</v>
      </c>
      <c r="H331" s="41" t="s">
        <v>561</v>
      </c>
      <c r="I331" s="42" t="s">
        <v>43</v>
      </c>
      <c r="J331" s="40" t="s">
        <v>44</v>
      </c>
      <c r="K331" s="41" t="s">
        <v>43</v>
      </c>
      <c r="L331" s="40">
        <v>2</v>
      </c>
      <c r="M331" s="40">
        <v>1</v>
      </c>
      <c r="N331" s="41">
        <v>2</v>
      </c>
      <c r="O331" s="40">
        <v>3</v>
      </c>
      <c r="P331" s="40">
        <v>1</v>
      </c>
      <c r="Q331" s="41">
        <v>4</v>
      </c>
      <c r="R331" s="40">
        <v>3</v>
      </c>
      <c r="S331" s="40">
        <v>4</v>
      </c>
      <c r="T331" s="40">
        <v>1</v>
      </c>
      <c r="U331" s="40">
        <v>4</v>
      </c>
      <c r="V331" s="40">
        <v>2</v>
      </c>
      <c r="W331" s="40">
        <v>4</v>
      </c>
      <c r="X331" s="40">
        <v>2</v>
      </c>
      <c r="Y331" s="40">
        <v>4</v>
      </c>
      <c r="Z331" s="40" t="s">
        <v>45</v>
      </c>
      <c r="AA331" s="40" t="s">
        <v>45</v>
      </c>
      <c r="AB331" s="40" t="s">
        <v>45</v>
      </c>
      <c r="AC331" s="40" t="s">
        <v>45</v>
      </c>
      <c r="AD331" s="40" t="s">
        <v>45</v>
      </c>
      <c r="AE331" s="40" t="s">
        <v>45</v>
      </c>
      <c r="AF331" s="40" t="s">
        <v>45</v>
      </c>
      <c r="AG331" s="40" t="s">
        <v>45</v>
      </c>
      <c r="AH331" s="40" t="s">
        <v>45</v>
      </c>
      <c r="AI331" s="40" t="s">
        <v>45</v>
      </c>
      <c r="AJ331" s="40" t="s">
        <v>45</v>
      </c>
      <c r="AK331" s="40" t="s">
        <v>45</v>
      </c>
      <c r="AL331" s="40" t="s">
        <v>45</v>
      </c>
      <c r="AM331" s="40" t="s">
        <v>45</v>
      </c>
      <c r="AN331" s="40" t="s">
        <v>45</v>
      </c>
      <c r="AO331" s="41" t="s">
        <v>45</v>
      </c>
      <c r="AP331" s="40" t="s">
        <v>64</v>
      </c>
      <c r="AQ331" s="40">
        <v>8</v>
      </c>
      <c r="AR331" s="48" t="s">
        <v>14</v>
      </c>
      <c r="AS331" s="43" t="s">
        <v>45</v>
      </c>
      <c r="AT331" s="43" t="s">
        <v>103</v>
      </c>
      <c r="AU331" s="44">
        <f t="shared" si="47"/>
        <v>-2.2644723474043147</v>
      </c>
      <c r="AV331" s="44">
        <f t="shared" si="48"/>
        <v>-1.1396451400498482</v>
      </c>
      <c r="AW331" s="45">
        <f t="shared" si="49"/>
        <v>4</v>
      </c>
      <c r="AX331" s="45">
        <f t="shared" si="50"/>
        <v>0</v>
      </c>
      <c r="AY331" s="46">
        <f>VLOOKUP(AP331,COND!$A$10:$B$32,2,FALSE)</f>
        <v>1</v>
      </c>
      <c r="AZ331" s="44">
        <f>($AU$3*AU331+$AV$3*AV331+$AW$3*AW331+$AX$3*AX331)*AY331*IF(AQ331&lt;5,0.95,IF(AQ331&lt;7,0.975,1))+$I$3*VLOOKUP(I331,COND!$A$2:$E$7,4,FALSE)+$J$3*VLOOKUP(J331,COND!$A$2:$E$7,2,FALSE)+$K$3*VLOOKUP(K331,COND!$A$2:$E$7,3,FALSE)+IF(BB331="SP",$BB$3,0)+IF($AW331&lt;3,-5,0)+IF(AND($B$2&gt;0,$E331&lt;20),$B$2*25,0)</f>
        <v>30.454202729522173</v>
      </c>
      <c r="BA331" s="47">
        <f>STANDARDIZE(AZ331,AVERAGE($AZ$5:$AZ$445),STDEVP($AZ$5:$AZ$445))</f>
        <v>-0.51656083479604809</v>
      </c>
      <c r="BB331" s="45" t="str">
        <f t="shared" si="52"/>
        <v>SP</v>
      </c>
      <c r="BC331" s="45">
        <v>930</v>
      </c>
      <c r="BD331" s="45">
        <v>326</v>
      </c>
      <c r="BE331" s="45"/>
      <c r="BF331" s="45" t="str">
        <f t="shared" si="53"/>
        <v>Unlikely</v>
      </c>
      <c r="BG331" s="45"/>
      <c r="BH331" s="63">
        <f>INDEX(Table5[[#All],[Ovr]],MATCH(Table3[[#This Row],[PID]],Table5[[#All],[PID]],0))</f>
        <v>523</v>
      </c>
      <c r="BI331" s="63" t="str">
        <f>INDEX(Table5[[#All],[Rnd]],MATCH(Table3[[#This Row],[PID]],Table5[[#All],[PID]],0))</f>
        <v>16</v>
      </c>
      <c r="BJ331" s="63">
        <f>INDEX(Table5[[#All],[Pick]],MATCH(Table3[[#This Row],[PID]],Table5[[#All],[PID]],0))</f>
        <v>22</v>
      </c>
      <c r="BK331" s="63" t="str">
        <f>INDEX(Table5[[#All],[Team]],MATCH(Table3[[#This Row],[PID]],Table5[[#All],[PID]],0))</f>
        <v>Bakersfield Bears</v>
      </c>
      <c r="BL331" s="63" t="str">
        <f>IF(OR(Table3[[#This Row],[POS]]="SP",Table3[[#This Row],[POS]]="RP",Table3[[#This Row],[POS]]="CL"),"P",INDEX(Batters[[#All],[zScore]],MATCH(Table3[[#This Row],[PID]],Batters[[#All],[PID]],0)))</f>
        <v>P</v>
      </c>
    </row>
    <row r="332" spans="1:64" ht="15" customHeight="1" x14ac:dyDescent="0.3">
      <c r="A332" s="40">
        <v>5091</v>
      </c>
      <c r="B332" s="40" t="s">
        <v>380</v>
      </c>
      <c r="C332" s="40" t="s">
        <v>283</v>
      </c>
      <c r="D332" s="40" t="s">
        <v>652</v>
      </c>
      <c r="E332" s="40">
        <v>21</v>
      </c>
      <c r="F332" s="40" t="s">
        <v>62</v>
      </c>
      <c r="G332" s="40" t="s">
        <v>42</v>
      </c>
      <c r="H332" s="41" t="s">
        <v>561</v>
      </c>
      <c r="I332" s="42" t="s">
        <v>43</v>
      </c>
      <c r="J332" s="40" t="s">
        <v>44</v>
      </c>
      <c r="K332" s="41" t="s">
        <v>43</v>
      </c>
      <c r="L332" s="40">
        <v>2</v>
      </c>
      <c r="M332" s="40">
        <v>2</v>
      </c>
      <c r="N332" s="41">
        <v>2</v>
      </c>
      <c r="O332" s="40">
        <v>4</v>
      </c>
      <c r="P332" s="40">
        <v>2</v>
      </c>
      <c r="Q332" s="41">
        <v>3</v>
      </c>
      <c r="R332" s="40">
        <v>3</v>
      </c>
      <c r="S332" s="40">
        <v>6</v>
      </c>
      <c r="T332" s="40">
        <v>1</v>
      </c>
      <c r="U332" s="40">
        <v>1</v>
      </c>
      <c r="V332" s="40">
        <v>3</v>
      </c>
      <c r="W332" s="40">
        <v>6</v>
      </c>
      <c r="X332" s="40" t="s">
        <v>45</v>
      </c>
      <c r="Y332" s="40" t="s">
        <v>45</v>
      </c>
      <c r="Z332" s="40" t="s">
        <v>45</v>
      </c>
      <c r="AA332" s="40" t="s">
        <v>45</v>
      </c>
      <c r="AB332" s="40" t="s">
        <v>45</v>
      </c>
      <c r="AC332" s="40" t="s">
        <v>45</v>
      </c>
      <c r="AD332" s="40" t="s">
        <v>45</v>
      </c>
      <c r="AE332" s="40" t="s">
        <v>45</v>
      </c>
      <c r="AF332" s="40" t="s">
        <v>45</v>
      </c>
      <c r="AG332" s="40" t="s">
        <v>45</v>
      </c>
      <c r="AH332" s="40" t="s">
        <v>45</v>
      </c>
      <c r="AI332" s="40" t="s">
        <v>45</v>
      </c>
      <c r="AJ332" s="40" t="s">
        <v>45</v>
      </c>
      <c r="AK332" s="40" t="s">
        <v>45</v>
      </c>
      <c r="AL332" s="40" t="s">
        <v>45</v>
      </c>
      <c r="AM332" s="40" t="s">
        <v>45</v>
      </c>
      <c r="AN332" s="40" t="s">
        <v>45</v>
      </c>
      <c r="AO332" s="41" t="s">
        <v>45</v>
      </c>
      <c r="AP332" s="40" t="s">
        <v>329</v>
      </c>
      <c r="AQ332" s="40">
        <v>7</v>
      </c>
      <c r="AR332" s="48" t="s">
        <v>326</v>
      </c>
      <c r="AS332" s="43" t="s">
        <v>45</v>
      </c>
      <c r="AT332" s="43" t="s">
        <v>103</v>
      </c>
      <c r="AU332" s="44">
        <f t="shared" si="47"/>
        <v>-2.0690406309742588</v>
      </c>
      <c r="AV332" s="44">
        <f t="shared" si="48"/>
        <v>-0.99184266516472974</v>
      </c>
      <c r="AW332" s="45">
        <f t="shared" si="49"/>
        <v>3</v>
      </c>
      <c r="AX332" s="45">
        <f t="shared" si="50"/>
        <v>2</v>
      </c>
      <c r="AY332" s="46">
        <f>VLOOKUP(AP332,COND!$A$10:$B$32,2,FALSE)</f>
        <v>1</v>
      </c>
      <c r="AZ332" s="44">
        <f>($AU$3*AU332+$AV$3*AV332+$AW$3*AW332+$AX$3*AX332)*AY332*IF(AQ332&lt;5,0.95,IF(AQ332&lt;7,0.975,1))+$I$3*VLOOKUP(I332,COND!$A$2:$E$7,4,FALSE)+$J$3*VLOOKUP(J332,COND!$A$2:$E$7,2,FALSE)+$K$3*VLOOKUP(K332,COND!$A$2:$E$7,3,FALSE)+IF(BB332="SP",$BB$3,0)+IF($AW332&lt;3,-5,0)+IF(AND($B$2&gt;0,$E332&lt;20),$B$2*25,0)</f>
        <v>30.449338570510552</v>
      </c>
      <c r="BA332" s="47">
        <f t="shared" ref="BA332:BA340" si="54">STANDARDIZE(AZ332,AVERAGE($AZ$5:$AZ$428),STDEVP($AZ$5:$AZ$428))</f>
        <v>-0.52360268863896176</v>
      </c>
      <c r="BB332" s="45" t="str">
        <f t="shared" si="52"/>
        <v>SP</v>
      </c>
      <c r="BC332" s="45">
        <v>930</v>
      </c>
      <c r="BD332" s="45">
        <v>327</v>
      </c>
      <c r="BE332" s="45"/>
      <c r="BF332" s="45" t="str">
        <f t="shared" si="53"/>
        <v>Unlikely</v>
      </c>
      <c r="BG332" s="45"/>
      <c r="BH332" s="45">
        <f>INDEX(Table5[[#All],[Ovr]],MATCH(Table3[[#This Row],[PID]],Table5[[#All],[PID]],0))</f>
        <v>616</v>
      </c>
      <c r="BI332" s="45" t="str">
        <f>INDEX(Table5[[#All],[Rnd]],MATCH(Table3[[#This Row],[PID]],Table5[[#All],[PID]],0))</f>
        <v>19</v>
      </c>
      <c r="BJ332" s="45">
        <f>INDEX(Table5[[#All],[Pick]],MATCH(Table3[[#This Row],[PID]],Table5[[#All],[PID]],0))</f>
        <v>13</v>
      </c>
      <c r="BK332" s="45" t="str">
        <f>INDEX(Table5[[#All],[Team]],MATCH(Table3[[#This Row],[PID]],Table5[[#All],[PID]],0))</f>
        <v>Scottish Claymores</v>
      </c>
      <c r="BL332" s="45" t="str">
        <f>IF(OR(Table3[[#This Row],[POS]]="SP",Table3[[#This Row],[POS]]="RP",Table3[[#This Row],[POS]]="CL"),"P",INDEX(Batters[[#All],[zScore]],MATCH(Table3[[#This Row],[PID]],Batters[[#All],[PID]],0)))</f>
        <v>P</v>
      </c>
    </row>
    <row r="333" spans="1:64" ht="15" customHeight="1" x14ac:dyDescent="0.3">
      <c r="A333" s="40">
        <v>13217</v>
      </c>
      <c r="B333" s="40" t="s">
        <v>380</v>
      </c>
      <c r="C333" s="40" t="s">
        <v>187</v>
      </c>
      <c r="D333" s="40" t="s">
        <v>285</v>
      </c>
      <c r="E333" s="40">
        <v>21</v>
      </c>
      <c r="F333" s="40" t="s">
        <v>42</v>
      </c>
      <c r="G333" s="40" t="s">
        <v>42</v>
      </c>
      <c r="H333" s="41" t="s">
        <v>561</v>
      </c>
      <c r="I333" s="42" t="s">
        <v>43</v>
      </c>
      <c r="J333" s="40" t="s">
        <v>44</v>
      </c>
      <c r="K333" s="41" t="s">
        <v>43</v>
      </c>
      <c r="L333" s="40">
        <v>2</v>
      </c>
      <c r="M333" s="40">
        <v>2</v>
      </c>
      <c r="N333" s="41">
        <v>2</v>
      </c>
      <c r="O333" s="40">
        <v>5</v>
      </c>
      <c r="P333" s="40">
        <v>2</v>
      </c>
      <c r="Q333" s="41">
        <v>4</v>
      </c>
      <c r="R333" s="40">
        <v>3</v>
      </c>
      <c r="S333" s="40">
        <v>5</v>
      </c>
      <c r="T333" s="40" t="s">
        <v>45</v>
      </c>
      <c r="U333" s="40" t="s">
        <v>45</v>
      </c>
      <c r="V333" s="40" t="s">
        <v>45</v>
      </c>
      <c r="W333" s="40" t="s">
        <v>45</v>
      </c>
      <c r="X333" s="40">
        <v>2</v>
      </c>
      <c r="Y333" s="40">
        <v>7</v>
      </c>
      <c r="Z333" s="40" t="s">
        <v>45</v>
      </c>
      <c r="AA333" s="40" t="s">
        <v>45</v>
      </c>
      <c r="AB333" s="40" t="s">
        <v>45</v>
      </c>
      <c r="AC333" s="40" t="s">
        <v>45</v>
      </c>
      <c r="AD333" s="40" t="s">
        <v>45</v>
      </c>
      <c r="AE333" s="40" t="s">
        <v>45</v>
      </c>
      <c r="AF333" s="40" t="s">
        <v>45</v>
      </c>
      <c r="AG333" s="40" t="s">
        <v>45</v>
      </c>
      <c r="AH333" s="40" t="s">
        <v>45</v>
      </c>
      <c r="AI333" s="40" t="s">
        <v>45</v>
      </c>
      <c r="AJ333" s="40" t="s">
        <v>45</v>
      </c>
      <c r="AK333" s="40" t="s">
        <v>45</v>
      </c>
      <c r="AL333" s="40" t="s">
        <v>45</v>
      </c>
      <c r="AM333" s="40" t="s">
        <v>45</v>
      </c>
      <c r="AN333" s="40" t="s">
        <v>45</v>
      </c>
      <c r="AO333" s="41" t="s">
        <v>45</v>
      </c>
      <c r="AP333" s="40" t="s">
        <v>64</v>
      </c>
      <c r="AQ333" s="40">
        <v>7</v>
      </c>
      <c r="AR333" s="48" t="s">
        <v>326</v>
      </c>
      <c r="AS333" s="43" t="s">
        <v>557</v>
      </c>
      <c r="AT333" s="43" t="s">
        <v>103</v>
      </c>
      <c r="AU333" s="44">
        <f t="shared" si="47"/>
        <v>-2.0690406309742588</v>
      </c>
      <c r="AV333" s="44">
        <f t="shared" si="48"/>
        <v>-0.55483077460144581</v>
      </c>
      <c r="AW333" s="45">
        <f t="shared" si="49"/>
        <v>2</v>
      </c>
      <c r="AX333" s="45">
        <f t="shared" si="50"/>
        <v>1</v>
      </c>
      <c r="AY333" s="46">
        <f>VLOOKUP(AP333,COND!$A$10:$B$32,2,FALSE)</f>
        <v>1</v>
      </c>
      <c r="AZ333" s="44">
        <f>($AU$3*AU333+$AV$3*AV333+$AW$3*AW333+$AX$3*AX333)*AY333*IF(AQ333&lt;5,0.95,IF(AQ333&lt;7,0.975,1))+$I$3*VLOOKUP(I333,COND!$A$2:$E$7,4,FALSE)+$J$3*VLOOKUP(J333,COND!$A$2:$E$7,2,FALSE)+$K$3*VLOOKUP(K333,COND!$A$2:$E$7,3,FALSE)+IF(BB333="SP",$BB$3,0)+IF($AW333&lt;3,-5,0)+IF(AND($B$2&gt;0,$E333&lt;20),$B$2*25,0)</f>
        <v>30.439576381776234</v>
      </c>
      <c r="BA333" s="47">
        <f t="shared" si="54"/>
        <v>-0.52429782513307843</v>
      </c>
      <c r="BB333" s="45" t="str">
        <f t="shared" si="52"/>
        <v>RP</v>
      </c>
      <c r="BC333" s="45">
        <v>930</v>
      </c>
      <c r="BD333" s="45">
        <v>328</v>
      </c>
      <c r="BE333" s="45"/>
      <c r="BF333" s="45" t="str">
        <f t="shared" si="53"/>
        <v>Unlikely</v>
      </c>
      <c r="BG333" s="45"/>
      <c r="BH333" s="45">
        <f>INDEX(Table5[[#All],[Ovr]],MATCH(Table3[[#This Row],[PID]],Table5[[#All],[PID]],0))</f>
        <v>536</v>
      </c>
      <c r="BI333" s="45" t="str">
        <f>INDEX(Table5[[#All],[Rnd]],MATCH(Table3[[#This Row],[PID]],Table5[[#All],[PID]],0))</f>
        <v>17</v>
      </c>
      <c r="BJ333" s="45">
        <f>INDEX(Table5[[#All],[Pick]],MATCH(Table3[[#This Row],[PID]],Table5[[#All],[PID]],0))</f>
        <v>1</v>
      </c>
      <c r="BK333" s="45" t="str">
        <f>INDEX(Table5[[#All],[Team]],MATCH(Table3[[#This Row],[PID]],Table5[[#All],[PID]],0))</f>
        <v>Yuma Arroyos</v>
      </c>
      <c r="BL333" s="45" t="str">
        <f>IF(OR(Table3[[#This Row],[POS]]="SP",Table3[[#This Row],[POS]]="RP",Table3[[#This Row],[POS]]="CL"),"P",INDEX(Batters[[#All],[zScore]],MATCH(Table3[[#This Row],[PID]],Batters[[#All],[PID]],0)))</f>
        <v>P</v>
      </c>
    </row>
    <row r="334" spans="1:64" ht="15" customHeight="1" x14ac:dyDescent="0.3">
      <c r="A334" s="40">
        <v>14853</v>
      </c>
      <c r="B334" s="40" t="s">
        <v>24</v>
      </c>
      <c r="C334" s="40" t="s">
        <v>807</v>
      </c>
      <c r="D334" s="40" t="s">
        <v>1350</v>
      </c>
      <c r="E334" s="40">
        <v>21</v>
      </c>
      <c r="F334" s="40" t="s">
        <v>42</v>
      </c>
      <c r="G334" s="40" t="s">
        <v>42</v>
      </c>
      <c r="H334" s="41" t="s">
        <v>561</v>
      </c>
      <c r="I334" s="42" t="s">
        <v>43</v>
      </c>
      <c r="J334" s="40" t="s">
        <v>44</v>
      </c>
      <c r="K334" s="41" t="s">
        <v>43</v>
      </c>
      <c r="L334" s="40">
        <v>2</v>
      </c>
      <c r="M334" s="40">
        <v>2</v>
      </c>
      <c r="N334" s="41">
        <v>1</v>
      </c>
      <c r="O334" s="40">
        <v>4</v>
      </c>
      <c r="P334" s="40">
        <v>2</v>
      </c>
      <c r="Q334" s="41">
        <v>3</v>
      </c>
      <c r="R334" s="40" t="s">
        <v>45</v>
      </c>
      <c r="S334" s="40" t="s">
        <v>45</v>
      </c>
      <c r="T334" s="40" t="s">
        <v>45</v>
      </c>
      <c r="U334" s="40" t="s">
        <v>45</v>
      </c>
      <c r="V334" s="40">
        <v>2</v>
      </c>
      <c r="W334" s="40">
        <v>7</v>
      </c>
      <c r="X334" s="40">
        <v>3</v>
      </c>
      <c r="Y334" s="40">
        <v>6</v>
      </c>
      <c r="Z334" s="40" t="s">
        <v>45</v>
      </c>
      <c r="AA334" s="40" t="s">
        <v>45</v>
      </c>
      <c r="AB334" s="40" t="s">
        <v>45</v>
      </c>
      <c r="AC334" s="40" t="s">
        <v>45</v>
      </c>
      <c r="AD334" s="40">
        <v>4</v>
      </c>
      <c r="AE334" s="40">
        <v>5</v>
      </c>
      <c r="AF334" s="40" t="s">
        <v>45</v>
      </c>
      <c r="AG334" s="40" t="s">
        <v>45</v>
      </c>
      <c r="AH334" s="40" t="s">
        <v>45</v>
      </c>
      <c r="AI334" s="40" t="s">
        <v>45</v>
      </c>
      <c r="AJ334" s="40" t="s">
        <v>45</v>
      </c>
      <c r="AK334" s="40" t="s">
        <v>45</v>
      </c>
      <c r="AL334" s="40" t="s">
        <v>45</v>
      </c>
      <c r="AM334" s="40" t="s">
        <v>45</v>
      </c>
      <c r="AN334" s="40" t="s">
        <v>45</v>
      </c>
      <c r="AO334" s="41" t="s">
        <v>45</v>
      </c>
      <c r="AP334" s="40" t="s">
        <v>56</v>
      </c>
      <c r="AQ334" s="40">
        <v>9</v>
      </c>
      <c r="AR334" s="48" t="s">
        <v>14</v>
      </c>
      <c r="AS334" s="43" t="s">
        <v>45</v>
      </c>
      <c r="AT334" s="43" t="s">
        <v>103</v>
      </c>
      <c r="AU334" s="44">
        <f t="shared" si="47"/>
        <v>-2.311361197028369</v>
      </c>
      <c r="AV334" s="44">
        <f t="shared" si="48"/>
        <v>-0.99184266516472974</v>
      </c>
      <c r="AW334" s="45">
        <f t="shared" si="49"/>
        <v>3</v>
      </c>
      <c r="AX334" s="45">
        <f t="shared" si="50"/>
        <v>2</v>
      </c>
      <c r="AY334" s="46">
        <f>VLOOKUP(AP334,COND!$A$10:$B$32,2,FALSE)</f>
        <v>1</v>
      </c>
      <c r="AZ334" s="44">
        <f>($AU$3*AU334+$AV$3*AV334+$AW$3*AW334+$AX$3*AX334)*AY334*IF(AQ334&lt;5,0.95,IF(AQ334&lt;7,0.975,1))+$I$3*VLOOKUP(I334,COND!$A$2:$E$7,4,FALSE)+$J$3*VLOOKUP(J334,COND!$A$2:$E$7,2,FALSE)+$K$3*VLOOKUP(K334,COND!$A$2:$E$7,3,FALSE)+IF(BB334="SP",$BB$3,0)+IF($AW334&lt;3,-5,0)+IF(AND($B$2&gt;0,$E334&lt;20),$B$2*25,0)</f>
        <v>30.400874457299729</v>
      </c>
      <c r="BA334" s="47">
        <f t="shared" si="54"/>
        <v>-0.52705367434152439</v>
      </c>
      <c r="BB334" s="45" t="str">
        <f t="shared" si="52"/>
        <v>SP</v>
      </c>
      <c r="BC334" s="45">
        <v>930</v>
      </c>
      <c r="BD334" s="45">
        <v>329</v>
      </c>
      <c r="BE334" s="45"/>
      <c r="BF334" s="45" t="str">
        <f t="shared" si="53"/>
        <v>Unlikely</v>
      </c>
      <c r="BG334" s="45"/>
      <c r="BH334" s="45">
        <f>INDEX(Table5[[#All],[Ovr]],MATCH(Table3[[#This Row],[PID]],Table5[[#All],[PID]],0))</f>
        <v>292</v>
      </c>
      <c r="BI334" s="45" t="str">
        <f>INDEX(Table5[[#All],[Rnd]],MATCH(Table3[[#This Row],[PID]],Table5[[#All],[PID]],0))</f>
        <v>9</v>
      </c>
      <c r="BJ334" s="45">
        <f>INDEX(Table5[[#All],[Pick]],MATCH(Table3[[#This Row],[PID]],Table5[[#All],[PID]],0))</f>
        <v>27</v>
      </c>
      <c r="BK334" s="45" t="str">
        <f>INDEX(Table5[[#All],[Team]],MATCH(Table3[[#This Row],[PID]],Table5[[#All],[PID]],0))</f>
        <v>Havana Leones</v>
      </c>
      <c r="BL334" s="45" t="str">
        <f>IF(OR(Table3[[#This Row],[POS]]="SP",Table3[[#This Row],[POS]]="RP",Table3[[#This Row],[POS]]="CL"),"P",INDEX(Batters[[#All],[zScore]],MATCH(Table3[[#This Row],[PID]],Batters[[#All],[PID]],0)))</f>
        <v>P</v>
      </c>
    </row>
    <row r="335" spans="1:64" ht="15" customHeight="1" x14ac:dyDescent="0.3">
      <c r="A335" s="40">
        <v>11947</v>
      </c>
      <c r="B335" s="40" t="s">
        <v>380</v>
      </c>
      <c r="C335" s="40" t="s">
        <v>718</v>
      </c>
      <c r="D335" s="40" t="s">
        <v>719</v>
      </c>
      <c r="E335" s="40">
        <v>18</v>
      </c>
      <c r="F335" s="40" t="s">
        <v>42</v>
      </c>
      <c r="G335" s="40" t="s">
        <v>42</v>
      </c>
      <c r="H335" s="41" t="s">
        <v>561</v>
      </c>
      <c r="I335" s="42" t="s">
        <v>43</v>
      </c>
      <c r="J335" s="40" t="s">
        <v>44</v>
      </c>
      <c r="K335" s="41" t="s">
        <v>43</v>
      </c>
      <c r="L335" s="40">
        <v>2</v>
      </c>
      <c r="M335" s="40">
        <v>1</v>
      </c>
      <c r="N335" s="41">
        <v>1</v>
      </c>
      <c r="O335" s="40">
        <v>4</v>
      </c>
      <c r="P335" s="40">
        <v>1</v>
      </c>
      <c r="Q335" s="41">
        <v>3</v>
      </c>
      <c r="R335" s="40" t="s">
        <v>45</v>
      </c>
      <c r="S335" s="40" t="s">
        <v>45</v>
      </c>
      <c r="T335" s="40">
        <v>1</v>
      </c>
      <c r="U335" s="40">
        <v>1</v>
      </c>
      <c r="V335" s="40">
        <v>3</v>
      </c>
      <c r="W335" s="40">
        <v>6</v>
      </c>
      <c r="X335" s="40" t="s">
        <v>45</v>
      </c>
      <c r="Y335" s="40" t="s">
        <v>45</v>
      </c>
      <c r="Z335" s="40" t="s">
        <v>45</v>
      </c>
      <c r="AA335" s="40" t="s">
        <v>45</v>
      </c>
      <c r="AB335" s="40" t="s">
        <v>45</v>
      </c>
      <c r="AC335" s="40" t="s">
        <v>45</v>
      </c>
      <c r="AD335" s="40">
        <v>3</v>
      </c>
      <c r="AE335" s="40">
        <v>5</v>
      </c>
      <c r="AF335" s="40" t="s">
        <v>45</v>
      </c>
      <c r="AG335" s="40" t="s">
        <v>45</v>
      </c>
      <c r="AH335" s="40" t="s">
        <v>45</v>
      </c>
      <c r="AI335" s="40" t="s">
        <v>45</v>
      </c>
      <c r="AJ335" s="40" t="s">
        <v>45</v>
      </c>
      <c r="AK335" s="40" t="s">
        <v>45</v>
      </c>
      <c r="AL335" s="40" t="s">
        <v>45</v>
      </c>
      <c r="AM335" s="40" t="s">
        <v>45</v>
      </c>
      <c r="AN335" s="40" t="s">
        <v>45</v>
      </c>
      <c r="AO335" s="41" t="s">
        <v>45</v>
      </c>
      <c r="AP335" s="40" t="s">
        <v>65</v>
      </c>
      <c r="AQ335" s="40">
        <v>4</v>
      </c>
      <c r="AR335" s="48" t="s">
        <v>330</v>
      </c>
      <c r="AS335" s="43" t="s">
        <v>558</v>
      </c>
      <c r="AT335" s="43" t="s">
        <v>103</v>
      </c>
      <c r="AU335" s="44">
        <f t="shared" si="47"/>
        <v>-2.5067929134584248</v>
      </c>
      <c r="AV335" s="44">
        <f t="shared" si="48"/>
        <v>-1.1872743815947853</v>
      </c>
      <c r="AW335" s="45">
        <f t="shared" si="49"/>
        <v>3</v>
      </c>
      <c r="AX335" s="45">
        <f t="shared" si="50"/>
        <v>1</v>
      </c>
      <c r="AY335" s="46">
        <f>VLOOKUP(AP335,COND!$A$10:$B$32,2,FALSE)</f>
        <v>0.95</v>
      </c>
      <c r="AZ335" s="44">
        <f>($AU$3*AU335+$AV$3*AV335+$AW$3*AW335+$AX$3*AX335)*AY335*IF(AQ335&lt;5,0.95,IF(AQ335&lt;7,0.975,1))+$I$3*VLOOKUP(I335,COND!$A$2:$E$7,4,FALSE)+$J$3*VLOOKUP(J335,COND!$A$2:$E$7,2,FALSE)+$K$3*VLOOKUP(K335,COND!$A$2:$E$7,3,FALSE)+IF(BB335="SP",$BB$3,0)+IF($AW335&lt;3,-5,0)+IF(AND($B$2&gt;0,$E335&lt;20),$B$2*25,0)</f>
        <v>30.299096291334877</v>
      </c>
      <c r="BA335" s="47">
        <f t="shared" si="54"/>
        <v>-0.53430099555113475</v>
      </c>
      <c r="BB335" s="45" t="str">
        <f t="shared" si="52"/>
        <v>RP</v>
      </c>
      <c r="BC335" s="45">
        <v>930</v>
      </c>
      <c r="BD335" s="45">
        <v>330</v>
      </c>
      <c r="BE335" s="45"/>
      <c r="BF335" s="45" t="str">
        <f t="shared" si="53"/>
        <v>Unlikely</v>
      </c>
      <c r="BG335" s="45"/>
      <c r="BH335" s="45" t="str">
        <f>INDEX(Table5[[#All],[Ovr]],MATCH(Table3[[#This Row],[PID]],Table5[[#All],[PID]],0))</f>
        <v/>
      </c>
      <c r="BI335" s="45" t="str">
        <f>INDEX(Table5[[#All],[Rnd]],MATCH(Table3[[#This Row],[PID]],Table5[[#All],[PID]],0))</f>
        <v/>
      </c>
      <c r="BJ335" s="45" t="str">
        <f>INDEX(Table5[[#All],[Pick]],MATCH(Table3[[#This Row],[PID]],Table5[[#All],[PID]],0))</f>
        <v/>
      </c>
      <c r="BK335" s="45" t="str">
        <f>INDEX(Table5[[#All],[Team]],MATCH(Table3[[#This Row],[PID]],Table5[[#All],[PID]],0))</f>
        <v/>
      </c>
      <c r="BL335" s="45" t="str">
        <f>IF(OR(Table3[[#This Row],[POS]]="SP",Table3[[#This Row],[POS]]="RP",Table3[[#This Row],[POS]]="CL"),"P",INDEX(Batters[[#All],[zScore]],MATCH(Table3[[#This Row],[PID]],Batters[[#All],[PID]],0)))</f>
        <v>P</v>
      </c>
    </row>
    <row r="336" spans="1:64" ht="15" customHeight="1" x14ac:dyDescent="0.3">
      <c r="A336" s="40">
        <v>12201</v>
      </c>
      <c r="B336" s="40" t="s">
        <v>380</v>
      </c>
      <c r="C336" s="40" t="s">
        <v>947</v>
      </c>
      <c r="D336" s="40" t="s">
        <v>1445</v>
      </c>
      <c r="E336" s="40">
        <v>21</v>
      </c>
      <c r="F336" s="40" t="s">
        <v>53</v>
      </c>
      <c r="G336" s="40" t="s">
        <v>53</v>
      </c>
      <c r="H336" s="41" t="s">
        <v>561</v>
      </c>
      <c r="I336" s="42" t="s">
        <v>43</v>
      </c>
      <c r="J336" s="40" t="s">
        <v>44</v>
      </c>
      <c r="K336" s="41" t="s">
        <v>47</v>
      </c>
      <c r="L336" s="40">
        <v>2</v>
      </c>
      <c r="M336" s="40">
        <v>1</v>
      </c>
      <c r="N336" s="41">
        <v>2</v>
      </c>
      <c r="O336" s="40">
        <v>4</v>
      </c>
      <c r="P336" s="40">
        <v>1</v>
      </c>
      <c r="Q336" s="41">
        <v>4</v>
      </c>
      <c r="R336" s="40">
        <v>4</v>
      </c>
      <c r="S336" s="40">
        <v>5</v>
      </c>
      <c r="T336" s="40">
        <v>3</v>
      </c>
      <c r="U336" s="40">
        <v>6</v>
      </c>
      <c r="V336" s="40" t="s">
        <v>45</v>
      </c>
      <c r="W336" s="40" t="s">
        <v>45</v>
      </c>
      <c r="X336" s="40">
        <v>2</v>
      </c>
      <c r="Y336" s="40">
        <v>2</v>
      </c>
      <c r="Z336" s="40" t="s">
        <v>45</v>
      </c>
      <c r="AA336" s="40" t="s">
        <v>45</v>
      </c>
      <c r="AB336" s="40" t="s">
        <v>45</v>
      </c>
      <c r="AC336" s="40" t="s">
        <v>45</v>
      </c>
      <c r="AD336" s="40" t="s">
        <v>45</v>
      </c>
      <c r="AE336" s="40" t="s">
        <v>45</v>
      </c>
      <c r="AF336" s="40" t="s">
        <v>45</v>
      </c>
      <c r="AG336" s="40" t="s">
        <v>45</v>
      </c>
      <c r="AH336" s="40" t="s">
        <v>45</v>
      </c>
      <c r="AI336" s="40" t="s">
        <v>45</v>
      </c>
      <c r="AJ336" s="40" t="s">
        <v>45</v>
      </c>
      <c r="AK336" s="40" t="s">
        <v>45</v>
      </c>
      <c r="AL336" s="40" t="s">
        <v>45</v>
      </c>
      <c r="AM336" s="40" t="s">
        <v>45</v>
      </c>
      <c r="AN336" s="40" t="s">
        <v>45</v>
      </c>
      <c r="AO336" s="41" t="s">
        <v>45</v>
      </c>
      <c r="AP336" s="40" t="s">
        <v>328</v>
      </c>
      <c r="AQ336" s="40">
        <v>4</v>
      </c>
      <c r="AR336" s="48" t="s">
        <v>14</v>
      </c>
      <c r="AS336" s="43" t="s">
        <v>557</v>
      </c>
      <c r="AT336" s="43" t="s">
        <v>103</v>
      </c>
      <c r="AU336" s="44">
        <f t="shared" si="47"/>
        <v>-2.2644723474043147</v>
      </c>
      <c r="AV336" s="44">
        <f t="shared" si="48"/>
        <v>-0.94495381554067481</v>
      </c>
      <c r="AW336" s="45">
        <f t="shared" si="49"/>
        <v>3</v>
      </c>
      <c r="AX336" s="45">
        <f t="shared" si="50"/>
        <v>1</v>
      </c>
      <c r="AY336" s="46">
        <f>VLOOKUP(AP336,COND!$A$10:$B$32,2,FALSE)</f>
        <v>1</v>
      </c>
      <c r="AZ336" s="44">
        <f>($AU$3*AU336+$AV$3*AV336+$AW$3*AW336+$AX$3*AX336)*AY336*IF(AQ336&lt;5,0.95,IF(AQ336&lt;7,0.975,1))+$I$3*VLOOKUP(I336,COND!$A$2:$E$7,4,FALSE)+$J$3*VLOOKUP(J336,COND!$A$2:$E$7,2,FALSE)+$K$3*VLOOKUP(K336,COND!$A$2:$E$7,3,FALSE)+IF(BB336="SP",$BB$3,0)+IF($AW336&lt;3,-5,0)+IF(AND($B$2&gt;0,$E336&lt;20),$B$2*25,0)</f>
        <v>29.228127758720362</v>
      </c>
      <c r="BA336" s="47">
        <f t="shared" si="54"/>
        <v>-0.61056148705893887</v>
      </c>
      <c r="BB336" s="45" t="str">
        <f t="shared" si="52"/>
        <v>RP</v>
      </c>
      <c r="BC336" s="45">
        <v>930</v>
      </c>
      <c r="BD336" s="45">
        <v>331</v>
      </c>
      <c r="BE336" s="45"/>
      <c r="BF336" s="45" t="str">
        <f t="shared" si="53"/>
        <v>Unlikely</v>
      </c>
      <c r="BG336" s="45"/>
      <c r="BH336" s="45" t="str">
        <f>INDEX(Table5[[#All],[Ovr]],MATCH(Table3[[#This Row],[PID]],Table5[[#All],[PID]],0))</f>
        <v/>
      </c>
      <c r="BI336" s="45" t="str">
        <f>INDEX(Table5[[#All],[Rnd]],MATCH(Table3[[#This Row],[PID]],Table5[[#All],[PID]],0))</f>
        <v/>
      </c>
      <c r="BJ336" s="45" t="str">
        <f>INDEX(Table5[[#All],[Pick]],MATCH(Table3[[#This Row],[PID]],Table5[[#All],[PID]],0))</f>
        <v/>
      </c>
      <c r="BK336" s="45" t="str">
        <f>INDEX(Table5[[#All],[Team]],MATCH(Table3[[#This Row],[PID]],Table5[[#All],[PID]],0))</f>
        <v/>
      </c>
      <c r="BL336" s="45" t="str">
        <f>IF(OR(Table3[[#This Row],[POS]]="SP",Table3[[#This Row],[POS]]="RP",Table3[[#This Row],[POS]]="CL"),"P",INDEX(Batters[[#All],[zScore]],MATCH(Table3[[#This Row],[PID]],Batters[[#All],[PID]],0)))</f>
        <v>P</v>
      </c>
    </row>
    <row r="337" spans="1:64" ht="15" customHeight="1" x14ac:dyDescent="0.3">
      <c r="A337" s="40">
        <v>10830</v>
      </c>
      <c r="B337" s="40" t="s">
        <v>380</v>
      </c>
      <c r="C337" s="40" t="s">
        <v>1517</v>
      </c>
      <c r="D337" s="40" t="s">
        <v>478</v>
      </c>
      <c r="E337" s="40">
        <v>21</v>
      </c>
      <c r="F337" s="40" t="s">
        <v>53</v>
      </c>
      <c r="G337" s="40" t="s">
        <v>53</v>
      </c>
      <c r="H337" s="41" t="s">
        <v>561</v>
      </c>
      <c r="I337" s="42" t="s">
        <v>44</v>
      </c>
      <c r="J337" s="40" t="s">
        <v>44</v>
      </c>
      <c r="K337" s="41" t="s">
        <v>43</v>
      </c>
      <c r="L337" s="40">
        <v>2</v>
      </c>
      <c r="M337" s="40">
        <v>2</v>
      </c>
      <c r="N337" s="41">
        <v>3</v>
      </c>
      <c r="O337" s="40">
        <v>4</v>
      </c>
      <c r="P337" s="40">
        <v>2</v>
      </c>
      <c r="Q337" s="41">
        <v>3</v>
      </c>
      <c r="R337" s="40">
        <v>3</v>
      </c>
      <c r="S337" s="40">
        <v>4</v>
      </c>
      <c r="T337" s="40">
        <v>1</v>
      </c>
      <c r="U337" s="40">
        <v>4</v>
      </c>
      <c r="V337" s="40" t="s">
        <v>45</v>
      </c>
      <c r="W337" s="40" t="s">
        <v>45</v>
      </c>
      <c r="X337" s="40">
        <v>2</v>
      </c>
      <c r="Y337" s="40">
        <v>2</v>
      </c>
      <c r="Z337" s="40" t="s">
        <v>45</v>
      </c>
      <c r="AA337" s="40" t="s">
        <v>45</v>
      </c>
      <c r="AB337" s="40">
        <v>3</v>
      </c>
      <c r="AC337" s="40">
        <v>4</v>
      </c>
      <c r="AD337" s="40" t="s">
        <v>45</v>
      </c>
      <c r="AE337" s="40" t="s">
        <v>45</v>
      </c>
      <c r="AF337" s="40">
        <v>3</v>
      </c>
      <c r="AG337" s="40">
        <v>4</v>
      </c>
      <c r="AH337" s="40" t="s">
        <v>45</v>
      </c>
      <c r="AI337" s="40" t="s">
        <v>45</v>
      </c>
      <c r="AJ337" s="40" t="s">
        <v>45</v>
      </c>
      <c r="AK337" s="40" t="s">
        <v>45</v>
      </c>
      <c r="AL337" s="40" t="s">
        <v>45</v>
      </c>
      <c r="AM337" s="40" t="s">
        <v>45</v>
      </c>
      <c r="AN337" s="40" t="s">
        <v>45</v>
      </c>
      <c r="AO337" s="41" t="s">
        <v>45</v>
      </c>
      <c r="AP337" s="40" t="s">
        <v>68</v>
      </c>
      <c r="AQ337" s="40">
        <v>7</v>
      </c>
      <c r="AR337" s="48" t="s">
        <v>326</v>
      </c>
      <c r="AS337" s="43" t="s">
        <v>557</v>
      </c>
      <c r="AT337" s="43" t="s">
        <v>103</v>
      </c>
      <c r="AU337" s="44">
        <f t="shared" si="47"/>
        <v>-1.8267200649201485</v>
      </c>
      <c r="AV337" s="44">
        <f t="shared" si="48"/>
        <v>-0.99184266516472974</v>
      </c>
      <c r="AW337" s="45">
        <f t="shared" si="49"/>
        <v>5</v>
      </c>
      <c r="AX337" s="45">
        <f t="shared" si="50"/>
        <v>0</v>
      </c>
      <c r="AY337" s="46">
        <f>VLOOKUP(AP337,COND!$A$10:$B$32,2,FALSE)</f>
        <v>0.95</v>
      </c>
      <c r="AZ337" s="44">
        <f>($AU$3*AU337+$AV$3*AV337+$AW$3*AW337+$AX$3*AX337)*AY337*IF(AQ337&lt;5,0.95,IF(AQ337&lt;7,0.975,1))+$I$3*VLOOKUP(I337,COND!$A$2:$E$7,4,FALSE)+$J$3*VLOOKUP(J337,COND!$A$2:$E$7,2,FALSE)+$K$3*VLOOKUP(K337,COND!$A$2:$E$7,3,FALSE)+IF(BB337="SP",$BB$3,0)+IF($AW337&lt;3,-5,0)+IF(AND($B$2&gt;0,$E337&lt;20),$B$2*25,0)</f>
        <v>29.732912549535307</v>
      </c>
      <c r="BA337" s="47">
        <f t="shared" si="54"/>
        <v>-0.57461725986560097</v>
      </c>
      <c r="BB337" s="45" t="str">
        <f t="shared" si="52"/>
        <v>SP</v>
      </c>
      <c r="BC337" s="45">
        <v>930</v>
      </c>
      <c r="BD337" s="45">
        <v>332</v>
      </c>
      <c r="BE337" s="45"/>
      <c r="BF337" s="45" t="str">
        <f t="shared" si="53"/>
        <v>Unlikely</v>
      </c>
      <c r="BG337" s="45"/>
      <c r="BH337" s="45" t="str">
        <f>INDEX(Table5[[#All],[Ovr]],MATCH(Table3[[#This Row],[PID]],Table5[[#All],[PID]],0))</f>
        <v/>
      </c>
      <c r="BI337" s="45" t="str">
        <f>INDEX(Table5[[#All],[Rnd]],MATCH(Table3[[#This Row],[PID]],Table5[[#All],[PID]],0))</f>
        <v/>
      </c>
      <c r="BJ337" s="45" t="str">
        <f>INDEX(Table5[[#All],[Pick]],MATCH(Table3[[#This Row],[PID]],Table5[[#All],[PID]],0))</f>
        <v/>
      </c>
      <c r="BK337" s="45" t="str">
        <f>INDEX(Table5[[#All],[Team]],MATCH(Table3[[#This Row],[PID]],Table5[[#All],[PID]],0))</f>
        <v/>
      </c>
      <c r="BL337" s="45" t="str">
        <f>IF(OR(Table3[[#This Row],[POS]]="SP",Table3[[#This Row],[POS]]="RP",Table3[[#This Row],[POS]]="CL"),"P",INDEX(Batters[[#All],[zScore]],MATCH(Table3[[#This Row],[PID]],Batters[[#All],[PID]],0)))</f>
        <v>P</v>
      </c>
    </row>
    <row r="338" spans="1:64" ht="15" customHeight="1" x14ac:dyDescent="0.3">
      <c r="A338" s="40">
        <v>10797</v>
      </c>
      <c r="B338" s="40" t="s">
        <v>380</v>
      </c>
      <c r="C338" s="40" t="s">
        <v>123</v>
      </c>
      <c r="D338" s="40" t="s">
        <v>1503</v>
      </c>
      <c r="E338" s="40">
        <v>21</v>
      </c>
      <c r="F338" s="40" t="s">
        <v>42</v>
      </c>
      <c r="G338" s="40" t="s">
        <v>42</v>
      </c>
      <c r="H338" s="41" t="s">
        <v>561</v>
      </c>
      <c r="I338" s="42" t="s">
        <v>43</v>
      </c>
      <c r="J338" s="40" t="s">
        <v>44</v>
      </c>
      <c r="K338" s="41" t="s">
        <v>43</v>
      </c>
      <c r="L338" s="40">
        <v>3</v>
      </c>
      <c r="M338" s="40">
        <v>2</v>
      </c>
      <c r="N338" s="41">
        <v>1</v>
      </c>
      <c r="O338" s="40">
        <v>4</v>
      </c>
      <c r="P338" s="40">
        <v>2</v>
      </c>
      <c r="Q338" s="41">
        <v>3</v>
      </c>
      <c r="R338" s="40">
        <v>4</v>
      </c>
      <c r="S338" s="40">
        <v>5</v>
      </c>
      <c r="T338" s="40">
        <v>1</v>
      </c>
      <c r="U338" s="40">
        <v>1</v>
      </c>
      <c r="V338" s="40">
        <v>3</v>
      </c>
      <c r="W338" s="40">
        <v>6</v>
      </c>
      <c r="X338" s="40" t="s">
        <v>45</v>
      </c>
      <c r="Y338" s="40" t="s">
        <v>45</v>
      </c>
      <c r="Z338" s="40" t="s">
        <v>45</v>
      </c>
      <c r="AA338" s="40" t="s">
        <v>45</v>
      </c>
      <c r="AB338" s="40">
        <v>3</v>
      </c>
      <c r="AC338" s="40">
        <v>4</v>
      </c>
      <c r="AD338" s="40" t="s">
        <v>45</v>
      </c>
      <c r="AE338" s="40" t="s">
        <v>45</v>
      </c>
      <c r="AF338" s="40" t="s">
        <v>45</v>
      </c>
      <c r="AG338" s="40" t="s">
        <v>45</v>
      </c>
      <c r="AH338" s="40" t="s">
        <v>45</v>
      </c>
      <c r="AI338" s="40" t="s">
        <v>45</v>
      </c>
      <c r="AJ338" s="40" t="s">
        <v>45</v>
      </c>
      <c r="AK338" s="40" t="s">
        <v>45</v>
      </c>
      <c r="AL338" s="40" t="s">
        <v>45</v>
      </c>
      <c r="AM338" s="40" t="s">
        <v>45</v>
      </c>
      <c r="AN338" s="40" t="s">
        <v>45</v>
      </c>
      <c r="AO338" s="41" t="s">
        <v>45</v>
      </c>
      <c r="AP338" s="40" t="s">
        <v>329</v>
      </c>
      <c r="AQ338" s="40">
        <v>8</v>
      </c>
      <c r="AR338" s="48" t="s">
        <v>326</v>
      </c>
      <c r="AS338" s="43" t="s">
        <v>45</v>
      </c>
      <c r="AT338" s="43" t="s">
        <v>103</v>
      </c>
      <c r="AU338" s="44">
        <f t="shared" si="47"/>
        <v>-2.1166698725191955</v>
      </c>
      <c r="AV338" s="44">
        <f t="shared" si="48"/>
        <v>-0.99184266516472974</v>
      </c>
      <c r="AW338" s="45">
        <f t="shared" si="49"/>
        <v>4</v>
      </c>
      <c r="AX338" s="45">
        <f t="shared" si="50"/>
        <v>1</v>
      </c>
      <c r="AY338" s="46">
        <f>VLOOKUP(AP338,COND!$A$10:$B$32,2,FALSE)</f>
        <v>1</v>
      </c>
      <c r="AZ338" s="44">
        <f>($AU$3*AU338+$AV$3*AV338+$AW$3*AW338+$AX$3*AX338)*AY338*IF(AQ338&lt;5,0.95,IF(AQ338&lt;7,0.975,1))+$I$3*VLOOKUP(I338,COND!$A$2:$E$7,4,FALSE)+$J$3*VLOOKUP(J338,COND!$A$2:$E$7,2,FALSE)+$K$3*VLOOKUP(K338,COND!$A$2:$E$7,3,FALSE)+IF(BB338="SP",$BB$3,0)+IF($AW338&lt;3,-5,0)+IF(AND($B$2&gt;0,$E338&lt;20),$B$2*25,0)</f>
        <v>29.689812722201562</v>
      </c>
      <c r="BA338" s="47">
        <f t="shared" si="54"/>
        <v>-0.57768627068737455</v>
      </c>
      <c r="BB338" s="45" t="str">
        <f t="shared" si="52"/>
        <v>SP</v>
      </c>
      <c r="BC338" s="45">
        <v>930</v>
      </c>
      <c r="BD338" s="45">
        <v>333</v>
      </c>
      <c r="BE338" s="45"/>
      <c r="BF338" s="45" t="str">
        <f t="shared" si="53"/>
        <v>Unlikely</v>
      </c>
      <c r="BG338" s="45"/>
      <c r="BH338" s="45">
        <f>INDEX(Table5[[#All],[Ovr]],MATCH(Table3[[#This Row],[PID]],Table5[[#All],[PID]],0))</f>
        <v>422</v>
      </c>
      <c r="BI338" s="45" t="str">
        <f>INDEX(Table5[[#All],[Rnd]],MATCH(Table3[[#This Row],[PID]],Table5[[#All],[PID]],0))</f>
        <v>13</v>
      </c>
      <c r="BJ338" s="45">
        <f>INDEX(Table5[[#All],[Pick]],MATCH(Table3[[#This Row],[PID]],Table5[[#All],[PID]],0))</f>
        <v>23</v>
      </c>
      <c r="BK338" s="45" t="str">
        <f>INDEX(Table5[[#All],[Team]],MATCH(Table3[[#This Row],[PID]],Table5[[#All],[PID]],0))</f>
        <v>Kentucky Thoroughbreds</v>
      </c>
      <c r="BL338" s="45" t="str">
        <f>IF(OR(Table3[[#This Row],[POS]]="SP",Table3[[#This Row],[POS]]="RP",Table3[[#This Row],[POS]]="CL"),"P",INDEX(Batters[[#All],[zScore]],MATCH(Table3[[#This Row],[PID]],Batters[[#All],[PID]],0)))</f>
        <v>P</v>
      </c>
    </row>
    <row r="339" spans="1:64" ht="15" customHeight="1" x14ac:dyDescent="0.3">
      <c r="A339" s="40">
        <v>11606</v>
      </c>
      <c r="B339" s="40" t="s">
        <v>380</v>
      </c>
      <c r="C339" s="40" t="s">
        <v>347</v>
      </c>
      <c r="D339" s="40" t="s">
        <v>352</v>
      </c>
      <c r="E339" s="40">
        <v>18</v>
      </c>
      <c r="F339" s="40" t="s">
        <v>42</v>
      </c>
      <c r="G339" s="40" t="s">
        <v>53</v>
      </c>
      <c r="H339" s="41" t="s">
        <v>561</v>
      </c>
      <c r="I339" s="42" t="s">
        <v>43</v>
      </c>
      <c r="J339" s="40" t="s">
        <v>44</v>
      </c>
      <c r="K339" s="41" t="s">
        <v>43</v>
      </c>
      <c r="L339" s="40">
        <v>2</v>
      </c>
      <c r="M339" s="40">
        <v>2</v>
      </c>
      <c r="N339" s="41">
        <v>1</v>
      </c>
      <c r="O339" s="40">
        <v>3</v>
      </c>
      <c r="P339" s="40">
        <v>2</v>
      </c>
      <c r="Q339" s="41">
        <v>3</v>
      </c>
      <c r="R339" s="40">
        <v>3</v>
      </c>
      <c r="S339" s="40">
        <v>3</v>
      </c>
      <c r="T339" s="40">
        <v>1</v>
      </c>
      <c r="U339" s="40">
        <v>3</v>
      </c>
      <c r="V339" s="40" t="s">
        <v>45</v>
      </c>
      <c r="W339" s="40" t="s">
        <v>45</v>
      </c>
      <c r="X339" s="40" t="s">
        <v>45</v>
      </c>
      <c r="Y339" s="40" t="s">
        <v>45</v>
      </c>
      <c r="Z339" s="40" t="s">
        <v>45</v>
      </c>
      <c r="AA339" s="40" t="s">
        <v>45</v>
      </c>
      <c r="AB339" s="40">
        <v>3</v>
      </c>
      <c r="AC339" s="40">
        <v>4</v>
      </c>
      <c r="AD339" s="40" t="s">
        <v>45</v>
      </c>
      <c r="AE339" s="40" t="s">
        <v>45</v>
      </c>
      <c r="AF339" s="40" t="s">
        <v>45</v>
      </c>
      <c r="AG339" s="40" t="s">
        <v>45</v>
      </c>
      <c r="AH339" s="40" t="s">
        <v>45</v>
      </c>
      <c r="AI339" s="40" t="s">
        <v>45</v>
      </c>
      <c r="AJ339" s="40" t="s">
        <v>45</v>
      </c>
      <c r="AK339" s="40" t="s">
        <v>45</v>
      </c>
      <c r="AL339" s="40" t="s">
        <v>45</v>
      </c>
      <c r="AM339" s="40" t="s">
        <v>45</v>
      </c>
      <c r="AN339" s="40" t="s">
        <v>45</v>
      </c>
      <c r="AO339" s="41" t="s">
        <v>45</v>
      </c>
      <c r="AP339" s="40" t="s">
        <v>328</v>
      </c>
      <c r="AQ339" s="40">
        <v>6</v>
      </c>
      <c r="AR339" s="48" t="s">
        <v>326</v>
      </c>
      <c r="AS339" s="43" t="s">
        <v>558</v>
      </c>
      <c r="AT339" s="43" t="s">
        <v>103</v>
      </c>
      <c r="AU339" s="44">
        <f t="shared" si="47"/>
        <v>-2.311361197028369</v>
      </c>
      <c r="AV339" s="44">
        <f t="shared" si="48"/>
        <v>-1.1865339896739031</v>
      </c>
      <c r="AW339" s="45">
        <f t="shared" si="49"/>
        <v>3</v>
      </c>
      <c r="AX339" s="45">
        <f t="shared" si="50"/>
        <v>0</v>
      </c>
      <c r="AY339" s="46">
        <f>VLOOKUP(AP339,COND!$A$10:$B$32,2,FALSE)</f>
        <v>1</v>
      </c>
      <c r="AZ339" s="44">
        <f>($AU$3*AU339+$AV$3*AV339+$AW$3*AW339+$AX$3*AX339)*AY339*IF(AQ339&lt;5,0.95,IF(AQ339&lt;7,0.975,1))+$I$3*VLOOKUP(I339,COND!$A$2:$E$7,4,FALSE)+$J$3*VLOOKUP(J339,COND!$A$2:$E$7,2,FALSE)+$K$3*VLOOKUP(K339,COND!$A$2:$E$7,3,FALSE)+IF(BB339="SP",$BB$3,0)+IF($AW339&lt;3,-5,0)+IF(AND($B$2&gt;0,$E339&lt;20),$B$2*25,0)</f>
        <v>29.574371767938359</v>
      </c>
      <c r="BA339" s="47">
        <f t="shared" si="54"/>
        <v>-0.58590647851248212</v>
      </c>
      <c r="BB339" s="45" t="str">
        <f t="shared" si="52"/>
        <v>SP</v>
      </c>
      <c r="BC339" s="45">
        <v>930</v>
      </c>
      <c r="BD339" s="45">
        <v>334</v>
      </c>
      <c r="BE339" s="45"/>
      <c r="BF339" s="45" t="str">
        <f t="shared" si="53"/>
        <v>Unlikely</v>
      </c>
      <c r="BG339" s="45"/>
      <c r="BH339" s="45" t="str">
        <f>INDEX(Table5[[#All],[Ovr]],MATCH(Table3[[#This Row],[PID]],Table5[[#All],[PID]],0))</f>
        <v/>
      </c>
      <c r="BI339" s="45" t="str">
        <f>INDEX(Table5[[#All],[Rnd]],MATCH(Table3[[#This Row],[PID]],Table5[[#All],[PID]],0))</f>
        <v/>
      </c>
      <c r="BJ339" s="45" t="str">
        <f>INDEX(Table5[[#All],[Pick]],MATCH(Table3[[#This Row],[PID]],Table5[[#All],[PID]],0))</f>
        <v/>
      </c>
      <c r="BK339" s="45" t="str">
        <f>INDEX(Table5[[#All],[Team]],MATCH(Table3[[#This Row],[PID]],Table5[[#All],[PID]],0))</f>
        <v/>
      </c>
      <c r="BL339" s="45" t="str">
        <f>IF(OR(Table3[[#This Row],[POS]]="SP",Table3[[#This Row],[POS]]="RP",Table3[[#This Row],[POS]]="CL"),"P",INDEX(Batters[[#All],[zScore]],MATCH(Table3[[#This Row],[PID]],Batters[[#All],[PID]],0)))</f>
        <v>P</v>
      </c>
    </row>
    <row r="340" spans="1:64" ht="15" customHeight="1" x14ac:dyDescent="0.3">
      <c r="A340" s="40">
        <v>20241</v>
      </c>
      <c r="B340" s="40" t="s">
        <v>380</v>
      </c>
      <c r="C340" s="40" t="s">
        <v>933</v>
      </c>
      <c r="D340" s="40" t="s">
        <v>934</v>
      </c>
      <c r="E340" s="40">
        <v>22</v>
      </c>
      <c r="F340" s="40" t="s">
        <v>42</v>
      </c>
      <c r="G340" s="40" t="s">
        <v>42</v>
      </c>
      <c r="H340" s="41" t="s">
        <v>561</v>
      </c>
      <c r="I340" s="42" t="s">
        <v>43</v>
      </c>
      <c r="J340" s="40" t="s">
        <v>44</v>
      </c>
      <c r="K340" s="41" t="s">
        <v>43</v>
      </c>
      <c r="L340" s="40">
        <v>4</v>
      </c>
      <c r="M340" s="40">
        <v>1</v>
      </c>
      <c r="N340" s="41">
        <v>2</v>
      </c>
      <c r="O340" s="40">
        <v>5</v>
      </c>
      <c r="P340" s="40">
        <v>1</v>
      </c>
      <c r="Q340" s="41">
        <v>3</v>
      </c>
      <c r="R340" s="40" t="s">
        <v>45</v>
      </c>
      <c r="S340" s="40" t="s">
        <v>45</v>
      </c>
      <c r="T340" s="40">
        <v>1</v>
      </c>
      <c r="U340" s="40">
        <v>1</v>
      </c>
      <c r="V340" s="40" t="s">
        <v>45</v>
      </c>
      <c r="W340" s="40" t="s">
        <v>45</v>
      </c>
      <c r="X340" s="40">
        <v>4</v>
      </c>
      <c r="Y340" s="40">
        <v>6</v>
      </c>
      <c r="Z340" s="40" t="s">
        <v>45</v>
      </c>
      <c r="AA340" s="40" t="s">
        <v>45</v>
      </c>
      <c r="AB340" s="40" t="s">
        <v>45</v>
      </c>
      <c r="AC340" s="40" t="s">
        <v>45</v>
      </c>
      <c r="AD340" s="40">
        <v>4</v>
      </c>
      <c r="AE340" s="40">
        <v>5</v>
      </c>
      <c r="AF340" s="40">
        <v>5</v>
      </c>
      <c r="AG340" s="40">
        <v>5</v>
      </c>
      <c r="AH340" s="40" t="s">
        <v>45</v>
      </c>
      <c r="AI340" s="40" t="s">
        <v>45</v>
      </c>
      <c r="AJ340" s="40" t="s">
        <v>45</v>
      </c>
      <c r="AK340" s="40" t="s">
        <v>45</v>
      </c>
      <c r="AL340" s="40" t="s">
        <v>45</v>
      </c>
      <c r="AM340" s="40" t="s">
        <v>45</v>
      </c>
      <c r="AN340" s="40" t="s">
        <v>45</v>
      </c>
      <c r="AO340" s="41" t="s">
        <v>45</v>
      </c>
      <c r="AP340" s="40" t="s">
        <v>60</v>
      </c>
      <c r="AQ340" s="40">
        <v>10</v>
      </c>
      <c r="AR340" s="48" t="s">
        <v>14</v>
      </c>
      <c r="AS340" s="43" t="s">
        <v>45</v>
      </c>
      <c r="AT340" s="43" t="s">
        <v>103</v>
      </c>
      <c r="AU340" s="44">
        <f t="shared" si="47"/>
        <v>-1.8750896983859671</v>
      </c>
      <c r="AV340" s="44">
        <f t="shared" si="48"/>
        <v>-0.99258305708561179</v>
      </c>
      <c r="AW340" s="45">
        <f t="shared" si="49"/>
        <v>4</v>
      </c>
      <c r="AX340" s="45">
        <f t="shared" si="50"/>
        <v>1</v>
      </c>
      <c r="AY340" s="46">
        <f>VLOOKUP(AP340,COND!$A$10:$B$32,2,FALSE)</f>
        <v>1.0249999999999999</v>
      </c>
      <c r="AZ340" s="44">
        <f>($AU$3*AU340+$AV$3*AV340+$AW$3*AW340+$AX$3*AX340)*AY340*IF(AQ340&lt;5,0.95,IF(AQ340&lt;7,0.975,1))+$I$3*VLOOKUP(I340,COND!$A$2:$E$7,4,FALSE)+$J$3*VLOOKUP(J340,COND!$A$2:$E$7,2,FALSE)+$K$3*VLOOKUP(K340,COND!$A$2:$E$7,3,FALSE)+IF(BB340="SP",$BB$3,0)+IF($AW340&lt;3,-5,0)+IF(AND($B$2&gt;0,$E340&lt;20),$B$2*25,0)</f>
        <v>29.298903941575837</v>
      </c>
      <c r="BA340" s="47">
        <f t="shared" si="54"/>
        <v>-0.60552172507972535</v>
      </c>
      <c r="BB340" s="45" t="str">
        <f t="shared" si="52"/>
        <v>SP</v>
      </c>
      <c r="BC340" s="45">
        <v>930</v>
      </c>
      <c r="BD340" s="45">
        <v>335</v>
      </c>
      <c r="BE340" s="45"/>
      <c r="BF340" s="45" t="str">
        <f t="shared" si="53"/>
        <v>Unlikely</v>
      </c>
      <c r="BG340" s="45"/>
      <c r="BH340" s="45">
        <f>INDEX(Table5[[#All],[Ovr]],MATCH(Table3[[#This Row],[PID]],Table5[[#All],[PID]],0))</f>
        <v>370</v>
      </c>
      <c r="BI340" s="45" t="str">
        <f>INDEX(Table5[[#All],[Rnd]],MATCH(Table3[[#This Row],[PID]],Table5[[#All],[PID]],0))</f>
        <v>12</v>
      </c>
      <c r="BJ340" s="45">
        <f>INDEX(Table5[[#All],[Pick]],MATCH(Table3[[#This Row],[PID]],Table5[[#All],[PID]],0))</f>
        <v>5</v>
      </c>
      <c r="BK340" s="45" t="str">
        <f>INDEX(Table5[[#All],[Team]],MATCH(Table3[[#This Row],[PID]],Table5[[#All],[PID]],0))</f>
        <v>Tempe Knights</v>
      </c>
      <c r="BL340" s="45" t="str">
        <f>IF(OR(Table3[[#This Row],[POS]]="SP",Table3[[#This Row],[POS]]="RP",Table3[[#This Row],[POS]]="CL"),"P",INDEX(Batters[[#All],[zScore]],MATCH(Table3[[#This Row],[PID]],Batters[[#All],[PID]],0)))</f>
        <v>P</v>
      </c>
    </row>
    <row r="341" spans="1:64" ht="15" customHeight="1" x14ac:dyDescent="0.3">
      <c r="A341" s="40">
        <v>12795</v>
      </c>
      <c r="B341" s="40" t="s">
        <v>380</v>
      </c>
      <c r="C341" s="40" t="s">
        <v>864</v>
      </c>
      <c r="D341" s="40" t="s">
        <v>641</v>
      </c>
      <c r="E341" s="40">
        <v>21</v>
      </c>
      <c r="F341" s="40" t="s">
        <v>42</v>
      </c>
      <c r="G341" s="40" t="s">
        <v>42</v>
      </c>
      <c r="H341" s="41" t="s">
        <v>561</v>
      </c>
      <c r="I341" s="42" t="s">
        <v>43</v>
      </c>
      <c r="J341" s="40" t="s">
        <v>44</v>
      </c>
      <c r="K341" s="41" t="s">
        <v>43</v>
      </c>
      <c r="L341" s="40">
        <v>2</v>
      </c>
      <c r="M341" s="40">
        <v>2</v>
      </c>
      <c r="N341" s="41">
        <v>1</v>
      </c>
      <c r="O341" s="40">
        <v>4</v>
      </c>
      <c r="P341" s="40">
        <v>2</v>
      </c>
      <c r="Q341" s="41">
        <v>3</v>
      </c>
      <c r="R341" s="40" t="s">
        <v>45</v>
      </c>
      <c r="S341" s="40" t="s">
        <v>45</v>
      </c>
      <c r="T341" s="40">
        <v>1</v>
      </c>
      <c r="U341" s="40">
        <v>1</v>
      </c>
      <c r="V341" s="40" t="s">
        <v>45</v>
      </c>
      <c r="W341" s="40" t="s">
        <v>45</v>
      </c>
      <c r="X341" s="40" t="s">
        <v>45</v>
      </c>
      <c r="Y341" s="40" t="s">
        <v>45</v>
      </c>
      <c r="Z341" s="40" t="s">
        <v>45</v>
      </c>
      <c r="AA341" s="40" t="s">
        <v>45</v>
      </c>
      <c r="AB341" s="40" t="s">
        <v>45</v>
      </c>
      <c r="AC341" s="40" t="s">
        <v>45</v>
      </c>
      <c r="AD341" s="40">
        <v>3</v>
      </c>
      <c r="AE341" s="40">
        <v>5</v>
      </c>
      <c r="AF341" s="40" t="s">
        <v>45</v>
      </c>
      <c r="AG341" s="40" t="s">
        <v>45</v>
      </c>
      <c r="AH341" s="40" t="s">
        <v>45</v>
      </c>
      <c r="AI341" s="40" t="s">
        <v>45</v>
      </c>
      <c r="AJ341" s="40" t="s">
        <v>45</v>
      </c>
      <c r="AK341" s="40" t="s">
        <v>45</v>
      </c>
      <c r="AL341" s="40">
        <v>3</v>
      </c>
      <c r="AM341" s="40">
        <v>6</v>
      </c>
      <c r="AN341" s="40" t="s">
        <v>45</v>
      </c>
      <c r="AO341" s="41" t="s">
        <v>45</v>
      </c>
      <c r="AP341" s="40" t="s">
        <v>64</v>
      </c>
      <c r="AQ341" s="40">
        <v>9</v>
      </c>
      <c r="AR341" s="48" t="s">
        <v>326</v>
      </c>
      <c r="AS341" s="43" t="s">
        <v>45</v>
      </c>
      <c r="AT341" s="43" t="s">
        <v>103</v>
      </c>
      <c r="AU341" s="44">
        <f t="shared" si="47"/>
        <v>-2.311361197028369</v>
      </c>
      <c r="AV341" s="44">
        <f t="shared" si="48"/>
        <v>-0.99184266516472974</v>
      </c>
      <c r="AW341" s="45">
        <f t="shared" si="49"/>
        <v>3</v>
      </c>
      <c r="AX341" s="45">
        <f t="shared" si="50"/>
        <v>1</v>
      </c>
      <c r="AY341" s="46">
        <f>VLOOKUP(AP341,COND!$A$10:$B$32,2,FALSE)</f>
        <v>1</v>
      </c>
      <c r="AZ341" s="44">
        <f>($AU$3*AU341+$AV$3*AV341+$AW$3*AW341+$AX$3*AX341)*AY341*IF(AQ341&lt;5,0.95,IF(AQ341&lt;7,0.975,1))+$I$3*VLOOKUP(I341,COND!$A$2:$E$7,4,FALSE)+$J$3*VLOOKUP(J341,COND!$A$2:$E$7,2,FALSE)+$K$3*VLOOKUP(K341,COND!$A$2:$E$7,3,FALSE)+IF(BB341="SP",$BB$3,0)+IF($AW341&lt;3,-5,0)+IF(AND($B$2&gt;0,$E341&lt;20),$B$2*25,0)</f>
        <v>29.150874457299729</v>
      </c>
      <c r="BA341" s="47">
        <f>STANDARDIZE(AZ341,AVERAGE($AZ$5:$AZ$445),STDEVP($AZ$5:$AZ$445))</f>
        <v>-0.60928434472084181</v>
      </c>
      <c r="BB341" s="45" t="str">
        <f t="shared" si="52"/>
        <v>SP</v>
      </c>
      <c r="BC341" s="45">
        <v>930</v>
      </c>
      <c r="BD341" s="45">
        <v>336</v>
      </c>
      <c r="BE341" s="45"/>
      <c r="BF341" s="45" t="str">
        <f t="shared" si="53"/>
        <v>Unlikely</v>
      </c>
      <c r="BG341" s="45"/>
      <c r="BH341" s="63">
        <f>INDEX(Table5[[#All],[Ovr]],MATCH(Table3[[#This Row],[PID]],Table5[[#All],[PID]],0))</f>
        <v>556</v>
      </c>
      <c r="BI341" s="63" t="str">
        <f>INDEX(Table5[[#All],[Rnd]],MATCH(Table3[[#This Row],[PID]],Table5[[#All],[PID]],0))</f>
        <v>17</v>
      </c>
      <c r="BJ341" s="63">
        <f>INDEX(Table5[[#All],[Pick]],MATCH(Table3[[#This Row],[PID]],Table5[[#All],[PID]],0))</f>
        <v>21</v>
      </c>
      <c r="BK341" s="63" t="str">
        <f>INDEX(Table5[[#All],[Team]],MATCH(Table3[[#This Row],[PID]],Table5[[#All],[PID]],0))</f>
        <v>Neo-Tokyo Akira</v>
      </c>
      <c r="BL341" s="63" t="str">
        <f>IF(OR(Table3[[#This Row],[POS]]="SP",Table3[[#This Row],[POS]]="RP",Table3[[#This Row],[POS]]="CL"),"P",INDEX(Batters[[#All],[zScore]],MATCH(Table3[[#This Row],[PID]],Batters[[#All],[PID]],0)))</f>
        <v>P</v>
      </c>
    </row>
    <row r="342" spans="1:64" ht="15" customHeight="1" x14ac:dyDescent="0.3">
      <c r="A342" s="40">
        <v>9764</v>
      </c>
      <c r="B342" s="40" t="s">
        <v>380</v>
      </c>
      <c r="C342" s="40" t="s">
        <v>179</v>
      </c>
      <c r="D342" s="40" t="s">
        <v>1523</v>
      </c>
      <c r="E342" s="40">
        <v>17</v>
      </c>
      <c r="F342" s="40" t="s">
        <v>62</v>
      </c>
      <c r="G342" s="40" t="s">
        <v>42</v>
      </c>
      <c r="H342" s="41" t="s">
        <v>561</v>
      </c>
      <c r="I342" s="42" t="s">
        <v>43</v>
      </c>
      <c r="J342" s="40" t="s">
        <v>44</v>
      </c>
      <c r="K342" s="41" t="s">
        <v>43</v>
      </c>
      <c r="L342" s="40">
        <v>1</v>
      </c>
      <c r="M342" s="40">
        <v>1</v>
      </c>
      <c r="N342" s="41">
        <v>1</v>
      </c>
      <c r="O342" s="40">
        <v>4</v>
      </c>
      <c r="P342" s="40">
        <v>1</v>
      </c>
      <c r="Q342" s="41">
        <v>3</v>
      </c>
      <c r="R342" s="40">
        <v>3</v>
      </c>
      <c r="S342" s="40">
        <v>4</v>
      </c>
      <c r="T342" s="40" t="s">
        <v>45</v>
      </c>
      <c r="U342" s="40" t="s">
        <v>45</v>
      </c>
      <c r="V342" s="40">
        <v>2</v>
      </c>
      <c r="W342" s="40">
        <v>6</v>
      </c>
      <c r="X342" s="40">
        <v>2</v>
      </c>
      <c r="Y342" s="40">
        <v>5</v>
      </c>
      <c r="Z342" s="40" t="s">
        <v>45</v>
      </c>
      <c r="AA342" s="40" t="s">
        <v>45</v>
      </c>
      <c r="AB342" s="40" t="s">
        <v>45</v>
      </c>
      <c r="AC342" s="40" t="s">
        <v>45</v>
      </c>
      <c r="AD342" s="40" t="s">
        <v>45</v>
      </c>
      <c r="AE342" s="40" t="s">
        <v>45</v>
      </c>
      <c r="AF342" s="40" t="s">
        <v>45</v>
      </c>
      <c r="AG342" s="40" t="s">
        <v>45</v>
      </c>
      <c r="AH342" s="40" t="s">
        <v>45</v>
      </c>
      <c r="AI342" s="40" t="s">
        <v>45</v>
      </c>
      <c r="AJ342" s="40" t="s">
        <v>45</v>
      </c>
      <c r="AK342" s="40" t="s">
        <v>45</v>
      </c>
      <c r="AL342" s="40" t="s">
        <v>45</v>
      </c>
      <c r="AM342" s="40" t="s">
        <v>45</v>
      </c>
      <c r="AN342" s="40" t="s">
        <v>45</v>
      </c>
      <c r="AO342" s="41" t="s">
        <v>45</v>
      </c>
      <c r="AP342" s="40" t="s">
        <v>64</v>
      </c>
      <c r="AQ342" s="40">
        <v>3</v>
      </c>
      <c r="AR342" s="48" t="s">
        <v>14</v>
      </c>
      <c r="AS342" s="43" t="s">
        <v>558</v>
      </c>
      <c r="AT342" s="43" t="s">
        <v>103</v>
      </c>
      <c r="AU342" s="44">
        <f t="shared" si="47"/>
        <v>-2.7014842379675978</v>
      </c>
      <c r="AV342" s="44">
        <f t="shared" si="48"/>
        <v>-1.1872743815947853</v>
      </c>
      <c r="AW342" s="45">
        <f t="shared" si="49"/>
        <v>3</v>
      </c>
      <c r="AX342" s="45">
        <f t="shared" si="50"/>
        <v>1</v>
      </c>
      <c r="AY342" s="46">
        <f>VLOOKUP(AP342,COND!$A$10:$B$32,2,FALSE)</f>
        <v>1</v>
      </c>
      <c r="AZ342" s="44">
        <f>($AU$3*AU342+$AV$3*AV342+$AW$3*AW342+$AX$3*AX342)*AY342*IF(AQ342&lt;5,0.95,IF(AQ342&lt;7,0.975,1))+$I$3*VLOOKUP(I342,COND!$A$2:$E$7,4,FALSE)+$J$3*VLOOKUP(J342,COND!$A$2:$E$7,2,FALSE)+$K$3*VLOOKUP(K342,COND!$A$2:$E$7,3,FALSE)+IF(BB342="SP",$BB$3,0)+IF($AW342&lt;3,-5,0)+IF(AND($B$2&gt;0,$E342&lt;20),$B$2*25,0)</f>
        <v>29.241004744485235</v>
      </c>
      <c r="BA342" s="47">
        <f>STANDARDIZE(AZ342,AVERAGE($AZ$5:$AZ$428),STDEVP($AZ$5:$AZ$428))</f>
        <v>-0.60964455511027471</v>
      </c>
      <c r="BB342" s="45" t="str">
        <f t="shared" si="52"/>
        <v>RP</v>
      </c>
      <c r="BC342" s="45">
        <v>930</v>
      </c>
      <c r="BD342" s="45">
        <v>337</v>
      </c>
      <c r="BE342" s="45"/>
      <c r="BF342" s="45" t="str">
        <f t="shared" si="53"/>
        <v>Unlikely</v>
      </c>
      <c r="BG342" s="45"/>
      <c r="BH342" s="45" t="str">
        <f>INDEX(Table5[[#All],[Ovr]],MATCH(Table3[[#This Row],[PID]],Table5[[#All],[PID]],0))</f>
        <v/>
      </c>
      <c r="BI342" s="45" t="str">
        <f>INDEX(Table5[[#All],[Rnd]],MATCH(Table3[[#This Row],[PID]],Table5[[#All],[PID]],0))</f>
        <v/>
      </c>
      <c r="BJ342" s="45" t="str">
        <f>INDEX(Table5[[#All],[Pick]],MATCH(Table3[[#This Row],[PID]],Table5[[#All],[PID]],0))</f>
        <v/>
      </c>
      <c r="BK342" s="45" t="str">
        <f>INDEX(Table5[[#All],[Team]],MATCH(Table3[[#This Row],[PID]],Table5[[#All],[PID]],0))</f>
        <v/>
      </c>
      <c r="BL342" s="45" t="str">
        <f>IF(OR(Table3[[#This Row],[POS]]="SP",Table3[[#This Row],[POS]]="RP",Table3[[#This Row],[POS]]="CL"),"P",INDEX(Batters[[#All],[zScore]],MATCH(Table3[[#This Row],[PID]],Batters[[#All],[PID]],0)))</f>
        <v>P</v>
      </c>
    </row>
    <row r="343" spans="1:64" ht="15" customHeight="1" x14ac:dyDescent="0.3">
      <c r="A343" s="40">
        <v>5262</v>
      </c>
      <c r="B343" s="40" t="s">
        <v>380</v>
      </c>
      <c r="C343" s="40" t="s">
        <v>806</v>
      </c>
      <c r="D343" s="40" t="s">
        <v>485</v>
      </c>
      <c r="E343" s="40">
        <v>21</v>
      </c>
      <c r="F343" s="40" t="s">
        <v>53</v>
      </c>
      <c r="G343" s="40" t="s">
        <v>53</v>
      </c>
      <c r="H343" s="41" t="s">
        <v>561</v>
      </c>
      <c r="I343" s="42" t="s">
        <v>44</v>
      </c>
      <c r="J343" s="40" t="s">
        <v>44</v>
      </c>
      <c r="K343" s="41" t="s">
        <v>43</v>
      </c>
      <c r="L343" s="40">
        <v>2</v>
      </c>
      <c r="M343" s="40">
        <v>1</v>
      </c>
      <c r="N343" s="41">
        <v>1</v>
      </c>
      <c r="O343" s="40">
        <v>4</v>
      </c>
      <c r="P343" s="40">
        <v>1</v>
      </c>
      <c r="Q343" s="41">
        <v>4</v>
      </c>
      <c r="R343" s="40">
        <v>3</v>
      </c>
      <c r="S343" s="40">
        <v>5</v>
      </c>
      <c r="T343" s="40">
        <v>1</v>
      </c>
      <c r="U343" s="40">
        <v>1</v>
      </c>
      <c r="V343" s="40">
        <v>2</v>
      </c>
      <c r="W343" s="40">
        <v>5</v>
      </c>
      <c r="X343" s="40" t="s">
        <v>45</v>
      </c>
      <c r="Y343" s="40" t="s">
        <v>45</v>
      </c>
      <c r="Z343" s="40" t="s">
        <v>45</v>
      </c>
      <c r="AA343" s="40" t="s">
        <v>45</v>
      </c>
      <c r="AB343" s="40" t="s">
        <v>45</v>
      </c>
      <c r="AC343" s="40" t="s">
        <v>45</v>
      </c>
      <c r="AD343" s="40" t="s">
        <v>45</v>
      </c>
      <c r="AE343" s="40" t="s">
        <v>45</v>
      </c>
      <c r="AF343" s="40" t="s">
        <v>45</v>
      </c>
      <c r="AG343" s="40" t="s">
        <v>45</v>
      </c>
      <c r="AH343" s="40" t="s">
        <v>45</v>
      </c>
      <c r="AI343" s="40" t="s">
        <v>45</v>
      </c>
      <c r="AJ343" s="40" t="s">
        <v>45</v>
      </c>
      <c r="AK343" s="40" t="s">
        <v>45</v>
      </c>
      <c r="AL343" s="40" t="s">
        <v>45</v>
      </c>
      <c r="AM343" s="40" t="s">
        <v>45</v>
      </c>
      <c r="AN343" s="40" t="s">
        <v>45</v>
      </c>
      <c r="AO343" s="41" t="s">
        <v>45</v>
      </c>
      <c r="AP343" s="40" t="s">
        <v>328</v>
      </c>
      <c r="AQ343" s="40">
        <v>6</v>
      </c>
      <c r="AR343" s="48" t="s">
        <v>14</v>
      </c>
      <c r="AS343" s="43" t="s">
        <v>557</v>
      </c>
      <c r="AT343" s="43" t="s">
        <v>103</v>
      </c>
      <c r="AU343" s="44">
        <f t="shared" si="47"/>
        <v>-2.5067929134584248</v>
      </c>
      <c r="AV343" s="44">
        <f t="shared" si="48"/>
        <v>-0.94495381554067481</v>
      </c>
      <c r="AW343" s="45">
        <f t="shared" si="49"/>
        <v>3</v>
      </c>
      <c r="AX343" s="45">
        <f t="shared" si="50"/>
        <v>0</v>
      </c>
      <c r="AY343" s="46">
        <f>VLOOKUP(AP343,COND!$A$10:$B$32,2,FALSE)</f>
        <v>1</v>
      </c>
      <c r="AZ343" s="44">
        <f>($AU$3*AU343+$AV$3*AV343+$AW$3*AW343+$AX$3*AX343)*AY343*IF(AQ343&lt;5,0.95,IF(AQ343&lt;7,0.975,1))+$I$3*VLOOKUP(I343,COND!$A$2:$E$7,4,FALSE)+$J$3*VLOOKUP(J343,COND!$A$2:$E$7,2,FALSE)+$K$3*VLOOKUP(K343,COND!$A$2:$E$7,3,FALSE)+IF(BB343="SP",$BB$3,0)+IF($AW343&lt;3,-5,0)+IF(AND($B$2&gt;0,$E343&lt;20),$B$2*25,0)</f>
        <v>29.09707597883245</v>
      </c>
      <c r="BA343" s="47">
        <f>STANDARDIZE(AZ343,AVERAGE($AZ$5:$AZ$445),STDEVP($AZ$5:$AZ$445))</f>
        <v>-0.61311176399687217</v>
      </c>
      <c r="BB343" s="45" t="str">
        <f t="shared" si="52"/>
        <v>SP</v>
      </c>
      <c r="BC343" s="45">
        <v>930</v>
      </c>
      <c r="BD343" s="45">
        <v>338</v>
      </c>
      <c r="BE343" s="45"/>
      <c r="BF343" s="45" t="str">
        <f t="shared" si="53"/>
        <v>Unlikely</v>
      </c>
      <c r="BG343" s="45"/>
      <c r="BH343" s="63" t="str">
        <f>INDEX(Table5[[#All],[Ovr]],MATCH(Table3[[#This Row],[PID]],Table5[[#All],[PID]],0))</f>
        <v/>
      </c>
      <c r="BI343" s="63" t="str">
        <f>INDEX(Table5[[#All],[Rnd]],MATCH(Table3[[#This Row],[PID]],Table5[[#All],[PID]],0))</f>
        <v/>
      </c>
      <c r="BJ343" s="63" t="str">
        <f>INDEX(Table5[[#All],[Pick]],MATCH(Table3[[#This Row],[PID]],Table5[[#All],[PID]],0))</f>
        <v/>
      </c>
      <c r="BK343" s="63" t="str">
        <f>INDEX(Table5[[#All],[Team]],MATCH(Table3[[#This Row],[PID]],Table5[[#All],[PID]],0))</f>
        <v/>
      </c>
      <c r="BL343" s="63" t="str">
        <f>IF(OR(Table3[[#This Row],[POS]]="SP",Table3[[#This Row],[POS]]="RP",Table3[[#This Row],[POS]]="CL"),"P",INDEX(Batters[[#All],[zScore]],MATCH(Table3[[#This Row],[PID]],Batters[[#All],[PID]],0)))</f>
        <v>P</v>
      </c>
    </row>
    <row r="344" spans="1:64" ht="15" customHeight="1" x14ac:dyDescent="0.3">
      <c r="A344" s="40">
        <v>5064</v>
      </c>
      <c r="B344" s="40" t="s">
        <v>380</v>
      </c>
      <c r="C344" s="40" t="s">
        <v>935</v>
      </c>
      <c r="D344" s="40" t="s">
        <v>556</v>
      </c>
      <c r="E344" s="40">
        <v>21</v>
      </c>
      <c r="F344" s="40" t="s">
        <v>53</v>
      </c>
      <c r="G344" s="40" t="s">
        <v>53</v>
      </c>
      <c r="H344" s="41" t="s">
        <v>561</v>
      </c>
      <c r="I344" s="42" t="s">
        <v>44</v>
      </c>
      <c r="J344" s="40" t="s">
        <v>44</v>
      </c>
      <c r="K344" s="41" t="s">
        <v>43</v>
      </c>
      <c r="L344" s="40">
        <v>2</v>
      </c>
      <c r="M344" s="40">
        <v>1</v>
      </c>
      <c r="N344" s="41">
        <v>3</v>
      </c>
      <c r="O344" s="40">
        <v>4</v>
      </c>
      <c r="P344" s="40">
        <v>1</v>
      </c>
      <c r="Q344" s="41">
        <v>4</v>
      </c>
      <c r="R344" s="40">
        <v>3</v>
      </c>
      <c r="S344" s="40">
        <v>5</v>
      </c>
      <c r="T344" s="40">
        <v>2</v>
      </c>
      <c r="U344" s="40">
        <v>5</v>
      </c>
      <c r="V344" s="40" t="s">
        <v>45</v>
      </c>
      <c r="W344" s="40" t="s">
        <v>45</v>
      </c>
      <c r="X344" s="40" t="s">
        <v>45</v>
      </c>
      <c r="Y344" s="40" t="s">
        <v>45</v>
      </c>
      <c r="Z344" s="40" t="s">
        <v>45</v>
      </c>
      <c r="AA344" s="40" t="s">
        <v>45</v>
      </c>
      <c r="AB344" s="40">
        <v>3</v>
      </c>
      <c r="AC344" s="40">
        <v>4</v>
      </c>
      <c r="AD344" s="40" t="s">
        <v>45</v>
      </c>
      <c r="AE344" s="40" t="s">
        <v>45</v>
      </c>
      <c r="AF344" s="40" t="s">
        <v>45</v>
      </c>
      <c r="AG344" s="40" t="s">
        <v>45</v>
      </c>
      <c r="AH344" s="40" t="s">
        <v>45</v>
      </c>
      <c r="AI344" s="40" t="s">
        <v>45</v>
      </c>
      <c r="AJ344" s="40" t="s">
        <v>45</v>
      </c>
      <c r="AK344" s="40" t="s">
        <v>45</v>
      </c>
      <c r="AL344" s="40" t="s">
        <v>45</v>
      </c>
      <c r="AM344" s="40" t="s">
        <v>45</v>
      </c>
      <c r="AN344" s="40" t="s">
        <v>45</v>
      </c>
      <c r="AO344" s="41" t="s">
        <v>45</v>
      </c>
      <c r="AP344" s="40" t="s">
        <v>328</v>
      </c>
      <c r="AQ344" s="40">
        <v>6</v>
      </c>
      <c r="AR344" s="48" t="s">
        <v>14</v>
      </c>
      <c r="AS344" s="43" t="s">
        <v>557</v>
      </c>
      <c r="AT344" s="43" t="s">
        <v>103</v>
      </c>
      <c r="AU344" s="44">
        <f t="shared" si="47"/>
        <v>-2.0221517813502041</v>
      </c>
      <c r="AV344" s="44">
        <f t="shared" si="48"/>
        <v>-0.94495381554067481</v>
      </c>
      <c r="AW344" s="45">
        <f t="shared" si="49"/>
        <v>3</v>
      </c>
      <c r="AX344" s="45">
        <f t="shared" si="50"/>
        <v>0</v>
      </c>
      <c r="AY344" s="46">
        <f>VLOOKUP(AP344,COND!$A$10:$B$32,2,FALSE)</f>
        <v>1</v>
      </c>
      <c r="AZ344" s="44">
        <f>($AU$3*AU344+$AV$3*AV344+$AW$3*AW344+$AX$3*AX344)*AY344*IF(AQ344&lt;5,0.95,IF(AQ344&lt;7,0.975,1))+$I$3*VLOOKUP(I344,COND!$A$2:$E$7,4,FALSE)+$J$3*VLOOKUP(J344,COND!$A$2:$E$7,2,FALSE)+$K$3*VLOOKUP(K344,COND!$A$2:$E$7,3,FALSE)+IF(BB344="SP",$BB$3,0)+IF($AW344&lt;3,-5,0)+IF(AND($B$2&gt;0,$E344&lt;20),$B$2*25,0)</f>
        <v>29.191580999593555</v>
      </c>
      <c r="BA344" s="47">
        <f>STANDARDIZE(AZ344,AVERAGE($AZ$5:$AZ$428),STDEVP($AZ$5:$AZ$428))</f>
        <v>-0.61316387333748212</v>
      </c>
      <c r="BB344" s="45" t="str">
        <f t="shared" si="52"/>
        <v>SP</v>
      </c>
      <c r="BC344" s="45">
        <v>930</v>
      </c>
      <c r="BD344" s="45">
        <v>339</v>
      </c>
      <c r="BE344" s="45"/>
      <c r="BF344" s="45" t="str">
        <f t="shared" si="53"/>
        <v>Unlikely</v>
      </c>
      <c r="BG344" s="45"/>
      <c r="BH344" s="45">
        <f>INDEX(Table5[[#All],[Ovr]],MATCH(Table3[[#This Row],[PID]],Table5[[#All],[PID]],0))</f>
        <v>649</v>
      </c>
      <c r="BI344" s="45" t="str">
        <f>INDEX(Table5[[#All],[Rnd]],MATCH(Table3[[#This Row],[PID]],Table5[[#All],[PID]],0))</f>
        <v>20</v>
      </c>
      <c r="BJ344" s="45">
        <f>INDEX(Table5[[#All],[Pick]],MATCH(Table3[[#This Row],[PID]],Table5[[#All],[PID]],0))</f>
        <v>12</v>
      </c>
      <c r="BK344" s="45" t="str">
        <f>INDEX(Table5[[#All],[Team]],MATCH(Table3[[#This Row],[PID]],Table5[[#All],[PID]],0))</f>
        <v>Manchester Maulers</v>
      </c>
      <c r="BL344" s="45" t="str">
        <f>IF(OR(Table3[[#This Row],[POS]]="SP",Table3[[#This Row],[POS]]="RP",Table3[[#This Row],[POS]]="CL"),"P",INDEX(Batters[[#All],[zScore]],MATCH(Table3[[#This Row],[PID]],Batters[[#All],[PID]],0)))</f>
        <v>P</v>
      </c>
    </row>
    <row r="345" spans="1:64" ht="15" customHeight="1" x14ac:dyDescent="0.3">
      <c r="A345" s="40">
        <v>12644</v>
      </c>
      <c r="B345" s="40" t="s">
        <v>380</v>
      </c>
      <c r="C345" s="40" t="s">
        <v>949</v>
      </c>
      <c r="D345" s="40" t="s">
        <v>194</v>
      </c>
      <c r="E345" s="40">
        <v>21</v>
      </c>
      <c r="F345" s="40" t="s">
        <v>42</v>
      </c>
      <c r="G345" s="40" t="s">
        <v>42</v>
      </c>
      <c r="H345" s="41" t="s">
        <v>561</v>
      </c>
      <c r="I345" s="42" t="s">
        <v>43</v>
      </c>
      <c r="J345" s="40" t="s">
        <v>44</v>
      </c>
      <c r="K345" s="41" t="s">
        <v>43</v>
      </c>
      <c r="L345" s="40">
        <v>3</v>
      </c>
      <c r="M345" s="40">
        <v>2</v>
      </c>
      <c r="N345" s="41">
        <v>1</v>
      </c>
      <c r="O345" s="40">
        <v>4</v>
      </c>
      <c r="P345" s="40">
        <v>2</v>
      </c>
      <c r="Q345" s="41">
        <v>3</v>
      </c>
      <c r="R345" s="40">
        <v>5</v>
      </c>
      <c r="S345" s="40">
        <v>6</v>
      </c>
      <c r="T345" s="40">
        <v>1</v>
      </c>
      <c r="U345" s="40">
        <v>1</v>
      </c>
      <c r="V345" s="40" t="s">
        <v>45</v>
      </c>
      <c r="W345" s="40" t="s">
        <v>45</v>
      </c>
      <c r="X345" s="40">
        <v>2</v>
      </c>
      <c r="Y345" s="40">
        <v>4</v>
      </c>
      <c r="Z345" s="40" t="s">
        <v>45</v>
      </c>
      <c r="AA345" s="40" t="s">
        <v>45</v>
      </c>
      <c r="AB345" s="40" t="s">
        <v>45</v>
      </c>
      <c r="AC345" s="40" t="s">
        <v>45</v>
      </c>
      <c r="AD345" s="40" t="s">
        <v>45</v>
      </c>
      <c r="AE345" s="40" t="s">
        <v>45</v>
      </c>
      <c r="AF345" s="40" t="s">
        <v>45</v>
      </c>
      <c r="AG345" s="40" t="s">
        <v>45</v>
      </c>
      <c r="AH345" s="40" t="s">
        <v>45</v>
      </c>
      <c r="AI345" s="40" t="s">
        <v>45</v>
      </c>
      <c r="AJ345" s="40" t="s">
        <v>45</v>
      </c>
      <c r="AK345" s="40" t="s">
        <v>45</v>
      </c>
      <c r="AL345" s="40" t="s">
        <v>45</v>
      </c>
      <c r="AM345" s="40" t="s">
        <v>45</v>
      </c>
      <c r="AN345" s="40" t="s">
        <v>45</v>
      </c>
      <c r="AO345" s="41" t="s">
        <v>45</v>
      </c>
      <c r="AP345" s="40" t="s">
        <v>58</v>
      </c>
      <c r="AQ345" s="40">
        <v>7</v>
      </c>
      <c r="AR345" s="48" t="s">
        <v>326</v>
      </c>
      <c r="AS345" s="43" t="s">
        <v>45</v>
      </c>
      <c r="AT345" s="43" t="s">
        <v>103</v>
      </c>
      <c r="AU345" s="44">
        <f t="shared" si="47"/>
        <v>-2.1166698725191955</v>
      </c>
      <c r="AV345" s="44">
        <f t="shared" si="48"/>
        <v>-0.99184266516472974</v>
      </c>
      <c r="AW345" s="45">
        <f t="shared" si="49"/>
        <v>3</v>
      </c>
      <c r="AX345" s="45">
        <f t="shared" si="50"/>
        <v>1</v>
      </c>
      <c r="AY345" s="46">
        <f>VLOOKUP(AP345,COND!$A$10:$B$32,2,FALSE)</f>
        <v>1</v>
      </c>
      <c r="AZ345" s="44">
        <f>($AU$3*AU345+$AV$3*AV345+$AW$3*AW345+$AX$3*AX345)*AY345*IF(AQ345&lt;5,0.95,IF(AQ345&lt;7,0.975,1))+$I$3*VLOOKUP(I345,COND!$A$2:$E$7,4,FALSE)+$J$3*VLOOKUP(J345,COND!$A$2:$E$7,2,FALSE)+$K$3*VLOOKUP(K345,COND!$A$2:$E$7,3,FALSE)+IF(BB345="SP",$BB$3,0)+IF($AW345&lt;3,-5,0)+IF(AND($B$2&gt;0,$E345&lt;20),$B$2*25,0)</f>
        <v>29.189812722201562</v>
      </c>
      <c r="BA345" s="47">
        <f>STANDARDIZE(AZ345,AVERAGE($AZ$5:$AZ$428),STDEVP($AZ$5:$AZ$428))</f>
        <v>-0.61328978712386228</v>
      </c>
      <c r="BB345" s="45" t="str">
        <f t="shared" si="52"/>
        <v>SP</v>
      </c>
      <c r="BC345" s="45">
        <v>930</v>
      </c>
      <c r="BD345" s="45">
        <v>340</v>
      </c>
      <c r="BE345" s="45"/>
      <c r="BF345" s="45" t="str">
        <f t="shared" si="53"/>
        <v>Unlikely</v>
      </c>
      <c r="BG345" s="45"/>
      <c r="BH345" s="45">
        <f>INDEX(Table5[[#All],[Ovr]],MATCH(Table3[[#This Row],[PID]],Table5[[#All],[PID]],0))</f>
        <v>578</v>
      </c>
      <c r="BI345" s="45" t="str">
        <f>INDEX(Table5[[#All],[Rnd]],MATCH(Table3[[#This Row],[PID]],Table5[[#All],[PID]],0))</f>
        <v>18</v>
      </c>
      <c r="BJ345" s="45">
        <f>INDEX(Table5[[#All],[Pick]],MATCH(Table3[[#This Row],[PID]],Table5[[#All],[PID]],0))</f>
        <v>9</v>
      </c>
      <c r="BK345" s="45" t="str">
        <f>INDEX(Table5[[#All],[Team]],MATCH(Table3[[#This Row],[PID]],Table5[[#All],[PID]],0))</f>
        <v>New Jersey Hitmen</v>
      </c>
      <c r="BL345" s="45" t="str">
        <f>IF(OR(Table3[[#This Row],[POS]]="SP",Table3[[#This Row],[POS]]="RP",Table3[[#This Row],[POS]]="CL"),"P",INDEX(Batters[[#All],[zScore]],MATCH(Table3[[#This Row],[PID]],Batters[[#All],[PID]],0)))</f>
        <v>P</v>
      </c>
    </row>
    <row r="346" spans="1:64" ht="15" customHeight="1" x14ac:dyDescent="0.3">
      <c r="A346" s="40">
        <v>20606</v>
      </c>
      <c r="B346" s="40" t="s">
        <v>380</v>
      </c>
      <c r="C346" s="40" t="s">
        <v>1539</v>
      </c>
      <c r="D346" s="40" t="s">
        <v>967</v>
      </c>
      <c r="E346" s="40">
        <v>17</v>
      </c>
      <c r="F346" s="40" t="s">
        <v>53</v>
      </c>
      <c r="G346" s="40" t="s">
        <v>53</v>
      </c>
      <c r="H346" s="41" t="s">
        <v>561</v>
      </c>
      <c r="I346" s="42" t="s">
        <v>43</v>
      </c>
      <c r="J346" s="40" t="s">
        <v>44</v>
      </c>
      <c r="K346" s="41" t="s">
        <v>47</v>
      </c>
      <c r="L346" s="40">
        <v>2</v>
      </c>
      <c r="M346" s="40">
        <v>1</v>
      </c>
      <c r="N346" s="41">
        <v>1</v>
      </c>
      <c r="O346" s="40">
        <v>5</v>
      </c>
      <c r="P346" s="40">
        <v>1</v>
      </c>
      <c r="Q346" s="41">
        <v>3</v>
      </c>
      <c r="R346" s="40">
        <v>4</v>
      </c>
      <c r="S346" s="40">
        <v>7</v>
      </c>
      <c r="T346" s="40">
        <v>2</v>
      </c>
      <c r="U346" s="40">
        <v>5</v>
      </c>
      <c r="V346" s="40" t="s">
        <v>45</v>
      </c>
      <c r="W346" s="40" t="s">
        <v>45</v>
      </c>
      <c r="X346" s="40" t="s">
        <v>45</v>
      </c>
      <c r="Y346" s="40" t="s">
        <v>45</v>
      </c>
      <c r="Z346" s="40" t="s">
        <v>45</v>
      </c>
      <c r="AA346" s="40" t="s">
        <v>45</v>
      </c>
      <c r="AB346" s="40" t="s">
        <v>45</v>
      </c>
      <c r="AC346" s="40" t="s">
        <v>45</v>
      </c>
      <c r="AD346" s="40" t="s">
        <v>45</v>
      </c>
      <c r="AE346" s="40" t="s">
        <v>45</v>
      </c>
      <c r="AF346" s="40" t="s">
        <v>45</v>
      </c>
      <c r="AG346" s="40" t="s">
        <v>45</v>
      </c>
      <c r="AH346" s="40" t="s">
        <v>45</v>
      </c>
      <c r="AI346" s="40" t="s">
        <v>45</v>
      </c>
      <c r="AJ346" s="40" t="s">
        <v>45</v>
      </c>
      <c r="AK346" s="40" t="s">
        <v>45</v>
      </c>
      <c r="AL346" s="40" t="s">
        <v>45</v>
      </c>
      <c r="AM346" s="40" t="s">
        <v>45</v>
      </c>
      <c r="AN346" s="40" t="s">
        <v>45</v>
      </c>
      <c r="AO346" s="41" t="s">
        <v>45</v>
      </c>
      <c r="AP346" s="40" t="s">
        <v>328</v>
      </c>
      <c r="AQ346" s="40">
        <v>3</v>
      </c>
      <c r="AR346" s="48" t="s">
        <v>14</v>
      </c>
      <c r="AS346" s="43" t="s">
        <v>558</v>
      </c>
      <c r="AT346" s="43" t="s">
        <v>103</v>
      </c>
      <c r="AU346" s="44">
        <f t="shared" si="47"/>
        <v>-2.5067929134584248</v>
      </c>
      <c r="AV346" s="44">
        <f t="shared" si="48"/>
        <v>-0.99258305708561179</v>
      </c>
      <c r="AW346" s="45">
        <f t="shared" si="49"/>
        <v>2</v>
      </c>
      <c r="AX346" s="45">
        <f t="shared" si="50"/>
        <v>1</v>
      </c>
      <c r="AY346" s="46">
        <f>VLOOKUP(AP346,COND!$A$10:$B$32,2,FALSE)</f>
        <v>1</v>
      </c>
      <c r="AZ346" s="44">
        <f>($AU$3*AU346+$AV$3*AV346+$AW$3*AW346+$AX$3*AX346)*AY346*IF(AQ346&lt;5,0.95,IF(AQ346&lt;7,0.975,1))+$I$3*VLOOKUP(I346,COND!$A$2:$E$7,4,FALSE)+$J$3*VLOOKUP(J346,COND!$A$2:$E$7,2,FALSE)+$K$3*VLOOKUP(K346,COND!$A$2:$E$7,3,FALSE)+IF(BB346="SP",$BB$3,0)+IF($AW346&lt;3,-5,0)+IF(AND($B$2&gt;0,$E346&lt;20),$B$2*25,0)</f>
        <v>27.802131261816275</v>
      </c>
      <c r="BA346" s="47">
        <f>STANDARDIZE(AZ346,AVERAGE($AZ$5:$AZ$445),STDEVP($AZ$5:$AZ$445))</f>
        <v>-0.70523883733623993</v>
      </c>
      <c r="BB346" s="45" t="str">
        <f t="shared" si="52"/>
        <v>RP</v>
      </c>
      <c r="BC346" s="45">
        <v>930</v>
      </c>
      <c r="BD346" s="45">
        <v>341</v>
      </c>
      <c r="BE346" s="45"/>
      <c r="BF346" s="45" t="str">
        <f t="shared" si="53"/>
        <v>Unlikely</v>
      </c>
      <c r="BG346" s="45"/>
      <c r="BH346" s="63">
        <f>INDEX(Table5[[#All],[Ovr]],MATCH(Table3[[#This Row],[PID]],Table5[[#All],[PID]],0))</f>
        <v>633</v>
      </c>
      <c r="BI346" s="63" t="str">
        <f>INDEX(Table5[[#All],[Rnd]],MATCH(Table3[[#This Row],[PID]],Table5[[#All],[PID]],0))</f>
        <v>19</v>
      </c>
      <c r="BJ346" s="63">
        <f>INDEX(Table5[[#All],[Pick]],MATCH(Table3[[#This Row],[PID]],Table5[[#All],[PID]],0))</f>
        <v>30</v>
      </c>
      <c r="BK346" s="63" t="str">
        <f>INDEX(Table5[[#All],[Team]],MATCH(Table3[[#This Row],[PID]],Table5[[#All],[PID]],0))</f>
        <v>Toyama Wind Dancers</v>
      </c>
      <c r="BL346" s="63" t="str">
        <f>IF(OR(Table3[[#This Row],[POS]]="SP",Table3[[#This Row],[POS]]="RP",Table3[[#This Row],[POS]]="CL"),"P",INDEX(Batters[[#All],[zScore]],MATCH(Table3[[#This Row],[PID]],Batters[[#All],[PID]],0)))</f>
        <v>P</v>
      </c>
    </row>
    <row r="347" spans="1:64" ht="15" customHeight="1" x14ac:dyDescent="0.3">
      <c r="A347" s="40">
        <v>5335</v>
      </c>
      <c r="B347" s="40" t="s">
        <v>380</v>
      </c>
      <c r="C347" s="40" t="s">
        <v>172</v>
      </c>
      <c r="D347" s="40" t="s">
        <v>1544</v>
      </c>
      <c r="E347" s="40">
        <v>21</v>
      </c>
      <c r="F347" s="40" t="s">
        <v>42</v>
      </c>
      <c r="G347" s="40" t="s">
        <v>42</v>
      </c>
      <c r="H347" s="41" t="s">
        <v>561</v>
      </c>
      <c r="I347" s="42" t="s">
        <v>44</v>
      </c>
      <c r="J347" s="40" t="s">
        <v>44</v>
      </c>
      <c r="K347" s="41" t="s">
        <v>43</v>
      </c>
      <c r="L347" s="40">
        <v>2</v>
      </c>
      <c r="M347" s="40">
        <v>2</v>
      </c>
      <c r="N347" s="41">
        <v>1</v>
      </c>
      <c r="O347" s="40">
        <v>4</v>
      </c>
      <c r="P347" s="40">
        <v>2</v>
      </c>
      <c r="Q347" s="41">
        <v>3</v>
      </c>
      <c r="R347" s="40">
        <v>3</v>
      </c>
      <c r="S347" s="40">
        <v>4</v>
      </c>
      <c r="T347" s="40" t="s">
        <v>45</v>
      </c>
      <c r="U347" s="40" t="s">
        <v>45</v>
      </c>
      <c r="V347" s="40" t="s">
        <v>45</v>
      </c>
      <c r="W347" s="40" t="s">
        <v>45</v>
      </c>
      <c r="X347" s="40">
        <v>2</v>
      </c>
      <c r="Y347" s="40">
        <v>5</v>
      </c>
      <c r="Z347" s="40" t="s">
        <v>45</v>
      </c>
      <c r="AA347" s="40" t="s">
        <v>45</v>
      </c>
      <c r="AB347" s="40" t="s">
        <v>45</v>
      </c>
      <c r="AC347" s="40" t="s">
        <v>45</v>
      </c>
      <c r="AD347" s="40" t="s">
        <v>45</v>
      </c>
      <c r="AE347" s="40" t="s">
        <v>45</v>
      </c>
      <c r="AF347" s="40">
        <v>3</v>
      </c>
      <c r="AG347" s="40">
        <v>4</v>
      </c>
      <c r="AH347" s="40" t="s">
        <v>45</v>
      </c>
      <c r="AI347" s="40" t="s">
        <v>45</v>
      </c>
      <c r="AJ347" s="40" t="s">
        <v>45</v>
      </c>
      <c r="AK347" s="40" t="s">
        <v>45</v>
      </c>
      <c r="AL347" s="40" t="s">
        <v>45</v>
      </c>
      <c r="AM347" s="40" t="s">
        <v>45</v>
      </c>
      <c r="AN347" s="40" t="s">
        <v>45</v>
      </c>
      <c r="AO347" s="41" t="s">
        <v>45</v>
      </c>
      <c r="AP347" s="40" t="s">
        <v>328</v>
      </c>
      <c r="AQ347" s="40">
        <v>5</v>
      </c>
      <c r="AR347" s="48" t="s">
        <v>326</v>
      </c>
      <c r="AS347" s="43" t="s">
        <v>557</v>
      </c>
      <c r="AT347" s="43" t="s">
        <v>103</v>
      </c>
      <c r="AU347" s="44">
        <f t="shared" si="47"/>
        <v>-2.311361197028369</v>
      </c>
      <c r="AV347" s="44">
        <f t="shared" si="48"/>
        <v>-0.99184266516472974</v>
      </c>
      <c r="AW347" s="45">
        <f t="shared" si="49"/>
        <v>3</v>
      </c>
      <c r="AX347" s="45">
        <f t="shared" si="50"/>
        <v>0</v>
      </c>
      <c r="AY347" s="46">
        <f>VLOOKUP(AP347,COND!$A$10:$B$32,2,FALSE)</f>
        <v>1</v>
      </c>
      <c r="AZ347" s="44">
        <f>($AU$3*AU347+$AV$3*AV347+$AW$3*AW347+$AX$3*AX347)*AY347*IF(AQ347&lt;5,0.95,IF(AQ347&lt;7,0.975,1))+$I$3*VLOOKUP(I347,COND!$A$2:$E$7,4,FALSE)+$J$3*VLOOKUP(J347,COND!$A$2:$E$7,2,FALSE)+$K$3*VLOOKUP(K347,COND!$A$2:$E$7,3,FALSE)+IF(BB347="SP",$BB$3,0)+IF($AW347&lt;3,-5,0)+IF(AND($B$2&gt;0,$E347&lt;20),$B$2*25,0)</f>
        <v>28.220852595867235</v>
      </c>
      <c r="BA347" s="47">
        <f t="shared" ref="BA347:BA356" si="55">STANDARDIZE(AZ347,AVERAGE($AZ$5:$AZ$428),STDEVP($AZ$5:$AZ$428))</f>
        <v>-0.68228656269235322</v>
      </c>
      <c r="BB347" s="45" t="str">
        <f t="shared" si="52"/>
        <v>SP</v>
      </c>
      <c r="BC347" s="45">
        <v>930</v>
      </c>
      <c r="BD347" s="45">
        <v>342</v>
      </c>
      <c r="BE347" s="45"/>
      <c r="BF347" s="45" t="str">
        <f t="shared" si="53"/>
        <v>Unlikely</v>
      </c>
      <c r="BG347" s="45"/>
      <c r="BH347" s="45" t="str">
        <f>INDEX(Table5[[#All],[Ovr]],MATCH(Table3[[#This Row],[PID]],Table5[[#All],[PID]],0))</f>
        <v/>
      </c>
      <c r="BI347" s="45" t="str">
        <f>INDEX(Table5[[#All],[Rnd]],MATCH(Table3[[#This Row],[PID]],Table5[[#All],[PID]],0))</f>
        <v/>
      </c>
      <c r="BJ347" s="45" t="str">
        <f>INDEX(Table5[[#All],[Pick]],MATCH(Table3[[#This Row],[PID]],Table5[[#All],[PID]],0))</f>
        <v/>
      </c>
      <c r="BK347" s="45" t="str">
        <f>INDEX(Table5[[#All],[Team]],MATCH(Table3[[#This Row],[PID]],Table5[[#All],[PID]],0))</f>
        <v/>
      </c>
      <c r="BL347" s="45" t="str">
        <f>IF(OR(Table3[[#This Row],[POS]]="SP",Table3[[#This Row],[POS]]="RP",Table3[[#This Row],[POS]]="CL"),"P",INDEX(Batters[[#All],[zScore]],MATCH(Table3[[#This Row],[PID]],Batters[[#All],[PID]],0)))</f>
        <v>P</v>
      </c>
    </row>
    <row r="348" spans="1:64" ht="15" customHeight="1" x14ac:dyDescent="0.3">
      <c r="A348" s="40">
        <v>7246</v>
      </c>
      <c r="B348" s="40" t="s">
        <v>380</v>
      </c>
      <c r="C348" s="40" t="s">
        <v>346</v>
      </c>
      <c r="D348" s="40" t="s">
        <v>620</v>
      </c>
      <c r="E348" s="40">
        <v>21</v>
      </c>
      <c r="F348" s="40" t="s">
        <v>42</v>
      </c>
      <c r="G348" s="40" t="s">
        <v>42</v>
      </c>
      <c r="H348" s="41" t="s">
        <v>561</v>
      </c>
      <c r="I348" s="42" t="s">
        <v>43</v>
      </c>
      <c r="J348" s="40" t="s">
        <v>44</v>
      </c>
      <c r="K348" s="41" t="s">
        <v>43</v>
      </c>
      <c r="L348" s="40">
        <v>3</v>
      </c>
      <c r="M348" s="40">
        <v>1</v>
      </c>
      <c r="N348" s="41">
        <v>2</v>
      </c>
      <c r="O348" s="40">
        <v>6</v>
      </c>
      <c r="P348" s="40">
        <v>1</v>
      </c>
      <c r="Q348" s="41">
        <v>2</v>
      </c>
      <c r="R348" s="40">
        <v>5</v>
      </c>
      <c r="S348" s="40">
        <v>8</v>
      </c>
      <c r="T348" s="40">
        <v>1</v>
      </c>
      <c r="U348" s="40">
        <v>1</v>
      </c>
      <c r="V348" s="40" t="s">
        <v>45</v>
      </c>
      <c r="W348" s="40" t="s">
        <v>45</v>
      </c>
      <c r="X348" s="40">
        <v>4</v>
      </c>
      <c r="Y348" s="40">
        <v>7</v>
      </c>
      <c r="Z348" s="40" t="s">
        <v>45</v>
      </c>
      <c r="AA348" s="40" t="s">
        <v>45</v>
      </c>
      <c r="AB348" s="40" t="s">
        <v>45</v>
      </c>
      <c r="AC348" s="40" t="s">
        <v>45</v>
      </c>
      <c r="AD348" s="40" t="s">
        <v>45</v>
      </c>
      <c r="AE348" s="40" t="s">
        <v>45</v>
      </c>
      <c r="AF348" s="40" t="s">
        <v>45</v>
      </c>
      <c r="AG348" s="40" t="s">
        <v>45</v>
      </c>
      <c r="AH348" s="40" t="s">
        <v>45</v>
      </c>
      <c r="AI348" s="40" t="s">
        <v>45</v>
      </c>
      <c r="AJ348" s="40" t="s">
        <v>45</v>
      </c>
      <c r="AK348" s="40" t="s">
        <v>45</v>
      </c>
      <c r="AL348" s="40" t="s">
        <v>45</v>
      </c>
      <c r="AM348" s="40" t="s">
        <v>45</v>
      </c>
      <c r="AN348" s="40" t="s">
        <v>45</v>
      </c>
      <c r="AO348" s="41" t="s">
        <v>45</v>
      </c>
      <c r="AP348" s="40" t="s">
        <v>60</v>
      </c>
      <c r="AQ348" s="40">
        <v>4</v>
      </c>
      <c r="AR348" s="48" t="s">
        <v>330</v>
      </c>
      <c r="AS348" s="43" t="s">
        <v>45</v>
      </c>
      <c r="AT348" s="43" t="s">
        <v>103</v>
      </c>
      <c r="AU348" s="44">
        <f t="shared" si="47"/>
        <v>-2.0697810228951408</v>
      </c>
      <c r="AV348" s="44">
        <f t="shared" si="48"/>
        <v>-1.0402122986305484</v>
      </c>
      <c r="AW348" s="45">
        <f t="shared" si="49"/>
        <v>3</v>
      </c>
      <c r="AX348" s="45">
        <f t="shared" si="50"/>
        <v>2</v>
      </c>
      <c r="AY348" s="46">
        <f>VLOOKUP(AP348,COND!$A$10:$B$32,2,FALSE)</f>
        <v>1.0249999999999999</v>
      </c>
      <c r="AZ348" s="44">
        <f>($AU$3*AU348+$AV$3*AV348+$AW$3*AW348+$AX$3*AX348)*AY348*IF(AQ348&lt;5,0.95,IF(AQ348&lt;7,0.975,1))+$I$3*VLOOKUP(I348,COND!$A$2:$E$7,4,FALSE)+$J$3*VLOOKUP(J348,COND!$A$2:$E$7,2,FALSE)+$K$3*VLOOKUP(K348,COND!$A$2:$E$7,3,FALSE)+IF(BB348="SP",$BB$3,0)+IF($AW348&lt;3,-5,0)+IF(AND($B$2&gt;0,$E348&lt;20),$B$2*25,0)</f>
        <v>27.933775629961243</v>
      </c>
      <c r="BA348" s="47">
        <f t="shared" si="55"/>
        <v>-0.70272846164069536</v>
      </c>
      <c r="BB348" s="45" t="str">
        <f t="shared" si="52"/>
        <v>RP</v>
      </c>
      <c r="BC348" s="45">
        <v>930</v>
      </c>
      <c r="BD348" s="45">
        <v>343</v>
      </c>
      <c r="BE348" s="45"/>
      <c r="BF348" s="45" t="str">
        <f t="shared" si="53"/>
        <v>Unlikely</v>
      </c>
      <c r="BG348" s="45"/>
      <c r="BH348" s="45">
        <f>INDEX(Table5[[#All],[Ovr]],MATCH(Table3[[#This Row],[PID]],Table5[[#All],[PID]],0))</f>
        <v>449</v>
      </c>
      <c r="BI348" s="45" t="str">
        <f>INDEX(Table5[[#All],[Rnd]],MATCH(Table3[[#This Row],[PID]],Table5[[#All],[PID]],0))</f>
        <v>14</v>
      </c>
      <c r="BJ348" s="45">
        <f>INDEX(Table5[[#All],[Pick]],MATCH(Table3[[#This Row],[PID]],Table5[[#All],[PID]],0))</f>
        <v>16</v>
      </c>
      <c r="BK348" s="45" t="str">
        <f>INDEX(Table5[[#All],[Team]],MATCH(Table3[[#This Row],[PID]],Table5[[#All],[PID]],0))</f>
        <v>Madison Malts</v>
      </c>
      <c r="BL348" s="45" t="str">
        <f>IF(OR(Table3[[#This Row],[POS]]="SP",Table3[[#This Row],[POS]]="RP",Table3[[#This Row],[POS]]="CL"),"P",INDEX(Batters[[#All],[zScore]],MATCH(Table3[[#This Row],[PID]],Batters[[#All],[PID]],0)))</f>
        <v>P</v>
      </c>
    </row>
    <row r="349" spans="1:64" ht="15" customHeight="1" x14ac:dyDescent="0.3">
      <c r="A349" s="40">
        <v>16288</v>
      </c>
      <c r="B349" s="40" t="s">
        <v>380</v>
      </c>
      <c r="C349" s="40" t="s">
        <v>373</v>
      </c>
      <c r="D349" s="40" t="s">
        <v>1394</v>
      </c>
      <c r="E349" s="40">
        <v>21</v>
      </c>
      <c r="F349" s="40" t="s">
        <v>42</v>
      </c>
      <c r="G349" s="40" t="s">
        <v>42</v>
      </c>
      <c r="H349" s="41" t="s">
        <v>561</v>
      </c>
      <c r="I349" s="42" t="s">
        <v>43</v>
      </c>
      <c r="J349" s="40" t="s">
        <v>44</v>
      </c>
      <c r="K349" s="41" t="s">
        <v>43</v>
      </c>
      <c r="L349" s="40">
        <v>3</v>
      </c>
      <c r="M349" s="40">
        <v>1</v>
      </c>
      <c r="N349" s="41">
        <v>2</v>
      </c>
      <c r="O349" s="40">
        <v>5</v>
      </c>
      <c r="P349" s="40">
        <v>1</v>
      </c>
      <c r="Q349" s="41">
        <v>4</v>
      </c>
      <c r="R349" s="40" t="s">
        <v>45</v>
      </c>
      <c r="S349" s="40" t="s">
        <v>45</v>
      </c>
      <c r="T349" s="40" t="s">
        <v>45</v>
      </c>
      <c r="U349" s="40" t="s">
        <v>45</v>
      </c>
      <c r="V349" s="40">
        <v>4</v>
      </c>
      <c r="W349" s="40">
        <v>7</v>
      </c>
      <c r="X349" s="40" t="s">
        <v>45</v>
      </c>
      <c r="Y349" s="40" t="s">
        <v>45</v>
      </c>
      <c r="Z349" s="40" t="s">
        <v>45</v>
      </c>
      <c r="AA349" s="40" t="s">
        <v>45</v>
      </c>
      <c r="AB349" s="40" t="s">
        <v>45</v>
      </c>
      <c r="AC349" s="40" t="s">
        <v>45</v>
      </c>
      <c r="AD349" s="40">
        <v>4</v>
      </c>
      <c r="AE349" s="40">
        <v>5</v>
      </c>
      <c r="AF349" s="40" t="s">
        <v>45</v>
      </c>
      <c r="AG349" s="40" t="s">
        <v>45</v>
      </c>
      <c r="AH349" s="40" t="s">
        <v>45</v>
      </c>
      <c r="AI349" s="40" t="s">
        <v>45</v>
      </c>
      <c r="AJ349" s="40" t="s">
        <v>45</v>
      </c>
      <c r="AK349" s="40" t="s">
        <v>45</v>
      </c>
      <c r="AL349" s="40" t="s">
        <v>45</v>
      </c>
      <c r="AM349" s="40" t="s">
        <v>45</v>
      </c>
      <c r="AN349" s="40" t="s">
        <v>45</v>
      </c>
      <c r="AO349" s="41" t="s">
        <v>45</v>
      </c>
      <c r="AP349" s="40" t="s">
        <v>58</v>
      </c>
      <c r="AQ349" s="40">
        <v>2</v>
      </c>
      <c r="AR349" s="48" t="s">
        <v>14</v>
      </c>
      <c r="AS349" s="43" t="s">
        <v>45</v>
      </c>
      <c r="AT349" s="43" t="s">
        <v>103</v>
      </c>
      <c r="AU349" s="44">
        <f t="shared" si="47"/>
        <v>-2.0697810228951408</v>
      </c>
      <c r="AV349" s="44">
        <f t="shared" si="48"/>
        <v>-0.75026249103150122</v>
      </c>
      <c r="AW349" s="45">
        <f t="shared" si="49"/>
        <v>2</v>
      </c>
      <c r="AX349" s="45">
        <f t="shared" si="50"/>
        <v>1</v>
      </c>
      <c r="AY349" s="46">
        <f>VLOOKUP(AP349,COND!$A$10:$B$32,2,FALSE)</f>
        <v>1</v>
      </c>
      <c r="AZ349" s="44">
        <f>($AU$3*AU349+$AV$3*AV349+$AW$3*AW349+$AX$3*AX349)*AY349*IF(AQ349&lt;5,0.95,IF(AQ349&lt;7,0.975,1))+$I$3*VLOOKUP(I349,COND!$A$2:$E$7,4,FALSE)+$J$3*VLOOKUP(J349,COND!$A$2:$E$7,2,FALSE)+$K$3*VLOOKUP(K349,COND!$A$2:$E$7,3,FALSE)+IF(BB349="SP",$BB$3,0)+IF($AW349&lt;3,-5,0)+IF(AND($B$2&gt;0,$E349&lt;20),$B$2*25,0)</f>
        <v>27.1892542760514</v>
      </c>
      <c r="BA349" s="47">
        <f t="shared" si="55"/>
        <v>-0.75574361816318569</v>
      </c>
      <c r="BB349" s="45" t="str">
        <f t="shared" si="52"/>
        <v>RP</v>
      </c>
      <c r="BC349" s="45">
        <v>930</v>
      </c>
      <c r="BD349" s="45">
        <v>344</v>
      </c>
      <c r="BE349" s="45"/>
      <c r="BF349" s="45" t="str">
        <f t="shared" si="53"/>
        <v>Unlikely</v>
      </c>
      <c r="BG349" s="45"/>
      <c r="BH349" s="45" t="str">
        <f>INDEX(Table5[[#All],[Ovr]],MATCH(Table3[[#This Row],[PID]],Table5[[#All],[PID]],0))</f>
        <v/>
      </c>
      <c r="BI349" s="45" t="str">
        <f>INDEX(Table5[[#All],[Rnd]],MATCH(Table3[[#This Row],[PID]],Table5[[#All],[PID]],0))</f>
        <v/>
      </c>
      <c r="BJ349" s="45" t="str">
        <f>INDEX(Table5[[#All],[Pick]],MATCH(Table3[[#This Row],[PID]],Table5[[#All],[PID]],0))</f>
        <v/>
      </c>
      <c r="BK349" s="45" t="str">
        <f>INDEX(Table5[[#All],[Team]],MATCH(Table3[[#This Row],[PID]],Table5[[#All],[PID]],0))</f>
        <v/>
      </c>
      <c r="BL349" s="45" t="str">
        <f>IF(OR(Table3[[#This Row],[POS]]="SP",Table3[[#This Row],[POS]]="RP",Table3[[#This Row],[POS]]="CL"),"P",INDEX(Batters[[#All],[zScore]],MATCH(Table3[[#This Row],[PID]],Batters[[#All],[PID]],0)))</f>
        <v>P</v>
      </c>
    </row>
    <row r="350" spans="1:64" ht="15" customHeight="1" x14ac:dyDescent="0.3">
      <c r="A350" s="40">
        <v>21034</v>
      </c>
      <c r="B350" s="40" t="s">
        <v>380</v>
      </c>
      <c r="C350" s="40" t="s">
        <v>599</v>
      </c>
      <c r="D350" s="40" t="s">
        <v>610</v>
      </c>
      <c r="E350" s="40">
        <v>16</v>
      </c>
      <c r="F350" s="40" t="s">
        <v>62</v>
      </c>
      <c r="G350" s="40" t="s">
        <v>53</v>
      </c>
      <c r="H350" s="41" t="s">
        <v>561</v>
      </c>
      <c r="I350" s="42" t="s">
        <v>44</v>
      </c>
      <c r="J350" s="40" t="s">
        <v>44</v>
      </c>
      <c r="K350" s="41" t="s">
        <v>43</v>
      </c>
      <c r="L350" s="40">
        <v>2</v>
      </c>
      <c r="M350" s="40">
        <v>2</v>
      </c>
      <c r="N350" s="41">
        <v>1</v>
      </c>
      <c r="O350" s="40">
        <v>4</v>
      </c>
      <c r="P350" s="40">
        <v>2</v>
      </c>
      <c r="Q350" s="41">
        <v>3</v>
      </c>
      <c r="R350" s="40">
        <v>4</v>
      </c>
      <c r="S350" s="40">
        <v>6</v>
      </c>
      <c r="T350" s="40" t="s">
        <v>45</v>
      </c>
      <c r="U350" s="40" t="s">
        <v>45</v>
      </c>
      <c r="V350" s="40" t="s">
        <v>45</v>
      </c>
      <c r="W350" s="40" t="s">
        <v>45</v>
      </c>
      <c r="X350" s="40">
        <v>2</v>
      </c>
      <c r="Y350" s="40">
        <v>4</v>
      </c>
      <c r="Z350" s="40" t="s">
        <v>45</v>
      </c>
      <c r="AA350" s="40" t="s">
        <v>45</v>
      </c>
      <c r="AB350" s="40" t="s">
        <v>45</v>
      </c>
      <c r="AC350" s="40" t="s">
        <v>45</v>
      </c>
      <c r="AD350" s="40" t="s">
        <v>45</v>
      </c>
      <c r="AE350" s="40" t="s">
        <v>45</v>
      </c>
      <c r="AF350" s="40" t="s">
        <v>45</v>
      </c>
      <c r="AG350" s="40" t="s">
        <v>45</v>
      </c>
      <c r="AH350" s="40" t="s">
        <v>45</v>
      </c>
      <c r="AI350" s="40" t="s">
        <v>45</v>
      </c>
      <c r="AJ350" s="40" t="s">
        <v>45</v>
      </c>
      <c r="AK350" s="40" t="s">
        <v>45</v>
      </c>
      <c r="AL350" s="40" t="s">
        <v>45</v>
      </c>
      <c r="AM350" s="40" t="s">
        <v>45</v>
      </c>
      <c r="AN350" s="40" t="s">
        <v>45</v>
      </c>
      <c r="AO350" s="41" t="s">
        <v>45</v>
      </c>
      <c r="AP350" s="40" t="s">
        <v>57</v>
      </c>
      <c r="AQ350" s="40">
        <v>5</v>
      </c>
      <c r="AR350" s="48" t="s">
        <v>326</v>
      </c>
      <c r="AS350" s="43" t="s">
        <v>570</v>
      </c>
      <c r="AT350" s="43" t="s">
        <v>103</v>
      </c>
      <c r="AU350" s="44">
        <f t="shared" si="47"/>
        <v>-2.311361197028369</v>
      </c>
      <c r="AV350" s="44">
        <f t="shared" si="48"/>
        <v>-0.99184266516472974</v>
      </c>
      <c r="AW350" s="45">
        <f t="shared" si="49"/>
        <v>2</v>
      </c>
      <c r="AX350" s="45">
        <f t="shared" si="50"/>
        <v>1</v>
      </c>
      <c r="AY350" s="46">
        <f>VLOOKUP(AP350,COND!$A$10:$B$32,2,FALSE)</f>
        <v>1</v>
      </c>
      <c r="AZ350" s="44">
        <f>($AU$3*AU350+$AV$3*AV350+$AW$3*AW350+$AX$3*AX350)*AY350*IF(AQ350&lt;5,0.95,IF(AQ350&lt;7,0.975,1))+$I$3*VLOOKUP(I350,COND!$A$2:$E$7,4,FALSE)+$J$3*VLOOKUP(J350,COND!$A$2:$E$7,2,FALSE)+$K$3*VLOOKUP(K350,COND!$A$2:$E$7,3,FALSE)+IF(BB350="SP",$BB$3,0)+IF($AW350&lt;3,-5,0)+IF(AND($B$2&gt;0,$E350&lt;20),$B$2*25,0)</f>
        <v>26.952102595867238</v>
      </c>
      <c r="BA350" s="47">
        <f t="shared" si="55"/>
        <v>-0.77263048564994075</v>
      </c>
      <c r="BB350" s="45" t="str">
        <f t="shared" si="52"/>
        <v>RP</v>
      </c>
      <c r="BC350" s="45">
        <v>930</v>
      </c>
      <c r="BD350" s="45">
        <v>345</v>
      </c>
      <c r="BE350" s="45"/>
      <c r="BF350" s="45" t="str">
        <f t="shared" si="53"/>
        <v>Unlikely</v>
      </c>
      <c r="BG350" s="45"/>
      <c r="BH350" s="45" t="str">
        <f>INDEX(Table5[[#All],[Ovr]],MATCH(Table3[[#This Row],[PID]],Table5[[#All],[PID]],0))</f>
        <v/>
      </c>
      <c r="BI350" s="45" t="str">
        <f>INDEX(Table5[[#All],[Rnd]],MATCH(Table3[[#This Row],[PID]],Table5[[#All],[PID]],0))</f>
        <v/>
      </c>
      <c r="BJ350" s="45" t="str">
        <f>INDEX(Table5[[#All],[Pick]],MATCH(Table3[[#This Row],[PID]],Table5[[#All],[PID]],0))</f>
        <v/>
      </c>
      <c r="BK350" s="45" t="str">
        <f>INDEX(Table5[[#All],[Team]],MATCH(Table3[[#This Row],[PID]],Table5[[#All],[PID]],0))</f>
        <v/>
      </c>
      <c r="BL350" s="45" t="str">
        <f>IF(OR(Table3[[#This Row],[POS]]="SP",Table3[[#This Row],[POS]]="RP",Table3[[#This Row],[POS]]="CL"),"P",INDEX(Batters[[#All],[zScore]],MATCH(Table3[[#This Row],[PID]],Batters[[#All],[PID]],0)))</f>
        <v>P</v>
      </c>
    </row>
    <row r="351" spans="1:64" ht="15" customHeight="1" x14ac:dyDescent="0.3">
      <c r="A351" s="40">
        <v>15679</v>
      </c>
      <c r="B351" s="40" t="s">
        <v>380</v>
      </c>
      <c r="C351" s="40" t="s">
        <v>1446</v>
      </c>
      <c r="D351" s="40" t="s">
        <v>1447</v>
      </c>
      <c r="E351" s="40">
        <v>21</v>
      </c>
      <c r="F351" s="40" t="s">
        <v>42</v>
      </c>
      <c r="G351" s="40" t="s">
        <v>42</v>
      </c>
      <c r="H351" s="41" t="s">
        <v>561</v>
      </c>
      <c r="I351" s="42" t="s">
        <v>43</v>
      </c>
      <c r="J351" s="40" t="s">
        <v>44</v>
      </c>
      <c r="K351" s="41" t="s">
        <v>43</v>
      </c>
      <c r="L351" s="40">
        <v>3</v>
      </c>
      <c r="M351" s="40">
        <v>2</v>
      </c>
      <c r="N351" s="41">
        <v>2</v>
      </c>
      <c r="O351" s="40">
        <v>4</v>
      </c>
      <c r="P351" s="40">
        <v>2</v>
      </c>
      <c r="Q351" s="41">
        <v>3</v>
      </c>
      <c r="R351" s="40">
        <v>4</v>
      </c>
      <c r="S351" s="40">
        <v>5</v>
      </c>
      <c r="T351" s="40" t="s">
        <v>45</v>
      </c>
      <c r="U351" s="40" t="s">
        <v>45</v>
      </c>
      <c r="V351" s="40" t="s">
        <v>45</v>
      </c>
      <c r="W351" s="40" t="s">
        <v>45</v>
      </c>
      <c r="X351" s="40">
        <v>2</v>
      </c>
      <c r="Y351" s="40">
        <v>4</v>
      </c>
      <c r="Z351" s="40">
        <v>3</v>
      </c>
      <c r="AA351" s="40">
        <v>4</v>
      </c>
      <c r="AB351" s="40" t="s">
        <v>45</v>
      </c>
      <c r="AC351" s="40" t="s">
        <v>45</v>
      </c>
      <c r="AD351" s="40" t="s">
        <v>45</v>
      </c>
      <c r="AE351" s="40" t="s">
        <v>45</v>
      </c>
      <c r="AF351" s="40" t="s">
        <v>45</v>
      </c>
      <c r="AG351" s="40" t="s">
        <v>45</v>
      </c>
      <c r="AH351" s="40" t="s">
        <v>45</v>
      </c>
      <c r="AI351" s="40" t="s">
        <v>45</v>
      </c>
      <c r="AJ351" s="40" t="s">
        <v>45</v>
      </c>
      <c r="AK351" s="40" t="s">
        <v>45</v>
      </c>
      <c r="AL351" s="40" t="s">
        <v>45</v>
      </c>
      <c r="AM351" s="40" t="s">
        <v>45</v>
      </c>
      <c r="AN351" s="40" t="s">
        <v>45</v>
      </c>
      <c r="AO351" s="41" t="s">
        <v>45</v>
      </c>
      <c r="AP351" s="40" t="s">
        <v>57</v>
      </c>
      <c r="AQ351" s="40">
        <v>4</v>
      </c>
      <c r="AR351" s="48" t="s">
        <v>326</v>
      </c>
      <c r="AS351" s="43" t="s">
        <v>45</v>
      </c>
      <c r="AT351" s="43" t="s">
        <v>103</v>
      </c>
      <c r="AU351" s="44">
        <f t="shared" si="47"/>
        <v>-1.8743493064650851</v>
      </c>
      <c r="AV351" s="44">
        <f t="shared" si="48"/>
        <v>-0.99184266516472974</v>
      </c>
      <c r="AW351" s="45">
        <f t="shared" si="49"/>
        <v>3</v>
      </c>
      <c r="AX351" s="45">
        <f t="shared" si="50"/>
        <v>0</v>
      </c>
      <c r="AY351" s="46">
        <f>VLOOKUP(AP351,COND!$A$10:$B$32,2,FALSE)</f>
        <v>1</v>
      </c>
      <c r="AZ351" s="44">
        <f>($AU$3*AU351+$AV$3*AV351+$AW$3*AW351+$AX$3*AX351)*AY351*IF(AQ351&lt;5,0.95,IF(AQ351&lt;7,0.975,1))+$I$3*VLOOKUP(I351,COND!$A$2:$E$7,4,FALSE)+$J$3*VLOOKUP(J351,COND!$A$2:$E$7,2,FALSE)+$K$3*VLOOKUP(K351,COND!$A$2:$E$7,3,FALSE)+IF(BB351="SP",$BB$3,0)+IF($AW351&lt;3,-5,0)+IF(AND($B$2&gt;0,$E351&lt;20),$B$2*25,0)</f>
        <v>26.923862993641766</v>
      </c>
      <c r="BA351" s="47">
        <f t="shared" si="55"/>
        <v>-0.77464134393392969</v>
      </c>
      <c r="BB351" s="45" t="str">
        <f t="shared" si="52"/>
        <v>RP</v>
      </c>
      <c r="BC351" s="45">
        <v>930</v>
      </c>
      <c r="BD351" s="45">
        <v>346</v>
      </c>
      <c r="BE351" s="45"/>
      <c r="BF351" s="45" t="str">
        <f t="shared" si="53"/>
        <v>Unlikely</v>
      </c>
      <c r="BG351" s="45"/>
      <c r="BH351" s="45" t="str">
        <f>INDEX(Table5[[#All],[Ovr]],MATCH(Table3[[#This Row],[PID]],Table5[[#All],[PID]],0))</f>
        <v/>
      </c>
      <c r="BI351" s="45" t="str">
        <f>INDEX(Table5[[#All],[Rnd]],MATCH(Table3[[#This Row],[PID]],Table5[[#All],[PID]],0))</f>
        <v/>
      </c>
      <c r="BJ351" s="45" t="str">
        <f>INDEX(Table5[[#All],[Pick]],MATCH(Table3[[#This Row],[PID]],Table5[[#All],[PID]],0))</f>
        <v/>
      </c>
      <c r="BK351" s="45" t="str">
        <f>INDEX(Table5[[#All],[Team]],MATCH(Table3[[#This Row],[PID]],Table5[[#All],[PID]],0))</f>
        <v/>
      </c>
      <c r="BL351" s="45" t="str">
        <f>IF(OR(Table3[[#This Row],[POS]]="SP",Table3[[#This Row],[POS]]="RP",Table3[[#This Row],[POS]]="CL"),"P",INDEX(Batters[[#All],[zScore]],MATCH(Table3[[#This Row],[PID]],Batters[[#All],[PID]],0)))</f>
        <v>P</v>
      </c>
    </row>
    <row r="352" spans="1:64" ht="15" customHeight="1" x14ac:dyDescent="0.3">
      <c r="A352" s="40">
        <v>7983</v>
      </c>
      <c r="B352" s="40" t="s">
        <v>380</v>
      </c>
      <c r="C352" s="40" t="s">
        <v>159</v>
      </c>
      <c r="D352" s="40" t="s">
        <v>395</v>
      </c>
      <c r="E352" s="40">
        <v>21</v>
      </c>
      <c r="F352" s="40" t="s">
        <v>42</v>
      </c>
      <c r="G352" s="40" t="s">
        <v>42</v>
      </c>
      <c r="H352" s="41" t="s">
        <v>561</v>
      </c>
      <c r="I352" s="42" t="s">
        <v>43</v>
      </c>
      <c r="J352" s="40" t="s">
        <v>44</v>
      </c>
      <c r="K352" s="41" t="s">
        <v>43</v>
      </c>
      <c r="L352" s="40">
        <v>3</v>
      </c>
      <c r="M352" s="40">
        <v>2</v>
      </c>
      <c r="N352" s="41">
        <v>3</v>
      </c>
      <c r="O352" s="40">
        <v>4</v>
      </c>
      <c r="P352" s="40">
        <v>2</v>
      </c>
      <c r="Q352" s="41">
        <v>4</v>
      </c>
      <c r="R352" s="40" t="s">
        <v>45</v>
      </c>
      <c r="S352" s="40" t="s">
        <v>45</v>
      </c>
      <c r="T352" s="40">
        <v>5</v>
      </c>
      <c r="U352" s="40">
        <v>7</v>
      </c>
      <c r="V352" s="40" t="s">
        <v>45</v>
      </c>
      <c r="W352" s="40" t="s">
        <v>45</v>
      </c>
      <c r="X352" s="40" t="s">
        <v>45</v>
      </c>
      <c r="Y352" s="40" t="s">
        <v>45</v>
      </c>
      <c r="Z352" s="40" t="s">
        <v>45</v>
      </c>
      <c r="AA352" s="40" t="s">
        <v>45</v>
      </c>
      <c r="AB352" s="40" t="s">
        <v>45</v>
      </c>
      <c r="AC352" s="40" t="s">
        <v>45</v>
      </c>
      <c r="AD352" s="40">
        <v>3</v>
      </c>
      <c r="AE352" s="40">
        <v>4</v>
      </c>
      <c r="AF352" s="40" t="s">
        <v>45</v>
      </c>
      <c r="AG352" s="40" t="s">
        <v>45</v>
      </c>
      <c r="AH352" s="40" t="s">
        <v>45</v>
      </c>
      <c r="AI352" s="40" t="s">
        <v>45</v>
      </c>
      <c r="AJ352" s="40" t="s">
        <v>45</v>
      </c>
      <c r="AK352" s="40" t="s">
        <v>45</v>
      </c>
      <c r="AL352" s="40" t="s">
        <v>45</v>
      </c>
      <c r="AM352" s="40" t="s">
        <v>45</v>
      </c>
      <c r="AN352" s="40" t="s">
        <v>45</v>
      </c>
      <c r="AO352" s="41" t="s">
        <v>45</v>
      </c>
      <c r="AP352" s="40" t="s">
        <v>64</v>
      </c>
      <c r="AQ352" s="40">
        <v>7</v>
      </c>
      <c r="AR352" s="48" t="s">
        <v>326</v>
      </c>
      <c r="AS352" s="43" t="s">
        <v>45</v>
      </c>
      <c r="AT352" s="43" t="s">
        <v>103</v>
      </c>
      <c r="AU352" s="44">
        <f t="shared" si="47"/>
        <v>-1.6320287404109748</v>
      </c>
      <c r="AV352" s="44">
        <f t="shared" si="48"/>
        <v>-0.74952209911061918</v>
      </c>
      <c r="AW352" s="45">
        <f t="shared" si="49"/>
        <v>2</v>
      </c>
      <c r="AX352" s="45">
        <f t="shared" si="50"/>
        <v>1</v>
      </c>
      <c r="AY352" s="46">
        <f>VLOOKUP(AP352,COND!$A$10:$B$32,2,FALSE)</f>
        <v>1</v>
      </c>
      <c r="AZ352" s="44">
        <f>($AU$3*AU352+$AV$3*AV352+$AW$3*AW352+$AX$3*AX352)*AY352*IF(AQ352&lt;5,0.95,IF(AQ352&lt;7,0.975,1))+$I$3*VLOOKUP(I352,COND!$A$2:$E$7,4,FALSE)+$J$3*VLOOKUP(J352,COND!$A$2:$E$7,2,FALSE)+$K$3*VLOOKUP(K352,COND!$A$2:$E$7,3,FALSE)+IF(BB352="SP",$BB$3,0)+IF($AW352&lt;3,-5,0)+IF(AND($B$2&gt;0,$E352&lt;20),$B$2*25,0)</f>
        <v>26.63315226970542</v>
      </c>
      <c r="BA352" s="47">
        <f t="shared" si="55"/>
        <v>-0.79534199200979161</v>
      </c>
      <c r="BB352" s="45" t="str">
        <f t="shared" si="52"/>
        <v>RP</v>
      </c>
      <c r="BC352" s="45">
        <v>930</v>
      </c>
      <c r="BD352" s="45">
        <v>347</v>
      </c>
      <c r="BE352" s="45"/>
      <c r="BF352" s="45" t="str">
        <f t="shared" si="53"/>
        <v>Unlikely</v>
      </c>
      <c r="BG352" s="45"/>
      <c r="BH352" s="45">
        <f>INDEX(Table5[[#All],[Ovr]],MATCH(Table3[[#This Row],[PID]],Table5[[#All],[PID]],0))</f>
        <v>605</v>
      </c>
      <c r="BI352" s="45" t="str">
        <f>INDEX(Table5[[#All],[Rnd]],MATCH(Table3[[#This Row],[PID]],Table5[[#All],[PID]],0))</f>
        <v>19</v>
      </c>
      <c r="BJ352" s="45">
        <f>INDEX(Table5[[#All],[Pick]],MATCH(Table3[[#This Row],[PID]],Table5[[#All],[PID]],0))</f>
        <v>2</v>
      </c>
      <c r="BK352" s="45" t="str">
        <f>INDEX(Table5[[#All],[Team]],MATCH(Table3[[#This Row],[PID]],Table5[[#All],[PID]],0))</f>
        <v>Charleston Statesmen</v>
      </c>
      <c r="BL352" s="45" t="str">
        <f>IF(OR(Table3[[#This Row],[POS]]="SP",Table3[[#This Row],[POS]]="RP",Table3[[#This Row],[POS]]="CL"),"P",INDEX(Batters[[#All],[zScore]],MATCH(Table3[[#This Row],[PID]],Batters[[#All],[PID]],0)))</f>
        <v>P</v>
      </c>
    </row>
    <row r="353" spans="1:64" ht="15" customHeight="1" x14ac:dyDescent="0.3">
      <c r="A353" s="40">
        <v>5139</v>
      </c>
      <c r="B353" s="40" t="s">
        <v>380</v>
      </c>
      <c r="C353" s="40" t="s">
        <v>182</v>
      </c>
      <c r="D353" s="40" t="s">
        <v>574</v>
      </c>
      <c r="E353" s="40">
        <v>21</v>
      </c>
      <c r="F353" s="40" t="s">
        <v>62</v>
      </c>
      <c r="G353" s="40" t="s">
        <v>42</v>
      </c>
      <c r="H353" s="41" t="s">
        <v>561</v>
      </c>
      <c r="I353" s="42" t="s">
        <v>43</v>
      </c>
      <c r="J353" s="40" t="s">
        <v>44</v>
      </c>
      <c r="K353" s="41" t="s">
        <v>43</v>
      </c>
      <c r="L353" s="40">
        <v>2</v>
      </c>
      <c r="M353" s="40">
        <v>1</v>
      </c>
      <c r="N353" s="41">
        <v>1</v>
      </c>
      <c r="O353" s="40">
        <v>3</v>
      </c>
      <c r="P353" s="40">
        <v>1</v>
      </c>
      <c r="Q353" s="41">
        <v>4</v>
      </c>
      <c r="R353" s="40">
        <v>3</v>
      </c>
      <c r="S353" s="40">
        <v>4</v>
      </c>
      <c r="T353" s="40">
        <v>1</v>
      </c>
      <c r="U353" s="40">
        <v>1</v>
      </c>
      <c r="V353" s="40">
        <v>2</v>
      </c>
      <c r="W353" s="40">
        <v>5</v>
      </c>
      <c r="X353" s="40" t="s">
        <v>45</v>
      </c>
      <c r="Y353" s="40" t="s">
        <v>45</v>
      </c>
      <c r="Z353" s="40" t="s">
        <v>45</v>
      </c>
      <c r="AA353" s="40" t="s">
        <v>45</v>
      </c>
      <c r="AB353" s="40" t="s">
        <v>45</v>
      </c>
      <c r="AC353" s="40" t="s">
        <v>45</v>
      </c>
      <c r="AD353" s="40" t="s">
        <v>45</v>
      </c>
      <c r="AE353" s="40" t="s">
        <v>45</v>
      </c>
      <c r="AF353" s="40" t="s">
        <v>45</v>
      </c>
      <c r="AG353" s="40" t="s">
        <v>45</v>
      </c>
      <c r="AH353" s="40" t="s">
        <v>45</v>
      </c>
      <c r="AI353" s="40" t="s">
        <v>45</v>
      </c>
      <c r="AJ353" s="40" t="s">
        <v>45</v>
      </c>
      <c r="AK353" s="40" t="s">
        <v>45</v>
      </c>
      <c r="AL353" s="40" t="s">
        <v>45</v>
      </c>
      <c r="AM353" s="40" t="s">
        <v>45</v>
      </c>
      <c r="AN353" s="40" t="s">
        <v>45</v>
      </c>
      <c r="AO353" s="41" t="s">
        <v>45</v>
      </c>
      <c r="AP353" s="40" t="s">
        <v>68</v>
      </c>
      <c r="AQ353" s="40">
        <v>6</v>
      </c>
      <c r="AR353" s="48" t="s">
        <v>330</v>
      </c>
      <c r="AS353" s="43" t="s">
        <v>45</v>
      </c>
      <c r="AT353" s="43" t="s">
        <v>103</v>
      </c>
      <c r="AU353" s="44">
        <f t="shared" si="47"/>
        <v>-2.5067929134584248</v>
      </c>
      <c r="AV353" s="44">
        <f t="shared" si="48"/>
        <v>-1.1396451400498482</v>
      </c>
      <c r="AW353" s="45">
        <f t="shared" si="49"/>
        <v>3</v>
      </c>
      <c r="AX353" s="45">
        <f t="shared" si="50"/>
        <v>0</v>
      </c>
      <c r="AY353" s="46">
        <f>VLOOKUP(AP353,COND!$A$10:$B$32,2,FALSE)</f>
        <v>0.95</v>
      </c>
      <c r="AZ353" s="44">
        <f>($AU$3*AU353+$AV$3*AV353+$AW$3*AW353+$AX$3*AX353)*AY353*IF(AQ353&lt;5,0.95,IF(AQ353&lt;7,0.975,1))+$I$3*VLOOKUP(I353,COND!$A$2:$E$7,4,FALSE)+$J$3*VLOOKUP(J353,COND!$A$2:$E$7,2,FALSE)+$K$3*VLOOKUP(K353,COND!$A$2:$E$7,3,FALSE)+IF(BB353="SP",$BB$3,0)+IF($AW353&lt;3,-5,0)+IF(AND($B$2&gt;0,$E353&lt;20),$B$2*25,0)</f>
        <v>26.513065393358389</v>
      </c>
      <c r="BA353" s="47">
        <f t="shared" si="55"/>
        <v>-0.80389302216144753</v>
      </c>
      <c r="BB353" s="45" t="str">
        <f t="shared" si="52"/>
        <v>SP</v>
      </c>
      <c r="BC353" s="45">
        <v>930</v>
      </c>
      <c r="BD353" s="45">
        <v>348</v>
      </c>
      <c r="BE353" s="45"/>
      <c r="BF353" s="45" t="str">
        <f t="shared" si="53"/>
        <v>Unlikely</v>
      </c>
      <c r="BG353" s="45"/>
      <c r="BH353" s="45" t="str">
        <f>INDEX(Table5[[#All],[Ovr]],MATCH(Table3[[#This Row],[PID]],Table5[[#All],[PID]],0))</f>
        <v/>
      </c>
      <c r="BI353" s="45" t="str">
        <f>INDEX(Table5[[#All],[Rnd]],MATCH(Table3[[#This Row],[PID]],Table5[[#All],[PID]],0))</f>
        <v/>
      </c>
      <c r="BJ353" s="45" t="str">
        <f>INDEX(Table5[[#All],[Pick]],MATCH(Table3[[#This Row],[PID]],Table5[[#All],[PID]],0))</f>
        <v/>
      </c>
      <c r="BK353" s="45" t="str">
        <f>INDEX(Table5[[#All],[Team]],MATCH(Table3[[#This Row],[PID]],Table5[[#All],[PID]],0))</f>
        <v/>
      </c>
      <c r="BL353" s="45" t="str">
        <f>IF(OR(Table3[[#This Row],[POS]]="SP",Table3[[#This Row],[POS]]="RP",Table3[[#This Row],[POS]]="CL"),"P",INDEX(Batters[[#All],[zScore]],MATCH(Table3[[#This Row],[PID]],Batters[[#All],[PID]],0)))</f>
        <v>P</v>
      </c>
    </row>
    <row r="354" spans="1:64" ht="15" customHeight="1" x14ac:dyDescent="0.3">
      <c r="A354" s="40">
        <v>15866</v>
      </c>
      <c r="B354" s="40" t="s">
        <v>24</v>
      </c>
      <c r="C354" s="40" t="s">
        <v>126</v>
      </c>
      <c r="D354" s="40" t="s">
        <v>1089</v>
      </c>
      <c r="E354" s="40">
        <v>21</v>
      </c>
      <c r="F354" s="40" t="s">
        <v>42</v>
      </c>
      <c r="G354" s="40" t="s">
        <v>53</v>
      </c>
      <c r="H354" s="41" t="s">
        <v>561</v>
      </c>
      <c r="I354" s="42" t="s">
        <v>43</v>
      </c>
      <c r="J354" s="40" t="s">
        <v>44</v>
      </c>
      <c r="K354" s="41" t="s">
        <v>43</v>
      </c>
      <c r="L354" s="40">
        <v>2</v>
      </c>
      <c r="M354" s="40">
        <v>1</v>
      </c>
      <c r="N354" s="41">
        <v>2</v>
      </c>
      <c r="O354" s="40">
        <v>4</v>
      </c>
      <c r="P354" s="40">
        <v>1</v>
      </c>
      <c r="Q354" s="41">
        <v>3</v>
      </c>
      <c r="R354" s="40">
        <v>4</v>
      </c>
      <c r="S354" s="40">
        <v>5</v>
      </c>
      <c r="T354" s="40" t="s">
        <v>45</v>
      </c>
      <c r="U354" s="40" t="s">
        <v>45</v>
      </c>
      <c r="V354" s="40">
        <v>2</v>
      </c>
      <c r="W354" s="40">
        <v>6</v>
      </c>
      <c r="X354" s="40">
        <v>3</v>
      </c>
      <c r="Y354" s="40">
        <v>6</v>
      </c>
      <c r="Z354" s="40" t="s">
        <v>45</v>
      </c>
      <c r="AA354" s="40" t="s">
        <v>45</v>
      </c>
      <c r="AB354" s="40" t="s">
        <v>45</v>
      </c>
      <c r="AC354" s="40" t="s">
        <v>45</v>
      </c>
      <c r="AD354" s="40" t="s">
        <v>45</v>
      </c>
      <c r="AE354" s="40" t="s">
        <v>45</v>
      </c>
      <c r="AF354" s="40" t="s">
        <v>45</v>
      </c>
      <c r="AG354" s="40" t="s">
        <v>45</v>
      </c>
      <c r="AH354" s="40" t="s">
        <v>45</v>
      </c>
      <c r="AI354" s="40" t="s">
        <v>45</v>
      </c>
      <c r="AJ354" s="40" t="s">
        <v>45</v>
      </c>
      <c r="AK354" s="40" t="s">
        <v>45</v>
      </c>
      <c r="AL354" s="40" t="s">
        <v>45</v>
      </c>
      <c r="AM354" s="40" t="s">
        <v>45</v>
      </c>
      <c r="AN354" s="40" t="s">
        <v>45</v>
      </c>
      <c r="AO354" s="41" t="s">
        <v>45</v>
      </c>
      <c r="AP354" s="40" t="s">
        <v>57</v>
      </c>
      <c r="AQ354" s="40">
        <v>8</v>
      </c>
      <c r="AR354" s="48" t="s">
        <v>14</v>
      </c>
      <c r="AS354" s="43" t="s">
        <v>557</v>
      </c>
      <c r="AT354" s="43" t="s">
        <v>103</v>
      </c>
      <c r="AU354" s="44">
        <f t="shared" si="47"/>
        <v>-2.2644723474043147</v>
      </c>
      <c r="AV354" s="44">
        <f t="shared" si="48"/>
        <v>-1.1872743815947853</v>
      </c>
      <c r="AW354" s="45">
        <f t="shared" si="49"/>
        <v>3</v>
      </c>
      <c r="AX354" s="45">
        <f t="shared" si="50"/>
        <v>2</v>
      </c>
      <c r="AY354" s="46">
        <f>VLOOKUP(AP354,COND!$A$10:$B$32,2,FALSE)</f>
        <v>1</v>
      </c>
      <c r="AZ354" s="44">
        <f>($AU$3*AU354+$AV$3*AV354+$AW$3*AW354+$AX$3*AX354)*AY354*IF(AQ354&lt;5,0.95,IF(AQ354&lt;7,0.975,1))+$I$3*VLOOKUP(I354,COND!$A$2:$E$7,4,FALSE)+$J$3*VLOOKUP(J354,COND!$A$2:$E$7,2,FALSE)+$K$3*VLOOKUP(K354,COND!$A$2:$E$7,3,FALSE)+IF(BB354="SP",$BB$3,0)+IF($AW354&lt;3,-5,0)+IF(AND($B$2&gt;0,$E354&lt;20),$B$2*25,0)</f>
        <v>26.501617898623429</v>
      </c>
      <c r="BA354" s="47">
        <f t="shared" si="55"/>
        <v>-0.80470816429535308</v>
      </c>
      <c r="BB354" s="45" t="str">
        <f t="shared" si="52"/>
        <v>SP</v>
      </c>
      <c r="BC354" s="45">
        <v>930</v>
      </c>
      <c r="BD354" s="45">
        <v>349</v>
      </c>
      <c r="BE354" s="45"/>
      <c r="BF354" s="45" t="str">
        <f t="shared" si="53"/>
        <v>Unlikely</v>
      </c>
      <c r="BG354" s="45"/>
      <c r="BH354" s="45">
        <f>INDEX(Table5[[#All],[Ovr]],MATCH(Table3[[#This Row],[PID]],Table5[[#All],[PID]],0))</f>
        <v>560</v>
      </c>
      <c r="BI354" s="45" t="str">
        <f>INDEX(Table5[[#All],[Rnd]],MATCH(Table3[[#This Row],[PID]],Table5[[#All],[PID]],0))</f>
        <v>17</v>
      </c>
      <c r="BJ354" s="45">
        <f>INDEX(Table5[[#All],[Pick]],MATCH(Table3[[#This Row],[PID]],Table5[[#All],[PID]],0))</f>
        <v>25</v>
      </c>
      <c r="BK354" s="45" t="str">
        <f>INDEX(Table5[[#All],[Team]],MATCH(Table3[[#This Row],[PID]],Table5[[#All],[PID]],0))</f>
        <v>Kalamazoo Badgers</v>
      </c>
      <c r="BL354" s="45" t="str">
        <f>IF(OR(Table3[[#This Row],[POS]]="SP",Table3[[#This Row],[POS]]="RP",Table3[[#This Row],[POS]]="CL"),"P",INDEX(Batters[[#All],[zScore]],MATCH(Table3[[#This Row],[PID]],Batters[[#All],[PID]],0)))</f>
        <v>P</v>
      </c>
    </row>
    <row r="355" spans="1:64" ht="15" customHeight="1" x14ac:dyDescent="0.3">
      <c r="A355" s="40">
        <v>5557</v>
      </c>
      <c r="B355" s="40" t="s">
        <v>380</v>
      </c>
      <c r="C355" s="40" t="s">
        <v>515</v>
      </c>
      <c r="D355" s="40" t="s">
        <v>365</v>
      </c>
      <c r="E355" s="40">
        <v>21</v>
      </c>
      <c r="F355" s="40" t="s">
        <v>42</v>
      </c>
      <c r="G355" s="40" t="s">
        <v>42</v>
      </c>
      <c r="H355" s="41" t="s">
        <v>561</v>
      </c>
      <c r="I355" s="42" t="s">
        <v>44</v>
      </c>
      <c r="J355" s="40" t="s">
        <v>44</v>
      </c>
      <c r="K355" s="41" t="s">
        <v>47</v>
      </c>
      <c r="L355" s="40">
        <v>1</v>
      </c>
      <c r="M355" s="40">
        <v>2</v>
      </c>
      <c r="N355" s="41">
        <v>2</v>
      </c>
      <c r="O355" s="40">
        <v>3</v>
      </c>
      <c r="P355" s="40">
        <v>2</v>
      </c>
      <c r="Q355" s="41">
        <v>3</v>
      </c>
      <c r="R355" s="40">
        <v>2</v>
      </c>
      <c r="S355" s="40">
        <v>3</v>
      </c>
      <c r="T355" s="40">
        <v>2</v>
      </c>
      <c r="U355" s="40">
        <v>4</v>
      </c>
      <c r="V355" s="40" t="s">
        <v>45</v>
      </c>
      <c r="W355" s="40" t="s">
        <v>45</v>
      </c>
      <c r="X355" s="40">
        <v>2</v>
      </c>
      <c r="Y355" s="40">
        <v>4</v>
      </c>
      <c r="Z355" s="40" t="s">
        <v>45</v>
      </c>
      <c r="AA355" s="40" t="s">
        <v>45</v>
      </c>
      <c r="AB355" s="40" t="s">
        <v>45</v>
      </c>
      <c r="AC355" s="40" t="s">
        <v>45</v>
      </c>
      <c r="AD355" s="40" t="s">
        <v>45</v>
      </c>
      <c r="AE355" s="40" t="s">
        <v>45</v>
      </c>
      <c r="AF355" s="40">
        <v>2</v>
      </c>
      <c r="AG355" s="40">
        <v>2</v>
      </c>
      <c r="AH355" s="40" t="s">
        <v>45</v>
      </c>
      <c r="AI355" s="40" t="s">
        <v>45</v>
      </c>
      <c r="AJ355" s="40" t="s">
        <v>45</v>
      </c>
      <c r="AK355" s="40" t="s">
        <v>45</v>
      </c>
      <c r="AL355" s="40" t="s">
        <v>45</v>
      </c>
      <c r="AM355" s="40" t="s">
        <v>45</v>
      </c>
      <c r="AN355" s="40" t="s">
        <v>45</v>
      </c>
      <c r="AO355" s="41" t="s">
        <v>45</v>
      </c>
      <c r="AP355" s="40" t="s">
        <v>65</v>
      </c>
      <c r="AQ355" s="40">
        <v>7</v>
      </c>
      <c r="AR355" s="48" t="s">
        <v>326</v>
      </c>
      <c r="AS355" s="43" t="s">
        <v>45</v>
      </c>
      <c r="AT355" s="43" t="s">
        <v>103</v>
      </c>
      <c r="AU355" s="44">
        <f t="shared" si="47"/>
        <v>-2.2637319554834323</v>
      </c>
      <c r="AV355" s="44">
        <f t="shared" si="48"/>
        <v>-1.1865339896739031</v>
      </c>
      <c r="AW355" s="45">
        <f t="shared" si="49"/>
        <v>4</v>
      </c>
      <c r="AX355" s="45">
        <f t="shared" si="50"/>
        <v>0</v>
      </c>
      <c r="AY355" s="46">
        <f>VLOOKUP(AP355,COND!$A$10:$B$32,2,FALSE)</f>
        <v>0.95</v>
      </c>
      <c r="AZ355" s="44">
        <f>($AU$3*AU355+$AV$3*AV355+$AW$3*AW355+$AX$3*AX355)*AY355*IF(AQ355&lt;5,0.95,IF(AQ355&lt;7,0.975,1))+$I$3*VLOOKUP(I355,COND!$A$2:$E$7,4,FALSE)+$J$3*VLOOKUP(J355,COND!$A$2:$E$7,2,FALSE)+$K$3*VLOOKUP(K355,COND!$A$2:$E$7,3,FALSE)+IF(BB355="SP",$BB$3,0)+IF($AW355&lt;3,-5,0)+IF(AND($B$2&gt;0,$E355&lt;20),$B$2*25,0)</f>
        <v>25.775745124653994</v>
      </c>
      <c r="BA355" s="47">
        <f t="shared" si="55"/>
        <v>-0.85639541077299253</v>
      </c>
      <c r="BB355" s="45" t="str">
        <f t="shared" si="52"/>
        <v>SP</v>
      </c>
      <c r="BC355" s="45">
        <v>930</v>
      </c>
      <c r="BD355" s="45">
        <v>350</v>
      </c>
      <c r="BE355" s="45"/>
      <c r="BF355" s="45" t="str">
        <f t="shared" si="53"/>
        <v>Unlikely</v>
      </c>
      <c r="BG355" s="45"/>
      <c r="BH355" s="45" t="str">
        <f>INDEX(Table5[[#All],[Ovr]],MATCH(Table3[[#This Row],[PID]],Table5[[#All],[PID]],0))</f>
        <v/>
      </c>
      <c r="BI355" s="45" t="str">
        <f>INDEX(Table5[[#All],[Rnd]],MATCH(Table3[[#This Row],[PID]],Table5[[#All],[PID]],0))</f>
        <v/>
      </c>
      <c r="BJ355" s="45" t="str">
        <f>INDEX(Table5[[#All],[Pick]],MATCH(Table3[[#This Row],[PID]],Table5[[#All],[PID]],0))</f>
        <v/>
      </c>
      <c r="BK355" s="45" t="str">
        <f>INDEX(Table5[[#All],[Team]],MATCH(Table3[[#This Row],[PID]],Table5[[#All],[PID]],0))</f>
        <v/>
      </c>
      <c r="BL355" s="45" t="str">
        <f>IF(OR(Table3[[#This Row],[POS]]="SP",Table3[[#This Row],[POS]]="RP",Table3[[#This Row],[POS]]="CL"),"P",INDEX(Batters[[#All],[zScore]],MATCH(Table3[[#This Row],[PID]],Batters[[#All],[PID]],0)))</f>
        <v>P</v>
      </c>
    </row>
    <row r="356" spans="1:64" ht="15" customHeight="1" x14ac:dyDescent="0.3">
      <c r="A356" s="40">
        <v>20214</v>
      </c>
      <c r="B356" s="40" t="s">
        <v>24</v>
      </c>
      <c r="C356" s="40" t="s">
        <v>178</v>
      </c>
      <c r="D356" s="40" t="s">
        <v>703</v>
      </c>
      <c r="E356" s="40">
        <v>23</v>
      </c>
      <c r="F356" s="40" t="s">
        <v>53</v>
      </c>
      <c r="G356" s="40" t="s">
        <v>53</v>
      </c>
      <c r="H356" s="41" t="s">
        <v>561</v>
      </c>
      <c r="I356" s="42" t="s">
        <v>43</v>
      </c>
      <c r="J356" s="40" t="s">
        <v>44</v>
      </c>
      <c r="K356" s="41" t="s">
        <v>43</v>
      </c>
      <c r="L356" s="40">
        <v>3</v>
      </c>
      <c r="M356" s="40">
        <v>1</v>
      </c>
      <c r="N356" s="41">
        <v>3</v>
      </c>
      <c r="O356" s="40">
        <v>4</v>
      </c>
      <c r="P356" s="40">
        <v>1</v>
      </c>
      <c r="Q356" s="41">
        <v>3</v>
      </c>
      <c r="R356" s="40">
        <v>4</v>
      </c>
      <c r="S356" s="40">
        <v>5</v>
      </c>
      <c r="T356" s="40">
        <v>5</v>
      </c>
      <c r="U356" s="40">
        <v>6</v>
      </c>
      <c r="V356" s="40">
        <v>3</v>
      </c>
      <c r="W356" s="40">
        <v>5</v>
      </c>
      <c r="X356" s="40" t="s">
        <v>45</v>
      </c>
      <c r="Y356" s="40" t="s">
        <v>45</v>
      </c>
      <c r="Z356" s="40" t="s">
        <v>45</v>
      </c>
      <c r="AA356" s="40" t="s">
        <v>45</v>
      </c>
      <c r="AB356" s="40">
        <v>3</v>
      </c>
      <c r="AC356" s="40">
        <v>4</v>
      </c>
      <c r="AD356" s="40" t="s">
        <v>45</v>
      </c>
      <c r="AE356" s="40" t="s">
        <v>45</v>
      </c>
      <c r="AF356" s="40">
        <v>4</v>
      </c>
      <c r="AG356" s="40">
        <v>5</v>
      </c>
      <c r="AH356" s="40" t="s">
        <v>45</v>
      </c>
      <c r="AI356" s="40" t="s">
        <v>45</v>
      </c>
      <c r="AJ356" s="40" t="s">
        <v>45</v>
      </c>
      <c r="AK356" s="40" t="s">
        <v>45</v>
      </c>
      <c r="AL356" s="40" t="s">
        <v>45</v>
      </c>
      <c r="AM356" s="40" t="s">
        <v>45</v>
      </c>
      <c r="AN356" s="40" t="s">
        <v>45</v>
      </c>
      <c r="AO356" s="41" t="s">
        <v>45</v>
      </c>
      <c r="AP356" s="40" t="s">
        <v>329</v>
      </c>
      <c r="AQ356" s="40">
        <v>9</v>
      </c>
      <c r="AR356" s="48" t="s">
        <v>330</v>
      </c>
      <c r="AS356" s="43" t="s">
        <v>818</v>
      </c>
      <c r="AT356" s="43" t="s">
        <v>104</v>
      </c>
      <c r="AU356" s="44">
        <f t="shared" si="47"/>
        <v>-1.8274604568410304</v>
      </c>
      <c r="AV356" s="44">
        <f t="shared" si="48"/>
        <v>-1.1872743815947853</v>
      </c>
      <c r="AW356" s="45">
        <f t="shared" si="49"/>
        <v>5</v>
      </c>
      <c r="AX356" s="45">
        <f t="shared" si="50"/>
        <v>1</v>
      </c>
      <c r="AY356" s="46">
        <f>VLOOKUP(AP356,COND!$A$10:$B$32,2,FALSE)</f>
        <v>1</v>
      </c>
      <c r="AZ356" s="44">
        <f>($AU$3*AU356+$AV$3*AV356+$AW$3*AW356+$AX$3*AX356)*AY356*IF(AQ356&lt;5,0.95,IF(AQ356&lt;7,0.975,1))+$I$3*VLOOKUP(I356,COND!$A$2:$E$7,4,FALSE)+$J$3*VLOOKUP(J356,COND!$A$2:$E$7,2,FALSE)+$K$3*VLOOKUP(K356,COND!$A$2:$E$7,3,FALSE)+IF(BB356="SP",$BB$3,0)+IF($AW356&lt;3,-5,0)+IF(AND($B$2&gt;0,$E356&lt;20),$B$2*25,0)</f>
        <v>26.339020276736086</v>
      </c>
      <c r="BA356" s="47">
        <f t="shared" si="55"/>
        <v>-0.81628625850215275</v>
      </c>
      <c r="BB356" s="45" t="str">
        <f t="shared" si="52"/>
        <v>SP</v>
      </c>
      <c r="BC356" s="45">
        <v>930</v>
      </c>
      <c r="BD356" s="45">
        <v>351</v>
      </c>
      <c r="BE356" s="45"/>
      <c r="BF356" s="45" t="str">
        <f t="shared" si="53"/>
        <v>Unlikely</v>
      </c>
      <c r="BG356" s="45"/>
      <c r="BH356" s="45">
        <f>INDEX(Table5[[#All],[Ovr]],MATCH(Table3[[#This Row],[PID]],Table5[[#All],[PID]],0))</f>
        <v>436</v>
      </c>
      <c r="BI356" s="45" t="str">
        <f>INDEX(Table5[[#All],[Rnd]],MATCH(Table3[[#This Row],[PID]],Table5[[#All],[PID]],0))</f>
        <v>14</v>
      </c>
      <c r="BJ356" s="45">
        <f>INDEX(Table5[[#All],[Pick]],MATCH(Table3[[#This Row],[PID]],Table5[[#All],[PID]],0))</f>
        <v>3</v>
      </c>
      <c r="BK356" s="45" t="str">
        <f>INDEX(Table5[[#All],[Team]],MATCH(Table3[[#This Row],[PID]],Table5[[#All],[PID]],0))</f>
        <v>Okinawa Shisa</v>
      </c>
      <c r="BL356" s="45" t="str">
        <f>IF(OR(Table3[[#This Row],[POS]]="SP",Table3[[#This Row],[POS]]="RP",Table3[[#This Row],[POS]]="CL"),"P",INDEX(Batters[[#All],[zScore]],MATCH(Table3[[#This Row],[PID]],Batters[[#All],[PID]],0)))</f>
        <v>P</v>
      </c>
    </row>
    <row r="357" spans="1:64" ht="15" customHeight="1" x14ac:dyDescent="0.3">
      <c r="A357" s="40">
        <v>11140</v>
      </c>
      <c r="B357" s="40" t="s">
        <v>380</v>
      </c>
      <c r="C357" s="40" t="s">
        <v>1468</v>
      </c>
      <c r="D357" s="40" t="s">
        <v>567</v>
      </c>
      <c r="E357" s="40">
        <v>21</v>
      </c>
      <c r="F357" s="40" t="s">
        <v>53</v>
      </c>
      <c r="G357" s="40" t="s">
        <v>42</v>
      </c>
      <c r="H357" s="41" t="s">
        <v>561</v>
      </c>
      <c r="I357" s="42" t="s">
        <v>43</v>
      </c>
      <c r="J357" s="40" t="s">
        <v>44</v>
      </c>
      <c r="K357" s="41" t="s">
        <v>47</v>
      </c>
      <c r="L357" s="40">
        <v>2</v>
      </c>
      <c r="M357" s="40">
        <v>2</v>
      </c>
      <c r="N357" s="41">
        <v>2</v>
      </c>
      <c r="O357" s="40">
        <v>3</v>
      </c>
      <c r="P357" s="40">
        <v>2</v>
      </c>
      <c r="Q357" s="41">
        <v>3</v>
      </c>
      <c r="R357" s="40">
        <v>3</v>
      </c>
      <c r="S357" s="40">
        <v>4</v>
      </c>
      <c r="T357" s="40" t="s">
        <v>45</v>
      </c>
      <c r="U357" s="40" t="s">
        <v>45</v>
      </c>
      <c r="V357" s="40">
        <v>3</v>
      </c>
      <c r="W357" s="40">
        <v>4</v>
      </c>
      <c r="X357" s="40">
        <v>2</v>
      </c>
      <c r="Y357" s="40">
        <v>4</v>
      </c>
      <c r="Z357" s="40" t="s">
        <v>45</v>
      </c>
      <c r="AA357" s="40" t="s">
        <v>45</v>
      </c>
      <c r="AB357" s="40" t="s">
        <v>45</v>
      </c>
      <c r="AC357" s="40" t="s">
        <v>45</v>
      </c>
      <c r="AD357" s="40" t="s">
        <v>45</v>
      </c>
      <c r="AE357" s="40" t="s">
        <v>45</v>
      </c>
      <c r="AF357" s="40" t="s">
        <v>45</v>
      </c>
      <c r="AG357" s="40" t="s">
        <v>45</v>
      </c>
      <c r="AH357" s="40" t="s">
        <v>45</v>
      </c>
      <c r="AI357" s="40" t="s">
        <v>45</v>
      </c>
      <c r="AJ357" s="40" t="s">
        <v>45</v>
      </c>
      <c r="AK357" s="40" t="s">
        <v>45</v>
      </c>
      <c r="AL357" s="40" t="s">
        <v>45</v>
      </c>
      <c r="AM357" s="40" t="s">
        <v>45</v>
      </c>
      <c r="AN357" s="40" t="s">
        <v>45</v>
      </c>
      <c r="AO357" s="41" t="s">
        <v>45</v>
      </c>
      <c r="AP357" s="40" t="s">
        <v>65</v>
      </c>
      <c r="AQ357" s="40">
        <v>7</v>
      </c>
      <c r="AR357" s="48" t="s">
        <v>326</v>
      </c>
      <c r="AS357" s="43" t="s">
        <v>557</v>
      </c>
      <c r="AT357" s="43" t="s">
        <v>103</v>
      </c>
      <c r="AU357" s="44">
        <f t="shared" si="47"/>
        <v>-2.0690406309742588</v>
      </c>
      <c r="AV357" s="44">
        <f t="shared" si="48"/>
        <v>-1.1865339896739031</v>
      </c>
      <c r="AW357" s="45">
        <f t="shared" si="49"/>
        <v>3</v>
      </c>
      <c r="AX357" s="45">
        <f t="shared" si="50"/>
        <v>0</v>
      </c>
      <c r="AY357" s="46">
        <f>VLOOKUP(AP357,COND!$A$10:$B$32,2,FALSE)</f>
        <v>0.95</v>
      </c>
      <c r="AZ357" s="44">
        <f>($AU$3*AU357+$AV$3*AV357+$AW$3*AW357+$AX$3*AX357)*AY357*IF(AQ357&lt;5,0.95,IF(AQ357&lt;7,0.975,1))+$I$3*VLOOKUP(I357,COND!$A$2:$E$7,4,FALSE)+$J$3*VLOOKUP(J357,COND!$A$2:$E$7,2,FALSE)+$K$3*VLOOKUP(K357,COND!$A$2:$E$7,3,FALSE)+IF(BB357="SP",$BB$3,0)+IF($AW357&lt;3,-5,0)+IF(AND($B$2&gt;0,$E357&lt;20),$B$2*25,0)</f>
        <v>25.487736476310733</v>
      </c>
      <c r="BA357" s="47">
        <f>STANDARDIZE(AZ357,AVERAGE($AZ$5:$AZ$445),STDEVP($AZ$5:$AZ$445))</f>
        <v>-0.8698932934985224</v>
      </c>
      <c r="BB357" s="45" t="str">
        <f t="shared" si="52"/>
        <v>SP</v>
      </c>
      <c r="BC357" s="45">
        <v>930</v>
      </c>
      <c r="BD357" s="45">
        <v>352</v>
      </c>
      <c r="BE357" s="45"/>
      <c r="BF357" s="45" t="str">
        <f t="shared" si="53"/>
        <v>Unlikely</v>
      </c>
      <c r="BG357" s="45"/>
      <c r="BH357" s="63" t="str">
        <f>INDEX(Table5[[#All],[Ovr]],MATCH(Table3[[#This Row],[PID]],Table5[[#All],[PID]],0))</f>
        <v/>
      </c>
      <c r="BI357" s="63" t="str">
        <f>INDEX(Table5[[#All],[Rnd]],MATCH(Table3[[#This Row],[PID]],Table5[[#All],[PID]],0))</f>
        <v/>
      </c>
      <c r="BJ357" s="63" t="str">
        <f>INDEX(Table5[[#All],[Pick]],MATCH(Table3[[#This Row],[PID]],Table5[[#All],[PID]],0))</f>
        <v/>
      </c>
      <c r="BK357" s="63" t="str">
        <f>INDEX(Table5[[#All],[Team]],MATCH(Table3[[#This Row],[PID]],Table5[[#All],[PID]],0))</f>
        <v/>
      </c>
      <c r="BL357" s="63" t="str">
        <f>IF(OR(Table3[[#This Row],[POS]]="SP",Table3[[#This Row],[POS]]="RP",Table3[[#This Row],[POS]]="CL"),"P",INDEX(Batters[[#All],[zScore]],MATCH(Table3[[#This Row],[PID]],Batters[[#All],[PID]],0)))</f>
        <v>P</v>
      </c>
    </row>
    <row r="358" spans="1:64" ht="15" customHeight="1" x14ac:dyDescent="0.3">
      <c r="A358" s="40">
        <v>9817</v>
      </c>
      <c r="B358" s="40" t="s">
        <v>380</v>
      </c>
      <c r="C358" s="40" t="s">
        <v>180</v>
      </c>
      <c r="D358" s="40" t="s">
        <v>197</v>
      </c>
      <c r="E358" s="40">
        <v>21</v>
      </c>
      <c r="F358" s="40" t="s">
        <v>42</v>
      </c>
      <c r="G358" s="40" t="s">
        <v>42</v>
      </c>
      <c r="H358" s="41" t="s">
        <v>561</v>
      </c>
      <c r="I358" s="42" t="s">
        <v>43</v>
      </c>
      <c r="J358" s="40" t="s">
        <v>44</v>
      </c>
      <c r="K358" s="41" t="s">
        <v>43</v>
      </c>
      <c r="L358" s="40">
        <v>2</v>
      </c>
      <c r="M358" s="40">
        <v>1</v>
      </c>
      <c r="N358" s="41">
        <v>2</v>
      </c>
      <c r="O358" s="40">
        <v>4</v>
      </c>
      <c r="P358" s="40">
        <v>1</v>
      </c>
      <c r="Q358" s="41">
        <v>3</v>
      </c>
      <c r="R358" s="40">
        <v>3</v>
      </c>
      <c r="S358" s="40">
        <v>5</v>
      </c>
      <c r="T358" s="40" t="s">
        <v>45</v>
      </c>
      <c r="U358" s="40" t="s">
        <v>45</v>
      </c>
      <c r="V358" s="40">
        <v>2</v>
      </c>
      <c r="W358" s="40">
        <v>6</v>
      </c>
      <c r="X358" s="40">
        <v>2</v>
      </c>
      <c r="Y358" s="40">
        <v>5</v>
      </c>
      <c r="Z358" s="40" t="s">
        <v>45</v>
      </c>
      <c r="AA358" s="40" t="s">
        <v>45</v>
      </c>
      <c r="AB358" s="40" t="s">
        <v>45</v>
      </c>
      <c r="AC358" s="40" t="s">
        <v>45</v>
      </c>
      <c r="AD358" s="40" t="s">
        <v>45</v>
      </c>
      <c r="AE358" s="40" t="s">
        <v>45</v>
      </c>
      <c r="AF358" s="40" t="s">
        <v>45</v>
      </c>
      <c r="AG358" s="40" t="s">
        <v>45</v>
      </c>
      <c r="AH358" s="40" t="s">
        <v>45</v>
      </c>
      <c r="AI358" s="40" t="s">
        <v>45</v>
      </c>
      <c r="AJ358" s="40" t="s">
        <v>45</v>
      </c>
      <c r="AK358" s="40" t="s">
        <v>45</v>
      </c>
      <c r="AL358" s="40" t="s">
        <v>45</v>
      </c>
      <c r="AM358" s="40" t="s">
        <v>45</v>
      </c>
      <c r="AN358" s="40" t="s">
        <v>45</v>
      </c>
      <c r="AO358" s="41" t="s">
        <v>45</v>
      </c>
      <c r="AP358" s="40" t="s">
        <v>328</v>
      </c>
      <c r="AQ358" s="40">
        <v>6</v>
      </c>
      <c r="AR358" s="48" t="s">
        <v>330</v>
      </c>
      <c r="AS358" s="43" t="s">
        <v>45</v>
      </c>
      <c r="AT358" s="43" t="s">
        <v>103</v>
      </c>
      <c r="AU358" s="44">
        <f t="shared" si="47"/>
        <v>-2.2644723474043147</v>
      </c>
      <c r="AV358" s="44">
        <f t="shared" si="48"/>
        <v>-1.1872743815947853</v>
      </c>
      <c r="AW358" s="45">
        <f t="shared" si="49"/>
        <v>3</v>
      </c>
      <c r="AX358" s="45">
        <f t="shared" si="50"/>
        <v>1</v>
      </c>
      <c r="AY358" s="46">
        <f>VLOOKUP(AP358,COND!$A$10:$B$32,2,FALSE)</f>
        <v>1</v>
      </c>
      <c r="AZ358" s="44">
        <f>($AU$3*AU358+$AV$3*AV358+$AW$3*AW358+$AX$3*AX358)*AY358*IF(AQ358&lt;5,0.95,IF(AQ358&lt;7,0.975,1))+$I$3*VLOOKUP(I358,COND!$A$2:$E$7,4,FALSE)+$J$3*VLOOKUP(J358,COND!$A$2:$E$7,2,FALSE)+$K$3*VLOOKUP(K358,COND!$A$2:$E$7,3,FALSE)+IF(BB358="SP",$BB$3,0)+IF($AW358&lt;3,-5,0)+IF(AND($B$2&gt;0,$E358&lt;20),$B$2*25,0)</f>
        <v>25.787827451157845</v>
      </c>
      <c r="BA358" s="47">
        <f>STANDARDIZE(AZ358,AVERAGE($AZ$5:$AZ$445),STDEVP($AZ$5:$AZ$445))</f>
        <v>-0.84854373093810243</v>
      </c>
      <c r="BB358" s="45" t="str">
        <f t="shared" si="52"/>
        <v>SP</v>
      </c>
      <c r="BC358" s="45">
        <v>930</v>
      </c>
      <c r="BD358" s="45">
        <v>353</v>
      </c>
      <c r="BE358" s="45"/>
      <c r="BF358" s="45" t="str">
        <f t="shared" si="53"/>
        <v>Unlikely</v>
      </c>
      <c r="BG358" s="45"/>
      <c r="BH358" s="63">
        <f>INDEX(Table5[[#All],[Ovr]],MATCH(Table3[[#This Row],[PID]],Table5[[#All],[PID]],0))</f>
        <v>492</v>
      </c>
      <c r="BI358" s="63" t="str">
        <f>INDEX(Table5[[#All],[Rnd]],MATCH(Table3[[#This Row],[PID]],Table5[[#All],[PID]],0))</f>
        <v>15</v>
      </c>
      <c r="BJ358" s="63">
        <f>INDEX(Table5[[#All],[Pick]],MATCH(Table3[[#This Row],[PID]],Table5[[#All],[PID]],0))</f>
        <v>25</v>
      </c>
      <c r="BK358" s="63" t="str">
        <f>INDEX(Table5[[#All],[Team]],MATCH(Table3[[#This Row],[PID]],Table5[[#All],[PID]],0))</f>
        <v>Kalamazoo Badgers</v>
      </c>
      <c r="BL358" s="63" t="str">
        <f>IF(OR(Table3[[#This Row],[POS]]="SP",Table3[[#This Row],[POS]]="RP",Table3[[#This Row],[POS]]="CL"),"P",INDEX(Batters[[#All],[zScore]],MATCH(Table3[[#This Row],[PID]],Batters[[#All],[PID]],0)))</f>
        <v>P</v>
      </c>
    </row>
    <row r="359" spans="1:64" ht="15" customHeight="1" x14ac:dyDescent="0.3">
      <c r="A359" s="40">
        <v>8003</v>
      </c>
      <c r="B359" s="40" t="s">
        <v>380</v>
      </c>
      <c r="C359" s="40" t="s">
        <v>132</v>
      </c>
      <c r="D359" s="40" t="s">
        <v>1129</v>
      </c>
      <c r="E359" s="40">
        <v>21</v>
      </c>
      <c r="F359" s="40" t="s">
        <v>42</v>
      </c>
      <c r="G359" s="40" t="s">
        <v>42</v>
      </c>
      <c r="H359" s="41" t="s">
        <v>561</v>
      </c>
      <c r="I359" s="42" t="s">
        <v>43</v>
      </c>
      <c r="J359" s="40" t="s">
        <v>44</v>
      </c>
      <c r="K359" s="41" t="s">
        <v>43</v>
      </c>
      <c r="L359" s="40">
        <v>2</v>
      </c>
      <c r="M359" s="40">
        <v>2</v>
      </c>
      <c r="N359" s="41">
        <v>1</v>
      </c>
      <c r="O359" s="40">
        <v>5</v>
      </c>
      <c r="P359" s="40">
        <v>2</v>
      </c>
      <c r="Q359" s="41">
        <v>3</v>
      </c>
      <c r="R359" s="40">
        <v>5</v>
      </c>
      <c r="S359" s="40">
        <v>7</v>
      </c>
      <c r="T359" s="40">
        <v>1</v>
      </c>
      <c r="U359" s="40">
        <v>5</v>
      </c>
      <c r="V359" s="40" t="s">
        <v>45</v>
      </c>
      <c r="W359" s="40" t="s">
        <v>45</v>
      </c>
      <c r="X359" s="40" t="s">
        <v>45</v>
      </c>
      <c r="Y359" s="40" t="s">
        <v>45</v>
      </c>
      <c r="Z359" s="40" t="s">
        <v>45</v>
      </c>
      <c r="AA359" s="40" t="s">
        <v>45</v>
      </c>
      <c r="AB359" s="40" t="s">
        <v>45</v>
      </c>
      <c r="AC359" s="40" t="s">
        <v>45</v>
      </c>
      <c r="AD359" s="40" t="s">
        <v>45</v>
      </c>
      <c r="AE359" s="40" t="s">
        <v>45</v>
      </c>
      <c r="AF359" s="40" t="s">
        <v>45</v>
      </c>
      <c r="AG359" s="40" t="s">
        <v>45</v>
      </c>
      <c r="AH359" s="40" t="s">
        <v>45</v>
      </c>
      <c r="AI359" s="40" t="s">
        <v>45</v>
      </c>
      <c r="AJ359" s="40" t="s">
        <v>45</v>
      </c>
      <c r="AK359" s="40" t="s">
        <v>45</v>
      </c>
      <c r="AL359" s="40" t="s">
        <v>45</v>
      </c>
      <c r="AM359" s="40" t="s">
        <v>45</v>
      </c>
      <c r="AN359" s="40" t="s">
        <v>45</v>
      </c>
      <c r="AO359" s="41" t="s">
        <v>45</v>
      </c>
      <c r="AP359" s="40" t="s">
        <v>56</v>
      </c>
      <c r="AQ359" s="40">
        <v>6</v>
      </c>
      <c r="AR359" s="48" t="s">
        <v>326</v>
      </c>
      <c r="AS359" s="43" t="s">
        <v>1612</v>
      </c>
      <c r="AT359" s="43" t="s">
        <v>103</v>
      </c>
      <c r="AU359" s="44">
        <f t="shared" si="47"/>
        <v>-2.311361197028369</v>
      </c>
      <c r="AV359" s="44">
        <f t="shared" si="48"/>
        <v>-0.79715134065555615</v>
      </c>
      <c r="AW359" s="45">
        <f t="shared" si="49"/>
        <v>2</v>
      </c>
      <c r="AX359" s="45">
        <f t="shared" si="50"/>
        <v>1</v>
      </c>
      <c r="AY359" s="46">
        <f>VLOOKUP(AP359,COND!$A$10:$B$32,2,FALSE)</f>
        <v>1</v>
      </c>
      <c r="AZ359" s="44">
        <f>($AU$3*AU359+$AV$3*AV359+$AW$3*AW359+$AX$3*AX359)*AY359*IF(AQ359&lt;5,0.95,IF(AQ359&lt;7,0.975,1))+$I$3*VLOOKUP(I359,COND!$A$2:$E$7,4,FALSE)+$J$3*VLOOKUP(J359,COND!$A$2:$E$7,2,FALSE)+$K$3*VLOOKUP(K359,COND!$A$2:$E$7,3,FALSE)+IF(BB359="SP",$BB$3,0)+IF($AW359&lt;3,-5,0)+IF(AND($B$2&gt;0,$E359&lt;20),$B$2*25,0)</f>
        <v>25.898583423796126</v>
      </c>
      <c r="BA359" s="47">
        <f>STANDARDIZE(AZ359,AVERAGE($AZ$5:$AZ$428),STDEVP($AZ$5:$AZ$428))</f>
        <v>-0.84764845996791838</v>
      </c>
      <c r="BB359" s="45" t="str">
        <f t="shared" si="52"/>
        <v>RP</v>
      </c>
      <c r="BC359" s="45">
        <v>930</v>
      </c>
      <c r="BD359" s="45">
        <v>354</v>
      </c>
      <c r="BE359" s="45"/>
      <c r="BF359" s="45" t="str">
        <f t="shared" si="53"/>
        <v>Unlikely</v>
      </c>
      <c r="BG359" s="45"/>
      <c r="BH359" s="45">
        <f>INDEX(Table5[[#All],[Ovr]],MATCH(Table3[[#This Row],[PID]],Table5[[#All],[PID]],0))</f>
        <v>595</v>
      </c>
      <c r="BI359" s="45" t="str">
        <f>INDEX(Table5[[#All],[Rnd]],MATCH(Table3[[#This Row],[PID]],Table5[[#All],[PID]],0))</f>
        <v>18</v>
      </c>
      <c r="BJ359" s="45">
        <f>INDEX(Table5[[#All],[Pick]],MATCH(Table3[[#This Row],[PID]],Table5[[#All],[PID]],0))</f>
        <v>26</v>
      </c>
      <c r="BK359" s="45" t="str">
        <f>INDEX(Table5[[#All],[Team]],MATCH(Table3[[#This Row],[PID]],Table5[[#All],[PID]],0))</f>
        <v>Aurora Borealis</v>
      </c>
      <c r="BL359" s="45" t="str">
        <f>IF(OR(Table3[[#This Row],[POS]]="SP",Table3[[#This Row],[POS]]="RP",Table3[[#This Row],[POS]]="CL"),"P",INDEX(Batters[[#All],[zScore]],MATCH(Table3[[#This Row],[PID]],Batters[[#All],[PID]],0)))</f>
        <v>P</v>
      </c>
    </row>
    <row r="360" spans="1:64" ht="15" customHeight="1" x14ac:dyDescent="0.3">
      <c r="A360" s="40">
        <v>10934</v>
      </c>
      <c r="B360" s="40" t="s">
        <v>380</v>
      </c>
      <c r="C360" s="40" t="s">
        <v>183</v>
      </c>
      <c r="D360" s="40" t="s">
        <v>1482</v>
      </c>
      <c r="E360" s="40">
        <v>21</v>
      </c>
      <c r="F360" s="40" t="s">
        <v>53</v>
      </c>
      <c r="G360" s="40" t="s">
        <v>42</v>
      </c>
      <c r="H360" s="41" t="s">
        <v>561</v>
      </c>
      <c r="I360" s="42" t="s">
        <v>43</v>
      </c>
      <c r="J360" s="40" t="s">
        <v>44</v>
      </c>
      <c r="K360" s="41" t="s">
        <v>43</v>
      </c>
      <c r="L360" s="40">
        <v>2</v>
      </c>
      <c r="M360" s="40">
        <v>1</v>
      </c>
      <c r="N360" s="41">
        <v>2</v>
      </c>
      <c r="O360" s="40">
        <v>4</v>
      </c>
      <c r="P360" s="40">
        <v>1</v>
      </c>
      <c r="Q360" s="41">
        <v>3</v>
      </c>
      <c r="R360" s="40">
        <v>4</v>
      </c>
      <c r="S360" s="40">
        <v>5</v>
      </c>
      <c r="T360" s="40" t="s">
        <v>45</v>
      </c>
      <c r="U360" s="40" t="s">
        <v>45</v>
      </c>
      <c r="V360" s="40">
        <v>2</v>
      </c>
      <c r="W360" s="40">
        <v>5</v>
      </c>
      <c r="X360" s="40">
        <v>2</v>
      </c>
      <c r="Y360" s="40">
        <v>6</v>
      </c>
      <c r="Z360" s="40" t="s">
        <v>45</v>
      </c>
      <c r="AA360" s="40" t="s">
        <v>45</v>
      </c>
      <c r="AB360" s="40" t="s">
        <v>45</v>
      </c>
      <c r="AC360" s="40" t="s">
        <v>45</v>
      </c>
      <c r="AD360" s="40" t="s">
        <v>45</v>
      </c>
      <c r="AE360" s="40" t="s">
        <v>45</v>
      </c>
      <c r="AF360" s="40" t="s">
        <v>45</v>
      </c>
      <c r="AG360" s="40" t="s">
        <v>45</v>
      </c>
      <c r="AH360" s="40" t="s">
        <v>45</v>
      </c>
      <c r="AI360" s="40" t="s">
        <v>45</v>
      </c>
      <c r="AJ360" s="40" t="s">
        <v>45</v>
      </c>
      <c r="AK360" s="40" t="s">
        <v>45</v>
      </c>
      <c r="AL360" s="40" t="s">
        <v>45</v>
      </c>
      <c r="AM360" s="40" t="s">
        <v>45</v>
      </c>
      <c r="AN360" s="40" t="s">
        <v>45</v>
      </c>
      <c r="AO360" s="41" t="s">
        <v>45</v>
      </c>
      <c r="AP360" s="40" t="s">
        <v>56</v>
      </c>
      <c r="AQ360" s="40">
        <v>6</v>
      </c>
      <c r="AR360" s="48" t="s">
        <v>330</v>
      </c>
      <c r="AS360" s="43" t="s">
        <v>45</v>
      </c>
      <c r="AT360" s="43" t="s">
        <v>103</v>
      </c>
      <c r="AU360" s="44">
        <f t="shared" si="47"/>
        <v>-2.2644723474043147</v>
      </c>
      <c r="AV360" s="44">
        <f t="shared" si="48"/>
        <v>-1.1872743815947853</v>
      </c>
      <c r="AW360" s="45">
        <f t="shared" si="49"/>
        <v>3</v>
      </c>
      <c r="AX360" s="45">
        <f t="shared" si="50"/>
        <v>1</v>
      </c>
      <c r="AY360" s="46">
        <f>VLOOKUP(AP360,COND!$A$10:$B$32,2,FALSE)</f>
        <v>1</v>
      </c>
      <c r="AZ360" s="44">
        <f>($AU$3*AU360+$AV$3*AV360+$AW$3*AW360+$AX$3*AX360)*AY360*IF(AQ360&lt;5,0.95,IF(AQ360&lt;7,0.975,1))+$I$3*VLOOKUP(I360,COND!$A$2:$E$7,4,FALSE)+$J$3*VLOOKUP(J360,COND!$A$2:$E$7,2,FALSE)+$K$3*VLOOKUP(K360,COND!$A$2:$E$7,3,FALSE)+IF(BB360="SP",$BB$3,0)+IF($AW360&lt;3,-5,0)+IF(AND($B$2&gt;0,$E360&lt;20),$B$2*25,0)</f>
        <v>25.787827451157845</v>
      </c>
      <c r="BA360" s="47">
        <f>STANDARDIZE(AZ360,AVERAGE($AZ$5:$AZ$428),STDEVP($AZ$5:$AZ$428))</f>
        <v>-0.85553506415245084</v>
      </c>
      <c r="BB360" s="45" t="str">
        <f t="shared" si="52"/>
        <v>SP</v>
      </c>
      <c r="BC360" s="45">
        <v>930</v>
      </c>
      <c r="BD360" s="45">
        <v>355</v>
      </c>
      <c r="BE360" s="45"/>
      <c r="BF360" s="45" t="str">
        <f t="shared" si="53"/>
        <v>Unlikely</v>
      </c>
      <c r="BG360" s="45"/>
      <c r="BH360" s="45" t="str">
        <f>INDEX(Table5[[#All],[Ovr]],MATCH(Table3[[#This Row],[PID]],Table5[[#All],[PID]],0))</f>
        <v/>
      </c>
      <c r="BI360" s="45" t="str">
        <f>INDEX(Table5[[#All],[Rnd]],MATCH(Table3[[#This Row],[PID]],Table5[[#All],[PID]],0))</f>
        <v/>
      </c>
      <c r="BJ360" s="45" t="str">
        <f>INDEX(Table5[[#All],[Pick]],MATCH(Table3[[#This Row],[PID]],Table5[[#All],[PID]],0))</f>
        <v/>
      </c>
      <c r="BK360" s="45" t="str">
        <f>INDEX(Table5[[#All],[Team]],MATCH(Table3[[#This Row],[PID]],Table5[[#All],[PID]],0))</f>
        <v/>
      </c>
      <c r="BL360" s="45" t="str">
        <f>IF(OR(Table3[[#This Row],[POS]]="SP",Table3[[#This Row],[POS]]="RP",Table3[[#This Row],[POS]]="CL"),"P",INDEX(Batters[[#All],[zScore]],MATCH(Table3[[#This Row],[PID]],Batters[[#All],[PID]],0)))</f>
        <v>P</v>
      </c>
    </row>
    <row r="361" spans="1:64" ht="15" customHeight="1" x14ac:dyDescent="0.3">
      <c r="A361" s="40">
        <v>12585</v>
      </c>
      <c r="B361" s="40" t="s">
        <v>380</v>
      </c>
      <c r="C361" s="40" t="s">
        <v>350</v>
      </c>
      <c r="D361" s="40" t="s">
        <v>921</v>
      </c>
      <c r="E361" s="40">
        <v>22</v>
      </c>
      <c r="F361" s="40" t="s">
        <v>42</v>
      </c>
      <c r="G361" s="40" t="s">
        <v>42</v>
      </c>
      <c r="H361" s="41" t="s">
        <v>561</v>
      </c>
      <c r="I361" s="42" t="s">
        <v>43</v>
      </c>
      <c r="J361" s="40" t="s">
        <v>44</v>
      </c>
      <c r="K361" s="41" t="s">
        <v>43</v>
      </c>
      <c r="L361" s="40">
        <v>2</v>
      </c>
      <c r="M361" s="40">
        <v>2</v>
      </c>
      <c r="N361" s="41">
        <v>1</v>
      </c>
      <c r="O361" s="40">
        <v>3</v>
      </c>
      <c r="P361" s="40">
        <v>2</v>
      </c>
      <c r="Q361" s="41">
        <v>3</v>
      </c>
      <c r="R361" s="40">
        <v>3</v>
      </c>
      <c r="S361" s="40">
        <v>4</v>
      </c>
      <c r="T361" s="40">
        <v>1</v>
      </c>
      <c r="U361" s="40">
        <v>1</v>
      </c>
      <c r="V361" s="40">
        <v>2</v>
      </c>
      <c r="W361" s="40">
        <v>5</v>
      </c>
      <c r="X361" s="40" t="s">
        <v>45</v>
      </c>
      <c r="Y361" s="40" t="s">
        <v>45</v>
      </c>
      <c r="Z361" s="40" t="s">
        <v>45</v>
      </c>
      <c r="AA361" s="40" t="s">
        <v>45</v>
      </c>
      <c r="AB361" s="40" t="s">
        <v>45</v>
      </c>
      <c r="AC361" s="40" t="s">
        <v>45</v>
      </c>
      <c r="AD361" s="40" t="s">
        <v>45</v>
      </c>
      <c r="AE361" s="40" t="s">
        <v>45</v>
      </c>
      <c r="AF361" s="40" t="s">
        <v>45</v>
      </c>
      <c r="AG361" s="40" t="s">
        <v>45</v>
      </c>
      <c r="AH361" s="40" t="s">
        <v>45</v>
      </c>
      <c r="AI361" s="40" t="s">
        <v>45</v>
      </c>
      <c r="AJ361" s="40" t="s">
        <v>45</v>
      </c>
      <c r="AK361" s="40" t="s">
        <v>45</v>
      </c>
      <c r="AL361" s="40" t="s">
        <v>45</v>
      </c>
      <c r="AM361" s="40" t="s">
        <v>45</v>
      </c>
      <c r="AN361" s="40" t="s">
        <v>45</v>
      </c>
      <c r="AO361" s="41" t="s">
        <v>45</v>
      </c>
      <c r="AP361" s="40" t="s">
        <v>68</v>
      </c>
      <c r="AQ361" s="40">
        <v>5</v>
      </c>
      <c r="AR361" s="48" t="s">
        <v>326</v>
      </c>
      <c r="AS361" s="43" t="s">
        <v>45</v>
      </c>
      <c r="AT361" s="43" t="s">
        <v>103</v>
      </c>
      <c r="AU361" s="44">
        <f t="shared" si="47"/>
        <v>-2.311361197028369</v>
      </c>
      <c r="AV361" s="44">
        <f t="shared" si="48"/>
        <v>-1.1865339896739031</v>
      </c>
      <c r="AW361" s="45">
        <f t="shared" si="49"/>
        <v>3</v>
      </c>
      <c r="AX361" s="45">
        <f t="shared" si="50"/>
        <v>0</v>
      </c>
      <c r="AY361" s="46">
        <f>VLOOKUP(AP361,COND!$A$10:$B$32,2,FALSE)</f>
        <v>0.95</v>
      </c>
      <c r="AZ361" s="44">
        <f>($AU$3*AU361+$AV$3*AV361+$AW$3*AW361+$AX$3*AX361)*AY361*IF(AQ361&lt;5,0.95,IF(AQ361&lt;7,0.975,1))+$I$3*VLOOKUP(I361,COND!$A$2:$E$7,4,FALSE)+$J$3*VLOOKUP(J361,COND!$A$2:$E$7,2,FALSE)+$K$3*VLOOKUP(K361,COND!$A$2:$E$7,3,FALSE)+IF(BB361="SP",$BB$3,0)+IF($AW361&lt;3,-5,0)+IF(AND($B$2&gt;0,$E361&lt;20),$B$2*25,0)</f>
        <v>25.680653179541441</v>
      </c>
      <c r="BA361" s="47">
        <f>STANDARDIZE(AZ361,AVERAGE($AZ$5:$AZ$428),STDEVP($AZ$5:$AZ$428))</f>
        <v>-0.86316662603457728</v>
      </c>
      <c r="BB361" s="45" t="str">
        <f t="shared" si="52"/>
        <v>SP</v>
      </c>
      <c r="BC361" s="45">
        <v>930</v>
      </c>
      <c r="BD361" s="45">
        <v>356</v>
      </c>
      <c r="BE361" s="45"/>
      <c r="BF361" s="45" t="str">
        <f t="shared" si="53"/>
        <v>Unlikely</v>
      </c>
      <c r="BG361" s="45"/>
      <c r="BH361" s="45" t="str">
        <f>INDEX(Table5[[#All],[Ovr]],MATCH(Table3[[#This Row],[PID]],Table5[[#All],[PID]],0))</f>
        <v/>
      </c>
      <c r="BI361" s="45" t="str">
        <f>INDEX(Table5[[#All],[Rnd]],MATCH(Table3[[#This Row],[PID]],Table5[[#All],[PID]],0))</f>
        <v/>
      </c>
      <c r="BJ361" s="45" t="str">
        <f>INDEX(Table5[[#All],[Pick]],MATCH(Table3[[#This Row],[PID]],Table5[[#All],[PID]],0))</f>
        <v/>
      </c>
      <c r="BK361" s="45" t="str">
        <f>INDEX(Table5[[#All],[Team]],MATCH(Table3[[#This Row],[PID]],Table5[[#All],[PID]],0))</f>
        <v/>
      </c>
      <c r="BL361" s="45" t="str">
        <f>IF(OR(Table3[[#This Row],[POS]]="SP",Table3[[#This Row],[POS]]="RP",Table3[[#This Row],[POS]]="CL"),"P",INDEX(Batters[[#All],[zScore]],MATCH(Table3[[#This Row],[PID]],Batters[[#All],[PID]],0)))</f>
        <v>P</v>
      </c>
    </row>
    <row r="362" spans="1:64" ht="15" customHeight="1" x14ac:dyDescent="0.3">
      <c r="A362" s="40">
        <v>16136</v>
      </c>
      <c r="B362" s="40" t="s">
        <v>380</v>
      </c>
      <c r="C362" s="40" t="s">
        <v>1487</v>
      </c>
      <c r="D362" s="40" t="s">
        <v>1488</v>
      </c>
      <c r="E362" s="40">
        <v>21</v>
      </c>
      <c r="F362" s="40" t="s">
        <v>42</v>
      </c>
      <c r="G362" s="40" t="s">
        <v>42</v>
      </c>
      <c r="H362" s="41" t="s">
        <v>561</v>
      </c>
      <c r="I362" s="42" t="s">
        <v>44</v>
      </c>
      <c r="J362" s="40" t="s">
        <v>44</v>
      </c>
      <c r="K362" s="41" t="s">
        <v>43</v>
      </c>
      <c r="L362" s="40">
        <v>3</v>
      </c>
      <c r="M362" s="40">
        <v>1</v>
      </c>
      <c r="N362" s="41">
        <v>1</v>
      </c>
      <c r="O362" s="40">
        <v>5</v>
      </c>
      <c r="P362" s="40">
        <v>1</v>
      </c>
      <c r="Q362" s="41">
        <v>3</v>
      </c>
      <c r="R362" s="40">
        <v>4</v>
      </c>
      <c r="S362" s="40">
        <v>6</v>
      </c>
      <c r="T362" s="40">
        <v>3</v>
      </c>
      <c r="U362" s="40">
        <v>6</v>
      </c>
      <c r="V362" s="40" t="s">
        <v>45</v>
      </c>
      <c r="W362" s="40" t="s">
        <v>45</v>
      </c>
      <c r="X362" s="40" t="s">
        <v>45</v>
      </c>
      <c r="Y362" s="40" t="s">
        <v>45</v>
      </c>
      <c r="Z362" s="40" t="s">
        <v>45</v>
      </c>
      <c r="AA362" s="40" t="s">
        <v>45</v>
      </c>
      <c r="AB362" s="40" t="s">
        <v>45</v>
      </c>
      <c r="AC362" s="40" t="s">
        <v>45</v>
      </c>
      <c r="AD362" s="40" t="s">
        <v>45</v>
      </c>
      <c r="AE362" s="40" t="s">
        <v>45</v>
      </c>
      <c r="AF362" s="40" t="s">
        <v>45</v>
      </c>
      <c r="AG362" s="40" t="s">
        <v>45</v>
      </c>
      <c r="AH362" s="40" t="s">
        <v>45</v>
      </c>
      <c r="AI362" s="40" t="s">
        <v>45</v>
      </c>
      <c r="AJ362" s="40" t="s">
        <v>45</v>
      </c>
      <c r="AK362" s="40" t="s">
        <v>45</v>
      </c>
      <c r="AL362" s="40" t="s">
        <v>45</v>
      </c>
      <c r="AM362" s="40" t="s">
        <v>45</v>
      </c>
      <c r="AN362" s="40" t="s">
        <v>45</v>
      </c>
      <c r="AO362" s="41" t="s">
        <v>45</v>
      </c>
      <c r="AP362" s="40" t="s">
        <v>68</v>
      </c>
      <c r="AQ362" s="40">
        <v>8</v>
      </c>
      <c r="AR362" s="48" t="s">
        <v>14</v>
      </c>
      <c r="AS362" s="43" t="s">
        <v>45</v>
      </c>
      <c r="AT362" s="43" t="s">
        <v>103</v>
      </c>
      <c r="AU362" s="44">
        <f t="shared" si="47"/>
        <v>-2.3121015889492513</v>
      </c>
      <c r="AV362" s="44">
        <f t="shared" si="48"/>
        <v>-0.99258305708561179</v>
      </c>
      <c r="AW362" s="45">
        <f t="shared" si="49"/>
        <v>2</v>
      </c>
      <c r="AX362" s="45">
        <f t="shared" si="50"/>
        <v>2</v>
      </c>
      <c r="AY362" s="46">
        <f>VLOOKUP(AP362,COND!$A$10:$B$32,2,FALSE)</f>
        <v>0.95</v>
      </c>
      <c r="AZ362" s="44">
        <f>($AU$3*AU362+$AV$3*AV362+$AW$3*AW362+$AX$3*AX362)*AY362*IF(AQ362&lt;5,0.95,IF(AQ362&lt;7,0.975,1))+$I$3*VLOOKUP(I362,COND!$A$2:$E$7,4,FALSE)+$J$3*VLOOKUP(J362,COND!$A$2:$E$7,2,FALSE)+$K$3*VLOOKUP(K362,COND!$A$2:$E$7,3,FALSE)+IF(BB362="SP",$BB$3,0)+IF($AW362&lt;3,-5,0)+IF(AND($B$2&gt;0,$E362&lt;20),$B$2*25,0)</f>
        <v>25.57662261347302</v>
      </c>
      <c r="BA362" s="47">
        <f>STANDARDIZE(AZ362,AVERAGE($AZ$5:$AZ$428),STDEVP($AZ$5:$AZ$428))</f>
        <v>-0.87057433397240558</v>
      </c>
      <c r="BB362" s="45" t="str">
        <f t="shared" si="52"/>
        <v>SP</v>
      </c>
      <c r="BC362" s="45">
        <v>930</v>
      </c>
      <c r="BD362" s="45">
        <v>357</v>
      </c>
      <c r="BE362" s="45"/>
      <c r="BF362" s="45" t="str">
        <f t="shared" si="53"/>
        <v>Unlikely</v>
      </c>
      <c r="BG362" s="45"/>
      <c r="BH362" s="45">
        <f>INDEX(Table5[[#All],[Ovr]],MATCH(Table3[[#This Row],[PID]],Table5[[#All],[PID]],0))</f>
        <v>594</v>
      </c>
      <c r="BI362" s="45" t="str">
        <f>INDEX(Table5[[#All],[Rnd]],MATCH(Table3[[#This Row],[PID]],Table5[[#All],[PID]],0))</f>
        <v>18</v>
      </c>
      <c r="BJ362" s="45">
        <f>INDEX(Table5[[#All],[Pick]],MATCH(Table3[[#This Row],[PID]],Table5[[#All],[PID]],0))</f>
        <v>25</v>
      </c>
      <c r="BK362" s="45" t="str">
        <f>INDEX(Table5[[#All],[Team]],MATCH(Table3[[#This Row],[PID]],Table5[[#All],[PID]],0))</f>
        <v>Kalamazoo Badgers</v>
      </c>
      <c r="BL362" s="45" t="str">
        <f>IF(OR(Table3[[#This Row],[POS]]="SP",Table3[[#This Row],[POS]]="RP",Table3[[#This Row],[POS]]="CL"),"P",INDEX(Batters[[#All],[zScore]],MATCH(Table3[[#This Row],[PID]],Batters[[#All],[PID]],0)))</f>
        <v>P</v>
      </c>
    </row>
    <row r="363" spans="1:64" ht="15" customHeight="1" x14ac:dyDescent="0.3">
      <c r="A363" s="40">
        <v>5565</v>
      </c>
      <c r="B363" s="40" t="s">
        <v>380</v>
      </c>
      <c r="C363" s="40" t="s">
        <v>344</v>
      </c>
      <c r="D363" s="40" t="s">
        <v>929</v>
      </c>
      <c r="E363" s="40">
        <v>22</v>
      </c>
      <c r="F363" s="40" t="s">
        <v>42</v>
      </c>
      <c r="G363" s="40" t="s">
        <v>42</v>
      </c>
      <c r="H363" s="41" t="s">
        <v>561</v>
      </c>
      <c r="I363" s="42" t="s">
        <v>44</v>
      </c>
      <c r="J363" s="40" t="s">
        <v>44</v>
      </c>
      <c r="K363" s="41" t="s">
        <v>43</v>
      </c>
      <c r="L363" s="40">
        <v>2</v>
      </c>
      <c r="M363" s="40">
        <v>1</v>
      </c>
      <c r="N363" s="41">
        <v>2</v>
      </c>
      <c r="O363" s="40">
        <v>4</v>
      </c>
      <c r="P363" s="40">
        <v>1</v>
      </c>
      <c r="Q363" s="41">
        <v>3</v>
      </c>
      <c r="R363" s="40">
        <v>4</v>
      </c>
      <c r="S363" s="40">
        <v>4</v>
      </c>
      <c r="T363" s="40">
        <v>2</v>
      </c>
      <c r="U363" s="40">
        <v>4</v>
      </c>
      <c r="V363" s="40">
        <v>2</v>
      </c>
      <c r="W363" s="40">
        <v>4</v>
      </c>
      <c r="X363" s="40" t="s">
        <v>45</v>
      </c>
      <c r="Y363" s="40" t="s">
        <v>45</v>
      </c>
      <c r="Z363" s="40" t="s">
        <v>45</v>
      </c>
      <c r="AA363" s="40" t="s">
        <v>45</v>
      </c>
      <c r="AB363" s="40">
        <v>3</v>
      </c>
      <c r="AC363" s="40">
        <v>3</v>
      </c>
      <c r="AD363" s="40" t="s">
        <v>45</v>
      </c>
      <c r="AE363" s="40" t="s">
        <v>45</v>
      </c>
      <c r="AF363" s="40">
        <v>3</v>
      </c>
      <c r="AG363" s="40">
        <v>4</v>
      </c>
      <c r="AH363" s="40">
        <v>2</v>
      </c>
      <c r="AI363" s="40">
        <v>3</v>
      </c>
      <c r="AJ363" s="40" t="s">
        <v>45</v>
      </c>
      <c r="AK363" s="40" t="s">
        <v>45</v>
      </c>
      <c r="AL363" s="40" t="s">
        <v>45</v>
      </c>
      <c r="AM363" s="40" t="s">
        <v>45</v>
      </c>
      <c r="AN363" s="40" t="s">
        <v>45</v>
      </c>
      <c r="AO363" s="41" t="s">
        <v>45</v>
      </c>
      <c r="AP363" s="40" t="s">
        <v>57</v>
      </c>
      <c r="AQ363" s="40">
        <v>9</v>
      </c>
      <c r="AR363" s="48" t="s">
        <v>330</v>
      </c>
      <c r="AS363" s="43" t="s">
        <v>45</v>
      </c>
      <c r="AT363" s="43" t="s">
        <v>103</v>
      </c>
      <c r="AU363" s="44">
        <f t="shared" si="47"/>
        <v>-2.2644723474043147</v>
      </c>
      <c r="AV363" s="44">
        <f t="shared" si="48"/>
        <v>-1.1872743815947853</v>
      </c>
      <c r="AW363" s="45">
        <f t="shared" si="49"/>
        <v>6</v>
      </c>
      <c r="AX363" s="45">
        <f t="shared" si="50"/>
        <v>0</v>
      </c>
      <c r="AY363" s="46">
        <f>VLOOKUP(AP363,COND!$A$10:$B$32,2,FALSE)</f>
        <v>1</v>
      </c>
      <c r="AZ363" s="44">
        <f>($AU$3*AU363+$AV$3*AV363+$AW$3*AW363+$AX$3*AX363)*AY363*IF(AQ363&lt;5,0.95,IF(AQ363&lt;7,0.975,1))+$I$3*VLOOKUP(I363,COND!$A$2:$E$7,4,FALSE)+$J$3*VLOOKUP(J363,COND!$A$2:$E$7,2,FALSE)+$K$3*VLOOKUP(K363,COND!$A$2:$E$7,3,FALSE)+IF(BB363="SP",$BB$3,0)+IF($AW363&lt;3,-5,0)+IF(AND($B$2&gt;0,$E363&lt;20),$B$2*25,0)</f>
        <v>25.351617898623431</v>
      </c>
      <c r="BA363" s="47">
        <f>STANDARDIZE(AZ363,AVERAGE($AZ$5:$AZ$428),STDEVP($AZ$5:$AZ$428))</f>
        <v>-0.88659625209927484</v>
      </c>
      <c r="BB363" s="45" t="str">
        <f t="shared" si="52"/>
        <v>SP</v>
      </c>
      <c r="BC363" s="45">
        <v>930</v>
      </c>
      <c r="BD363" s="45">
        <v>358</v>
      </c>
      <c r="BE363" s="45"/>
      <c r="BF363" s="45" t="str">
        <f t="shared" si="53"/>
        <v>Unlikely</v>
      </c>
      <c r="BG363" s="45"/>
      <c r="BH363" s="45">
        <f>INDEX(Table5[[#All],[Ovr]],MATCH(Table3[[#This Row],[PID]],Table5[[#All],[PID]],0))</f>
        <v>547</v>
      </c>
      <c r="BI363" s="45" t="str">
        <f>INDEX(Table5[[#All],[Rnd]],MATCH(Table3[[#This Row],[PID]],Table5[[#All],[PID]],0))</f>
        <v>17</v>
      </c>
      <c r="BJ363" s="45">
        <f>INDEX(Table5[[#All],[Pick]],MATCH(Table3[[#This Row],[PID]],Table5[[#All],[PID]],0))</f>
        <v>12</v>
      </c>
      <c r="BK363" s="45" t="str">
        <f>INDEX(Table5[[#All],[Team]],MATCH(Table3[[#This Row],[PID]],Table5[[#All],[PID]],0))</f>
        <v>Manchester Maulers</v>
      </c>
      <c r="BL363" s="45" t="str">
        <f>IF(OR(Table3[[#This Row],[POS]]="SP",Table3[[#This Row],[POS]]="RP",Table3[[#This Row],[POS]]="CL"),"P",INDEX(Batters[[#All],[zScore]],MATCH(Table3[[#This Row],[PID]],Batters[[#All],[PID]],0)))</f>
        <v>P</v>
      </c>
    </row>
    <row r="364" spans="1:64" ht="15" customHeight="1" x14ac:dyDescent="0.3">
      <c r="A364" s="40">
        <v>12976</v>
      </c>
      <c r="B364" s="40" t="s">
        <v>380</v>
      </c>
      <c r="C364" s="40" t="s">
        <v>1601</v>
      </c>
      <c r="D364" s="40" t="s">
        <v>524</v>
      </c>
      <c r="E364" s="40">
        <v>21</v>
      </c>
      <c r="F364" s="40" t="s">
        <v>42</v>
      </c>
      <c r="G364" s="40" t="s">
        <v>42</v>
      </c>
      <c r="H364" s="41" t="s">
        <v>561</v>
      </c>
      <c r="I364" s="42" t="s">
        <v>43</v>
      </c>
      <c r="J364" s="40" t="s">
        <v>44</v>
      </c>
      <c r="K364" s="41" t="s">
        <v>43</v>
      </c>
      <c r="L364" s="40">
        <v>3</v>
      </c>
      <c r="M364" s="40">
        <v>1</v>
      </c>
      <c r="N364" s="41">
        <v>1</v>
      </c>
      <c r="O364" s="40">
        <v>4</v>
      </c>
      <c r="P364" s="40">
        <v>1</v>
      </c>
      <c r="Q364" s="41">
        <v>3</v>
      </c>
      <c r="R364" s="40">
        <v>4</v>
      </c>
      <c r="S364" s="40">
        <v>4</v>
      </c>
      <c r="T364" s="40">
        <v>2</v>
      </c>
      <c r="U364" s="40">
        <v>3</v>
      </c>
      <c r="V364" s="40" t="s">
        <v>45</v>
      </c>
      <c r="W364" s="40" t="s">
        <v>45</v>
      </c>
      <c r="X364" s="40">
        <v>3</v>
      </c>
      <c r="Y364" s="40">
        <v>5</v>
      </c>
      <c r="Z364" s="40" t="s">
        <v>45</v>
      </c>
      <c r="AA364" s="40" t="s">
        <v>45</v>
      </c>
      <c r="AB364" s="40" t="s">
        <v>45</v>
      </c>
      <c r="AC364" s="40" t="s">
        <v>45</v>
      </c>
      <c r="AD364" s="40" t="s">
        <v>45</v>
      </c>
      <c r="AE364" s="40" t="s">
        <v>45</v>
      </c>
      <c r="AF364" s="40">
        <v>3</v>
      </c>
      <c r="AG364" s="40">
        <v>4</v>
      </c>
      <c r="AH364" s="40" t="s">
        <v>45</v>
      </c>
      <c r="AI364" s="40" t="s">
        <v>45</v>
      </c>
      <c r="AJ364" s="40" t="s">
        <v>45</v>
      </c>
      <c r="AK364" s="40" t="s">
        <v>45</v>
      </c>
      <c r="AL364" s="40" t="s">
        <v>45</v>
      </c>
      <c r="AM364" s="40" t="s">
        <v>45</v>
      </c>
      <c r="AN364" s="40" t="s">
        <v>45</v>
      </c>
      <c r="AO364" s="41" t="s">
        <v>45</v>
      </c>
      <c r="AP364" s="40" t="s">
        <v>57</v>
      </c>
      <c r="AQ364" s="40">
        <v>6</v>
      </c>
      <c r="AR364" s="48" t="s">
        <v>14</v>
      </c>
      <c r="AS364" s="43" t="s">
        <v>580</v>
      </c>
      <c r="AT364" s="43" t="s">
        <v>103</v>
      </c>
      <c r="AU364" s="44">
        <f t="shared" si="47"/>
        <v>-2.3121015889492513</v>
      </c>
      <c r="AV364" s="44">
        <f t="shared" si="48"/>
        <v>-1.1872743815947853</v>
      </c>
      <c r="AW364" s="45">
        <f t="shared" si="49"/>
        <v>4</v>
      </c>
      <c r="AX364" s="45">
        <f t="shared" si="50"/>
        <v>0</v>
      </c>
      <c r="AY364" s="46">
        <f>VLOOKUP(AP364,COND!$A$10:$B$32,2,FALSE)</f>
        <v>1</v>
      </c>
      <c r="AZ364" s="44">
        <f>($AU$3*AU364+$AV$3*AV364+$AW$3*AW364+$AX$3*AX364)*AY364*IF(AQ364&lt;5,0.95,IF(AQ364&lt;7,0.975,1))+$I$3*VLOOKUP(I364,COND!$A$2:$E$7,4,FALSE)+$J$3*VLOOKUP(J364,COND!$A$2:$E$7,2,FALSE)+$K$3*VLOOKUP(K364,COND!$A$2:$E$7,3,FALSE)+IF(BB364="SP",$BB$3,0)+IF($AW364&lt;3,-5,0)+IF(AND($B$2&gt;0,$E364&lt;20),$B$2*25,0)</f>
        <v>25.047289749056581</v>
      </c>
      <c r="BA364" s="47">
        <f>STANDARDIZE(AZ364,AVERAGE($AZ$5:$AZ$445),STDEVP($AZ$5:$AZ$445))</f>
        <v>-0.90122827437502329</v>
      </c>
      <c r="BB364" s="45" t="str">
        <f t="shared" si="52"/>
        <v>SP</v>
      </c>
      <c r="BC364" s="45">
        <v>930</v>
      </c>
      <c r="BD364" s="45">
        <v>359</v>
      </c>
      <c r="BE364" s="45"/>
      <c r="BF364" s="45" t="str">
        <f t="shared" si="53"/>
        <v>Unlikely</v>
      </c>
      <c r="BG364" s="45"/>
      <c r="BH364" s="63" t="str">
        <f>INDEX(Table5[[#All],[Ovr]],MATCH(Table3[[#This Row],[PID]],Table5[[#All],[PID]],0))</f>
        <v/>
      </c>
      <c r="BI364" s="63" t="str">
        <f>INDEX(Table5[[#All],[Rnd]],MATCH(Table3[[#This Row],[PID]],Table5[[#All],[PID]],0))</f>
        <v/>
      </c>
      <c r="BJ364" s="63" t="str">
        <f>INDEX(Table5[[#All],[Pick]],MATCH(Table3[[#This Row],[PID]],Table5[[#All],[PID]],0))</f>
        <v/>
      </c>
      <c r="BK364" s="63" t="str">
        <f>INDEX(Table5[[#All],[Team]],MATCH(Table3[[#This Row],[PID]],Table5[[#All],[PID]],0))</f>
        <v/>
      </c>
      <c r="BL364" s="63" t="str">
        <f>IF(OR(Table3[[#This Row],[POS]]="SP",Table3[[#This Row],[POS]]="RP",Table3[[#This Row],[POS]]="CL"),"P",INDEX(Batters[[#All],[zScore]],MATCH(Table3[[#This Row],[PID]],Batters[[#All],[PID]],0)))</f>
        <v>P</v>
      </c>
    </row>
    <row r="365" spans="1:64" ht="15" customHeight="1" x14ac:dyDescent="0.3">
      <c r="A365" s="40">
        <v>12234</v>
      </c>
      <c r="B365" s="40" t="s">
        <v>380</v>
      </c>
      <c r="C365" s="40" t="s">
        <v>491</v>
      </c>
      <c r="D365" s="40" t="s">
        <v>827</v>
      </c>
      <c r="E365" s="40">
        <v>21</v>
      </c>
      <c r="F365" s="40" t="s">
        <v>42</v>
      </c>
      <c r="G365" s="40" t="s">
        <v>42</v>
      </c>
      <c r="H365" s="41" t="s">
        <v>561</v>
      </c>
      <c r="I365" s="42" t="s">
        <v>43</v>
      </c>
      <c r="J365" s="40" t="s">
        <v>44</v>
      </c>
      <c r="K365" s="41" t="s">
        <v>43</v>
      </c>
      <c r="L365" s="40">
        <v>2</v>
      </c>
      <c r="M365" s="40">
        <v>1</v>
      </c>
      <c r="N365" s="41">
        <v>1</v>
      </c>
      <c r="O365" s="40">
        <v>4</v>
      </c>
      <c r="P365" s="40">
        <v>2</v>
      </c>
      <c r="Q365" s="41">
        <v>2</v>
      </c>
      <c r="R365" s="40">
        <v>3</v>
      </c>
      <c r="S365" s="40">
        <v>5</v>
      </c>
      <c r="T365" s="40">
        <v>1</v>
      </c>
      <c r="U365" s="40">
        <v>1</v>
      </c>
      <c r="V365" s="40">
        <v>3</v>
      </c>
      <c r="W365" s="40">
        <v>6</v>
      </c>
      <c r="X365" s="40" t="s">
        <v>45</v>
      </c>
      <c r="Y365" s="40" t="s">
        <v>45</v>
      </c>
      <c r="Z365" s="40" t="s">
        <v>45</v>
      </c>
      <c r="AA365" s="40" t="s">
        <v>45</v>
      </c>
      <c r="AB365" s="40" t="s">
        <v>45</v>
      </c>
      <c r="AC365" s="40" t="s">
        <v>45</v>
      </c>
      <c r="AD365" s="40" t="s">
        <v>45</v>
      </c>
      <c r="AE365" s="40" t="s">
        <v>45</v>
      </c>
      <c r="AF365" s="40" t="s">
        <v>45</v>
      </c>
      <c r="AG365" s="40" t="s">
        <v>45</v>
      </c>
      <c r="AH365" s="40" t="s">
        <v>45</v>
      </c>
      <c r="AI365" s="40" t="s">
        <v>45</v>
      </c>
      <c r="AJ365" s="40" t="s">
        <v>45</v>
      </c>
      <c r="AK365" s="40" t="s">
        <v>45</v>
      </c>
      <c r="AL365" s="40" t="s">
        <v>45</v>
      </c>
      <c r="AM365" s="40" t="s">
        <v>45</v>
      </c>
      <c r="AN365" s="40" t="s">
        <v>45</v>
      </c>
      <c r="AO365" s="41" t="s">
        <v>45</v>
      </c>
      <c r="AP365" s="40" t="s">
        <v>64</v>
      </c>
      <c r="AQ365" s="40">
        <v>6</v>
      </c>
      <c r="AR365" s="48" t="s">
        <v>330</v>
      </c>
      <c r="AS365" s="43" t="s">
        <v>45</v>
      </c>
      <c r="AT365" s="43" t="s">
        <v>103</v>
      </c>
      <c r="AU365" s="44">
        <f t="shared" si="47"/>
        <v>-2.5067929134584248</v>
      </c>
      <c r="AV365" s="44">
        <f t="shared" si="48"/>
        <v>-1.23416323121884</v>
      </c>
      <c r="AW365" s="45">
        <f t="shared" si="49"/>
        <v>3</v>
      </c>
      <c r="AX365" s="45">
        <f t="shared" si="50"/>
        <v>1</v>
      </c>
      <c r="AY365" s="46">
        <f>VLOOKUP(AP365,COND!$A$10:$B$32,2,FALSE)</f>
        <v>1</v>
      </c>
      <c r="AZ365" s="44">
        <f>($AU$3*AU365+$AV$3*AV365+$AW$3*AW365+$AX$3*AX365)*AY365*IF(AQ365&lt;5,0.95,IF(AQ365&lt;7,0.975,1))+$I$3*VLOOKUP(I365,COND!$A$2:$E$7,4,FALSE)+$J$3*VLOOKUP(J365,COND!$A$2:$E$7,2,FALSE)+$K$3*VLOOKUP(K365,COND!$A$2:$E$7,3,FALSE)+IF(BB365="SP",$BB$3,0)+IF($AW365&lt;3,-5,0)+IF(AND($B$2&gt;0,$E365&lt;20),$B$2*25,0)</f>
        <v>24.826242373108226</v>
      </c>
      <c r="BA365" s="47">
        <f>STANDARDIZE(AZ365,AVERAGE($AZ$5:$AZ$428),STDEVP($AZ$5:$AZ$428))</f>
        <v>-0.92400668441529277</v>
      </c>
      <c r="BB365" s="45" t="str">
        <f t="shared" si="52"/>
        <v>SP</v>
      </c>
      <c r="BC365" s="45">
        <v>930</v>
      </c>
      <c r="BD365" s="45">
        <v>360</v>
      </c>
      <c r="BE365" s="45"/>
      <c r="BF365" s="45" t="str">
        <f t="shared" si="53"/>
        <v>Unlikely</v>
      </c>
      <c r="BG365" s="45"/>
      <c r="BH365" s="45" t="str">
        <f>INDEX(Table5[[#All],[Ovr]],MATCH(Table3[[#This Row],[PID]],Table5[[#All],[PID]],0))</f>
        <v/>
      </c>
      <c r="BI365" s="45" t="str">
        <f>INDEX(Table5[[#All],[Rnd]],MATCH(Table3[[#This Row],[PID]],Table5[[#All],[PID]],0))</f>
        <v/>
      </c>
      <c r="BJ365" s="45" t="str">
        <f>INDEX(Table5[[#All],[Pick]],MATCH(Table3[[#This Row],[PID]],Table5[[#All],[PID]],0))</f>
        <v/>
      </c>
      <c r="BK365" s="45" t="str">
        <f>INDEX(Table5[[#All],[Team]],MATCH(Table3[[#This Row],[PID]],Table5[[#All],[PID]],0))</f>
        <v/>
      </c>
      <c r="BL365" s="45" t="str">
        <f>IF(OR(Table3[[#This Row],[POS]]="SP",Table3[[#This Row],[POS]]="RP",Table3[[#This Row],[POS]]="CL"),"P",INDEX(Batters[[#All],[zScore]],MATCH(Table3[[#This Row],[PID]],Batters[[#All],[PID]],0)))</f>
        <v>P</v>
      </c>
    </row>
    <row r="366" spans="1:64" ht="15" customHeight="1" x14ac:dyDescent="0.3">
      <c r="A366" s="40">
        <v>12237</v>
      </c>
      <c r="B366" s="40" t="s">
        <v>380</v>
      </c>
      <c r="C366" s="40" t="s">
        <v>653</v>
      </c>
      <c r="D366" s="40" t="s">
        <v>1561</v>
      </c>
      <c r="E366" s="40">
        <v>21</v>
      </c>
      <c r="F366" s="40" t="s">
        <v>42</v>
      </c>
      <c r="G366" s="40" t="s">
        <v>42</v>
      </c>
      <c r="H366" s="41" t="s">
        <v>561</v>
      </c>
      <c r="I366" s="42" t="s">
        <v>44</v>
      </c>
      <c r="J366" s="40" t="s">
        <v>44</v>
      </c>
      <c r="K366" s="41" t="s">
        <v>43</v>
      </c>
      <c r="L366" s="40">
        <v>2</v>
      </c>
      <c r="M366" s="40">
        <v>2</v>
      </c>
      <c r="N366" s="41">
        <v>1</v>
      </c>
      <c r="O366" s="40">
        <v>4</v>
      </c>
      <c r="P366" s="40">
        <v>2</v>
      </c>
      <c r="Q366" s="41">
        <v>2</v>
      </c>
      <c r="R366" s="40">
        <v>3</v>
      </c>
      <c r="S366" s="40">
        <v>4</v>
      </c>
      <c r="T366" s="40">
        <v>3</v>
      </c>
      <c r="U366" s="40">
        <v>6</v>
      </c>
      <c r="V366" s="40" t="s">
        <v>45</v>
      </c>
      <c r="W366" s="40" t="s">
        <v>45</v>
      </c>
      <c r="X366" s="40">
        <v>2</v>
      </c>
      <c r="Y366" s="40">
        <v>2</v>
      </c>
      <c r="Z366" s="40" t="s">
        <v>45</v>
      </c>
      <c r="AA366" s="40" t="s">
        <v>45</v>
      </c>
      <c r="AB366" s="40">
        <v>3</v>
      </c>
      <c r="AC366" s="40">
        <v>4</v>
      </c>
      <c r="AD366" s="40" t="s">
        <v>45</v>
      </c>
      <c r="AE366" s="40" t="s">
        <v>45</v>
      </c>
      <c r="AF366" s="40" t="s">
        <v>45</v>
      </c>
      <c r="AG366" s="40" t="s">
        <v>45</v>
      </c>
      <c r="AH366" s="40" t="s">
        <v>45</v>
      </c>
      <c r="AI366" s="40" t="s">
        <v>45</v>
      </c>
      <c r="AJ366" s="40" t="s">
        <v>45</v>
      </c>
      <c r="AK366" s="40" t="s">
        <v>45</v>
      </c>
      <c r="AL366" s="40" t="s">
        <v>45</v>
      </c>
      <c r="AM366" s="40" t="s">
        <v>45</v>
      </c>
      <c r="AN366" s="40" t="s">
        <v>45</v>
      </c>
      <c r="AO366" s="41" t="s">
        <v>45</v>
      </c>
      <c r="AP366" s="40" t="s">
        <v>328</v>
      </c>
      <c r="AQ366" s="40">
        <v>8</v>
      </c>
      <c r="AR366" s="48" t="s">
        <v>326</v>
      </c>
      <c r="AS366" s="43" t="s">
        <v>45</v>
      </c>
      <c r="AT366" s="43" t="s">
        <v>103</v>
      </c>
      <c r="AU366" s="44">
        <f t="shared" si="47"/>
        <v>-2.311361197028369</v>
      </c>
      <c r="AV366" s="44">
        <f t="shared" si="48"/>
        <v>-1.23416323121884</v>
      </c>
      <c r="AW366" s="45">
        <f t="shared" si="49"/>
        <v>4</v>
      </c>
      <c r="AX366" s="45">
        <f t="shared" si="50"/>
        <v>1</v>
      </c>
      <c r="AY366" s="46">
        <f>VLOOKUP(AP366,COND!$A$10:$B$32,2,FALSE)</f>
        <v>1</v>
      </c>
      <c r="AZ366" s="44">
        <f>($AU$3*AU366+$AV$3*AV366+$AW$3*AW366+$AX$3*AX366)*AY366*IF(AQ366&lt;5,0.95,IF(AQ366&lt;7,0.975,1))+$I$3*VLOOKUP(I366,COND!$A$2:$E$7,4,FALSE)+$J$3*VLOOKUP(J366,COND!$A$2:$E$7,2,FALSE)+$K$3*VLOOKUP(K366,COND!$A$2:$E$7,3,FALSE)+IF(BB366="SP",$BB$3,0)+IF($AW366&lt;3,-5,0)+IF(AND($B$2&gt;0,$E366&lt;20),$B$2*25,0)</f>
        <v>24.654463136217522</v>
      </c>
      <c r="BA366" s="47">
        <f>STANDARDIZE(AZ366,AVERAGE($AZ$5:$AZ$428),STDEVP($AZ$5:$AZ$428))</f>
        <v>-0.93623857418346379</v>
      </c>
      <c r="BB366" s="45" t="str">
        <f t="shared" si="52"/>
        <v>SP</v>
      </c>
      <c r="BC366" s="45">
        <v>930</v>
      </c>
      <c r="BD366" s="45">
        <v>361</v>
      </c>
      <c r="BE366" s="45"/>
      <c r="BF366" s="45" t="str">
        <f t="shared" si="53"/>
        <v>Unlikely</v>
      </c>
      <c r="BG366" s="45"/>
      <c r="BH366" s="45">
        <f>INDEX(Table5[[#All],[Ovr]],MATCH(Table3[[#This Row],[PID]],Table5[[#All],[PID]],0))</f>
        <v>460</v>
      </c>
      <c r="BI366" s="45" t="str">
        <f>INDEX(Table5[[#All],[Rnd]],MATCH(Table3[[#This Row],[PID]],Table5[[#All],[PID]],0))</f>
        <v>14</v>
      </c>
      <c r="BJ366" s="45">
        <f>INDEX(Table5[[#All],[Pick]],MATCH(Table3[[#This Row],[PID]],Table5[[#All],[PID]],0))</f>
        <v>27</v>
      </c>
      <c r="BK366" s="45" t="str">
        <f>INDEX(Table5[[#All],[Team]],MATCH(Table3[[#This Row],[PID]],Table5[[#All],[PID]],0))</f>
        <v>Havana Leones</v>
      </c>
      <c r="BL366" s="45" t="str">
        <f>IF(OR(Table3[[#This Row],[POS]]="SP",Table3[[#This Row],[POS]]="RP",Table3[[#This Row],[POS]]="CL"),"P",INDEX(Batters[[#All],[zScore]],MATCH(Table3[[#This Row],[PID]],Batters[[#All],[PID]],0)))</f>
        <v>P</v>
      </c>
    </row>
    <row r="367" spans="1:64" ht="15" customHeight="1" x14ac:dyDescent="0.3">
      <c r="A367" s="40">
        <v>10782</v>
      </c>
      <c r="B367" s="40" t="s">
        <v>24</v>
      </c>
      <c r="C367" s="40" t="s">
        <v>1542</v>
      </c>
      <c r="D367" s="40" t="s">
        <v>1543</v>
      </c>
      <c r="E367" s="40">
        <v>21</v>
      </c>
      <c r="F367" s="40" t="s">
        <v>42</v>
      </c>
      <c r="G367" s="40" t="s">
        <v>42</v>
      </c>
      <c r="H367" s="41" t="s">
        <v>561</v>
      </c>
      <c r="I367" s="42" t="s">
        <v>43</v>
      </c>
      <c r="J367" s="40" t="s">
        <v>44</v>
      </c>
      <c r="K367" s="41" t="s">
        <v>43</v>
      </c>
      <c r="L367" s="40">
        <v>2</v>
      </c>
      <c r="M367" s="40">
        <v>1</v>
      </c>
      <c r="N367" s="41">
        <v>1</v>
      </c>
      <c r="O367" s="40">
        <v>4</v>
      </c>
      <c r="P367" s="40">
        <v>1</v>
      </c>
      <c r="Q367" s="41">
        <v>3</v>
      </c>
      <c r="R367" s="40">
        <v>4</v>
      </c>
      <c r="S367" s="40">
        <v>5</v>
      </c>
      <c r="T367" s="40">
        <v>1</v>
      </c>
      <c r="U367" s="40">
        <v>5</v>
      </c>
      <c r="V367" s="40" t="s">
        <v>45</v>
      </c>
      <c r="W367" s="40" t="s">
        <v>45</v>
      </c>
      <c r="X367" s="40">
        <v>3</v>
      </c>
      <c r="Y367" s="40">
        <v>5</v>
      </c>
      <c r="Z367" s="40" t="s">
        <v>45</v>
      </c>
      <c r="AA367" s="40" t="s">
        <v>45</v>
      </c>
      <c r="AB367" s="40">
        <v>3</v>
      </c>
      <c r="AC367" s="40">
        <v>3</v>
      </c>
      <c r="AD367" s="40" t="s">
        <v>45</v>
      </c>
      <c r="AE367" s="40" t="s">
        <v>45</v>
      </c>
      <c r="AF367" s="40" t="s">
        <v>45</v>
      </c>
      <c r="AG367" s="40" t="s">
        <v>45</v>
      </c>
      <c r="AH367" s="40" t="s">
        <v>45</v>
      </c>
      <c r="AI367" s="40" t="s">
        <v>45</v>
      </c>
      <c r="AJ367" s="40" t="s">
        <v>45</v>
      </c>
      <c r="AK367" s="40" t="s">
        <v>45</v>
      </c>
      <c r="AL367" s="40" t="s">
        <v>45</v>
      </c>
      <c r="AM367" s="40" t="s">
        <v>45</v>
      </c>
      <c r="AN367" s="40" t="s">
        <v>45</v>
      </c>
      <c r="AO367" s="41" t="s">
        <v>45</v>
      </c>
      <c r="AP367" s="40" t="s">
        <v>56</v>
      </c>
      <c r="AQ367" s="40">
        <v>9</v>
      </c>
      <c r="AR367" s="48" t="s">
        <v>14</v>
      </c>
      <c r="AS367" s="43" t="s">
        <v>45</v>
      </c>
      <c r="AT367" s="43" t="s">
        <v>103</v>
      </c>
      <c r="AU367" s="44">
        <f t="shared" si="47"/>
        <v>-2.5067929134584248</v>
      </c>
      <c r="AV367" s="44">
        <f t="shared" si="48"/>
        <v>-1.1872743815947853</v>
      </c>
      <c r="AW367" s="45">
        <f t="shared" si="49"/>
        <v>4</v>
      </c>
      <c r="AX367" s="45">
        <f t="shared" si="50"/>
        <v>0</v>
      </c>
      <c r="AY367" s="46">
        <f>VLOOKUP(AP367,COND!$A$10:$B$32,2,FALSE)</f>
        <v>1</v>
      </c>
      <c r="AZ367" s="44">
        <f>($AU$3*AU367+$AV$3*AV367+$AW$3*AW367+$AX$3*AX367)*AY367*IF(AQ367&lt;5,0.95,IF(AQ367&lt;7,0.975,1))+$I$3*VLOOKUP(I367,COND!$A$2:$E$7,4,FALSE)+$J$3*VLOOKUP(J367,COND!$A$2:$E$7,2,FALSE)+$K$3*VLOOKUP(K367,COND!$A$2:$E$7,3,FALSE)+IF(BB367="SP",$BB$3,0)+IF($AW367&lt;3,-5,0)+IF(AND($B$2&gt;0,$E367&lt;20),$B$2*25,0)</f>
        <v>24.453153785412606</v>
      </c>
      <c r="BA367" s="47">
        <f>STANDARDIZE(AZ367,AVERAGE($AZ$5:$AZ$445),STDEVP($AZ$5:$AZ$445))</f>
        <v>-0.94349726607553985</v>
      </c>
      <c r="BB367" s="45" t="str">
        <f t="shared" si="52"/>
        <v>SP</v>
      </c>
      <c r="BC367" s="45">
        <v>930</v>
      </c>
      <c r="BD367" s="45">
        <v>362</v>
      </c>
      <c r="BE367" s="45"/>
      <c r="BF367" s="45" t="str">
        <f t="shared" si="53"/>
        <v>Unlikely</v>
      </c>
      <c r="BG367" s="45"/>
      <c r="BH367" s="63">
        <f>INDEX(Table5[[#All],[Ovr]],MATCH(Table3[[#This Row],[PID]],Table5[[#All],[PID]],0))</f>
        <v>540</v>
      </c>
      <c r="BI367" s="63" t="str">
        <f>INDEX(Table5[[#All],[Rnd]],MATCH(Table3[[#This Row],[PID]],Table5[[#All],[PID]],0))</f>
        <v>17</v>
      </c>
      <c r="BJ367" s="63">
        <f>INDEX(Table5[[#All],[Pick]],MATCH(Table3[[#This Row],[PID]],Table5[[#All],[PID]],0))</f>
        <v>5</v>
      </c>
      <c r="BK367" s="63" t="str">
        <f>INDEX(Table5[[#All],[Team]],MATCH(Table3[[#This Row],[PID]],Table5[[#All],[PID]],0))</f>
        <v>Tempe Knights</v>
      </c>
      <c r="BL367" s="63" t="str">
        <f>IF(OR(Table3[[#This Row],[POS]]="SP",Table3[[#This Row],[POS]]="RP",Table3[[#This Row],[POS]]="CL"),"P",INDEX(Batters[[#All],[zScore]],MATCH(Table3[[#This Row],[PID]],Batters[[#All],[PID]],0)))</f>
        <v>P</v>
      </c>
    </row>
    <row r="368" spans="1:64" ht="15" customHeight="1" x14ac:dyDescent="0.3">
      <c r="A368" s="40">
        <v>8112</v>
      </c>
      <c r="B368" s="40" t="s">
        <v>380</v>
      </c>
      <c r="C368" s="40" t="s">
        <v>364</v>
      </c>
      <c r="D368" s="40" t="s">
        <v>637</v>
      </c>
      <c r="E368" s="40">
        <v>21</v>
      </c>
      <c r="F368" s="40" t="s">
        <v>42</v>
      </c>
      <c r="G368" s="40" t="s">
        <v>42</v>
      </c>
      <c r="H368" s="41" t="s">
        <v>561</v>
      </c>
      <c r="I368" s="42" t="s">
        <v>44</v>
      </c>
      <c r="J368" s="40" t="s">
        <v>44</v>
      </c>
      <c r="K368" s="41" t="s">
        <v>43</v>
      </c>
      <c r="L368" s="40">
        <v>2</v>
      </c>
      <c r="M368" s="40">
        <v>2</v>
      </c>
      <c r="N368" s="41">
        <v>1</v>
      </c>
      <c r="O368" s="40">
        <v>3</v>
      </c>
      <c r="P368" s="40">
        <v>2</v>
      </c>
      <c r="Q368" s="41">
        <v>3</v>
      </c>
      <c r="R368" s="40" t="s">
        <v>45</v>
      </c>
      <c r="S368" s="40" t="s">
        <v>45</v>
      </c>
      <c r="T368" s="40">
        <v>1</v>
      </c>
      <c r="U368" s="40">
        <v>3</v>
      </c>
      <c r="V368" s="40">
        <v>2</v>
      </c>
      <c r="W368" s="40">
        <v>4</v>
      </c>
      <c r="X368" s="40" t="s">
        <v>45</v>
      </c>
      <c r="Y368" s="40" t="s">
        <v>45</v>
      </c>
      <c r="Z368" s="40" t="s">
        <v>45</v>
      </c>
      <c r="AA368" s="40" t="s">
        <v>45</v>
      </c>
      <c r="AB368" s="40">
        <v>3</v>
      </c>
      <c r="AC368" s="40">
        <v>3</v>
      </c>
      <c r="AD368" s="40">
        <v>3</v>
      </c>
      <c r="AE368" s="40">
        <v>4</v>
      </c>
      <c r="AF368" s="40" t="s">
        <v>45</v>
      </c>
      <c r="AG368" s="40" t="s">
        <v>45</v>
      </c>
      <c r="AH368" s="40" t="s">
        <v>45</v>
      </c>
      <c r="AI368" s="40" t="s">
        <v>45</v>
      </c>
      <c r="AJ368" s="40" t="s">
        <v>45</v>
      </c>
      <c r="AK368" s="40" t="s">
        <v>45</v>
      </c>
      <c r="AL368" s="40" t="s">
        <v>45</v>
      </c>
      <c r="AM368" s="40" t="s">
        <v>45</v>
      </c>
      <c r="AN368" s="40" t="s">
        <v>45</v>
      </c>
      <c r="AO368" s="41" t="s">
        <v>45</v>
      </c>
      <c r="AP368" s="40" t="s">
        <v>328</v>
      </c>
      <c r="AQ368" s="40">
        <v>7</v>
      </c>
      <c r="AR368" s="48" t="s">
        <v>326</v>
      </c>
      <c r="AS368" s="43" t="s">
        <v>45</v>
      </c>
      <c r="AT368" s="43" t="s">
        <v>103</v>
      </c>
      <c r="AU368" s="44">
        <f t="shared" si="47"/>
        <v>-2.311361197028369</v>
      </c>
      <c r="AV368" s="44">
        <f t="shared" si="48"/>
        <v>-1.1865339896739031</v>
      </c>
      <c r="AW368" s="45">
        <f t="shared" si="49"/>
        <v>4</v>
      </c>
      <c r="AX368" s="45">
        <f t="shared" si="50"/>
        <v>0</v>
      </c>
      <c r="AY368" s="46">
        <f>VLOOKUP(AP368,COND!$A$10:$B$32,2,FALSE)</f>
        <v>1</v>
      </c>
      <c r="AZ368" s="44">
        <f>($AU$3*AU368+$AV$3*AV368+$AW$3*AW368+$AX$3*AX368)*AY368*IF(AQ368&lt;5,0.95,IF(AQ368&lt;7,0.975,1))+$I$3*VLOOKUP(I368,COND!$A$2:$E$7,4,FALSE)+$J$3*VLOOKUP(J368,COND!$A$2:$E$7,2,FALSE)+$K$3*VLOOKUP(K368,COND!$A$2:$E$7,3,FALSE)+IF(BB368="SP",$BB$3,0)+IF($AW368&lt;3,-5,0)+IF(AND($B$2&gt;0,$E368&lt;20),$B$2*25,0)</f>
        <v>24.357047967116266</v>
      </c>
      <c r="BA368" s="47">
        <f>STANDARDIZE(AZ368,AVERAGE($AZ$5:$AZ$428),STDEVP($AZ$5:$AZ$428))</f>
        <v>-0.9574166259065785</v>
      </c>
      <c r="BB368" s="45" t="str">
        <f t="shared" si="52"/>
        <v>SP</v>
      </c>
      <c r="BC368" s="45">
        <v>930</v>
      </c>
      <c r="BD368" s="45">
        <v>363</v>
      </c>
      <c r="BE368" s="45"/>
      <c r="BF368" s="45" t="str">
        <f t="shared" si="53"/>
        <v>Unlikely</v>
      </c>
      <c r="BG368" s="45"/>
      <c r="BH368" s="45" t="str">
        <f>INDEX(Table5[[#All],[Ovr]],MATCH(Table3[[#This Row],[PID]],Table5[[#All],[PID]],0))</f>
        <v/>
      </c>
      <c r="BI368" s="45" t="str">
        <f>INDEX(Table5[[#All],[Rnd]],MATCH(Table3[[#This Row],[PID]],Table5[[#All],[PID]],0))</f>
        <v/>
      </c>
      <c r="BJ368" s="45" t="str">
        <f>INDEX(Table5[[#All],[Pick]],MATCH(Table3[[#This Row],[PID]],Table5[[#All],[PID]],0))</f>
        <v/>
      </c>
      <c r="BK368" s="45" t="str">
        <f>INDEX(Table5[[#All],[Team]],MATCH(Table3[[#This Row],[PID]],Table5[[#All],[PID]],0))</f>
        <v/>
      </c>
      <c r="BL368" s="45" t="str">
        <f>IF(OR(Table3[[#This Row],[POS]]="SP",Table3[[#This Row],[POS]]="RP",Table3[[#This Row],[POS]]="CL"),"P",INDEX(Batters[[#All],[zScore]],MATCH(Table3[[#This Row],[PID]],Batters[[#All],[PID]],0)))</f>
        <v>P</v>
      </c>
    </row>
    <row r="369" spans="1:64" ht="15" customHeight="1" x14ac:dyDescent="0.3">
      <c r="A369" s="40">
        <v>21102</v>
      </c>
      <c r="B369" s="40" t="s">
        <v>380</v>
      </c>
      <c r="C369" s="40" t="s">
        <v>891</v>
      </c>
      <c r="D369" s="40" t="s">
        <v>1430</v>
      </c>
      <c r="E369" s="40">
        <v>17</v>
      </c>
      <c r="F369" s="40" t="s">
        <v>53</v>
      </c>
      <c r="G369" s="40" t="s">
        <v>53</v>
      </c>
      <c r="H369" s="41" t="s">
        <v>561</v>
      </c>
      <c r="I369" s="42" t="s">
        <v>43</v>
      </c>
      <c r="J369" s="40" t="s">
        <v>44</v>
      </c>
      <c r="K369" s="41" t="s">
        <v>43</v>
      </c>
      <c r="L369" s="40">
        <v>1</v>
      </c>
      <c r="M369" s="40">
        <v>1</v>
      </c>
      <c r="N369" s="41">
        <v>1</v>
      </c>
      <c r="O369" s="40">
        <v>2</v>
      </c>
      <c r="P369" s="40">
        <v>1</v>
      </c>
      <c r="Q369" s="41">
        <v>3</v>
      </c>
      <c r="R369" s="40">
        <v>2</v>
      </c>
      <c r="S369" s="40">
        <v>3</v>
      </c>
      <c r="T369" s="40">
        <v>1</v>
      </c>
      <c r="U369" s="40">
        <v>3</v>
      </c>
      <c r="V369" s="40" t="s">
        <v>45</v>
      </c>
      <c r="W369" s="40" t="s">
        <v>45</v>
      </c>
      <c r="X369" s="40">
        <v>2</v>
      </c>
      <c r="Y369" s="40">
        <v>3</v>
      </c>
      <c r="Z369" s="40" t="s">
        <v>45</v>
      </c>
      <c r="AA369" s="40" t="s">
        <v>45</v>
      </c>
      <c r="AB369" s="40" t="s">
        <v>45</v>
      </c>
      <c r="AC369" s="40" t="s">
        <v>45</v>
      </c>
      <c r="AD369" s="40" t="s">
        <v>45</v>
      </c>
      <c r="AE369" s="40" t="s">
        <v>45</v>
      </c>
      <c r="AF369" s="40" t="s">
        <v>45</v>
      </c>
      <c r="AG369" s="40" t="s">
        <v>45</v>
      </c>
      <c r="AH369" s="40" t="s">
        <v>45</v>
      </c>
      <c r="AI369" s="40" t="s">
        <v>45</v>
      </c>
      <c r="AJ369" s="40" t="s">
        <v>45</v>
      </c>
      <c r="AK369" s="40" t="s">
        <v>45</v>
      </c>
      <c r="AL369" s="40" t="s">
        <v>45</v>
      </c>
      <c r="AM369" s="40" t="s">
        <v>45</v>
      </c>
      <c r="AN369" s="40" t="s">
        <v>45</v>
      </c>
      <c r="AO369" s="41" t="s">
        <v>45</v>
      </c>
      <c r="AP369" s="40" t="s">
        <v>67</v>
      </c>
      <c r="AQ369" s="40">
        <v>8</v>
      </c>
      <c r="AR369" s="48" t="s">
        <v>14</v>
      </c>
      <c r="AS369" s="43" t="s">
        <v>558</v>
      </c>
      <c r="AT369" s="43" t="s">
        <v>103</v>
      </c>
      <c r="AU369" s="44">
        <f t="shared" si="47"/>
        <v>-2.7014842379675978</v>
      </c>
      <c r="AV369" s="44">
        <f t="shared" si="48"/>
        <v>-1.5766570306131322</v>
      </c>
      <c r="AW369" s="45">
        <f t="shared" si="49"/>
        <v>3</v>
      </c>
      <c r="AX369" s="45">
        <f t="shared" si="50"/>
        <v>0</v>
      </c>
      <c r="AY369" s="46">
        <f>VLOOKUP(AP369,COND!$A$10:$B$32,2,FALSE)</f>
        <v>0.9</v>
      </c>
      <c r="AZ369" s="44">
        <f>($AU$3*AU369+$AV$3*AV369+$AW$3*AW369+$AX$3*AX369)*AY369*IF(AQ369&lt;5,0.95,IF(AQ369&lt;7,0.975,1))+$I$3*VLOOKUP(I369,COND!$A$2:$E$7,4,FALSE)+$J$3*VLOOKUP(J369,COND!$A$2:$E$7,2,FALSE)+$K$3*VLOOKUP(K369,COND!$A$2:$E$7,3,FALSE)+IF(BB369="SP",$BB$3,0)+IF($AW369&lt;3,-5,0)+IF(AND($B$2&gt;0,$E369&lt;20),$B$2*25,0)</f>
        <v>24.183906286129449</v>
      </c>
      <c r="BA369" s="47">
        <f>STANDARDIZE(AZ369,AVERAGE($AZ$5:$AZ$445),STDEVP($AZ$5:$AZ$445))</f>
        <v>-0.96265251169101029</v>
      </c>
      <c r="BB369" s="45" t="str">
        <f t="shared" si="52"/>
        <v>SP</v>
      </c>
      <c r="BC369" s="45">
        <v>930</v>
      </c>
      <c r="BD369" s="45">
        <v>364</v>
      </c>
      <c r="BE369" s="45"/>
      <c r="BF369" s="45" t="str">
        <f t="shared" si="53"/>
        <v>Unlikely</v>
      </c>
      <c r="BG369" s="45"/>
      <c r="BH369" s="63" t="str">
        <f>INDEX(Table5[[#All],[Ovr]],MATCH(Table3[[#This Row],[PID]],Table5[[#All],[PID]],0))</f>
        <v/>
      </c>
      <c r="BI369" s="63" t="str">
        <f>INDEX(Table5[[#All],[Rnd]],MATCH(Table3[[#This Row],[PID]],Table5[[#All],[PID]],0))</f>
        <v/>
      </c>
      <c r="BJ369" s="63" t="str">
        <f>INDEX(Table5[[#All],[Pick]],MATCH(Table3[[#This Row],[PID]],Table5[[#All],[PID]],0))</f>
        <v/>
      </c>
      <c r="BK369" s="63" t="str">
        <f>INDEX(Table5[[#All],[Team]],MATCH(Table3[[#This Row],[PID]],Table5[[#All],[PID]],0))</f>
        <v/>
      </c>
      <c r="BL369" s="63" t="str">
        <f>IF(OR(Table3[[#This Row],[POS]]="SP",Table3[[#This Row],[POS]]="RP",Table3[[#This Row],[POS]]="CL"),"P",INDEX(Batters[[#All],[zScore]],MATCH(Table3[[#This Row],[PID]],Batters[[#All],[PID]],0)))</f>
        <v>P</v>
      </c>
    </row>
    <row r="370" spans="1:64" ht="15" customHeight="1" x14ac:dyDescent="0.3">
      <c r="A370" s="40">
        <v>12758</v>
      </c>
      <c r="B370" s="40" t="s">
        <v>380</v>
      </c>
      <c r="C370" s="40" t="s">
        <v>1339</v>
      </c>
      <c r="D370" s="40" t="s">
        <v>1028</v>
      </c>
      <c r="E370" s="40">
        <v>21</v>
      </c>
      <c r="F370" s="40" t="s">
        <v>42</v>
      </c>
      <c r="G370" s="40" t="s">
        <v>42</v>
      </c>
      <c r="H370" s="41" t="s">
        <v>561</v>
      </c>
      <c r="I370" s="42" t="s">
        <v>43</v>
      </c>
      <c r="J370" s="40" t="s">
        <v>44</v>
      </c>
      <c r="K370" s="41" t="s">
        <v>43</v>
      </c>
      <c r="L370" s="40">
        <v>2</v>
      </c>
      <c r="M370" s="40">
        <v>2</v>
      </c>
      <c r="N370" s="41">
        <v>1</v>
      </c>
      <c r="O370" s="40">
        <v>4</v>
      </c>
      <c r="P370" s="40">
        <v>2</v>
      </c>
      <c r="Q370" s="41">
        <v>2</v>
      </c>
      <c r="R370" s="40">
        <v>4</v>
      </c>
      <c r="S370" s="40">
        <v>5</v>
      </c>
      <c r="T370" s="40">
        <v>1</v>
      </c>
      <c r="U370" s="40">
        <v>5</v>
      </c>
      <c r="V370" s="40" t="s">
        <v>45</v>
      </c>
      <c r="W370" s="40" t="s">
        <v>45</v>
      </c>
      <c r="X370" s="40">
        <v>3</v>
      </c>
      <c r="Y370" s="40">
        <v>5</v>
      </c>
      <c r="Z370" s="40" t="s">
        <v>45</v>
      </c>
      <c r="AA370" s="40" t="s">
        <v>45</v>
      </c>
      <c r="AB370" s="40" t="s">
        <v>45</v>
      </c>
      <c r="AC370" s="40" t="s">
        <v>45</v>
      </c>
      <c r="AD370" s="40" t="s">
        <v>45</v>
      </c>
      <c r="AE370" s="40" t="s">
        <v>45</v>
      </c>
      <c r="AF370" s="40">
        <v>3</v>
      </c>
      <c r="AG370" s="40">
        <v>3</v>
      </c>
      <c r="AH370" s="40" t="s">
        <v>45</v>
      </c>
      <c r="AI370" s="40" t="s">
        <v>45</v>
      </c>
      <c r="AJ370" s="40" t="s">
        <v>45</v>
      </c>
      <c r="AK370" s="40" t="s">
        <v>45</v>
      </c>
      <c r="AL370" s="40" t="s">
        <v>45</v>
      </c>
      <c r="AM370" s="40" t="s">
        <v>45</v>
      </c>
      <c r="AN370" s="40" t="s">
        <v>45</v>
      </c>
      <c r="AO370" s="41" t="s">
        <v>45</v>
      </c>
      <c r="AP370" s="40" t="s">
        <v>57</v>
      </c>
      <c r="AQ370" s="40">
        <v>6</v>
      </c>
      <c r="AR370" s="48" t="s">
        <v>326</v>
      </c>
      <c r="AS370" s="43" t="s">
        <v>45</v>
      </c>
      <c r="AT370" s="43" t="s">
        <v>103</v>
      </c>
      <c r="AU370" s="44">
        <f t="shared" si="47"/>
        <v>-2.311361197028369</v>
      </c>
      <c r="AV370" s="44">
        <f t="shared" si="48"/>
        <v>-1.23416323121884</v>
      </c>
      <c r="AW370" s="45">
        <f t="shared" si="49"/>
        <v>4</v>
      </c>
      <c r="AX370" s="45">
        <f t="shared" si="50"/>
        <v>0</v>
      </c>
      <c r="AY370" s="46">
        <f>VLOOKUP(AP370,COND!$A$10:$B$32,2,FALSE)</f>
        <v>1</v>
      </c>
      <c r="AZ370" s="44">
        <f>($AU$3*AU370+$AV$3*AV370+$AW$3*AW370+$AX$3*AX370)*AY370*IF(AQ370&lt;5,0.95,IF(AQ370&lt;7,0.975,1))+$I$3*VLOOKUP(I370,COND!$A$2:$E$7,4,FALSE)+$J$3*VLOOKUP(J370,COND!$A$2:$E$7,2,FALSE)+$K$3*VLOOKUP(K370,COND!$A$2:$E$7,3,FALSE)+IF(BB370="SP",$BB$3,0)+IF($AW370&lt;3,-5,0)+IF(AND($B$2&gt;0,$E370&lt;20),$B$2*25,0)</f>
        <v>24.133101557812086</v>
      </c>
      <c r="BA370" s="47">
        <f>STANDARDIZE(AZ370,AVERAGE($AZ$5:$AZ$428),STDEVP($AZ$5:$AZ$428))</f>
        <v>-0.9733631852356861</v>
      </c>
      <c r="BB370" s="45" t="str">
        <f t="shared" si="52"/>
        <v>SP</v>
      </c>
      <c r="BC370" s="45">
        <v>930</v>
      </c>
      <c r="BD370" s="45">
        <v>365</v>
      </c>
      <c r="BE370" s="45"/>
      <c r="BF370" s="45" t="str">
        <f t="shared" si="53"/>
        <v>Unlikely</v>
      </c>
      <c r="BG370" s="45"/>
      <c r="BH370" s="45" t="str">
        <f>INDEX(Table5[[#All],[Ovr]],MATCH(Table3[[#This Row],[PID]],Table5[[#All],[PID]],0))</f>
        <v/>
      </c>
      <c r="BI370" s="45" t="str">
        <f>INDEX(Table5[[#All],[Rnd]],MATCH(Table3[[#This Row],[PID]],Table5[[#All],[PID]],0))</f>
        <v/>
      </c>
      <c r="BJ370" s="45" t="str">
        <f>INDEX(Table5[[#All],[Pick]],MATCH(Table3[[#This Row],[PID]],Table5[[#All],[PID]],0))</f>
        <v/>
      </c>
      <c r="BK370" s="45" t="str">
        <f>INDEX(Table5[[#All],[Team]],MATCH(Table3[[#This Row],[PID]],Table5[[#All],[PID]],0))</f>
        <v/>
      </c>
      <c r="BL370" s="45" t="str">
        <f>IF(OR(Table3[[#This Row],[POS]]="SP",Table3[[#This Row],[POS]]="RP",Table3[[#This Row],[POS]]="CL"),"P",INDEX(Batters[[#All],[zScore]],MATCH(Table3[[#This Row],[PID]],Batters[[#All],[PID]],0)))</f>
        <v>P</v>
      </c>
    </row>
    <row r="371" spans="1:64" ht="15" customHeight="1" x14ac:dyDescent="0.3">
      <c r="A371" s="40">
        <v>8456</v>
      </c>
      <c r="B371" s="40" t="s">
        <v>380</v>
      </c>
      <c r="C371" s="40" t="s">
        <v>140</v>
      </c>
      <c r="D371" s="40" t="s">
        <v>1594</v>
      </c>
      <c r="E371" s="40">
        <v>21</v>
      </c>
      <c r="F371" s="40" t="s">
        <v>42</v>
      </c>
      <c r="G371" s="40" t="s">
        <v>42</v>
      </c>
      <c r="H371" s="41" t="s">
        <v>561</v>
      </c>
      <c r="I371" s="42" t="s">
        <v>44</v>
      </c>
      <c r="J371" s="40" t="s">
        <v>44</v>
      </c>
      <c r="K371" s="41" t="s">
        <v>43</v>
      </c>
      <c r="L371" s="40">
        <v>3</v>
      </c>
      <c r="M371" s="40">
        <v>1</v>
      </c>
      <c r="N371" s="41">
        <v>1</v>
      </c>
      <c r="O371" s="40">
        <v>5</v>
      </c>
      <c r="P371" s="40">
        <v>1</v>
      </c>
      <c r="Q371" s="41">
        <v>2</v>
      </c>
      <c r="R371" s="40">
        <v>4</v>
      </c>
      <c r="S371" s="40">
        <v>5</v>
      </c>
      <c r="T371" s="40">
        <v>1</v>
      </c>
      <c r="U371" s="40">
        <v>2</v>
      </c>
      <c r="V371" s="40" t="s">
        <v>45</v>
      </c>
      <c r="W371" s="40" t="s">
        <v>45</v>
      </c>
      <c r="X371" s="40" t="s">
        <v>45</v>
      </c>
      <c r="Y371" s="40" t="s">
        <v>45</v>
      </c>
      <c r="Z371" s="40" t="s">
        <v>45</v>
      </c>
      <c r="AA371" s="40" t="s">
        <v>45</v>
      </c>
      <c r="AB371" s="40" t="s">
        <v>45</v>
      </c>
      <c r="AC371" s="40" t="s">
        <v>45</v>
      </c>
      <c r="AD371" s="40">
        <v>3</v>
      </c>
      <c r="AE371" s="40">
        <v>4</v>
      </c>
      <c r="AF371" s="40">
        <v>3</v>
      </c>
      <c r="AG371" s="40">
        <v>5</v>
      </c>
      <c r="AH371" s="40" t="s">
        <v>45</v>
      </c>
      <c r="AI371" s="40" t="s">
        <v>45</v>
      </c>
      <c r="AJ371" s="40" t="s">
        <v>45</v>
      </c>
      <c r="AK371" s="40" t="s">
        <v>45</v>
      </c>
      <c r="AL371" s="40" t="s">
        <v>45</v>
      </c>
      <c r="AM371" s="40" t="s">
        <v>45</v>
      </c>
      <c r="AN371" s="40" t="s">
        <v>45</v>
      </c>
      <c r="AO371" s="41" t="s">
        <v>45</v>
      </c>
      <c r="AP371" s="40" t="s">
        <v>329</v>
      </c>
      <c r="AQ371" s="40">
        <v>8</v>
      </c>
      <c r="AR371" s="48" t="s">
        <v>14</v>
      </c>
      <c r="AS371" s="43" t="s">
        <v>45</v>
      </c>
      <c r="AT371" s="43" t="s">
        <v>103</v>
      </c>
      <c r="AU371" s="44">
        <f t="shared" si="47"/>
        <v>-2.3121015889492513</v>
      </c>
      <c r="AV371" s="44">
        <f t="shared" si="48"/>
        <v>-1.2349036231397219</v>
      </c>
      <c r="AW371" s="45">
        <f t="shared" si="49"/>
        <v>4</v>
      </c>
      <c r="AX371" s="45">
        <f t="shared" si="50"/>
        <v>0</v>
      </c>
      <c r="AY371" s="46">
        <f>VLOOKUP(AP371,COND!$A$10:$B$32,2,FALSE)</f>
        <v>1</v>
      </c>
      <c r="AZ371" s="44">
        <f>($AU$3*AU371+$AV$3*AV371+$AW$3*AW371+$AX$3*AX371)*AY371*IF(AQ371&lt;5,0.95,IF(AQ371&lt;7,0.975,1))+$I$3*VLOOKUP(I371,COND!$A$2:$E$7,4,FALSE)+$J$3*VLOOKUP(J371,COND!$A$2:$E$7,2,FALSE)+$K$3*VLOOKUP(K371,COND!$A$2:$E$7,3,FALSE)+IF(BB371="SP",$BB$3,0)+IF($AW371&lt;3,-5,0)+IF(AND($B$2&gt;0,$E371&lt;20),$B$2*25,0)</f>
        <v>23.389507219415712</v>
      </c>
      <c r="BA371" s="47">
        <f>STANDARDIZE(AZ371,AVERAGE($AZ$5:$AZ$445),STDEVP($AZ$5:$AZ$445))</f>
        <v>-1.0191689483528756</v>
      </c>
      <c r="BB371" s="45" t="str">
        <f t="shared" si="52"/>
        <v>SP</v>
      </c>
      <c r="BC371" s="45">
        <v>930</v>
      </c>
      <c r="BD371" s="45">
        <v>366</v>
      </c>
      <c r="BE371" s="45"/>
      <c r="BF371" s="45" t="str">
        <f t="shared" si="53"/>
        <v>Unlikely</v>
      </c>
      <c r="BG371" s="45"/>
      <c r="BH371" s="63">
        <f>INDEX(Table5[[#All],[Ovr]],MATCH(Table3[[#This Row],[PID]],Table5[[#All],[PID]],0))</f>
        <v>637</v>
      </c>
      <c r="BI371" s="63" t="str">
        <f>INDEX(Table5[[#All],[Rnd]],MATCH(Table3[[#This Row],[PID]],Table5[[#All],[PID]],0))</f>
        <v>19</v>
      </c>
      <c r="BJ371" s="63">
        <f>INDEX(Table5[[#All],[Pick]],MATCH(Table3[[#This Row],[PID]],Table5[[#All],[PID]],0))</f>
        <v>34</v>
      </c>
      <c r="BK371" s="63" t="str">
        <f>INDEX(Table5[[#All],[Team]],MATCH(Table3[[#This Row],[PID]],Table5[[#All],[PID]],0))</f>
        <v>New Jersey Hitmen</v>
      </c>
      <c r="BL371" s="63" t="str">
        <f>IF(OR(Table3[[#This Row],[POS]]="SP",Table3[[#This Row],[POS]]="RP",Table3[[#This Row],[POS]]="CL"),"P",INDEX(Batters[[#All],[zScore]],MATCH(Table3[[#This Row],[PID]],Batters[[#All],[PID]],0)))</f>
        <v>P</v>
      </c>
    </row>
    <row r="372" spans="1:64" ht="15" customHeight="1" x14ac:dyDescent="0.3">
      <c r="A372" s="40">
        <v>13955</v>
      </c>
      <c r="B372" s="40" t="s">
        <v>380</v>
      </c>
      <c r="C372" s="40" t="s">
        <v>370</v>
      </c>
      <c r="D372" s="40" t="s">
        <v>1592</v>
      </c>
      <c r="E372" s="40">
        <v>21</v>
      </c>
      <c r="F372" s="40" t="s">
        <v>53</v>
      </c>
      <c r="G372" s="40" t="s">
        <v>53</v>
      </c>
      <c r="H372" s="41" t="s">
        <v>561</v>
      </c>
      <c r="I372" s="42" t="s">
        <v>44</v>
      </c>
      <c r="J372" s="40" t="s">
        <v>44</v>
      </c>
      <c r="K372" s="41" t="s">
        <v>43</v>
      </c>
      <c r="L372" s="40">
        <v>2</v>
      </c>
      <c r="M372" s="40">
        <v>2</v>
      </c>
      <c r="N372" s="41">
        <v>2</v>
      </c>
      <c r="O372" s="40">
        <v>3</v>
      </c>
      <c r="P372" s="40">
        <v>2</v>
      </c>
      <c r="Q372" s="41">
        <v>3</v>
      </c>
      <c r="R372" s="40">
        <v>3</v>
      </c>
      <c r="S372" s="40">
        <v>4</v>
      </c>
      <c r="T372" s="40">
        <v>2</v>
      </c>
      <c r="U372" s="40">
        <v>5</v>
      </c>
      <c r="V372" s="40">
        <v>1</v>
      </c>
      <c r="W372" s="40">
        <v>2</v>
      </c>
      <c r="X372" s="40" t="s">
        <v>45</v>
      </c>
      <c r="Y372" s="40" t="s">
        <v>45</v>
      </c>
      <c r="Z372" s="40" t="s">
        <v>45</v>
      </c>
      <c r="AA372" s="40" t="s">
        <v>45</v>
      </c>
      <c r="AB372" s="40" t="s">
        <v>45</v>
      </c>
      <c r="AC372" s="40" t="s">
        <v>45</v>
      </c>
      <c r="AD372" s="40" t="s">
        <v>45</v>
      </c>
      <c r="AE372" s="40" t="s">
        <v>45</v>
      </c>
      <c r="AF372" s="40" t="s">
        <v>45</v>
      </c>
      <c r="AG372" s="40" t="s">
        <v>45</v>
      </c>
      <c r="AH372" s="40" t="s">
        <v>45</v>
      </c>
      <c r="AI372" s="40" t="s">
        <v>45</v>
      </c>
      <c r="AJ372" s="40" t="s">
        <v>45</v>
      </c>
      <c r="AK372" s="40" t="s">
        <v>45</v>
      </c>
      <c r="AL372" s="40" t="s">
        <v>45</v>
      </c>
      <c r="AM372" s="40" t="s">
        <v>45</v>
      </c>
      <c r="AN372" s="40" t="s">
        <v>45</v>
      </c>
      <c r="AO372" s="41" t="s">
        <v>45</v>
      </c>
      <c r="AP372" s="40" t="s">
        <v>328</v>
      </c>
      <c r="AQ372" s="40">
        <v>4</v>
      </c>
      <c r="AR372" s="48" t="s">
        <v>326</v>
      </c>
      <c r="AS372" s="43" t="s">
        <v>45</v>
      </c>
      <c r="AT372" s="43" t="s">
        <v>103</v>
      </c>
      <c r="AU372" s="44">
        <f t="shared" si="47"/>
        <v>-2.0690406309742588</v>
      </c>
      <c r="AV372" s="44">
        <f t="shared" si="48"/>
        <v>-1.1865339896739031</v>
      </c>
      <c r="AW372" s="45">
        <f t="shared" si="49"/>
        <v>3</v>
      </c>
      <c r="AX372" s="45">
        <f t="shared" si="50"/>
        <v>0</v>
      </c>
      <c r="AY372" s="46">
        <f>VLOOKUP(AP372,COND!$A$10:$B$32,2,FALSE)</f>
        <v>1</v>
      </c>
      <c r="AZ372" s="44">
        <f>($AU$3*AU372+$AV$3*AV372+$AW$3*AW372+$AX$3*AX372)*AY372*IF(AQ372&lt;5,0.95,IF(AQ372&lt;7,0.975,1))+$I$3*VLOOKUP(I372,COND!$A$2:$E$7,4,FALSE)+$J$3*VLOOKUP(J372,COND!$A$2:$E$7,2,FALSE)+$K$3*VLOOKUP(K372,COND!$A$2:$E$7,3,FALSE)+IF(BB372="SP",$BB$3,0)+IF($AW372&lt;3,-5,0)+IF(AND($B$2&gt;0,$E372&lt;20),$B$2*25,0)</f>
        <v>23.037736476310734</v>
      </c>
      <c r="BA372" s="47">
        <f t="shared" ref="BA372:BA393" si="56">STANDARDIZE(AZ372,AVERAGE($AZ$5:$AZ$428),STDEVP($AZ$5:$AZ$428))</f>
        <v>-1.0513608826020624</v>
      </c>
      <c r="BB372" s="45" t="str">
        <f t="shared" si="52"/>
        <v>RP</v>
      </c>
      <c r="BC372" s="45">
        <v>930</v>
      </c>
      <c r="BD372" s="45">
        <v>367</v>
      </c>
      <c r="BE372" s="45"/>
      <c r="BF372" s="45" t="str">
        <f t="shared" si="53"/>
        <v>Unlikely</v>
      </c>
      <c r="BG372" s="45"/>
      <c r="BH372" s="45">
        <f>INDEX(Table5[[#All],[Ovr]],MATCH(Table3[[#This Row],[PID]],Table5[[#All],[PID]],0))</f>
        <v>671</v>
      </c>
      <c r="BI372" s="45" t="str">
        <f>INDEX(Table5[[#All],[Rnd]],MATCH(Table3[[#This Row],[PID]],Table5[[#All],[PID]],0))</f>
        <v>20</v>
      </c>
      <c r="BJ372" s="45">
        <f>INDEX(Table5[[#All],[Pick]],MATCH(Table3[[#This Row],[PID]],Table5[[#All],[PID]],0))</f>
        <v>34</v>
      </c>
      <c r="BK372" s="45" t="str">
        <f>INDEX(Table5[[#All],[Team]],MATCH(Table3[[#This Row],[PID]],Table5[[#All],[PID]],0))</f>
        <v>Gloucester Fishermen</v>
      </c>
      <c r="BL372" s="45" t="str">
        <f>IF(OR(Table3[[#This Row],[POS]]="SP",Table3[[#This Row],[POS]]="RP",Table3[[#This Row],[POS]]="CL"),"P",INDEX(Batters[[#All],[zScore]],MATCH(Table3[[#This Row],[PID]],Batters[[#All],[PID]],0)))</f>
        <v>P</v>
      </c>
    </row>
    <row r="373" spans="1:64" ht="15" customHeight="1" x14ac:dyDescent="0.3">
      <c r="A373" s="40">
        <v>20220</v>
      </c>
      <c r="B373" s="40" t="s">
        <v>380</v>
      </c>
      <c r="C373" s="40" t="s">
        <v>318</v>
      </c>
      <c r="D373" s="40" t="s">
        <v>683</v>
      </c>
      <c r="E373" s="40">
        <v>21</v>
      </c>
      <c r="F373" s="40" t="s">
        <v>62</v>
      </c>
      <c r="G373" s="40" t="s">
        <v>42</v>
      </c>
      <c r="H373" s="41" t="s">
        <v>561</v>
      </c>
      <c r="I373" s="42" t="s">
        <v>43</v>
      </c>
      <c r="J373" s="40" t="s">
        <v>44</v>
      </c>
      <c r="K373" s="41" t="s">
        <v>43</v>
      </c>
      <c r="L373" s="40">
        <v>3</v>
      </c>
      <c r="M373" s="40">
        <v>2</v>
      </c>
      <c r="N373" s="41">
        <v>1</v>
      </c>
      <c r="O373" s="40">
        <v>4</v>
      </c>
      <c r="P373" s="40">
        <v>2</v>
      </c>
      <c r="Q373" s="41">
        <v>2</v>
      </c>
      <c r="R373" s="40" t="s">
        <v>45</v>
      </c>
      <c r="S373" s="40" t="s">
        <v>45</v>
      </c>
      <c r="T373" s="40">
        <v>1</v>
      </c>
      <c r="U373" s="40">
        <v>1</v>
      </c>
      <c r="V373" s="40">
        <v>4</v>
      </c>
      <c r="W373" s="40">
        <v>5</v>
      </c>
      <c r="X373" s="40" t="s">
        <v>45</v>
      </c>
      <c r="Y373" s="40" t="s">
        <v>45</v>
      </c>
      <c r="Z373" s="40" t="s">
        <v>45</v>
      </c>
      <c r="AA373" s="40" t="s">
        <v>45</v>
      </c>
      <c r="AB373" s="40">
        <v>4</v>
      </c>
      <c r="AC373" s="40">
        <v>5</v>
      </c>
      <c r="AD373" s="40">
        <v>3</v>
      </c>
      <c r="AE373" s="40">
        <v>4</v>
      </c>
      <c r="AF373" s="40" t="s">
        <v>45</v>
      </c>
      <c r="AG373" s="40" t="s">
        <v>45</v>
      </c>
      <c r="AH373" s="40" t="s">
        <v>45</v>
      </c>
      <c r="AI373" s="40" t="s">
        <v>45</v>
      </c>
      <c r="AJ373" s="40" t="s">
        <v>45</v>
      </c>
      <c r="AK373" s="40" t="s">
        <v>45</v>
      </c>
      <c r="AL373" s="40" t="s">
        <v>45</v>
      </c>
      <c r="AM373" s="40" t="s">
        <v>45</v>
      </c>
      <c r="AN373" s="40" t="s">
        <v>45</v>
      </c>
      <c r="AO373" s="41" t="s">
        <v>45</v>
      </c>
      <c r="AP373" s="40" t="s">
        <v>57</v>
      </c>
      <c r="AQ373" s="40">
        <v>1</v>
      </c>
      <c r="AR373" s="48" t="s">
        <v>326</v>
      </c>
      <c r="AS373" s="43" t="s">
        <v>45</v>
      </c>
      <c r="AT373" s="43" t="s">
        <v>103</v>
      </c>
      <c r="AU373" s="44">
        <f t="shared" si="47"/>
        <v>-2.1166698725191955</v>
      </c>
      <c r="AV373" s="44">
        <f t="shared" si="48"/>
        <v>-1.23416323121884</v>
      </c>
      <c r="AW373" s="45">
        <f t="shared" si="49"/>
        <v>4</v>
      </c>
      <c r="AX373" s="45">
        <f t="shared" si="50"/>
        <v>0</v>
      </c>
      <c r="AY373" s="46">
        <f>VLOOKUP(AP373,COND!$A$10:$B$32,2,FALSE)</f>
        <v>1</v>
      </c>
      <c r="AZ373" s="44">
        <f>($AU$3*AU373+$AV$3*AV373+$AW$3*AW373+$AX$3*AX373)*AY373*IF(AQ373&lt;5,0.95,IF(AQ373&lt;7,0.975,1))+$I$3*VLOOKUP(I373,COND!$A$2:$E$7,4,FALSE)+$J$3*VLOOKUP(J373,COND!$A$2:$E$7,2,FALSE)+$K$3*VLOOKUP(K373,COND!$A$2:$E$7,3,FALSE)+IF(BB373="SP",$BB$3,0)+IF($AW373&lt;3,-5,0)+IF(AND($B$2&gt;0,$E373&lt;20),$B$2*25,0)</f>
        <v>22.748731331063393</v>
      </c>
      <c r="BA373" s="47">
        <f t="shared" si="56"/>
        <v>-1.0719400814801487</v>
      </c>
      <c r="BB373" s="45" t="str">
        <f t="shared" si="52"/>
        <v>RP</v>
      </c>
      <c r="BC373" s="45">
        <v>930</v>
      </c>
      <c r="BD373" s="45">
        <v>368</v>
      </c>
      <c r="BE373" s="45"/>
      <c r="BF373" s="45" t="str">
        <f t="shared" si="53"/>
        <v>Unlikely</v>
      </c>
      <c r="BG373" s="45"/>
      <c r="BH373" s="45" t="str">
        <f>INDEX(Table5[[#All],[Ovr]],MATCH(Table3[[#This Row],[PID]],Table5[[#All],[PID]],0))</f>
        <v/>
      </c>
      <c r="BI373" s="45" t="str">
        <f>INDEX(Table5[[#All],[Rnd]],MATCH(Table3[[#This Row],[PID]],Table5[[#All],[PID]],0))</f>
        <v/>
      </c>
      <c r="BJ373" s="45" t="str">
        <f>INDEX(Table5[[#All],[Pick]],MATCH(Table3[[#This Row],[PID]],Table5[[#All],[PID]],0))</f>
        <v/>
      </c>
      <c r="BK373" s="45" t="str">
        <f>INDEX(Table5[[#All],[Team]],MATCH(Table3[[#This Row],[PID]],Table5[[#All],[PID]],0))</f>
        <v/>
      </c>
      <c r="BL373" s="45" t="str">
        <f>IF(OR(Table3[[#This Row],[POS]]="SP",Table3[[#This Row],[POS]]="RP",Table3[[#This Row],[POS]]="CL"),"P",INDEX(Batters[[#All],[zScore]],MATCH(Table3[[#This Row],[PID]],Batters[[#All],[PID]],0)))</f>
        <v>P</v>
      </c>
    </row>
    <row r="374" spans="1:64" ht="15" customHeight="1" x14ac:dyDescent="0.3">
      <c r="A374" s="40">
        <v>10321</v>
      </c>
      <c r="B374" s="40" t="s">
        <v>24</v>
      </c>
      <c r="C374" s="40" t="s">
        <v>720</v>
      </c>
      <c r="D374" s="40" t="s">
        <v>951</v>
      </c>
      <c r="E374" s="40">
        <v>22</v>
      </c>
      <c r="F374" s="40" t="s">
        <v>62</v>
      </c>
      <c r="G374" s="40" t="s">
        <v>42</v>
      </c>
      <c r="H374" s="41" t="s">
        <v>561</v>
      </c>
      <c r="I374" s="42" t="s">
        <v>43</v>
      </c>
      <c r="J374" s="40" t="s">
        <v>44</v>
      </c>
      <c r="K374" s="41" t="s">
        <v>43</v>
      </c>
      <c r="L374" s="40">
        <v>1</v>
      </c>
      <c r="M374" s="40">
        <v>3</v>
      </c>
      <c r="N374" s="41">
        <v>1</v>
      </c>
      <c r="O374" s="40">
        <v>4</v>
      </c>
      <c r="P374" s="40">
        <v>3</v>
      </c>
      <c r="Q374" s="41">
        <v>1</v>
      </c>
      <c r="R374" s="40">
        <v>3</v>
      </c>
      <c r="S374" s="40">
        <v>5</v>
      </c>
      <c r="T374" s="40">
        <v>1</v>
      </c>
      <c r="U374" s="40">
        <v>5</v>
      </c>
      <c r="V374" s="40" t="s">
        <v>45</v>
      </c>
      <c r="W374" s="40" t="s">
        <v>45</v>
      </c>
      <c r="X374" s="40">
        <v>2</v>
      </c>
      <c r="Y374" s="40">
        <v>5</v>
      </c>
      <c r="Z374" s="40" t="s">
        <v>45</v>
      </c>
      <c r="AA374" s="40" t="s">
        <v>45</v>
      </c>
      <c r="AB374" s="40" t="s">
        <v>45</v>
      </c>
      <c r="AC374" s="40" t="s">
        <v>45</v>
      </c>
      <c r="AD374" s="40" t="s">
        <v>45</v>
      </c>
      <c r="AE374" s="40" t="s">
        <v>45</v>
      </c>
      <c r="AF374" s="40" t="s">
        <v>45</v>
      </c>
      <c r="AG374" s="40" t="s">
        <v>45</v>
      </c>
      <c r="AH374" s="40" t="s">
        <v>45</v>
      </c>
      <c r="AI374" s="40" t="s">
        <v>45</v>
      </c>
      <c r="AJ374" s="40" t="s">
        <v>45</v>
      </c>
      <c r="AK374" s="40" t="s">
        <v>45</v>
      </c>
      <c r="AL374" s="40" t="s">
        <v>45</v>
      </c>
      <c r="AM374" s="40" t="s">
        <v>45</v>
      </c>
      <c r="AN374" s="40" t="s">
        <v>45</v>
      </c>
      <c r="AO374" s="41" t="s">
        <v>45</v>
      </c>
      <c r="AP374" s="40" t="s">
        <v>328</v>
      </c>
      <c r="AQ374" s="40">
        <v>8</v>
      </c>
      <c r="AR374" s="48" t="s">
        <v>326</v>
      </c>
      <c r="AS374" s="43" t="s">
        <v>45</v>
      </c>
      <c r="AT374" s="43" t="s">
        <v>103</v>
      </c>
      <c r="AU374" s="44">
        <f t="shared" si="47"/>
        <v>-2.310620805107487</v>
      </c>
      <c r="AV374" s="44">
        <f t="shared" si="48"/>
        <v>-1.2810520808428949</v>
      </c>
      <c r="AW374" s="45">
        <f t="shared" si="49"/>
        <v>3</v>
      </c>
      <c r="AX374" s="45">
        <f t="shared" si="50"/>
        <v>0</v>
      </c>
      <c r="AY374" s="46">
        <f>VLOOKUP(AP374,COND!$A$10:$B$32,2,FALSE)</f>
        <v>1</v>
      </c>
      <c r="AZ374" s="44">
        <f>($AU$3*AU374+$AV$3*AV374+$AW$3*AW374+$AX$3*AX374)*AY374*IF(AQ374&lt;5,0.95,IF(AQ374&lt;7,0.975,1))+$I$3*VLOOKUP(I374,COND!$A$2:$E$7,4,FALSE)+$J$3*VLOOKUP(J374,COND!$A$2:$E$7,2,FALSE)+$K$3*VLOOKUP(K374,COND!$A$2:$E$7,3,FALSE)+IF(BB374="SP",$BB$3,0)+IF($AW374&lt;3,-5,0)+IF(AND($B$2&gt;0,$E374&lt;20),$B$2*25,0)</f>
        <v>22.116834222120605</v>
      </c>
      <c r="BA374" s="47">
        <f t="shared" si="56"/>
        <v>-1.116935599688976</v>
      </c>
      <c r="BB374" s="45" t="str">
        <f t="shared" si="52"/>
        <v>SP</v>
      </c>
      <c r="BC374" s="45">
        <v>930</v>
      </c>
      <c r="BD374" s="45">
        <v>369</v>
      </c>
      <c r="BE374" s="45"/>
      <c r="BF374" s="45" t="str">
        <f t="shared" si="53"/>
        <v>Unlikely</v>
      </c>
      <c r="BG374" s="45"/>
      <c r="BH374" s="45">
        <f>INDEX(Table5[[#All],[Ovr]],MATCH(Table3[[#This Row],[PID]],Table5[[#All],[PID]],0))</f>
        <v>619</v>
      </c>
      <c r="BI374" s="45" t="str">
        <f>INDEX(Table5[[#All],[Rnd]],MATCH(Table3[[#This Row],[PID]],Table5[[#All],[PID]],0))</f>
        <v>19</v>
      </c>
      <c r="BJ374" s="45">
        <f>INDEX(Table5[[#All],[Pick]],MATCH(Table3[[#This Row],[PID]],Table5[[#All],[PID]],0))</f>
        <v>16</v>
      </c>
      <c r="BK374" s="45" t="str">
        <f>INDEX(Table5[[#All],[Team]],MATCH(Table3[[#This Row],[PID]],Table5[[#All],[PID]],0))</f>
        <v>Madison Malts</v>
      </c>
      <c r="BL374" s="45" t="str">
        <f>IF(OR(Table3[[#This Row],[POS]]="SP",Table3[[#This Row],[POS]]="RP",Table3[[#This Row],[POS]]="CL"),"P",INDEX(Batters[[#All],[zScore]],MATCH(Table3[[#This Row],[PID]],Batters[[#All],[PID]],0)))</f>
        <v>P</v>
      </c>
    </row>
    <row r="375" spans="1:64" ht="15" customHeight="1" x14ac:dyDescent="0.3">
      <c r="A375" s="40">
        <v>7465</v>
      </c>
      <c r="B375" s="40" t="s">
        <v>24</v>
      </c>
      <c r="C375" s="40" t="s">
        <v>161</v>
      </c>
      <c r="D375" s="40" t="s">
        <v>1536</v>
      </c>
      <c r="E375" s="40">
        <v>21</v>
      </c>
      <c r="F375" s="40" t="s">
        <v>62</v>
      </c>
      <c r="G375" s="40" t="s">
        <v>42</v>
      </c>
      <c r="H375" s="41" t="s">
        <v>561</v>
      </c>
      <c r="I375" s="42" t="s">
        <v>43</v>
      </c>
      <c r="J375" s="40" t="s">
        <v>44</v>
      </c>
      <c r="K375" s="41" t="s">
        <v>43</v>
      </c>
      <c r="L375" s="40">
        <v>2</v>
      </c>
      <c r="M375" s="40">
        <v>1</v>
      </c>
      <c r="N375" s="41">
        <v>1</v>
      </c>
      <c r="O375" s="40">
        <v>4</v>
      </c>
      <c r="P375" s="40">
        <v>1</v>
      </c>
      <c r="Q375" s="41">
        <v>2</v>
      </c>
      <c r="R375" s="40">
        <v>4</v>
      </c>
      <c r="S375" s="40">
        <v>6</v>
      </c>
      <c r="T375" s="40">
        <v>1</v>
      </c>
      <c r="U375" s="40">
        <v>7</v>
      </c>
      <c r="V375" s="40">
        <v>2</v>
      </c>
      <c r="W375" s="40">
        <v>5</v>
      </c>
      <c r="X375" s="40" t="s">
        <v>45</v>
      </c>
      <c r="Y375" s="40" t="s">
        <v>45</v>
      </c>
      <c r="Z375" s="40" t="s">
        <v>45</v>
      </c>
      <c r="AA375" s="40" t="s">
        <v>45</v>
      </c>
      <c r="AB375" s="40" t="s">
        <v>45</v>
      </c>
      <c r="AC375" s="40" t="s">
        <v>45</v>
      </c>
      <c r="AD375" s="40" t="s">
        <v>45</v>
      </c>
      <c r="AE375" s="40" t="s">
        <v>45</v>
      </c>
      <c r="AF375" s="40" t="s">
        <v>45</v>
      </c>
      <c r="AG375" s="40" t="s">
        <v>45</v>
      </c>
      <c r="AH375" s="40" t="s">
        <v>45</v>
      </c>
      <c r="AI375" s="40" t="s">
        <v>45</v>
      </c>
      <c r="AJ375" s="40" t="s">
        <v>45</v>
      </c>
      <c r="AK375" s="40" t="s">
        <v>45</v>
      </c>
      <c r="AL375" s="40" t="s">
        <v>45</v>
      </c>
      <c r="AM375" s="40" t="s">
        <v>45</v>
      </c>
      <c r="AN375" s="40" t="s">
        <v>45</v>
      </c>
      <c r="AO375" s="41" t="s">
        <v>45</v>
      </c>
      <c r="AP375" s="40" t="s">
        <v>57</v>
      </c>
      <c r="AQ375" s="40">
        <v>7</v>
      </c>
      <c r="AR375" s="48" t="s">
        <v>14</v>
      </c>
      <c r="AS375" s="43" t="s">
        <v>45</v>
      </c>
      <c r="AT375" s="43" t="s">
        <v>103</v>
      </c>
      <c r="AU375" s="44">
        <f t="shared" si="47"/>
        <v>-2.5067929134584248</v>
      </c>
      <c r="AV375" s="44">
        <f t="shared" si="48"/>
        <v>-1.4295949476488956</v>
      </c>
      <c r="AW375" s="45">
        <f t="shared" si="49"/>
        <v>3</v>
      </c>
      <c r="AX375" s="45">
        <f t="shared" si="50"/>
        <v>2</v>
      </c>
      <c r="AY375" s="46">
        <f>VLOOKUP(AP375,COND!$A$10:$B$32,2,FALSE)</f>
        <v>1</v>
      </c>
      <c r="AZ375" s="44">
        <f>($AU$3*AU375+$AV$3*AV375+$AW$3*AW375+$AX$3*AX375)*AY375*IF(AQ375&lt;5,0.95,IF(AQ375&lt;7,0.975,1))+$I$3*VLOOKUP(I375,COND!$A$2:$E$7,4,FALSE)+$J$3*VLOOKUP(J375,COND!$A$2:$E$7,2,FALSE)+$K$3*VLOOKUP(K375,COND!$A$2:$E$7,3,FALSE)+IF(BB375="SP",$BB$3,0)+IF($AW375&lt;3,-5,0)+IF(AND($B$2&gt;0,$E375&lt;20),$B$2*25,0)</f>
        <v>21.606742464330399</v>
      </c>
      <c r="BA375" s="47">
        <f t="shared" si="56"/>
        <v>-1.1532577202541772</v>
      </c>
      <c r="BB375" s="45" t="str">
        <f t="shared" si="52"/>
        <v>SP</v>
      </c>
      <c r="BC375" s="45">
        <v>930</v>
      </c>
      <c r="BD375" s="45">
        <v>370</v>
      </c>
      <c r="BE375" s="45"/>
      <c r="BF375" s="45" t="str">
        <f t="shared" si="53"/>
        <v>Unlikely</v>
      </c>
      <c r="BG375" s="45"/>
      <c r="BH375" s="45">
        <f>INDEX(Table5[[#All],[Ovr]],MATCH(Table3[[#This Row],[PID]],Table5[[#All],[PID]],0))</f>
        <v>551</v>
      </c>
      <c r="BI375" s="45" t="str">
        <f>INDEX(Table5[[#All],[Rnd]],MATCH(Table3[[#This Row],[PID]],Table5[[#All],[PID]],0))</f>
        <v>17</v>
      </c>
      <c r="BJ375" s="45">
        <f>INDEX(Table5[[#All],[Pick]],MATCH(Table3[[#This Row],[PID]],Table5[[#All],[PID]],0))</f>
        <v>16</v>
      </c>
      <c r="BK375" s="45" t="str">
        <f>INDEX(Table5[[#All],[Team]],MATCH(Table3[[#This Row],[PID]],Table5[[#All],[PID]],0))</f>
        <v>Madison Malts</v>
      </c>
      <c r="BL375" s="45" t="str">
        <f>IF(OR(Table3[[#This Row],[POS]]="SP",Table3[[#This Row],[POS]]="RP",Table3[[#This Row],[POS]]="CL"),"P",INDEX(Batters[[#All],[zScore]],MATCH(Table3[[#This Row],[PID]],Batters[[#All],[PID]],0)))</f>
        <v>P</v>
      </c>
    </row>
    <row r="376" spans="1:64" ht="15" customHeight="1" x14ac:dyDescent="0.3">
      <c r="A376" s="40">
        <v>12174</v>
      </c>
      <c r="B376" s="40" t="s">
        <v>380</v>
      </c>
      <c r="C376" s="40" t="s">
        <v>1473</v>
      </c>
      <c r="D376" s="40" t="s">
        <v>1474</v>
      </c>
      <c r="E376" s="40">
        <v>21</v>
      </c>
      <c r="F376" s="40" t="s">
        <v>42</v>
      </c>
      <c r="G376" s="40" t="s">
        <v>53</v>
      </c>
      <c r="H376" s="41" t="s">
        <v>561</v>
      </c>
      <c r="I376" s="42" t="s">
        <v>43</v>
      </c>
      <c r="J376" s="40" t="s">
        <v>44</v>
      </c>
      <c r="K376" s="41" t="s">
        <v>43</v>
      </c>
      <c r="L376" s="40">
        <v>2</v>
      </c>
      <c r="M376" s="40">
        <v>1</v>
      </c>
      <c r="N376" s="41">
        <v>1</v>
      </c>
      <c r="O376" s="40">
        <v>3</v>
      </c>
      <c r="P376" s="40">
        <v>1</v>
      </c>
      <c r="Q376" s="41">
        <v>3</v>
      </c>
      <c r="R376" s="40">
        <v>3</v>
      </c>
      <c r="S376" s="40">
        <v>4</v>
      </c>
      <c r="T376" s="40">
        <v>2</v>
      </c>
      <c r="U376" s="40">
        <v>4</v>
      </c>
      <c r="V376" s="40" t="s">
        <v>45</v>
      </c>
      <c r="W376" s="40" t="s">
        <v>45</v>
      </c>
      <c r="X376" s="40">
        <v>2</v>
      </c>
      <c r="Y376" s="40">
        <v>3</v>
      </c>
      <c r="Z376" s="40" t="s">
        <v>45</v>
      </c>
      <c r="AA376" s="40" t="s">
        <v>45</v>
      </c>
      <c r="AB376" s="40">
        <v>3</v>
      </c>
      <c r="AC376" s="40">
        <v>3</v>
      </c>
      <c r="AD376" s="40" t="s">
        <v>45</v>
      </c>
      <c r="AE376" s="40" t="s">
        <v>45</v>
      </c>
      <c r="AF376" s="40" t="s">
        <v>45</v>
      </c>
      <c r="AG376" s="40" t="s">
        <v>45</v>
      </c>
      <c r="AH376" s="40" t="s">
        <v>45</v>
      </c>
      <c r="AI376" s="40" t="s">
        <v>45</v>
      </c>
      <c r="AJ376" s="40" t="s">
        <v>45</v>
      </c>
      <c r="AK376" s="40" t="s">
        <v>45</v>
      </c>
      <c r="AL376" s="40" t="s">
        <v>45</v>
      </c>
      <c r="AM376" s="40" t="s">
        <v>45</v>
      </c>
      <c r="AN376" s="40" t="s">
        <v>45</v>
      </c>
      <c r="AO376" s="41" t="s">
        <v>45</v>
      </c>
      <c r="AP376" s="40" t="s">
        <v>328</v>
      </c>
      <c r="AQ376" s="40">
        <v>6</v>
      </c>
      <c r="AR376" s="48" t="s">
        <v>14</v>
      </c>
      <c r="AS376" s="43" t="s">
        <v>45</v>
      </c>
      <c r="AT376" s="43" t="s">
        <v>117</v>
      </c>
      <c r="AU376" s="44">
        <f t="shared" si="47"/>
        <v>-2.5067929134584248</v>
      </c>
      <c r="AV376" s="44">
        <f t="shared" si="48"/>
        <v>-1.3819657061039585</v>
      </c>
      <c r="AW376" s="45">
        <f t="shared" si="49"/>
        <v>4</v>
      </c>
      <c r="AX376" s="45">
        <f t="shared" si="50"/>
        <v>0</v>
      </c>
      <c r="AY376" s="46">
        <f>VLOOKUP(AP376,COND!$A$10:$B$32,2,FALSE)</f>
        <v>1</v>
      </c>
      <c r="AZ376" s="44">
        <f>($AU$3*AU376+$AV$3*AV376+$AW$3*AW376+$AX$3*AX376)*AY376*IF(AQ376&lt;5,0.95,IF(AQ376&lt;7,0.975,1))+$I$3*VLOOKUP(I376,COND!$A$2:$E$7,4,FALSE)+$J$3*VLOOKUP(J376,COND!$A$2:$E$7,2,FALSE)+$K$3*VLOOKUP(K376,COND!$A$2:$E$7,3,FALSE)+IF(BB376="SP",$BB$3,0)+IF($AW376&lt;3,-5,0)+IF(AND($B$2&gt;0,$E376&lt;20),$B$2*25,0)</f>
        <v>21.212844112848416</v>
      </c>
      <c r="BA376" s="47">
        <f t="shared" si="56"/>
        <v>-1.1813060531167656</v>
      </c>
      <c r="BB376" s="45" t="str">
        <f t="shared" si="52"/>
        <v>SP</v>
      </c>
      <c r="BC376" s="45">
        <v>930</v>
      </c>
      <c r="BD376" s="45">
        <v>371</v>
      </c>
      <c r="BE376" s="45"/>
      <c r="BF376" s="45" t="str">
        <f t="shared" si="53"/>
        <v>Unlikely</v>
      </c>
      <c r="BG376" s="45"/>
      <c r="BH376" s="45" t="str">
        <f>INDEX(Table5[[#All],[Ovr]],MATCH(Table3[[#This Row],[PID]],Table5[[#All],[PID]],0))</f>
        <v/>
      </c>
      <c r="BI376" s="45" t="str">
        <f>INDEX(Table5[[#All],[Rnd]],MATCH(Table3[[#This Row],[PID]],Table5[[#All],[PID]],0))</f>
        <v/>
      </c>
      <c r="BJ376" s="45" t="str">
        <f>INDEX(Table5[[#All],[Pick]],MATCH(Table3[[#This Row],[PID]],Table5[[#All],[PID]],0))</f>
        <v/>
      </c>
      <c r="BK376" s="45" t="str">
        <f>INDEX(Table5[[#All],[Team]],MATCH(Table3[[#This Row],[PID]],Table5[[#All],[PID]],0))</f>
        <v/>
      </c>
      <c r="BL376" s="45" t="str">
        <f>IF(OR(Table3[[#This Row],[POS]]="SP",Table3[[#This Row],[POS]]="RP",Table3[[#This Row],[POS]]="CL"),"P",INDEX(Batters[[#All],[zScore]],MATCH(Table3[[#This Row],[PID]],Batters[[#All],[PID]],0)))</f>
        <v>P</v>
      </c>
    </row>
    <row r="377" spans="1:64" ht="15" customHeight="1" x14ac:dyDescent="0.3">
      <c r="A377" s="40">
        <v>8776</v>
      </c>
      <c r="B377" s="40" t="s">
        <v>380</v>
      </c>
      <c r="C377" s="40" t="s">
        <v>736</v>
      </c>
      <c r="D377" s="40" t="s">
        <v>629</v>
      </c>
      <c r="E377" s="40">
        <v>21</v>
      </c>
      <c r="F377" s="40" t="s">
        <v>42</v>
      </c>
      <c r="G377" s="40" t="s">
        <v>42</v>
      </c>
      <c r="H377" s="41" t="s">
        <v>561</v>
      </c>
      <c r="I377" s="42" t="s">
        <v>44</v>
      </c>
      <c r="J377" s="40" t="s">
        <v>44</v>
      </c>
      <c r="K377" s="41" t="s">
        <v>43</v>
      </c>
      <c r="L377" s="40">
        <v>3</v>
      </c>
      <c r="M377" s="40">
        <v>1</v>
      </c>
      <c r="N377" s="41">
        <v>3</v>
      </c>
      <c r="O377" s="40">
        <v>3</v>
      </c>
      <c r="P377" s="40">
        <v>1</v>
      </c>
      <c r="Q377" s="41">
        <v>3</v>
      </c>
      <c r="R377" s="40">
        <v>4</v>
      </c>
      <c r="S377" s="40">
        <v>4</v>
      </c>
      <c r="T377" s="40">
        <v>2</v>
      </c>
      <c r="U377" s="40">
        <v>2</v>
      </c>
      <c r="V377" s="40">
        <v>3</v>
      </c>
      <c r="W377" s="40">
        <v>3</v>
      </c>
      <c r="X377" s="40">
        <v>3</v>
      </c>
      <c r="Y377" s="40">
        <v>4</v>
      </c>
      <c r="Z377" s="40" t="s">
        <v>45</v>
      </c>
      <c r="AA377" s="40" t="s">
        <v>45</v>
      </c>
      <c r="AB377" s="40" t="s">
        <v>45</v>
      </c>
      <c r="AC377" s="40" t="s">
        <v>45</v>
      </c>
      <c r="AD377" s="40" t="s">
        <v>45</v>
      </c>
      <c r="AE377" s="40" t="s">
        <v>45</v>
      </c>
      <c r="AF377" s="40" t="s">
        <v>45</v>
      </c>
      <c r="AG377" s="40" t="s">
        <v>45</v>
      </c>
      <c r="AH377" s="40" t="s">
        <v>45</v>
      </c>
      <c r="AI377" s="40" t="s">
        <v>45</v>
      </c>
      <c r="AJ377" s="40" t="s">
        <v>45</v>
      </c>
      <c r="AK377" s="40" t="s">
        <v>45</v>
      </c>
      <c r="AL377" s="40" t="s">
        <v>45</v>
      </c>
      <c r="AM377" s="40" t="s">
        <v>45</v>
      </c>
      <c r="AN377" s="40" t="s">
        <v>45</v>
      </c>
      <c r="AO377" s="41" t="s">
        <v>45</v>
      </c>
      <c r="AP377" s="40" t="s">
        <v>57</v>
      </c>
      <c r="AQ377" s="40">
        <v>6</v>
      </c>
      <c r="AR377" s="48" t="s">
        <v>330</v>
      </c>
      <c r="AS377" s="43" t="s">
        <v>45</v>
      </c>
      <c r="AT377" s="43" t="s">
        <v>103</v>
      </c>
      <c r="AU377" s="44">
        <f t="shared" si="47"/>
        <v>-1.8274604568410304</v>
      </c>
      <c r="AV377" s="44">
        <f t="shared" si="48"/>
        <v>-1.3819657061039585</v>
      </c>
      <c r="AW377" s="45">
        <f t="shared" si="49"/>
        <v>4</v>
      </c>
      <c r="AX377" s="45">
        <f t="shared" si="50"/>
        <v>0</v>
      </c>
      <c r="AY377" s="46">
        <f>VLOOKUP(AP377,COND!$A$10:$B$32,2,FALSE)</f>
        <v>1</v>
      </c>
      <c r="AZ377" s="44">
        <f>($AU$3*AU377+$AV$3*AV377+$AW$3*AW377+$AX$3*AX377)*AY377*IF(AQ377&lt;5,0.95,IF(AQ377&lt;7,0.975,1))+$I$3*VLOOKUP(I377,COND!$A$2:$E$7,4,FALSE)+$J$3*VLOOKUP(J377,COND!$A$2:$E$7,2,FALSE)+$K$3*VLOOKUP(K377,COND!$A$2:$E$7,3,FALSE)+IF(BB377="SP",$BB$3,0)+IF($AW377&lt;3,-5,0)+IF(AND($B$2&gt;0,$E377&lt;20),$B$2*25,0)</f>
        <v>21.195313941888806</v>
      </c>
      <c r="BA377" s="47">
        <f t="shared" si="56"/>
        <v>-1.1825543245765555</v>
      </c>
      <c r="BB377" s="45" t="str">
        <f t="shared" si="52"/>
        <v>SP</v>
      </c>
      <c r="BC377" s="45">
        <v>930</v>
      </c>
      <c r="BD377" s="45">
        <v>372</v>
      </c>
      <c r="BE377" s="45"/>
      <c r="BF377" s="45" t="str">
        <f t="shared" si="53"/>
        <v>Unlikely</v>
      </c>
      <c r="BG377" s="45"/>
      <c r="BH377" s="45" t="str">
        <f>INDEX(Table5[[#All],[Ovr]],MATCH(Table3[[#This Row],[PID]],Table5[[#All],[PID]],0))</f>
        <v/>
      </c>
      <c r="BI377" s="45" t="str">
        <f>INDEX(Table5[[#All],[Rnd]],MATCH(Table3[[#This Row],[PID]],Table5[[#All],[PID]],0))</f>
        <v/>
      </c>
      <c r="BJ377" s="45" t="str">
        <f>INDEX(Table5[[#All],[Pick]],MATCH(Table3[[#This Row],[PID]],Table5[[#All],[PID]],0))</f>
        <v/>
      </c>
      <c r="BK377" s="45" t="str">
        <f>INDEX(Table5[[#All],[Team]],MATCH(Table3[[#This Row],[PID]],Table5[[#All],[PID]],0))</f>
        <v/>
      </c>
      <c r="BL377" s="45" t="str">
        <f>IF(OR(Table3[[#This Row],[POS]]="SP",Table3[[#This Row],[POS]]="RP",Table3[[#This Row],[POS]]="CL"),"P",INDEX(Batters[[#All],[zScore]],MATCH(Table3[[#This Row],[PID]],Batters[[#All],[PID]],0)))</f>
        <v>P</v>
      </c>
    </row>
    <row r="378" spans="1:64" ht="15" customHeight="1" x14ac:dyDescent="0.3">
      <c r="A378" s="40">
        <v>10927</v>
      </c>
      <c r="B378" s="40" t="s">
        <v>380</v>
      </c>
      <c r="C378" s="40" t="s">
        <v>1508</v>
      </c>
      <c r="D378" s="40" t="s">
        <v>978</v>
      </c>
      <c r="E378" s="40">
        <v>21</v>
      </c>
      <c r="F378" s="40" t="s">
        <v>62</v>
      </c>
      <c r="G378" s="40" t="s">
        <v>42</v>
      </c>
      <c r="H378" s="41" t="s">
        <v>561</v>
      </c>
      <c r="I378" s="42" t="s">
        <v>43</v>
      </c>
      <c r="J378" s="40" t="s">
        <v>44</v>
      </c>
      <c r="K378" s="41" t="s">
        <v>43</v>
      </c>
      <c r="L378" s="40">
        <v>2</v>
      </c>
      <c r="M378" s="40">
        <v>1</v>
      </c>
      <c r="N378" s="41">
        <v>1</v>
      </c>
      <c r="O378" s="40">
        <v>4</v>
      </c>
      <c r="P378" s="40">
        <v>1</v>
      </c>
      <c r="Q378" s="41">
        <v>2</v>
      </c>
      <c r="R378" s="40">
        <v>4</v>
      </c>
      <c r="S378" s="40">
        <v>6</v>
      </c>
      <c r="T378" s="40">
        <v>1</v>
      </c>
      <c r="U378" s="40">
        <v>1</v>
      </c>
      <c r="V378" s="40">
        <v>2</v>
      </c>
      <c r="W378" s="40">
        <v>5</v>
      </c>
      <c r="X378" s="40" t="s">
        <v>45</v>
      </c>
      <c r="Y378" s="40" t="s">
        <v>45</v>
      </c>
      <c r="Z378" s="40" t="s">
        <v>45</v>
      </c>
      <c r="AA378" s="40" t="s">
        <v>45</v>
      </c>
      <c r="AB378" s="40" t="s">
        <v>45</v>
      </c>
      <c r="AC378" s="40" t="s">
        <v>45</v>
      </c>
      <c r="AD378" s="40" t="s">
        <v>45</v>
      </c>
      <c r="AE378" s="40" t="s">
        <v>45</v>
      </c>
      <c r="AF378" s="40" t="s">
        <v>45</v>
      </c>
      <c r="AG378" s="40" t="s">
        <v>45</v>
      </c>
      <c r="AH378" s="40" t="s">
        <v>45</v>
      </c>
      <c r="AI378" s="40" t="s">
        <v>45</v>
      </c>
      <c r="AJ378" s="40" t="s">
        <v>45</v>
      </c>
      <c r="AK378" s="40" t="s">
        <v>45</v>
      </c>
      <c r="AL378" s="40" t="s">
        <v>45</v>
      </c>
      <c r="AM378" s="40" t="s">
        <v>45</v>
      </c>
      <c r="AN378" s="40" t="s">
        <v>45</v>
      </c>
      <c r="AO378" s="41" t="s">
        <v>45</v>
      </c>
      <c r="AP378" s="40" t="s">
        <v>329</v>
      </c>
      <c r="AQ378" s="40">
        <v>6</v>
      </c>
      <c r="AR378" s="48" t="s">
        <v>330</v>
      </c>
      <c r="AS378" s="43" t="s">
        <v>45</v>
      </c>
      <c r="AT378" s="43" t="s">
        <v>103</v>
      </c>
      <c r="AU378" s="44">
        <f t="shared" si="47"/>
        <v>-2.5067929134584248</v>
      </c>
      <c r="AV378" s="44">
        <f t="shared" si="48"/>
        <v>-1.4295949476488956</v>
      </c>
      <c r="AW378" s="45">
        <f t="shared" si="49"/>
        <v>3</v>
      </c>
      <c r="AX378" s="45">
        <f t="shared" si="50"/>
        <v>1</v>
      </c>
      <c r="AY378" s="46">
        <f>VLOOKUP(AP378,COND!$A$10:$B$32,2,FALSE)</f>
        <v>1</v>
      </c>
      <c r="AZ378" s="44">
        <f>($AU$3*AU378+$AV$3*AV378+$AW$3*AW378+$AX$3*AX378)*AY378*IF(AQ378&lt;5,0.95,IF(AQ378&lt;7,0.975,1))+$I$3*VLOOKUP(I378,COND!$A$2:$E$7,4,FALSE)+$J$3*VLOOKUP(J378,COND!$A$2:$E$7,2,FALSE)+$K$3*VLOOKUP(K378,COND!$A$2:$E$7,3,FALSE)+IF(BB378="SP",$BB$3,0)+IF($AW378&lt;3,-5,0)+IF(AND($B$2&gt;0,$E378&lt;20),$B$2*25,0)</f>
        <v>21.015323902722141</v>
      </c>
      <c r="BA378" s="47">
        <f t="shared" si="56"/>
        <v>-1.1953708812123043</v>
      </c>
      <c r="BB378" s="45" t="str">
        <f t="shared" si="52"/>
        <v>SP</v>
      </c>
      <c r="BC378" s="45">
        <v>930</v>
      </c>
      <c r="BD378" s="45">
        <v>373</v>
      </c>
      <c r="BE378" s="45"/>
      <c r="BF378" s="45" t="str">
        <f t="shared" si="53"/>
        <v>Unlikely</v>
      </c>
      <c r="BG378" s="45"/>
      <c r="BH378" s="45" t="str">
        <f>INDEX(Table5[[#All],[Ovr]],MATCH(Table3[[#This Row],[PID]],Table5[[#All],[PID]],0))</f>
        <v/>
      </c>
      <c r="BI378" s="45" t="str">
        <f>INDEX(Table5[[#All],[Rnd]],MATCH(Table3[[#This Row],[PID]],Table5[[#All],[PID]],0))</f>
        <v/>
      </c>
      <c r="BJ378" s="45" t="str">
        <f>INDEX(Table5[[#All],[Pick]],MATCH(Table3[[#This Row],[PID]],Table5[[#All],[PID]],0))</f>
        <v/>
      </c>
      <c r="BK378" s="45" t="str">
        <f>INDEX(Table5[[#All],[Team]],MATCH(Table3[[#This Row],[PID]],Table5[[#All],[PID]],0))</f>
        <v/>
      </c>
      <c r="BL378" s="45" t="str">
        <f>IF(OR(Table3[[#This Row],[POS]]="SP",Table3[[#This Row],[POS]]="RP",Table3[[#This Row],[POS]]="CL"),"P",INDEX(Batters[[#All],[zScore]],MATCH(Table3[[#This Row],[PID]],Batters[[#All],[PID]],0)))</f>
        <v>P</v>
      </c>
    </row>
    <row r="379" spans="1:64" ht="15" customHeight="1" x14ac:dyDescent="0.3">
      <c r="A379" s="40">
        <v>16945</v>
      </c>
      <c r="B379" s="40" t="s">
        <v>380</v>
      </c>
      <c r="C379" s="40" t="s">
        <v>734</v>
      </c>
      <c r="D379" s="40" t="s">
        <v>135</v>
      </c>
      <c r="E379" s="40">
        <v>22</v>
      </c>
      <c r="F379" s="40" t="s">
        <v>42</v>
      </c>
      <c r="G379" s="40" t="s">
        <v>42</v>
      </c>
      <c r="H379" s="41" t="s">
        <v>561</v>
      </c>
      <c r="I379" s="42" t="s">
        <v>43</v>
      </c>
      <c r="J379" s="40" t="s">
        <v>44</v>
      </c>
      <c r="K379" s="41" t="s">
        <v>43</v>
      </c>
      <c r="L379" s="40">
        <v>2</v>
      </c>
      <c r="M379" s="40">
        <v>1</v>
      </c>
      <c r="N379" s="41">
        <v>2</v>
      </c>
      <c r="O379" s="40">
        <v>3</v>
      </c>
      <c r="P379" s="40">
        <v>1</v>
      </c>
      <c r="Q379" s="41">
        <v>3</v>
      </c>
      <c r="R379" s="40">
        <v>3</v>
      </c>
      <c r="S379" s="40">
        <v>4</v>
      </c>
      <c r="T379" s="40">
        <v>1</v>
      </c>
      <c r="U379" s="40">
        <v>4</v>
      </c>
      <c r="V379" s="40">
        <v>2</v>
      </c>
      <c r="W379" s="40">
        <v>5</v>
      </c>
      <c r="X379" s="40" t="s">
        <v>45</v>
      </c>
      <c r="Y379" s="40" t="s">
        <v>45</v>
      </c>
      <c r="Z379" s="40" t="s">
        <v>45</v>
      </c>
      <c r="AA379" s="40" t="s">
        <v>45</v>
      </c>
      <c r="AB379" s="40" t="s">
        <v>45</v>
      </c>
      <c r="AC379" s="40" t="s">
        <v>45</v>
      </c>
      <c r="AD379" s="40" t="s">
        <v>45</v>
      </c>
      <c r="AE379" s="40" t="s">
        <v>45</v>
      </c>
      <c r="AF379" s="40" t="s">
        <v>45</v>
      </c>
      <c r="AG379" s="40" t="s">
        <v>45</v>
      </c>
      <c r="AH379" s="40" t="s">
        <v>45</v>
      </c>
      <c r="AI379" s="40" t="s">
        <v>45</v>
      </c>
      <c r="AJ379" s="40" t="s">
        <v>45</v>
      </c>
      <c r="AK379" s="40" t="s">
        <v>45</v>
      </c>
      <c r="AL379" s="40" t="s">
        <v>45</v>
      </c>
      <c r="AM379" s="40" t="s">
        <v>45</v>
      </c>
      <c r="AN379" s="40" t="s">
        <v>45</v>
      </c>
      <c r="AO379" s="41" t="s">
        <v>45</v>
      </c>
      <c r="AP379" s="40" t="s">
        <v>64</v>
      </c>
      <c r="AQ379" s="40">
        <v>6</v>
      </c>
      <c r="AR379" s="48" t="s">
        <v>14</v>
      </c>
      <c r="AS379" s="43" t="s">
        <v>45</v>
      </c>
      <c r="AT379" s="43" t="s">
        <v>103</v>
      </c>
      <c r="AU379" s="44">
        <f t="shared" si="47"/>
        <v>-2.2644723474043147</v>
      </c>
      <c r="AV379" s="44">
        <f t="shared" si="48"/>
        <v>-1.3819657061039585</v>
      </c>
      <c r="AW379" s="45">
        <f t="shared" si="49"/>
        <v>3</v>
      </c>
      <c r="AX379" s="45">
        <f t="shared" si="50"/>
        <v>0</v>
      </c>
      <c r="AY379" s="46">
        <f>VLOOKUP(AP379,COND!$A$10:$B$32,2,FALSE)</f>
        <v>1</v>
      </c>
      <c r="AZ379" s="44">
        <f>($AU$3*AU379+$AV$3*AV379+$AW$3*AW379+$AX$3*AX379)*AY379*IF(AQ379&lt;5,0.95,IF(AQ379&lt;7,0.975,1))+$I$3*VLOOKUP(I379,COND!$A$2:$E$7,4,FALSE)+$J$3*VLOOKUP(J379,COND!$A$2:$E$7,2,FALSE)+$K$3*VLOOKUP(K379,COND!$A$2:$E$7,3,FALSE)+IF(BB379="SP",$BB$3,0)+IF($AW379&lt;3,-5,0)+IF(AND($B$2&gt;0,$E379&lt;20),$B$2*25,0)</f>
        <v>20.772596623228967</v>
      </c>
      <c r="BA379" s="47">
        <f t="shared" si="56"/>
        <v>-1.2126547705823427</v>
      </c>
      <c r="BB379" s="45" t="str">
        <f t="shared" si="52"/>
        <v>SP</v>
      </c>
      <c r="BC379" s="45">
        <v>930</v>
      </c>
      <c r="BD379" s="45">
        <v>374</v>
      </c>
      <c r="BE379" s="45"/>
      <c r="BF379" s="45" t="str">
        <f t="shared" si="53"/>
        <v>Unlikely</v>
      </c>
      <c r="BG379" s="45"/>
      <c r="BH379" s="45" t="str">
        <f>INDEX(Table5[[#All],[Ovr]],MATCH(Table3[[#This Row],[PID]],Table5[[#All],[PID]],0))</f>
        <v/>
      </c>
      <c r="BI379" s="45" t="str">
        <f>INDEX(Table5[[#All],[Rnd]],MATCH(Table3[[#This Row],[PID]],Table5[[#All],[PID]],0))</f>
        <v/>
      </c>
      <c r="BJ379" s="45" t="str">
        <f>INDEX(Table5[[#All],[Pick]],MATCH(Table3[[#This Row],[PID]],Table5[[#All],[PID]],0))</f>
        <v/>
      </c>
      <c r="BK379" s="45" t="str">
        <f>INDEX(Table5[[#All],[Team]],MATCH(Table3[[#This Row],[PID]],Table5[[#All],[PID]],0))</f>
        <v/>
      </c>
      <c r="BL379" s="45" t="str">
        <f>IF(OR(Table3[[#This Row],[POS]]="SP",Table3[[#This Row],[POS]]="RP",Table3[[#This Row],[POS]]="CL"),"P",INDEX(Batters[[#All],[zScore]],MATCH(Table3[[#This Row],[PID]],Batters[[#All],[PID]],0)))</f>
        <v>P</v>
      </c>
    </row>
    <row r="380" spans="1:64" ht="15" customHeight="1" x14ac:dyDescent="0.3">
      <c r="A380" s="40">
        <v>13922</v>
      </c>
      <c r="B380" s="40" t="s">
        <v>380</v>
      </c>
      <c r="C380" s="40" t="s">
        <v>555</v>
      </c>
      <c r="D380" s="40" t="s">
        <v>642</v>
      </c>
      <c r="E380" s="40">
        <v>22</v>
      </c>
      <c r="F380" s="40" t="s">
        <v>42</v>
      </c>
      <c r="G380" s="40" t="s">
        <v>42</v>
      </c>
      <c r="H380" s="41" t="s">
        <v>561</v>
      </c>
      <c r="I380" s="42" t="s">
        <v>43</v>
      </c>
      <c r="J380" s="40" t="s">
        <v>44</v>
      </c>
      <c r="K380" s="41" t="s">
        <v>43</v>
      </c>
      <c r="L380" s="40">
        <v>3</v>
      </c>
      <c r="M380" s="40">
        <v>1</v>
      </c>
      <c r="N380" s="41">
        <v>1</v>
      </c>
      <c r="O380" s="40">
        <v>4</v>
      </c>
      <c r="P380" s="40">
        <v>1</v>
      </c>
      <c r="Q380" s="41">
        <v>2</v>
      </c>
      <c r="R380" s="40">
        <v>4</v>
      </c>
      <c r="S380" s="40">
        <v>5</v>
      </c>
      <c r="T380" s="40">
        <v>1</v>
      </c>
      <c r="U380" s="40">
        <v>1</v>
      </c>
      <c r="V380" s="40">
        <v>4</v>
      </c>
      <c r="W380" s="40">
        <v>6</v>
      </c>
      <c r="X380" s="40" t="s">
        <v>45</v>
      </c>
      <c r="Y380" s="40" t="s">
        <v>45</v>
      </c>
      <c r="Z380" s="40" t="s">
        <v>45</v>
      </c>
      <c r="AA380" s="40" t="s">
        <v>45</v>
      </c>
      <c r="AB380" s="40" t="s">
        <v>45</v>
      </c>
      <c r="AC380" s="40" t="s">
        <v>45</v>
      </c>
      <c r="AD380" s="40" t="s">
        <v>45</v>
      </c>
      <c r="AE380" s="40" t="s">
        <v>45</v>
      </c>
      <c r="AF380" s="40" t="s">
        <v>45</v>
      </c>
      <c r="AG380" s="40" t="s">
        <v>45</v>
      </c>
      <c r="AH380" s="40" t="s">
        <v>45</v>
      </c>
      <c r="AI380" s="40" t="s">
        <v>45</v>
      </c>
      <c r="AJ380" s="40" t="s">
        <v>45</v>
      </c>
      <c r="AK380" s="40" t="s">
        <v>45</v>
      </c>
      <c r="AL380" s="40" t="s">
        <v>45</v>
      </c>
      <c r="AM380" s="40" t="s">
        <v>45</v>
      </c>
      <c r="AN380" s="40" t="s">
        <v>45</v>
      </c>
      <c r="AO380" s="41" t="s">
        <v>45</v>
      </c>
      <c r="AP380" s="40" t="s">
        <v>329</v>
      </c>
      <c r="AQ380" s="40">
        <v>8</v>
      </c>
      <c r="AR380" s="48" t="s">
        <v>14</v>
      </c>
      <c r="AS380" s="43" t="s">
        <v>45</v>
      </c>
      <c r="AT380" s="43" t="s">
        <v>103</v>
      </c>
      <c r="AU380" s="44">
        <f t="shared" si="47"/>
        <v>-2.3121015889492513</v>
      </c>
      <c r="AV380" s="44">
        <f t="shared" si="48"/>
        <v>-1.4295949476488956</v>
      </c>
      <c r="AW380" s="45">
        <f t="shared" si="49"/>
        <v>3</v>
      </c>
      <c r="AX380" s="45">
        <f t="shared" si="50"/>
        <v>1</v>
      </c>
      <c r="AY380" s="46">
        <f>VLOOKUP(AP380,COND!$A$10:$B$32,2,FALSE)</f>
        <v>1</v>
      </c>
      <c r="AZ380" s="44">
        <f>($AU$3*AU380+$AV$3*AV380+$AW$3*AW380+$AX$3*AX380)*AY380*IF(AQ380&lt;5,0.95,IF(AQ380&lt;7,0.975,1))+$I$3*VLOOKUP(I380,COND!$A$2:$E$7,4,FALSE)+$J$3*VLOOKUP(J380,COND!$A$2:$E$7,2,FALSE)+$K$3*VLOOKUP(K380,COND!$A$2:$E$7,3,FALSE)+IF(BB380="SP",$BB$3,0)+IF($AW380&lt;3,-5,0)+IF(AND($B$2&gt;0,$E380&lt;20),$B$2*25,0)</f>
        <v>20.395680729232236</v>
      </c>
      <c r="BA380" s="47">
        <f t="shared" si="56"/>
        <v>-1.2394938330365148</v>
      </c>
      <c r="BB380" s="45" t="str">
        <f t="shared" si="52"/>
        <v>SP</v>
      </c>
      <c r="BC380" s="45">
        <v>930</v>
      </c>
      <c r="BD380" s="45">
        <v>375</v>
      </c>
      <c r="BE380" s="45"/>
      <c r="BF380" s="45" t="str">
        <f t="shared" si="53"/>
        <v>Unlikely</v>
      </c>
      <c r="BG380" s="45"/>
      <c r="BH380" s="45" t="str">
        <f>INDEX(Table5[[#All],[Ovr]],MATCH(Table3[[#This Row],[PID]],Table5[[#All],[PID]],0))</f>
        <v/>
      </c>
      <c r="BI380" s="45" t="str">
        <f>INDEX(Table5[[#All],[Rnd]],MATCH(Table3[[#This Row],[PID]],Table5[[#All],[PID]],0))</f>
        <v/>
      </c>
      <c r="BJ380" s="45" t="str">
        <f>INDEX(Table5[[#All],[Pick]],MATCH(Table3[[#This Row],[PID]],Table5[[#All],[PID]],0))</f>
        <v/>
      </c>
      <c r="BK380" s="45" t="str">
        <f>INDEX(Table5[[#All],[Team]],MATCH(Table3[[#This Row],[PID]],Table5[[#All],[PID]],0))</f>
        <v/>
      </c>
      <c r="BL380" s="45" t="str">
        <f>IF(OR(Table3[[#This Row],[POS]]="SP",Table3[[#This Row],[POS]]="RP",Table3[[#This Row],[POS]]="CL"),"P",INDEX(Batters[[#All],[zScore]],MATCH(Table3[[#This Row],[PID]],Batters[[#All],[PID]],0)))</f>
        <v>P</v>
      </c>
    </row>
    <row r="381" spans="1:64" ht="15" customHeight="1" x14ac:dyDescent="0.3">
      <c r="A381" s="40">
        <v>10965</v>
      </c>
      <c r="B381" s="40" t="s">
        <v>380</v>
      </c>
      <c r="C381" s="40" t="s">
        <v>1436</v>
      </c>
      <c r="D381" s="40" t="s">
        <v>566</v>
      </c>
      <c r="E381" s="40">
        <v>21</v>
      </c>
      <c r="F381" s="40" t="s">
        <v>53</v>
      </c>
      <c r="G381" s="40" t="s">
        <v>53</v>
      </c>
      <c r="H381" s="41" t="s">
        <v>561</v>
      </c>
      <c r="I381" s="42" t="s">
        <v>43</v>
      </c>
      <c r="J381" s="40" t="s">
        <v>44</v>
      </c>
      <c r="K381" s="41" t="s">
        <v>43</v>
      </c>
      <c r="L381" s="40">
        <v>3</v>
      </c>
      <c r="M381" s="40">
        <v>1</v>
      </c>
      <c r="N381" s="41">
        <v>1</v>
      </c>
      <c r="O381" s="40">
        <v>4</v>
      </c>
      <c r="P381" s="40">
        <v>1</v>
      </c>
      <c r="Q381" s="41">
        <v>2</v>
      </c>
      <c r="R381" s="40">
        <v>4</v>
      </c>
      <c r="S381" s="40">
        <v>5</v>
      </c>
      <c r="T381" s="40">
        <v>4</v>
      </c>
      <c r="U381" s="40">
        <v>5</v>
      </c>
      <c r="V381" s="40">
        <v>2</v>
      </c>
      <c r="W381" s="40">
        <v>2</v>
      </c>
      <c r="X381" s="40" t="s">
        <v>45</v>
      </c>
      <c r="Y381" s="40" t="s">
        <v>45</v>
      </c>
      <c r="Z381" s="40" t="s">
        <v>45</v>
      </c>
      <c r="AA381" s="40" t="s">
        <v>45</v>
      </c>
      <c r="AB381" s="40" t="s">
        <v>45</v>
      </c>
      <c r="AC381" s="40" t="s">
        <v>45</v>
      </c>
      <c r="AD381" s="40" t="s">
        <v>45</v>
      </c>
      <c r="AE381" s="40" t="s">
        <v>45</v>
      </c>
      <c r="AF381" s="40">
        <v>3</v>
      </c>
      <c r="AG381" s="40">
        <v>4</v>
      </c>
      <c r="AH381" s="40" t="s">
        <v>45</v>
      </c>
      <c r="AI381" s="40" t="s">
        <v>45</v>
      </c>
      <c r="AJ381" s="40" t="s">
        <v>45</v>
      </c>
      <c r="AK381" s="40" t="s">
        <v>45</v>
      </c>
      <c r="AL381" s="40" t="s">
        <v>45</v>
      </c>
      <c r="AM381" s="40" t="s">
        <v>45</v>
      </c>
      <c r="AN381" s="40" t="s">
        <v>45</v>
      </c>
      <c r="AO381" s="41" t="s">
        <v>45</v>
      </c>
      <c r="AP381" s="40" t="s">
        <v>328</v>
      </c>
      <c r="AQ381" s="40">
        <v>9</v>
      </c>
      <c r="AR381" s="48" t="s">
        <v>14</v>
      </c>
      <c r="AS381" s="43" t="s">
        <v>557</v>
      </c>
      <c r="AT381" s="43" t="s">
        <v>103</v>
      </c>
      <c r="AU381" s="44">
        <f t="shared" si="47"/>
        <v>-2.3121015889492513</v>
      </c>
      <c r="AV381" s="44">
        <f t="shared" si="48"/>
        <v>-1.4295949476488956</v>
      </c>
      <c r="AW381" s="45">
        <f t="shared" si="49"/>
        <v>4</v>
      </c>
      <c r="AX381" s="45">
        <f t="shared" si="50"/>
        <v>0</v>
      </c>
      <c r="AY381" s="46">
        <f>VLOOKUP(AP381,COND!$A$10:$B$32,2,FALSE)</f>
        <v>1</v>
      </c>
      <c r="AZ381" s="44">
        <f>($AU$3*AU381+$AV$3*AV381+$AW$3*AW381+$AX$3*AX381)*AY381*IF(AQ381&lt;5,0.95,IF(AQ381&lt;7,0.975,1))+$I$3*VLOOKUP(I381,COND!$A$2:$E$7,4,FALSE)+$J$3*VLOOKUP(J381,COND!$A$2:$E$7,2,FALSE)+$K$3*VLOOKUP(K381,COND!$A$2:$E$7,3,FALSE)+IF(BB381="SP",$BB$3,0)+IF($AW381&lt;3,-5,0)+IF(AND($B$2&gt;0,$E381&lt;20),$B$2*25,0)</f>
        <v>19.645680729232236</v>
      </c>
      <c r="BA381" s="47">
        <f t="shared" si="56"/>
        <v>-1.2928991076912466</v>
      </c>
      <c r="BB381" s="45" t="str">
        <f t="shared" si="52"/>
        <v>SP</v>
      </c>
      <c r="BC381" s="45">
        <v>930</v>
      </c>
      <c r="BD381" s="45">
        <v>376</v>
      </c>
      <c r="BE381" s="45"/>
      <c r="BF381" s="45" t="str">
        <f t="shared" si="53"/>
        <v>Unlikely</v>
      </c>
      <c r="BG381" s="45"/>
      <c r="BH381" s="45">
        <f>INDEX(Table5[[#All],[Ovr]],MATCH(Table3[[#This Row],[PID]],Table5[[#All],[PID]],0))</f>
        <v>625</v>
      </c>
      <c r="BI381" s="45" t="str">
        <f>INDEX(Table5[[#All],[Rnd]],MATCH(Table3[[#This Row],[PID]],Table5[[#All],[PID]],0))</f>
        <v>19</v>
      </c>
      <c r="BJ381" s="45">
        <f>INDEX(Table5[[#All],[Pick]],MATCH(Table3[[#This Row],[PID]],Table5[[#All],[PID]],0))</f>
        <v>22</v>
      </c>
      <c r="BK381" s="45" t="str">
        <f>INDEX(Table5[[#All],[Team]],MATCH(Table3[[#This Row],[PID]],Table5[[#All],[PID]],0))</f>
        <v>Bakersfield Bears</v>
      </c>
      <c r="BL381" s="45" t="str">
        <f>IF(OR(Table3[[#This Row],[POS]]="SP",Table3[[#This Row],[POS]]="RP",Table3[[#This Row],[POS]]="CL"),"P",INDEX(Batters[[#All],[zScore]],MATCH(Table3[[#This Row],[PID]],Batters[[#All],[PID]],0)))</f>
        <v>P</v>
      </c>
    </row>
    <row r="382" spans="1:64" ht="15" customHeight="1" x14ac:dyDescent="0.3">
      <c r="A382" s="40">
        <v>14655</v>
      </c>
      <c r="B382" s="40" t="s">
        <v>380</v>
      </c>
      <c r="C382" s="40" t="s">
        <v>1574</v>
      </c>
      <c r="D382" s="40" t="s">
        <v>202</v>
      </c>
      <c r="E382" s="40">
        <v>21</v>
      </c>
      <c r="F382" s="40" t="s">
        <v>53</v>
      </c>
      <c r="G382" s="40" t="s">
        <v>53</v>
      </c>
      <c r="H382" s="41" t="s">
        <v>561</v>
      </c>
      <c r="I382" s="42" t="s">
        <v>43</v>
      </c>
      <c r="J382" s="40" t="s">
        <v>44</v>
      </c>
      <c r="K382" s="41" t="s">
        <v>43</v>
      </c>
      <c r="L382" s="40">
        <v>2</v>
      </c>
      <c r="M382" s="40">
        <v>1</v>
      </c>
      <c r="N382" s="41">
        <v>1</v>
      </c>
      <c r="O382" s="40">
        <v>4</v>
      </c>
      <c r="P382" s="40">
        <v>1</v>
      </c>
      <c r="Q382" s="41">
        <v>2</v>
      </c>
      <c r="R382" s="40">
        <v>3</v>
      </c>
      <c r="S382" s="40">
        <v>4</v>
      </c>
      <c r="T382" s="40">
        <v>1</v>
      </c>
      <c r="U382" s="40">
        <v>1</v>
      </c>
      <c r="V382" s="40" t="s">
        <v>45</v>
      </c>
      <c r="W382" s="40" t="s">
        <v>45</v>
      </c>
      <c r="X382" s="40" t="s">
        <v>45</v>
      </c>
      <c r="Y382" s="40" t="s">
        <v>45</v>
      </c>
      <c r="Z382" s="40" t="s">
        <v>45</v>
      </c>
      <c r="AA382" s="40" t="s">
        <v>45</v>
      </c>
      <c r="AB382" s="40">
        <v>3</v>
      </c>
      <c r="AC382" s="40">
        <v>4</v>
      </c>
      <c r="AD382" s="40" t="s">
        <v>45</v>
      </c>
      <c r="AE382" s="40" t="s">
        <v>45</v>
      </c>
      <c r="AF382" s="40" t="s">
        <v>45</v>
      </c>
      <c r="AG382" s="40" t="s">
        <v>45</v>
      </c>
      <c r="AH382" s="40" t="s">
        <v>45</v>
      </c>
      <c r="AI382" s="40" t="s">
        <v>45</v>
      </c>
      <c r="AJ382" s="40" t="s">
        <v>45</v>
      </c>
      <c r="AK382" s="40" t="s">
        <v>45</v>
      </c>
      <c r="AL382" s="40" t="s">
        <v>45</v>
      </c>
      <c r="AM382" s="40" t="s">
        <v>45</v>
      </c>
      <c r="AN382" s="40" t="s">
        <v>45</v>
      </c>
      <c r="AO382" s="41" t="s">
        <v>45</v>
      </c>
      <c r="AP382" s="40" t="s">
        <v>64</v>
      </c>
      <c r="AQ382" s="40">
        <v>7</v>
      </c>
      <c r="AR382" s="48" t="s">
        <v>14</v>
      </c>
      <c r="AS382" s="43" t="s">
        <v>563</v>
      </c>
      <c r="AT382" s="43" t="s">
        <v>103</v>
      </c>
      <c r="AU382" s="44">
        <f t="shared" si="47"/>
        <v>-2.5067929134584248</v>
      </c>
      <c r="AV382" s="44">
        <f t="shared" si="48"/>
        <v>-1.4295949476488956</v>
      </c>
      <c r="AW382" s="45">
        <f t="shared" si="49"/>
        <v>3</v>
      </c>
      <c r="AX382" s="45">
        <f t="shared" si="50"/>
        <v>0</v>
      </c>
      <c r="AY382" s="46">
        <f>VLOOKUP(AP382,COND!$A$10:$B$32,2,FALSE)</f>
        <v>1</v>
      </c>
      <c r="AZ382" s="44">
        <f>($AU$3*AU382+$AV$3*AV382+$AW$3*AW382+$AX$3*AX382)*AY382*IF(AQ382&lt;5,0.95,IF(AQ382&lt;7,0.975,1))+$I$3*VLOOKUP(I382,COND!$A$2:$E$7,4,FALSE)+$J$3*VLOOKUP(J382,COND!$A$2:$E$7,2,FALSE)+$K$3*VLOOKUP(K382,COND!$A$2:$E$7,3,FALSE)+IF(BB382="SP",$BB$3,0)+IF($AW382&lt;3,-5,0)+IF(AND($B$2&gt;0,$E382&lt;20),$B$2*25,0)</f>
        <v>19.106742464330399</v>
      </c>
      <c r="BA382" s="47">
        <f t="shared" si="56"/>
        <v>-1.331275302436616</v>
      </c>
      <c r="BB382" s="45" t="str">
        <f t="shared" si="52"/>
        <v>SP</v>
      </c>
      <c r="BC382" s="45">
        <v>930</v>
      </c>
      <c r="BD382" s="45">
        <v>377</v>
      </c>
      <c r="BE382" s="45"/>
      <c r="BF382" s="45" t="str">
        <f t="shared" si="53"/>
        <v>Unlikely</v>
      </c>
      <c r="BG382" s="45"/>
      <c r="BH382" s="45" t="str">
        <f>INDEX(Table5[[#All],[Ovr]],MATCH(Table3[[#This Row],[PID]],Table5[[#All],[PID]],0))</f>
        <v/>
      </c>
      <c r="BI382" s="45" t="str">
        <f>INDEX(Table5[[#All],[Rnd]],MATCH(Table3[[#This Row],[PID]],Table5[[#All],[PID]],0))</f>
        <v/>
      </c>
      <c r="BJ382" s="45" t="str">
        <f>INDEX(Table5[[#All],[Pick]],MATCH(Table3[[#This Row],[PID]],Table5[[#All],[PID]],0))</f>
        <v/>
      </c>
      <c r="BK382" s="45" t="str">
        <f>INDEX(Table5[[#All],[Team]],MATCH(Table3[[#This Row],[PID]],Table5[[#All],[PID]],0))</f>
        <v/>
      </c>
      <c r="BL382" s="45" t="str">
        <f>IF(OR(Table3[[#This Row],[POS]]="SP",Table3[[#This Row],[POS]]="RP",Table3[[#This Row],[POS]]="CL"),"P",INDEX(Batters[[#All],[zScore]],MATCH(Table3[[#This Row],[PID]],Batters[[#All],[PID]],0)))</f>
        <v>P</v>
      </c>
    </row>
    <row r="383" spans="1:64" ht="15" customHeight="1" x14ac:dyDescent="0.3">
      <c r="A383" s="40">
        <v>20248</v>
      </c>
      <c r="B383" s="40" t="s">
        <v>380</v>
      </c>
      <c r="C383" s="40" t="s">
        <v>775</v>
      </c>
      <c r="D383" s="40" t="s">
        <v>578</v>
      </c>
      <c r="E383" s="40">
        <v>21</v>
      </c>
      <c r="F383" s="40" t="s">
        <v>42</v>
      </c>
      <c r="G383" s="40" t="s">
        <v>42</v>
      </c>
      <c r="H383" s="41" t="s">
        <v>561</v>
      </c>
      <c r="I383" s="42" t="s">
        <v>44</v>
      </c>
      <c r="J383" s="40" t="s">
        <v>44</v>
      </c>
      <c r="K383" s="41" t="s">
        <v>43</v>
      </c>
      <c r="L383" s="40">
        <v>3</v>
      </c>
      <c r="M383" s="40">
        <v>1</v>
      </c>
      <c r="N383" s="41">
        <v>2</v>
      </c>
      <c r="O383" s="40">
        <v>4</v>
      </c>
      <c r="P383" s="40">
        <v>1</v>
      </c>
      <c r="Q383" s="41">
        <v>2</v>
      </c>
      <c r="R383" s="40">
        <v>5</v>
      </c>
      <c r="S383" s="40">
        <v>5</v>
      </c>
      <c r="T383" s="40">
        <v>3</v>
      </c>
      <c r="U383" s="40">
        <v>4</v>
      </c>
      <c r="V383" s="40" t="s">
        <v>45</v>
      </c>
      <c r="W383" s="40" t="s">
        <v>45</v>
      </c>
      <c r="X383" s="40">
        <v>2</v>
      </c>
      <c r="Y383" s="40">
        <v>3</v>
      </c>
      <c r="Z383" s="40" t="s">
        <v>45</v>
      </c>
      <c r="AA383" s="40" t="s">
        <v>45</v>
      </c>
      <c r="AB383" s="40">
        <v>4</v>
      </c>
      <c r="AC383" s="40">
        <v>4</v>
      </c>
      <c r="AD383" s="40" t="s">
        <v>45</v>
      </c>
      <c r="AE383" s="40" t="s">
        <v>45</v>
      </c>
      <c r="AF383" s="40" t="s">
        <v>45</v>
      </c>
      <c r="AG383" s="40" t="s">
        <v>45</v>
      </c>
      <c r="AH383" s="40" t="s">
        <v>45</v>
      </c>
      <c r="AI383" s="40" t="s">
        <v>45</v>
      </c>
      <c r="AJ383" s="40" t="s">
        <v>45</v>
      </c>
      <c r="AK383" s="40" t="s">
        <v>45</v>
      </c>
      <c r="AL383" s="40" t="s">
        <v>45</v>
      </c>
      <c r="AM383" s="40" t="s">
        <v>45</v>
      </c>
      <c r="AN383" s="40" t="s">
        <v>45</v>
      </c>
      <c r="AO383" s="41" t="s">
        <v>45</v>
      </c>
      <c r="AP383" s="40" t="s">
        <v>56</v>
      </c>
      <c r="AQ383" s="40">
        <v>2</v>
      </c>
      <c r="AR383" s="48" t="s">
        <v>14</v>
      </c>
      <c r="AS383" s="43" t="s">
        <v>45</v>
      </c>
      <c r="AT383" s="43" t="s">
        <v>103</v>
      </c>
      <c r="AU383" s="44">
        <f t="shared" si="47"/>
        <v>-2.0697810228951408</v>
      </c>
      <c r="AV383" s="44">
        <f t="shared" si="48"/>
        <v>-1.4295949476488956</v>
      </c>
      <c r="AW383" s="45">
        <f t="shared" si="49"/>
        <v>4</v>
      </c>
      <c r="AX383" s="45">
        <f t="shared" si="50"/>
        <v>0</v>
      </c>
      <c r="AY383" s="46">
        <f>VLOOKUP(AP383,COND!$A$10:$B$32,2,FALSE)</f>
        <v>1</v>
      </c>
      <c r="AZ383" s="44">
        <f>($AU$3*AU383+$AV$3*AV383+$AW$3*AW383+$AX$3*AX383)*AY383*IF(AQ383&lt;5,0.95,IF(AQ383&lt;7,0.975,1))+$I$3*VLOOKUP(I383,COND!$A$2:$E$7,4,FALSE)+$J$3*VLOOKUP(J383,COND!$A$2:$E$7,2,FALSE)+$K$3*VLOOKUP(K383,COND!$A$2:$E$7,3,FALSE)+IF(BB383="SP",$BB$3,0)+IF($AW383&lt;3,-5,0)+IF(AND($B$2&gt;0,$E383&lt;20),$B$2*25,0)</f>
        <v>18.894437600320906</v>
      </c>
      <c r="BA383" s="47">
        <f t="shared" si="56"/>
        <v>-1.3463929018672325</v>
      </c>
      <c r="BB383" s="45" t="str">
        <f t="shared" si="52"/>
        <v>RP</v>
      </c>
      <c r="BC383" s="45">
        <v>930</v>
      </c>
      <c r="BD383" s="45">
        <v>378</v>
      </c>
      <c r="BE383" s="45"/>
      <c r="BF383" s="45" t="str">
        <f t="shared" si="53"/>
        <v>Unlikely</v>
      </c>
      <c r="BG383" s="45"/>
      <c r="BH383" s="45" t="str">
        <f>INDEX(Table5[[#All],[Ovr]],MATCH(Table3[[#This Row],[PID]],Table5[[#All],[PID]],0))</f>
        <v/>
      </c>
      <c r="BI383" s="45" t="str">
        <f>INDEX(Table5[[#All],[Rnd]],MATCH(Table3[[#This Row],[PID]],Table5[[#All],[PID]],0))</f>
        <v/>
      </c>
      <c r="BJ383" s="45" t="str">
        <f>INDEX(Table5[[#All],[Pick]],MATCH(Table3[[#This Row],[PID]],Table5[[#All],[PID]],0))</f>
        <v/>
      </c>
      <c r="BK383" s="45" t="str">
        <f>INDEX(Table5[[#All],[Team]],MATCH(Table3[[#This Row],[PID]],Table5[[#All],[PID]],0))</f>
        <v/>
      </c>
      <c r="BL383" s="45" t="str">
        <f>IF(OR(Table3[[#This Row],[POS]]="SP",Table3[[#This Row],[POS]]="RP",Table3[[#This Row],[POS]]="CL"),"P",INDEX(Batters[[#All],[zScore]],MATCH(Table3[[#This Row],[PID]],Batters[[#All],[PID]],0)))</f>
        <v>P</v>
      </c>
    </row>
    <row r="384" spans="1:64" ht="15" customHeight="1" x14ac:dyDescent="0.3">
      <c r="A384" s="40">
        <v>5803</v>
      </c>
      <c r="B384" s="40" t="s">
        <v>380</v>
      </c>
      <c r="C384" s="40" t="s">
        <v>651</v>
      </c>
      <c r="D384" s="40" t="s">
        <v>349</v>
      </c>
      <c r="E384" s="40">
        <v>21</v>
      </c>
      <c r="F384" s="40" t="s">
        <v>53</v>
      </c>
      <c r="G384" s="40" t="s">
        <v>53</v>
      </c>
      <c r="H384" s="41" t="s">
        <v>561</v>
      </c>
      <c r="I384" s="42" t="s">
        <v>43</v>
      </c>
      <c r="J384" s="40" t="s">
        <v>44</v>
      </c>
      <c r="K384" s="41" t="s">
        <v>47</v>
      </c>
      <c r="L384" s="40">
        <v>2</v>
      </c>
      <c r="M384" s="40">
        <v>2</v>
      </c>
      <c r="N384" s="41">
        <v>2</v>
      </c>
      <c r="O384" s="40">
        <v>3</v>
      </c>
      <c r="P384" s="40">
        <v>2</v>
      </c>
      <c r="Q384" s="41">
        <v>3</v>
      </c>
      <c r="R384" s="40">
        <v>4</v>
      </c>
      <c r="S384" s="40">
        <v>5</v>
      </c>
      <c r="T384" s="40" t="s">
        <v>45</v>
      </c>
      <c r="U384" s="40" t="s">
        <v>45</v>
      </c>
      <c r="V384" s="40">
        <v>2</v>
      </c>
      <c r="W384" s="40">
        <v>4</v>
      </c>
      <c r="X384" s="40" t="s">
        <v>45</v>
      </c>
      <c r="Y384" s="40" t="s">
        <v>45</v>
      </c>
      <c r="Z384" s="40" t="s">
        <v>45</v>
      </c>
      <c r="AA384" s="40" t="s">
        <v>45</v>
      </c>
      <c r="AB384" s="40" t="s">
        <v>45</v>
      </c>
      <c r="AC384" s="40" t="s">
        <v>45</v>
      </c>
      <c r="AD384" s="40" t="s">
        <v>45</v>
      </c>
      <c r="AE384" s="40" t="s">
        <v>45</v>
      </c>
      <c r="AF384" s="40" t="s">
        <v>45</v>
      </c>
      <c r="AG384" s="40" t="s">
        <v>45</v>
      </c>
      <c r="AH384" s="40" t="s">
        <v>45</v>
      </c>
      <c r="AI384" s="40" t="s">
        <v>45</v>
      </c>
      <c r="AJ384" s="40" t="s">
        <v>45</v>
      </c>
      <c r="AK384" s="40" t="s">
        <v>45</v>
      </c>
      <c r="AL384" s="40" t="s">
        <v>45</v>
      </c>
      <c r="AM384" s="40" t="s">
        <v>45</v>
      </c>
      <c r="AN384" s="40" t="s">
        <v>45</v>
      </c>
      <c r="AO384" s="41" t="s">
        <v>45</v>
      </c>
      <c r="AP384" s="40" t="s">
        <v>57</v>
      </c>
      <c r="AQ384" s="40">
        <v>2</v>
      </c>
      <c r="AR384" s="48" t="s">
        <v>326</v>
      </c>
      <c r="AS384" s="43" t="s">
        <v>45</v>
      </c>
      <c r="AT384" s="43" t="s">
        <v>103</v>
      </c>
      <c r="AU384" s="44">
        <f t="shared" si="47"/>
        <v>-2.0690406309742588</v>
      </c>
      <c r="AV384" s="44">
        <f t="shared" si="48"/>
        <v>-1.1865339896739031</v>
      </c>
      <c r="AW384" s="45">
        <f t="shared" si="49"/>
        <v>2</v>
      </c>
      <c r="AX384" s="45">
        <f t="shared" si="50"/>
        <v>0</v>
      </c>
      <c r="AY384" s="46">
        <f>VLOOKUP(AP384,COND!$A$10:$B$32,2,FALSE)</f>
        <v>1</v>
      </c>
      <c r="AZ384" s="44">
        <f>($AU$3*AU384+$AV$3*AV384+$AW$3*AW384+$AX$3*AX384)*AY384*IF(AQ384&lt;5,0.95,IF(AQ384&lt;7,0.975,1))+$I$3*VLOOKUP(I384,COND!$A$2:$E$7,4,FALSE)+$J$3*VLOOKUP(J384,COND!$A$2:$E$7,2,FALSE)+$K$3*VLOOKUP(K384,COND!$A$2:$E$7,3,FALSE)+IF(BB384="SP",$BB$3,0)+IF($AW384&lt;3,-5,0)+IF(AND($B$2&gt;0,$E384&lt;20),$B$2*25,0)</f>
        <v>18.012736476310735</v>
      </c>
      <c r="BA384" s="47">
        <f t="shared" si="56"/>
        <v>-1.4091762227887643</v>
      </c>
      <c r="BB384" s="45" t="str">
        <f t="shared" si="52"/>
        <v>RP</v>
      </c>
      <c r="BC384" s="45">
        <v>930</v>
      </c>
      <c r="BD384" s="45">
        <v>379</v>
      </c>
      <c r="BE384" s="45"/>
      <c r="BF384" s="45" t="str">
        <f t="shared" si="53"/>
        <v>Unlikely</v>
      </c>
      <c r="BG384" s="45"/>
      <c r="BH384" s="45" t="str">
        <f>INDEX(Table5[[#All],[Ovr]],MATCH(Table3[[#This Row],[PID]],Table5[[#All],[PID]],0))</f>
        <v/>
      </c>
      <c r="BI384" s="45" t="str">
        <f>INDEX(Table5[[#All],[Rnd]],MATCH(Table3[[#This Row],[PID]],Table5[[#All],[PID]],0))</f>
        <v/>
      </c>
      <c r="BJ384" s="45" t="str">
        <f>INDEX(Table5[[#All],[Pick]],MATCH(Table3[[#This Row],[PID]],Table5[[#All],[PID]],0))</f>
        <v/>
      </c>
      <c r="BK384" s="45" t="str">
        <f>INDEX(Table5[[#All],[Team]],MATCH(Table3[[#This Row],[PID]],Table5[[#All],[PID]],0))</f>
        <v/>
      </c>
      <c r="BL384" s="45" t="str">
        <f>IF(OR(Table3[[#This Row],[POS]]="SP",Table3[[#This Row],[POS]]="RP",Table3[[#This Row],[POS]]="CL"),"P",INDEX(Batters[[#All],[zScore]],MATCH(Table3[[#This Row],[PID]],Batters[[#All],[PID]],0)))</f>
        <v>P</v>
      </c>
    </row>
    <row r="385" spans="1:64" ht="15" customHeight="1" x14ac:dyDescent="0.3">
      <c r="A385" s="40">
        <v>10884</v>
      </c>
      <c r="B385" s="40" t="s">
        <v>380</v>
      </c>
      <c r="C385" s="40" t="s">
        <v>159</v>
      </c>
      <c r="D385" s="40" t="s">
        <v>1478</v>
      </c>
      <c r="E385" s="40">
        <v>21</v>
      </c>
      <c r="F385" s="40" t="s">
        <v>53</v>
      </c>
      <c r="G385" s="40" t="s">
        <v>53</v>
      </c>
      <c r="H385" s="41" t="s">
        <v>561</v>
      </c>
      <c r="I385" s="42" t="s">
        <v>44</v>
      </c>
      <c r="J385" s="40" t="s">
        <v>44</v>
      </c>
      <c r="K385" s="41" t="s">
        <v>43</v>
      </c>
      <c r="L385" s="40">
        <v>2</v>
      </c>
      <c r="M385" s="40">
        <v>1</v>
      </c>
      <c r="N385" s="41">
        <v>1</v>
      </c>
      <c r="O385" s="40">
        <v>4</v>
      </c>
      <c r="P385" s="40">
        <v>1</v>
      </c>
      <c r="Q385" s="41">
        <v>2</v>
      </c>
      <c r="R385" s="40">
        <v>4</v>
      </c>
      <c r="S385" s="40">
        <v>5</v>
      </c>
      <c r="T385" s="40">
        <v>1</v>
      </c>
      <c r="U385" s="40">
        <v>2</v>
      </c>
      <c r="V385" s="40">
        <v>3</v>
      </c>
      <c r="W385" s="40">
        <v>5</v>
      </c>
      <c r="X385" s="40" t="s">
        <v>45</v>
      </c>
      <c r="Y385" s="40" t="s">
        <v>45</v>
      </c>
      <c r="Z385" s="40" t="s">
        <v>45</v>
      </c>
      <c r="AA385" s="40" t="s">
        <v>45</v>
      </c>
      <c r="AB385" s="40" t="s">
        <v>45</v>
      </c>
      <c r="AC385" s="40" t="s">
        <v>45</v>
      </c>
      <c r="AD385" s="40" t="s">
        <v>45</v>
      </c>
      <c r="AE385" s="40" t="s">
        <v>45</v>
      </c>
      <c r="AF385" s="40" t="s">
        <v>45</v>
      </c>
      <c r="AG385" s="40" t="s">
        <v>45</v>
      </c>
      <c r="AH385" s="40" t="s">
        <v>45</v>
      </c>
      <c r="AI385" s="40" t="s">
        <v>45</v>
      </c>
      <c r="AJ385" s="40" t="s">
        <v>45</v>
      </c>
      <c r="AK385" s="40" t="s">
        <v>45</v>
      </c>
      <c r="AL385" s="40" t="s">
        <v>45</v>
      </c>
      <c r="AM385" s="40" t="s">
        <v>45</v>
      </c>
      <c r="AN385" s="40" t="s">
        <v>45</v>
      </c>
      <c r="AO385" s="41" t="s">
        <v>45</v>
      </c>
      <c r="AP385" s="40" t="s">
        <v>64</v>
      </c>
      <c r="AQ385" s="40">
        <v>4</v>
      </c>
      <c r="AR385" s="48" t="s">
        <v>14</v>
      </c>
      <c r="AS385" s="43" t="s">
        <v>1479</v>
      </c>
      <c r="AT385" s="43" t="s">
        <v>103</v>
      </c>
      <c r="AU385" s="44">
        <f t="shared" si="47"/>
        <v>-2.5067929134584248</v>
      </c>
      <c r="AV385" s="44">
        <f t="shared" si="48"/>
        <v>-1.4295949476488956</v>
      </c>
      <c r="AW385" s="45">
        <f t="shared" si="49"/>
        <v>3</v>
      </c>
      <c r="AX385" s="45">
        <f t="shared" si="50"/>
        <v>0</v>
      </c>
      <c r="AY385" s="46">
        <f>VLOOKUP(AP385,COND!$A$10:$B$32,2,FALSE)</f>
        <v>1</v>
      </c>
      <c r="AZ385" s="44">
        <f>($AU$3*AU385+$AV$3*AV385+$AW$3*AW385+$AX$3*AX385)*AY385*IF(AQ385&lt;5,0.95,IF(AQ385&lt;7,0.975,1))+$I$3*VLOOKUP(I385,COND!$A$2:$E$7,4,FALSE)+$J$3*VLOOKUP(J385,COND!$A$2:$E$7,2,FALSE)+$K$3*VLOOKUP(K385,COND!$A$2:$E$7,3,FALSE)+IF(BB385="SP",$BB$3,0)+IF($AW385&lt;3,-5,0)+IF(AND($B$2&gt;0,$E385&lt;20),$B$2*25,0)</f>
        <v>18.336405341113881</v>
      </c>
      <c r="BA385" s="47">
        <f t="shared" si="56"/>
        <v>-1.3861287232927679</v>
      </c>
      <c r="BB385" s="45" t="str">
        <f t="shared" si="52"/>
        <v>RP</v>
      </c>
      <c r="BC385" s="45">
        <v>930</v>
      </c>
      <c r="BD385" s="45">
        <v>380</v>
      </c>
      <c r="BE385" s="45"/>
      <c r="BF385" s="45" t="str">
        <f t="shared" si="53"/>
        <v>Unlikely</v>
      </c>
      <c r="BG385" s="45"/>
      <c r="BH385" s="45">
        <f>INDEX(Table5[[#All],[Ovr]],MATCH(Table3[[#This Row],[PID]],Table5[[#All],[PID]],0))</f>
        <v>567</v>
      </c>
      <c r="BI385" s="45" t="str">
        <f>INDEX(Table5[[#All],[Rnd]],MATCH(Table3[[#This Row],[PID]],Table5[[#All],[PID]],0))</f>
        <v>17</v>
      </c>
      <c r="BJ385" s="45">
        <f>INDEX(Table5[[#All],[Pick]],MATCH(Table3[[#This Row],[PID]],Table5[[#All],[PID]],0))</f>
        <v>32</v>
      </c>
      <c r="BK385" s="45" t="str">
        <f>INDEX(Table5[[#All],[Team]],MATCH(Table3[[#This Row],[PID]],Table5[[#All],[PID]],0))</f>
        <v>Florida Farstriders</v>
      </c>
      <c r="BL385" s="45" t="str">
        <f>IF(OR(Table3[[#This Row],[POS]]="SP",Table3[[#This Row],[POS]]="RP",Table3[[#This Row],[POS]]="CL"),"P",INDEX(Batters[[#All],[zScore]],MATCH(Table3[[#This Row],[PID]],Batters[[#All],[PID]],0)))</f>
        <v>P</v>
      </c>
    </row>
    <row r="386" spans="1:64" ht="15" customHeight="1" x14ac:dyDescent="0.3">
      <c r="A386" s="40">
        <v>13794</v>
      </c>
      <c r="B386" s="40" t="s">
        <v>380</v>
      </c>
      <c r="C386" s="40" t="s">
        <v>965</v>
      </c>
      <c r="D386" s="40" t="s">
        <v>838</v>
      </c>
      <c r="E386" s="40">
        <v>22</v>
      </c>
      <c r="F386" s="40" t="s">
        <v>42</v>
      </c>
      <c r="G386" s="40" t="s">
        <v>42</v>
      </c>
      <c r="H386" s="41" t="s">
        <v>561</v>
      </c>
      <c r="I386" s="42" t="s">
        <v>43</v>
      </c>
      <c r="J386" s="40" t="s">
        <v>44</v>
      </c>
      <c r="K386" s="41" t="s">
        <v>47</v>
      </c>
      <c r="L386" s="40">
        <v>2</v>
      </c>
      <c r="M386" s="40">
        <v>1</v>
      </c>
      <c r="N386" s="41">
        <v>1</v>
      </c>
      <c r="O386" s="40">
        <v>3</v>
      </c>
      <c r="P386" s="40">
        <v>1</v>
      </c>
      <c r="Q386" s="41">
        <v>2</v>
      </c>
      <c r="R386" s="40">
        <v>3</v>
      </c>
      <c r="S386" s="40">
        <v>4</v>
      </c>
      <c r="T386" s="40">
        <v>1</v>
      </c>
      <c r="U386" s="40">
        <v>5</v>
      </c>
      <c r="V386" s="40" t="s">
        <v>45</v>
      </c>
      <c r="W386" s="40" t="s">
        <v>45</v>
      </c>
      <c r="X386" s="40" t="s">
        <v>45</v>
      </c>
      <c r="Y386" s="40" t="s">
        <v>45</v>
      </c>
      <c r="Z386" s="40">
        <v>2</v>
      </c>
      <c r="AA386" s="40">
        <v>3</v>
      </c>
      <c r="AB386" s="40" t="s">
        <v>45</v>
      </c>
      <c r="AC386" s="40" t="s">
        <v>45</v>
      </c>
      <c r="AD386" s="40" t="s">
        <v>45</v>
      </c>
      <c r="AE386" s="40" t="s">
        <v>45</v>
      </c>
      <c r="AF386" s="40" t="s">
        <v>45</v>
      </c>
      <c r="AG386" s="40" t="s">
        <v>45</v>
      </c>
      <c r="AH386" s="40" t="s">
        <v>45</v>
      </c>
      <c r="AI386" s="40" t="s">
        <v>45</v>
      </c>
      <c r="AJ386" s="40" t="s">
        <v>45</v>
      </c>
      <c r="AK386" s="40" t="s">
        <v>45</v>
      </c>
      <c r="AL386" s="40" t="s">
        <v>45</v>
      </c>
      <c r="AM386" s="40" t="s">
        <v>45</v>
      </c>
      <c r="AN386" s="40" t="s">
        <v>45</v>
      </c>
      <c r="AO386" s="41" t="s">
        <v>45</v>
      </c>
      <c r="AP386" s="40" t="s">
        <v>68</v>
      </c>
      <c r="AQ386" s="40">
        <v>10</v>
      </c>
      <c r="AR386" s="48" t="s">
        <v>330</v>
      </c>
      <c r="AS386" s="43" t="s">
        <v>45</v>
      </c>
      <c r="AT386" s="43" t="s">
        <v>103</v>
      </c>
      <c r="AU386" s="44">
        <f t="shared" si="47"/>
        <v>-2.5067929134584248</v>
      </c>
      <c r="AV386" s="44">
        <f t="shared" si="48"/>
        <v>-1.6242862721580691</v>
      </c>
      <c r="AW386" s="45">
        <f t="shared" si="49"/>
        <v>3</v>
      </c>
      <c r="AX386" s="45">
        <f t="shared" si="50"/>
        <v>0</v>
      </c>
      <c r="AY386" s="46">
        <f>VLOOKUP(AP386,COND!$A$10:$B$32,2,FALSE)</f>
        <v>0.95</v>
      </c>
      <c r="AZ386" s="44">
        <f>($AU$3*AU386+$AV$3*AV386+$AW$3*AW386+$AX$3*AX386)*AY386*IF(AQ386&lt;5,0.95,IF(AQ386&lt;7,0.975,1))+$I$3*VLOOKUP(I386,COND!$A$2:$E$7,4,FALSE)+$J$3*VLOOKUP(J386,COND!$A$2:$E$7,2,FALSE)+$K$3*VLOOKUP(K386,COND!$A$2:$E$7,3,FALSE)+IF(BB386="SP",$BB$3,0)+IF($AW386&lt;3,-5,0)+IF(AND($B$2&gt;0,$E386&lt;20),$B$2*25,0)</f>
        <v>17.087270175439581</v>
      </c>
      <c r="BA386" s="47">
        <f t="shared" si="56"/>
        <v>-1.4750759320977276</v>
      </c>
      <c r="BB386" s="45" t="str">
        <f t="shared" si="52"/>
        <v>SP</v>
      </c>
      <c r="BC386" s="45">
        <v>930</v>
      </c>
      <c r="BD386" s="45">
        <v>381</v>
      </c>
      <c r="BE386" s="45"/>
      <c r="BF386" s="45" t="str">
        <f t="shared" si="53"/>
        <v>Unlikely</v>
      </c>
      <c r="BG386" s="45"/>
      <c r="BH386" s="45">
        <f>INDEX(Table5[[#All],[Ovr]],MATCH(Table3[[#This Row],[PID]],Table5[[#All],[PID]],0))</f>
        <v>590</v>
      </c>
      <c r="BI386" s="45" t="str">
        <f>INDEX(Table5[[#All],[Rnd]],MATCH(Table3[[#This Row],[PID]],Table5[[#All],[PID]],0))</f>
        <v>18</v>
      </c>
      <c r="BJ386" s="45">
        <f>INDEX(Table5[[#All],[Pick]],MATCH(Table3[[#This Row],[PID]],Table5[[#All],[PID]],0))</f>
        <v>21</v>
      </c>
      <c r="BK386" s="45" t="str">
        <f>INDEX(Table5[[#All],[Team]],MATCH(Table3[[#This Row],[PID]],Table5[[#All],[PID]],0))</f>
        <v>Neo-Tokyo Akira</v>
      </c>
      <c r="BL386" s="45" t="str">
        <f>IF(OR(Table3[[#This Row],[POS]]="SP",Table3[[#This Row],[POS]]="RP",Table3[[#This Row],[POS]]="CL"),"P",INDEX(Batters[[#All],[zScore]],MATCH(Table3[[#This Row],[PID]],Batters[[#All],[PID]],0)))</f>
        <v>P</v>
      </c>
    </row>
    <row r="387" spans="1:64" ht="15" customHeight="1" x14ac:dyDescent="0.3">
      <c r="A387" s="40">
        <v>12562</v>
      </c>
      <c r="B387" s="40" t="s">
        <v>380</v>
      </c>
      <c r="C387" s="40" t="s">
        <v>185</v>
      </c>
      <c r="D387" s="40" t="s">
        <v>930</v>
      </c>
      <c r="E387" s="40">
        <v>21</v>
      </c>
      <c r="F387" s="40" t="s">
        <v>42</v>
      </c>
      <c r="G387" s="40" t="s">
        <v>42</v>
      </c>
      <c r="H387" s="41" t="s">
        <v>561</v>
      </c>
      <c r="I387" s="42" t="s">
        <v>44</v>
      </c>
      <c r="J387" s="40" t="s">
        <v>44</v>
      </c>
      <c r="K387" s="41" t="s">
        <v>43</v>
      </c>
      <c r="L387" s="40">
        <v>2</v>
      </c>
      <c r="M387" s="40">
        <v>1</v>
      </c>
      <c r="N387" s="41">
        <v>2</v>
      </c>
      <c r="O387" s="40">
        <v>4</v>
      </c>
      <c r="P387" s="40">
        <v>1</v>
      </c>
      <c r="Q387" s="41">
        <v>3</v>
      </c>
      <c r="R387" s="40">
        <v>3</v>
      </c>
      <c r="S387" s="40">
        <v>5</v>
      </c>
      <c r="T387" s="40" t="s">
        <v>45</v>
      </c>
      <c r="U387" s="40" t="s">
        <v>45</v>
      </c>
      <c r="V387" s="40">
        <v>2</v>
      </c>
      <c r="W387" s="40">
        <v>7</v>
      </c>
      <c r="X387" s="40" t="s">
        <v>45</v>
      </c>
      <c r="Y387" s="40" t="s">
        <v>45</v>
      </c>
      <c r="Z387" s="40" t="s">
        <v>45</v>
      </c>
      <c r="AA387" s="40" t="s">
        <v>45</v>
      </c>
      <c r="AB387" s="40" t="s">
        <v>45</v>
      </c>
      <c r="AC387" s="40" t="s">
        <v>45</v>
      </c>
      <c r="AD387" s="40" t="s">
        <v>45</v>
      </c>
      <c r="AE387" s="40" t="s">
        <v>45</v>
      </c>
      <c r="AF387" s="40" t="s">
        <v>45</v>
      </c>
      <c r="AG387" s="40" t="s">
        <v>45</v>
      </c>
      <c r="AH387" s="40" t="s">
        <v>45</v>
      </c>
      <c r="AI387" s="40" t="s">
        <v>45</v>
      </c>
      <c r="AJ387" s="40" t="s">
        <v>45</v>
      </c>
      <c r="AK387" s="40" t="s">
        <v>45</v>
      </c>
      <c r="AL387" s="40" t="s">
        <v>45</v>
      </c>
      <c r="AM387" s="40" t="s">
        <v>45</v>
      </c>
      <c r="AN387" s="40" t="s">
        <v>45</v>
      </c>
      <c r="AO387" s="41" t="s">
        <v>45</v>
      </c>
      <c r="AP387" s="40" t="s">
        <v>328</v>
      </c>
      <c r="AQ387" s="40">
        <v>7</v>
      </c>
      <c r="AR387" s="48" t="s">
        <v>14</v>
      </c>
      <c r="AS387" s="43" t="s">
        <v>45</v>
      </c>
      <c r="AT387" s="43" t="s">
        <v>103</v>
      </c>
      <c r="AU387" s="44">
        <f t="shared" si="47"/>
        <v>-2.2644723474043147</v>
      </c>
      <c r="AV387" s="44">
        <f t="shared" si="48"/>
        <v>-1.1872743815947853</v>
      </c>
      <c r="AW387" s="45">
        <f t="shared" si="49"/>
        <v>2</v>
      </c>
      <c r="AX387" s="45">
        <f t="shared" si="50"/>
        <v>1</v>
      </c>
      <c r="AY387" s="46">
        <f>VLOOKUP(AP387,COND!$A$10:$B$32,2,FALSE)</f>
        <v>1</v>
      </c>
      <c r="AZ387" s="44">
        <f>($AU$3*AU387+$AV$3*AV387+$AW$3*AW387+$AX$3*AX387)*AY387*IF(AQ387&lt;5,0.95,IF(AQ387&lt;7,0.975,1))+$I$3*VLOOKUP(I387,COND!$A$2:$E$7,4,FALSE)+$J$3*VLOOKUP(J387,COND!$A$2:$E$7,2,FALSE)+$K$3*VLOOKUP(K387,COND!$A$2:$E$7,3,FALSE)+IF(BB387="SP",$BB$3,0)+IF($AW387&lt;3,-5,0)+IF(AND($B$2&gt;0,$E387&lt;20),$B$2*25,0)</f>
        <v>17.601617898623431</v>
      </c>
      <c r="BA387" s="47">
        <f t="shared" si="56"/>
        <v>-1.438450756864835</v>
      </c>
      <c r="BB387" s="45" t="str">
        <f t="shared" si="52"/>
        <v>RP</v>
      </c>
      <c r="BC387" s="45">
        <v>930</v>
      </c>
      <c r="BD387" s="45">
        <v>382</v>
      </c>
      <c r="BE387" s="45"/>
      <c r="BF387" s="45" t="str">
        <f t="shared" si="53"/>
        <v>Unlikely</v>
      </c>
      <c r="BG387" s="45"/>
      <c r="BH387" s="45" t="str">
        <f>INDEX(Table5[[#All],[Ovr]],MATCH(Table3[[#This Row],[PID]],Table5[[#All],[PID]],0))</f>
        <v/>
      </c>
      <c r="BI387" s="45" t="str">
        <f>INDEX(Table5[[#All],[Rnd]],MATCH(Table3[[#This Row],[PID]],Table5[[#All],[PID]],0))</f>
        <v/>
      </c>
      <c r="BJ387" s="45" t="str">
        <f>INDEX(Table5[[#All],[Pick]],MATCH(Table3[[#This Row],[PID]],Table5[[#All],[PID]],0))</f>
        <v/>
      </c>
      <c r="BK387" s="45" t="str">
        <f>INDEX(Table5[[#All],[Team]],MATCH(Table3[[#This Row],[PID]],Table5[[#All],[PID]],0))</f>
        <v/>
      </c>
      <c r="BL387" s="45" t="str">
        <f>IF(OR(Table3[[#This Row],[POS]]="SP",Table3[[#This Row],[POS]]="RP",Table3[[#This Row],[POS]]="CL"),"P",INDEX(Batters[[#All],[zScore]],MATCH(Table3[[#This Row],[PID]],Batters[[#All],[PID]],0)))</f>
        <v>P</v>
      </c>
    </row>
    <row r="388" spans="1:64" ht="15" customHeight="1" x14ac:dyDescent="0.3">
      <c r="A388" s="40">
        <v>16772</v>
      </c>
      <c r="B388" s="40" t="s">
        <v>380</v>
      </c>
      <c r="C388" s="40" t="s">
        <v>126</v>
      </c>
      <c r="D388" s="40" t="s">
        <v>963</v>
      </c>
      <c r="E388" s="40">
        <v>21</v>
      </c>
      <c r="F388" s="40" t="s">
        <v>42</v>
      </c>
      <c r="G388" s="40" t="s">
        <v>53</v>
      </c>
      <c r="H388" s="41" t="s">
        <v>561</v>
      </c>
      <c r="I388" s="42" t="s">
        <v>43</v>
      </c>
      <c r="J388" s="40" t="s">
        <v>44</v>
      </c>
      <c r="K388" s="41" t="s">
        <v>43</v>
      </c>
      <c r="L388" s="40">
        <v>2</v>
      </c>
      <c r="M388" s="40">
        <v>2</v>
      </c>
      <c r="N388" s="41">
        <v>1</v>
      </c>
      <c r="O388" s="40">
        <v>4</v>
      </c>
      <c r="P388" s="40">
        <v>2</v>
      </c>
      <c r="Q388" s="41">
        <v>2</v>
      </c>
      <c r="R388" s="40">
        <v>3</v>
      </c>
      <c r="S388" s="40">
        <v>5</v>
      </c>
      <c r="T388" s="40" t="s">
        <v>45</v>
      </c>
      <c r="U388" s="40" t="s">
        <v>45</v>
      </c>
      <c r="V388" s="40" t="s">
        <v>45</v>
      </c>
      <c r="W388" s="40" t="s">
        <v>45</v>
      </c>
      <c r="X388" s="40">
        <v>2</v>
      </c>
      <c r="Y388" s="40">
        <v>5</v>
      </c>
      <c r="Z388" s="40" t="s">
        <v>45</v>
      </c>
      <c r="AA388" s="40" t="s">
        <v>45</v>
      </c>
      <c r="AB388" s="40" t="s">
        <v>45</v>
      </c>
      <c r="AC388" s="40" t="s">
        <v>45</v>
      </c>
      <c r="AD388" s="40" t="s">
        <v>45</v>
      </c>
      <c r="AE388" s="40" t="s">
        <v>45</v>
      </c>
      <c r="AF388" s="40" t="s">
        <v>45</v>
      </c>
      <c r="AG388" s="40" t="s">
        <v>45</v>
      </c>
      <c r="AH388" s="40" t="s">
        <v>45</v>
      </c>
      <c r="AI388" s="40" t="s">
        <v>45</v>
      </c>
      <c r="AJ388" s="40" t="s">
        <v>45</v>
      </c>
      <c r="AK388" s="40" t="s">
        <v>45</v>
      </c>
      <c r="AL388" s="40" t="s">
        <v>45</v>
      </c>
      <c r="AM388" s="40" t="s">
        <v>45</v>
      </c>
      <c r="AN388" s="40" t="s">
        <v>45</v>
      </c>
      <c r="AO388" s="41" t="s">
        <v>45</v>
      </c>
      <c r="AP388" s="40" t="s">
        <v>328</v>
      </c>
      <c r="AQ388" s="40">
        <v>4</v>
      </c>
      <c r="AR388" s="48" t="s">
        <v>326</v>
      </c>
      <c r="AS388" s="43" t="s">
        <v>45</v>
      </c>
      <c r="AT388" s="43" t="s">
        <v>103</v>
      </c>
      <c r="AU388" s="44">
        <f t="shared" si="47"/>
        <v>-2.311361197028369</v>
      </c>
      <c r="AV388" s="44">
        <f t="shared" si="48"/>
        <v>-1.23416323121884</v>
      </c>
      <c r="AW388" s="45">
        <f t="shared" si="49"/>
        <v>2</v>
      </c>
      <c r="AX388" s="45">
        <f t="shared" si="50"/>
        <v>0</v>
      </c>
      <c r="AY388" s="46">
        <f>VLOOKUP(AP388,COND!$A$10:$B$32,2,FALSE)</f>
        <v>1</v>
      </c>
      <c r="AZ388" s="44">
        <f>($AU$3*AU388+$AV$3*AV388+$AW$3*AW388+$AX$3*AX388)*AY388*IF(AQ388&lt;5,0.95,IF(AQ388&lt;7,0.975,1))+$I$3*VLOOKUP(I388,COND!$A$2:$E$7,4,FALSE)+$J$3*VLOOKUP(J388,COND!$A$2:$E$7,2,FALSE)+$K$3*VLOOKUP(K388,COND!$A$2:$E$7,3,FALSE)+IF(BB388="SP",$BB$3,0)+IF($AW388&lt;3,-5,0)+IF(AND($B$2&gt;0,$E388&lt;20),$B$2*25,0)</f>
        <v>16.761739979406649</v>
      </c>
      <c r="BA388" s="47">
        <f t="shared" si="56"/>
        <v>-1.4982559714677908</v>
      </c>
      <c r="BB388" s="45" t="str">
        <f t="shared" si="52"/>
        <v>RP</v>
      </c>
      <c r="BC388" s="45">
        <v>930</v>
      </c>
      <c r="BD388" s="45">
        <v>383</v>
      </c>
      <c r="BE388" s="45"/>
      <c r="BF388" s="45" t="str">
        <f t="shared" si="53"/>
        <v>Unlikely</v>
      </c>
      <c r="BG388" s="45"/>
      <c r="BH388" s="45" t="str">
        <f>INDEX(Table5[[#All],[Ovr]],MATCH(Table3[[#This Row],[PID]],Table5[[#All],[PID]],0))</f>
        <v/>
      </c>
      <c r="BI388" s="45" t="str">
        <f>INDEX(Table5[[#All],[Rnd]],MATCH(Table3[[#This Row],[PID]],Table5[[#All],[PID]],0))</f>
        <v/>
      </c>
      <c r="BJ388" s="45" t="str">
        <f>INDEX(Table5[[#All],[Pick]],MATCH(Table3[[#This Row],[PID]],Table5[[#All],[PID]],0))</f>
        <v/>
      </c>
      <c r="BK388" s="45" t="str">
        <f>INDEX(Table5[[#All],[Team]],MATCH(Table3[[#This Row],[PID]],Table5[[#All],[PID]],0))</f>
        <v/>
      </c>
      <c r="BL388" s="45" t="str">
        <f>IF(OR(Table3[[#This Row],[POS]]="SP",Table3[[#This Row],[POS]]="RP",Table3[[#This Row],[POS]]="CL"),"P",INDEX(Batters[[#All],[zScore]],MATCH(Table3[[#This Row],[PID]],Batters[[#All],[PID]],0)))</f>
        <v>P</v>
      </c>
    </row>
    <row r="389" spans="1:64" ht="15" customHeight="1" x14ac:dyDescent="0.3">
      <c r="A389" s="40">
        <v>20187</v>
      </c>
      <c r="B389" s="40" t="s">
        <v>380</v>
      </c>
      <c r="C389" s="40" t="s">
        <v>1357</v>
      </c>
      <c r="D389" s="40" t="s">
        <v>1358</v>
      </c>
      <c r="E389" s="40">
        <v>21</v>
      </c>
      <c r="F389" s="40" t="s">
        <v>53</v>
      </c>
      <c r="G389" s="40" t="s">
        <v>53</v>
      </c>
      <c r="H389" s="41" t="s">
        <v>561</v>
      </c>
      <c r="I389" s="42" t="s">
        <v>44</v>
      </c>
      <c r="J389" s="40" t="s">
        <v>44</v>
      </c>
      <c r="K389" s="41" t="s">
        <v>43</v>
      </c>
      <c r="L389" s="40">
        <v>3</v>
      </c>
      <c r="M389" s="40">
        <v>1</v>
      </c>
      <c r="N389" s="41">
        <v>1</v>
      </c>
      <c r="O389" s="40">
        <v>4</v>
      </c>
      <c r="P389" s="40">
        <v>1</v>
      </c>
      <c r="Q389" s="41">
        <v>2</v>
      </c>
      <c r="R389" s="40">
        <v>5</v>
      </c>
      <c r="S389" s="40">
        <v>6</v>
      </c>
      <c r="T389" s="40">
        <v>4</v>
      </c>
      <c r="U389" s="40">
        <v>6</v>
      </c>
      <c r="V389" s="40" t="s">
        <v>45</v>
      </c>
      <c r="W389" s="40" t="s">
        <v>45</v>
      </c>
      <c r="X389" s="40" t="s">
        <v>45</v>
      </c>
      <c r="Y389" s="40" t="s">
        <v>45</v>
      </c>
      <c r="Z389" s="40" t="s">
        <v>45</v>
      </c>
      <c r="AA389" s="40" t="s">
        <v>45</v>
      </c>
      <c r="AB389" s="40" t="s">
        <v>45</v>
      </c>
      <c r="AC389" s="40" t="s">
        <v>45</v>
      </c>
      <c r="AD389" s="40" t="s">
        <v>45</v>
      </c>
      <c r="AE389" s="40" t="s">
        <v>45</v>
      </c>
      <c r="AF389" s="40" t="s">
        <v>45</v>
      </c>
      <c r="AG389" s="40" t="s">
        <v>45</v>
      </c>
      <c r="AH389" s="40" t="s">
        <v>45</v>
      </c>
      <c r="AI389" s="40" t="s">
        <v>45</v>
      </c>
      <c r="AJ389" s="40" t="s">
        <v>45</v>
      </c>
      <c r="AK389" s="40" t="s">
        <v>45</v>
      </c>
      <c r="AL389" s="40" t="s">
        <v>45</v>
      </c>
      <c r="AM389" s="40" t="s">
        <v>45</v>
      </c>
      <c r="AN389" s="40" t="s">
        <v>45</v>
      </c>
      <c r="AO389" s="41" t="s">
        <v>45</v>
      </c>
      <c r="AP389" s="40" t="s">
        <v>56</v>
      </c>
      <c r="AQ389" s="40">
        <v>2</v>
      </c>
      <c r="AR389" s="48" t="s">
        <v>14</v>
      </c>
      <c r="AS389" s="43" t="s">
        <v>45</v>
      </c>
      <c r="AT389" s="43" t="s">
        <v>103</v>
      </c>
      <c r="AU389" s="44">
        <f t="shared" ref="AU389:AU438" si="57">($O$3*(L389-$O$1)/$O$2+$P$3*(M389-$P$1)/$P$2+$Q$3*(N389-$P$1)/$Q$2)/SUM($O$3:$Q$3)</f>
        <v>-2.3121015889492513</v>
      </c>
      <c r="AV389" s="44">
        <f t="shared" ref="AV389:AV438" si="58">($O$3*(O389-$O$1)/$O$2+$P$3*(P389-$P$1)/$P$2+$Q$3*(Q389-$Q$1)/$Q$2)/SUM($O$3:$Q$3)</f>
        <v>-1.4295949476488956</v>
      </c>
      <c r="AW389" s="45">
        <f t="shared" ref="AW389:AW438" si="59">COUNT(R389:AO389)/2</f>
        <v>2</v>
      </c>
      <c r="AX389" s="45">
        <f t="shared" ref="AX389:AX438" si="60">IF(AND(S389&lt;&gt;"-",S389&gt;5),1,0)+IF(AND(U389&lt;&gt;"-",U389&gt;5),1,0)+IF(AND(W389&lt;&gt;"-",W389&gt;5),1,0)+IF(AND(Y389&lt;&gt;"-",Y389&gt;5),1,0)+IF(AND(AA389&lt;&gt;"-",AA389&gt;5),1,0)+IF(AND(AC389&lt;&gt;"-",AC389&gt;5),1,0)+IF(AND(AE389&lt;&gt;"-",AE389&gt;5),1,0)+IF(AND(AG389&lt;&gt;"-",AG389&gt;5),1,0)+IF(AND(AI389&lt;&gt;"-",AI389&gt;5),1,0)+IF(AND(AK389&lt;&gt;"-",AK389&gt;5),1,0)+IF(AND(AM389&lt;&gt;"-",AM389&gt;5),1,0)+IF(AND(AO389&lt;&gt;"-",AO389&gt;5),1,0)</f>
        <v>2</v>
      </c>
      <c r="AY389" s="46">
        <f>VLOOKUP(AP389,COND!$A$10:$B$32,2,FALSE)</f>
        <v>1</v>
      </c>
      <c r="AZ389" s="44">
        <f>($AU$3*AU389+$AV$3*AV389+$AW$3*AW389+$AX$3*AX389)*AY389*IF(AQ389&lt;5,0.95,IF(AQ389&lt;7,0.975,1))+$I$3*VLOOKUP(I389,COND!$A$2:$E$7,4,FALSE)+$J$3*VLOOKUP(J389,COND!$A$2:$E$7,2,FALSE)+$K$3*VLOOKUP(K389,COND!$A$2:$E$7,3,FALSE)+IF(BB389="SP",$BB$3,0)+IF($AW389&lt;3,-5,0)+IF(AND($B$2&gt;0,$E389&lt;20),$B$2*25,0)</f>
        <v>15.273396692770625</v>
      </c>
      <c r="BA389" s="47">
        <f t="shared" si="56"/>
        <v>-1.6042364808055545</v>
      </c>
      <c r="BB389" s="45" t="str">
        <f t="shared" ref="BB389:BB438" si="61">IF(OR(AND(AQ389&gt;7,AX389&gt;1),AND(AQ389&gt;4,AW389&gt;2)),"SP","RP")</f>
        <v>RP</v>
      </c>
      <c r="BC389" s="45">
        <v>930</v>
      </c>
      <c r="BD389" s="45">
        <v>384</v>
      </c>
      <c r="BE389" s="45"/>
      <c r="BF389" s="45" t="str">
        <f t="shared" ref="BF389:BF438" si="62">IF(AVERAGE($O389:$Q389)&gt;=6,"Likely",IF(AVERAGE($O389:$Q389)&gt;=4,"Possible","Unlikely"))</f>
        <v>Unlikely</v>
      </c>
      <c r="BG389" s="45"/>
      <c r="BH389" s="45" t="str">
        <f>INDEX(Table5[[#All],[Ovr]],MATCH(Table3[[#This Row],[PID]],Table5[[#All],[PID]],0))</f>
        <v/>
      </c>
      <c r="BI389" s="45" t="str">
        <f>INDEX(Table5[[#All],[Rnd]],MATCH(Table3[[#This Row],[PID]],Table5[[#All],[PID]],0))</f>
        <v/>
      </c>
      <c r="BJ389" s="45" t="str">
        <f>INDEX(Table5[[#All],[Pick]],MATCH(Table3[[#This Row],[PID]],Table5[[#All],[PID]],0))</f>
        <v/>
      </c>
      <c r="BK389" s="45" t="str">
        <f>INDEX(Table5[[#All],[Team]],MATCH(Table3[[#This Row],[PID]],Table5[[#All],[PID]],0))</f>
        <v/>
      </c>
      <c r="BL389" s="45" t="str">
        <f>IF(OR(Table3[[#This Row],[POS]]="SP",Table3[[#This Row],[POS]]="RP",Table3[[#This Row],[POS]]="CL"),"P",INDEX(Batters[[#All],[zScore]],MATCH(Table3[[#This Row],[PID]],Batters[[#All],[PID]],0)))</f>
        <v>P</v>
      </c>
    </row>
    <row r="390" spans="1:64" ht="15" customHeight="1" x14ac:dyDescent="0.3">
      <c r="A390" s="40">
        <v>11804</v>
      </c>
      <c r="B390" s="40" t="s">
        <v>380</v>
      </c>
      <c r="C390" s="40" t="s">
        <v>735</v>
      </c>
      <c r="D390" s="40" t="s">
        <v>1438</v>
      </c>
      <c r="E390" s="40">
        <v>17</v>
      </c>
      <c r="F390" s="40" t="s">
        <v>53</v>
      </c>
      <c r="G390" s="40" t="s">
        <v>53</v>
      </c>
      <c r="H390" s="41" t="s">
        <v>550</v>
      </c>
      <c r="I390" s="42" t="s">
        <v>43</v>
      </c>
      <c r="J390" s="40" t="s">
        <v>43</v>
      </c>
      <c r="K390" s="41" t="s">
        <v>44</v>
      </c>
      <c r="L390" s="40">
        <v>2</v>
      </c>
      <c r="M390" s="40">
        <v>2</v>
      </c>
      <c r="N390" s="41">
        <v>1</v>
      </c>
      <c r="O390" s="40">
        <v>3</v>
      </c>
      <c r="P390" s="40">
        <v>6</v>
      </c>
      <c r="Q390" s="41">
        <v>6</v>
      </c>
      <c r="R390" s="40">
        <v>4</v>
      </c>
      <c r="S390" s="40">
        <v>5</v>
      </c>
      <c r="T390" s="40">
        <v>1</v>
      </c>
      <c r="U390" s="40">
        <v>3</v>
      </c>
      <c r="V390" s="40">
        <v>2</v>
      </c>
      <c r="W390" s="40">
        <v>5</v>
      </c>
      <c r="X390" s="40" t="s">
        <v>45</v>
      </c>
      <c r="Y390" s="40" t="s">
        <v>45</v>
      </c>
      <c r="Z390" s="40" t="s">
        <v>45</v>
      </c>
      <c r="AA390" s="40" t="s">
        <v>45</v>
      </c>
      <c r="AB390" s="40" t="s">
        <v>45</v>
      </c>
      <c r="AC390" s="40" t="s">
        <v>45</v>
      </c>
      <c r="AD390" s="40" t="s">
        <v>45</v>
      </c>
      <c r="AE390" s="40" t="s">
        <v>45</v>
      </c>
      <c r="AF390" s="40" t="s">
        <v>45</v>
      </c>
      <c r="AG390" s="40" t="s">
        <v>45</v>
      </c>
      <c r="AH390" s="40" t="s">
        <v>45</v>
      </c>
      <c r="AI390" s="40" t="s">
        <v>45</v>
      </c>
      <c r="AJ390" s="40" t="s">
        <v>45</v>
      </c>
      <c r="AK390" s="40" t="s">
        <v>45</v>
      </c>
      <c r="AL390" s="40" t="s">
        <v>45</v>
      </c>
      <c r="AM390" s="40" t="s">
        <v>45</v>
      </c>
      <c r="AN390" s="40" t="s">
        <v>45</v>
      </c>
      <c r="AO390" s="41" t="s">
        <v>45</v>
      </c>
      <c r="AP390" s="40" t="s">
        <v>56</v>
      </c>
      <c r="AQ390" s="40">
        <v>7</v>
      </c>
      <c r="AR390" s="48" t="s">
        <v>326</v>
      </c>
      <c r="AS390" s="43" t="s">
        <v>572</v>
      </c>
      <c r="AT390" s="43" t="s">
        <v>103</v>
      </c>
      <c r="AU390" s="44">
        <f t="shared" si="57"/>
        <v>-2.311361197028369</v>
      </c>
      <c r="AV390" s="44">
        <f t="shared" si="58"/>
        <v>0.32215457420864962</v>
      </c>
      <c r="AW390" s="45">
        <f t="shared" si="59"/>
        <v>3</v>
      </c>
      <c r="AX390" s="45">
        <f t="shared" si="60"/>
        <v>0</v>
      </c>
      <c r="AY390" s="46">
        <f>VLOOKUP(AP390,COND!$A$10:$B$32,2,FALSE)</f>
        <v>1</v>
      </c>
      <c r="AZ390" s="44">
        <f>($AU$3*AU390+$AV$3*AV390+$AW$3*AW390+$AX$3*AX390)*AY390*IF(AQ390&lt;5,0.95,IF(AQ390&lt;7,0.975,1))+$I$3*VLOOKUP(I390,COND!$A$2:$E$7,4,FALSE)+$J$3*VLOOKUP(J390,COND!$A$2:$E$7,2,FALSE)+$K$3*VLOOKUP(K390,COND!$A$2:$E$7,3,FALSE)+IF(BB390="SP",$BB$3,0)+IF($AW390&lt;3,-5,0)+IF(AND($B$2&gt;0,$E390&lt;20),$B$2*25,0)</f>
        <v>59.180819244767321</v>
      </c>
      <c r="BA390" s="47">
        <f t="shared" si="56"/>
        <v>1.5222808002221009</v>
      </c>
      <c r="BB390" s="45" t="str">
        <f t="shared" si="61"/>
        <v>SP</v>
      </c>
      <c r="BC390" s="45">
        <v>940</v>
      </c>
      <c r="BD390" s="45">
        <v>385</v>
      </c>
      <c r="BE390" s="45"/>
      <c r="BF390" s="45" t="str">
        <f t="shared" si="62"/>
        <v>Possible</v>
      </c>
      <c r="BG390" s="45"/>
      <c r="BH390" s="45">
        <f>INDEX(Table5[[#All],[Ovr]],MATCH(Table3[[#This Row],[PID]],Table5[[#All],[PID]],0))</f>
        <v>165</v>
      </c>
      <c r="BI390" s="45" t="str">
        <f>INDEX(Table5[[#All],[Rnd]],MATCH(Table3[[#This Row],[PID]],Table5[[#All],[PID]],0))</f>
        <v>5</v>
      </c>
      <c r="BJ390" s="45">
        <f>INDEX(Table5[[#All],[Pick]],MATCH(Table3[[#This Row],[PID]],Table5[[#All],[PID]],0))</f>
        <v>28</v>
      </c>
      <c r="BK390" s="45" t="str">
        <f>INDEX(Table5[[#All],[Team]],MATCH(Table3[[#This Row],[PID]],Table5[[#All],[PID]],0))</f>
        <v>Gloucester Fishermen</v>
      </c>
      <c r="BL390" s="45" t="str">
        <f>IF(OR(Table3[[#This Row],[POS]]="SP",Table3[[#This Row],[POS]]="RP",Table3[[#This Row],[POS]]="CL"),"P",INDEX(Batters[[#All],[zScore]],MATCH(Table3[[#This Row],[PID]],Batters[[#All],[PID]],0)))</f>
        <v>P</v>
      </c>
    </row>
    <row r="391" spans="1:64" ht="15" customHeight="1" x14ac:dyDescent="0.3">
      <c r="A391" s="40">
        <v>10973</v>
      </c>
      <c r="B391" s="40" t="s">
        <v>24</v>
      </c>
      <c r="C391" s="40" t="s">
        <v>137</v>
      </c>
      <c r="D391" s="40" t="s">
        <v>659</v>
      </c>
      <c r="E391" s="40">
        <v>17</v>
      </c>
      <c r="F391" s="40" t="s">
        <v>42</v>
      </c>
      <c r="G391" s="40" t="s">
        <v>42</v>
      </c>
      <c r="H391" s="41" t="s">
        <v>552</v>
      </c>
      <c r="I391" s="42" t="s">
        <v>43</v>
      </c>
      <c r="J391" s="40" t="s">
        <v>43</v>
      </c>
      <c r="K391" s="41" t="s">
        <v>44</v>
      </c>
      <c r="L391" s="40">
        <v>2</v>
      </c>
      <c r="M391" s="40">
        <v>2</v>
      </c>
      <c r="N391" s="41">
        <v>1</v>
      </c>
      <c r="O391" s="40">
        <v>5</v>
      </c>
      <c r="P391" s="40">
        <v>3</v>
      </c>
      <c r="Q391" s="41">
        <v>4</v>
      </c>
      <c r="R391" s="40">
        <v>5</v>
      </c>
      <c r="S391" s="40">
        <v>8</v>
      </c>
      <c r="T391" s="40">
        <v>1</v>
      </c>
      <c r="U391" s="40">
        <v>1</v>
      </c>
      <c r="V391" s="40">
        <v>3</v>
      </c>
      <c r="W391" s="40">
        <v>8</v>
      </c>
      <c r="X391" s="40" t="s">
        <v>45</v>
      </c>
      <c r="Y391" s="40" t="s">
        <v>45</v>
      </c>
      <c r="Z391" s="40" t="s">
        <v>45</v>
      </c>
      <c r="AA391" s="40" t="s">
        <v>45</v>
      </c>
      <c r="AB391" s="40" t="s">
        <v>45</v>
      </c>
      <c r="AC391" s="40" t="s">
        <v>45</v>
      </c>
      <c r="AD391" s="40" t="s">
        <v>45</v>
      </c>
      <c r="AE391" s="40" t="s">
        <v>45</v>
      </c>
      <c r="AF391" s="40" t="s">
        <v>45</v>
      </c>
      <c r="AG391" s="40" t="s">
        <v>45</v>
      </c>
      <c r="AH391" s="40">
        <v>1</v>
      </c>
      <c r="AI391" s="40">
        <v>4</v>
      </c>
      <c r="AJ391" s="40" t="s">
        <v>45</v>
      </c>
      <c r="AK391" s="40" t="s">
        <v>45</v>
      </c>
      <c r="AL391" s="40" t="s">
        <v>45</v>
      </c>
      <c r="AM391" s="40" t="s">
        <v>45</v>
      </c>
      <c r="AN391" s="40" t="s">
        <v>45</v>
      </c>
      <c r="AO391" s="41" t="s">
        <v>45</v>
      </c>
      <c r="AP391" s="40" t="s">
        <v>60</v>
      </c>
      <c r="AQ391" s="40">
        <v>7</v>
      </c>
      <c r="AR391" s="48" t="s">
        <v>326</v>
      </c>
      <c r="AS391" s="43" t="s">
        <v>498</v>
      </c>
      <c r="AT391" s="43" t="s">
        <v>103</v>
      </c>
      <c r="AU391" s="44">
        <f t="shared" si="57"/>
        <v>-2.311361197028369</v>
      </c>
      <c r="AV391" s="44">
        <f t="shared" si="58"/>
        <v>-0.35939905817139028</v>
      </c>
      <c r="AW391" s="45">
        <f t="shared" si="59"/>
        <v>4</v>
      </c>
      <c r="AX391" s="45">
        <f t="shared" si="60"/>
        <v>2</v>
      </c>
      <c r="AY391" s="46">
        <f>VLOOKUP(AP391,COND!$A$10:$B$32,2,FALSE)</f>
        <v>1.0249999999999999</v>
      </c>
      <c r="AZ391" s="44">
        <f>($AU$3*AU391+$AV$3*AV391+$AW$3*AW391+$AX$3*AX391)*AY391*IF(AQ391&lt;5,0.95,IF(AQ391&lt;7,0.975,1))+$I$3*VLOOKUP(I391,COND!$A$2:$E$7,4,FALSE)+$J$3*VLOOKUP(J391,COND!$A$2:$E$7,2,FALSE)+$K$3*VLOOKUP(K391,COND!$A$2:$E$7,3,FALSE)+IF(BB391="SP",$BB$3,0)+IF($AW391&lt;3,-5,0)+IF(AND($B$2&gt;0,$E391&lt;20),$B$2*25,0)</f>
        <v>48.470990262095683</v>
      </c>
      <c r="BA391" s="47">
        <f t="shared" si="56"/>
        <v>0.75966565578905565</v>
      </c>
      <c r="BB391" s="45" t="str">
        <f t="shared" si="61"/>
        <v>SP</v>
      </c>
      <c r="BC391" s="45">
        <v>940</v>
      </c>
      <c r="BD391" s="45">
        <v>386</v>
      </c>
      <c r="BE391" s="45"/>
      <c r="BF391" s="45" t="str">
        <f t="shared" si="62"/>
        <v>Possible</v>
      </c>
      <c r="BG391" s="45"/>
      <c r="BH391" s="45">
        <f>INDEX(Table5[[#All],[Ovr]],MATCH(Table3[[#This Row],[PID]],Table5[[#All],[PID]],0))</f>
        <v>246</v>
      </c>
      <c r="BI391" s="45" t="str">
        <f>INDEX(Table5[[#All],[Rnd]],MATCH(Table3[[#This Row],[PID]],Table5[[#All],[PID]],0))</f>
        <v>8</v>
      </c>
      <c r="BJ391" s="45">
        <f>INDEX(Table5[[#All],[Pick]],MATCH(Table3[[#This Row],[PID]],Table5[[#All],[PID]],0))</f>
        <v>13</v>
      </c>
      <c r="BK391" s="45" t="str">
        <f>INDEX(Table5[[#All],[Team]],MATCH(Table3[[#This Row],[PID]],Table5[[#All],[PID]],0))</f>
        <v>Scottish Claymores</v>
      </c>
      <c r="BL391" s="45" t="str">
        <f>IF(OR(Table3[[#This Row],[POS]]="SP",Table3[[#This Row],[POS]]="RP",Table3[[#This Row],[POS]]="CL"),"P",INDEX(Batters[[#All],[zScore]],MATCH(Table3[[#This Row],[PID]],Batters[[#All],[PID]],0)))</f>
        <v>P</v>
      </c>
    </row>
    <row r="392" spans="1:64" ht="15" customHeight="1" x14ac:dyDescent="0.3">
      <c r="A392" s="40">
        <v>21076</v>
      </c>
      <c r="B392" s="40" t="s">
        <v>380</v>
      </c>
      <c r="C392" s="40" t="s">
        <v>373</v>
      </c>
      <c r="D392" s="40" t="s">
        <v>825</v>
      </c>
      <c r="E392" s="40">
        <v>18</v>
      </c>
      <c r="F392" s="40" t="s">
        <v>62</v>
      </c>
      <c r="G392" s="40" t="s">
        <v>42</v>
      </c>
      <c r="H392" s="41" t="s">
        <v>552</v>
      </c>
      <c r="I392" s="42" t="s">
        <v>43</v>
      </c>
      <c r="J392" s="40" t="s">
        <v>43</v>
      </c>
      <c r="K392" s="41" t="s">
        <v>44</v>
      </c>
      <c r="L392" s="40">
        <v>3</v>
      </c>
      <c r="M392" s="40">
        <v>2</v>
      </c>
      <c r="N392" s="41">
        <v>1</v>
      </c>
      <c r="O392" s="40">
        <v>6</v>
      </c>
      <c r="P392" s="40">
        <v>2</v>
      </c>
      <c r="Q392" s="41">
        <v>4</v>
      </c>
      <c r="R392" s="40">
        <v>4</v>
      </c>
      <c r="S392" s="40">
        <v>7</v>
      </c>
      <c r="T392" s="40">
        <v>1</v>
      </c>
      <c r="U392" s="40">
        <v>1</v>
      </c>
      <c r="V392" s="40" t="s">
        <v>45</v>
      </c>
      <c r="W392" s="40" t="s">
        <v>45</v>
      </c>
      <c r="X392" s="40">
        <v>3</v>
      </c>
      <c r="Y392" s="40">
        <v>7</v>
      </c>
      <c r="Z392" s="40" t="s">
        <v>45</v>
      </c>
      <c r="AA392" s="40" t="s">
        <v>45</v>
      </c>
      <c r="AB392" s="40" t="s">
        <v>45</v>
      </c>
      <c r="AC392" s="40" t="s">
        <v>45</v>
      </c>
      <c r="AD392" s="40" t="s">
        <v>45</v>
      </c>
      <c r="AE392" s="40" t="s">
        <v>45</v>
      </c>
      <c r="AF392" s="40" t="s">
        <v>45</v>
      </c>
      <c r="AG392" s="40" t="s">
        <v>45</v>
      </c>
      <c r="AH392" s="40" t="s">
        <v>45</v>
      </c>
      <c r="AI392" s="40" t="s">
        <v>45</v>
      </c>
      <c r="AJ392" s="40" t="s">
        <v>45</v>
      </c>
      <c r="AK392" s="40" t="s">
        <v>45</v>
      </c>
      <c r="AL392" s="40" t="s">
        <v>45</v>
      </c>
      <c r="AM392" s="40" t="s">
        <v>45</v>
      </c>
      <c r="AN392" s="40" t="s">
        <v>45</v>
      </c>
      <c r="AO392" s="41" t="s">
        <v>45</v>
      </c>
      <c r="AP392" s="40" t="s">
        <v>60</v>
      </c>
      <c r="AQ392" s="40">
        <v>8</v>
      </c>
      <c r="AR392" s="48" t="s">
        <v>326</v>
      </c>
      <c r="AS392" s="43" t="s">
        <v>558</v>
      </c>
      <c r="AT392" s="43" t="s">
        <v>103</v>
      </c>
      <c r="AU392" s="44">
        <f t="shared" si="57"/>
        <v>-2.1166698725191955</v>
      </c>
      <c r="AV392" s="44">
        <f t="shared" si="58"/>
        <v>-0.36013945009227222</v>
      </c>
      <c r="AW392" s="45">
        <f t="shared" si="59"/>
        <v>3</v>
      </c>
      <c r="AX392" s="45">
        <f t="shared" si="60"/>
        <v>2</v>
      </c>
      <c r="AY392" s="46">
        <f>VLOOKUP(AP392,COND!$A$10:$B$32,2,FALSE)</f>
        <v>1.0249999999999999</v>
      </c>
      <c r="AZ392" s="44">
        <f>($AU$3*AU392+$AV$3*AV392+$AW$3*AW392+$AX$3*AX392)*AY392*IF(AQ392&lt;5,0.95,IF(AQ392&lt;7,0.975,1))+$I$3*VLOOKUP(I392,COND!$A$2:$E$7,4,FALSE)+$J$3*VLOOKUP(J392,COND!$A$2:$E$7,2,FALSE)+$K$3*VLOOKUP(K392,COND!$A$2:$E$7,3,FALSE)+IF(BB392="SP",$BB$3,0)+IF($AW392&lt;3,-5,0)+IF(AND($B$2&gt;0,$E392&lt;20),$B$2*25,0)</f>
        <v>47.983223949241989</v>
      </c>
      <c r="BA392" s="47">
        <f t="shared" si="56"/>
        <v>0.72493326391535262</v>
      </c>
      <c r="BB392" s="45" t="str">
        <f t="shared" si="61"/>
        <v>SP</v>
      </c>
      <c r="BC392" s="45">
        <v>940</v>
      </c>
      <c r="BD392" s="45">
        <v>387</v>
      </c>
      <c r="BE392" s="45"/>
      <c r="BF392" s="45" t="str">
        <f t="shared" si="62"/>
        <v>Possible</v>
      </c>
      <c r="BG392" s="45"/>
      <c r="BH392" s="45">
        <f>INDEX(Table5[[#All],[Ovr]],MATCH(Table3[[#This Row],[PID]],Table5[[#All],[PID]],0))</f>
        <v>278</v>
      </c>
      <c r="BI392" s="45" t="str">
        <f>INDEX(Table5[[#All],[Rnd]],MATCH(Table3[[#This Row],[PID]],Table5[[#All],[PID]],0))</f>
        <v>9</v>
      </c>
      <c r="BJ392" s="45">
        <f>INDEX(Table5[[#All],[Pick]],MATCH(Table3[[#This Row],[PID]],Table5[[#All],[PID]],0))</f>
        <v>13</v>
      </c>
      <c r="BK392" s="45" t="str">
        <f>INDEX(Table5[[#All],[Team]],MATCH(Table3[[#This Row],[PID]],Table5[[#All],[PID]],0))</f>
        <v>Scottish Claymores</v>
      </c>
      <c r="BL392" s="45" t="str">
        <f>IF(OR(Table3[[#This Row],[POS]]="SP",Table3[[#This Row],[POS]]="RP",Table3[[#This Row],[POS]]="CL"),"P",INDEX(Batters[[#All],[zScore]],MATCH(Table3[[#This Row],[PID]],Batters[[#All],[PID]],0)))</f>
        <v>P</v>
      </c>
    </row>
    <row r="393" spans="1:64" ht="15" customHeight="1" x14ac:dyDescent="0.3">
      <c r="A393" s="40">
        <v>12400</v>
      </c>
      <c r="B393" s="40" t="s">
        <v>24</v>
      </c>
      <c r="C393" s="40" t="s">
        <v>609</v>
      </c>
      <c r="D393" s="40" t="s">
        <v>312</v>
      </c>
      <c r="E393" s="40">
        <v>18</v>
      </c>
      <c r="F393" s="40" t="s">
        <v>42</v>
      </c>
      <c r="G393" s="40" t="s">
        <v>42</v>
      </c>
      <c r="H393" s="41" t="s">
        <v>561</v>
      </c>
      <c r="I393" s="42" t="s">
        <v>47</v>
      </c>
      <c r="J393" s="40" t="s">
        <v>43</v>
      </c>
      <c r="K393" s="41" t="s">
        <v>44</v>
      </c>
      <c r="L393" s="40">
        <v>2</v>
      </c>
      <c r="M393" s="40">
        <v>2</v>
      </c>
      <c r="N393" s="41">
        <v>1</v>
      </c>
      <c r="O393" s="40">
        <v>4</v>
      </c>
      <c r="P393" s="40">
        <v>3</v>
      </c>
      <c r="Q393" s="41">
        <v>4</v>
      </c>
      <c r="R393" s="40">
        <v>4</v>
      </c>
      <c r="S393" s="40">
        <v>5</v>
      </c>
      <c r="T393" s="40">
        <v>2</v>
      </c>
      <c r="U393" s="40">
        <v>6</v>
      </c>
      <c r="V393" s="40" t="s">
        <v>45</v>
      </c>
      <c r="W393" s="40" t="s">
        <v>45</v>
      </c>
      <c r="X393" s="40">
        <v>2</v>
      </c>
      <c r="Y393" s="40">
        <v>4</v>
      </c>
      <c r="Z393" s="40" t="s">
        <v>45</v>
      </c>
      <c r="AA393" s="40" t="s">
        <v>45</v>
      </c>
      <c r="AB393" s="40">
        <v>3</v>
      </c>
      <c r="AC393" s="40">
        <v>4</v>
      </c>
      <c r="AD393" s="40" t="s">
        <v>45</v>
      </c>
      <c r="AE393" s="40" t="s">
        <v>45</v>
      </c>
      <c r="AF393" s="40" t="s">
        <v>45</v>
      </c>
      <c r="AG393" s="40" t="s">
        <v>45</v>
      </c>
      <c r="AH393" s="40" t="s">
        <v>45</v>
      </c>
      <c r="AI393" s="40" t="s">
        <v>45</v>
      </c>
      <c r="AJ393" s="40" t="s">
        <v>45</v>
      </c>
      <c r="AK393" s="40" t="s">
        <v>45</v>
      </c>
      <c r="AL393" s="40" t="s">
        <v>45</v>
      </c>
      <c r="AM393" s="40" t="s">
        <v>45</v>
      </c>
      <c r="AN393" s="40" t="s">
        <v>45</v>
      </c>
      <c r="AO393" s="41" t="s">
        <v>45</v>
      </c>
      <c r="AP393" s="40" t="s">
        <v>328</v>
      </c>
      <c r="AQ393" s="40">
        <v>6</v>
      </c>
      <c r="AR393" s="48" t="s">
        <v>326</v>
      </c>
      <c r="AS393" s="43" t="s">
        <v>583</v>
      </c>
      <c r="AT393" s="43" t="s">
        <v>103</v>
      </c>
      <c r="AU393" s="44">
        <f t="shared" si="57"/>
        <v>-2.311361197028369</v>
      </c>
      <c r="AV393" s="44">
        <f t="shared" si="58"/>
        <v>-0.55409038268056388</v>
      </c>
      <c r="AW393" s="45">
        <f t="shared" si="59"/>
        <v>4</v>
      </c>
      <c r="AX393" s="45">
        <f t="shared" si="60"/>
        <v>1</v>
      </c>
      <c r="AY393" s="46">
        <f>VLOOKUP(AP393,COND!$A$10:$B$32,2,FALSE)</f>
        <v>1</v>
      </c>
      <c r="AZ393" s="44">
        <f>($AU$3*AU393+$AV$3*AV393+$AW$3*AW393+$AX$3*AX393)*AY393*IF(AQ393&lt;5,0.95,IF(AQ393&lt;7,0.975,1))+$I$3*VLOOKUP(I393,COND!$A$2:$E$7,4,FALSE)+$J$3*VLOOKUP(J393,COND!$A$2:$E$7,2,FALSE)+$K$3*VLOOKUP(K393,COND!$A$2:$E$7,3,FALSE)+IF(BB393="SP",$BB$3,0)+IF($AW393&lt;3,-5,0)+IF(AND($B$2&gt;0,$E393&lt;20),$B$2*25,0)</f>
        <v>43.838272104308473</v>
      </c>
      <c r="BA393" s="47">
        <f t="shared" si="56"/>
        <v>0.42978354163627119</v>
      </c>
      <c r="BB393" s="45" t="str">
        <f t="shared" si="61"/>
        <v>SP</v>
      </c>
      <c r="BC393" s="45">
        <v>940</v>
      </c>
      <c r="BD393" s="45">
        <v>388</v>
      </c>
      <c r="BE393" s="45"/>
      <c r="BF393" s="45" t="str">
        <f t="shared" si="62"/>
        <v>Unlikely</v>
      </c>
      <c r="BG393" s="45"/>
      <c r="BH393" s="45">
        <f>INDEX(Table5[[#All],[Ovr]],MATCH(Table3[[#This Row],[PID]],Table5[[#All],[PID]],0))</f>
        <v>563</v>
      </c>
      <c r="BI393" s="45" t="str">
        <f>INDEX(Table5[[#All],[Rnd]],MATCH(Table3[[#This Row],[PID]],Table5[[#All],[PID]],0))</f>
        <v>17</v>
      </c>
      <c r="BJ393" s="45">
        <f>INDEX(Table5[[#All],[Pick]],MATCH(Table3[[#This Row],[PID]],Table5[[#All],[PID]],0))</f>
        <v>28</v>
      </c>
      <c r="BK393" s="45" t="str">
        <f>INDEX(Table5[[#All],[Team]],MATCH(Table3[[#This Row],[PID]],Table5[[#All],[PID]],0))</f>
        <v>Amsterdam Lions</v>
      </c>
      <c r="BL393" s="45" t="str">
        <f>IF(OR(Table3[[#This Row],[POS]]="SP",Table3[[#This Row],[POS]]="RP",Table3[[#This Row],[POS]]="CL"),"P",INDEX(Batters[[#All],[zScore]],MATCH(Table3[[#This Row],[PID]],Batters[[#All],[PID]],0)))</f>
        <v>P</v>
      </c>
    </row>
    <row r="394" spans="1:64" ht="15" customHeight="1" x14ac:dyDescent="0.3">
      <c r="A394" s="40">
        <v>20325</v>
      </c>
      <c r="B394" s="40" t="s">
        <v>49</v>
      </c>
      <c r="C394" s="40" t="s">
        <v>1340</v>
      </c>
      <c r="D394" s="40" t="s">
        <v>584</v>
      </c>
      <c r="E394" s="40">
        <v>17</v>
      </c>
      <c r="F394" s="40" t="s">
        <v>42</v>
      </c>
      <c r="G394" s="40" t="s">
        <v>42</v>
      </c>
      <c r="H394" s="41" t="s">
        <v>561</v>
      </c>
      <c r="I394" s="42" t="s">
        <v>43</v>
      </c>
      <c r="J394" s="40" t="s">
        <v>43</v>
      </c>
      <c r="K394" s="41" t="s">
        <v>44</v>
      </c>
      <c r="L394" s="40">
        <v>3</v>
      </c>
      <c r="M394" s="40">
        <v>1</v>
      </c>
      <c r="N394" s="41">
        <v>1</v>
      </c>
      <c r="O394" s="40">
        <v>5</v>
      </c>
      <c r="P394" s="40">
        <v>1</v>
      </c>
      <c r="Q394" s="41">
        <v>4</v>
      </c>
      <c r="R394" s="40">
        <v>4</v>
      </c>
      <c r="S394" s="40">
        <v>6</v>
      </c>
      <c r="T394" s="40">
        <v>1</v>
      </c>
      <c r="U394" s="40">
        <v>1</v>
      </c>
      <c r="V394" s="40">
        <v>4</v>
      </c>
      <c r="W394" s="40">
        <v>8</v>
      </c>
      <c r="X394" s="40" t="s">
        <v>45</v>
      </c>
      <c r="Y394" s="40" t="s">
        <v>45</v>
      </c>
      <c r="Z394" s="40" t="s">
        <v>45</v>
      </c>
      <c r="AA394" s="40" t="s">
        <v>45</v>
      </c>
      <c r="AB394" s="40" t="s">
        <v>45</v>
      </c>
      <c r="AC394" s="40" t="s">
        <v>45</v>
      </c>
      <c r="AD394" s="40" t="s">
        <v>45</v>
      </c>
      <c r="AE394" s="40" t="s">
        <v>45</v>
      </c>
      <c r="AF394" s="40" t="s">
        <v>45</v>
      </c>
      <c r="AG394" s="40" t="s">
        <v>45</v>
      </c>
      <c r="AH394" s="40" t="s">
        <v>45</v>
      </c>
      <c r="AI394" s="40" t="s">
        <v>45</v>
      </c>
      <c r="AJ394" s="40" t="s">
        <v>45</v>
      </c>
      <c r="AK394" s="40" t="s">
        <v>45</v>
      </c>
      <c r="AL394" s="40" t="s">
        <v>45</v>
      </c>
      <c r="AM394" s="40" t="s">
        <v>45</v>
      </c>
      <c r="AN394" s="40" t="s">
        <v>45</v>
      </c>
      <c r="AO394" s="41" t="s">
        <v>45</v>
      </c>
      <c r="AP394" s="40" t="s">
        <v>328</v>
      </c>
      <c r="AQ394" s="40">
        <v>8</v>
      </c>
      <c r="AR394" s="48" t="s">
        <v>14</v>
      </c>
      <c r="AS394" s="43" t="s">
        <v>583</v>
      </c>
      <c r="AT394" s="43" t="s">
        <v>103</v>
      </c>
      <c r="AU394" s="44">
        <f t="shared" si="57"/>
        <v>-2.3121015889492513</v>
      </c>
      <c r="AV394" s="44">
        <f t="shared" si="58"/>
        <v>-0.75026249103150122</v>
      </c>
      <c r="AW394" s="45">
        <f t="shared" si="59"/>
        <v>3</v>
      </c>
      <c r="AX394" s="45">
        <f t="shared" si="60"/>
        <v>2</v>
      </c>
      <c r="AY394" s="46">
        <f>VLOOKUP(AP394,COND!$A$10:$B$32,2,FALSE)</f>
        <v>1</v>
      </c>
      <c r="AZ394" s="44">
        <f>($AU$3*AU394+$AV$3*AV394+$AW$3*AW394+$AX$3*AX394)*AY394*IF(AQ394&lt;5,0.95,IF(AQ394&lt;7,0.975,1))+$I$3*VLOOKUP(I394,COND!$A$2:$E$7,4,FALSE)+$J$3*VLOOKUP(J394,COND!$A$2:$E$7,2,FALSE)+$K$3*VLOOKUP(K394,COND!$A$2:$E$7,3,FALSE)+IF(BB394="SP",$BB$3,0)+IF($AW394&lt;3,-5,0)+IF(AND($B$2&gt;0,$E394&lt;20),$B$2*25,0)</f>
        <v>40.232329861580126</v>
      </c>
      <c r="BA394" s="47">
        <f>STANDARDIZE(AZ394,AVERAGE($AZ$5:$AZ$445),STDEVP($AZ$5:$AZ$445))</f>
        <v>0.17909066567299614</v>
      </c>
      <c r="BB394" s="45" t="str">
        <f t="shared" si="61"/>
        <v>SP</v>
      </c>
      <c r="BC394" s="45">
        <v>940</v>
      </c>
      <c r="BD394" s="45">
        <v>389</v>
      </c>
      <c r="BE394" s="45"/>
      <c r="BF394" s="45" t="str">
        <f t="shared" si="62"/>
        <v>Unlikely</v>
      </c>
      <c r="BG394" s="45"/>
      <c r="BH394" s="63">
        <f>INDEX(Table5[[#All],[Ovr]],MATCH(Table3[[#This Row],[PID]],Table5[[#All],[PID]],0))</f>
        <v>404</v>
      </c>
      <c r="BI394" s="63" t="str">
        <f>INDEX(Table5[[#All],[Rnd]],MATCH(Table3[[#This Row],[PID]],Table5[[#All],[PID]],0))</f>
        <v>13</v>
      </c>
      <c r="BJ394" s="63">
        <f>INDEX(Table5[[#All],[Pick]],MATCH(Table3[[#This Row],[PID]],Table5[[#All],[PID]],0))</f>
        <v>5</v>
      </c>
      <c r="BK394" s="63" t="str">
        <f>INDEX(Table5[[#All],[Team]],MATCH(Table3[[#This Row],[PID]],Table5[[#All],[PID]],0))</f>
        <v>Tempe Knights</v>
      </c>
      <c r="BL394" s="63" t="str">
        <f>IF(OR(Table3[[#This Row],[POS]]="SP",Table3[[#This Row],[POS]]="RP",Table3[[#This Row],[POS]]="CL"),"P",INDEX(Batters[[#All],[zScore]],MATCH(Table3[[#This Row],[PID]],Batters[[#All],[PID]],0)))</f>
        <v>P</v>
      </c>
    </row>
    <row r="395" spans="1:64" ht="15" customHeight="1" x14ac:dyDescent="0.3">
      <c r="A395" s="40">
        <v>13286</v>
      </c>
      <c r="B395" s="40" t="s">
        <v>24</v>
      </c>
      <c r="C395" s="40" t="s">
        <v>673</v>
      </c>
      <c r="D395" s="40" t="s">
        <v>532</v>
      </c>
      <c r="E395" s="40">
        <v>17</v>
      </c>
      <c r="F395" s="40" t="s">
        <v>42</v>
      </c>
      <c r="G395" s="40" t="s">
        <v>42</v>
      </c>
      <c r="H395" s="41" t="s">
        <v>561</v>
      </c>
      <c r="I395" s="42" t="s">
        <v>43</v>
      </c>
      <c r="J395" s="40" t="s">
        <v>43</v>
      </c>
      <c r="K395" s="41" t="s">
        <v>44</v>
      </c>
      <c r="L395" s="40">
        <v>2</v>
      </c>
      <c r="M395" s="40">
        <v>1</v>
      </c>
      <c r="N395" s="41">
        <v>1</v>
      </c>
      <c r="O395" s="40">
        <v>5</v>
      </c>
      <c r="P395" s="40">
        <v>1</v>
      </c>
      <c r="Q395" s="41">
        <v>3</v>
      </c>
      <c r="R395" s="40">
        <v>4</v>
      </c>
      <c r="S395" s="40">
        <v>6</v>
      </c>
      <c r="T395" s="40">
        <v>3</v>
      </c>
      <c r="U395" s="40">
        <v>8</v>
      </c>
      <c r="V395" s="40">
        <v>3</v>
      </c>
      <c r="W395" s="40">
        <v>6</v>
      </c>
      <c r="X395" s="40">
        <v>2</v>
      </c>
      <c r="Y395" s="40">
        <v>2</v>
      </c>
      <c r="Z395" s="40" t="s">
        <v>45</v>
      </c>
      <c r="AA395" s="40" t="s">
        <v>45</v>
      </c>
      <c r="AB395" s="40" t="s">
        <v>45</v>
      </c>
      <c r="AC395" s="40" t="s">
        <v>45</v>
      </c>
      <c r="AD395" s="40" t="s">
        <v>45</v>
      </c>
      <c r="AE395" s="40" t="s">
        <v>45</v>
      </c>
      <c r="AF395" s="40" t="s">
        <v>45</v>
      </c>
      <c r="AG395" s="40" t="s">
        <v>45</v>
      </c>
      <c r="AH395" s="40" t="s">
        <v>45</v>
      </c>
      <c r="AI395" s="40" t="s">
        <v>45</v>
      </c>
      <c r="AJ395" s="40" t="s">
        <v>45</v>
      </c>
      <c r="AK395" s="40" t="s">
        <v>45</v>
      </c>
      <c r="AL395" s="40" t="s">
        <v>45</v>
      </c>
      <c r="AM395" s="40" t="s">
        <v>45</v>
      </c>
      <c r="AN395" s="40" t="s">
        <v>45</v>
      </c>
      <c r="AO395" s="41" t="s">
        <v>45</v>
      </c>
      <c r="AP395" s="40" t="s">
        <v>329</v>
      </c>
      <c r="AQ395" s="40">
        <v>9</v>
      </c>
      <c r="AR395" s="48" t="s">
        <v>14</v>
      </c>
      <c r="AS395" s="43" t="s">
        <v>558</v>
      </c>
      <c r="AT395" s="43" t="s">
        <v>103</v>
      </c>
      <c r="AU395" s="44">
        <f t="shared" si="57"/>
        <v>-2.5067929134584248</v>
      </c>
      <c r="AV395" s="44">
        <f t="shared" si="58"/>
        <v>-0.99258305708561179</v>
      </c>
      <c r="AW395" s="45">
        <f t="shared" si="59"/>
        <v>4</v>
      </c>
      <c r="AX395" s="45">
        <f t="shared" si="60"/>
        <v>3</v>
      </c>
      <c r="AY395" s="46">
        <f>VLOOKUP(AP395,COND!$A$10:$B$32,2,FALSE)</f>
        <v>1</v>
      </c>
      <c r="AZ395" s="44">
        <f>($AU$3*AU395+$AV$3*AV395+$AW$3*AW395+$AX$3*AX395)*AY395*IF(AQ395&lt;5,0.95,IF(AQ395&lt;7,0.975,1))+$I$3*VLOOKUP(I395,COND!$A$2:$E$7,4,FALSE)+$J$3*VLOOKUP(J395,COND!$A$2:$E$7,2,FALSE)+$K$3*VLOOKUP(K395,COND!$A$2:$E$7,3,FALSE)+IF(BB395="SP",$BB$3,0)+IF($AW395&lt;3,-5,0)+IF(AND($B$2&gt;0,$E395&lt;20),$B$2*25,0)</f>
        <v>37.096980275596081</v>
      </c>
      <c r="BA395" s="47">
        <f>STANDARDIZE(AZ395,AVERAGE($AZ$5:$AZ$428),STDEVP($AZ$5:$AZ$428))</f>
        <v>-5.0243847217173357E-2</v>
      </c>
      <c r="BB395" s="45" t="str">
        <f t="shared" si="61"/>
        <v>SP</v>
      </c>
      <c r="BC395" s="45">
        <v>940</v>
      </c>
      <c r="BD395" s="45">
        <v>390</v>
      </c>
      <c r="BE395" s="45"/>
      <c r="BF395" s="45" t="str">
        <f t="shared" si="62"/>
        <v>Unlikely</v>
      </c>
      <c r="BG395" s="45"/>
      <c r="BH395" s="45">
        <f>INDEX(Table5[[#All],[Ovr]],MATCH(Table3[[#This Row],[PID]],Table5[[#All],[PID]],0))</f>
        <v>265</v>
      </c>
      <c r="BI395" s="45" t="str">
        <f>INDEX(Table5[[#All],[Rnd]],MATCH(Table3[[#This Row],[PID]],Table5[[#All],[PID]],0))</f>
        <v>8</v>
      </c>
      <c r="BJ395" s="45">
        <f>INDEX(Table5[[#All],[Pick]],MATCH(Table3[[#This Row],[PID]],Table5[[#All],[PID]],0))</f>
        <v>32</v>
      </c>
      <c r="BK395" s="45" t="str">
        <f>INDEX(Table5[[#All],[Team]],MATCH(Table3[[#This Row],[PID]],Table5[[#All],[PID]],0))</f>
        <v>Kalamazoo Badgers</v>
      </c>
      <c r="BL395" s="45" t="str">
        <f>IF(OR(Table3[[#This Row],[POS]]="SP",Table3[[#This Row],[POS]]="RP",Table3[[#This Row],[POS]]="CL"),"P",INDEX(Batters[[#All],[zScore]],MATCH(Table3[[#This Row],[PID]],Batters[[#All],[PID]],0)))</f>
        <v>P</v>
      </c>
    </row>
    <row r="396" spans="1:64" ht="15" customHeight="1" x14ac:dyDescent="0.3">
      <c r="A396" s="40">
        <v>6826</v>
      </c>
      <c r="B396" s="40" t="s">
        <v>380</v>
      </c>
      <c r="C396" s="40" t="s">
        <v>1369</v>
      </c>
      <c r="D396" s="40" t="s">
        <v>1402</v>
      </c>
      <c r="E396" s="40">
        <v>21</v>
      </c>
      <c r="F396" s="40" t="s">
        <v>62</v>
      </c>
      <c r="G396" s="40" t="s">
        <v>42</v>
      </c>
      <c r="H396" s="41" t="s">
        <v>561</v>
      </c>
      <c r="I396" s="42" t="s">
        <v>47</v>
      </c>
      <c r="J396" s="40" t="s">
        <v>43</v>
      </c>
      <c r="K396" s="41" t="s">
        <v>44</v>
      </c>
      <c r="L396" s="40">
        <v>3</v>
      </c>
      <c r="M396" s="40">
        <v>1</v>
      </c>
      <c r="N396" s="41">
        <v>2</v>
      </c>
      <c r="O396" s="40">
        <v>5</v>
      </c>
      <c r="P396" s="40">
        <v>2</v>
      </c>
      <c r="Q396" s="41">
        <v>3</v>
      </c>
      <c r="R396" s="40">
        <v>4</v>
      </c>
      <c r="S396" s="40">
        <v>6</v>
      </c>
      <c r="T396" s="40">
        <v>1</v>
      </c>
      <c r="U396" s="40">
        <v>6</v>
      </c>
      <c r="V396" s="40" t="s">
        <v>45</v>
      </c>
      <c r="W396" s="40" t="s">
        <v>45</v>
      </c>
      <c r="X396" s="40">
        <v>3</v>
      </c>
      <c r="Y396" s="40">
        <v>7</v>
      </c>
      <c r="Z396" s="40" t="s">
        <v>45</v>
      </c>
      <c r="AA396" s="40" t="s">
        <v>45</v>
      </c>
      <c r="AB396" s="40" t="s">
        <v>45</v>
      </c>
      <c r="AC396" s="40" t="s">
        <v>45</v>
      </c>
      <c r="AD396" s="40" t="s">
        <v>45</v>
      </c>
      <c r="AE396" s="40" t="s">
        <v>45</v>
      </c>
      <c r="AF396" s="40" t="s">
        <v>45</v>
      </c>
      <c r="AG396" s="40" t="s">
        <v>45</v>
      </c>
      <c r="AH396" s="40" t="s">
        <v>45</v>
      </c>
      <c r="AI396" s="40" t="s">
        <v>45</v>
      </c>
      <c r="AJ396" s="40" t="s">
        <v>45</v>
      </c>
      <c r="AK396" s="40" t="s">
        <v>45</v>
      </c>
      <c r="AL396" s="40" t="s">
        <v>45</v>
      </c>
      <c r="AM396" s="40" t="s">
        <v>45</v>
      </c>
      <c r="AN396" s="40" t="s">
        <v>45</v>
      </c>
      <c r="AO396" s="41" t="s">
        <v>45</v>
      </c>
      <c r="AP396" s="40" t="s">
        <v>56</v>
      </c>
      <c r="AQ396" s="40">
        <v>9</v>
      </c>
      <c r="AR396" s="48" t="s">
        <v>14</v>
      </c>
      <c r="AS396" s="43" t="s">
        <v>557</v>
      </c>
      <c r="AT396" s="43" t="s">
        <v>103</v>
      </c>
      <c r="AU396" s="44">
        <f t="shared" si="57"/>
        <v>-2.0697810228951408</v>
      </c>
      <c r="AV396" s="44">
        <f t="shared" si="58"/>
        <v>-0.79715134065555615</v>
      </c>
      <c r="AW396" s="45">
        <f t="shared" si="59"/>
        <v>3</v>
      </c>
      <c r="AX396" s="45">
        <f t="shared" si="60"/>
        <v>3</v>
      </c>
      <c r="AY396" s="46">
        <f>VLOOKUP(AP396,COND!$A$10:$B$32,2,FALSE)</f>
        <v>1</v>
      </c>
      <c r="AZ396" s="44">
        <f>($AU$3*AU396+$AV$3*AV396+$AW$3*AW396+$AX$3*AX396)*AY396*IF(AQ396&lt;5,0.95,IF(AQ396&lt;7,0.975,1))+$I$3*VLOOKUP(I396,COND!$A$2:$E$7,4,FALSE)+$J$3*VLOOKUP(J396,COND!$A$2:$E$7,2,FALSE)+$K$3*VLOOKUP(K396,COND!$A$2:$E$7,3,FALSE)+IF(BB396="SP",$BB$3,0)+IF($AW396&lt;3,-5,0)+IF(AND($B$2&gt;0,$E396&lt;20),$B$2*25,0)</f>
        <v>35.818016982309842</v>
      </c>
      <c r="BA396" s="47">
        <f>STANDARDIZE(AZ396,AVERAGE($AZ$5:$AZ$428),STDEVP($AZ$5:$AZ$428))</f>
        <v>-0.14131502848553559</v>
      </c>
      <c r="BB396" s="45" t="str">
        <f t="shared" si="61"/>
        <v>SP</v>
      </c>
      <c r="BC396" s="45">
        <v>940</v>
      </c>
      <c r="BD396" s="45">
        <v>391</v>
      </c>
      <c r="BE396" s="45"/>
      <c r="BF396" s="45" t="str">
        <f t="shared" si="62"/>
        <v>Unlikely</v>
      </c>
      <c r="BG396" s="45"/>
      <c r="BH396" s="45">
        <f>INDEX(Table5[[#All],[Ovr]],MATCH(Table3[[#This Row],[PID]],Table5[[#All],[PID]],0))</f>
        <v>388</v>
      </c>
      <c r="BI396" s="45" t="str">
        <f>INDEX(Table5[[#All],[Rnd]],MATCH(Table3[[#This Row],[PID]],Table5[[#All],[PID]],0))</f>
        <v>12</v>
      </c>
      <c r="BJ396" s="45">
        <f>INDEX(Table5[[#All],[Pick]],MATCH(Table3[[#This Row],[PID]],Table5[[#All],[PID]],0))</f>
        <v>23</v>
      </c>
      <c r="BK396" s="45" t="str">
        <f>INDEX(Table5[[#All],[Team]],MATCH(Table3[[#This Row],[PID]],Table5[[#All],[PID]],0))</f>
        <v>Kentucky Thoroughbreds</v>
      </c>
      <c r="BL396" s="45" t="str">
        <f>IF(OR(Table3[[#This Row],[POS]]="SP",Table3[[#This Row],[POS]]="RP",Table3[[#This Row],[POS]]="CL"),"P",INDEX(Batters[[#All],[zScore]],MATCH(Table3[[#This Row],[PID]],Batters[[#All],[PID]],0)))</f>
        <v>P</v>
      </c>
    </row>
    <row r="397" spans="1:64" ht="15" customHeight="1" x14ac:dyDescent="0.3">
      <c r="A397" s="40">
        <v>16410</v>
      </c>
      <c r="B397" s="40" t="s">
        <v>380</v>
      </c>
      <c r="C397" s="40" t="s">
        <v>918</v>
      </c>
      <c r="D397" s="40" t="s">
        <v>359</v>
      </c>
      <c r="E397" s="40">
        <v>21</v>
      </c>
      <c r="F397" s="40" t="s">
        <v>42</v>
      </c>
      <c r="G397" s="40" t="s">
        <v>42</v>
      </c>
      <c r="H397" s="41" t="s">
        <v>561</v>
      </c>
      <c r="I397" s="42" t="s">
        <v>43</v>
      </c>
      <c r="J397" s="40" t="s">
        <v>43</v>
      </c>
      <c r="K397" s="41" t="s">
        <v>44</v>
      </c>
      <c r="L397" s="40">
        <v>3</v>
      </c>
      <c r="M397" s="40">
        <v>1</v>
      </c>
      <c r="N397" s="41">
        <v>2</v>
      </c>
      <c r="O397" s="40">
        <v>6</v>
      </c>
      <c r="P397" s="40">
        <v>1</v>
      </c>
      <c r="Q397" s="41">
        <v>3</v>
      </c>
      <c r="R397" s="40">
        <v>5</v>
      </c>
      <c r="S397" s="40">
        <v>7</v>
      </c>
      <c r="T397" s="40">
        <v>1</v>
      </c>
      <c r="U397" s="40">
        <v>1</v>
      </c>
      <c r="V397" s="40" t="s">
        <v>45</v>
      </c>
      <c r="W397" s="40" t="s">
        <v>45</v>
      </c>
      <c r="X397" s="40" t="s">
        <v>45</v>
      </c>
      <c r="Y397" s="40" t="s">
        <v>45</v>
      </c>
      <c r="Z397" s="40" t="s">
        <v>45</v>
      </c>
      <c r="AA397" s="40" t="s">
        <v>45</v>
      </c>
      <c r="AB397" s="40">
        <v>4</v>
      </c>
      <c r="AC397" s="40">
        <v>6</v>
      </c>
      <c r="AD397" s="40" t="s">
        <v>45</v>
      </c>
      <c r="AE397" s="40" t="s">
        <v>45</v>
      </c>
      <c r="AF397" s="40" t="s">
        <v>45</v>
      </c>
      <c r="AG397" s="40" t="s">
        <v>45</v>
      </c>
      <c r="AH397" s="40" t="s">
        <v>45</v>
      </c>
      <c r="AI397" s="40" t="s">
        <v>45</v>
      </c>
      <c r="AJ397" s="40" t="s">
        <v>45</v>
      </c>
      <c r="AK397" s="40" t="s">
        <v>45</v>
      </c>
      <c r="AL397" s="40" t="s">
        <v>45</v>
      </c>
      <c r="AM397" s="40" t="s">
        <v>45</v>
      </c>
      <c r="AN397" s="40" t="s">
        <v>45</v>
      </c>
      <c r="AO397" s="41" t="s">
        <v>45</v>
      </c>
      <c r="AP397" s="40" t="s">
        <v>58</v>
      </c>
      <c r="AQ397" s="40">
        <v>9</v>
      </c>
      <c r="AR397" s="48" t="s">
        <v>14</v>
      </c>
      <c r="AS397" s="43" t="s">
        <v>45</v>
      </c>
      <c r="AT397" s="43" t="s">
        <v>103</v>
      </c>
      <c r="AU397" s="44">
        <f t="shared" si="57"/>
        <v>-2.0697810228951408</v>
      </c>
      <c r="AV397" s="44">
        <f t="shared" si="58"/>
        <v>-0.79789173257643808</v>
      </c>
      <c r="AW397" s="45">
        <f t="shared" si="59"/>
        <v>3</v>
      </c>
      <c r="AX397" s="45">
        <f t="shared" si="60"/>
        <v>2</v>
      </c>
      <c r="AY397" s="46">
        <f>VLOOKUP(AP397,COND!$A$10:$B$32,2,FALSE)</f>
        <v>1</v>
      </c>
      <c r="AZ397" s="44">
        <f>($AU$3*AU397+$AV$3*AV397+$AW$3*AW397+$AX$3*AX397)*AY397*IF(AQ397&lt;5,0.95,IF(AQ397&lt;7,0.975,1))+$I$3*VLOOKUP(I397,COND!$A$2:$E$7,4,FALSE)+$J$3*VLOOKUP(J397,COND!$A$2:$E$7,2,FALSE)+$K$3*VLOOKUP(K397,COND!$A$2:$E$7,3,FALSE)+IF(BB397="SP",$BB$3,0)+IF($AW397&lt;3,-5,0)+IF(AND($B$2&gt;0,$E397&lt;20),$B$2*25,0)</f>
        <v>34.328209143892209</v>
      </c>
      <c r="BA397" s="47">
        <f>STANDARDIZE(AZ397,AVERAGE($AZ$5:$AZ$445),STDEVP($AZ$5:$AZ$445))</f>
        <v>-0.24094993931610528</v>
      </c>
      <c r="BB397" s="45" t="str">
        <f t="shared" si="61"/>
        <v>SP</v>
      </c>
      <c r="BC397" s="45">
        <v>940</v>
      </c>
      <c r="BD397" s="45">
        <v>392</v>
      </c>
      <c r="BE397" s="45"/>
      <c r="BF397" s="45" t="str">
        <f t="shared" si="62"/>
        <v>Unlikely</v>
      </c>
      <c r="BG397" s="45"/>
      <c r="BH397" s="63">
        <f>INDEX(Table5[[#All],[Ovr]],MATCH(Table3[[#This Row],[PID]],Table5[[#All],[PID]],0))</f>
        <v>194</v>
      </c>
      <c r="BI397" s="63" t="str">
        <f>INDEX(Table5[[#All],[Rnd]],MATCH(Table3[[#This Row],[PID]],Table5[[#All],[PID]],0))</f>
        <v>6</v>
      </c>
      <c r="BJ397" s="63">
        <f>INDEX(Table5[[#All],[Pick]],MATCH(Table3[[#This Row],[PID]],Table5[[#All],[PID]],0))</f>
        <v>25</v>
      </c>
      <c r="BK397" s="63" t="str">
        <f>INDEX(Table5[[#All],[Team]],MATCH(Table3[[#This Row],[PID]],Table5[[#All],[PID]],0))</f>
        <v>Bakersfield Bears</v>
      </c>
      <c r="BL397" s="63" t="str">
        <f>IF(OR(Table3[[#This Row],[POS]]="SP",Table3[[#This Row],[POS]]="RP",Table3[[#This Row],[POS]]="CL"),"P",INDEX(Batters[[#All],[zScore]],MATCH(Table3[[#This Row],[PID]],Batters[[#All],[PID]],0)))</f>
        <v>P</v>
      </c>
    </row>
    <row r="398" spans="1:64" ht="15" customHeight="1" x14ac:dyDescent="0.3">
      <c r="A398" s="40">
        <v>5827</v>
      </c>
      <c r="B398" s="40" t="s">
        <v>380</v>
      </c>
      <c r="C398" s="40" t="s">
        <v>140</v>
      </c>
      <c r="D398" s="40" t="s">
        <v>1385</v>
      </c>
      <c r="E398" s="40">
        <v>21</v>
      </c>
      <c r="F398" s="40" t="s">
        <v>42</v>
      </c>
      <c r="G398" s="40" t="s">
        <v>42</v>
      </c>
      <c r="H398" s="41" t="s">
        <v>561</v>
      </c>
      <c r="I398" s="42" t="s">
        <v>43</v>
      </c>
      <c r="J398" s="40" t="s">
        <v>43</v>
      </c>
      <c r="K398" s="41" t="s">
        <v>44</v>
      </c>
      <c r="L398" s="40">
        <v>2</v>
      </c>
      <c r="M398" s="40">
        <v>2</v>
      </c>
      <c r="N398" s="41">
        <v>2</v>
      </c>
      <c r="O398" s="40">
        <v>5</v>
      </c>
      <c r="P398" s="40">
        <v>2</v>
      </c>
      <c r="Q398" s="41">
        <v>3</v>
      </c>
      <c r="R398" s="40">
        <v>5</v>
      </c>
      <c r="S398" s="40">
        <v>7</v>
      </c>
      <c r="T398" s="40">
        <v>1</v>
      </c>
      <c r="U398" s="40">
        <v>1</v>
      </c>
      <c r="V398" s="40">
        <v>2</v>
      </c>
      <c r="W398" s="40">
        <v>6</v>
      </c>
      <c r="X398" s="40" t="s">
        <v>45</v>
      </c>
      <c r="Y398" s="40" t="s">
        <v>45</v>
      </c>
      <c r="Z398" s="40" t="s">
        <v>45</v>
      </c>
      <c r="AA398" s="40" t="s">
        <v>45</v>
      </c>
      <c r="AB398" s="40" t="s">
        <v>45</v>
      </c>
      <c r="AC398" s="40" t="s">
        <v>45</v>
      </c>
      <c r="AD398" s="40" t="s">
        <v>45</v>
      </c>
      <c r="AE398" s="40" t="s">
        <v>45</v>
      </c>
      <c r="AF398" s="40" t="s">
        <v>45</v>
      </c>
      <c r="AG398" s="40" t="s">
        <v>45</v>
      </c>
      <c r="AH398" s="40" t="s">
        <v>45</v>
      </c>
      <c r="AI398" s="40" t="s">
        <v>45</v>
      </c>
      <c r="AJ398" s="40" t="s">
        <v>45</v>
      </c>
      <c r="AK398" s="40" t="s">
        <v>45</v>
      </c>
      <c r="AL398" s="40" t="s">
        <v>45</v>
      </c>
      <c r="AM398" s="40" t="s">
        <v>45</v>
      </c>
      <c r="AN398" s="40" t="s">
        <v>45</v>
      </c>
      <c r="AO398" s="41" t="s">
        <v>45</v>
      </c>
      <c r="AP398" s="40" t="s">
        <v>56</v>
      </c>
      <c r="AQ398" s="40">
        <v>9</v>
      </c>
      <c r="AR398" s="48" t="s">
        <v>326</v>
      </c>
      <c r="AS398" s="43" t="s">
        <v>45</v>
      </c>
      <c r="AT398" s="43" t="s">
        <v>103</v>
      </c>
      <c r="AU398" s="44">
        <f t="shared" si="57"/>
        <v>-2.0690406309742588</v>
      </c>
      <c r="AV398" s="44">
        <f t="shared" si="58"/>
        <v>-0.79715134065555615</v>
      </c>
      <c r="AW398" s="45">
        <f t="shared" si="59"/>
        <v>3</v>
      </c>
      <c r="AX398" s="45">
        <f t="shared" si="60"/>
        <v>2</v>
      </c>
      <c r="AY398" s="46">
        <f>VLOOKUP(AP398,COND!$A$10:$B$32,2,FALSE)</f>
        <v>1</v>
      </c>
      <c r="AZ398" s="44">
        <f>($AU$3*AU398+$AV$3*AV398+$AW$3*AW398+$AX$3*AX398)*AY398*IF(AQ398&lt;5,0.95,IF(AQ398&lt;7,0.975,1))+$I$3*VLOOKUP(I398,COND!$A$2:$E$7,4,FALSE)+$J$3*VLOOKUP(J398,COND!$A$2:$E$7,2,FALSE)+$K$3*VLOOKUP(K398,COND!$A$2:$E$7,3,FALSE)+IF(BB398="SP",$BB$3,0)+IF($AW398&lt;3,-5,0)+IF(AND($B$2&gt;0,$E398&lt;20),$B$2*25,0)</f>
        <v>34.34316506069402</v>
      </c>
      <c r="BA398" s="47">
        <f t="shared" ref="BA398:BA409" si="63">STANDARDIZE(AZ398,AVERAGE($AZ$5:$AZ$428),STDEVP($AZ$5:$AZ$428))</f>
        <v>-0.24633485775080463</v>
      </c>
      <c r="BB398" s="45" t="str">
        <f t="shared" si="61"/>
        <v>SP</v>
      </c>
      <c r="BC398" s="45">
        <v>940</v>
      </c>
      <c r="BD398" s="45">
        <v>393</v>
      </c>
      <c r="BE398" s="45"/>
      <c r="BF398" s="45" t="str">
        <f t="shared" si="62"/>
        <v>Unlikely</v>
      </c>
      <c r="BG398" s="45"/>
      <c r="BH398" s="45">
        <f>INDEX(Table5[[#All],[Ovr]],MATCH(Table3[[#This Row],[PID]],Table5[[#All],[PID]],0))</f>
        <v>416</v>
      </c>
      <c r="BI398" s="45" t="str">
        <f>INDEX(Table5[[#All],[Rnd]],MATCH(Table3[[#This Row],[PID]],Table5[[#All],[PID]],0))</f>
        <v>13</v>
      </c>
      <c r="BJ398" s="45">
        <f>INDEX(Table5[[#All],[Pick]],MATCH(Table3[[#This Row],[PID]],Table5[[#All],[PID]],0))</f>
        <v>17</v>
      </c>
      <c r="BK398" s="45" t="str">
        <f>INDEX(Table5[[#All],[Team]],MATCH(Table3[[#This Row],[PID]],Table5[[#All],[PID]],0))</f>
        <v>Duluth Warriors</v>
      </c>
      <c r="BL398" s="45" t="str">
        <f>IF(OR(Table3[[#This Row],[POS]]="SP",Table3[[#This Row],[POS]]="RP",Table3[[#This Row],[POS]]="CL"),"P",INDEX(Batters[[#All],[zScore]],MATCH(Table3[[#This Row],[PID]],Batters[[#All],[PID]],0)))</f>
        <v>P</v>
      </c>
    </row>
    <row r="399" spans="1:64" ht="15" customHeight="1" x14ac:dyDescent="0.3">
      <c r="A399" s="40">
        <v>20879</v>
      </c>
      <c r="B399" s="40" t="s">
        <v>24</v>
      </c>
      <c r="C399" s="40" t="s">
        <v>750</v>
      </c>
      <c r="D399" s="40" t="s">
        <v>1380</v>
      </c>
      <c r="E399" s="40">
        <v>18</v>
      </c>
      <c r="F399" s="40" t="s">
        <v>42</v>
      </c>
      <c r="G399" s="40" t="s">
        <v>42</v>
      </c>
      <c r="H399" s="41" t="s">
        <v>561</v>
      </c>
      <c r="I399" s="42" t="s">
        <v>43</v>
      </c>
      <c r="J399" s="40" t="s">
        <v>43</v>
      </c>
      <c r="K399" s="41" t="s">
        <v>44</v>
      </c>
      <c r="L399" s="40">
        <v>2</v>
      </c>
      <c r="M399" s="40">
        <v>2</v>
      </c>
      <c r="N399" s="41">
        <v>1</v>
      </c>
      <c r="O399" s="40">
        <v>4</v>
      </c>
      <c r="P399" s="40">
        <v>2</v>
      </c>
      <c r="Q399" s="41">
        <v>3</v>
      </c>
      <c r="R399" s="40">
        <v>4</v>
      </c>
      <c r="S399" s="40">
        <v>6</v>
      </c>
      <c r="T399" s="40" t="s">
        <v>45</v>
      </c>
      <c r="U399" s="40" t="s">
        <v>45</v>
      </c>
      <c r="V399" s="40" t="s">
        <v>45</v>
      </c>
      <c r="W399" s="40" t="s">
        <v>45</v>
      </c>
      <c r="X399" s="40">
        <v>2</v>
      </c>
      <c r="Y399" s="40">
        <v>5</v>
      </c>
      <c r="Z399" s="40" t="s">
        <v>45</v>
      </c>
      <c r="AA399" s="40" t="s">
        <v>45</v>
      </c>
      <c r="AB399" s="40" t="s">
        <v>45</v>
      </c>
      <c r="AC399" s="40" t="s">
        <v>45</v>
      </c>
      <c r="AD399" s="40" t="s">
        <v>45</v>
      </c>
      <c r="AE399" s="40" t="s">
        <v>45</v>
      </c>
      <c r="AF399" s="40" t="s">
        <v>45</v>
      </c>
      <c r="AG399" s="40" t="s">
        <v>45</v>
      </c>
      <c r="AH399" s="40">
        <v>1</v>
      </c>
      <c r="AI399" s="40">
        <v>5</v>
      </c>
      <c r="AJ399" s="40" t="s">
        <v>45</v>
      </c>
      <c r="AK399" s="40" t="s">
        <v>45</v>
      </c>
      <c r="AL399" s="40" t="s">
        <v>45</v>
      </c>
      <c r="AM399" s="40" t="s">
        <v>45</v>
      </c>
      <c r="AN399" s="40" t="s">
        <v>45</v>
      </c>
      <c r="AO399" s="41" t="s">
        <v>45</v>
      </c>
      <c r="AP399" s="40" t="s">
        <v>56</v>
      </c>
      <c r="AQ399" s="40">
        <v>7</v>
      </c>
      <c r="AR399" s="48" t="s">
        <v>326</v>
      </c>
      <c r="AS399" s="43" t="s">
        <v>558</v>
      </c>
      <c r="AT399" s="43" t="s">
        <v>103</v>
      </c>
      <c r="AU399" s="44">
        <f t="shared" si="57"/>
        <v>-2.311361197028369</v>
      </c>
      <c r="AV399" s="44">
        <f t="shared" si="58"/>
        <v>-0.99184266516472974</v>
      </c>
      <c r="AW399" s="45">
        <f t="shared" si="59"/>
        <v>3</v>
      </c>
      <c r="AX399" s="45">
        <f t="shared" si="60"/>
        <v>1</v>
      </c>
      <c r="AY399" s="46">
        <f>VLOOKUP(AP399,COND!$A$10:$B$32,2,FALSE)</f>
        <v>1</v>
      </c>
      <c r="AZ399" s="44">
        <f>($AU$3*AU399+$AV$3*AV399+$AW$3*AW399+$AX$3*AX399)*AY399*IF(AQ399&lt;5,0.95,IF(AQ399&lt;7,0.975,1))+$I$3*VLOOKUP(I399,COND!$A$2:$E$7,4,FALSE)+$J$3*VLOOKUP(J399,COND!$A$2:$E$7,2,FALSE)+$K$3*VLOOKUP(K399,COND!$A$2:$E$7,3,FALSE)+IF(BB399="SP",$BB$3,0)+IF($AW399&lt;3,-5,0)+IF(AND($B$2&gt;0,$E399&lt;20),$B$2*25,0)</f>
        <v>34.150874457299729</v>
      </c>
      <c r="BA399" s="47">
        <f t="shared" si="63"/>
        <v>-0.2600273010678662</v>
      </c>
      <c r="BB399" s="45" t="str">
        <f t="shared" si="61"/>
        <v>SP</v>
      </c>
      <c r="BC399" s="45">
        <v>940</v>
      </c>
      <c r="BD399" s="45">
        <v>394</v>
      </c>
      <c r="BE399" s="45"/>
      <c r="BF399" s="45" t="str">
        <f t="shared" si="62"/>
        <v>Unlikely</v>
      </c>
      <c r="BG399" s="45"/>
      <c r="BH399" s="45">
        <f>INDEX(Table5[[#All],[Ovr]],MATCH(Table3[[#This Row],[PID]],Table5[[#All],[PID]],0))</f>
        <v>592</v>
      </c>
      <c r="BI399" s="45" t="str">
        <f>INDEX(Table5[[#All],[Rnd]],MATCH(Table3[[#This Row],[PID]],Table5[[#All],[PID]],0))</f>
        <v>18</v>
      </c>
      <c r="BJ399" s="45">
        <f>INDEX(Table5[[#All],[Pick]],MATCH(Table3[[#This Row],[PID]],Table5[[#All],[PID]],0))</f>
        <v>23</v>
      </c>
      <c r="BK399" s="45" t="str">
        <f>INDEX(Table5[[#All],[Team]],MATCH(Table3[[#This Row],[PID]],Table5[[#All],[PID]],0))</f>
        <v>Kentucky Thoroughbreds</v>
      </c>
      <c r="BL399" s="45" t="str">
        <f>IF(OR(Table3[[#This Row],[POS]]="SP",Table3[[#This Row],[POS]]="RP",Table3[[#This Row],[POS]]="CL"),"P",INDEX(Batters[[#All],[zScore]],MATCH(Table3[[#This Row],[PID]],Batters[[#All],[PID]],0)))</f>
        <v>P</v>
      </c>
    </row>
    <row r="400" spans="1:64" ht="15" customHeight="1" x14ac:dyDescent="0.3">
      <c r="A400" s="40">
        <v>10648</v>
      </c>
      <c r="B400" s="40" t="s">
        <v>380</v>
      </c>
      <c r="C400" s="40" t="s">
        <v>1362</v>
      </c>
      <c r="D400" s="40" t="s">
        <v>1306</v>
      </c>
      <c r="E400" s="40">
        <v>17</v>
      </c>
      <c r="F400" s="40" t="s">
        <v>53</v>
      </c>
      <c r="G400" s="40" t="s">
        <v>53</v>
      </c>
      <c r="H400" s="41" t="s">
        <v>561</v>
      </c>
      <c r="I400" s="42" t="s">
        <v>43</v>
      </c>
      <c r="J400" s="40" t="s">
        <v>43</v>
      </c>
      <c r="K400" s="41" t="s">
        <v>44</v>
      </c>
      <c r="L400" s="40">
        <v>2</v>
      </c>
      <c r="M400" s="40">
        <v>1</v>
      </c>
      <c r="N400" s="41">
        <v>1</v>
      </c>
      <c r="O400" s="40">
        <v>5</v>
      </c>
      <c r="P400" s="40">
        <v>1</v>
      </c>
      <c r="Q400" s="41">
        <v>3</v>
      </c>
      <c r="R400" s="40">
        <v>4</v>
      </c>
      <c r="S400" s="40">
        <v>5</v>
      </c>
      <c r="T400" s="40">
        <v>1</v>
      </c>
      <c r="U400" s="40">
        <v>1</v>
      </c>
      <c r="V400" s="40">
        <v>2</v>
      </c>
      <c r="W400" s="40">
        <v>7</v>
      </c>
      <c r="X400" s="40" t="s">
        <v>45</v>
      </c>
      <c r="Y400" s="40" t="s">
        <v>45</v>
      </c>
      <c r="Z400" s="40" t="s">
        <v>45</v>
      </c>
      <c r="AA400" s="40" t="s">
        <v>45</v>
      </c>
      <c r="AB400" s="40" t="s">
        <v>45</v>
      </c>
      <c r="AC400" s="40" t="s">
        <v>45</v>
      </c>
      <c r="AD400" s="40" t="s">
        <v>45</v>
      </c>
      <c r="AE400" s="40" t="s">
        <v>45</v>
      </c>
      <c r="AF400" s="40" t="s">
        <v>45</v>
      </c>
      <c r="AG400" s="40" t="s">
        <v>45</v>
      </c>
      <c r="AH400" s="40" t="s">
        <v>45</v>
      </c>
      <c r="AI400" s="40" t="s">
        <v>45</v>
      </c>
      <c r="AJ400" s="40" t="s">
        <v>45</v>
      </c>
      <c r="AK400" s="40" t="s">
        <v>45</v>
      </c>
      <c r="AL400" s="40" t="s">
        <v>45</v>
      </c>
      <c r="AM400" s="40" t="s">
        <v>45</v>
      </c>
      <c r="AN400" s="40" t="s">
        <v>45</v>
      </c>
      <c r="AO400" s="41" t="s">
        <v>45</v>
      </c>
      <c r="AP400" s="40" t="s">
        <v>329</v>
      </c>
      <c r="AQ400" s="40">
        <v>2</v>
      </c>
      <c r="AR400" s="48" t="s">
        <v>14</v>
      </c>
      <c r="AS400" s="43" t="s">
        <v>572</v>
      </c>
      <c r="AT400" s="43" t="s">
        <v>103</v>
      </c>
      <c r="AU400" s="44">
        <f t="shared" si="57"/>
        <v>-2.5067929134584248</v>
      </c>
      <c r="AV400" s="44">
        <f t="shared" si="58"/>
        <v>-0.99258305708561179</v>
      </c>
      <c r="AW400" s="45">
        <f t="shared" si="59"/>
        <v>3</v>
      </c>
      <c r="AX400" s="45">
        <f t="shared" si="60"/>
        <v>1</v>
      </c>
      <c r="AY400" s="46">
        <f>VLOOKUP(AP400,COND!$A$10:$B$32,2,FALSE)</f>
        <v>1</v>
      </c>
      <c r="AZ400" s="44">
        <f>($AU$3*AU400+$AV$3*AV400+$AW$3*AW400+$AX$3*AX400)*AY400*IF(AQ400&lt;5,0.95,IF(AQ400&lt;7,0.975,1))+$I$3*VLOOKUP(I400,COND!$A$2:$E$7,4,FALSE)+$J$3*VLOOKUP(J400,COND!$A$2:$E$7,2,FALSE)+$K$3*VLOOKUP(K400,COND!$A$2:$E$7,3,FALSE)+IF(BB400="SP",$BB$3,0)+IF($AW400&lt;3,-5,0)+IF(AND($B$2&gt;0,$E400&lt;20),$B$2*25,0)</f>
        <v>32.977131261816275</v>
      </c>
      <c r="BA400" s="47">
        <f t="shared" si="63"/>
        <v>-0.3436060713730878</v>
      </c>
      <c r="BB400" s="45" t="str">
        <f t="shared" si="61"/>
        <v>RP</v>
      </c>
      <c r="BC400" s="45">
        <v>940</v>
      </c>
      <c r="BD400" s="45">
        <v>395</v>
      </c>
      <c r="BE400" s="45"/>
      <c r="BF400" s="45" t="str">
        <f t="shared" si="62"/>
        <v>Unlikely</v>
      </c>
      <c r="BG400" s="45"/>
      <c r="BH400" s="45" t="str">
        <f>INDEX(Table5[[#All],[Ovr]],MATCH(Table3[[#This Row],[PID]],Table5[[#All],[PID]],0))</f>
        <v/>
      </c>
      <c r="BI400" s="45" t="str">
        <f>INDEX(Table5[[#All],[Rnd]],MATCH(Table3[[#This Row],[PID]],Table5[[#All],[PID]],0))</f>
        <v/>
      </c>
      <c r="BJ400" s="45" t="str">
        <f>INDEX(Table5[[#All],[Pick]],MATCH(Table3[[#This Row],[PID]],Table5[[#All],[PID]],0))</f>
        <v/>
      </c>
      <c r="BK400" s="45" t="str">
        <f>INDEX(Table5[[#All],[Team]],MATCH(Table3[[#This Row],[PID]],Table5[[#All],[PID]],0))</f>
        <v/>
      </c>
      <c r="BL400" s="45" t="str">
        <f>IF(OR(Table3[[#This Row],[POS]]="SP",Table3[[#This Row],[POS]]="RP",Table3[[#This Row],[POS]]="CL"),"P",INDEX(Batters[[#All],[zScore]],MATCH(Table3[[#This Row],[PID]],Batters[[#All],[PID]],0)))</f>
        <v>P</v>
      </c>
    </row>
    <row r="401" spans="1:64" ht="15" customHeight="1" x14ac:dyDescent="0.3">
      <c r="A401" s="40">
        <v>20485</v>
      </c>
      <c r="B401" s="40" t="s">
        <v>380</v>
      </c>
      <c r="C401" s="40" t="s">
        <v>582</v>
      </c>
      <c r="D401" s="40" t="s">
        <v>355</v>
      </c>
      <c r="E401" s="40">
        <v>16</v>
      </c>
      <c r="F401" s="40" t="s">
        <v>53</v>
      </c>
      <c r="G401" s="40" t="s">
        <v>53</v>
      </c>
      <c r="H401" s="41" t="s">
        <v>561</v>
      </c>
      <c r="I401" s="42" t="s">
        <v>43</v>
      </c>
      <c r="J401" s="40" t="s">
        <v>43</v>
      </c>
      <c r="K401" s="41" t="s">
        <v>44</v>
      </c>
      <c r="L401" s="40">
        <v>1</v>
      </c>
      <c r="M401" s="40">
        <v>1</v>
      </c>
      <c r="N401" s="41">
        <v>1</v>
      </c>
      <c r="O401" s="40">
        <v>3</v>
      </c>
      <c r="P401" s="40">
        <v>1</v>
      </c>
      <c r="Q401" s="41">
        <v>4</v>
      </c>
      <c r="R401" s="40">
        <v>2</v>
      </c>
      <c r="S401" s="40">
        <v>4</v>
      </c>
      <c r="T401" s="40">
        <v>2</v>
      </c>
      <c r="U401" s="40">
        <v>5</v>
      </c>
      <c r="V401" s="40" t="s">
        <v>45</v>
      </c>
      <c r="W401" s="40" t="s">
        <v>45</v>
      </c>
      <c r="X401" s="40">
        <v>1</v>
      </c>
      <c r="Y401" s="40">
        <v>1</v>
      </c>
      <c r="Z401" s="40" t="s">
        <v>45</v>
      </c>
      <c r="AA401" s="40" t="s">
        <v>45</v>
      </c>
      <c r="AB401" s="40" t="s">
        <v>45</v>
      </c>
      <c r="AC401" s="40" t="s">
        <v>45</v>
      </c>
      <c r="AD401" s="40" t="s">
        <v>45</v>
      </c>
      <c r="AE401" s="40" t="s">
        <v>45</v>
      </c>
      <c r="AF401" s="40" t="s">
        <v>45</v>
      </c>
      <c r="AG401" s="40" t="s">
        <v>45</v>
      </c>
      <c r="AH401" s="40" t="s">
        <v>45</v>
      </c>
      <c r="AI401" s="40" t="s">
        <v>45</v>
      </c>
      <c r="AJ401" s="40" t="s">
        <v>45</v>
      </c>
      <c r="AK401" s="40" t="s">
        <v>45</v>
      </c>
      <c r="AL401" s="40" t="s">
        <v>45</v>
      </c>
      <c r="AM401" s="40" t="s">
        <v>45</v>
      </c>
      <c r="AN401" s="40" t="s">
        <v>45</v>
      </c>
      <c r="AO401" s="41" t="s">
        <v>45</v>
      </c>
      <c r="AP401" s="40" t="s">
        <v>67</v>
      </c>
      <c r="AQ401" s="40">
        <v>3</v>
      </c>
      <c r="AR401" s="48" t="s">
        <v>14</v>
      </c>
      <c r="AS401" s="43" t="s">
        <v>558</v>
      </c>
      <c r="AT401" s="43" t="s">
        <v>103</v>
      </c>
      <c r="AU401" s="44">
        <f t="shared" si="57"/>
        <v>-2.7014842379675978</v>
      </c>
      <c r="AV401" s="44">
        <f t="shared" si="58"/>
        <v>-1.1396451400498482</v>
      </c>
      <c r="AW401" s="45">
        <f t="shared" si="59"/>
        <v>3</v>
      </c>
      <c r="AX401" s="45">
        <f t="shared" si="60"/>
        <v>0</v>
      </c>
      <c r="AY401" s="46">
        <f>VLOOKUP(AP401,COND!$A$10:$B$32,2,FALSE)</f>
        <v>0.9</v>
      </c>
      <c r="AZ401" s="44">
        <f>($AU$3*AU401+$AV$3*AV401+$AW$3*AW401+$AX$3*AX401)*AY401*IF(AQ401&lt;5,0.95,IF(AQ401&lt;7,0.975,1))+$I$3*VLOOKUP(I401,COND!$A$2:$E$7,4,FALSE)+$J$3*VLOOKUP(J401,COND!$A$2:$E$7,2,FALSE)+$K$3*VLOOKUP(K401,COND!$A$2:$E$7,3,FALSE)+IF(BB401="SP",$BB$3,0)+IF($AW401&lt;3,-5,0)+IF(AND($B$2&gt;0,$E401&lt;20),$B$2*25,0)</f>
        <v>31.032614300455137</v>
      </c>
      <c r="BA401" s="47">
        <f t="shared" si="63"/>
        <v>-0.48206935456278882</v>
      </c>
      <c r="BB401" s="45" t="str">
        <f t="shared" si="61"/>
        <v>RP</v>
      </c>
      <c r="BC401" s="45">
        <v>940</v>
      </c>
      <c r="BD401" s="45">
        <v>396</v>
      </c>
      <c r="BE401" s="45"/>
      <c r="BF401" s="45" t="str">
        <f t="shared" si="62"/>
        <v>Unlikely</v>
      </c>
      <c r="BG401" s="45"/>
      <c r="BH401" s="45" t="str">
        <f>INDEX(Table5[[#All],[Ovr]],MATCH(Table3[[#This Row],[PID]],Table5[[#All],[PID]],0))</f>
        <v/>
      </c>
      <c r="BI401" s="45" t="str">
        <f>INDEX(Table5[[#All],[Rnd]],MATCH(Table3[[#This Row],[PID]],Table5[[#All],[PID]],0))</f>
        <v/>
      </c>
      <c r="BJ401" s="45" t="str">
        <f>INDEX(Table5[[#All],[Pick]],MATCH(Table3[[#This Row],[PID]],Table5[[#All],[PID]],0))</f>
        <v/>
      </c>
      <c r="BK401" s="45" t="str">
        <f>INDEX(Table5[[#All],[Team]],MATCH(Table3[[#This Row],[PID]],Table5[[#All],[PID]],0))</f>
        <v/>
      </c>
      <c r="BL401" s="45" t="str">
        <f>IF(OR(Table3[[#This Row],[POS]]="SP",Table3[[#This Row],[POS]]="RP",Table3[[#This Row],[POS]]="CL"),"P",INDEX(Batters[[#All],[zScore]],MATCH(Table3[[#This Row],[PID]],Batters[[#All],[PID]],0)))</f>
        <v>P</v>
      </c>
    </row>
    <row r="402" spans="1:64" ht="15" customHeight="1" x14ac:dyDescent="0.3">
      <c r="A402" s="40">
        <v>21100</v>
      </c>
      <c r="B402" s="40" t="s">
        <v>380</v>
      </c>
      <c r="C402" s="40" t="s">
        <v>479</v>
      </c>
      <c r="D402" s="40" t="s">
        <v>1566</v>
      </c>
      <c r="E402" s="40">
        <v>17</v>
      </c>
      <c r="F402" s="40" t="s">
        <v>53</v>
      </c>
      <c r="G402" s="40" t="s">
        <v>42</v>
      </c>
      <c r="H402" s="41" t="s">
        <v>561</v>
      </c>
      <c r="I402" s="42" t="s">
        <v>43</v>
      </c>
      <c r="J402" s="40" t="s">
        <v>43</v>
      </c>
      <c r="K402" s="41" t="s">
        <v>44</v>
      </c>
      <c r="L402" s="40">
        <v>2</v>
      </c>
      <c r="M402" s="40">
        <v>2</v>
      </c>
      <c r="N402" s="41">
        <v>1</v>
      </c>
      <c r="O402" s="40">
        <v>3</v>
      </c>
      <c r="P402" s="40">
        <v>2</v>
      </c>
      <c r="Q402" s="41">
        <v>3</v>
      </c>
      <c r="R402" s="40">
        <v>3</v>
      </c>
      <c r="S402" s="40">
        <v>4</v>
      </c>
      <c r="T402" s="40">
        <v>1</v>
      </c>
      <c r="U402" s="40">
        <v>3</v>
      </c>
      <c r="V402" s="40">
        <v>1</v>
      </c>
      <c r="W402" s="40">
        <v>2</v>
      </c>
      <c r="X402" s="40">
        <v>2</v>
      </c>
      <c r="Y402" s="40">
        <v>4</v>
      </c>
      <c r="Z402" s="40" t="s">
        <v>45</v>
      </c>
      <c r="AA402" s="40" t="s">
        <v>45</v>
      </c>
      <c r="AB402" s="40" t="s">
        <v>45</v>
      </c>
      <c r="AC402" s="40" t="s">
        <v>45</v>
      </c>
      <c r="AD402" s="40">
        <v>3</v>
      </c>
      <c r="AE402" s="40">
        <v>4</v>
      </c>
      <c r="AF402" s="40">
        <v>3</v>
      </c>
      <c r="AG402" s="40">
        <v>4</v>
      </c>
      <c r="AH402" s="40" t="s">
        <v>45</v>
      </c>
      <c r="AI402" s="40" t="s">
        <v>45</v>
      </c>
      <c r="AJ402" s="40" t="s">
        <v>45</v>
      </c>
      <c r="AK402" s="40" t="s">
        <v>45</v>
      </c>
      <c r="AL402" s="40" t="s">
        <v>45</v>
      </c>
      <c r="AM402" s="40" t="s">
        <v>45</v>
      </c>
      <c r="AN402" s="40" t="s">
        <v>45</v>
      </c>
      <c r="AO402" s="41" t="s">
        <v>45</v>
      </c>
      <c r="AP402" s="40" t="s">
        <v>328</v>
      </c>
      <c r="AQ402" s="40">
        <v>8</v>
      </c>
      <c r="AR402" s="48" t="s">
        <v>326</v>
      </c>
      <c r="AS402" s="43" t="s">
        <v>576</v>
      </c>
      <c r="AT402" s="43" t="s">
        <v>103</v>
      </c>
      <c r="AU402" s="44">
        <f t="shared" si="57"/>
        <v>-2.311361197028369</v>
      </c>
      <c r="AV402" s="44">
        <f t="shared" si="58"/>
        <v>-1.1865339896739031</v>
      </c>
      <c r="AW402" s="45">
        <f t="shared" si="59"/>
        <v>6</v>
      </c>
      <c r="AX402" s="45">
        <f t="shared" si="60"/>
        <v>0</v>
      </c>
      <c r="AY402" s="46">
        <f>VLOOKUP(AP402,COND!$A$10:$B$32,2,FALSE)</f>
        <v>1</v>
      </c>
      <c r="AZ402" s="44">
        <f>($AU$3*AU402+$AV$3*AV402+$AW$3*AW402+$AX$3*AX402)*AY402*IF(AQ402&lt;5,0.95,IF(AQ402&lt;7,0.975,1))+$I$3*VLOOKUP(I402,COND!$A$2:$E$7,4,FALSE)+$J$3*VLOOKUP(J402,COND!$A$2:$E$7,2,FALSE)+$K$3*VLOOKUP(K402,COND!$A$2:$E$7,3,FALSE)+IF(BB402="SP",$BB$3,0)+IF($AW402&lt;3,-5,0)+IF(AND($B$2&gt;0,$E402&lt;20),$B$2*25,0)</f>
        <v>30.507047967116264</v>
      </c>
      <c r="BA402" s="47">
        <f t="shared" si="63"/>
        <v>-0.51949337373777915</v>
      </c>
      <c r="BB402" s="45" t="str">
        <f t="shared" si="61"/>
        <v>SP</v>
      </c>
      <c r="BC402" s="45">
        <v>940</v>
      </c>
      <c r="BD402" s="45">
        <v>397</v>
      </c>
      <c r="BE402" s="45"/>
      <c r="BF402" s="45" t="str">
        <f t="shared" si="62"/>
        <v>Unlikely</v>
      </c>
      <c r="BG402" s="45"/>
      <c r="BH402" s="45">
        <f>INDEX(Table5[[#All],[Ovr]],MATCH(Table3[[#This Row],[PID]],Table5[[#All],[PID]],0))</f>
        <v>660</v>
      </c>
      <c r="BI402" s="45" t="str">
        <f>INDEX(Table5[[#All],[Rnd]],MATCH(Table3[[#This Row],[PID]],Table5[[#All],[PID]],0))</f>
        <v>20</v>
      </c>
      <c r="BJ402" s="45">
        <f>INDEX(Table5[[#All],[Pick]],MATCH(Table3[[#This Row],[PID]],Table5[[#All],[PID]],0))</f>
        <v>23</v>
      </c>
      <c r="BK402" s="45" t="str">
        <f>INDEX(Table5[[#All],[Team]],MATCH(Table3[[#This Row],[PID]],Table5[[#All],[PID]],0))</f>
        <v>Kentucky Thoroughbreds</v>
      </c>
      <c r="BL402" s="45" t="str">
        <f>IF(OR(Table3[[#This Row],[POS]]="SP",Table3[[#This Row],[POS]]="RP",Table3[[#This Row],[POS]]="CL"),"P",INDEX(Batters[[#All],[zScore]],MATCH(Table3[[#This Row],[PID]],Batters[[#All],[PID]],0)))</f>
        <v>P</v>
      </c>
    </row>
    <row r="403" spans="1:64" ht="15" customHeight="1" x14ac:dyDescent="0.3">
      <c r="A403" s="40">
        <v>10766</v>
      </c>
      <c r="B403" s="40" t="s">
        <v>380</v>
      </c>
      <c r="C403" s="40" t="s">
        <v>551</v>
      </c>
      <c r="D403" s="40" t="s">
        <v>1469</v>
      </c>
      <c r="E403" s="40">
        <v>21</v>
      </c>
      <c r="F403" s="40" t="s">
        <v>42</v>
      </c>
      <c r="G403" s="40" t="s">
        <v>42</v>
      </c>
      <c r="H403" s="41" t="s">
        <v>561</v>
      </c>
      <c r="I403" s="42" t="s">
        <v>43</v>
      </c>
      <c r="J403" s="40" t="s">
        <v>43</v>
      </c>
      <c r="K403" s="41" t="s">
        <v>44</v>
      </c>
      <c r="L403" s="40">
        <v>3</v>
      </c>
      <c r="M403" s="40">
        <v>1</v>
      </c>
      <c r="N403" s="41">
        <v>2</v>
      </c>
      <c r="O403" s="40">
        <v>5</v>
      </c>
      <c r="P403" s="40">
        <v>1</v>
      </c>
      <c r="Q403" s="41">
        <v>3</v>
      </c>
      <c r="R403" s="40">
        <v>4</v>
      </c>
      <c r="S403" s="40">
        <v>6</v>
      </c>
      <c r="T403" s="40">
        <v>1</v>
      </c>
      <c r="U403" s="40">
        <v>1</v>
      </c>
      <c r="V403" s="40" t="s">
        <v>45</v>
      </c>
      <c r="W403" s="40" t="s">
        <v>45</v>
      </c>
      <c r="X403" s="40">
        <v>3</v>
      </c>
      <c r="Y403" s="40">
        <v>6</v>
      </c>
      <c r="Z403" s="40" t="s">
        <v>45</v>
      </c>
      <c r="AA403" s="40" t="s">
        <v>45</v>
      </c>
      <c r="AB403" s="40" t="s">
        <v>45</v>
      </c>
      <c r="AC403" s="40" t="s">
        <v>45</v>
      </c>
      <c r="AD403" s="40" t="s">
        <v>45</v>
      </c>
      <c r="AE403" s="40" t="s">
        <v>45</v>
      </c>
      <c r="AF403" s="40" t="s">
        <v>45</v>
      </c>
      <c r="AG403" s="40" t="s">
        <v>45</v>
      </c>
      <c r="AH403" s="40" t="s">
        <v>45</v>
      </c>
      <c r="AI403" s="40" t="s">
        <v>45</v>
      </c>
      <c r="AJ403" s="40" t="s">
        <v>45</v>
      </c>
      <c r="AK403" s="40" t="s">
        <v>45</v>
      </c>
      <c r="AL403" s="40" t="s">
        <v>45</v>
      </c>
      <c r="AM403" s="40" t="s">
        <v>45</v>
      </c>
      <c r="AN403" s="40" t="s">
        <v>45</v>
      </c>
      <c r="AO403" s="41" t="s">
        <v>45</v>
      </c>
      <c r="AP403" s="40" t="s">
        <v>64</v>
      </c>
      <c r="AQ403" s="40">
        <v>7</v>
      </c>
      <c r="AR403" s="48" t="s">
        <v>14</v>
      </c>
      <c r="AS403" s="43" t="s">
        <v>45</v>
      </c>
      <c r="AT403" s="43" t="s">
        <v>103</v>
      </c>
      <c r="AU403" s="44">
        <f t="shared" si="57"/>
        <v>-2.0697810228951408</v>
      </c>
      <c r="AV403" s="44">
        <f t="shared" si="58"/>
        <v>-0.99258305708561179</v>
      </c>
      <c r="AW403" s="45">
        <f t="shared" si="59"/>
        <v>3</v>
      </c>
      <c r="AX403" s="45">
        <f t="shared" si="60"/>
        <v>2</v>
      </c>
      <c r="AY403" s="46">
        <f>VLOOKUP(AP403,COND!$A$10:$B$32,2,FALSE)</f>
        <v>1</v>
      </c>
      <c r="AZ403" s="44">
        <f>($AU$3*AU403+$AV$3*AV403+$AW$3*AW403+$AX$3*AX403)*AY403*IF(AQ403&lt;5,0.95,IF(AQ403&lt;7,0.975,1))+$I$3*VLOOKUP(I403,COND!$A$2:$E$7,4,FALSE)+$J$3*VLOOKUP(J403,COND!$A$2:$E$7,2,FALSE)+$K$3*VLOOKUP(K403,COND!$A$2:$E$7,3,FALSE)+IF(BB403="SP",$BB$3,0)+IF($AW403&lt;3,-5,0)+IF(AND($B$2&gt;0,$E403&lt;20),$B$2*25,0)</f>
        <v>30.434382653708735</v>
      </c>
      <c r="BA403" s="47">
        <f t="shared" si="63"/>
        <v>-0.52466765509831415</v>
      </c>
      <c r="BB403" s="45" t="str">
        <f t="shared" si="61"/>
        <v>SP</v>
      </c>
      <c r="BC403" s="45">
        <v>940</v>
      </c>
      <c r="BD403" s="45">
        <v>398</v>
      </c>
      <c r="BE403" s="45"/>
      <c r="BF403" s="45" t="str">
        <f t="shared" si="62"/>
        <v>Unlikely</v>
      </c>
      <c r="BG403" s="45"/>
      <c r="BH403" s="45">
        <f>INDEX(Table5[[#All],[Ovr]],MATCH(Table3[[#This Row],[PID]],Table5[[#All],[PID]],0))</f>
        <v>612</v>
      </c>
      <c r="BI403" s="45" t="str">
        <f>INDEX(Table5[[#All],[Rnd]],MATCH(Table3[[#This Row],[PID]],Table5[[#All],[PID]],0))</f>
        <v>19</v>
      </c>
      <c r="BJ403" s="45">
        <f>INDEX(Table5[[#All],[Pick]],MATCH(Table3[[#This Row],[PID]],Table5[[#All],[PID]],0))</f>
        <v>9</v>
      </c>
      <c r="BK403" s="45" t="str">
        <f>INDEX(Table5[[#All],[Team]],MATCH(Table3[[#This Row],[PID]],Table5[[#All],[PID]],0))</f>
        <v>New Jersey Hitmen</v>
      </c>
      <c r="BL403" s="45" t="str">
        <f>IF(OR(Table3[[#This Row],[POS]]="SP",Table3[[#This Row],[POS]]="RP",Table3[[#This Row],[POS]]="CL"),"P",INDEX(Batters[[#All],[zScore]],MATCH(Table3[[#This Row],[PID]],Batters[[#All],[PID]],0)))</f>
        <v>P</v>
      </c>
    </row>
    <row r="404" spans="1:64" ht="15" customHeight="1" x14ac:dyDescent="0.3">
      <c r="A404" s="40">
        <v>6098</v>
      </c>
      <c r="B404" s="40" t="s">
        <v>380</v>
      </c>
      <c r="C404" s="40" t="s">
        <v>822</v>
      </c>
      <c r="D404" s="40" t="s">
        <v>908</v>
      </c>
      <c r="E404" s="40">
        <v>21</v>
      </c>
      <c r="F404" s="40" t="s">
        <v>42</v>
      </c>
      <c r="G404" s="40" t="s">
        <v>42</v>
      </c>
      <c r="H404" s="41" t="s">
        <v>561</v>
      </c>
      <c r="I404" s="42" t="s">
        <v>43</v>
      </c>
      <c r="J404" s="40" t="s">
        <v>47</v>
      </c>
      <c r="K404" s="41" t="s">
        <v>44</v>
      </c>
      <c r="L404" s="40">
        <v>3</v>
      </c>
      <c r="M404" s="40">
        <v>1</v>
      </c>
      <c r="N404" s="41">
        <v>2</v>
      </c>
      <c r="O404" s="40">
        <v>4</v>
      </c>
      <c r="P404" s="40">
        <v>1</v>
      </c>
      <c r="Q404" s="41">
        <v>4</v>
      </c>
      <c r="R404" s="40">
        <v>4</v>
      </c>
      <c r="S404" s="40">
        <v>5</v>
      </c>
      <c r="T404" s="40">
        <v>4</v>
      </c>
      <c r="U404" s="40">
        <v>5</v>
      </c>
      <c r="V404" s="40">
        <v>2</v>
      </c>
      <c r="W404" s="40">
        <v>3</v>
      </c>
      <c r="X404" s="40" t="s">
        <v>45</v>
      </c>
      <c r="Y404" s="40" t="s">
        <v>45</v>
      </c>
      <c r="Z404" s="40" t="s">
        <v>45</v>
      </c>
      <c r="AA404" s="40" t="s">
        <v>45</v>
      </c>
      <c r="AB404" s="40" t="s">
        <v>45</v>
      </c>
      <c r="AC404" s="40" t="s">
        <v>45</v>
      </c>
      <c r="AD404" s="40" t="s">
        <v>45</v>
      </c>
      <c r="AE404" s="40" t="s">
        <v>45</v>
      </c>
      <c r="AF404" s="40">
        <v>4</v>
      </c>
      <c r="AG404" s="40">
        <v>5</v>
      </c>
      <c r="AH404" s="40" t="s">
        <v>45</v>
      </c>
      <c r="AI404" s="40" t="s">
        <v>45</v>
      </c>
      <c r="AJ404" s="40" t="s">
        <v>45</v>
      </c>
      <c r="AK404" s="40" t="s">
        <v>45</v>
      </c>
      <c r="AL404" s="40" t="s">
        <v>45</v>
      </c>
      <c r="AM404" s="40" t="s">
        <v>45</v>
      </c>
      <c r="AN404" s="40" t="s">
        <v>45</v>
      </c>
      <c r="AO404" s="41" t="s">
        <v>45</v>
      </c>
      <c r="AP404" s="40" t="s">
        <v>57</v>
      </c>
      <c r="AQ404" s="40">
        <v>8</v>
      </c>
      <c r="AR404" s="48" t="s">
        <v>14</v>
      </c>
      <c r="AS404" s="43" t="s">
        <v>45</v>
      </c>
      <c r="AT404" s="43" t="s">
        <v>103</v>
      </c>
      <c r="AU404" s="44">
        <f t="shared" si="57"/>
        <v>-2.0697810228951408</v>
      </c>
      <c r="AV404" s="44">
        <f t="shared" si="58"/>
        <v>-0.94495381554067481</v>
      </c>
      <c r="AW404" s="45">
        <f t="shared" si="59"/>
        <v>4</v>
      </c>
      <c r="AX404" s="45">
        <f t="shared" si="60"/>
        <v>0</v>
      </c>
      <c r="AY404" s="46">
        <f>VLOOKUP(AP404,COND!$A$10:$B$32,2,FALSE)</f>
        <v>1</v>
      </c>
      <c r="AZ404" s="44">
        <f>($AU$3*AU404+$AV$3*AV404+$AW$3*AW404+$AX$3*AX404)*AY404*IF(AQ404&lt;5,0.95,IF(AQ404&lt;7,0.975,1))+$I$3*VLOOKUP(I404,COND!$A$2:$E$7,4,FALSE)+$J$3*VLOOKUP(J404,COND!$A$2:$E$7,2,FALSE)+$K$3*VLOOKUP(K404,COND!$A$2:$E$7,3,FALSE)+IF(BB404="SP",$BB$3,0)+IF($AW404&lt;3,-5,0)+IF(AND($B$2&gt;0,$E404&lt;20),$B$2*25,0)</f>
        <v>29.686967484607479</v>
      </c>
      <c r="BA404" s="47">
        <f t="shared" si="63"/>
        <v>-0.57788887161426783</v>
      </c>
      <c r="BB404" s="45" t="str">
        <f t="shared" si="61"/>
        <v>SP</v>
      </c>
      <c r="BC404" s="45">
        <v>940</v>
      </c>
      <c r="BD404" s="45">
        <v>399</v>
      </c>
      <c r="BE404" s="45"/>
      <c r="BF404" s="45" t="str">
        <f t="shared" si="62"/>
        <v>Unlikely</v>
      </c>
      <c r="BG404" s="45"/>
      <c r="BH404" s="45">
        <f>INDEX(Table5[[#All],[Ovr]],MATCH(Table3[[#This Row],[PID]],Table5[[#All],[PID]],0))</f>
        <v>430</v>
      </c>
      <c r="BI404" s="45" t="str">
        <f>INDEX(Table5[[#All],[Rnd]],MATCH(Table3[[#This Row],[PID]],Table5[[#All],[PID]],0))</f>
        <v>13</v>
      </c>
      <c r="BJ404" s="45">
        <f>INDEX(Table5[[#All],[Pick]],MATCH(Table3[[#This Row],[PID]],Table5[[#All],[PID]],0))</f>
        <v>31</v>
      </c>
      <c r="BK404" s="45" t="str">
        <f>INDEX(Table5[[#All],[Team]],MATCH(Table3[[#This Row],[PID]],Table5[[#All],[PID]],0))</f>
        <v>West Virginia Alleghenies</v>
      </c>
      <c r="BL404" s="45" t="str">
        <f>IF(OR(Table3[[#This Row],[POS]]="SP",Table3[[#This Row],[POS]]="RP",Table3[[#This Row],[POS]]="CL"),"P",INDEX(Batters[[#All],[zScore]],MATCH(Table3[[#This Row],[PID]],Batters[[#All],[PID]],0)))</f>
        <v>P</v>
      </c>
    </row>
    <row r="405" spans="1:64" ht="15" customHeight="1" x14ac:dyDescent="0.3">
      <c r="A405" s="40">
        <v>5183</v>
      </c>
      <c r="B405" s="40" t="s">
        <v>380</v>
      </c>
      <c r="C405" s="40" t="s">
        <v>171</v>
      </c>
      <c r="D405" s="40" t="s">
        <v>1386</v>
      </c>
      <c r="E405" s="40">
        <v>21</v>
      </c>
      <c r="F405" s="40" t="s">
        <v>42</v>
      </c>
      <c r="G405" s="40" t="s">
        <v>42</v>
      </c>
      <c r="H405" s="41" t="s">
        <v>561</v>
      </c>
      <c r="I405" s="42" t="s">
        <v>43</v>
      </c>
      <c r="J405" s="40" t="s">
        <v>47</v>
      </c>
      <c r="K405" s="41" t="s">
        <v>44</v>
      </c>
      <c r="L405" s="40">
        <v>2</v>
      </c>
      <c r="M405" s="40">
        <v>2</v>
      </c>
      <c r="N405" s="41">
        <v>2</v>
      </c>
      <c r="O405" s="40">
        <v>3</v>
      </c>
      <c r="P405" s="40">
        <v>2</v>
      </c>
      <c r="Q405" s="41">
        <v>4</v>
      </c>
      <c r="R405" s="40">
        <v>3</v>
      </c>
      <c r="S405" s="40">
        <v>4</v>
      </c>
      <c r="T405" s="40" t="s">
        <v>45</v>
      </c>
      <c r="U405" s="40" t="s">
        <v>45</v>
      </c>
      <c r="V405" s="40" t="s">
        <v>45</v>
      </c>
      <c r="W405" s="40" t="s">
        <v>45</v>
      </c>
      <c r="X405" s="40" t="s">
        <v>45</v>
      </c>
      <c r="Y405" s="40" t="s">
        <v>45</v>
      </c>
      <c r="Z405" s="40" t="s">
        <v>45</v>
      </c>
      <c r="AA405" s="40" t="s">
        <v>45</v>
      </c>
      <c r="AB405" s="40">
        <v>2</v>
      </c>
      <c r="AC405" s="40">
        <v>4</v>
      </c>
      <c r="AD405" s="40" t="s">
        <v>45</v>
      </c>
      <c r="AE405" s="40" t="s">
        <v>45</v>
      </c>
      <c r="AF405" s="40" t="s">
        <v>45</v>
      </c>
      <c r="AG405" s="40" t="s">
        <v>45</v>
      </c>
      <c r="AH405" s="40">
        <v>2</v>
      </c>
      <c r="AI405" s="40">
        <v>4</v>
      </c>
      <c r="AJ405" s="40" t="s">
        <v>45</v>
      </c>
      <c r="AK405" s="40" t="s">
        <v>45</v>
      </c>
      <c r="AL405" s="40" t="s">
        <v>45</v>
      </c>
      <c r="AM405" s="40" t="s">
        <v>45</v>
      </c>
      <c r="AN405" s="40" t="s">
        <v>45</v>
      </c>
      <c r="AO405" s="41" t="s">
        <v>45</v>
      </c>
      <c r="AP405" s="40" t="s">
        <v>64</v>
      </c>
      <c r="AQ405" s="40">
        <v>7</v>
      </c>
      <c r="AR405" s="48" t="s">
        <v>326</v>
      </c>
      <c r="AS405" s="43" t="s">
        <v>45</v>
      </c>
      <c r="AT405" s="43" t="s">
        <v>103</v>
      </c>
      <c r="AU405" s="44">
        <f t="shared" si="57"/>
        <v>-2.0690406309742588</v>
      </c>
      <c r="AV405" s="44">
        <f t="shared" si="58"/>
        <v>-0.94421342361979277</v>
      </c>
      <c r="AW405" s="45">
        <f t="shared" si="59"/>
        <v>3</v>
      </c>
      <c r="AX405" s="45">
        <f t="shared" si="60"/>
        <v>0</v>
      </c>
      <c r="AY405" s="46">
        <f>VLOOKUP(AP405,COND!$A$10:$B$32,2,FALSE)</f>
        <v>1</v>
      </c>
      <c r="AZ405" s="44">
        <f>($AU$3*AU405+$AV$3*AV405+$AW$3*AW405+$AX$3*AX405)*AY405*IF(AQ405&lt;5,0.95,IF(AQ405&lt;7,0.975,1))+$I$3*VLOOKUP(I405,COND!$A$2:$E$7,4,FALSE)+$J$3*VLOOKUP(J405,COND!$A$2:$E$7,2,FALSE)+$K$3*VLOOKUP(K405,COND!$A$2:$E$7,3,FALSE)+IF(BB405="SP",$BB$3,0)+IF($AW405&lt;3,-5,0)+IF(AND($B$2&gt;0,$E405&lt;20),$B$2*25,0)</f>
        <v>29.201923401409292</v>
      </c>
      <c r="BA405" s="47">
        <f t="shared" si="63"/>
        <v>-0.6124274215914034</v>
      </c>
      <c r="BB405" s="45" t="str">
        <f t="shared" si="61"/>
        <v>SP</v>
      </c>
      <c r="BC405" s="45">
        <v>940</v>
      </c>
      <c r="BD405" s="45">
        <v>400</v>
      </c>
      <c r="BE405" s="45"/>
      <c r="BF405" s="45" t="str">
        <f t="shared" si="62"/>
        <v>Unlikely</v>
      </c>
      <c r="BG405" s="45"/>
      <c r="BH405" s="45">
        <f>INDEX(Table5[[#All],[Ovr]],MATCH(Table3[[#This Row],[PID]],Table5[[#All],[PID]],0))</f>
        <v>650</v>
      </c>
      <c r="BI405" s="45" t="str">
        <f>INDEX(Table5[[#All],[Rnd]],MATCH(Table3[[#This Row],[PID]],Table5[[#All],[PID]],0))</f>
        <v>20</v>
      </c>
      <c r="BJ405" s="45">
        <f>INDEX(Table5[[#All],[Pick]],MATCH(Table3[[#This Row],[PID]],Table5[[#All],[PID]],0))</f>
        <v>13</v>
      </c>
      <c r="BK405" s="45" t="str">
        <f>INDEX(Table5[[#All],[Team]],MATCH(Table3[[#This Row],[PID]],Table5[[#All],[PID]],0))</f>
        <v>Scottish Claymores</v>
      </c>
      <c r="BL405" s="45" t="str">
        <f>IF(OR(Table3[[#This Row],[POS]]="SP",Table3[[#This Row],[POS]]="RP",Table3[[#This Row],[POS]]="CL"),"P",INDEX(Batters[[#All],[zScore]],MATCH(Table3[[#This Row],[PID]],Batters[[#All],[PID]],0)))</f>
        <v>P</v>
      </c>
    </row>
    <row r="406" spans="1:64" ht="15" customHeight="1" x14ac:dyDescent="0.3">
      <c r="A406" s="40">
        <v>10637</v>
      </c>
      <c r="B406" s="40" t="s">
        <v>380</v>
      </c>
      <c r="C406" s="40" t="s">
        <v>1108</v>
      </c>
      <c r="D406" s="40" t="s">
        <v>1342</v>
      </c>
      <c r="E406" s="40">
        <v>21</v>
      </c>
      <c r="F406" s="40" t="s">
        <v>42</v>
      </c>
      <c r="G406" s="40" t="s">
        <v>42</v>
      </c>
      <c r="H406" s="41" t="s">
        <v>561</v>
      </c>
      <c r="I406" s="42" t="s">
        <v>43</v>
      </c>
      <c r="J406" s="40" t="s">
        <v>43</v>
      </c>
      <c r="K406" s="41" t="s">
        <v>44</v>
      </c>
      <c r="L406" s="40">
        <v>2</v>
      </c>
      <c r="M406" s="40">
        <v>1</v>
      </c>
      <c r="N406" s="41">
        <v>1</v>
      </c>
      <c r="O406" s="40">
        <v>3</v>
      </c>
      <c r="P406" s="40">
        <v>1</v>
      </c>
      <c r="Q406" s="41">
        <v>4</v>
      </c>
      <c r="R406" s="40">
        <v>3</v>
      </c>
      <c r="S406" s="40">
        <v>4</v>
      </c>
      <c r="T406" s="40">
        <v>1</v>
      </c>
      <c r="U406" s="40">
        <v>1</v>
      </c>
      <c r="V406" s="40">
        <v>2</v>
      </c>
      <c r="W406" s="40">
        <v>3</v>
      </c>
      <c r="X406" s="40">
        <v>3</v>
      </c>
      <c r="Y406" s="40">
        <v>4</v>
      </c>
      <c r="Z406" s="40" t="s">
        <v>45</v>
      </c>
      <c r="AA406" s="40" t="s">
        <v>45</v>
      </c>
      <c r="AB406" s="40">
        <v>3</v>
      </c>
      <c r="AC406" s="40">
        <v>3</v>
      </c>
      <c r="AD406" s="40" t="s">
        <v>45</v>
      </c>
      <c r="AE406" s="40" t="s">
        <v>45</v>
      </c>
      <c r="AF406" s="40">
        <v>3</v>
      </c>
      <c r="AG406" s="40">
        <v>3</v>
      </c>
      <c r="AH406" s="40" t="s">
        <v>45</v>
      </c>
      <c r="AI406" s="40" t="s">
        <v>45</v>
      </c>
      <c r="AJ406" s="40" t="s">
        <v>45</v>
      </c>
      <c r="AK406" s="40" t="s">
        <v>45</v>
      </c>
      <c r="AL406" s="40" t="s">
        <v>45</v>
      </c>
      <c r="AM406" s="40" t="s">
        <v>45</v>
      </c>
      <c r="AN406" s="40" t="s">
        <v>45</v>
      </c>
      <c r="AO406" s="41" t="s">
        <v>45</v>
      </c>
      <c r="AP406" s="40" t="s">
        <v>329</v>
      </c>
      <c r="AQ406" s="40">
        <v>9</v>
      </c>
      <c r="AR406" s="48" t="s">
        <v>14</v>
      </c>
      <c r="AS406" s="43" t="s">
        <v>45</v>
      </c>
      <c r="AT406" s="43" t="s">
        <v>103</v>
      </c>
      <c r="AU406" s="44">
        <f t="shared" si="57"/>
        <v>-2.5067929134584248</v>
      </c>
      <c r="AV406" s="44">
        <f t="shared" si="58"/>
        <v>-1.1396451400498482</v>
      </c>
      <c r="AW406" s="45">
        <f t="shared" si="59"/>
        <v>6</v>
      </c>
      <c r="AX406" s="45">
        <f t="shared" si="60"/>
        <v>0</v>
      </c>
      <c r="AY406" s="46">
        <f>VLOOKUP(AP406,COND!$A$10:$B$32,2,FALSE)</f>
        <v>1</v>
      </c>
      <c r="AZ406" s="44">
        <f>($AU$3*AU406+$AV$3*AV406+$AW$3*AW406+$AX$3*AX406)*AY406*IF(AQ406&lt;5,0.95,IF(AQ406&lt;7,0.975,1))+$I$3*VLOOKUP(I406,COND!$A$2:$E$7,4,FALSE)+$J$3*VLOOKUP(J406,COND!$A$2:$E$7,2,FALSE)+$K$3*VLOOKUP(K406,COND!$A$2:$E$7,3,FALSE)+IF(BB406="SP",$BB$3,0)+IF($AW406&lt;3,-5,0)+IF(AND($B$2&gt;0,$E406&lt;20),$B$2*25,0)</f>
        <v>26.40573861631135</v>
      </c>
      <c r="BA406" s="47">
        <f t="shared" si="63"/>
        <v>-0.81153544350278661</v>
      </c>
      <c r="BB406" s="45" t="str">
        <f t="shared" si="61"/>
        <v>SP</v>
      </c>
      <c r="BC406" s="45">
        <v>940</v>
      </c>
      <c r="BD406" s="45">
        <v>401</v>
      </c>
      <c r="BE406" s="45"/>
      <c r="BF406" s="45" t="str">
        <f t="shared" si="62"/>
        <v>Unlikely</v>
      </c>
      <c r="BG406" s="45"/>
      <c r="BH406" s="45">
        <f>INDEX(Table5[[#All],[Ovr]],MATCH(Table3[[#This Row],[PID]],Table5[[#All],[PID]],0))</f>
        <v>602</v>
      </c>
      <c r="BI406" s="45" t="str">
        <f>INDEX(Table5[[#All],[Rnd]],MATCH(Table3[[#This Row],[PID]],Table5[[#All],[PID]],0))</f>
        <v>18</v>
      </c>
      <c r="BJ406" s="45">
        <f>INDEX(Table5[[#All],[Pick]],MATCH(Table3[[#This Row],[PID]],Table5[[#All],[PID]],0))</f>
        <v>33</v>
      </c>
      <c r="BK406" s="45" t="str">
        <f>INDEX(Table5[[#All],[Team]],MATCH(Table3[[#This Row],[PID]],Table5[[#All],[PID]],0))</f>
        <v>New Jersey Hitmen</v>
      </c>
      <c r="BL406" s="45" t="str">
        <f>IF(OR(Table3[[#This Row],[POS]]="SP",Table3[[#This Row],[POS]]="RP",Table3[[#This Row],[POS]]="CL"),"P",INDEX(Batters[[#All],[zScore]],MATCH(Table3[[#This Row],[PID]],Batters[[#All],[PID]],0)))</f>
        <v>P</v>
      </c>
    </row>
    <row r="407" spans="1:64" ht="15" customHeight="1" x14ac:dyDescent="0.3">
      <c r="A407" s="40">
        <v>15696</v>
      </c>
      <c r="B407" s="40" t="s">
        <v>380</v>
      </c>
      <c r="C407" s="40" t="s">
        <v>1567</v>
      </c>
      <c r="D407" s="40" t="s">
        <v>359</v>
      </c>
      <c r="E407" s="40">
        <v>21</v>
      </c>
      <c r="F407" s="40" t="s">
        <v>42</v>
      </c>
      <c r="G407" s="40" t="s">
        <v>42</v>
      </c>
      <c r="H407" s="41" t="s">
        <v>561</v>
      </c>
      <c r="I407" s="42" t="s">
        <v>43</v>
      </c>
      <c r="J407" s="40" t="s">
        <v>43</v>
      </c>
      <c r="K407" s="41" t="s">
        <v>44</v>
      </c>
      <c r="L407" s="40">
        <v>2</v>
      </c>
      <c r="M407" s="40">
        <v>1</v>
      </c>
      <c r="N407" s="41">
        <v>1</v>
      </c>
      <c r="O407" s="40">
        <v>5</v>
      </c>
      <c r="P407" s="40">
        <v>1</v>
      </c>
      <c r="Q407" s="41">
        <v>3</v>
      </c>
      <c r="R407" s="40">
        <v>5</v>
      </c>
      <c r="S407" s="40">
        <v>7</v>
      </c>
      <c r="T407" s="40" t="s">
        <v>45</v>
      </c>
      <c r="U407" s="40" t="s">
        <v>45</v>
      </c>
      <c r="V407" s="40">
        <v>2</v>
      </c>
      <c r="W407" s="40">
        <v>7</v>
      </c>
      <c r="X407" s="40" t="s">
        <v>45</v>
      </c>
      <c r="Y407" s="40" t="s">
        <v>45</v>
      </c>
      <c r="Z407" s="40" t="s">
        <v>45</v>
      </c>
      <c r="AA407" s="40" t="s">
        <v>45</v>
      </c>
      <c r="AB407" s="40" t="s">
        <v>45</v>
      </c>
      <c r="AC407" s="40" t="s">
        <v>45</v>
      </c>
      <c r="AD407" s="40" t="s">
        <v>45</v>
      </c>
      <c r="AE407" s="40" t="s">
        <v>45</v>
      </c>
      <c r="AF407" s="40" t="s">
        <v>45</v>
      </c>
      <c r="AG407" s="40" t="s">
        <v>45</v>
      </c>
      <c r="AH407" s="40" t="s">
        <v>45</v>
      </c>
      <c r="AI407" s="40" t="s">
        <v>45</v>
      </c>
      <c r="AJ407" s="40" t="s">
        <v>45</v>
      </c>
      <c r="AK407" s="40" t="s">
        <v>45</v>
      </c>
      <c r="AL407" s="40" t="s">
        <v>45</v>
      </c>
      <c r="AM407" s="40" t="s">
        <v>45</v>
      </c>
      <c r="AN407" s="40" t="s">
        <v>45</v>
      </c>
      <c r="AO407" s="41" t="s">
        <v>45</v>
      </c>
      <c r="AP407" s="40" t="s">
        <v>57</v>
      </c>
      <c r="AQ407" s="40">
        <v>2</v>
      </c>
      <c r="AR407" s="48" t="s">
        <v>330</v>
      </c>
      <c r="AS407" s="43" t="s">
        <v>557</v>
      </c>
      <c r="AT407" s="43" t="s">
        <v>103</v>
      </c>
      <c r="AU407" s="44">
        <f t="shared" si="57"/>
        <v>-2.5067929134584248</v>
      </c>
      <c r="AV407" s="44">
        <f t="shared" si="58"/>
        <v>-0.99258305708561179</v>
      </c>
      <c r="AW407" s="45">
        <f t="shared" si="59"/>
        <v>2</v>
      </c>
      <c r="AX407" s="45">
        <f t="shared" si="60"/>
        <v>2</v>
      </c>
      <c r="AY407" s="46">
        <f>VLOOKUP(AP407,COND!$A$10:$B$32,2,FALSE)</f>
        <v>1</v>
      </c>
      <c r="AZ407" s="44">
        <f>($AU$3*AU407+$AV$3*AV407+$AW$3*AW407+$AX$3*AX407)*AY407*IF(AQ407&lt;5,0.95,IF(AQ407&lt;7,0.975,1))+$I$3*VLOOKUP(I407,COND!$A$2:$E$7,4,FALSE)+$J$3*VLOOKUP(J407,COND!$A$2:$E$7,2,FALSE)+$K$3*VLOOKUP(K407,COND!$A$2:$E$7,3,FALSE)+IF(BB407="SP",$BB$3,0)+IF($AW407&lt;3,-5,0)+IF(AND($B$2&gt;0,$E407&lt;20),$B$2*25,0)</f>
        <v>23.689631261816274</v>
      </c>
      <c r="BA407" s="47">
        <f t="shared" si="63"/>
        <v>-1.0049413891808481</v>
      </c>
      <c r="BB407" s="45" t="str">
        <f t="shared" si="61"/>
        <v>RP</v>
      </c>
      <c r="BC407" s="45">
        <v>940</v>
      </c>
      <c r="BD407" s="45">
        <v>402</v>
      </c>
      <c r="BE407" s="45"/>
      <c r="BF407" s="45" t="str">
        <f t="shared" si="62"/>
        <v>Unlikely</v>
      </c>
      <c r="BG407" s="45"/>
      <c r="BH407" s="45">
        <f>INDEX(Table5[[#All],[Ovr]],MATCH(Table3[[#This Row],[PID]],Table5[[#All],[PID]],0))</f>
        <v>580</v>
      </c>
      <c r="BI407" s="45" t="str">
        <f>INDEX(Table5[[#All],[Rnd]],MATCH(Table3[[#This Row],[PID]],Table5[[#All],[PID]],0))</f>
        <v>18</v>
      </c>
      <c r="BJ407" s="45">
        <f>INDEX(Table5[[#All],[Pick]],MATCH(Table3[[#This Row],[PID]],Table5[[#All],[PID]],0))</f>
        <v>11</v>
      </c>
      <c r="BK407" s="45" t="str">
        <f>INDEX(Table5[[#All],[Team]],MATCH(Table3[[#This Row],[PID]],Table5[[#All],[PID]],0))</f>
        <v>Arlington Bureaucrats</v>
      </c>
      <c r="BL407" s="45" t="str">
        <f>IF(OR(Table3[[#This Row],[POS]]="SP",Table3[[#This Row],[POS]]="RP",Table3[[#This Row],[POS]]="CL"),"P",INDEX(Batters[[#All],[zScore]],MATCH(Table3[[#This Row],[PID]],Batters[[#All],[PID]],0)))</f>
        <v>P</v>
      </c>
    </row>
    <row r="408" spans="1:64" ht="15" customHeight="1" x14ac:dyDescent="0.3">
      <c r="A408" s="40">
        <v>14750</v>
      </c>
      <c r="B408" s="40" t="s">
        <v>380</v>
      </c>
      <c r="C408" s="40" t="s">
        <v>768</v>
      </c>
      <c r="D408" s="40" t="s">
        <v>1396</v>
      </c>
      <c r="E408" s="40">
        <v>21</v>
      </c>
      <c r="F408" s="40" t="s">
        <v>42</v>
      </c>
      <c r="G408" s="40" t="s">
        <v>42</v>
      </c>
      <c r="H408" s="41" t="s">
        <v>561</v>
      </c>
      <c r="I408" s="42" t="s">
        <v>43</v>
      </c>
      <c r="J408" s="40" t="s">
        <v>43</v>
      </c>
      <c r="K408" s="41" t="s">
        <v>44</v>
      </c>
      <c r="L408" s="40">
        <v>2</v>
      </c>
      <c r="M408" s="40">
        <v>2</v>
      </c>
      <c r="N408" s="41">
        <v>1</v>
      </c>
      <c r="O408" s="40">
        <v>4</v>
      </c>
      <c r="P408" s="40">
        <v>2</v>
      </c>
      <c r="Q408" s="41">
        <v>2</v>
      </c>
      <c r="R408" s="40" t="s">
        <v>45</v>
      </c>
      <c r="S408" s="40" t="s">
        <v>45</v>
      </c>
      <c r="T408" s="40">
        <v>2</v>
      </c>
      <c r="U408" s="40">
        <v>5</v>
      </c>
      <c r="V408" s="40" t="s">
        <v>45</v>
      </c>
      <c r="W408" s="40" t="s">
        <v>45</v>
      </c>
      <c r="X408" s="40">
        <v>3</v>
      </c>
      <c r="Y408" s="40">
        <v>5</v>
      </c>
      <c r="Z408" s="40" t="s">
        <v>45</v>
      </c>
      <c r="AA408" s="40" t="s">
        <v>45</v>
      </c>
      <c r="AB408" s="40" t="s">
        <v>45</v>
      </c>
      <c r="AC408" s="40" t="s">
        <v>45</v>
      </c>
      <c r="AD408" s="40">
        <v>3</v>
      </c>
      <c r="AE408" s="40">
        <v>4</v>
      </c>
      <c r="AF408" s="40" t="s">
        <v>45</v>
      </c>
      <c r="AG408" s="40" t="s">
        <v>45</v>
      </c>
      <c r="AH408" s="40" t="s">
        <v>45</v>
      </c>
      <c r="AI408" s="40" t="s">
        <v>45</v>
      </c>
      <c r="AJ408" s="40" t="s">
        <v>45</v>
      </c>
      <c r="AK408" s="40" t="s">
        <v>45</v>
      </c>
      <c r="AL408" s="40" t="s">
        <v>45</v>
      </c>
      <c r="AM408" s="40" t="s">
        <v>45</v>
      </c>
      <c r="AN408" s="40" t="s">
        <v>45</v>
      </c>
      <c r="AO408" s="41" t="s">
        <v>45</v>
      </c>
      <c r="AP408" s="40" t="s">
        <v>329</v>
      </c>
      <c r="AQ408" s="40">
        <v>10</v>
      </c>
      <c r="AR408" s="48" t="s">
        <v>326</v>
      </c>
      <c r="AS408" s="43" t="s">
        <v>45</v>
      </c>
      <c r="AT408" s="43" t="s">
        <v>103</v>
      </c>
      <c r="AU408" s="44">
        <f t="shared" si="57"/>
        <v>-2.311361197028369</v>
      </c>
      <c r="AV408" s="44">
        <f t="shared" si="58"/>
        <v>-1.23416323121884</v>
      </c>
      <c r="AW408" s="45">
        <f t="shared" si="59"/>
        <v>3</v>
      </c>
      <c r="AX408" s="45">
        <f t="shared" si="60"/>
        <v>0</v>
      </c>
      <c r="AY408" s="46">
        <f>VLOOKUP(AP408,COND!$A$10:$B$32,2,FALSE)</f>
        <v>1</v>
      </c>
      <c r="AZ408" s="44">
        <f>($AU$3*AU408+$AV$3*AV408+$AW$3*AW408+$AX$3*AX408)*AY408*IF(AQ408&lt;5,0.95,IF(AQ408&lt;7,0.975,1))+$I$3*VLOOKUP(I408,COND!$A$2:$E$7,4,FALSE)+$J$3*VLOOKUP(J408,COND!$A$2:$E$7,2,FALSE)+$K$3*VLOOKUP(K408,COND!$A$2:$E$7,3,FALSE)+IF(BB408="SP",$BB$3,0)+IF($AW408&lt;3,-5,0)+IF(AND($B$2&gt;0,$E408&lt;20),$B$2*25,0)</f>
        <v>23.054463136217525</v>
      </c>
      <c r="BA408" s="47">
        <f t="shared" si="63"/>
        <v>-1.0501698267802244</v>
      </c>
      <c r="BB408" s="45" t="str">
        <f t="shared" si="61"/>
        <v>SP</v>
      </c>
      <c r="BC408" s="45">
        <v>940</v>
      </c>
      <c r="BD408" s="45">
        <v>403</v>
      </c>
      <c r="BE408" s="45"/>
      <c r="BF408" s="45" t="str">
        <f t="shared" si="62"/>
        <v>Unlikely</v>
      </c>
      <c r="BG408" s="45"/>
      <c r="BH408" s="45">
        <f>INDEX(Table5[[#All],[Ovr]],MATCH(Table3[[#This Row],[PID]],Table5[[#All],[PID]],0))</f>
        <v>353</v>
      </c>
      <c r="BI408" s="45" t="str">
        <f>INDEX(Table5[[#All],[Rnd]],MATCH(Table3[[#This Row],[PID]],Table5[[#All],[PID]],0))</f>
        <v>11</v>
      </c>
      <c r="BJ408" s="45">
        <f>INDEX(Table5[[#All],[Pick]],MATCH(Table3[[#This Row],[PID]],Table5[[#All],[PID]],0))</f>
        <v>22</v>
      </c>
      <c r="BK408" s="45" t="str">
        <f>INDEX(Table5[[#All],[Team]],MATCH(Table3[[#This Row],[PID]],Table5[[#All],[PID]],0))</f>
        <v>Bakersfield Bears</v>
      </c>
      <c r="BL408" s="45" t="str">
        <f>IF(OR(Table3[[#This Row],[POS]]="SP",Table3[[#This Row],[POS]]="RP",Table3[[#This Row],[POS]]="CL"),"P",INDEX(Batters[[#All],[zScore]],MATCH(Table3[[#This Row],[PID]],Batters[[#All],[PID]],0)))</f>
        <v>P</v>
      </c>
    </row>
    <row r="409" spans="1:64" ht="15" customHeight="1" x14ac:dyDescent="0.3">
      <c r="A409" s="40">
        <v>20660</v>
      </c>
      <c r="B409" s="40" t="s">
        <v>380</v>
      </c>
      <c r="C409" s="40" t="s">
        <v>1569</v>
      </c>
      <c r="D409" s="40" t="s">
        <v>366</v>
      </c>
      <c r="E409" s="40">
        <v>17</v>
      </c>
      <c r="F409" s="40" t="s">
        <v>42</v>
      </c>
      <c r="G409" s="40" t="s">
        <v>42</v>
      </c>
      <c r="H409" s="41" t="s">
        <v>561</v>
      </c>
      <c r="I409" s="42" t="s">
        <v>43</v>
      </c>
      <c r="J409" s="40" t="s">
        <v>43</v>
      </c>
      <c r="K409" s="41" t="s">
        <v>44</v>
      </c>
      <c r="L409" s="40">
        <v>2</v>
      </c>
      <c r="M409" s="40">
        <v>1</v>
      </c>
      <c r="N409" s="41">
        <v>1</v>
      </c>
      <c r="O409" s="40">
        <v>4</v>
      </c>
      <c r="P409" s="40">
        <v>1</v>
      </c>
      <c r="Q409" s="41">
        <v>2</v>
      </c>
      <c r="R409" s="40">
        <v>3</v>
      </c>
      <c r="S409" s="40">
        <v>5</v>
      </c>
      <c r="T409" s="40">
        <v>2</v>
      </c>
      <c r="U409" s="40">
        <v>7</v>
      </c>
      <c r="V409" s="40" t="s">
        <v>45</v>
      </c>
      <c r="W409" s="40" t="s">
        <v>45</v>
      </c>
      <c r="X409" s="40" t="s">
        <v>45</v>
      </c>
      <c r="Y409" s="40" t="s">
        <v>45</v>
      </c>
      <c r="Z409" s="40" t="s">
        <v>45</v>
      </c>
      <c r="AA409" s="40" t="s">
        <v>45</v>
      </c>
      <c r="AB409" s="40" t="s">
        <v>45</v>
      </c>
      <c r="AC409" s="40" t="s">
        <v>45</v>
      </c>
      <c r="AD409" s="40" t="s">
        <v>45</v>
      </c>
      <c r="AE409" s="40" t="s">
        <v>45</v>
      </c>
      <c r="AF409" s="40" t="s">
        <v>45</v>
      </c>
      <c r="AG409" s="40" t="s">
        <v>45</v>
      </c>
      <c r="AH409" s="40" t="s">
        <v>45</v>
      </c>
      <c r="AI409" s="40" t="s">
        <v>45</v>
      </c>
      <c r="AJ409" s="40" t="s">
        <v>45</v>
      </c>
      <c r="AK409" s="40" t="s">
        <v>45</v>
      </c>
      <c r="AL409" s="40" t="s">
        <v>45</v>
      </c>
      <c r="AM409" s="40" t="s">
        <v>45</v>
      </c>
      <c r="AN409" s="40" t="s">
        <v>45</v>
      </c>
      <c r="AO409" s="41" t="s">
        <v>45</v>
      </c>
      <c r="AP409" s="40" t="s">
        <v>328</v>
      </c>
      <c r="AQ409" s="40">
        <v>2</v>
      </c>
      <c r="AR409" s="48" t="s">
        <v>14</v>
      </c>
      <c r="AS409" s="43" t="s">
        <v>572</v>
      </c>
      <c r="AT409" s="43" t="s">
        <v>103</v>
      </c>
      <c r="AU409" s="44">
        <f t="shared" si="57"/>
        <v>-2.5067929134584248</v>
      </c>
      <c r="AV409" s="44">
        <f t="shared" si="58"/>
        <v>-1.4295949476488956</v>
      </c>
      <c r="AW409" s="45">
        <f t="shared" si="59"/>
        <v>2</v>
      </c>
      <c r="AX409" s="45">
        <f t="shared" si="60"/>
        <v>1</v>
      </c>
      <c r="AY409" s="46">
        <f>VLOOKUP(AP409,COND!$A$10:$B$32,2,FALSE)</f>
        <v>1</v>
      </c>
      <c r="AZ409" s="44">
        <f>($AU$3*AU409+$AV$3*AV409+$AW$3*AW409+$AX$3*AX409)*AY409*IF(AQ409&lt;5,0.95,IF(AQ409&lt;7,0.975,1))+$I$3*VLOOKUP(I409,COND!$A$2:$E$7,4,FALSE)+$J$3*VLOOKUP(J409,COND!$A$2:$E$7,2,FALSE)+$K$3*VLOOKUP(K409,COND!$A$2:$E$7,3,FALSE)+IF(BB409="SP",$BB$3,0)+IF($AW409&lt;3,-5,0)+IF(AND($B$2&gt;0,$E409&lt;20),$B$2*25,0)</f>
        <v>19.198905341113878</v>
      </c>
      <c r="BA409" s="47">
        <f t="shared" si="63"/>
        <v>-1.3247126574398267</v>
      </c>
      <c r="BB409" s="45" t="str">
        <f t="shared" si="61"/>
        <v>RP</v>
      </c>
      <c r="BC409" s="45">
        <v>940</v>
      </c>
      <c r="BD409" s="45">
        <v>404</v>
      </c>
      <c r="BE409" s="45"/>
      <c r="BF409" s="45" t="str">
        <f t="shared" si="62"/>
        <v>Unlikely</v>
      </c>
      <c r="BG409" s="45"/>
      <c r="BH409" s="45" t="str">
        <f>INDEX(Table5[[#All],[Ovr]],MATCH(Table3[[#This Row],[PID]],Table5[[#All],[PID]],0))</f>
        <v/>
      </c>
      <c r="BI409" s="45" t="str">
        <f>INDEX(Table5[[#All],[Rnd]],MATCH(Table3[[#This Row],[PID]],Table5[[#All],[PID]],0))</f>
        <v/>
      </c>
      <c r="BJ409" s="45" t="str">
        <f>INDEX(Table5[[#All],[Pick]],MATCH(Table3[[#This Row],[PID]],Table5[[#All],[PID]],0))</f>
        <v/>
      </c>
      <c r="BK409" s="45" t="str">
        <f>INDEX(Table5[[#All],[Team]],MATCH(Table3[[#This Row],[PID]],Table5[[#All],[PID]],0))</f>
        <v/>
      </c>
      <c r="BL409" s="45" t="str">
        <f>IF(OR(Table3[[#This Row],[POS]]="SP",Table3[[#This Row],[POS]]="RP",Table3[[#This Row],[POS]]="CL"),"P",INDEX(Batters[[#All],[zScore]],MATCH(Table3[[#This Row],[PID]],Batters[[#All],[PID]],0)))</f>
        <v>P</v>
      </c>
    </row>
    <row r="410" spans="1:64" ht="15" customHeight="1" x14ac:dyDescent="0.3">
      <c r="A410" s="40">
        <v>11962</v>
      </c>
      <c r="B410" s="40" t="s">
        <v>380</v>
      </c>
      <c r="C410" s="40" t="s">
        <v>1506</v>
      </c>
      <c r="D410" s="40" t="s">
        <v>1507</v>
      </c>
      <c r="E410" s="40">
        <v>18</v>
      </c>
      <c r="F410" s="40" t="s">
        <v>42</v>
      </c>
      <c r="G410" s="40" t="s">
        <v>42</v>
      </c>
      <c r="H410" s="41" t="s">
        <v>552</v>
      </c>
      <c r="I410" s="42" t="s">
        <v>43</v>
      </c>
      <c r="J410" s="40" t="s">
        <v>44</v>
      </c>
      <c r="K410" s="41" t="s">
        <v>44</v>
      </c>
      <c r="L410" s="40">
        <v>3</v>
      </c>
      <c r="M410" s="40">
        <v>2</v>
      </c>
      <c r="N410" s="41">
        <v>2</v>
      </c>
      <c r="O410" s="40">
        <v>5</v>
      </c>
      <c r="P410" s="40">
        <v>2</v>
      </c>
      <c r="Q410" s="41">
        <v>5</v>
      </c>
      <c r="R410" s="40">
        <v>4</v>
      </c>
      <c r="S410" s="40">
        <v>6</v>
      </c>
      <c r="T410" s="40">
        <v>2</v>
      </c>
      <c r="U410" s="40">
        <v>6</v>
      </c>
      <c r="V410" s="40" t="s">
        <v>45</v>
      </c>
      <c r="W410" s="40" t="s">
        <v>45</v>
      </c>
      <c r="X410" s="40" t="s">
        <v>45</v>
      </c>
      <c r="Y410" s="40" t="s">
        <v>45</v>
      </c>
      <c r="Z410" s="40">
        <v>3</v>
      </c>
      <c r="AA410" s="40">
        <v>4</v>
      </c>
      <c r="AB410" s="40" t="s">
        <v>45</v>
      </c>
      <c r="AC410" s="40" t="s">
        <v>45</v>
      </c>
      <c r="AD410" s="40" t="s">
        <v>45</v>
      </c>
      <c r="AE410" s="40" t="s">
        <v>45</v>
      </c>
      <c r="AF410" s="40" t="s">
        <v>45</v>
      </c>
      <c r="AG410" s="40" t="s">
        <v>45</v>
      </c>
      <c r="AH410" s="40" t="s">
        <v>45</v>
      </c>
      <c r="AI410" s="40" t="s">
        <v>45</v>
      </c>
      <c r="AJ410" s="40" t="s">
        <v>45</v>
      </c>
      <c r="AK410" s="40" t="s">
        <v>45</v>
      </c>
      <c r="AL410" s="40" t="s">
        <v>45</v>
      </c>
      <c r="AM410" s="40" t="s">
        <v>45</v>
      </c>
      <c r="AN410" s="40" t="s">
        <v>45</v>
      </c>
      <c r="AO410" s="41" t="s">
        <v>45</v>
      </c>
      <c r="AP410" s="40" t="s">
        <v>57</v>
      </c>
      <c r="AQ410" s="40">
        <v>10</v>
      </c>
      <c r="AR410" s="48" t="s">
        <v>326</v>
      </c>
      <c r="AS410" s="43" t="s">
        <v>568</v>
      </c>
      <c r="AT410" s="43" t="s">
        <v>103</v>
      </c>
      <c r="AU410" s="44">
        <f t="shared" si="57"/>
        <v>-1.8743493064650851</v>
      </c>
      <c r="AV410" s="44">
        <f t="shared" si="58"/>
        <v>-0.31251020854733541</v>
      </c>
      <c r="AW410" s="45">
        <f t="shared" si="59"/>
        <v>3</v>
      </c>
      <c r="AX410" s="45">
        <f t="shared" si="60"/>
        <v>2</v>
      </c>
      <c r="AY410" s="46">
        <f>VLOOKUP(AP410,COND!$A$10:$B$32,2,FALSE)</f>
        <v>1</v>
      </c>
      <c r="AZ410" s="44">
        <f>($AU$3*AU410+$AV$3*AV410+$AW$3*AW410+$AX$3*AX410)*AY410*IF(AQ410&lt;5,0.95,IF(AQ410&lt;7,0.975,1))+$I$3*VLOOKUP(I410,COND!$A$2:$E$7,4,FALSE)+$J$3*VLOOKUP(J410,COND!$A$2:$E$7,2,FALSE)+$K$3*VLOOKUP(K410,COND!$A$2:$E$7,3,FALSE)+IF(BB410="SP",$BB$3,0)+IF($AW410&lt;3,-5,0)+IF(AND($B$2&gt;0,$E410&lt;20),$B$2*25,0)</f>
        <v>48.774925967760268</v>
      </c>
      <c r="BA410" s="47">
        <f>STANDARDIZE(AZ410,AVERAGE($AZ$5:$AZ$445),STDEVP($AZ$5:$AZ$445))</f>
        <v>0.7868419987152887</v>
      </c>
      <c r="BB410" s="45" t="str">
        <f t="shared" si="61"/>
        <v>SP</v>
      </c>
      <c r="BC410" s="45">
        <v>950</v>
      </c>
      <c r="BD410" s="45">
        <v>405</v>
      </c>
      <c r="BE410" s="45"/>
      <c r="BF410" s="45" t="str">
        <f t="shared" si="62"/>
        <v>Possible</v>
      </c>
      <c r="BG410" s="45"/>
      <c r="BH410" s="63">
        <f>INDEX(Table5[[#All],[Ovr]],MATCH(Table3[[#This Row],[PID]],Table5[[#All],[PID]],0))</f>
        <v>224</v>
      </c>
      <c r="BI410" s="63" t="str">
        <f>INDEX(Table5[[#All],[Rnd]],MATCH(Table3[[#This Row],[PID]],Table5[[#All],[PID]],0))</f>
        <v>7</v>
      </c>
      <c r="BJ410" s="63">
        <f>INDEX(Table5[[#All],[Pick]],MATCH(Table3[[#This Row],[PID]],Table5[[#All],[PID]],0))</f>
        <v>23</v>
      </c>
      <c r="BK410" s="63" t="str">
        <f>INDEX(Table5[[#All],[Team]],MATCH(Table3[[#This Row],[PID]],Table5[[#All],[PID]],0))</f>
        <v>Kentucky Thoroughbreds</v>
      </c>
      <c r="BL410" s="63" t="str">
        <f>IF(OR(Table3[[#This Row],[POS]]="SP",Table3[[#This Row],[POS]]="RP",Table3[[#This Row],[POS]]="CL"),"P",INDEX(Batters[[#All],[zScore]],MATCH(Table3[[#This Row],[PID]],Batters[[#All],[PID]],0)))</f>
        <v>P</v>
      </c>
    </row>
    <row r="411" spans="1:64" ht="15" customHeight="1" x14ac:dyDescent="0.3">
      <c r="A411" s="40">
        <v>10254</v>
      </c>
      <c r="B411" s="40" t="s">
        <v>24</v>
      </c>
      <c r="C411" s="40" t="s">
        <v>143</v>
      </c>
      <c r="D411" s="40" t="s">
        <v>850</v>
      </c>
      <c r="E411" s="40">
        <v>17</v>
      </c>
      <c r="F411" s="40" t="s">
        <v>42</v>
      </c>
      <c r="G411" s="40" t="s">
        <v>42</v>
      </c>
      <c r="H411" s="41" t="s">
        <v>561</v>
      </c>
      <c r="I411" s="42" t="s">
        <v>43</v>
      </c>
      <c r="J411" s="40" t="s">
        <v>44</v>
      </c>
      <c r="K411" s="41" t="s">
        <v>44</v>
      </c>
      <c r="L411" s="40">
        <v>2</v>
      </c>
      <c r="M411" s="40">
        <v>1</v>
      </c>
      <c r="N411" s="41">
        <v>1</v>
      </c>
      <c r="O411" s="40">
        <v>5</v>
      </c>
      <c r="P411" s="40">
        <v>1</v>
      </c>
      <c r="Q411" s="41">
        <v>5</v>
      </c>
      <c r="R411" s="40">
        <v>4</v>
      </c>
      <c r="S411" s="40">
        <v>7</v>
      </c>
      <c r="T411" s="40">
        <v>1</v>
      </c>
      <c r="U411" s="40">
        <v>3</v>
      </c>
      <c r="V411" s="40">
        <v>2</v>
      </c>
      <c r="W411" s="40">
        <v>7</v>
      </c>
      <c r="X411" s="40" t="s">
        <v>45</v>
      </c>
      <c r="Y411" s="40" t="s">
        <v>45</v>
      </c>
      <c r="Z411" s="40" t="s">
        <v>45</v>
      </c>
      <c r="AA411" s="40" t="s">
        <v>45</v>
      </c>
      <c r="AB411" s="40" t="s">
        <v>45</v>
      </c>
      <c r="AC411" s="40" t="s">
        <v>45</v>
      </c>
      <c r="AD411" s="40" t="s">
        <v>45</v>
      </c>
      <c r="AE411" s="40" t="s">
        <v>45</v>
      </c>
      <c r="AF411" s="40" t="s">
        <v>45</v>
      </c>
      <c r="AG411" s="40" t="s">
        <v>45</v>
      </c>
      <c r="AH411" s="40" t="s">
        <v>45</v>
      </c>
      <c r="AI411" s="40" t="s">
        <v>45</v>
      </c>
      <c r="AJ411" s="40" t="s">
        <v>45</v>
      </c>
      <c r="AK411" s="40" t="s">
        <v>45</v>
      </c>
      <c r="AL411" s="40" t="s">
        <v>45</v>
      </c>
      <c r="AM411" s="40" t="s">
        <v>45</v>
      </c>
      <c r="AN411" s="40" t="s">
        <v>45</v>
      </c>
      <c r="AO411" s="41" t="s">
        <v>45</v>
      </c>
      <c r="AP411" s="40" t="s">
        <v>58</v>
      </c>
      <c r="AQ411" s="40">
        <v>10</v>
      </c>
      <c r="AR411" s="48" t="s">
        <v>14</v>
      </c>
      <c r="AS411" s="43" t="s">
        <v>572</v>
      </c>
      <c r="AT411" s="43" t="s">
        <v>103</v>
      </c>
      <c r="AU411" s="44">
        <f t="shared" si="57"/>
        <v>-2.5067929134584248</v>
      </c>
      <c r="AV411" s="44">
        <f t="shared" si="58"/>
        <v>-0.50794192497739088</v>
      </c>
      <c r="AW411" s="45">
        <f t="shared" si="59"/>
        <v>3</v>
      </c>
      <c r="AX411" s="45">
        <f t="shared" si="60"/>
        <v>2</v>
      </c>
      <c r="AY411" s="46">
        <f>VLOOKUP(AP411,COND!$A$10:$B$32,2,FALSE)</f>
        <v>1</v>
      </c>
      <c r="AZ411" s="44">
        <f>($AU$3*AU411+$AV$3*AV411+$AW$3*AW411+$AX$3*AX411)*AY411*IF(AQ411&lt;5,0.95,IF(AQ411&lt;7,0.975,1))+$I$3*VLOOKUP(I411,COND!$A$2:$E$7,4,FALSE)+$J$3*VLOOKUP(J411,COND!$A$2:$E$7,2,FALSE)+$K$3*VLOOKUP(K411,COND!$A$2:$E$7,3,FALSE)+IF(BB411="SP",$BB$3,0)+IF($AW411&lt;3,-5,0)+IF(AND($B$2&gt;0,$E411&lt;20),$B$2*25,0)</f>
        <v>44.7398029177605</v>
      </c>
      <c r="BA411" s="47">
        <f t="shared" ref="BA411:BA424" si="64">STANDARDIZE(AZ411,AVERAGE($AZ$5:$AZ$428),STDEVP($AZ$5:$AZ$428))</f>
        <v>0.49397887590575001</v>
      </c>
      <c r="BB411" s="45" t="str">
        <f t="shared" si="61"/>
        <v>SP</v>
      </c>
      <c r="BC411" s="45">
        <v>950</v>
      </c>
      <c r="BD411" s="45">
        <v>406</v>
      </c>
      <c r="BE411" s="45"/>
      <c r="BF411" s="45" t="str">
        <f t="shared" si="62"/>
        <v>Unlikely</v>
      </c>
      <c r="BG411" s="45"/>
      <c r="BH411" s="45">
        <f>INDEX(Table5[[#All],[Ovr]],MATCH(Table3[[#This Row],[PID]],Table5[[#All],[PID]],0))</f>
        <v>182</v>
      </c>
      <c r="BI411" s="45" t="str">
        <f>INDEX(Table5[[#All],[Rnd]],MATCH(Table3[[#This Row],[PID]],Table5[[#All],[PID]],0))</f>
        <v>6</v>
      </c>
      <c r="BJ411" s="45">
        <f>INDEX(Table5[[#All],[Pick]],MATCH(Table3[[#This Row],[PID]],Table5[[#All],[PID]],0))</f>
        <v>13</v>
      </c>
      <c r="BK411" s="45" t="str">
        <f>INDEX(Table5[[#All],[Team]],MATCH(Table3[[#This Row],[PID]],Table5[[#All],[PID]],0))</f>
        <v>Scottish Claymores</v>
      </c>
      <c r="BL411" s="45" t="str">
        <f>IF(OR(Table3[[#This Row],[POS]]="SP",Table3[[#This Row],[POS]]="RP",Table3[[#This Row],[POS]]="CL"),"P",INDEX(Batters[[#All],[zScore]],MATCH(Table3[[#This Row],[PID]],Batters[[#All],[PID]],0)))</f>
        <v>P</v>
      </c>
    </row>
    <row r="412" spans="1:64" ht="15" customHeight="1" x14ac:dyDescent="0.3">
      <c r="A412" s="40">
        <v>10036</v>
      </c>
      <c r="B412" s="40" t="s">
        <v>380</v>
      </c>
      <c r="C412" s="40" t="s">
        <v>974</v>
      </c>
      <c r="D412" s="40" t="s">
        <v>697</v>
      </c>
      <c r="E412" s="40">
        <v>18</v>
      </c>
      <c r="F412" s="40" t="s">
        <v>53</v>
      </c>
      <c r="G412" s="40" t="s">
        <v>42</v>
      </c>
      <c r="H412" s="41" t="s">
        <v>561</v>
      </c>
      <c r="I412" s="42" t="s">
        <v>43</v>
      </c>
      <c r="J412" s="40" t="s">
        <v>44</v>
      </c>
      <c r="K412" s="41" t="s">
        <v>44</v>
      </c>
      <c r="L412" s="40">
        <v>2</v>
      </c>
      <c r="M412" s="40">
        <v>2</v>
      </c>
      <c r="N412" s="41">
        <v>2</v>
      </c>
      <c r="O412" s="40">
        <v>4</v>
      </c>
      <c r="P412" s="40">
        <v>2</v>
      </c>
      <c r="Q412" s="41">
        <v>5</v>
      </c>
      <c r="R412" s="40">
        <v>3</v>
      </c>
      <c r="S412" s="40">
        <v>5</v>
      </c>
      <c r="T412" s="40">
        <v>1</v>
      </c>
      <c r="U412" s="40">
        <v>1</v>
      </c>
      <c r="V412" s="40" t="s">
        <v>45</v>
      </c>
      <c r="W412" s="40" t="s">
        <v>45</v>
      </c>
      <c r="X412" s="40">
        <v>2</v>
      </c>
      <c r="Y412" s="40">
        <v>6</v>
      </c>
      <c r="Z412" s="40" t="s">
        <v>45</v>
      </c>
      <c r="AA412" s="40" t="s">
        <v>45</v>
      </c>
      <c r="AB412" s="40" t="s">
        <v>45</v>
      </c>
      <c r="AC412" s="40" t="s">
        <v>45</v>
      </c>
      <c r="AD412" s="40" t="s">
        <v>45</v>
      </c>
      <c r="AE412" s="40" t="s">
        <v>45</v>
      </c>
      <c r="AF412" s="40" t="s">
        <v>45</v>
      </c>
      <c r="AG412" s="40" t="s">
        <v>45</v>
      </c>
      <c r="AH412" s="40" t="s">
        <v>45</v>
      </c>
      <c r="AI412" s="40" t="s">
        <v>45</v>
      </c>
      <c r="AJ412" s="40" t="s">
        <v>45</v>
      </c>
      <c r="AK412" s="40" t="s">
        <v>45</v>
      </c>
      <c r="AL412" s="40" t="s">
        <v>45</v>
      </c>
      <c r="AM412" s="40" t="s">
        <v>45</v>
      </c>
      <c r="AN412" s="40" t="s">
        <v>45</v>
      </c>
      <c r="AO412" s="41" t="s">
        <v>45</v>
      </c>
      <c r="AP412" s="40" t="s">
        <v>329</v>
      </c>
      <c r="AQ412" s="40">
        <v>6</v>
      </c>
      <c r="AR412" s="48" t="s">
        <v>14</v>
      </c>
      <c r="AS412" s="43" t="s">
        <v>583</v>
      </c>
      <c r="AT412" s="43" t="s">
        <v>103</v>
      </c>
      <c r="AU412" s="44">
        <f t="shared" si="57"/>
        <v>-2.0690406309742588</v>
      </c>
      <c r="AV412" s="44">
        <f t="shared" si="58"/>
        <v>-0.50720153305650884</v>
      </c>
      <c r="AW412" s="45">
        <f t="shared" si="59"/>
        <v>3</v>
      </c>
      <c r="AX412" s="45">
        <f t="shared" si="60"/>
        <v>1</v>
      </c>
      <c r="AY412" s="46">
        <f>VLOOKUP(AP412,COND!$A$10:$B$32,2,FALSE)</f>
        <v>1</v>
      </c>
      <c r="AZ412" s="44">
        <f>($AU$3*AU412+$AV$3*AV412+$AW$3*AW412+$AX$3*AX412)*AY412*IF(AQ412&lt;5,0.95,IF(AQ412&lt;7,0.975,1))+$I$3*VLOOKUP(I412,COND!$A$2:$E$7,4,FALSE)+$J$3*VLOOKUP(J412,COND!$A$2:$E$7,2,FALSE)+$K$3*VLOOKUP(K412,COND!$A$2:$E$7,3,FALSE)+IF(BB412="SP",$BB$3,0)+IF($AW412&lt;3,-5,0)+IF(AND($B$2&gt;0,$E412&lt;20),$B$2*25,0)</f>
        <v>43.787357182358093</v>
      </c>
      <c r="BA412" s="47">
        <f t="shared" si="64"/>
        <v>0.42615804111522548</v>
      </c>
      <c r="BB412" s="45" t="str">
        <f t="shared" si="61"/>
        <v>SP</v>
      </c>
      <c r="BC412" s="45">
        <v>950</v>
      </c>
      <c r="BD412" s="45">
        <v>407</v>
      </c>
      <c r="BE412" s="45"/>
      <c r="BF412" s="45" t="str">
        <f t="shared" si="62"/>
        <v>Unlikely</v>
      </c>
      <c r="BG412" s="45"/>
      <c r="BH412" s="45">
        <f>INDEX(Table5[[#All],[Ovr]],MATCH(Table3[[#This Row],[PID]],Table5[[#All],[PID]],0))</f>
        <v>597</v>
      </c>
      <c r="BI412" s="45" t="str">
        <f>INDEX(Table5[[#All],[Rnd]],MATCH(Table3[[#This Row],[PID]],Table5[[#All],[PID]],0))</f>
        <v>18</v>
      </c>
      <c r="BJ412" s="45">
        <f>INDEX(Table5[[#All],[Pick]],MATCH(Table3[[#This Row],[PID]],Table5[[#All],[PID]],0))</f>
        <v>28</v>
      </c>
      <c r="BK412" s="45" t="str">
        <f>INDEX(Table5[[#All],[Team]],MATCH(Table3[[#This Row],[PID]],Table5[[#All],[PID]],0))</f>
        <v>Amsterdam Lions</v>
      </c>
      <c r="BL412" s="45" t="str">
        <f>IF(OR(Table3[[#This Row],[POS]]="SP",Table3[[#This Row],[POS]]="RP",Table3[[#This Row],[POS]]="CL"),"P",INDEX(Batters[[#All],[zScore]],MATCH(Table3[[#This Row],[PID]],Batters[[#All],[PID]],0)))</f>
        <v>P</v>
      </c>
    </row>
    <row r="413" spans="1:64" ht="15" customHeight="1" x14ac:dyDescent="0.3">
      <c r="A413" s="40">
        <v>11101</v>
      </c>
      <c r="B413" s="40" t="s">
        <v>380</v>
      </c>
      <c r="C413" s="40" t="s">
        <v>280</v>
      </c>
      <c r="D413" s="40" t="s">
        <v>1409</v>
      </c>
      <c r="E413" s="40">
        <v>17</v>
      </c>
      <c r="F413" s="40" t="s">
        <v>42</v>
      </c>
      <c r="G413" s="40" t="s">
        <v>42</v>
      </c>
      <c r="H413" s="41" t="s">
        <v>552</v>
      </c>
      <c r="I413" s="42" t="s">
        <v>43</v>
      </c>
      <c r="J413" s="40" t="s">
        <v>44</v>
      </c>
      <c r="K413" s="41" t="s">
        <v>44</v>
      </c>
      <c r="L413" s="40">
        <v>4</v>
      </c>
      <c r="M413" s="40">
        <v>1</v>
      </c>
      <c r="N413" s="41">
        <v>1</v>
      </c>
      <c r="O413" s="40">
        <v>7</v>
      </c>
      <c r="P413" s="40">
        <v>1</v>
      </c>
      <c r="Q413" s="41">
        <v>3</v>
      </c>
      <c r="R413" s="40">
        <v>6</v>
      </c>
      <c r="S413" s="40">
        <v>8</v>
      </c>
      <c r="T413" s="40">
        <v>1</v>
      </c>
      <c r="U413" s="40">
        <v>1</v>
      </c>
      <c r="V413" s="40">
        <v>3</v>
      </c>
      <c r="W413" s="40">
        <v>8</v>
      </c>
      <c r="X413" s="40" t="s">
        <v>45</v>
      </c>
      <c r="Y413" s="40" t="s">
        <v>45</v>
      </c>
      <c r="Z413" s="40" t="s">
        <v>45</v>
      </c>
      <c r="AA413" s="40" t="s">
        <v>45</v>
      </c>
      <c r="AB413" s="40" t="s">
        <v>45</v>
      </c>
      <c r="AC413" s="40" t="s">
        <v>45</v>
      </c>
      <c r="AD413" s="40" t="s">
        <v>45</v>
      </c>
      <c r="AE413" s="40" t="s">
        <v>45</v>
      </c>
      <c r="AF413" s="40" t="s">
        <v>45</v>
      </c>
      <c r="AG413" s="40" t="s">
        <v>45</v>
      </c>
      <c r="AH413" s="40" t="s">
        <v>45</v>
      </c>
      <c r="AI413" s="40" t="s">
        <v>45</v>
      </c>
      <c r="AJ413" s="40" t="s">
        <v>45</v>
      </c>
      <c r="AK413" s="40" t="s">
        <v>45</v>
      </c>
      <c r="AL413" s="40" t="s">
        <v>45</v>
      </c>
      <c r="AM413" s="40" t="s">
        <v>45</v>
      </c>
      <c r="AN413" s="40" t="s">
        <v>45</v>
      </c>
      <c r="AO413" s="41" t="s">
        <v>45</v>
      </c>
      <c r="AP413" s="40" t="s">
        <v>46</v>
      </c>
      <c r="AQ413" s="40">
        <v>9</v>
      </c>
      <c r="AR413" s="48" t="s">
        <v>326</v>
      </c>
      <c r="AS413" s="43" t="s">
        <v>572</v>
      </c>
      <c r="AT413" s="43" t="s">
        <v>103</v>
      </c>
      <c r="AU413" s="44">
        <f t="shared" si="57"/>
        <v>-2.1174102644400774</v>
      </c>
      <c r="AV413" s="44">
        <f t="shared" si="58"/>
        <v>-0.6032004080672646</v>
      </c>
      <c r="AW413" s="45">
        <f t="shared" si="59"/>
        <v>3</v>
      </c>
      <c r="AX413" s="45">
        <f t="shared" si="60"/>
        <v>2</v>
      </c>
      <c r="AY413" s="46">
        <f>VLOOKUP(AP413,COND!$A$10:$B$32,2,FALSE)</f>
        <v>1.05</v>
      </c>
      <c r="AZ413" s="44">
        <f>($AU$3*AU413+$AV$3*AV413+$AW$3*AW413+$AX$3*AX413)*AY413*IF(AQ413&lt;5,0.95,IF(AQ413&lt;7,0.975,1))+$I$3*VLOOKUP(I413,COND!$A$2:$E$7,4,FALSE)+$J$3*VLOOKUP(J413,COND!$A$2:$E$7,2,FALSE)+$K$3*VLOOKUP(K413,COND!$A$2:$E$7,3,FALSE)+IF(BB413="SP",$BB$3,0)+IF($AW413&lt;3,-5,0)+IF(AND($B$2&gt;0,$E413&lt;20),$B$2*25,0)</f>
        <v>42.488135275055029</v>
      </c>
      <c r="BA413" s="47">
        <f t="shared" si="64"/>
        <v>0.33364430405260626</v>
      </c>
      <c r="BB413" s="45" t="str">
        <f t="shared" si="61"/>
        <v>SP</v>
      </c>
      <c r="BC413" s="45">
        <v>950</v>
      </c>
      <c r="BD413" s="45">
        <v>408</v>
      </c>
      <c r="BE413" s="45"/>
      <c r="BF413" s="45" t="str">
        <f t="shared" si="62"/>
        <v>Unlikely</v>
      </c>
      <c r="BG413" s="45"/>
      <c r="BH413" s="45">
        <f>INDEX(Table5[[#All],[Ovr]],MATCH(Table3[[#This Row],[PID]],Table5[[#All],[PID]],0))</f>
        <v>121</v>
      </c>
      <c r="BI413" s="45" t="str">
        <f>INDEX(Table5[[#All],[Rnd]],MATCH(Table3[[#This Row],[PID]],Table5[[#All],[PID]],0))</f>
        <v>4</v>
      </c>
      <c r="BJ413" s="45">
        <f>INDEX(Table5[[#All],[Pick]],MATCH(Table3[[#This Row],[PID]],Table5[[#All],[PID]],0))</f>
        <v>16</v>
      </c>
      <c r="BK413" s="45" t="str">
        <f>INDEX(Table5[[#All],[Team]],MATCH(Table3[[#This Row],[PID]],Table5[[#All],[PID]],0))</f>
        <v>Madison Malts</v>
      </c>
      <c r="BL413" s="45" t="str">
        <f>IF(OR(Table3[[#This Row],[POS]]="SP",Table3[[#This Row],[POS]]="RP",Table3[[#This Row],[POS]]="CL"),"P",INDEX(Batters[[#All],[zScore]],MATCH(Table3[[#This Row],[PID]],Batters[[#All],[PID]],0)))</f>
        <v>P</v>
      </c>
    </row>
    <row r="414" spans="1:64" ht="15" customHeight="1" x14ac:dyDescent="0.3">
      <c r="A414" s="40">
        <v>20635</v>
      </c>
      <c r="B414" s="40" t="s">
        <v>380</v>
      </c>
      <c r="C414" s="40" t="s">
        <v>1281</v>
      </c>
      <c r="D414" s="40" t="s">
        <v>1282</v>
      </c>
      <c r="E414" s="40">
        <v>17</v>
      </c>
      <c r="F414" s="40" t="s">
        <v>53</v>
      </c>
      <c r="G414" s="40" t="s">
        <v>53</v>
      </c>
      <c r="H414" s="41" t="s">
        <v>553</v>
      </c>
      <c r="I414" s="42" t="s">
        <v>43</v>
      </c>
      <c r="J414" s="40" t="s">
        <v>44</v>
      </c>
      <c r="K414" s="41" t="s">
        <v>44</v>
      </c>
      <c r="L414" s="40">
        <v>3</v>
      </c>
      <c r="M414" s="40">
        <v>2</v>
      </c>
      <c r="N414" s="41">
        <v>2</v>
      </c>
      <c r="O414" s="40">
        <v>4</v>
      </c>
      <c r="P414" s="40">
        <v>2</v>
      </c>
      <c r="Q414" s="41">
        <v>5</v>
      </c>
      <c r="R414" s="40">
        <v>4</v>
      </c>
      <c r="S414" s="40">
        <v>5</v>
      </c>
      <c r="T414" s="40" t="s">
        <v>45</v>
      </c>
      <c r="U414" s="40" t="s">
        <v>45</v>
      </c>
      <c r="V414" s="40">
        <v>2</v>
      </c>
      <c r="W414" s="40">
        <v>4</v>
      </c>
      <c r="X414" s="40">
        <v>3</v>
      </c>
      <c r="Y414" s="40">
        <v>5</v>
      </c>
      <c r="Z414" s="40" t="s">
        <v>45</v>
      </c>
      <c r="AA414" s="40" t="s">
        <v>45</v>
      </c>
      <c r="AB414" s="40" t="s">
        <v>45</v>
      </c>
      <c r="AC414" s="40" t="s">
        <v>45</v>
      </c>
      <c r="AD414" s="40" t="s">
        <v>45</v>
      </c>
      <c r="AE414" s="40" t="s">
        <v>45</v>
      </c>
      <c r="AF414" s="40" t="s">
        <v>45</v>
      </c>
      <c r="AG414" s="40" t="s">
        <v>45</v>
      </c>
      <c r="AH414" s="40" t="s">
        <v>45</v>
      </c>
      <c r="AI414" s="40" t="s">
        <v>45</v>
      </c>
      <c r="AJ414" s="40" t="s">
        <v>45</v>
      </c>
      <c r="AK414" s="40" t="s">
        <v>45</v>
      </c>
      <c r="AL414" s="40" t="s">
        <v>45</v>
      </c>
      <c r="AM414" s="40" t="s">
        <v>45</v>
      </c>
      <c r="AN414" s="40" t="s">
        <v>45</v>
      </c>
      <c r="AO414" s="41" t="s">
        <v>45</v>
      </c>
      <c r="AP414" s="40" t="s">
        <v>56</v>
      </c>
      <c r="AQ414" s="40">
        <v>3</v>
      </c>
      <c r="AR414" s="48" t="s">
        <v>326</v>
      </c>
      <c r="AS414" s="43" t="s">
        <v>558</v>
      </c>
      <c r="AT414" s="43" t="s">
        <v>103</v>
      </c>
      <c r="AU414" s="44">
        <f t="shared" si="57"/>
        <v>-1.8743493064650851</v>
      </c>
      <c r="AV414" s="44">
        <f t="shared" si="58"/>
        <v>-0.50720153305650884</v>
      </c>
      <c r="AW414" s="45">
        <f t="shared" si="59"/>
        <v>3</v>
      </c>
      <c r="AX414" s="45">
        <f t="shared" si="60"/>
        <v>0</v>
      </c>
      <c r="AY414" s="46">
        <f>VLOOKUP(AP414,COND!$A$10:$B$32,2,FALSE)</f>
        <v>1</v>
      </c>
      <c r="AZ414" s="44">
        <f>($AU$3*AU414+$AV$3*AV414+$AW$3*AW414+$AX$3*AX414)*AY414*IF(AQ414&lt;5,0.95,IF(AQ414&lt;7,0.975,1))+$I$3*VLOOKUP(I414,COND!$A$2:$E$7,4,FALSE)+$J$3*VLOOKUP(J414,COND!$A$2:$E$7,2,FALSE)+$K$3*VLOOKUP(K414,COND!$A$2:$E$7,3,FALSE)+IF(BB414="SP",$BB$3,0)+IF($AW414&lt;3,-5,0)+IF(AND($B$2&gt;0,$E414&lt;20),$B$2*25,0)</f>
        <v>40.832044503697958</v>
      </c>
      <c r="BA414" s="47">
        <f t="shared" si="64"/>
        <v>0.21571899405595191</v>
      </c>
      <c r="BB414" s="45" t="str">
        <f t="shared" si="61"/>
        <v>RP</v>
      </c>
      <c r="BC414" s="45">
        <v>950</v>
      </c>
      <c r="BD414" s="45">
        <v>409</v>
      </c>
      <c r="BE414" s="45"/>
      <c r="BF414" s="45" t="str">
        <f t="shared" si="62"/>
        <v>Unlikely</v>
      </c>
      <c r="BG414" s="45"/>
      <c r="BH414" s="45">
        <f>INDEX(Table5[[#All],[Ovr]],MATCH(Table3[[#This Row],[PID]],Table5[[#All],[PID]],0))</f>
        <v>355</v>
      </c>
      <c r="BI414" s="45" t="str">
        <f>INDEX(Table5[[#All],[Rnd]],MATCH(Table3[[#This Row],[PID]],Table5[[#All],[PID]],0))</f>
        <v>11</v>
      </c>
      <c r="BJ414" s="45">
        <f>INDEX(Table5[[#All],[Pick]],MATCH(Table3[[#This Row],[PID]],Table5[[#All],[PID]],0))</f>
        <v>24</v>
      </c>
      <c r="BK414" s="45" t="str">
        <f>INDEX(Table5[[#All],[Team]],MATCH(Table3[[#This Row],[PID]],Table5[[#All],[PID]],0))</f>
        <v>Reno Zephyrs</v>
      </c>
      <c r="BL414" s="45" t="str">
        <f>IF(OR(Table3[[#This Row],[POS]]="SP",Table3[[#This Row],[POS]]="RP",Table3[[#This Row],[POS]]="CL"),"P",INDEX(Batters[[#All],[zScore]],MATCH(Table3[[#This Row],[PID]],Batters[[#All],[PID]],0)))</f>
        <v>P</v>
      </c>
    </row>
    <row r="415" spans="1:64" ht="15" customHeight="1" x14ac:dyDescent="0.3">
      <c r="A415" s="40">
        <v>10447</v>
      </c>
      <c r="B415" s="40" t="s">
        <v>380</v>
      </c>
      <c r="C415" s="40" t="s">
        <v>176</v>
      </c>
      <c r="D415" s="40" t="s">
        <v>372</v>
      </c>
      <c r="E415" s="40">
        <v>17</v>
      </c>
      <c r="F415" s="40" t="s">
        <v>62</v>
      </c>
      <c r="G415" s="40" t="s">
        <v>42</v>
      </c>
      <c r="H415" s="41" t="s">
        <v>561</v>
      </c>
      <c r="I415" s="42" t="s">
        <v>43</v>
      </c>
      <c r="J415" s="40" t="s">
        <v>44</v>
      </c>
      <c r="K415" s="41" t="s">
        <v>44</v>
      </c>
      <c r="L415" s="40">
        <v>1</v>
      </c>
      <c r="M415" s="40">
        <v>2</v>
      </c>
      <c r="N415" s="41">
        <v>1</v>
      </c>
      <c r="O415" s="40">
        <v>4</v>
      </c>
      <c r="P415" s="40">
        <v>2</v>
      </c>
      <c r="Q415" s="41">
        <v>4</v>
      </c>
      <c r="R415" s="40">
        <v>2</v>
      </c>
      <c r="S415" s="40">
        <v>3</v>
      </c>
      <c r="T415" s="40">
        <v>3</v>
      </c>
      <c r="U415" s="40">
        <v>8</v>
      </c>
      <c r="V415" s="40">
        <v>1</v>
      </c>
      <c r="W415" s="40">
        <v>5</v>
      </c>
      <c r="X415" s="40" t="s">
        <v>45</v>
      </c>
      <c r="Y415" s="40" t="s">
        <v>45</v>
      </c>
      <c r="Z415" s="40" t="s">
        <v>45</v>
      </c>
      <c r="AA415" s="40" t="s">
        <v>45</v>
      </c>
      <c r="AB415" s="40" t="s">
        <v>45</v>
      </c>
      <c r="AC415" s="40" t="s">
        <v>45</v>
      </c>
      <c r="AD415" s="40" t="s">
        <v>45</v>
      </c>
      <c r="AE415" s="40" t="s">
        <v>45</v>
      </c>
      <c r="AF415" s="40" t="s">
        <v>45</v>
      </c>
      <c r="AG415" s="40" t="s">
        <v>45</v>
      </c>
      <c r="AH415" s="40" t="s">
        <v>45</v>
      </c>
      <c r="AI415" s="40" t="s">
        <v>45</v>
      </c>
      <c r="AJ415" s="40" t="s">
        <v>45</v>
      </c>
      <c r="AK415" s="40" t="s">
        <v>45</v>
      </c>
      <c r="AL415" s="40" t="s">
        <v>45</v>
      </c>
      <c r="AM415" s="40" t="s">
        <v>45</v>
      </c>
      <c r="AN415" s="40" t="s">
        <v>45</v>
      </c>
      <c r="AO415" s="41" t="s">
        <v>45</v>
      </c>
      <c r="AP415" s="40" t="s">
        <v>67</v>
      </c>
      <c r="AQ415" s="40">
        <v>8</v>
      </c>
      <c r="AR415" s="48" t="s">
        <v>326</v>
      </c>
      <c r="AS415" s="43" t="s">
        <v>583</v>
      </c>
      <c r="AT415" s="43" t="s">
        <v>103</v>
      </c>
      <c r="AU415" s="44">
        <f t="shared" si="57"/>
        <v>-2.5060525215375429</v>
      </c>
      <c r="AV415" s="44">
        <f t="shared" si="58"/>
        <v>-0.74952209911061918</v>
      </c>
      <c r="AW415" s="45">
        <f t="shared" si="59"/>
        <v>3</v>
      </c>
      <c r="AX415" s="45">
        <f t="shared" si="60"/>
        <v>1</v>
      </c>
      <c r="AY415" s="46">
        <f>VLOOKUP(AP415,COND!$A$10:$B$32,2,FALSE)</f>
        <v>0.9</v>
      </c>
      <c r="AZ415" s="44">
        <f>($AU$3*AU415+$AV$3*AV415+$AW$3*AW415+$AX$3*AX415)*AY415*IF(AQ415&lt;5,0.95,IF(AQ415&lt;7,0.975,1))+$I$3*VLOOKUP(I415,COND!$A$2:$E$7,4,FALSE)+$J$3*VLOOKUP(J415,COND!$A$2:$E$7,2,FALSE)+$K$3*VLOOKUP(K415,COND!$A$2:$E$7,3,FALSE)+IF(BB415="SP",$BB$3,0)+IF($AW415&lt;3,-5,0)+IF(AND($B$2&gt;0,$E415&lt;20),$B$2*25,0)</f>
        <v>39.932512762132092</v>
      </c>
      <c r="BA415" s="47">
        <f t="shared" si="64"/>
        <v>0.15166600776398634</v>
      </c>
      <c r="BB415" s="45" t="str">
        <f t="shared" si="61"/>
        <v>SP</v>
      </c>
      <c r="BC415" s="45">
        <v>950</v>
      </c>
      <c r="BD415" s="45">
        <v>410</v>
      </c>
      <c r="BE415" s="45"/>
      <c r="BF415" s="45" t="str">
        <f t="shared" si="62"/>
        <v>Unlikely</v>
      </c>
      <c r="BG415" s="45"/>
      <c r="BH415" s="45">
        <f>INDEX(Table5[[#All],[Ovr]],MATCH(Table3[[#This Row],[PID]],Table5[[#All],[PID]],0))</f>
        <v>639</v>
      </c>
      <c r="BI415" s="45" t="str">
        <f>INDEX(Table5[[#All],[Rnd]],MATCH(Table3[[#This Row],[PID]],Table5[[#All],[PID]],0))</f>
        <v>20</v>
      </c>
      <c r="BJ415" s="45">
        <f>INDEX(Table5[[#All],[Pick]],MATCH(Table3[[#This Row],[PID]],Table5[[#All],[PID]],0))</f>
        <v>2</v>
      </c>
      <c r="BK415" s="45" t="str">
        <f>INDEX(Table5[[#All],[Team]],MATCH(Table3[[#This Row],[PID]],Table5[[#All],[PID]],0))</f>
        <v>Charleston Statesmen</v>
      </c>
      <c r="BL415" s="45" t="str">
        <f>IF(OR(Table3[[#This Row],[POS]]="SP",Table3[[#This Row],[POS]]="RP",Table3[[#This Row],[POS]]="CL"),"P",INDEX(Batters[[#All],[zScore]],MATCH(Table3[[#This Row],[PID]],Batters[[#All],[PID]],0)))</f>
        <v>P</v>
      </c>
    </row>
    <row r="416" spans="1:64" ht="15" customHeight="1" x14ac:dyDescent="0.3">
      <c r="A416" s="40">
        <v>15897</v>
      </c>
      <c r="B416" s="40" t="s">
        <v>24</v>
      </c>
      <c r="C416" s="40" t="s">
        <v>945</v>
      </c>
      <c r="D416" s="40" t="s">
        <v>657</v>
      </c>
      <c r="E416" s="40">
        <v>21</v>
      </c>
      <c r="F416" s="40" t="s">
        <v>42</v>
      </c>
      <c r="G416" s="40" t="s">
        <v>42</v>
      </c>
      <c r="H416" s="41" t="s">
        <v>561</v>
      </c>
      <c r="I416" s="42" t="s">
        <v>43</v>
      </c>
      <c r="J416" s="40" t="s">
        <v>44</v>
      </c>
      <c r="K416" s="41" t="s">
        <v>44</v>
      </c>
      <c r="L416" s="40">
        <v>2</v>
      </c>
      <c r="M416" s="40">
        <v>2</v>
      </c>
      <c r="N416" s="41">
        <v>3</v>
      </c>
      <c r="O416" s="40">
        <v>4</v>
      </c>
      <c r="P416" s="40">
        <v>3</v>
      </c>
      <c r="Q416" s="41">
        <v>4</v>
      </c>
      <c r="R416" s="40">
        <v>4</v>
      </c>
      <c r="S416" s="40">
        <v>6</v>
      </c>
      <c r="T416" s="40">
        <v>1</v>
      </c>
      <c r="U416" s="40">
        <v>3</v>
      </c>
      <c r="V416" s="40">
        <v>2</v>
      </c>
      <c r="W416" s="40">
        <v>4</v>
      </c>
      <c r="X416" s="40" t="s">
        <v>45</v>
      </c>
      <c r="Y416" s="40" t="s">
        <v>45</v>
      </c>
      <c r="Z416" s="40" t="s">
        <v>45</v>
      </c>
      <c r="AA416" s="40" t="s">
        <v>45</v>
      </c>
      <c r="AB416" s="40">
        <v>3</v>
      </c>
      <c r="AC416" s="40">
        <v>5</v>
      </c>
      <c r="AD416" s="40" t="s">
        <v>45</v>
      </c>
      <c r="AE416" s="40" t="s">
        <v>45</v>
      </c>
      <c r="AF416" s="40">
        <v>3</v>
      </c>
      <c r="AG416" s="40">
        <v>4</v>
      </c>
      <c r="AH416" s="40">
        <v>2</v>
      </c>
      <c r="AI416" s="40">
        <v>4</v>
      </c>
      <c r="AJ416" s="40" t="s">
        <v>45</v>
      </c>
      <c r="AK416" s="40" t="s">
        <v>45</v>
      </c>
      <c r="AL416" s="40" t="s">
        <v>45</v>
      </c>
      <c r="AM416" s="40" t="s">
        <v>45</v>
      </c>
      <c r="AN416" s="40" t="s">
        <v>45</v>
      </c>
      <c r="AO416" s="41" t="s">
        <v>45</v>
      </c>
      <c r="AP416" s="40" t="s">
        <v>57</v>
      </c>
      <c r="AQ416" s="40">
        <v>7</v>
      </c>
      <c r="AR416" s="48" t="s">
        <v>326</v>
      </c>
      <c r="AS416" s="43" t="s">
        <v>45</v>
      </c>
      <c r="AT416" s="43" t="s">
        <v>103</v>
      </c>
      <c r="AU416" s="44">
        <f t="shared" si="57"/>
        <v>-1.8267200649201485</v>
      </c>
      <c r="AV416" s="44">
        <f t="shared" si="58"/>
        <v>-0.55409038268056388</v>
      </c>
      <c r="AW416" s="45">
        <f t="shared" si="59"/>
        <v>6</v>
      </c>
      <c r="AX416" s="45">
        <f t="shared" si="60"/>
        <v>1</v>
      </c>
      <c r="AY416" s="46">
        <f>VLOOKUP(AP416,COND!$A$10:$B$32,2,FALSE)</f>
        <v>1</v>
      </c>
      <c r="AZ416" s="44">
        <f>($AU$3*AU416+$AV$3*AV416+$AW$3*AW416+$AX$3*AX416)*AY416*IF(AQ416&lt;5,0.95,IF(AQ416&lt;7,0.975,1))+$I$3*VLOOKUP(I416,COND!$A$2:$E$7,4,FALSE)+$J$3*VLOOKUP(J416,COND!$A$2:$E$7,2,FALSE)+$K$3*VLOOKUP(K416,COND!$A$2:$E$7,3,FALSE)+IF(BB416="SP",$BB$3,0)+IF($AW416&lt;3,-5,0)+IF(AND($B$2&gt;0,$E416&lt;20),$B$2*25,0)</f>
        <v>39.202848333404688</v>
      </c>
      <c r="BA416" s="47">
        <f t="shared" si="64"/>
        <v>9.9708768801353223E-2</v>
      </c>
      <c r="BB416" s="45" t="str">
        <f t="shared" si="61"/>
        <v>SP</v>
      </c>
      <c r="BC416" s="45">
        <v>950</v>
      </c>
      <c r="BD416" s="45">
        <v>411</v>
      </c>
      <c r="BE416" s="45"/>
      <c r="BF416" s="45" t="str">
        <f t="shared" si="62"/>
        <v>Unlikely</v>
      </c>
      <c r="BG416" s="45"/>
      <c r="BH416" s="45">
        <f>INDEX(Table5[[#All],[Ovr]],MATCH(Table3[[#This Row],[PID]],Table5[[#All],[PID]],0))</f>
        <v>311</v>
      </c>
      <c r="BI416" s="45" t="str">
        <f>INDEX(Table5[[#All],[Rnd]],MATCH(Table3[[#This Row],[PID]],Table5[[#All],[PID]],0))</f>
        <v>10</v>
      </c>
      <c r="BJ416" s="45">
        <f>INDEX(Table5[[#All],[Pick]],MATCH(Table3[[#This Row],[PID]],Table5[[#All],[PID]],0))</f>
        <v>14</v>
      </c>
      <c r="BK416" s="45" t="str">
        <f>INDEX(Table5[[#All],[Team]],MATCH(Table3[[#This Row],[PID]],Table5[[#All],[PID]],0))</f>
        <v>San Antonio Calzones of Laredo</v>
      </c>
      <c r="BL416" s="45" t="str">
        <f>IF(OR(Table3[[#This Row],[POS]]="SP",Table3[[#This Row],[POS]]="RP",Table3[[#This Row],[POS]]="CL"),"P",INDEX(Batters[[#All],[zScore]],MATCH(Table3[[#This Row],[PID]],Batters[[#All],[PID]],0)))</f>
        <v>P</v>
      </c>
    </row>
    <row r="417" spans="1:64" ht="15" customHeight="1" x14ac:dyDescent="0.3">
      <c r="A417" s="40">
        <v>20853</v>
      </c>
      <c r="B417" s="40" t="s">
        <v>380</v>
      </c>
      <c r="C417" s="40" t="s">
        <v>171</v>
      </c>
      <c r="D417" s="40" t="s">
        <v>1586</v>
      </c>
      <c r="E417" s="40">
        <v>17</v>
      </c>
      <c r="F417" s="40" t="s">
        <v>42</v>
      </c>
      <c r="G417" s="40" t="s">
        <v>53</v>
      </c>
      <c r="H417" s="41" t="s">
        <v>553</v>
      </c>
      <c r="I417" s="42" t="s">
        <v>43</v>
      </c>
      <c r="J417" s="40" t="s">
        <v>44</v>
      </c>
      <c r="K417" s="41" t="s">
        <v>44</v>
      </c>
      <c r="L417" s="40">
        <v>2</v>
      </c>
      <c r="M417" s="40">
        <v>1</v>
      </c>
      <c r="N417" s="41">
        <v>1</v>
      </c>
      <c r="O417" s="40">
        <v>5</v>
      </c>
      <c r="P417" s="40">
        <v>1</v>
      </c>
      <c r="Q417" s="41">
        <v>4</v>
      </c>
      <c r="R417" s="40">
        <v>3</v>
      </c>
      <c r="S417" s="40">
        <v>6</v>
      </c>
      <c r="T417" s="40">
        <v>1</v>
      </c>
      <c r="U417" s="40">
        <v>2</v>
      </c>
      <c r="V417" s="40" t="s">
        <v>45</v>
      </c>
      <c r="W417" s="40" t="s">
        <v>45</v>
      </c>
      <c r="X417" s="40" t="s">
        <v>45</v>
      </c>
      <c r="Y417" s="40" t="s">
        <v>45</v>
      </c>
      <c r="Z417" s="40">
        <v>3</v>
      </c>
      <c r="AA417" s="40">
        <v>5</v>
      </c>
      <c r="AB417" s="40" t="s">
        <v>45</v>
      </c>
      <c r="AC417" s="40" t="s">
        <v>45</v>
      </c>
      <c r="AD417" s="40" t="s">
        <v>45</v>
      </c>
      <c r="AE417" s="40" t="s">
        <v>45</v>
      </c>
      <c r="AF417" s="40" t="s">
        <v>45</v>
      </c>
      <c r="AG417" s="40" t="s">
        <v>45</v>
      </c>
      <c r="AH417" s="40" t="s">
        <v>45</v>
      </c>
      <c r="AI417" s="40" t="s">
        <v>45</v>
      </c>
      <c r="AJ417" s="40" t="s">
        <v>45</v>
      </c>
      <c r="AK417" s="40" t="s">
        <v>45</v>
      </c>
      <c r="AL417" s="40" t="s">
        <v>45</v>
      </c>
      <c r="AM417" s="40" t="s">
        <v>45</v>
      </c>
      <c r="AN417" s="40" t="s">
        <v>45</v>
      </c>
      <c r="AO417" s="41" t="s">
        <v>45</v>
      </c>
      <c r="AP417" s="40" t="s">
        <v>328</v>
      </c>
      <c r="AQ417" s="40">
        <v>8</v>
      </c>
      <c r="AR417" s="48" t="s">
        <v>326</v>
      </c>
      <c r="AS417" s="43" t="s">
        <v>583</v>
      </c>
      <c r="AT417" s="43" t="s">
        <v>103</v>
      </c>
      <c r="AU417" s="44">
        <f t="shared" si="57"/>
        <v>-2.5067929134584248</v>
      </c>
      <c r="AV417" s="44">
        <f t="shared" si="58"/>
        <v>-0.75026249103150122</v>
      </c>
      <c r="AW417" s="45">
        <f t="shared" si="59"/>
        <v>3</v>
      </c>
      <c r="AX417" s="45">
        <f t="shared" si="60"/>
        <v>1</v>
      </c>
      <c r="AY417" s="46">
        <f>VLOOKUP(AP417,COND!$A$10:$B$32,2,FALSE)</f>
        <v>1</v>
      </c>
      <c r="AZ417" s="44">
        <f>($AU$3*AU417+$AV$3*AV417+$AW$3*AW417+$AX$3*AX417)*AY417*IF(AQ417&lt;5,0.95,IF(AQ417&lt;7,0.975,1))+$I$3*VLOOKUP(I417,COND!$A$2:$E$7,4,FALSE)+$J$3*VLOOKUP(J417,COND!$A$2:$E$7,2,FALSE)+$K$3*VLOOKUP(K417,COND!$A$2:$E$7,3,FALSE)+IF(BB417="SP",$BB$3,0)+IF($AW417&lt;3,-5,0)+IF(AND($B$2&gt;0,$E417&lt;20),$B$2*25,0)</f>
        <v>38.643391596678285</v>
      </c>
      <c r="BA417" s="47">
        <f t="shared" si="64"/>
        <v>5.9871514558268613E-2</v>
      </c>
      <c r="BB417" s="45" t="str">
        <f t="shared" si="61"/>
        <v>SP</v>
      </c>
      <c r="BC417" s="45">
        <v>950</v>
      </c>
      <c r="BD417" s="45">
        <v>412</v>
      </c>
      <c r="BE417" s="45"/>
      <c r="BF417" s="45" t="str">
        <f t="shared" si="62"/>
        <v>Unlikely</v>
      </c>
      <c r="BG417" s="45"/>
      <c r="BH417" s="45">
        <f>INDEX(Table5[[#All],[Ovr]],MATCH(Table3[[#This Row],[PID]],Table5[[#All],[PID]],0))</f>
        <v>245</v>
      </c>
      <c r="BI417" s="45" t="str">
        <f>INDEX(Table5[[#All],[Rnd]],MATCH(Table3[[#This Row],[PID]],Table5[[#All],[PID]],0))</f>
        <v>8</v>
      </c>
      <c r="BJ417" s="45">
        <f>INDEX(Table5[[#All],[Pick]],MATCH(Table3[[#This Row],[PID]],Table5[[#All],[PID]],0))</f>
        <v>12</v>
      </c>
      <c r="BK417" s="45" t="str">
        <f>INDEX(Table5[[#All],[Team]],MATCH(Table3[[#This Row],[PID]],Table5[[#All],[PID]],0))</f>
        <v>Manchester Maulers</v>
      </c>
      <c r="BL417" s="45" t="str">
        <f>IF(OR(Table3[[#This Row],[POS]]="SP",Table3[[#This Row],[POS]]="RP",Table3[[#This Row],[POS]]="CL"),"P",INDEX(Batters[[#All],[zScore]],MATCH(Table3[[#This Row],[PID]],Batters[[#All],[PID]],0)))</f>
        <v>P</v>
      </c>
    </row>
    <row r="418" spans="1:64" ht="15" customHeight="1" x14ac:dyDescent="0.3">
      <c r="A418" s="40">
        <v>20430</v>
      </c>
      <c r="B418" s="40" t="s">
        <v>380</v>
      </c>
      <c r="C418" s="40" t="s">
        <v>1553</v>
      </c>
      <c r="D418" s="40" t="s">
        <v>1554</v>
      </c>
      <c r="E418" s="40">
        <v>17</v>
      </c>
      <c r="F418" s="40" t="s">
        <v>42</v>
      </c>
      <c r="G418" s="40" t="s">
        <v>42</v>
      </c>
      <c r="H418" s="41" t="s">
        <v>561</v>
      </c>
      <c r="I418" s="42" t="s">
        <v>44</v>
      </c>
      <c r="J418" s="40" t="s">
        <v>44</v>
      </c>
      <c r="K418" s="41" t="s">
        <v>44</v>
      </c>
      <c r="L418" s="40">
        <v>2</v>
      </c>
      <c r="M418" s="40">
        <v>2</v>
      </c>
      <c r="N418" s="41">
        <v>2</v>
      </c>
      <c r="O418" s="40">
        <v>4</v>
      </c>
      <c r="P418" s="40">
        <v>3</v>
      </c>
      <c r="Q418" s="41">
        <v>3</v>
      </c>
      <c r="R418" s="40">
        <v>3</v>
      </c>
      <c r="S418" s="40">
        <v>5</v>
      </c>
      <c r="T418" s="40">
        <v>1</v>
      </c>
      <c r="U418" s="40">
        <v>2</v>
      </c>
      <c r="V418" s="40" t="s">
        <v>45</v>
      </c>
      <c r="W418" s="40" t="s">
        <v>45</v>
      </c>
      <c r="X418" s="40">
        <v>3</v>
      </c>
      <c r="Y418" s="40">
        <v>5</v>
      </c>
      <c r="Z418" s="40" t="s">
        <v>45</v>
      </c>
      <c r="AA418" s="40" t="s">
        <v>45</v>
      </c>
      <c r="AB418" s="40" t="s">
        <v>45</v>
      </c>
      <c r="AC418" s="40" t="s">
        <v>45</v>
      </c>
      <c r="AD418" s="40" t="s">
        <v>45</v>
      </c>
      <c r="AE418" s="40" t="s">
        <v>45</v>
      </c>
      <c r="AF418" s="40" t="s">
        <v>45</v>
      </c>
      <c r="AG418" s="40" t="s">
        <v>45</v>
      </c>
      <c r="AH418" s="40" t="s">
        <v>45</v>
      </c>
      <c r="AI418" s="40" t="s">
        <v>45</v>
      </c>
      <c r="AJ418" s="40" t="s">
        <v>45</v>
      </c>
      <c r="AK418" s="40" t="s">
        <v>45</v>
      </c>
      <c r="AL418" s="40" t="s">
        <v>45</v>
      </c>
      <c r="AM418" s="40" t="s">
        <v>45</v>
      </c>
      <c r="AN418" s="40" t="s">
        <v>45</v>
      </c>
      <c r="AO418" s="41" t="s">
        <v>45</v>
      </c>
      <c r="AP418" s="40" t="s">
        <v>328</v>
      </c>
      <c r="AQ418" s="40">
        <v>2</v>
      </c>
      <c r="AR418" s="48" t="s">
        <v>326</v>
      </c>
      <c r="AS418" s="43" t="s">
        <v>576</v>
      </c>
      <c r="AT418" s="43" t="s">
        <v>103</v>
      </c>
      <c r="AU418" s="44">
        <f t="shared" si="57"/>
        <v>-2.0690406309742588</v>
      </c>
      <c r="AV418" s="44">
        <f t="shared" si="58"/>
        <v>-0.79641094873467422</v>
      </c>
      <c r="AW418" s="45">
        <f t="shared" si="59"/>
        <v>3</v>
      </c>
      <c r="AX418" s="45">
        <f t="shared" si="60"/>
        <v>0</v>
      </c>
      <c r="AY418" s="46">
        <f>VLOOKUP(AP418,COND!$A$10:$B$32,2,FALSE)</f>
        <v>1</v>
      </c>
      <c r="AZ418" s="44">
        <f>($AU$3*AU418+$AV$3*AV418+$AW$3*AW418+$AX$3*AX418)*AY418*IF(AQ418&lt;5,0.95,IF(AQ418&lt;7,0.975,1))+$I$3*VLOOKUP(I418,COND!$A$2:$E$7,4,FALSE)+$J$3*VLOOKUP(J418,COND!$A$2:$E$7,2,FALSE)+$K$3*VLOOKUP(K418,COND!$A$2:$E$7,3,FALSE)+IF(BB418="SP",$BB$3,0)+IF($AW418&lt;3,-5,0)+IF(AND($B$2&gt;0,$E418&lt;20),$B$2*25,0)</f>
        <v>35.150074254156081</v>
      </c>
      <c r="BA418" s="47">
        <f t="shared" si="64"/>
        <v>-0.18887724828644545</v>
      </c>
      <c r="BB418" s="45" t="str">
        <f t="shared" si="61"/>
        <v>RP</v>
      </c>
      <c r="BC418" s="45">
        <v>950</v>
      </c>
      <c r="BD418" s="45">
        <v>413</v>
      </c>
      <c r="BE418" s="45"/>
      <c r="BF418" s="45" t="str">
        <f t="shared" si="62"/>
        <v>Unlikely</v>
      </c>
      <c r="BG418" s="45"/>
      <c r="BH418" s="45" t="str">
        <f>INDEX(Table5[[#All],[Ovr]],MATCH(Table3[[#This Row],[PID]],Table5[[#All],[PID]],0))</f>
        <v/>
      </c>
      <c r="BI418" s="45" t="str">
        <f>INDEX(Table5[[#All],[Rnd]],MATCH(Table3[[#This Row],[PID]],Table5[[#All],[PID]],0))</f>
        <v/>
      </c>
      <c r="BJ418" s="45" t="str">
        <f>INDEX(Table5[[#All],[Pick]],MATCH(Table3[[#This Row],[PID]],Table5[[#All],[PID]],0))</f>
        <v/>
      </c>
      <c r="BK418" s="45" t="str">
        <f>INDEX(Table5[[#All],[Team]],MATCH(Table3[[#This Row],[PID]],Table5[[#All],[PID]],0))</f>
        <v/>
      </c>
      <c r="BL418" s="45" t="str">
        <f>IF(OR(Table3[[#This Row],[POS]]="SP",Table3[[#This Row],[POS]]="RP",Table3[[#This Row],[POS]]="CL"),"P",INDEX(Batters[[#All],[zScore]],MATCH(Table3[[#This Row],[PID]],Batters[[#All],[PID]],0)))</f>
        <v>P</v>
      </c>
    </row>
    <row r="419" spans="1:64" ht="15" customHeight="1" x14ac:dyDescent="0.3">
      <c r="A419" s="40">
        <v>9270</v>
      </c>
      <c r="B419" s="40" t="s">
        <v>380</v>
      </c>
      <c r="C419" s="40" t="s">
        <v>354</v>
      </c>
      <c r="D419" s="40" t="s">
        <v>1349</v>
      </c>
      <c r="E419" s="40">
        <v>18</v>
      </c>
      <c r="F419" s="40" t="s">
        <v>53</v>
      </c>
      <c r="G419" s="40" t="s">
        <v>53</v>
      </c>
      <c r="H419" s="41" t="s">
        <v>561</v>
      </c>
      <c r="I419" s="42" t="s">
        <v>43</v>
      </c>
      <c r="J419" s="40" t="s">
        <v>44</v>
      </c>
      <c r="K419" s="41" t="s">
        <v>44</v>
      </c>
      <c r="L419" s="40">
        <v>2</v>
      </c>
      <c r="M419" s="40">
        <v>1</v>
      </c>
      <c r="N419" s="41">
        <v>1</v>
      </c>
      <c r="O419" s="40">
        <v>5</v>
      </c>
      <c r="P419" s="40">
        <v>1</v>
      </c>
      <c r="Q419" s="41">
        <v>3</v>
      </c>
      <c r="R419" s="40">
        <v>4</v>
      </c>
      <c r="S419" s="40">
        <v>6</v>
      </c>
      <c r="T419" s="40">
        <v>1</v>
      </c>
      <c r="U419" s="40">
        <v>1</v>
      </c>
      <c r="V419" s="40" t="s">
        <v>45</v>
      </c>
      <c r="W419" s="40" t="s">
        <v>45</v>
      </c>
      <c r="X419" s="40">
        <v>2</v>
      </c>
      <c r="Y419" s="40">
        <v>7</v>
      </c>
      <c r="Z419" s="40" t="s">
        <v>45</v>
      </c>
      <c r="AA419" s="40" t="s">
        <v>45</v>
      </c>
      <c r="AB419" s="40" t="s">
        <v>45</v>
      </c>
      <c r="AC419" s="40" t="s">
        <v>45</v>
      </c>
      <c r="AD419" s="40" t="s">
        <v>45</v>
      </c>
      <c r="AE419" s="40" t="s">
        <v>45</v>
      </c>
      <c r="AF419" s="40" t="s">
        <v>45</v>
      </c>
      <c r="AG419" s="40" t="s">
        <v>45</v>
      </c>
      <c r="AH419" s="40" t="s">
        <v>45</v>
      </c>
      <c r="AI419" s="40" t="s">
        <v>45</v>
      </c>
      <c r="AJ419" s="40" t="s">
        <v>45</v>
      </c>
      <c r="AK419" s="40" t="s">
        <v>45</v>
      </c>
      <c r="AL419" s="40" t="s">
        <v>45</v>
      </c>
      <c r="AM419" s="40" t="s">
        <v>45</v>
      </c>
      <c r="AN419" s="40" t="s">
        <v>45</v>
      </c>
      <c r="AO419" s="41" t="s">
        <v>45</v>
      </c>
      <c r="AP419" s="40" t="s">
        <v>57</v>
      </c>
      <c r="AQ419" s="40">
        <v>7</v>
      </c>
      <c r="AR419" s="48" t="s">
        <v>14</v>
      </c>
      <c r="AS419" s="43" t="s">
        <v>568</v>
      </c>
      <c r="AT419" s="43" t="s">
        <v>103</v>
      </c>
      <c r="AU419" s="44">
        <f t="shared" si="57"/>
        <v>-2.5067929134584248</v>
      </c>
      <c r="AV419" s="44">
        <f t="shared" si="58"/>
        <v>-0.99258305708561179</v>
      </c>
      <c r="AW419" s="45">
        <f t="shared" si="59"/>
        <v>3</v>
      </c>
      <c r="AX419" s="45">
        <f t="shared" si="60"/>
        <v>2</v>
      </c>
      <c r="AY419" s="46">
        <f>VLOOKUP(AP419,COND!$A$10:$B$32,2,FALSE)</f>
        <v>1</v>
      </c>
      <c r="AZ419" s="44">
        <f>($AU$3*AU419+$AV$3*AV419+$AW$3*AW419+$AX$3*AX419)*AY419*IF(AQ419&lt;5,0.95,IF(AQ419&lt;7,0.975,1))+$I$3*VLOOKUP(I419,COND!$A$2:$E$7,4,FALSE)+$J$3*VLOOKUP(J419,COND!$A$2:$E$7,2,FALSE)+$K$3*VLOOKUP(K419,COND!$A$2:$E$7,3,FALSE)+IF(BB419="SP",$BB$3,0)+IF($AW419&lt;3,-5,0)+IF(AND($B$2&gt;0,$E419&lt;20),$B$2*25,0)</f>
        <v>35.046980275596077</v>
      </c>
      <c r="BA419" s="47">
        <f t="shared" si="64"/>
        <v>-0.19621826460677347</v>
      </c>
      <c r="BB419" s="45" t="str">
        <f t="shared" si="61"/>
        <v>SP</v>
      </c>
      <c r="BC419" s="45">
        <v>950</v>
      </c>
      <c r="BD419" s="45">
        <v>414</v>
      </c>
      <c r="BE419" s="45"/>
      <c r="BF419" s="45" t="str">
        <f t="shared" si="62"/>
        <v>Unlikely</v>
      </c>
      <c r="BG419" s="45"/>
      <c r="BH419" s="45">
        <f>INDEX(Table5[[#All],[Ovr]],MATCH(Table3[[#This Row],[PID]],Table5[[#All],[PID]],0))</f>
        <v>505</v>
      </c>
      <c r="BI419" s="45" t="str">
        <f>INDEX(Table5[[#All],[Rnd]],MATCH(Table3[[#This Row],[PID]],Table5[[#All],[PID]],0))</f>
        <v>16</v>
      </c>
      <c r="BJ419" s="45">
        <f>INDEX(Table5[[#All],[Pick]],MATCH(Table3[[#This Row],[PID]],Table5[[#All],[PID]],0))</f>
        <v>4</v>
      </c>
      <c r="BK419" s="45" t="str">
        <f>INDEX(Table5[[#All],[Team]],MATCH(Table3[[#This Row],[PID]],Table5[[#All],[PID]],0))</f>
        <v>Palm Springs Codgers</v>
      </c>
      <c r="BL419" s="45" t="str">
        <f>IF(OR(Table3[[#This Row],[POS]]="SP",Table3[[#This Row],[POS]]="RP",Table3[[#This Row],[POS]]="CL"),"P",INDEX(Batters[[#All],[zScore]],MATCH(Table3[[#This Row],[PID]],Batters[[#All],[PID]],0)))</f>
        <v>P</v>
      </c>
    </row>
    <row r="420" spans="1:64" ht="15" customHeight="1" x14ac:dyDescent="0.3">
      <c r="A420" s="40">
        <v>9877</v>
      </c>
      <c r="B420" s="40" t="s">
        <v>380</v>
      </c>
      <c r="C420" s="40" t="s">
        <v>1454</v>
      </c>
      <c r="D420" s="40" t="s">
        <v>1455</v>
      </c>
      <c r="E420" s="40">
        <v>21</v>
      </c>
      <c r="F420" s="40" t="s">
        <v>53</v>
      </c>
      <c r="G420" s="40" t="s">
        <v>53</v>
      </c>
      <c r="H420" s="41" t="s">
        <v>561</v>
      </c>
      <c r="I420" s="42" t="s">
        <v>43</v>
      </c>
      <c r="J420" s="40" t="s">
        <v>44</v>
      </c>
      <c r="K420" s="41" t="s">
        <v>44</v>
      </c>
      <c r="L420" s="40">
        <v>3</v>
      </c>
      <c r="M420" s="40">
        <v>2</v>
      </c>
      <c r="N420" s="41">
        <v>2</v>
      </c>
      <c r="O420" s="40">
        <v>5</v>
      </c>
      <c r="P420" s="40">
        <v>2</v>
      </c>
      <c r="Q420" s="41">
        <v>3</v>
      </c>
      <c r="R420" s="40">
        <v>4</v>
      </c>
      <c r="S420" s="40">
        <v>5</v>
      </c>
      <c r="T420" s="40">
        <v>2</v>
      </c>
      <c r="U420" s="40">
        <v>5</v>
      </c>
      <c r="V420" s="40" t="s">
        <v>45</v>
      </c>
      <c r="W420" s="40" t="s">
        <v>45</v>
      </c>
      <c r="X420" s="40">
        <v>3</v>
      </c>
      <c r="Y420" s="40">
        <v>7</v>
      </c>
      <c r="Z420" s="40" t="s">
        <v>45</v>
      </c>
      <c r="AA420" s="40" t="s">
        <v>45</v>
      </c>
      <c r="AB420" s="40" t="s">
        <v>45</v>
      </c>
      <c r="AC420" s="40" t="s">
        <v>45</v>
      </c>
      <c r="AD420" s="40" t="s">
        <v>45</v>
      </c>
      <c r="AE420" s="40" t="s">
        <v>45</v>
      </c>
      <c r="AF420" s="40" t="s">
        <v>45</v>
      </c>
      <c r="AG420" s="40" t="s">
        <v>45</v>
      </c>
      <c r="AH420" s="40" t="s">
        <v>45</v>
      </c>
      <c r="AI420" s="40" t="s">
        <v>45</v>
      </c>
      <c r="AJ420" s="40" t="s">
        <v>45</v>
      </c>
      <c r="AK420" s="40" t="s">
        <v>45</v>
      </c>
      <c r="AL420" s="40" t="s">
        <v>45</v>
      </c>
      <c r="AM420" s="40" t="s">
        <v>45</v>
      </c>
      <c r="AN420" s="40" t="s">
        <v>45</v>
      </c>
      <c r="AO420" s="41" t="s">
        <v>45</v>
      </c>
      <c r="AP420" s="40" t="s">
        <v>57</v>
      </c>
      <c r="AQ420" s="40">
        <v>9</v>
      </c>
      <c r="AR420" s="48" t="s">
        <v>14</v>
      </c>
      <c r="AS420" s="43" t="s">
        <v>45</v>
      </c>
      <c r="AT420" s="43" t="s">
        <v>103</v>
      </c>
      <c r="AU420" s="44">
        <f t="shared" si="57"/>
        <v>-1.8743493064650851</v>
      </c>
      <c r="AV420" s="44">
        <f t="shared" si="58"/>
        <v>-0.79715134065555615</v>
      </c>
      <c r="AW420" s="45">
        <f t="shared" si="59"/>
        <v>3</v>
      </c>
      <c r="AX420" s="45">
        <f t="shared" si="60"/>
        <v>1</v>
      </c>
      <c r="AY420" s="46">
        <f>VLOOKUP(AP420,COND!$A$10:$B$32,2,FALSE)</f>
        <v>1</v>
      </c>
      <c r="AZ420" s="44">
        <f>($AU$3*AU420+$AV$3*AV420+$AW$3*AW420+$AX$3*AX420)*AY420*IF(AQ420&lt;5,0.95,IF(AQ420&lt;7,0.975,1))+$I$3*VLOOKUP(I420,COND!$A$2:$E$7,4,FALSE)+$J$3*VLOOKUP(J420,COND!$A$2:$E$7,2,FALSE)+$K$3*VLOOKUP(K420,COND!$A$2:$E$7,3,FALSE)+IF(BB420="SP",$BB$3,0)+IF($AW420&lt;3,-5,0)+IF(AND($B$2&gt;0,$E420&lt;20),$B$2*25,0)</f>
        <v>32.83210332559586</v>
      </c>
      <c r="BA420" s="47">
        <f t="shared" si="64"/>
        <v>-0.35393308039503474</v>
      </c>
      <c r="BB420" s="45" t="str">
        <f t="shared" si="61"/>
        <v>SP</v>
      </c>
      <c r="BC420" s="45">
        <v>950</v>
      </c>
      <c r="BD420" s="45">
        <v>415</v>
      </c>
      <c r="BE420" s="45"/>
      <c r="BF420" s="45" t="str">
        <f t="shared" si="62"/>
        <v>Unlikely</v>
      </c>
      <c r="BG420" s="45"/>
      <c r="BH420" s="45">
        <f>INDEX(Table5[[#All],[Ovr]],MATCH(Table3[[#This Row],[PID]],Table5[[#All],[PID]],0))</f>
        <v>456</v>
      </c>
      <c r="BI420" s="45" t="str">
        <f>INDEX(Table5[[#All],[Rnd]],MATCH(Table3[[#This Row],[PID]],Table5[[#All],[PID]],0))</f>
        <v>14</v>
      </c>
      <c r="BJ420" s="45">
        <f>INDEX(Table5[[#All],[Pick]],MATCH(Table3[[#This Row],[PID]],Table5[[#All],[PID]],0))</f>
        <v>23</v>
      </c>
      <c r="BK420" s="45" t="str">
        <f>INDEX(Table5[[#All],[Team]],MATCH(Table3[[#This Row],[PID]],Table5[[#All],[PID]],0))</f>
        <v>Kentucky Thoroughbreds</v>
      </c>
      <c r="BL420" s="45" t="str">
        <f>IF(OR(Table3[[#This Row],[POS]]="SP",Table3[[#This Row],[POS]]="RP",Table3[[#This Row],[POS]]="CL"),"P",INDEX(Batters[[#All],[zScore]],MATCH(Table3[[#This Row],[PID]],Batters[[#All],[PID]],0)))</f>
        <v>P</v>
      </c>
    </row>
    <row r="421" spans="1:64" ht="15" customHeight="1" x14ac:dyDescent="0.3">
      <c r="A421" s="40">
        <v>11691</v>
      </c>
      <c r="B421" s="40" t="s">
        <v>24</v>
      </c>
      <c r="C421" s="40" t="s">
        <v>1378</v>
      </c>
      <c r="D421" s="40" t="s">
        <v>1379</v>
      </c>
      <c r="E421" s="40">
        <v>21</v>
      </c>
      <c r="F421" s="40" t="s">
        <v>42</v>
      </c>
      <c r="G421" s="40" t="s">
        <v>42</v>
      </c>
      <c r="H421" s="41" t="s">
        <v>561</v>
      </c>
      <c r="I421" s="42" t="s">
        <v>44</v>
      </c>
      <c r="J421" s="40" t="s">
        <v>44</v>
      </c>
      <c r="K421" s="41" t="s">
        <v>44</v>
      </c>
      <c r="L421" s="40">
        <v>2</v>
      </c>
      <c r="M421" s="40">
        <v>3</v>
      </c>
      <c r="N421" s="41">
        <v>3</v>
      </c>
      <c r="O421" s="40">
        <v>3</v>
      </c>
      <c r="P421" s="40">
        <v>3</v>
      </c>
      <c r="Q421" s="41">
        <v>4</v>
      </c>
      <c r="R421" s="40" t="s">
        <v>45</v>
      </c>
      <c r="S421" s="40" t="s">
        <v>45</v>
      </c>
      <c r="T421" s="40" t="s">
        <v>45</v>
      </c>
      <c r="U421" s="40" t="s">
        <v>45</v>
      </c>
      <c r="V421" s="40" t="s">
        <v>45</v>
      </c>
      <c r="W421" s="40" t="s">
        <v>45</v>
      </c>
      <c r="X421" s="40">
        <v>3</v>
      </c>
      <c r="Y421" s="40">
        <v>5</v>
      </c>
      <c r="Z421" s="40">
        <v>3</v>
      </c>
      <c r="AA421" s="40">
        <v>4</v>
      </c>
      <c r="AB421" s="40" t="s">
        <v>45</v>
      </c>
      <c r="AC421" s="40" t="s">
        <v>45</v>
      </c>
      <c r="AD421" s="40">
        <v>3</v>
      </c>
      <c r="AE421" s="40">
        <v>4</v>
      </c>
      <c r="AF421" s="40" t="s">
        <v>45</v>
      </c>
      <c r="AG421" s="40" t="s">
        <v>45</v>
      </c>
      <c r="AH421" s="40" t="s">
        <v>45</v>
      </c>
      <c r="AI421" s="40" t="s">
        <v>45</v>
      </c>
      <c r="AJ421" s="40" t="s">
        <v>45</v>
      </c>
      <c r="AK421" s="40" t="s">
        <v>45</v>
      </c>
      <c r="AL421" s="40" t="s">
        <v>45</v>
      </c>
      <c r="AM421" s="40" t="s">
        <v>45</v>
      </c>
      <c r="AN421" s="40" t="s">
        <v>45</v>
      </c>
      <c r="AO421" s="41" t="s">
        <v>45</v>
      </c>
      <c r="AP421" s="40" t="s">
        <v>64</v>
      </c>
      <c r="AQ421" s="40">
        <v>9</v>
      </c>
      <c r="AR421" s="48" t="s">
        <v>325</v>
      </c>
      <c r="AS421" s="43" t="s">
        <v>557</v>
      </c>
      <c r="AT421" s="43" t="s">
        <v>103</v>
      </c>
      <c r="AU421" s="44">
        <f t="shared" si="57"/>
        <v>-1.6312883484900931</v>
      </c>
      <c r="AV421" s="44">
        <f t="shared" si="58"/>
        <v>-0.74878170718973724</v>
      </c>
      <c r="AW421" s="45">
        <f t="shared" si="59"/>
        <v>3</v>
      </c>
      <c r="AX421" s="45">
        <f t="shared" si="60"/>
        <v>0</v>
      </c>
      <c r="AY421" s="46">
        <f>VLOOKUP(AP421,COND!$A$10:$B$32,2,FALSE)</f>
        <v>1</v>
      </c>
      <c r="AZ421" s="44">
        <f>($AU$3*AU421+$AV$3*AV421+$AW$3*AW421+$AX$3*AX421)*AY421*IF(AQ421&lt;5,0.95,IF(AQ421&lt;7,0.975,1))+$I$3*VLOOKUP(I421,COND!$A$2:$E$7,4,FALSE)+$J$3*VLOOKUP(J421,COND!$A$2:$E$7,2,FALSE)+$K$3*VLOOKUP(K421,COND!$A$2:$E$7,3,FALSE)+IF(BB421="SP",$BB$3,0)+IF($AW421&lt;3,-5,0)+IF(AND($B$2&gt;0,$E421&lt;20),$B$2*25,0)</f>
        <v>32.448108186507234</v>
      </c>
      <c r="BA421" s="47">
        <f t="shared" si="64"/>
        <v>-0.38127623488718132</v>
      </c>
      <c r="BB421" s="45" t="str">
        <f t="shared" si="61"/>
        <v>SP</v>
      </c>
      <c r="BC421" s="45">
        <v>950</v>
      </c>
      <c r="BD421" s="45">
        <v>416</v>
      </c>
      <c r="BE421" s="45"/>
      <c r="BF421" s="45" t="str">
        <f t="shared" si="62"/>
        <v>Unlikely</v>
      </c>
      <c r="BG421" s="45"/>
      <c r="BH421" s="45">
        <f>INDEX(Table5[[#All],[Ovr]],MATCH(Table3[[#This Row],[PID]],Table5[[#All],[PID]],0))</f>
        <v>452</v>
      </c>
      <c r="BI421" s="45" t="str">
        <f>INDEX(Table5[[#All],[Rnd]],MATCH(Table3[[#This Row],[PID]],Table5[[#All],[PID]],0))</f>
        <v>14</v>
      </c>
      <c r="BJ421" s="45">
        <f>INDEX(Table5[[#All],[Pick]],MATCH(Table3[[#This Row],[PID]],Table5[[#All],[PID]],0))</f>
        <v>19</v>
      </c>
      <c r="BK421" s="45" t="str">
        <f>INDEX(Table5[[#All],[Team]],MATCH(Table3[[#This Row],[PID]],Table5[[#All],[PID]],0))</f>
        <v>Fargo Dinosaurs</v>
      </c>
      <c r="BL421" s="45" t="str">
        <f>IF(OR(Table3[[#This Row],[POS]]="SP",Table3[[#This Row],[POS]]="RP",Table3[[#This Row],[POS]]="CL"),"P",INDEX(Batters[[#All],[zScore]],MATCH(Table3[[#This Row],[PID]],Batters[[#All],[PID]],0)))</f>
        <v>P</v>
      </c>
    </row>
    <row r="422" spans="1:64" ht="15" customHeight="1" x14ac:dyDescent="0.3">
      <c r="A422" s="40">
        <v>13528</v>
      </c>
      <c r="B422" s="40" t="s">
        <v>24</v>
      </c>
      <c r="C422" s="40" t="s">
        <v>515</v>
      </c>
      <c r="D422" s="40" t="s">
        <v>1366</v>
      </c>
      <c r="E422" s="40">
        <v>21</v>
      </c>
      <c r="F422" s="40" t="s">
        <v>53</v>
      </c>
      <c r="G422" s="40" t="s">
        <v>53</v>
      </c>
      <c r="H422" s="41" t="s">
        <v>561</v>
      </c>
      <c r="I422" s="42" t="s">
        <v>43</v>
      </c>
      <c r="J422" s="40" t="s">
        <v>44</v>
      </c>
      <c r="K422" s="41" t="s">
        <v>44</v>
      </c>
      <c r="L422" s="40">
        <v>2</v>
      </c>
      <c r="M422" s="40">
        <v>1</v>
      </c>
      <c r="N422" s="41">
        <v>2</v>
      </c>
      <c r="O422" s="40">
        <v>5</v>
      </c>
      <c r="P422" s="40">
        <v>1</v>
      </c>
      <c r="Q422" s="41">
        <v>3</v>
      </c>
      <c r="R422" s="40">
        <v>5</v>
      </c>
      <c r="S422" s="40">
        <v>7</v>
      </c>
      <c r="T422" s="40" t="s">
        <v>45</v>
      </c>
      <c r="U422" s="40" t="s">
        <v>45</v>
      </c>
      <c r="V422" s="40">
        <v>2</v>
      </c>
      <c r="W422" s="40">
        <v>6</v>
      </c>
      <c r="X422" s="40">
        <v>3</v>
      </c>
      <c r="Y422" s="40">
        <v>6</v>
      </c>
      <c r="Z422" s="40" t="s">
        <v>45</v>
      </c>
      <c r="AA422" s="40" t="s">
        <v>45</v>
      </c>
      <c r="AB422" s="40" t="s">
        <v>45</v>
      </c>
      <c r="AC422" s="40" t="s">
        <v>45</v>
      </c>
      <c r="AD422" s="40" t="s">
        <v>45</v>
      </c>
      <c r="AE422" s="40" t="s">
        <v>45</v>
      </c>
      <c r="AF422" s="40" t="s">
        <v>45</v>
      </c>
      <c r="AG422" s="40" t="s">
        <v>45</v>
      </c>
      <c r="AH422" s="40" t="s">
        <v>45</v>
      </c>
      <c r="AI422" s="40" t="s">
        <v>45</v>
      </c>
      <c r="AJ422" s="40" t="s">
        <v>45</v>
      </c>
      <c r="AK422" s="40" t="s">
        <v>45</v>
      </c>
      <c r="AL422" s="40" t="s">
        <v>45</v>
      </c>
      <c r="AM422" s="40" t="s">
        <v>45</v>
      </c>
      <c r="AN422" s="40" t="s">
        <v>45</v>
      </c>
      <c r="AO422" s="41" t="s">
        <v>45</v>
      </c>
      <c r="AP422" s="40" t="s">
        <v>60</v>
      </c>
      <c r="AQ422" s="40">
        <v>6</v>
      </c>
      <c r="AR422" s="48" t="s">
        <v>14</v>
      </c>
      <c r="AS422" s="43" t="s">
        <v>1367</v>
      </c>
      <c r="AT422" s="43" t="s">
        <v>103</v>
      </c>
      <c r="AU422" s="44">
        <f t="shared" si="57"/>
        <v>-2.2644723474043147</v>
      </c>
      <c r="AV422" s="44">
        <f t="shared" si="58"/>
        <v>-0.99258305708561179</v>
      </c>
      <c r="AW422" s="45">
        <f t="shared" si="59"/>
        <v>3</v>
      </c>
      <c r="AX422" s="45">
        <f t="shared" si="60"/>
        <v>3</v>
      </c>
      <c r="AY422" s="46">
        <f>VLOOKUP(AP422,COND!$A$10:$B$32,2,FALSE)</f>
        <v>1.0249999999999999</v>
      </c>
      <c r="AZ422" s="44">
        <f>($AU$3*AU422+$AV$3*AV422+$AW$3*AW422+$AX$3*AX422)*AY422*IF(AQ422&lt;5,0.95,IF(AQ422&lt;7,0.975,1))+$I$3*VLOOKUP(I422,COND!$A$2:$E$7,4,FALSE)+$J$3*VLOOKUP(J422,COND!$A$2:$E$7,2,FALSE)+$K$3*VLOOKUP(K422,COND!$A$2:$E$7,3,FALSE)+IF(BB422="SP",$BB$3,0)+IF($AW422&lt;3,-5,0)+IF(AND($B$2&gt;0,$E422&lt;20),$B$2*25,0)</f>
        <v>31.354853486063895</v>
      </c>
      <c r="BA422" s="47">
        <f t="shared" si="64"/>
        <v>-0.45912365828018514</v>
      </c>
      <c r="BB422" s="45" t="str">
        <f t="shared" si="61"/>
        <v>SP</v>
      </c>
      <c r="BC422" s="45">
        <v>950</v>
      </c>
      <c r="BD422" s="45">
        <v>417</v>
      </c>
      <c r="BE422" s="45"/>
      <c r="BF422" s="45" t="str">
        <f t="shared" si="62"/>
        <v>Unlikely</v>
      </c>
      <c r="BG422" s="45"/>
      <c r="BH422" s="45">
        <f>INDEX(Table5[[#All],[Ovr]],MATCH(Table3[[#This Row],[PID]],Table5[[#All],[PID]],0))</f>
        <v>269</v>
      </c>
      <c r="BI422" s="45" t="str">
        <f>INDEX(Table5[[#All],[Rnd]],MATCH(Table3[[#This Row],[PID]],Table5[[#All],[PID]],0))</f>
        <v>9</v>
      </c>
      <c r="BJ422" s="45">
        <f>INDEX(Table5[[#All],[Pick]],MATCH(Table3[[#This Row],[PID]],Table5[[#All],[PID]],0))</f>
        <v>4</v>
      </c>
      <c r="BK422" s="45" t="str">
        <f>INDEX(Table5[[#All],[Team]],MATCH(Table3[[#This Row],[PID]],Table5[[#All],[PID]],0))</f>
        <v>Palm Springs Codgers</v>
      </c>
      <c r="BL422" s="45" t="str">
        <f>IF(OR(Table3[[#This Row],[POS]]="SP",Table3[[#This Row],[POS]]="RP",Table3[[#This Row],[POS]]="CL"),"P",INDEX(Batters[[#All],[zScore]],MATCH(Table3[[#This Row],[PID]],Batters[[#All],[PID]],0)))</f>
        <v>P</v>
      </c>
    </row>
    <row r="423" spans="1:64" ht="15" customHeight="1" x14ac:dyDescent="0.3">
      <c r="A423" s="40">
        <v>9150</v>
      </c>
      <c r="B423" s="40" t="s">
        <v>380</v>
      </c>
      <c r="C423" s="40" t="s">
        <v>320</v>
      </c>
      <c r="D423" s="40" t="s">
        <v>884</v>
      </c>
      <c r="E423" s="40">
        <v>22</v>
      </c>
      <c r="F423" s="40" t="s">
        <v>42</v>
      </c>
      <c r="G423" s="40" t="s">
        <v>42</v>
      </c>
      <c r="H423" s="41" t="s">
        <v>561</v>
      </c>
      <c r="I423" s="42" t="s">
        <v>43</v>
      </c>
      <c r="J423" s="40" t="s">
        <v>44</v>
      </c>
      <c r="K423" s="41" t="s">
        <v>44</v>
      </c>
      <c r="L423" s="40">
        <v>1</v>
      </c>
      <c r="M423" s="40">
        <v>2</v>
      </c>
      <c r="N423" s="41">
        <v>2</v>
      </c>
      <c r="O423" s="40">
        <v>4</v>
      </c>
      <c r="P423" s="40">
        <v>2</v>
      </c>
      <c r="Q423" s="41">
        <v>3</v>
      </c>
      <c r="R423" s="40">
        <v>3</v>
      </c>
      <c r="S423" s="40">
        <v>5</v>
      </c>
      <c r="T423" s="40">
        <v>1</v>
      </c>
      <c r="U423" s="40">
        <v>1</v>
      </c>
      <c r="V423" s="40">
        <v>2</v>
      </c>
      <c r="W423" s="40">
        <v>7</v>
      </c>
      <c r="X423" s="40" t="s">
        <v>45</v>
      </c>
      <c r="Y423" s="40" t="s">
        <v>45</v>
      </c>
      <c r="Z423" s="40" t="s">
        <v>45</v>
      </c>
      <c r="AA423" s="40" t="s">
        <v>45</v>
      </c>
      <c r="AB423" s="40" t="s">
        <v>45</v>
      </c>
      <c r="AC423" s="40" t="s">
        <v>45</v>
      </c>
      <c r="AD423" s="40" t="s">
        <v>45</v>
      </c>
      <c r="AE423" s="40" t="s">
        <v>45</v>
      </c>
      <c r="AF423" s="40" t="s">
        <v>45</v>
      </c>
      <c r="AG423" s="40" t="s">
        <v>45</v>
      </c>
      <c r="AH423" s="40" t="s">
        <v>45</v>
      </c>
      <c r="AI423" s="40" t="s">
        <v>45</v>
      </c>
      <c r="AJ423" s="40" t="s">
        <v>45</v>
      </c>
      <c r="AK423" s="40" t="s">
        <v>45</v>
      </c>
      <c r="AL423" s="40" t="s">
        <v>45</v>
      </c>
      <c r="AM423" s="40" t="s">
        <v>45</v>
      </c>
      <c r="AN423" s="40" t="s">
        <v>45</v>
      </c>
      <c r="AO423" s="41" t="s">
        <v>45</v>
      </c>
      <c r="AP423" s="40" t="s">
        <v>64</v>
      </c>
      <c r="AQ423" s="40">
        <v>4</v>
      </c>
      <c r="AR423" s="48" t="s">
        <v>14</v>
      </c>
      <c r="AS423" s="43" t="s">
        <v>45</v>
      </c>
      <c r="AT423" s="43" t="s">
        <v>103</v>
      </c>
      <c r="AU423" s="44">
        <f t="shared" si="57"/>
        <v>-2.2637319554834323</v>
      </c>
      <c r="AV423" s="44">
        <f t="shared" si="58"/>
        <v>-0.99184266516472974</v>
      </c>
      <c r="AW423" s="45">
        <f t="shared" si="59"/>
        <v>3</v>
      </c>
      <c r="AX423" s="45">
        <f t="shared" si="60"/>
        <v>1</v>
      </c>
      <c r="AY423" s="46">
        <f>VLOOKUP(AP423,COND!$A$10:$B$32,2,FALSE)</f>
        <v>1</v>
      </c>
      <c r="AZ423" s="44">
        <f>($AU$3*AU423+$AV$3*AV423+$AW$3*AW423+$AX$3*AX423)*AY423*IF(AQ423&lt;5,0.95,IF(AQ423&lt;7,0.975,1))+$I$3*VLOOKUP(I423,COND!$A$2:$E$7,4,FALSE)+$J$3*VLOOKUP(J423,COND!$A$2:$E$7,2,FALSE)+$K$3*VLOOKUP(K423,COND!$A$2:$E$7,3,FALSE)+IF(BB423="SP",$BB$3,0)+IF($AW423&lt;3,-5,0)+IF(AND($B$2&gt;0,$E423&lt;20),$B$2*25,0)</f>
        <v>27.737380290328282</v>
      </c>
      <c r="BA423" s="47">
        <f t="shared" si="64"/>
        <v>-0.7167131910460387</v>
      </c>
      <c r="BB423" s="45" t="str">
        <f t="shared" si="61"/>
        <v>RP</v>
      </c>
      <c r="BC423" s="45">
        <v>950</v>
      </c>
      <c r="BD423" s="45">
        <v>418</v>
      </c>
      <c r="BE423" s="45"/>
      <c r="BF423" s="45" t="str">
        <f t="shared" si="62"/>
        <v>Unlikely</v>
      </c>
      <c r="BG423" s="45"/>
      <c r="BH423" s="45" t="str">
        <f>INDEX(Table5[[#All],[Ovr]],MATCH(Table3[[#This Row],[PID]],Table5[[#All],[PID]],0))</f>
        <v/>
      </c>
      <c r="BI423" s="45" t="str">
        <f>INDEX(Table5[[#All],[Rnd]],MATCH(Table3[[#This Row],[PID]],Table5[[#All],[PID]],0))</f>
        <v/>
      </c>
      <c r="BJ423" s="45" t="str">
        <f>INDEX(Table5[[#All],[Pick]],MATCH(Table3[[#This Row],[PID]],Table5[[#All],[PID]],0))</f>
        <v/>
      </c>
      <c r="BK423" s="45" t="str">
        <f>INDEX(Table5[[#All],[Team]],MATCH(Table3[[#This Row],[PID]],Table5[[#All],[PID]],0))</f>
        <v/>
      </c>
      <c r="BL423" s="45" t="str">
        <f>IF(OR(Table3[[#This Row],[POS]]="SP",Table3[[#This Row],[POS]]="RP",Table3[[#This Row],[POS]]="CL"),"P",INDEX(Batters[[#All],[zScore]],MATCH(Table3[[#This Row],[PID]],Batters[[#All],[PID]],0)))</f>
        <v>P</v>
      </c>
    </row>
    <row r="424" spans="1:64" ht="15" customHeight="1" x14ac:dyDescent="0.3">
      <c r="A424" s="40">
        <v>6207</v>
      </c>
      <c r="B424" s="40" t="s">
        <v>380</v>
      </c>
      <c r="C424" s="40" t="s">
        <v>1555</v>
      </c>
      <c r="D424" s="40" t="s">
        <v>1330</v>
      </c>
      <c r="E424" s="40">
        <v>21</v>
      </c>
      <c r="F424" s="40" t="s">
        <v>53</v>
      </c>
      <c r="G424" s="40" t="s">
        <v>42</v>
      </c>
      <c r="H424" s="41" t="s">
        <v>561</v>
      </c>
      <c r="I424" s="42" t="s">
        <v>44</v>
      </c>
      <c r="J424" s="40" t="s">
        <v>44</v>
      </c>
      <c r="K424" s="41" t="s">
        <v>44</v>
      </c>
      <c r="L424" s="40">
        <v>2</v>
      </c>
      <c r="M424" s="40">
        <v>2</v>
      </c>
      <c r="N424" s="41">
        <v>1</v>
      </c>
      <c r="O424" s="40">
        <v>4</v>
      </c>
      <c r="P424" s="40">
        <v>2</v>
      </c>
      <c r="Q424" s="41">
        <v>2</v>
      </c>
      <c r="R424" s="40">
        <v>2</v>
      </c>
      <c r="S424" s="40">
        <v>4</v>
      </c>
      <c r="T424" s="40">
        <v>1</v>
      </c>
      <c r="U424" s="40">
        <v>6</v>
      </c>
      <c r="V424" s="40" t="s">
        <v>45</v>
      </c>
      <c r="W424" s="40" t="s">
        <v>45</v>
      </c>
      <c r="X424" s="40" t="s">
        <v>45</v>
      </c>
      <c r="Y424" s="40" t="s">
        <v>45</v>
      </c>
      <c r="Z424" s="40">
        <v>3</v>
      </c>
      <c r="AA424" s="40">
        <v>4</v>
      </c>
      <c r="AB424" s="40" t="s">
        <v>45</v>
      </c>
      <c r="AC424" s="40" t="s">
        <v>45</v>
      </c>
      <c r="AD424" s="40" t="s">
        <v>45</v>
      </c>
      <c r="AE424" s="40" t="s">
        <v>45</v>
      </c>
      <c r="AF424" s="40" t="s">
        <v>45</v>
      </c>
      <c r="AG424" s="40" t="s">
        <v>45</v>
      </c>
      <c r="AH424" s="40" t="s">
        <v>45</v>
      </c>
      <c r="AI424" s="40" t="s">
        <v>45</v>
      </c>
      <c r="AJ424" s="40" t="s">
        <v>45</v>
      </c>
      <c r="AK424" s="40" t="s">
        <v>45</v>
      </c>
      <c r="AL424" s="40" t="s">
        <v>45</v>
      </c>
      <c r="AM424" s="40" t="s">
        <v>45</v>
      </c>
      <c r="AN424" s="40" t="s">
        <v>45</v>
      </c>
      <c r="AO424" s="41" t="s">
        <v>45</v>
      </c>
      <c r="AP424" s="40" t="s">
        <v>65</v>
      </c>
      <c r="AQ424" s="40">
        <v>5</v>
      </c>
      <c r="AR424" s="48" t="s">
        <v>326</v>
      </c>
      <c r="AS424" s="43" t="s">
        <v>557</v>
      </c>
      <c r="AT424" s="43" t="s">
        <v>103</v>
      </c>
      <c r="AU424" s="44">
        <f t="shared" si="57"/>
        <v>-2.311361197028369</v>
      </c>
      <c r="AV424" s="44">
        <f t="shared" si="58"/>
        <v>-1.23416323121884</v>
      </c>
      <c r="AW424" s="45">
        <f t="shared" si="59"/>
        <v>3</v>
      </c>
      <c r="AX424" s="45">
        <f t="shared" si="60"/>
        <v>1</v>
      </c>
      <c r="AY424" s="46">
        <f>VLOOKUP(AP424,COND!$A$10:$B$32,2,FALSE)</f>
        <v>0.95</v>
      </c>
      <c r="AZ424" s="44">
        <f>($AU$3*AU424+$AV$3*AV424+$AW$3*AW424+$AX$3*AX424)*AY424*IF(AQ424&lt;5,0.95,IF(AQ424&lt;7,0.975,1))+$I$3*VLOOKUP(I424,COND!$A$2:$E$7,4,FALSE)+$J$3*VLOOKUP(J424,COND!$A$2:$E$7,2,FALSE)+$K$3*VLOOKUP(K424,COND!$A$2:$E$7,3,FALSE)+IF(BB424="SP",$BB$3,0)+IF($AW424&lt;3,-5,0)+IF(AND($B$2&gt;0,$E424&lt;20),$B$2*25,0)</f>
        <v>25.506133979921486</v>
      </c>
      <c r="BA424" s="47">
        <f t="shared" si="64"/>
        <v>-0.87559362041888078</v>
      </c>
      <c r="BB424" s="45" t="str">
        <f t="shared" si="61"/>
        <v>SP</v>
      </c>
      <c r="BC424" s="45">
        <v>950</v>
      </c>
      <c r="BD424" s="45">
        <v>419</v>
      </c>
      <c r="BE424" s="45"/>
      <c r="BF424" s="45" t="str">
        <f t="shared" si="62"/>
        <v>Unlikely</v>
      </c>
      <c r="BG424" s="45"/>
      <c r="BH424" s="45" t="str">
        <f>INDEX(Table5[[#All],[Ovr]],MATCH(Table3[[#This Row],[PID]],Table5[[#All],[PID]],0))</f>
        <v/>
      </c>
      <c r="BI424" s="45" t="str">
        <f>INDEX(Table5[[#All],[Rnd]],MATCH(Table3[[#This Row],[PID]],Table5[[#All],[PID]],0))</f>
        <v/>
      </c>
      <c r="BJ424" s="45" t="str">
        <f>INDEX(Table5[[#All],[Pick]],MATCH(Table3[[#This Row],[PID]],Table5[[#All],[PID]],0))</f>
        <v/>
      </c>
      <c r="BK424" s="45" t="str">
        <f>INDEX(Table5[[#All],[Team]],MATCH(Table3[[#This Row],[PID]],Table5[[#All],[PID]],0))</f>
        <v/>
      </c>
      <c r="BL424" s="45" t="str">
        <f>IF(OR(Table3[[#This Row],[POS]]="SP",Table3[[#This Row],[POS]]="RP",Table3[[#This Row],[POS]]="CL"),"P",INDEX(Batters[[#All],[zScore]],MATCH(Table3[[#This Row],[PID]],Batters[[#All],[PID]],0)))</f>
        <v>P</v>
      </c>
    </row>
    <row r="425" spans="1:64" ht="15" customHeight="1" x14ac:dyDescent="0.3">
      <c r="A425" s="40">
        <v>12240</v>
      </c>
      <c r="B425" s="40" t="s">
        <v>380</v>
      </c>
      <c r="C425" s="40" t="s">
        <v>126</v>
      </c>
      <c r="D425" s="40" t="s">
        <v>1606</v>
      </c>
      <c r="E425" s="40">
        <v>21</v>
      </c>
      <c r="F425" s="40" t="s">
        <v>53</v>
      </c>
      <c r="G425" s="40" t="s">
        <v>53</v>
      </c>
      <c r="H425" s="41" t="s">
        <v>561</v>
      </c>
      <c r="I425" s="42" t="s">
        <v>43</v>
      </c>
      <c r="J425" s="40" t="s">
        <v>44</v>
      </c>
      <c r="K425" s="41" t="s">
        <v>44</v>
      </c>
      <c r="L425" s="40">
        <v>1</v>
      </c>
      <c r="M425" s="40">
        <v>2</v>
      </c>
      <c r="N425" s="41">
        <v>1</v>
      </c>
      <c r="O425" s="40">
        <v>3</v>
      </c>
      <c r="P425" s="40">
        <v>2</v>
      </c>
      <c r="Q425" s="41">
        <v>3</v>
      </c>
      <c r="R425" s="40">
        <v>3</v>
      </c>
      <c r="S425" s="40">
        <v>3</v>
      </c>
      <c r="T425" s="40">
        <v>1</v>
      </c>
      <c r="U425" s="40">
        <v>1</v>
      </c>
      <c r="V425" s="40">
        <v>2</v>
      </c>
      <c r="W425" s="40">
        <v>4</v>
      </c>
      <c r="X425" s="40" t="s">
        <v>45</v>
      </c>
      <c r="Y425" s="40" t="s">
        <v>45</v>
      </c>
      <c r="Z425" s="40" t="s">
        <v>45</v>
      </c>
      <c r="AA425" s="40" t="s">
        <v>45</v>
      </c>
      <c r="AB425" s="40" t="s">
        <v>45</v>
      </c>
      <c r="AC425" s="40" t="s">
        <v>45</v>
      </c>
      <c r="AD425" s="40" t="s">
        <v>45</v>
      </c>
      <c r="AE425" s="40" t="s">
        <v>45</v>
      </c>
      <c r="AF425" s="40">
        <v>2</v>
      </c>
      <c r="AG425" s="40">
        <v>3</v>
      </c>
      <c r="AH425" s="40" t="s">
        <v>45</v>
      </c>
      <c r="AI425" s="40" t="s">
        <v>45</v>
      </c>
      <c r="AJ425" s="40" t="s">
        <v>45</v>
      </c>
      <c r="AK425" s="40" t="s">
        <v>45</v>
      </c>
      <c r="AL425" s="40" t="s">
        <v>45</v>
      </c>
      <c r="AM425" s="40" t="s">
        <v>45</v>
      </c>
      <c r="AN425" s="40" t="s">
        <v>45</v>
      </c>
      <c r="AO425" s="41" t="s">
        <v>45</v>
      </c>
      <c r="AP425" s="40" t="s">
        <v>68</v>
      </c>
      <c r="AQ425" s="40">
        <v>7</v>
      </c>
      <c r="AR425" s="48" t="s">
        <v>326</v>
      </c>
      <c r="AS425" s="43" t="s">
        <v>557</v>
      </c>
      <c r="AT425" s="43" t="s">
        <v>103</v>
      </c>
      <c r="AU425" s="44">
        <f t="shared" si="57"/>
        <v>-2.5060525215375429</v>
      </c>
      <c r="AV425" s="44">
        <f t="shared" si="58"/>
        <v>-1.1865339896739031</v>
      </c>
      <c r="AW425" s="45">
        <f t="shared" si="59"/>
        <v>4</v>
      </c>
      <c r="AX425" s="45">
        <f t="shared" si="60"/>
        <v>0</v>
      </c>
      <c r="AY425" s="46">
        <f>VLOOKUP(AP425,COND!$A$10:$B$32,2,FALSE)</f>
        <v>0.95</v>
      </c>
      <c r="AZ425" s="44">
        <f>($AU$3*AU425+$AV$3*AV425+$AW$3*AW425+$AX$3*AX425)*AY425*IF(AQ425&lt;5,0.95,IF(AQ425&lt;7,0.975,1))+$I$3*VLOOKUP(I425,COND!$A$2:$E$7,4,FALSE)+$J$3*VLOOKUP(J425,COND!$A$2:$E$7,2,FALSE)+$K$3*VLOOKUP(K425,COND!$A$2:$E$7,3,FALSE)+IF(BB425="SP",$BB$3,0)+IF($AW425&lt;3,-5,0)+IF(AND($B$2&gt;0,$E425&lt;20),$B$2*25,0)</f>
        <v>25.27970421710371</v>
      </c>
      <c r="BA425" s="47">
        <f>STANDARDIZE(AZ425,AVERAGE($AZ$5:$AZ$455),STDEVP($AZ$5:$AZ$455))</f>
        <v>-0.88469346446263963</v>
      </c>
      <c r="BB425" s="45" t="str">
        <f t="shared" si="61"/>
        <v>SP</v>
      </c>
      <c r="BC425" s="45">
        <v>950</v>
      </c>
      <c r="BD425" s="45">
        <v>420</v>
      </c>
      <c r="BE425" s="45"/>
      <c r="BF425" s="45" t="str">
        <f t="shared" si="62"/>
        <v>Unlikely</v>
      </c>
      <c r="BG425" s="45"/>
      <c r="BH425" s="63" t="str">
        <f>INDEX(Table5[[#All],[Ovr]],MATCH(Table3[[#This Row],[PID]],Table5[[#All],[PID]],0))</f>
        <v/>
      </c>
      <c r="BI425" s="63" t="str">
        <f>INDEX(Table5[[#All],[Rnd]],MATCH(Table3[[#This Row],[PID]],Table5[[#All],[PID]],0))</f>
        <v/>
      </c>
      <c r="BJ425" s="63" t="str">
        <f>INDEX(Table5[[#All],[Pick]],MATCH(Table3[[#This Row],[PID]],Table5[[#All],[PID]],0))</f>
        <v/>
      </c>
      <c r="BK425" s="63" t="str">
        <f>INDEX(Table5[[#All],[Team]],MATCH(Table3[[#This Row],[PID]],Table5[[#All],[PID]],0))</f>
        <v/>
      </c>
      <c r="BL425" s="63" t="str">
        <f>IF(OR(Table3[[#This Row],[POS]]="SP",Table3[[#This Row],[POS]]="RP",Table3[[#This Row],[POS]]="CL"),"P",INDEX(Batters[[#All],[zScore]],MATCH(Table3[[#This Row],[PID]],Batters[[#All],[PID]],0)))</f>
        <v>P</v>
      </c>
    </row>
    <row r="426" spans="1:64" ht="15" customHeight="1" x14ac:dyDescent="0.3">
      <c r="A426" s="40">
        <v>17019</v>
      </c>
      <c r="B426" s="40" t="s">
        <v>380</v>
      </c>
      <c r="C426" s="40" t="s">
        <v>938</v>
      </c>
      <c r="D426" s="40" t="s">
        <v>939</v>
      </c>
      <c r="E426" s="40">
        <v>22</v>
      </c>
      <c r="F426" s="40" t="s">
        <v>42</v>
      </c>
      <c r="G426" s="40" t="s">
        <v>42</v>
      </c>
      <c r="H426" s="41" t="s">
        <v>561</v>
      </c>
      <c r="I426" s="42" t="s">
        <v>43</v>
      </c>
      <c r="J426" s="40" t="s">
        <v>44</v>
      </c>
      <c r="K426" s="41" t="s">
        <v>44</v>
      </c>
      <c r="L426" s="40">
        <v>1</v>
      </c>
      <c r="M426" s="40">
        <v>2</v>
      </c>
      <c r="N426" s="41">
        <v>2</v>
      </c>
      <c r="O426" s="40">
        <v>3</v>
      </c>
      <c r="P426" s="40">
        <v>2</v>
      </c>
      <c r="Q426" s="41">
        <v>3</v>
      </c>
      <c r="R426" s="40">
        <v>2</v>
      </c>
      <c r="S426" s="40">
        <v>3</v>
      </c>
      <c r="T426" s="40">
        <v>2</v>
      </c>
      <c r="U426" s="40">
        <v>5</v>
      </c>
      <c r="V426" s="40" t="s">
        <v>45</v>
      </c>
      <c r="W426" s="40" t="s">
        <v>45</v>
      </c>
      <c r="X426" s="40">
        <v>2</v>
      </c>
      <c r="Y426" s="40">
        <v>4</v>
      </c>
      <c r="Z426" s="40" t="s">
        <v>45</v>
      </c>
      <c r="AA426" s="40" t="s">
        <v>45</v>
      </c>
      <c r="AB426" s="40" t="s">
        <v>45</v>
      </c>
      <c r="AC426" s="40" t="s">
        <v>45</v>
      </c>
      <c r="AD426" s="40" t="s">
        <v>45</v>
      </c>
      <c r="AE426" s="40" t="s">
        <v>45</v>
      </c>
      <c r="AF426" s="40" t="s">
        <v>45</v>
      </c>
      <c r="AG426" s="40" t="s">
        <v>45</v>
      </c>
      <c r="AH426" s="40" t="s">
        <v>45</v>
      </c>
      <c r="AI426" s="40" t="s">
        <v>45</v>
      </c>
      <c r="AJ426" s="40" t="s">
        <v>45</v>
      </c>
      <c r="AK426" s="40" t="s">
        <v>45</v>
      </c>
      <c r="AL426" s="40" t="s">
        <v>45</v>
      </c>
      <c r="AM426" s="40" t="s">
        <v>45</v>
      </c>
      <c r="AN426" s="40" t="s">
        <v>45</v>
      </c>
      <c r="AO426" s="41" t="s">
        <v>45</v>
      </c>
      <c r="AP426" s="40" t="s">
        <v>70</v>
      </c>
      <c r="AQ426" s="40">
        <v>4</v>
      </c>
      <c r="AR426" s="48" t="s">
        <v>326</v>
      </c>
      <c r="AS426" s="43" t="s">
        <v>45</v>
      </c>
      <c r="AT426" s="43" t="s">
        <v>103</v>
      </c>
      <c r="AU426" s="44">
        <f t="shared" si="57"/>
        <v>-2.2637319554834323</v>
      </c>
      <c r="AV426" s="44">
        <f t="shared" si="58"/>
        <v>-1.1865339896739031</v>
      </c>
      <c r="AW426" s="45">
        <f t="shared" si="59"/>
        <v>3</v>
      </c>
      <c r="AX426" s="45">
        <f t="shared" si="60"/>
        <v>0</v>
      </c>
      <c r="AY426" s="46">
        <f>VLOOKUP(AP426,COND!$A$10:$B$32,2,FALSE)</f>
        <v>0.9</v>
      </c>
      <c r="AZ426" s="44">
        <f>($AU$3*AU426+$AV$3*AV426+$AW$3*AW426+$AX$3*AX426)*AY426*IF(AQ426&lt;5,0.95,IF(AQ426&lt;7,0.975,1))+$I$3*VLOOKUP(I426,COND!$A$2:$E$7,4,FALSE)+$J$3*VLOOKUP(J426,COND!$A$2:$E$7,2,FALSE)+$K$3*VLOOKUP(K426,COND!$A$2:$E$7,3,FALSE)+IF(BB426="SP",$BB$3,0)+IF($AW426&lt;3,-5,0)+IF(AND($B$2&gt;0,$E426&lt;20),$B$2*25,0)</f>
        <v>25.005670612188592</v>
      </c>
      <c r="BA426" s="47">
        <f>STANDARDIZE(AZ426,AVERAGE($AZ$5:$AZ$428),STDEVP($AZ$5:$AZ$428))</f>
        <v>-0.91123013189675706</v>
      </c>
      <c r="BB426" s="45" t="str">
        <f t="shared" si="61"/>
        <v>RP</v>
      </c>
      <c r="BC426" s="45">
        <v>950</v>
      </c>
      <c r="BD426" s="45">
        <v>421</v>
      </c>
      <c r="BE426" s="45"/>
      <c r="BF426" s="45" t="str">
        <f t="shared" si="62"/>
        <v>Unlikely</v>
      </c>
      <c r="BG426" s="45"/>
      <c r="BH426" s="45" t="str">
        <f>INDEX(Table5[[#All],[Ovr]],MATCH(Table3[[#This Row],[PID]],Table5[[#All],[PID]],0))</f>
        <v/>
      </c>
      <c r="BI426" s="45" t="str">
        <f>INDEX(Table5[[#All],[Rnd]],MATCH(Table3[[#This Row],[PID]],Table5[[#All],[PID]],0))</f>
        <v/>
      </c>
      <c r="BJ426" s="45" t="str">
        <f>INDEX(Table5[[#All],[Pick]],MATCH(Table3[[#This Row],[PID]],Table5[[#All],[PID]],0))</f>
        <v/>
      </c>
      <c r="BK426" s="45" t="str">
        <f>INDEX(Table5[[#All],[Team]],MATCH(Table3[[#This Row],[PID]],Table5[[#All],[PID]],0))</f>
        <v/>
      </c>
      <c r="BL426" s="45" t="str">
        <f>IF(OR(Table3[[#This Row],[POS]]="SP",Table3[[#This Row],[POS]]="RP",Table3[[#This Row],[POS]]="CL"),"P",INDEX(Batters[[#All],[zScore]],MATCH(Table3[[#This Row],[PID]],Batters[[#All],[PID]],0)))</f>
        <v>P</v>
      </c>
    </row>
    <row r="427" spans="1:64" ht="15" customHeight="1" x14ac:dyDescent="0.3">
      <c r="A427" s="40">
        <v>6150</v>
      </c>
      <c r="B427" s="40" t="s">
        <v>380</v>
      </c>
      <c r="C427" s="40" t="s">
        <v>187</v>
      </c>
      <c r="D427" s="40" t="s">
        <v>1124</v>
      </c>
      <c r="E427" s="40">
        <v>21</v>
      </c>
      <c r="F427" s="40" t="s">
        <v>42</v>
      </c>
      <c r="G427" s="40" t="s">
        <v>42</v>
      </c>
      <c r="H427" s="41" t="s">
        <v>561</v>
      </c>
      <c r="I427" s="42" t="s">
        <v>43</v>
      </c>
      <c r="J427" s="40" t="s">
        <v>44</v>
      </c>
      <c r="K427" s="41" t="s">
        <v>44</v>
      </c>
      <c r="L427" s="40">
        <v>2</v>
      </c>
      <c r="M427" s="40">
        <v>1</v>
      </c>
      <c r="N427" s="41">
        <v>1</v>
      </c>
      <c r="O427" s="40">
        <v>3</v>
      </c>
      <c r="P427" s="40">
        <v>1</v>
      </c>
      <c r="Q427" s="41">
        <v>4</v>
      </c>
      <c r="R427" s="40">
        <v>3</v>
      </c>
      <c r="S427" s="40">
        <v>4</v>
      </c>
      <c r="T427" s="40" t="s">
        <v>45</v>
      </c>
      <c r="U427" s="40" t="s">
        <v>45</v>
      </c>
      <c r="V427" s="40">
        <v>2</v>
      </c>
      <c r="W427" s="40">
        <v>4</v>
      </c>
      <c r="X427" s="40" t="s">
        <v>45</v>
      </c>
      <c r="Y427" s="40" t="s">
        <v>45</v>
      </c>
      <c r="Z427" s="40" t="s">
        <v>45</v>
      </c>
      <c r="AA427" s="40" t="s">
        <v>45</v>
      </c>
      <c r="AB427" s="40" t="s">
        <v>45</v>
      </c>
      <c r="AC427" s="40" t="s">
        <v>45</v>
      </c>
      <c r="AD427" s="40" t="s">
        <v>45</v>
      </c>
      <c r="AE427" s="40" t="s">
        <v>45</v>
      </c>
      <c r="AF427" s="40" t="s">
        <v>45</v>
      </c>
      <c r="AG427" s="40" t="s">
        <v>45</v>
      </c>
      <c r="AH427" s="40">
        <v>2</v>
      </c>
      <c r="AI427" s="40">
        <v>4</v>
      </c>
      <c r="AJ427" s="40" t="s">
        <v>45</v>
      </c>
      <c r="AK427" s="40" t="s">
        <v>45</v>
      </c>
      <c r="AL427" s="40" t="s">
        <v>45</v>
      </c>
      <c r="AM427" s="40" t="s">
        <v>45</v>
      </c>
      <c r="AN427" s="40" t="s">
        <v>45</v>
      </c>
      <c r="AO427" s="41" t="s">
        <v>45</v>
      </c>
      <c r="AP427" s="40" t="s">
        <v>64</v>
      </c>
      <c r="AQ427" s="40">
        <v>8</v>
      </c>
      <c r="AR427" s="48" t="s">
        <v>14</v>
      </c>
      <c r="AS427" s="43" t="s">
        <v>45</v>
      </c>
      <c r="AT427" s="43" t="s">
        <v>103</v>
      </c>
      <c r="AU427" s="44">
        <f t="shared" si="57"/>
        <v>-2.5067929134584248</v>
      </c>
      <c r="AV427" s="44">
        <f t="shared" si="58"/>
        <v>-1.1396451400498482</v>
      </c>
      <c r="AW427" s="45">
        <f t="shared" si="59"/>
        <v>3</v>
      </c>
      <c r="AX427" s="45">
        <f t="shared" si="60"/>
        <v>0</v>
      </c>
      <c r="AY427" s="46">
        <f>VLOOKUP(AP427,COND!$A$10:$B$32,2,FALSE)</f>
        <v>1</v>
      </c>
      <c r="AZ427" s="44">
        <f>($AU$3*AU427+$AV$3*AV427+$AW$3*AW427+$AX$3*AX427)*AY427*IF(AQ427&lt;5,0.95,IF(AQ427&lt;7,0.975,1))+$I$3*VLOOKUP(I427,COND!$A$2:$E$7,4,FALSE)+$J$3*VLOOKUP(J427,COND!$A$2:$E$7,2,FALSE)+$K$3*VLOOKUP(K427,COND!$A$2:$E$7,3,FALSE)+IF(BB427="SP",$BB$3,0)+IF($AW427&lt;3,-5,0)+IF(AND($B$2&gt;0,$E427&lt;20),$B$2*25,0)</f>
        <v>24.605738616311349</v>
      </c>
      <c r="BA427" s="47">
        <f>STANDARDIZE(AZ427,AVERAGE($AZ$5:$AZ$455),STDEVP($AZ$5:$AZ$455))</f>
        <v>-0.93264182667186069</v>
      </c>
      <c r="BB427" s="45" t="str">
        <f t="shared" si="61"/>
        <v>SP</v>
      </c>
      <c r="BC427" s="45">
        <v>950</v>
      </c>
      <c r="BD427" s="45">
        <v>422</v>
      </c>
      <c r="BE427" s="45"/>
      <c r="BF427" s="45" t="str">
        <f t="shared" si="62"/>
        <v>Unlikely</v>
      </c>
      <c r="BG427" s="45"/>
      <c r="BH427" s="63" t="str">
        <f>INDEX(Table5[[#All],[Ovr]],MATCH(Table3[[#This Row],[PID]],Table5[[#All],[PID]],0))</f>
        <v/>
      </c>
      <c r="BI427" s="63" t="str">
        <f>INDEX(Table5[[#All],[Rnd]],MATCH(Table3[[#This Row],[PID]],Table5[[#All],[PID]],0))</f>
        <v/>
      </c>
      <c r="BJ427" s="63" t="str">
        <f>INDEX(Table5[[#All],[Pick]],MATCH(Table3[[#This Row],[PID]],Table5[[#All],[PID]],0))</f>
        <v/>
      </c>
      <c r="BK427" s="63" t="str">
        <f>INDEX(Table5[[#All],[Team]],MATCH(Table3[[#This Row],[PID]],Table5[[#All],[PID]],0))</f>
        <v/>
      </c>
      <c r="BL427" s="63" t="str">
        <f>IF(OR(Table3[[#This Row],[POS]]="SP",Table3[[#This Row],[POS]]="RP",Table3[[#This Row],[POS]]="CL"),"P",INDEX(Batters[[#All],[zScore]],MATCH(Table3[[#This Row],[PID]],Batters[[#All],[PID]],0)))</f>
        <v>P</v>
      </c>
    </row>
    <row r="428" spans="1:64" ht="15" customHeight="1" x14ac:dyDescent="0.3">
      <c r="A428" s="40">
        <v>20634</v>
      </c>
      <c r="B428" s="40" t="s">
        <v>380</v>
      </c>
      <c r="C428" s="40" t="s">
        <v>1041</v>
      </c>
      <c r="D428" s="40" t="s">
        <v>1368</v>
      </c>
      <c r="E428" s="40">
        <v>17</v>
      </c>
      <c r="F428" s="40" t="s">
        <v>42</v>
      </c>
      <c r="G428" s="40" t="s">
        <v>42</v>
      </c>
      <c r="H428" s="41" t="s">
        <v>561</v>
      </c>
      <c r="I428" s="42" t="s">
        <v>43</v>
      </c>
      <c r="J428" s="40" t="s">
        <v>44</v>
      </c>
      <c r="K428" s="41" t="s">
        <v>44</v>
      </c>
      <c r="L428" s="40">
        <v>2</v>
      </c>
      <c r="M428" s="40">
        <v>2</v>
      </c>
      <c r="N428" s="41">
        <v>1</v>
      </c>
      <c r="O428" s="40">
        <v>4</v>
      </c>
      <c r="P428" s="40">
        <v>2</v>
      </c>
      <c r="Q428" s="41">
        <v>2</v>
      </c>
      <c r="R428" s="40">
        <v>2</v>
      </c>
      <c r="S428" s="40">
        <v>4</v>
      </c>
      <c r="T428" s="40" t="s">
        <v>45</v>
      </c>
      <c r="U428" s="40" t="s">
        <v>45</v>
      </c>
      <c r="V428" s="40">
        <v>3</v>
      </c>
      <c r="W428" s="40">
        <v>7</v>
      </c>
      <c r="X428" s="40" t="s">
        <v>45</v>
      </c>
      <c r="Y428" s="40" t="s">
        <v>45</v>
      </c>
      <c r="Z428" s="40" t="s">
        <v>45</v>
      </c>
      <c r="AA428" s="40" t="s">
        <v>45</v>
      </c>
      <c r="AB428" s="40" t="s">
        <v>45</v>
      </c>
      <c r="AC428" s="40" t="s">
        <v>45</v>
      </c>
      <c r="AD428" s="40" t="s">
        <v>45</v>
      </c>
      <c r="AE428" s="40" t="s">
        <v>45</v>
      </c>
      <c r="AF428" s="40" t="s">
        <v>45</v>
      </c>
      <c r="AG428" s="40" t="s">
        <v>45</v>
      </c>
      <c r="AH428" s="40" t="s">
        <v>45</v>
      </c>
      <c r="AI428" s="40" t="s">
        <v>45</v>
      </c>
      <c r="AJ428" s="40" t="s">
        <v>45</v>
      </c>
      <c r="AK428" s="40" t="s">
        <v>45</v>
      </c>
      <c r="AL428" s="40" t="s">
        <v>45</v>
      </c>
      <c r="AM428" s="40" t="s">
        <v>45</v>
      </c>
      <c r="AN428" s="40" t="s">
        <v>45</v>
      </c>
      <c r="AO428" s="41" t="s">
        <v>45</v>
      </c>
      <c r="AP428" s="40" t="s">
        <v>67</v>
      </c>
      <c r="AQ428" s="40">
        <v>5</v>
      </c>
      <c r="AR428" s="48" t="s">
        <v>326</v>
      </c>
      <c r="AS428" s="43" t="s">
        <v>568</v>
      </c>
      <c r="AT428" s="43" t="s">
        <v>103</v>
      </c>
      <c r="AU428" s="44">
        <f t="shared" si="57"/>
        <v>-2.311361197028369</v>
      </c>
      <c r="AV428" s="44">
        <f t="shared" si="58"/>
        <v>-1.23416323121884</v>
      </c>
      <c r="AW428" s="45">
        <f t="shared" si="59"/>
        <v>2</v>
      </c>
      <c r="AX428" s="45">
        <f t="shared" si="60"/>
        <v>1</v>
      </c>
      <c r="AY428" s="46">
        <f>VLOOKUP(AP428,COND!$A$10:$B$32,2,FALSE)</f>
        <v>0.9</v>
      </c>
      <c r="AZ428" s="44">
        <f>($AU$3*AU428+$AV$3*AV428+$AW$3*AW428+$AX$3*AX428)*AY428*IF(AQ428&lt;5,0.95,IF(AQ428&lt;7,0.975,1))+$I$3*VLOOKUP(I428,COND!$A$2:$E$7,4,FALSE)+$J$3*VLOOKUP(J428,COND!$A$2:$E$7,2,FALSE)+$K$3*VLOOKUP(K428,COND!$A$2:$E$7,3,FALSE)+IF(BB428="SP",$BB$3,0)+IF($AW428&lt;3,-5,0)+IF(AND($B$2&gt;0,$E428&lt;20),$B$2*25,0)</f>
        <v>24.309166402030879</v>
      </c>
      <c r="BA428" s="47">
        <f>STANDARDIZE(AZ428,AVERAGE($AZ$5:$AZ$428),STDEVP($AZ$5:$AZ$428))</f>
        <v>-0.96082613008562312</v>
      </c>
      <c r="BB428" s="45" t="str">
        <f t="shared" si="61"/>
        <v>RP</v>
      </c>
      <c r="BC428" s="45">
        <v>950</v>
      </c>
      <c r="BD428" s="45">
        <v>423</v>
      </c>
      <c r="BE428" s="45"/>
      <c r="BF428" s="45" t="str">
        <f t="shared" si="62"/>
        <v>Unlikely</v>
      </c>
      <c r="BG428" s="45"/>
      <c r="BH428" s="45" t="str">
        <f>INDEX(Table5[[#All],[Ovr]],MATCH(Table3[[#This Row],[PID]],Table5[[#All],[PID]],0))</f>
        <v/>
      </c>
      <c r="BI428" s="45" t="str">
        <f>INDEX(Table5[[#All],[Rnd]],MATCH(Table3[[#This Row],[PID]],Table5[[#All],[PID]],0))</f>
        <v/>
      </c>
      <c r="BJ428" s="45" t="str">
        <f>INDEX(Table5[[#All],[Pick]],MATCH(Table3[[#This Row],[PID]],Table5[[#All],[PID]],0))</f>
        <v/>
      </c>
      <c r="BK428" s="45" t="str">
        <f>INDEX(Table5[[#All],[Team]],MATCH(Table3[[#This Row],[PID]],Table5[[#All],[PID]],0))</f>
        <v/>
      </c>
      <c r="BL428" s="45" t="str">
        <f>IF(OR(Table3[[#This Row],[POS]]="SP",Table3[[#This Row],[POS]]="RP",Table3[[#This Row],[POS]]="CL"),"P",INDEX(Batters[[#All],[zScore]],MATCH(Table3[[#This Row],[PID]],Batters[[#All],[PID]],0)))</f>
        <v>P</v>
      </c>
    </row>
    <row r="429" spans="1:64" ht="15" customHeight="1" x14ac:dyDescent="0.3">
      <c r="A429" s="40">
        <v>5828</v>
      </c>
      <c r="B429" s="40" t="s">
        <v>380</v>
      </c>
      <c r="C429" s="40" t="s">
        <v>145</v>
      </c>
      <c r="D429" s="40" t="s">
        <v>1497</v>
      </c>
      <c r="E429" s="40">
        <v>21</v>
      </c>
      <c r="F429" s="40" t="s">
        <v>42</v>
      </c>
      <c r="G429" s="40" t="s">
        <v>42</v>
      </c>
      <c r="H429" s="41" t="s">
        <v>561</v>
      </c>
      <c r="I429" s="42" t="s">
        <v>43</v>
      </c>
      <c r="J429" s="40" t="s">
        <v>44</v>
      </c>
      <c r="K429" s="41" t="s">
        <v>44</v>
      </c>
      <c r="L429" s="40">
        <v>2</v>
      </c>
      <c r="M429" s="40">
        <v>1</v>
      </c>
      <c r="N429" s="41">
        <v>2</v>
      </c>
      <c r="O429" s="40">
        <v>4</v>
      </c>
      <c r="P429" s="40">
        <v>1</v>
      </c>
      <c r="Q429" s="41">
        <v>3</v>
      </c>
      <c r="R429" s="40">
        <v>3</v>
      </c>
      <c r="S429" s="40">
        <v>5</v>
      </c>
      <c r="T429" s="40">
        <v>1</v>
      </c>
      <c r="U429" s="40">
        <v>4</v>
      </c>
      <c r="V429" s="40">
        <v>2</v>
      </c>
      <c r="W429" s="40">
        <v>3</v>
      </c>
      <c r="X429" s="40" t="s">
        <v>45</v>
      </c>
      <c r="Y429" s="40" t="s">
        <v>45</v>
      </c>
      <c r="Z429" s="40" t="s">
        <v>45</v>
      </c>
      <c r="AA429" s="40" t="s">
        <v>45</v>
      </c>
      <c r="AB429" s="40">
        <v>3</v>
      </c>
      <c r="AC429" s="40">
        <v>5</v>
      </c>
      <c r="AD429" s="40" t="s">
        <v>45</v>
      </c>
      <c r="AE429" s="40" t="s">
        <v>45</v>
      </c>
      <c r="AF429" s="40" t="s">
        <v>45</v>
      </c>
      <c r="AG429" s="40" t="s">
        <v>45</v>
      </c>
      <c r="AH429" s="40" t="s">
        <v>45</v>
      </c>
      <c r="AI429" s="40" t="s">
        <v>45</v>
      </c>
      <c r="AJ429" s="40" t="s">
        <v>45</v>
      </c>
      <c r="AK429" s="40" t="s">
        <v>45</v>
      </c>
      <c r="AL429" s="40" t="s">
        <v>45</v>
      </c>
      <c r="AM429" s="40" t="s">
        <v>45</v>
      </c>
      <c r="AN429" s="40" t="s">
        <v>45</v>
      </c>
      <c r="AO429" s="41" t="s">
        <v>45</v>
      </c>
      <c r="AP429" s="40" t="s">
        <v>329</v>
      </c>
      <c r="AQ429" s="40">
        <v>4</v>
      </c>
      <c r="AR429" s="48" t="s">
        <v>330</v>
      </c>
      <c r="AS429" s="43" t="s">
        <v>557</v>
      </c>
      <c r="AT429" s="43" t="s">
        <v>103</v>
      </c>
      <c r="AU429" s="44">
        <f t="shared" si="57"/>
        <v>-2.2644723474043147</v>
      </c>
      <c r="AV429" s="44">
        <f t="shared" si="58"/>
        <v>-1.1872743815947853</v>
      </c>
      <c r="AW429" s="45">
        <f t="shared" si="59"/>
        <v>4</v>
      </c>
      <c r="AX429" s="45">
        <f t="shared" si="60"/>
        <v>0</v>
      </c>
      <c r="AY429" s="46">
        <f>VLOOKUP(AP429,COND!$A$10:$B$32,2,FALSE)</f>
        <v>1</v>
      </c>
      <c r="AZ429" s="44">
        <f>($AU$3*AU429+$AV$3*AV429+$AW$3*AW429+$AX$3*AX429)*AY429*IF(AQ429&lt;5,0.95,IF(AQ429&lt;7,0.975,1))+$I$3*VLOOKUP(I429,COND!$A$2:$E$7,4,FALSE)+$J$3*VLOOKUP(J429,COND!$A$2:$E$7,2,FALSE)+$K$3*VLOOKUP(K429,COND!$A$2:$E$7,3,FALSE)+IF(BB429="SP",$BB$3,0)+IF($AW429&lt;3,-5,0)+IF(AND($B$2&gt;0,$E429&lt;20),$B$2*25,0)</f>
        <v>23.311537003692258</v>
      </c>
      <c r="BA429" s="47">
        <f>STANDARDIZE(AZ429,AVERAGE($AZ$5:$AZ$428),STDEVP($AZ$5:$AZ$428))</f>
        <v>-1.031864359448168</v>
      </c>
      <c r="BB429" s="45" t="str">
        <f t="shared" si="61"/>
        <v>RP</v>
      </c>
      <c r="BC429" s="45">
        <v>950</v>
      </c>
      <c r="BD429" s="45">
        <v>424</v>
      </c>
      <c r="BE429" s="45"/>
      <c r="BF429" s="45" t="str">
        <f t="shared" si="62"/>
        <v>Unlikely</v>
      </c>
      <c r="BG429" s="45"/>
      <c r="BH429" s="45" t="str">
        <f>INDEX(Table5[[#All],[Ovr]],MATCH(Table3[[#This Row],[PID]],Table5[[#All],[PID]],0))</f>
        <v/>
      </c>
      <c r="BI429" s="45" t="str">
        <f>INDEX(Table5[[#All],[Rnd]],MATCH(Table3[[#This Row],[PID]],Table5[[#All],[PID]],0))</f>
        <v/>
      </c>
      <c r="BJ429" s="45" t="str">
        <f>INDEX(Table5[[#All],[Pick]],MATCH(Table3[[#This Row],[PID]],Table5[[#All],[PID]],0))</f>
        <v/>
      </c>
      <c r="BK429" s="45" t="str">
        <f>INDEX(Table5[[#All],[Team]],MATCH(Table3[[#This Row],[PID]],Table5[[#All],[PID]],0))</f>
        <v/>
      </c>
      <c r="BL429" s="45" t="str">
        <f>IF(OR(Table3[[#This Row],[POS]]="SP",Table3[[#This Row],[POS]]="RP",Table3[[#This Row],[POS]]="CL"),"P",INDEX(Batters[[#All],[zScore]],MATCH(Table3[[#This Row],[PID]],Batters[[#All],[PID]],0)))</f>
        <v>P</v>
      </c>
    </row>
    <row r="430" spans="1:64" ht="15" customHeight="1" x14ac:dyDescent="0.3">
      <c r="A430" s="40">
        <v>13198</v>
      </c>
      <c r="B430" s="40" t="s">
        <v>380</v>
      </c>
      <c r="C430" s="40" t="s">
        <v>1450</v>
      </c>
      <c r="D430" s="40" t="s">
        <v>1451</v>
      </c>
      <c r="E430" s="40">
        <v>17</v>
      </c>
      <c r="F430" s="40" t="s">
        <v>42</v>
      </c>
      <c r="G430" s="40" t="s">
        <v>42</v>
      </c>
      <c r="H430" s="41" t="s">
        <v>561</v>
      </c>
      <c r="I430" s="42" t="s">
        <v>44</v>
      </c>
      <c r="J430" s="40" t="s">
        <v>44</v>
      </c>
      <c r="K430" s="41" t="s">
        <v>44</v>
      </c>
      <c r="L430" s="40">
        <v>2</v>
      </c>
      <c r="M430" s="40">
        <v>2</v>
      </c>
      <c r="N430" s="41">
        <v>1</v>
      </c>
      <c r="O430" s="40">
        <v>3</v>
      </c>
      <c r="P430" s="40">
        <v>2</v>
      </c>
      <c r="Q430" s="41">
        <v>2</v>
      </c>
      <c r="R430" s="40">
        <v>3</v>
      </c>
      <c r="S430" s="40">
        <v>4</v>
      </c>
      <c r="T430" s="40" t="s">
        <v>45</v>
      </c>
      <c r="U430" s="40" t="s">
        <v>45</v>
      </c>
      <c r="V430" s="40" t="s">
        <v>45</v>
      </c>
      <c r="W430" s="40" t="s">
        <v>45</v>
      </c>
      <c r="X430" s="40" t="s">
        <v>45</v>
      </c>
      <c r="Y430" s="40" t="s">
        <v>45</v>
      </c>
      <c r="Z430" s="40" t="s">
        <v>45</v>
      </c>
      <c r="AA430" s="40" t="s">
        <v>45</v>
      </c>
      <c r="AB430" s="40">
        <v>3</v>
      </c>
      <c r="AC430" s="40">
        <v>4</v>
      </c>
      <c r="AD430" s="40" t="s">
        <v>45</v>
      </c>
      <c r="AE430" s="40" t="s">
        <v>45</v>
      </c>
      <c r="AF430" s="40" t="s">
        <v>45</v>
      </c>
      <c r="AG430" s="40" t="s">
        <v>45</v>
      </c>
      <c r="AH430" s="40" t="s">
        <v>45</v>
      </c>
      <c r="AI430" s="40" t="s">
        <v>45</v>
      </c>
      <c r="AJ430" s="40" t="s">
        <v>45</v>
      </c>
      <c r="AK430" s="40" t="s">
        <v>45</v>
      </c>
      <c r="AL430" s="40">
        <v>1</v>
      </c>
      <c r="AM430" s="40">
        <v>3</v>
      </c>
      <c r="AN430" s="40" t="s">
        <v>45</v>
      </c>
      <c r="AO430" s="41" t="s">
        <v>45</v>
      </c>
      <c r="AP430" s="40" t="s">
        <v>328</v>
      </c>
      <c r="AQ430" s="40">
        <v>4</v>
      </c>
      <c r="AR430" s="48" t="s">
        <v>326</v>
      </c>
      <c r="AS430" s="43" t="s">
        <v>558</v>
      </c>
      <c r="AT430" s="43" t="s">
        <v>103</v>
      </c>
      <c r="AU430" s="44">
        <f t="shared" si="57"/>
        <v>-2.311361197028369</v>
      </c>
      <c r="AV430" s="44">
        <f t="shared" si="58"/>
        <v>-1.4288545557280135</v>
      </c>
      <c r="AW430" s="45">
        <f t="shared" si="59"/>
        <v>3</v>
      </c>
      <c r="AX430" s="45">
        <f t="shared" si="60"/>
        <v>0</v>
      </c>
      <c r="AY430" s="46">
        <f>VLOOKUP(AP430,COND!$A$10:$B$32,2,FALSE)</f>
        <v>1</v>
      </c>
      <c r="AZ430" s="44">
        <f>($AU$3*AU430+$AV$3*AV430+$AW$3*AW430+$AX$3*AX430)*AY430*IF(AQ430&lt;5,0.95,IF(AQ430&lt;7,0.975,1))+$I$3*VLOOKUP(I430,COND!$A$2:$E$7,4,FALSE)+$J$3*VLOOKUP(J430,COND!$A$2:$E$7,2,FALSE)+$K$3*VLOOKUP(K430,COND!$A$2:$E$7,3,FALSE)+IF(BB430="SP",$BB$3,0)+IF($AW430&lt;3,-5,0)+IF(AND($B$2&gt;0,$E430&lt;20),$B$2*25,0)</f>
        <v>23.087604813732355</v>
      </c>
      <c r="BA430" s="47">
        <f>STANDARDIZE(AZ430,AVERAGE($AZ$5:$AZ$445),STDEVP($AZ$5:$AZ$445))</f>
        <v>-1.0406473826862037</v>
      </c>
      <c r="BB430" s="45" t="str">
        <f t="shared" si="61"/>
        <v>RP</v>
      </c>
      <c r="BC430" s="45">
        <v>950</v>
      </c>
      <c r="BD430" s="45">
        <v>425</v>
      </c>
      <c r="BE430" s="45"/>
      <c r="BF430" s="45" t="str">
        <f t="shared" si="62"/>
        <v>Unlikely</v>
      </c>
      <c r="BG430" s="45"/>
      <c r="BH430" s="63" t="str">
        <f>INDEX(Table5[[#All],[Ovr]],MATCH(Table3[[#This Row],[PID]],Table5[[#All],[PID]],0))</f>
        <v/>
      </c>
      <c r="BI430" s="63" t="str">
        <f>INDEX(Table5[[#All],[Rnd]],MATCH(Table3[[#This Row],[PID]],Table5[[#All],[PID]],0))</f>
        <v/>
      </c>
      <c r="BJ430" s="63" t="str">
        <f>INDEX(Table5[[#All],[Pick]],MATCH(Table3[[#This Row],[PID]],Table5[[#All],[PID]],0))</f>
        <v/>
      </c>
      <c r="BK430" s="63" t="str">
        <f>INDEX(Table5[[#All],[Team]],MATCH(Table3[[#This Row],[PID]],Table5[[#All],[PID]],0))</f>
        <v/>
      </c>
      <c r="BL430" s="63" t="str">
        <f>IF(OR(Table3[[#This Row],[POS]]="SP",Table3[[#This Row],[POS]]="RP",Table3[[#This Row],[POS]]="CL"),"P",INDEX(Batters[[#All],[zScore]],MATCH(Table3[[#This Row],[PID]],Batters[[#All],[PID]],0)))</f>
        <v>P</v>
      </c>
    </row>
    <row r="431" spans="1:64" ht="15" customHeight="1" x14ac:dyDescent="0.3">
      <c r="A431" s="40">
        <v>13826</v>
      </c>
      <c r="B431" s="40" t="s">
        <v>380</v>
      </c>
      <c r="C431" s="40" t="s">
        <v>390</v>
      </c>
      <c r="D431" s="40" t="s">
        <v>607</v>
      </c>
      <c r="E431" s="40">
        <v>21</v>
      </c>
      <c r="F431" s="40" t="s">
        <v>53</v>
      </c>
      <c r="G431" s="40" t="s">
        <v>53</v>
      </c>
      <c r="H431" s="41" t="s">
        <v>561</v>
      </c>
      <c r="I431" s="42" t="s">
        <v>43</v>
      </c>
      <c r="J431" s="40" t="s">
        <v>44</v>
      </c>
      <c r="K431" s="41" t="s">
        <v>44</v>
      </c>
      <c r="L431" s="40">
        <v>3</v>
      </c>
      <c r="M431" s="40">
        <v>2</v>
      </c>
      <c r="N431" s="41">
        <v>1</v>
      </c>
      <c r="O431" s="40">
        <v>5</v>
      </c>
      <c r="P431" s="40">
        <v>2</v>
      </c>
      <c r="Q431" s="41">
        <v>2</v>
      </c>
      <c r="R431" s="40">
        <v>4</v>
      </c>
      <c r="S431" s="40">
        <v>6</v>
      </c>
      <c r="T431" s="40" t="s">
        <v>45</v>
      </c>
      <c r="U431" s="40" t="s">
        <v>45</v>
      </c>
      <c r="V431" s="40" t="s">
        <v>45</v>
      </c>
      <c r="W431" s="40" t="s">
        <v>45</v>
      </c>
      <c r="X431" s="40">
        <v>3</v>
      </c>
      <c r="Y431" s="40">
        <v>7</v>
      </c>
      <c r="Z431" s="40" t="s">
        <v>45</v>
      </c>
      <c r="AA431" s="40" t="s">
        <v>45</v>
      </c>
      <c r="AB431" s="40" t="s">
        <v>45</v>
      </c>
      <c r="AC431" s="40" t="s">
        <v>45</v>
      </c>
      <c r="AD431" s="40" t="s">
        <v>45</v>
      </c>
      <c r="AE431" s="40" t="s">
        <v>45</v>
      </c>
      <c r="AF431" s="40" t="s">
        <v>45</v>
      </c>
      <c r="AG431" s="40" t="s">
        <v>45</v>
      </c>
      <c r="AH431" s="40" t="s">
        <v>45</v>
      </c>
      <c r="AI431" s="40" t="s">
        <v>45</v>
      </c>
      <c r="AJ431" s="40" t="s">
        <v>45</v>
      </c>
      <c r="AK431" s="40" t="s">
        <v>45</v>
      </c>
      <c r="AL431" s="40" t="s">
        <v>45</v>
      </c>
      <c r="AM431" s="40" t="s">
        <v>45</v>
      </c>
      <c r="AN431" s="40" t="s">
        <v>45</v>
      </c>
      <c r="AO431" s="41" t="s">
        <v>45</v>
      </c>
      <c r="AP431" s="40" t="s">
        <v>329</v>
      </c>
      <c r="AQ431" s="40">
        <v>3</v>
      </c>
      <c r="AR431" s="48" t="s">
        <v>326</v>
      </c>
      <c r="AS431" s="43" t="s">
        <v>45</v>
      </c>
      <c r="AT431" s="43" t="s">
        <v>103</v>
      </c>
      <c r="AU431" s="44">
        <f t="shared" si="57"/>
        <v>-2.1166698725191955</v>
      </c>
      <c r="AV431" s="44">
        <f t="shared" si="58"/>
        <v>-1.0394719067096667</v>
      </c>
      <c r="AW431" s="45">
        <f t="shared" si="59"/>
        <v>2</v>
      </c>
      <c r="AX431" s="45">
        <f t="shared" si="60"/>
        <v>2</v>
      </c>
      <c r="AY431" s="46">
        <f>VLOOKUP(AP431,COND!$A$10:$B$32,2,FALSE)</f>
        <v>1</v>
      </c>
      <c r="AZ431" s="44">
        <f>($AU$3*AU431+$AV$3*AV431+$AW$3*AW431+$AX$3*AX431)*AY431*IF(AQ431&lt;5,0.95,IF(AQ431&lt;7,0.975,1))+$I$3*VLOOKUP(I431,COND!$A$2:$E$7,4,FALSE)+$J$3*VLOOKUP(J431,COND!$A$2:$E$7,2,FALSE)+$K$3*VLOOKUP(K431,COND!$A$2:$E$7,3,FALSE)+IF(BB431="SP",$BB$3,0)+IF($AW431&lt;3,-5,0)+IF(AND($B$2&gt;0,$E431&lt;20),$B$2*25,0)</f>
        <v>22.572866496737685</v>
      </c>
      <c r="BA431" s="47">
        <f>STANDARDIZE(AZ431,AVERAGE($AZ$5:$AZ$428),STDEVP($AZ$5:$AZ$428))</f>
        <v>-1.0844628945191799</v>
      </c>
      <c r="BB431" s="45" t="str">
        <f t="shared" si="61"/>
        <v>RP</v>
      </c>
      <c r="BC431" s="45">
        <v>950</v>
      </c>
      <c r="BD431" s="45">
        <v>426</v>
      </c>
      <c r="BE431" s="45"/>
      <c r="BF431" s="45" t="str">
        <f t="shared" si="62"/>
        <v>Unlikely</v>
      </c>
      <c r="BG431" s="45"/>
      <c r="BH431" s="45" t="str">
        <f>INDEX(Table5[[#All],[Ovr]],MATCH(Table3[[#This Row],[PID]],Table5[[#All],[PID]],0))</f>
        <v/>
      </c>
      <c r="BI431" s="45" t="str">
        <f>INDEX(Table5[[#All],[Rnd]],MATCH(Table3[[#This Row],[PID]],Table5[[#All],[PID]],0))</f>
        <v/>
      </c>
      <c r="BJ431" s="45" t="str">
        <f>INDEX(Table5[[#All],[Pick]],MATCH(Table3[[#This Row],[PID]],Table5[[#All],[PID]],0))</f>
        <v/>
      </c>
      <c r="BK431" s="45" t="str">
        <f>INDEX(Table5[[#All],[Team]],MATCH(Table3[[#This Row],[PID]],Table5[[#All],[PID]],0))</f>
        <v/>
      </c>
      <c r="BL431" s="45" t="str">
        <f>IF(OR(Table3[[#This Row],[POS]]="SP",Table3[[#This Row],[POS]]="RP",Table3[[#This Row],[POS]]="CL"),"P",INDEX(Batters[[#All],[zScore]],MATCH(Table3[[#This Row],[PID]],Batters[[#All],[PID]],0)))</f>
        <v>P</v>
      </c>
    </row>
    <row r="432" spans="1:64" ht="15" customHeight="1" x14ac:dyDescent="0.3">
      <c r="A432" s="40">
        <v>12609</v>
      </c>
      <c r="B432" s="40" t="s">
        <v>380</v>
      </c>
      <c r="C432" s="40" t="s">
        <v>1459</v>
      </c>
      <c r="D432" s="40" t="s">
        <v>1460</v>
      </c>
      <c r="E432" s="40">
        <v>21</v>
      </c>
      <c r="F432" s="40" t="s">
        <v>42</v>
      </c>
      <c r="G432" s="40" t="s">
        <v>42</v>
      </c>
      <c r="H432" s="41" t="s">
        <v>561</v>
      </c>
      <c r="I432" s="42" t="s">
        <v>43</v>
      </c>
      <c r="J432" s="40" t="s">
        <v>44</v>
      </c>
      <c r="K432" s="41" t="s">
        <v>44</v>
      </c>
      <c r="L432" s="40">
        <v>2</v>
      </c>
      <c r="M432" s="40">
        <v>1</v>
      </c>
      <c r="N432" s="41">
        <v>2</v>
      </c>
      <c r="O432" s="40">
        <v>3</v>
      </c>
      <c r="P432" s="40">
        <v>1</v>
      </c>
      <c r="Q432" s="41">
        <v>3</v>
      </c>
      <c r="R432" s="40">
        <v>2</v>
      </c>
      <c r="S432" s="40">
        <v>3</v>
      </c>
      <c r="T432" s="40">
        <v>2</v>
      </c>
      <c r="U432" s="40">
        <v>3</v>
      </c>
      <c r="V432" s="40">
        <v>2</v>
      </c>
      <c r="W432" s="40">
        <v>6</v>
      </c>
      <c r="X432" s="40" t="s">
        <v>45</v>
      </c>
      <c r="Y432" s="40" t="s">
        <v>45</v>
      </c>
      <c r="Z432" s="40" t="s">
        <v>45</v>
      </c>
      <c r="AA432" s="40" t="s">
        <v>45</v>
      </c>
      <c r="AB432" s="40" t="s">
        <v>45</v>
      </c>
      <c r="AC432" s="40" t="s">
        <v>45</v>
      </c>
      <c r="AD432" s="40" t="s">
        <v>45</v>
      </c>
      <c r="AE432" s="40" t="s">
        <v>45</v>
      </c>
      <c r="AF432" s="40" t="s">
        <v>45</v>
      </c>
      <c r="AG432" s="40" t="s">
        <v>45</v>
      </c>
      <c r="AH432" s="40" t="s">
        <v>45</v>
      </c>
      <c r="AI432" s="40" t="s">
        <v>45</v>
      </c>
      <c r="AJ432" s="40" t="s">
        <v>45</v>
      </c>
      <c r="AK432" s="40" t="s">
        <v>45</v>
      </c>
      <c r="AL432" s="40" t="s">
        <v>45</v>
      </c>
      <c r="AM432" s="40" t="s">
        <v>45</v>
      </c>
      <c r="AN432" s="40" t="s">
        <v>45</v>
      </c>
      <c r="AO432" s="41" t="s">
        <v>45</v>
      </c>
      <c r="AP432" s="40" t="s">
        <v>65</v>
      </c>
      <c r="AQ432" s="40">
        <v>8</v>
      </c>
      <c r="AR432" s="48" t="s">
        <v>14</v>
      </c>
      <c r="AS432" s="43" t="s">
        <v>45</v>
      </c>
      <c r="AT432" s="43" t="s">
        <v>103</v>
      </c>
      <c r="AU432" s="44">
        <f t="shared" si="57"/>
        <v>-2.2644723474043147</v>
      </c>
      <c r="AV432" s="44">
        <f t="shared" si="58"/>
        <v>-1.3819657061039585</v>
      </c>
      <c r="AW432" s="45">
        <f t="shared" si="59"/>
        <v>3</v>
      </c>
      <c r="AX432" s="45">
        <f t="shared" si="60"/>
        <v>1</v>
      </c>
      <c r="AY432" s="46">
        <f>VLOOKUP(AP432,COND!$A$10:$B$32,2,FALSE)</f>
        <v>0.95</v>
      </c>
      <c r="AZ432" s="44">
        <f>($AU$3*AU432+$AV$3*AV432+$AW$3*AW432+$AX$3*AX432)*AY432*IF(AQ432&lt;5,0.95,IF(AQ432&lt;7,0.975,1))+$I$3*VLOOKUP(I432,COND!$A$2:$E$7,4,FALSE)+$J$3*VLOOKUP(J432,COND!$A$2:$E$7,2,FALSE)+$K$3*VLOOKUP(K432,COND!$A$2:$E$7,3,FALSE)+IF(BB432="SP",$BB$3,0)+IF($AW432&lt;3,-5,0)+IF(AND($B$2&gt;0,$E432&lt;20),$B$2*25,0)</f>
        <v>22.324901838017968</v>
      </c>
      <c r="BA432" s="47">
        <f>STANDARDIZE(AZ432,AVERAGE($AZ$5:$AZ$428),STDEVP($AZ$5:$AZ$428))</f>
        <v>-1.1021197221239709</v>
      </c>
      <c r="BB432" s="45" t="str">
        <f t="shared" si="61"/>
        <v>SP</v>
      </c>
      <c r="BC432" s="45">
        <v>950</v>
      </c>
      <c r="BD432" s="45">
        <v>427</v>
      </c>
      <c r="BE432" s="45"/>
      <c r="BF432" s="45" t="str">
        <f t="shared" si="62"/>
        <v>Unlikely</v>
      </c>
      <c r="BG432" s="45"/>
      <c r="BH432" s="45">
        <f>INDEX(Table5[[#All],[Ovr]],MATCH(Table3[[#This Row],[PID]],Table5[[#All],[PID]],0))</f>
        <v>651</v>
      </c>
      <c r="BI432" s="45" t="str">
        <f>INDEX(Table5[[#All],[Rnd]],MATCH(Table3[[#This Row],[PID]],Table5[[#All],[PID]],0))</f>
        <v>20</v>
      </c>
      <c r="BJ432" s="45">
        <f>INDEX(Table5[[#All],[Pick]],MATCH(Table3[[#This Row],[PID]],Table5[[#All],[PID]],0))</f>
        <v>14</v>
      </c>
      <c r="BK432" s="45" t="str">
        <f>INDEX(Table5[[#All],[Team]],MATCH(Table3[[#This Row],[PID]],Table5[[#All],[PID]],0))</f>
        <v>San Antonio Calzones of Laredo</v>
      </c>
      <c r="BL432" s="45" t="str">
        <f>IF(OR(Table3[[#This Row],[POS]]="SP",Table3[[#This Row],[POS]]="RP",Table3[[#This Row],[POS]]="CL"),"P",INDEX(Batters[[#All],[zScore]],MATCH(Table3[[#This Row],[PID]],Batters[[#All],[PID]],0)))</f>
        <v>P</v>
      </c>
    </row>
    <row r="433" spans="1:64" ht="15" customHeight="1" x14ac:dyDescent="0.3">
      <c r="A433" s="40">
        <v>11454</v>
      </c>
      <c r="B433" s="40" t="s">
        <v>24</v>
      </c>
      <c r="C433" s="40" t="s">
        <v>126</v>
      </c>
      <c r="D433" s="40" t="s">
        <v>1383</v>
      </c>
      <c r="E433" s="40">
        <v>17</v>
      </c>
      <c r="F433" s="40" t="s">
        <v>62</v>
      </c>
      <c r="G433" s="40" t="s">
        <v>42</v>
      </c>
      <c r="H433" s="41" t="s">
        <v>550</v>
      </c>
      <c r="I433" s="42" t="s">
        <v>43</v>
      </c>
      <c r="J433" s="40" t="s">
        <v>43</v>
      </c>
      <c r="K433" s="41" t="s">
        <v>43</v>
      </c>
      <c r="L433" s="40">
        <v>2</v>
      </c>
      <c r="M433" s="40">
        <v>3</v>
      </c>
      <c r="N433" s="41">
        <v>1</v>
      </c>
      <c r="O433" s="40">
        <v>5</v>
      </c>
      <c r="P433" s="40">
        <v>6</v>
      </c>
      <c r="Q433" s="41">
        <v>5</v>
      </c>
      <c r="R433" s="40">
        <v>3</v>
      </c>
      <c r="S433" s="40">
        <v>7</v>
      </c>
      <c r="T433" s="40">
        <v>1</v>
      </c>
      <c r="U433" s="40">
        <v>2</v>
      </c>
      <c r="V433" s="40">
        <v>2</v>
      </c>
      <c r="W433" s="40">
        <v>8</v>
      </c>
      <c r="X433" s="40">
        <v>2</v>
      </c>
      <c r="Y433" s="40">
        <v>3</v>
      </c>
      <c r="Z433" s="40" t="s">
        <v>45</v>
      </c>
      <c r="AA433" s="40" t="s">
        <v>45</v>
      </c>
      <c r="AB433" s="40" t="s">
        <v>45</v>
      </c>
      <c r="AC433" s="40" t="s">
        <v>45</v>
      </c>
      <c r="AD433" s="40" t="s">
        <v>45</v>
      </c>
      <c r="AE433" s="40" t="s">
        <v>45</v>
      </c>
      <c r="AF433" s="40" t="s">
        <v>45</v>
      </c>
      <c r="AG433" s="40" t="s">
        <v>45</v>
      </c>
      <c r="AH433" s="40" t="s">
        <v>45</v>
      </c>
      <c r="AI433" s="40" t="s">
        <v>45</v>
      </c>
      <c r="AJ433" s="40" t="s">
        <v>45</v>
      </c>
      <c r="AK433" s="40" t="s">
        <v>45</v>
      </c>
      <c r="AL433" s="40" t="s">
        <v>45</v>
      </c>
      <c r="AM433" s="40" t="s">
        <v>45</v>
      </c>
      <c r="AN433" s="40" t="s">
        <v>45</v>
      </c>
      <c r="AO433" s="41" t="s">
        <v>45</v>
      </c>
      <c r="AP433" s="40" t="s">
        <v>329</v>
      </c>
      <c r="AQ433" s="40">
        <v>6</v>
      </c>
      <c r="AR433" s="48" t="s">
        <v>325</v>
      </c>
      <c r="AS433" s="43" t="s">
        <v>378</v>
      </c>
      <c r="AT433" s="43" t="s">
        <v>103</v>
      </c>
      <c r="AU433" s="44">
        <f t="shared" si="57"/>
        <v>-2.1159294805983135</v>
      </c>
      <c r="AV433" s="44">
        <f t="shared" si="58"/>
        <v>0.4692166571728863</v>
      </c>
      <c r="AW433" s="45">
        <f t="shared" si="59"/>
        <v>4</v>
      </c>
      <c r="AX433" s="45">
        <f t="shared" si="60"/>
        <v>2</v>
      </c>
      <c r="AY433" s="46">
        <f>VLOOKUP(AP433,COND!$A$10:$B$32,2,FALSE)</f>
        <v>1</v>
      </c>
      <c r="AZ433" s="44">
        <f>($AU$3*AU433+$AV$3*AV433+$AW$3*AW433+$AX$3*AX433)*AY433*IF(AQ433&lt;5,0.95,IF(AQ433&lt;7,0.975,1))+$I$3*VLOOKUP(I433,COND!$A$2:$E$7,4,FALSE)+$J$3*VLOOKUP(J433,COND!$A$2:$E$7,2,FALSE)+$K$3*VLOOKUP(K433,COND!$A$2:$E$7,3,FALSE)+IF(BB433="SP",$BB$3,0)+IF($AW433&lt;3,-5,0)+IF(AND($B$2&gt;0,$E433&lt;20),$B$2*25,0)</f>
        <v>65.124618566154609</v>
      </c>
      <c r="BA433" s="47">
        <f>STANDARDIZE(AZ433,AVERAGE($AZ$5:$AZ$428),STDEVP($AZ$5:$AZ$428))</f>
        <v>1.9455211138904951</v>
      </c>
      <c r="BB433" s="45" t="str">
        <f t="shared" si="61"/>
        <v>SP</v>
      </c>
      <c r="BC433" s="45">
        <v>999</v>
      </c>
      <c r="BD433" s="45">
        <v>428</v>
      </c>
      <c r="BE433" s="45"/>
      <c r="BF433" s="45" t="str">
        <f t="shared" si="62"/>
        <v>Possible</v>
      </c>
      <c r="BG433" s="45"/>
      <c r="BH433" s="45">
        <f>INDEX(Table5[[#All],[Ovr]],MATCH(Table3[[#This Row],[PID]],Table5[[#All],[PID]],0))</f>
        <v>105</v>
      </c>
      <c r="BI433" s="45" t="str">
        <f>INDEX(Table5[[#All],[Rnd]],MATCH(Table3[[#This Row],[PID]],Table5[[#All],[PID]],0))</f>
        <v>3</v>
      </c>
      <c r="BJ433" s="45">
        <f>INDEX(Table5[[#All],[Pick]],MATCH(Table3[[#This Row],[PID]],Table5[[#All],[PID]],0))</f>
        <v>33</v>
      </c>
      <c r="BK433" s="45" t="str">
        <f>INDEX(Table5[[#All],[Team]],MATCH(Table3[[#This Row],[PID]],Table5[[#All],[PID]],0))</f>
        <v>Charleston Statesmen</v>
      </c>
      <c r="BL433" s="45" t="str">
        <f>IF(OR(Table3[[#This Row],[POS]]="SP",Table3[[#This Row],[POS]]="RP",Table3[[#This Row],[POS]]="CL"),"P",INDEX(Batters[[#All],[zScore]],MATCH(Table3[[#This Row],[PID]],Batters[[#All],[PID]],0)))</f>
        <v>P</v>
      </c>
    </row>
    <row r="434" spans="1:64" ht="15" customHeight="1" x14ac:dyDescent="0.3">
      <c r="A434" s="40">
        <v>12097</v>
      </c>
      <c r="B434" s="40" t="s">
        <v>24</v>
      </c>
      <c r="C434" s="40" t="s">
        <v>1414</v>
      </c>
      <c r="D434" s="40" t="s">
        <v>1415</v>
      </c>
      <c r="E434" s="40">
        <v>17</v>
      </c>
      <c r="F434" s="40" t="s">
        <v>42</v>
      </c>
      <c r="G434" s="40" t="s">
        <v>42</v>
      </c>
      <c r="H434" s="41" t="s">
        <v>553</v>
      </c>
      <c r="I434" s="42" t="s">
        <v>43</v>
      </c>
      <c r="J434" s="40" t="s">
        <v>43</v>
      </c>
      <c r="K434" s="41" t="s">
        <v>43</v>
      </c>
      <c r="L434" s="40">
        <v>3</v>
      </c>
      <c r="M434" s="40">
        <v>2</v>
      </c>
      <c r="N434" s="41">
        <v>3</v>
      </c>
      <c r="O434" s="40">
        <v>5</v>
      </c>
      <c r="P434" s="40">
        <v>2</v>
      </c>
      <c r="Q434" s="41">
        <v>6</v>
      </c>
      <c r="R434" s="40">
        <v>5</v>
      </c>
      <c r="S434" s="40">
        <v>8</v>
      </c>
      <c r="T434" s="40">
        <v>1</v>
      </c>
      <c r="U434" s="40">
        <v>1</v>
      </c>
      <c r="V434" s="40" t="s">
        <v>45</v>
      </c>
      <c r="W434" s="40" t="s">
        <v>45</v>
      </c>
      <c r="X434" s="40">
        <v>4</v>
      </c>
      <c r="Y434" s="40">
        <v>8</v>
      </c>
      <c r="Z434" s="40" t="s">
        <v>45</v>
      </c>
      <c r="AA434" s="40" t="s">
        <v>45</v>
      </c>
      <c r="AB434" s="40" t="s">
        <v>45</v>
      </c>
      <c r="AC434" s="40" t="s">
        <v>45</v>
      </c>
      <c r="AD434" s="40" t="s">
        <v>45</v>
      </c>
      <c r="AE434" s="40" t="s">
        <v>45</v>
      </c>
      <c r="AF434" s="40" t="s">
        <v>45</v>
      </c>
      <c r="AG434" s="40" t="s">
        <v>45</v>
      </c>
      <c r="AH434" s="40" t="s">
        <v>45</v>
      </c>
      <c r="AI434" s="40" t="s">
        <v>45</v>
      </c>
      <c r="AJ434" s="40" t="s">
        <v>45</v>
      </c>
      <c r="AK434" s="40" t="s">
        <v>45</v>
      </c>
      <c r="AL434" s="40" t="s">
        <v>45</v>
      </c>
      <c r="AM434" s="40" t="s">
        <v>45</v>
      </c>
      <c r="AN434" s="40" t="s">
        <v>45</v>
      </c>
      <c r="AO434" s="41" t="s">
        <v>45</v>
      </c>
      <c r="AP434" s="40" t="s">
        <v>60</v>
      </c>
      <c r="AQ434" s="40">
        <v>5</v>
      </c>
      <c r="AR434" s="48" t="s">
        <v>326</v>
      </c>
      <c r="AS434" s="43" t="s">
        <v>383</v>
      </c>
      <c r="AT434" s="43" t="s">
        <v>103</v>
      </c>
      <c r="AU434" s="44">
        <f t="shared" si="57"/>
        <v>-1.6320287404109748</v>
      </c>
      <c r="AV434" s="44">
        <f t="shared" si="58"/>
        <v>-7.0189642493225041E-2</v>
      </c>
      <c r="AW434" s="45">
        <f t="shared" si="59"/>
        <v>3</v>
      </c>
      <c r="AX434" s="45">
        <f t="shared" si="60"/>
        <v>2</v>
      </c>
      <c r="AY434" s="46">
        <f>VLOOKUP(AP434,COND!$A$10:$B$32,2,FALSE)</f>
        <v>1.0249999999999999</v>
      </c>
      <c r="AZ434" s="44">
        <f>($AU$3*AU434+$AV$3*AV434+$AW$3*AW434+$AX$3*AX434)*AY434*IF(AQ434&lt;5,0.95,IF(AQ434&lt;7,0.975,1))+$I$3*VLOOKUP(I434,COND!$A$2:$E$7,4,FALSE)+$J$3*VLOOKUP(J434,COND!$A$2:$E$7,2,FALSE)+$K$3*VLOOKUP(K434,COND!$A$2:$E$7,3,FALSE)+IF(BB434="SP",$BB$3,0)+IF($AW434&lt;3,-5,0)+IF(AND($B$2&gt;0,$E434&lt;20),$B$2*25,0)</f>
        <v>54.26838277617702</v>
      </c>
      <c r="BA434" s="47">
        <f>STANDARDIZE(AZ434,AVERAGE($AZ$5:$AZ$428),STDEVP($AZ$5:$AZ$428))</f>
        <v>1.1724807751167876</v>
      </c>
      <c r="BB434" s="45" t="str">
        <f t="shared" si="61"/>
        <v>SP</v>
      </c>
      <c r="BC434" s="45">
        <v>999</v>
      </c>
      <c r="BD434" s="45">
        <v>429</v>
      </c>
      <c r="BE434" s="45"/>
      <c r="BF434" s="45" t="str">
        <f t="shared" si="62"/>
        <v>Possible</v>
      </c>
      <c r="BG434" s="45"/>
      <c r="BH434" s="45">
        <f>INDEX(Table5[[#All],[Ovr]],MATCH(Table3[[#This Row],[PID]],Table5[[#All],[PID]],0))</f>
        <v>227</v>
      </c>
      <c r="BI434" s="45" t="str">
        <f>INDEX(Table5[[#All],[Rnd]],MATCH(Table3[[#This Row],[PID]],Table5[[#All],[PID]],0))</f>
        <v>7</v>
      </c>
      <c r="BJ434" s="45">
        <f>INDEX(Table5[[#All],[Pick]],MATCH(Table3[[#This Row],[PID]],Table5[[#All],[PID]],0))</f>
        <v>26</v>
      </c>
      <c r="BK434" s="45" t="str">
        <f>INDEX(Table5[[#All],[Team]],MATCH(Table3[[#This Row],[PID]],Table5[[#All],[PID]],0))</f>
        <v>Aurora Borealis</v>
      </c>
      <c r="BL434" s="45" t="str">
        <f>IF(OR(Table3[[#This Row],[POS]]="SP",Table3[[#This Row],[POS]]="RP",Table3[[#This Row],[POS]]="CL"),"P",INDEX(Batters[[#All],[zScore]],MATCH(Table3[[#This Row],[PID]],Batters[[#All],[PID]],0)))</f>
        <v>P</v>
      </c>
    </row>
    <row r="435" spans="1:64" ht="15" customHeight="1" x14ac:dyDescent="0.3">
      <c r="A435" s="40">
        <v>12685</v>
      </c>
      <c r="B435" s="40" t="s">
        <v>24</v>
      </c>
      <c r="C435" s="40" t="s">
        <v>168</v>
      </c>
      <c r="D435" s="40" t="s">
        <v>715</v>
      </c>
      <c r="E435" s="40">
        <v>18</v>
      </c>
      <c r="F435" s="40" t="s">
        <v>62</v>
      </c>
      <c r="G435" s="40" t="s">
        <v>53</v>
      </c>
      <c r="H435" s="41" t="s">
        <v>561</v>
      </c>
      <c r="I435" s="42" t="s">
        <v>44</v>
      </c>
      <c r="J435" s="40" t="s">
        <v>44</v>
      </c>
      <c r="K435" s="41" t="s">
        <v>43</v>
      </c>
      <c r="L435" s="40">
        <v>2</v>
      </c>
      <c r="M435" s="40">
        <v>2</v>
      </c>
      <c r="N435" s="41">
        <v>1</v>
      </c>
      <c r="O435" s="40">
        <v>5</v>
      </c>
      <c r="P435" s="40">
        <v>2</v>
      </c>
      <c r="Q435" s="41">
        <v>3</v>
      </c>
      <c r="R435" s="40">
        <v>3</v>
      </c>
      <c r="S435" s="40">
        <v>5</v>
      </c>
      <c r="T435" s="40">
        <v>4</v>
      </c>
      <c r="U435" s="40">
        <v>8</v>
      </c>
      <c r="V435" s="40" t="s">
        <v>45</v>
      </c>
      <c r="W435" s="40" t="s">
        <v>45</v>
      </c>
      <c r="X435" s="40" t="s">
        <v>45</v>
      </c>
      <c r="Y435" s="40" t="s">
        <v>45</v>
      </c>
      <c r="Z435" s="40">
        <v>3</v>
      </c>
      <c r="AA435" s="40">
        <v>4</v>
      </c>
      <c r="AB435" s="40" t="s">
        <v>45</v>
      </c>
      <c r="AC435" s="40" t="s">
        <v>45</v>
      </c>
      <c r="AD435" s="40" t="s">
        <v>45</v>
      </c>
      <c r="AE435" s="40" t="s">
        <v>45</v>
      </c>
      <c r="AF435" s="40" t="s">
        <v>45</v>
      </c>
      <c r="AG435" s="40" t="s">
        <v>45</v>
      </c>
      <c r="AH435" s="40" t="s">
        <v>45</v>
      </c>
      <c r="AI435" s="40" t="s">
        <v>45</v>
      </c>
      <c r="AJ435" s="40" t="s">
        <v>45</v>
      </c>
      <c r="AK435" s="40" t="s">
        <v>45</v>
      </c>
      <c r="AL435" s="40" t="s">
        <v>45</v>
      </c>
      <c r="AM435" s="40" t="s">
        <v>45</v>
      </c>
      <c r="AN435" s="40" t="s">
        <v>45</v>
      </c>
      <c r="AO435" s="41" t="s">
        <v>45</v>
      </c>
      <c r="AP435" s="40" t="s">
        <v>329</v>
      </c>
      <c r="AQ435" s="40">
        <v>6</v>
      </c>
      <c r="AR435" s="48" t="s">
        <v>326</v>
      </c>
      <c r="AS435" s="43" t="s">
        <v>378</v>
      </c>
      <c r="AT435" s="43" t="s">
        <v>103</v>
      </c>
      <c r="AU435" s="44">
        <f t="shared" si="57"/>
        <v>-2.311361197028369</v>
      </c>
      <c r="AV435" s="44">
        <f t="shared" si="58"/>
        <v>-0.79715134065555615</v>
      </c>
      <c r="AW435" s="45">
        <f t="shared" si="59"/>
        <v>3</v>
      </c>
      <c r="AX435" s="45">
        <f t="shared" si="60"/>
        <v>1</v>
      </c>
      <c r="AY435" s="46">
        <f>VLOOKUP(AP435,COND!$A$10:$B$32,2,FALSE)</f>
        <v>1</v>
      </c>
      <c r="AZ435" s="44">
        <f>($AU$3*AU435+$AV$3*AV435+$AW$3*AW435+$AX$3*AX435)*AY435*IF(AQ435&lt;5,0.95,IF(AQ435&lt;7,0.975,1))+$I$3*VLOOKUP(I435,COND!$A$2:$E$7,4,FALSE)+$J$3*VLOOKUP(J435,COND!$A$2:$E$7,2,FALSE)+$K$3*VLOOKUP(K435,COND!$A$2:$E$7,3,FALSE)+IF(BB435="SP",$BB$3,0)+IF($AW435&lt;3,-5,0)+IF(AND($B$2&gt;0,$E435&lt;20),$B$2*25,0)</f>
        <v>38.236083423796124</v>
      </c>
      <c r="BA435" s="47">
        <f>STANDARDIZE(AZ435,AVERAGE($AZ$5:$AZ$428),STDEVP($AZ$5:$AZ$428))</f>
        <v>3.0868308102417006E-2</v>
      </c>
      <c r="BB435" s="45" t="str">
        <f t="shared" si="61"/>
        <v>SP</v>
      </c>
      <c r="BC435" s="45">
        <v>999</v>
      </c>
      <c r="BD435" s="45">
        <v>430</v>
      </c>
      <c r="BE435" s="45"/>
      <c r="BF435" s="45" t="str">
        <f t="shared" si="62"/>
        <v>Unlikely</v>
      </c>
      <c r="BG435" s="45"/>
      <c r="BH435" s="45">
        <f>INDEX(Table5[[#All],[Ovr]],MATCH(Table3[[#This Row],[PID]],Table5[[#All],[PID]],0))</f>
        <v>437</v>
      </c>
      <c r="BI435" s="45" t="str">
        <f>INDEX(Table5[[#All],[Rnd]],MATCH(Table3[[#This Row],[PID]],Table5[[#All],[PID]],0))</f>
        <v>14</v>
      </c>
      <c r="BJ435" s="45">
        <f>INDEX(Table5[[#All],[Pick]],MATCH(Table3[[#This Row],[PID]],Table5[[#All],[PID]],0))</f>
        <v>4</v>
      </c>
      <c r="BK435" s="45" t="str">
        <f>INDEX(Table5[[#All],[Team]],MATCH(Table3[[#This Row],[PID]],Table5[[#All],[PID]],0))</f>
        <v>Palm Springs Codgers</v>
      </c>
      <c r="BL435" s="45" t="str">
        <f>IF(OR(Table3[[#This Row],[POS]]="SP",Table3[[#This Row],[POS]]="RP",Table3[[#This Row],[POS]]="CL"),"P",INDEX(Batters[[#All],[zScore]],MATCH(Table3[[#This Row],[PID]],Batters[[#All],[PID]],0)))</f>
        <v>P</v>
      </c>
    </row>
    <row r="436" spans="1:64" ht="15" customHeight="1" x14ac:dyDescent="0.3">
      <c r="A436" s="40">
        <v>12307</v>
      </c>
      <c r="B436" s="40" t="s">
        <v>24</v>
      </c>
      <c r="C436" s="40" t="s">
        <v>1416</v>
      </c>
      <c r="D436" s="40" t="s">
        <v>1417</v>
      </c>
      <c r="E436" s="40">
        <v>18</v>
      </c>
      <c r="F436" s="40" t="s">
        <v>53</v>
      </c>
      <c r="G436" s="40" t="s">
        <v>53</v>
      </c>
      <c r="H436" s="41" t="s">
        <v>561</v>
      </c>
      <c r="I436" s="42" t="s">
        <v>43</v>
      </c>
      <c r="J436" s="40" t="s">
        <v>43</v>
      </c>
      <c r="K436" s="41" t="s">
        <v>47</v>
      </c>
      <c r="L436" s="40">
        <v>2</v>
      </c>
      <c r="M436" s="40">
        <v>2</v>
      </c>
      <c r="N436" s="41">
        <v>1</v>
      </c>
      <c r="O436" s="40">
        <v>4</v>
      </c>
      <c r="P436" s="40">
        <v>2</v>
      </c>
      <c r="Q436" s="41">
        <v>3</v>
      </c>
      <c r="R436" s="40">
        <v>3</v>
      </c>
      <c r="S436" s="40">
        <v>5</v>
      </c>
      <c r="T436" s="40" t="s">
        <v>45</v>
      </c>
      <c r="U436" s="40" t="s">
        <v>45</v>
      </c>
      <c r="V436" s="40" t="s">
        <v>45</v>
      </c>
      <c r="W436" s="40" t="s">
        <v>45</v>
      </c>
      <c r="X436" s="40">
        <v>2</v>
      </c>
      <c r="Y436" s="40">
        <v>6</v>
      </c>
      <c r="Z436" s="40" t="s">
        <v>45</v>
      </c>
      <c r="AA436" s="40" t="s">
        <v>45</v>
      </c>
      <c r="AB436" s="40">
        <v>3</v>
      </c>
      <c r="AC436" s="40">
        <v>5</v>
      </c>
      <c r="AD436" s="40" t="s">
        <v>45</v>
      </c>
      <c r="AE436" s="40" t="s">
        <v>45</v>
      </c>
      <c r="AF436" s="40" t="s">
        <v>45</v>
      </c>
      <c r="AG436" s="40" t="s">
        <v>45</v>
      </c>
      <c r="AH436" s="40" t="s">
        <v>45</v>
      </c>
      <c r="AI436" s="40" t="s">
        <v>45</v>
      </c>
      <c r="AJ436" s="40" t="s">
        <v>45</v>
      </c>
      <c r="AK436" s="40" t="s">
        <v>45</v>
      </c>
      <c r="AL436" s="40" t="s">
        <v>45</v>
      </c>
      <c r="AM436" s="40" t="s">
        <v>45</v>
      </c>
      <c r="AN436" s="40" t="s">
        <v>45</v>
      </c>
      <c r="AO436" s="41" t="s">
        <v>45</v>
      </c>
      <c r="AP436" s="40" t="s">
        <v>328</v>
      </c>
      <c r="AQ436" s="40">
        <v>7</v>
      </c>
      <c r="AR436" s="48" t="s">
        <v>326</v>
      </c>
      <c r="AS436" s="43" t="s">
        <v>506</v>
      </c>
      <c r="AT436" s="43" t="s">
        <v>103</v>
      </c>
      <c r="AU436" s="44">
        <f t="shared" si="57"/>
        <v>-2.311361197028369</v>
      </c>
      <c r="AV436" s="44">
        <f t="shared" si="58"/>
        <v>-0.99184266516472974</v>
      </c>
      <c r="AW436" s="45">
        <f t="shared" si="59"/>
        <v>3</v>
      </c>
      <c r="AX436" s="45">
        <f t="shared" si="60"/>
        <v>1</v>
      </c>
      <c r="AY436" s="46">
        <f>VLOOKUP(AP436,COND!$A$10:$B$32,2,FALSE)</f>
        <v>1</v>
      </c>
      <c r="AZ436" s="44">
        <f>($AU$3*AU436+$AV$3*AV436+$AW$3*AW436+$AX$3*AX436)*AY436*IF(AQ436&lt;5,0.95,IF(AQ436&lt;7,0.975,1))+$I$3*VLOOKUP(I436,COND!$A$2:$E$7,4,FALSE)+$J$3*VLOOKUP(J436,COND!$A$2:$E$7,2,FALSE)+$K$3*VLOOKUP(K436,COND!$A$2:$E$7,3,FALSE)+IF(BB436="SP",$BB$3,0)+IF($AW436&lt;3,-5,0)+IF(AND($B$2&gt;0,$E436&lt;20),$B$2*25,0)</f>
        <v>34.75087445729973</v>
      </c>
      <c r="BA436" s="47">
        <f>STANDARDIZE(AZ436,AVERAGE($AZ$5:$AZ$445),STDEVP($AZ$5:$AZ$445))</f>
        <v>-0.21087999284300413</v>
      </c>
      <c r="BB436" s="45" t="str">
        <f t="shared" si="61"/>
        <v>SP</v>
      </c>
      <c r="BC436" s="45">
        <v>999</v>
      </c>
      <c r="BD436" s="45">
        <v>431</v>
      </c>
      <c r="BE436" s="45"/>
      <c r="BF436" s="45" t="str">
        <f t="shared" si="62"/>
        <v>Unlikely</v>
      </c>
      <c r="BG436" s="45"/>
      <c r="BH436" s="63">
        <f>INDEX(Table5[[#All],[Ovr]],MATCH(Table3[[#This Row],[PID]],Table5[[#All],[PID]],0))</f>
        <v>535</v>
      </c>
      <c r="BI436" s="63" t="str">
        <f>INDEX(Table5[[#All],[Rnd]],MATCH(Table3[[#This Row],[PID]],Table5[[#All],[PID]],0))</f>
        <v>16</v>
      </c>
      <c r="BJ436" s="63">
        <f>INDEX(Table5[[#All],[Pick]],MATCH(Table3[[#This Row],[PID]],Table5[[#All],[PID]],0))</f>
        <v>34</v>
      </c>
      <c r="BK436" s="63" t="str">
        <f>INDEX(Table5[[#All],[Team]],MATCH(Table3[[#This Row],[PID]],Table5[[#All],[PID]],0))</f>
        <v>Gloucester Fishermen</v>
      </c>
      <c r="BL436" s="63" t="str">
        <f>IF(OR(Table3[[#This Row],[POS]]="SP",Table3[[#This Row],[POS]]="RP",Table3[[#This Row],[POS]]="CL"),"P",INDEX(Batters[[#All],[zScore]],MATCH(Table3[[#This Row],[PID]],Batters[[#All],[PID]],0)))</f>
        <v>P</v>
      </c>
    </row>
    <row r="437" spans="1:64" ht="15" customHeight="1" x14ac:dyDescent="0.3">
      <c r="A437" s="40">
        <v>10684</v>
      </c>
      <c r="B437" s="40" t="s">
        <v>380</v>
      </c>
      <c r="C437" s="40" t="s">
        <v>126</v>
      </c>
      <c r="D437" s="40" t="s">
        <v>869</v>
      </c>
      <c r="E437" s="40">
        <v>17</v>
      </c>
      <c r="F437" s="40" t="s">
        <v>42</v>
      </c>
      <c r="G437" s="40" t="s">
        <v>42</v>
      </c>
      <c r="H437" s="41" t="s">
        <v>561</v>
      </c>
      <c r="I437" s="42" t="s">
        <v>44</v>
      </c>
      <c r="J437" s="40" t="s">
        <v>44</v>
      </c>
      <c r="K437" s="41" t="s">
        <v>47</v>
      </c>
      <c r="L437" s="40">
        <v>3</v>
      </c>
      <c r="M437" s="40">
        <v>1</v>
      </c>
      <c r="N437" s="41">
        <v>1</v>
      </c>
      <c r="O437" s="40">
        <v>4</v>
      </c>
      <c r="P437" s="40">
        <v>1</v>
      </c>
      <c r="Q437" s="41">
        <v>3</v>
      </c>
      <c r="R437" s="40">
        <v>5</v>
      </c>
      <c r="S437" s="40">
        <v>6</v>
      </c>
      <c r="T437" s="40">
        <v>1</v>
      </c>
      <c r="U437" s="40">
        <v>1</v>
      </c>
      <c r="V437" s="40" t="s">
        <v>45</v>
      </c>
      <c r="W437" s="40" t="s">
        <v>45</v>
      </c>
      <c r="X437" s="40">
        <v>3</v>
      </c>
      <c r="Y437" s="40">
        <v>6</v>
      </c>
      <c r="Z437" s="40" t="s">
        <v>45</v>
      </c>
      <c r="AA437" s="40" t="s">
        <v>45</v>
      </c>
      <c r="AB437" s="40" t="s">
        <v>45</v>
      </c>
      <c r="AC437" s="40" t="s">
        <v>45</v>
      </c>
      <c r="AD437" s="40" t="s">
        <v>45</v>
      </c>
      <c r="AE437" s="40" t="s">
        <v>45</v>
      </c>
      <c r="AF437" s="40" t="s">
        <v>45</v>
      </c>
      <c r="AG437" s="40" t="s">
        <v>45</v>
      </c>
      <c r="AH437" s="40" t="s">
        <v>45</v>
      </c>
      <c r="AI437" s="40" t="s">
        <v>45</v>
      </c>
      <c r="AJ437" s="40" t="s">
        <v>45</v>
      </c>
      <c r="AK437" s="40" t="s">
        <v>45</v>
      </c>
      <c r="AL437" s="40" t="s">
        <v>45</v>
      </c>
      <c r="AM437" s="40" t="s">
        <v>45</v>
      </c>
      <c r="AN437" s="40" t="s">
        <v>45</v>
      </c>
      <c r="AO437" s="41" t="s">
        <v>45</v>
      </c>
      <c r="AP437" s="40" t="s">
        <v>60</v>
      </c>
      <c r="AQ437" s="40">
        <v>8</v>
      </c>
      <c r="AR437" s="48" t="s">
        <v>330</v>
      </c>
      <c r="AS437" s="43" t="s">
        <v>476</v>
      </c>
      <c r="AT437" s="43" t="s">
        <v>103</v>
      </c>
      <c r="AU437" s="44">
        <f t="shared" si="57"/>
        <v>-2.3121015889492513</v>
      </c>
      <c r="AV437" s="44">
        <f t="shared" si="58"/>
        <v>-1.1872743815947853</v>
      </c>
      <c r="AW437" s="45">
        <f t="shared" si="59"/>
        <v>3</v>
      </c>
      <c r="AX437" s="45">
        <f t="shared" si="60"/>
        <v>2</v>
      </c>
      <c r="AY437" s="46">
        <f>VLOOKUP(AP437,COND!$A$10:$B$32,2,FALSE)</f>
        <v>1.0249999999999999</v>
      </c>
      <c r="AZ437" s="44">
        <f>($AU$3*AU437+$AV$3*AV437+$AW$3*AW437+$AX$3*AX437)*AY437*IF(AQ437&lt;5,0.95,IF(AQ437&lt;7,0.975,1))+$I$3*VLOOKUP(I437,COND!$A$2:$E$7,4,FALSE)+$J$3*VLOOKUP(J437,COND!$A$2:$E$7,2,FALSE)+$K$3*VLOOKUP(K437,COND!$A$2:$E$7,3,FALSE)+IF(BB437="SP",$BB$3,0)+IF($AW437&lt;3,-5,0)+IF(AND($B$2&gt;0,$E437&lt;20),$B$2*25,0)</f>
        <v>31.136894351572309</v>
      </c>
      <c r="BA437" s="47">
        <f>STANDARDIZE(AZ437,AVERAGE($AZ$5:$AZ$445),STDEVP($AZ$5:$AZ$445))</f>
        <v>-0.46799167172188488</v>
      </c>
      <c r="BB437" s="45" t="str">
        <f t="shared" si="61"/>
        <v>SP</v>
      </c>
      <c r="BC437" s="45">
        <v>999</v>
      </c>
      <c r="BD437" s="45">
        <v>432</v>
      </c>
      <c r="BE437" s="45"/>
      <c r="BF437" s="45" t="str">
        <f t="shared" si="62"/>
        <v>Unlikely</v>
      </c>
      <c r="BG437" s="45"/>
      <c r="BH437" s="63">
        <f>INDEX(Table5[[#All],[Ovr]],MATCH(Table3[[#This Row],[PID]],Table5[[#All],[PID]],0))</f>
        <v>542</v>
      </c>
      <c r="BI437" s="63" t="str">
        <f>INDEX(Table5[[#All],[Rnd]],MATCH(Table3[[#This Row],[PID]],Table5[[#All],[PID]],0))</f>
        <v>17</v>
      </c>
      <c r="BJ437" s="63">
        <f>INDEX(Table5[[#All],[Pick]],MATCH(Table3[[#This Row],[PID]],Table5[[#All],[PID]],0))</f>
        <v>7</v>
      </c>
      <c r="BK437" s="63" t="str">
        <f>INDEX(Table5[[#All],[Team]],MATCH(Table3[[#This Row],[PID]],Table5[[#All],[PID]],0))</f>
        <v>Hartford Harpoon</v>
      </c>
      <c r="BL437" s="63" t="str">
        <f>IF(OR(Table3[[#This Row],[POS]]="SP",Table3[[#This Row],[POS]]="RP",Table3[[#This Row],[POS]]="CL"),"P",INDEX(Batters[[#All],[zScore]],MATCH(Table3[[#This Row],[PID]],Batters[[#All],[PID]],0)))</f>
        <v>P</v>
      </c>
    </row>
    <row r="438" spans="1:64" ht="15" customHeight="1" x14ac:dyDescent="0.3">
      <c r="A438" s="40">
        <v>12874</v>
      </c>
      <c r="B438" s="40" t="s">
        <v>24</v>
      </c>
      <c r="C438" s="40" t="s">
        <v>1572</v>
      </c>
      <c r="D438" s="40" t="s">
        <v>1573</v>
      </c>
      <c r="E438" s="40">
        <v>18</v>
      </c>
      <c r="F438" s="40" t="s">
        <v>53</v>
      </c>
      <c r="G438" s="40" t="s">
        <v>42</v>
      </c>
      <c r="H438" s="41" t="s">
        <v>561</v>
      </c>
      <c r="I438" s="42" t="s">
        <v>44</v>
      </c>
      <c r="J438" s="40" t="s">
        <v>44</v>
      </c>
      <c r="K438" s="41" t="s">
        <v>47</v>
      </c>
      <c r="L438" s="40">
        <v>2</v>
      </c>
      <c r="M438" s="40">
        <v>1</v>
      </c>
      <c r="N438" s="41">
        <v>1</v>
      </c>
      <c r="O438" s="40">
        <v>3</v>
      </c>
      <c r="P438" s="40">
        <v>1</v>
      </c>
      <c r="Q438" s="41">
        <v>3</v>
      </c>
      <c r="R438" s="40">
        <v>4</v>
      </c>
      <c r="S438" s="40">
        <v>5</v>
      </c>
      <c r="T438" s="40" t="s">
        <v>45</v>
      </c>
      <c r="U438" s="40" t="s">
        <v>45</v>
      </c>
      <c r="V438" s="40">
        <v>2</v>
      </c>
      <c r="W438" s="40">
        <v>4</v>
      </c>
      <c r="X438" s="40" t="s">
        <v>45</v>
      </c>
      <c r="Y438" s="40" t="s">
        <v>45</v>
      </c>
      <c r="Z438" s="40" t="s">
        <v>45</v>
      </c>
      <c r="AA438" s="40" t="s">
        <v>45</v>
      </c>
      <c r="AB438" s="40" t="s">
        <v>45</v>
      </c>
      <c r="AC438" s="40" t="s">
        <v>45</v>
      </c>
      <c r="AD438" s="40" t="s">
        <v>45</v>
      </c>
      <c r="AE438" s="40" t="s">
        <v>45</v>
      </c>
      <c r="AF438" s="40" t="s">
        <v>45</v>
      </c>
      <c r="AG438" s="40" t="s">
        <v>45</v>
      </c>
      <c r="AH438" s="40">
        <v>2</v>
      </c>
      <c r="AI438" s="40">
        <v>5</v>
      </c>
      <c r="AJ438" s="40" t="s">
        <v>45</v>
      </c>
      <c r="AK438" s="40" t="s">
        <v>45</v>
      </c>
      <c r="AL438" s="40" t="s">
        <v>45</v>
      </c>
      <c r="AM438" s="40" t="s">
        <v>45</v>
      </c>
      <c r="AN438" s="40" t="s">
        <v>45</v>
      </c>
      <c r="AO438" s="41" t="s">
        <v>45</v>
      </c>
      <c r="AP438" s="40" t="s">
        <v>57</v>
      </c>
      <c r="AQ438" s="40">
        <v>7</v>
      </c>
      <c r="AR438" s="48" t="s">
        <v>330</v>
      </c>
      <c r="AS438" s="43" t="s">
        <v>383</v>
      </c>
      <c r="AT438" s="43" t="s">
        <v>103</v>
      </c>
      <c r="AU438" s="44">
        <f t="shared" si="57"/>
        <v>-2.5067929134584248</v>
      </c>
      <c r="AV438" s="44">
        <f t="shared" si="58"/>
        <v>-1.3819657061039585</v>
      </c>
      <c r="AW438" s="45">
        <f t="shared" si="59"/>
        <v>3</v>
      </c>
      <c r="AX438" s="45">
        <f t="shared" si="60"/>
        <v>0</v>
      </c>
      <c r="AY438" s="46">
        <f>VLOOKUP(AP438,COND!$A$10:$B$32,2,FALSE)</f>
        <v>1</v>
      </c>
      <c r="AZ438" s="44">
        <f>($AU$3*AU438+$AV$3*AV438+$AW$3*AW438+$AX$3*AX438)*AY438*IF(AQ438&lt;5,0.95,IF(AQ438&lt;7,0.975,1))+$I$3*VLOOKUP(I438,COND!$A$2:$E$7,4,FALSE)+$J$3*VLOOKUP(J438,COND!$A$2:$E$7,2,FALSE)+$K$3*VLOOKUP(K438,COND!$A$2:$E$7,3,FALSE)+IF(BB438="SP",$BB$3,0)+IF($AW438&lt;3,-5,0)+IF(AND($B$2&gt;0,$E438&lt;20),$B$2*25,0)</f>
        <v>25.209327295229144</v>
      </c>
      <c r="BA438" s="47">
        <f>STANDARDIZE(AZ438,AVERAGE($AZ$5:$AZ$428),STDEVP($AZ$5:$AZ$428))</f>
        <v>-0.89672834377268729</v>
      </c>
      <c r="BB438" s="45" t="str">
        <f t="shared" si="61"/>
        <v>SP</v>
      </c>
      <c r="BC438" s="45">
        <v>999</v>
      </c>
      <c r="BD438" s="45">
        <v>433</v>
      </c>
      <c r="BE438" s="45"/>
      <c r="BF438" s="45" t="str">
        <f t="shared" si="62"/>
        <v>Unlikely</v>
      </c>
      <c r="BG438" s="45"/>
      <c r="BH438" s="45" t="str">
        <f>INDEX(Table5[[#All],[Ovr]],MATCH(Table3[[#This Row],[PID]],Table5[[#All],[PID]],0))</f>
        <v/>
      </c>
      <c r="BI438" s="45" t="str">
        <f>INDEX(Table5[[#All],[Rnd]],MATCH(Table3[[#This Row],[PID]],Table5[[#All],[PID]],0))</f>
        <v/>
      </c>
      <c r="BJ438" s="45" t="str">
        <f>INDEX(Table5[[#All],[Pick]],MATCH(Table3[[#This Row],[PID]],Table5[[#All],[PID]],0))</f>
        <v/>
      </c>
      <c r="BK438" s="45" t="str">
        <f>INDEX(Table5[[#All],[Team]],MATCH(Table3[[#This Row],[PID]],Table5[[#All],[PID]],0))</f>
        <v/>
      </c>
      <c r="BL438" s="45" t="str">
        <f>IF(OR(Table3[[#This Row],[POS]]="SP",Table3[[#This Row],[POS]]="RP",Table3[[#This Row],[POS]]="CL"),"P",INDEX(Batters[[#All],[zScore]],MATCH(Table3[[#This Row],[PID]],Batters[[#All],[PID]],0)))</f>
        <v>P</v>
      </c>
    </row>
  </sheetData>
  <sortState xmlns:xlrd2="http://schemas.microsoft.com/office/spreadsheetml/2017/richdata2" ref="A115:BL428">
    <sortCondition ref="BH5:BH428"/>
    <sortCondition ref="BD5:BD428"/>
    <sortCondition ref="BC5:BC428"/>
    <sortCondition ref="BE5:BE428"/>
    <sortCondition descending="1" ref="BA5:BA428"/>
    <sortCondition ref="D5:D428"/>
    <sortCondition ref="C5:C428"/>
  </sortState>
  <conditionalFormatting sqref="A5:BG438">
    <cfRule type="expression" dxfId="127" priority="23">
      <formula>IF($BI5&lt;&gt;"",1,0)</formula>
    </cfRule>
  </conditionalFormatting>
  <conditionalFormatting sqref="BM12:XFD428">
    <cfRule type="expression" dxfId="126" priority="14">
      <formula>IF(MOD(ROW(),2)=1,1,0)</formula>
    </cfRule>
  </conditionalFormatting>
  <conditionalFormatting sqref="AQ5:AQ438">
    <cfRule type="colorScale" priority="229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5:O438">
    <cfRule type="colorScale" priority="229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P5:P438">
    <cfRule type="colorScale" priority="229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Q5:Q438">
    <cfRule type="colorScale" priority="229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5:U438 S5:S438 W5:W438 Y5:Y438 AA5:AA438 AC5:AC438 AE5:AE438 AG5:AG438 AI5:AI438 AK5:AK438 AM5:AM438 AO5:AO438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  <pageSetup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E891"/>
  <sheetViews>
    <sheetView tabSelected="1" workbookViewId="0">
      <pane xSplit="9" ySplit="4" topLeftCell="X5" activePane="bottomRight" state="frozenSplit"/>
      <selection pane="topRight" activeCell="J1" sqref="J1"/>
      <selection pane="bottomLeft" activeCell="A5" sqref="A5"/>
      <selection pane="bottomRight" activeCell="B2" sqref="B2"/>
    </sheetView>
  </sheetViews>
  <sheetFormatPr defaultRowHeight="14.4" x14ac:dyDescent="0.3"/>
  <cols>
    <col min="1" max="1" width="8.44140625" customWidth="1"/>
    <col min="2" max="2" width="6.6640625" customWidth="1"/>
    <col min="3" max="3" width="7.44140625" customWidth="1"/>
    <col min="4" max="4" width="6.6640625" style="6" bestFit="1" customWidth="1"/>
    <col min="5" max="5" width="15" style="7" customWidth="1"/>
    <col min="6" max="6" width="16" style="7" customWidth="1"/>
    <col min="7" max="7" width="6.6640625" style="7" bestFit="1" customWidth="1"/>
    <col min="8" max="8" width="4.44140625" style="7" bestFit="1" customWidth="1"/>
    <col min="9" max="9" width="4.33203125" style="3" bestFit="1" customWidth="1"/>
    <col min="10" max="10" width="9.5546875" bestFit="1" customWidth="1"/>
    <col min="11" max="11" width="9.5546875" style="7" bestFit="1" customWidth="1"/>
    <col min="12" max="12" width="5.5546875" style="6" customWidth="1"/>
    <col min="13" max="13" width="7.109375" customWidth="1"/>
    <col min="14" max="14" width="6.5546875" customWidth="1"/>
    <col min="15" max="15" width="11.109375" bestFit="1" customWidth="1"/>
    <col min="16" max="16" width="5.88671875" style="7" customWidth="1"/>
    <col min="17" max="17" width="7.5546875" style="6" hidden="1" customWidth="1"/>
    <col min="18" max="18" width="8.88671875" style="7" hidden="1" customWidth="1"/>
    <col min="19" max="19" width="12.5546875" style="6" hidden="1" customWidth="1"/>
    <col min="20" max="20" width="10.5546875" style="6" customWidth="1"/>
    <col min="21" max="21" width="9.5546875" customWidth="1"/>
    <col min="22" max="22" width="9.109375" style="7" customWidth="1"/>
    <col min="23" max="23" width="9.88671875" customWidth="1"/>
    <col min="24" max="24" width="9.109375" style="3"/>
    <col min="25" max="25" width="6.44140625" bestFit="1" customWidth="1"/>
    <col min="26" max="26" width="6.6640625" bestFit="1" customWidth="1"/>
    <col min="27" max="27" width="6.88671875" bestFit="1" customWidth="1"/>
    <col min="28" max="28" width="29.33203125" bestFit="1" customWidth="1"/>
    <col min="29" max="29" width="11.44140625" bestFit="1" customWidth="1"/>
    <col min="30" max="30" width="11.5546875" bestFit="1" customWidth="1"/>
    <col min="31" max="31" width="10.109375" bestFit="1" customWidth="1"/>
  </cols>
  <sheetData>
    <row r="1" spans="1:31" x14ac:dyDescent="0.3">
      <c r="A1" s="1" t="s">
        <v>421</v>
      </c>
      <c r="B1">
        <v>0</v>
      </c>
      <c r="C1" t="s">
        <v>541</v>
      </c>
      <c r="F1" s="31"/>
      <c r="T1" s="6" t="s">
        <v>289</v>
      </c>
      <c r="U1">
        <v>560</v>
      </c>
      <c r="Y1">
        <v>3</v>
      </c>
      <c r="Z1">
        <v>4</v>
      </c>
      <c r="AA1">
        <v>6</v>
      </c>
      <c r="AB1">
        <v>7</v>
      </c>
      <c r="AC1" t="s">
        <v>205</v>
      </c>
      <c r="AD1" s="5" t="e">
        <f>AVERAGE(AD5:AD683)</f>
        <v>#DIV/0!</v>
      </c>
    </row>
    <row r="2" spans="1:31" x14ac:dyDescent="0.3">
      <c r="A2" s="1" t="s">
        <v>658</v>
      </c>
      <c r="B2">
        <v>0</v>
      </c>
      <c r="F2" s="31"/>
      <c r="W2" s="1" t="s">
        <v>660</v>
      </c>
    </row>
    <row r="3" spans="1:31" x14ac:dyDescent="0.3">
      <c r="A3" s="1" t="s">
        <v>659</v>
      </c>
      <c r="B3">
        <v>0.2</v>
      </c>
      <c r="F3" s="7">
        <f>COUNTIF(G5:G891,"&lt;20")</f>
        <v>478</v>
      </c>
      <c r="G3" s="7">
        <f>COUNTIF(G5:G891,"&gt;19")</f>
        <v>409</v>
      </c>
      <c r="L3" s="6" t="s">
        <v>206</v>
      </c>
      <c r="M3" t="s">
        <v>207</v>
      </c>
      <c r="N3" t="s">
        <v>208</v>
      </c>
      <c r="O3" t="s">
        <v>209</v>
      </c>
      <c r="P3" s="7" t="s">
        <v>210</v>
      </c>
      <c r="S3" s="57">
        <v>4000000</v>
      </c>
      <c r="W3" t="s">
        <v>1613</v>
      </c>
      <c r="Y3">
        <v>24</v>
      </c>
      <c r="Z3">
        <v>8</v>
      </c>
      <c r="AC3" t="s">
        <v>211</v>
      </c>
      <c r="AD3" s="5" t="e">
        <f>MEDIAN(AD5:AD683)</f>
        <v>#NUM!</v>
      </c>
    </row>
    <row r="4" spans="1:31" s="9" customFormat="1" x14ac:dyDescent="0.3">
      <c r="A4" s="9" t="s">
        <v>203</v>
      </c>
      <c r="B4" s="9" t="s">
        <v>227</v>
      </c>
      <c r="C4" s="9" t="s">
        <v>212</v>
      </c>
      <c r="D4" s="8" t="s">
        <v>122</v>
      </c>
      <c r="E4" s="9" t="s">
        <v>374</v>
      </c>
      <c r="F4" s="9" t="s">
        <v>375</v>
      </c>
      <c r="G4" s="9" t="s">
        <v>2</v>
      </c>
      <c r="H4" s="9" t="s">
        <v>3</v>
      </c>
      <c r="I4" s="4" t="s">
        <v>4</v>
      </c>
      <c r="J4" s="9" t="s">
        <v>6</v>
      </c>
      <c r="K4" s="9" t="s">
        <v>7</v>
      </c>
      <c r="L4" s="8" t="s">
        <v>213</v>
      </c>
      <c r="M4" s="9" t="s">
        <v>214</v>
      </c>
      <c r="N4" s="9" t="s">
        <v>206</v>
      </c>
      <c r="O4" s="9" t="s">
        <v>94</v>
      </c>
      <c r="P4" s="9" t="s">
        <v>215</v>
      </c>
      <c r="Q4" s="8" t="s">
        <v>95</v>
      </c>
      <c r="R4" s="9" t="s">
        <v>96</v>
      </c>
      <c r="S4" s="8" t="s">
        <v>216</v>
      </c>
      <c r="T4" s="8" t="s">
        <v>288</v>
      </c>
      <c r="U4" s="9" t="s">
        <v>540</v>
      </c>
      <c r="V4" s="9" t="s">
        <v>539</v>
      </c>
      <c r="W4" s="9" t="s">
        <v>337</v>
      </c>
      <c r="X4" s="4" t="s">
        <v>338</v>
      </c>
      <c r="Y4" s="9" t="s">
        <v>220</v>
      </c>
      <c r="Z4" s="9" t="s">
        <v>221</v>
      </c>
      <c r="AA4" s="9" t="s">
        <v>222</v>
      </c>
      <c r="AB4" s="9" t="s">
        <v>223</v>
      </c>
      <c r="AC4" s="9" t="s">
        <v>224</v>
      </c>
      <c r="AD4" s="9" t="s">
        <v>253</v>
      </c>
      <c r="AE4" s="9" t="s">
        <v>254</v>
      </c>
    </row>
    <row r="5" spans="1:31" s="50" customFormat="1" x14ac:dyDescent="0.3">
      <c r="A5" s="50">
        <v>12563</v>
      </c>
      <c r="B5" s="50">
        <f>COUNTIF(Table5[PID],A5)</f>
        <v>1</v>
      </c>
      <c r="C5" s="50" t="str">
        <f>IF(COUNTIF(Table3[[#All],[PID]],A5)&gt;0,"P","B")</f>
        <v>P</v>
      </c>
      <c r="D5" s="59" t="str">
        <f>IF($C5="B",INDEX(Batters[[#All],[POS]],MATCH(Table5[[#This Row],[PID]],Batters[[#All],[PID]],0)),INDEX(Table3[[#All],[POS]],MATCH(Table5[[#This Row],[PID]],Table3[[#All],[PID]],0)))</f>
        <v>SP</v>
      </c>
      <c r="E5" s="52" t="str">
        <f>IF($C5="B",INDEX(Batters[[#All],[First]],MATCH(Table5[[#This Row],[PID]],Batters[[#All],[PID]],0)),INDEX(Table3[[#All],[First]],MATCH(Table5[[#This Row],[PID]],Table3[[#All],[PID]],0)))</f>
        <v>Takashi</v>
      </c>
      <c r="F5" s="50" t="str">
        <f>IF($C5="B",INDEX(Batters[[#All],[Last]],MATCH(A5,Batters[[#All],[PID]],0)),INDEX(Table3[[#All],[Last]],MATCH(A5,Table3[[#All],[PID]],0)))</f>
        <v>Yamamoto</v>
      </c>
      <c r="G5" s="56">
        <f>IF($C5="B",INDEX(Batters[[#All],[Age]],MATCH(Table5[[#This Row],[PID]],Batters[[#All],[PID]],0)),INDEX(Table3[[#All],[Age]],MATCH(Table5[[#This Row],[PID]],Table3[[#All],[PID]],0)))</f>
        <v>18</v>
      </c>
      <c r="H5" s="52" t="str">
        <f>IF($C5="B",INDEX(Batters[[#All],[B]],MATCH(Table5[[#This Row],[PID]],Batters[[#All],[PID]],0)),INDEX(Table3[[#All],[B]],MATCH(Table5[[#This Row],[PID]],Table3[[#All],[PID]],0)))</f>
        <v>L</v>
      </c>
      <c r="I5" s="52" t="str">
        <f>IF($C5="B",INDEX(Batters[[#All],[T]],MATCH(Table5[[#This Row],[PID]],Batters[[#All],[PID]],0)),INDEX(Table3[[#All],[T]],MATCH(Table5[[#This Row],[PID]],Table3[[#All],[PID]],0)))</f>
        <v>R</v>
      </c>
      <c r="J5" s="52" t="str">
        <f>IF($C5="B",INDEX(Batters[[#All],[WE]],MATCH(Table5[[#This Row],[PID]],Batters[[#All],[PID]],0)),INDEX(Table3[[#All],[WE]],MATCH(Table5[[#This Row],[PID]],Table3[[#All],[PID]],0)))</f>
        <v>High</v>
      </c>
      <c r="K5" s="52" t="str">
        <f>IF($C5="B",INDEX(Batters[[#All],[INT]],MATCH(Table5[[#This Row],[PID]],Batters[[#All],[PID]],0)),INDEX(Table3[[#All],[INT]],MATCH(Table5[[#This Row],[PID]],Table3[[#All],[PID]],0)))</f>
        <v>Normal</v>
      </c>
      <c r="L5" s="60">
        <f>IF($C5="B",INDEX(Batters[[#All],[CON P]],MATCH(Table5[[#This Row],[PID]],Batters[[#All],[PID]],0)),INDEX(Table3[[#All],[STU P]],MATCH(Table5[[#This Row],[PID]],Table3[[#All],[PID]],0)))</f>
        <v>8</v>
      </c>
      <c r="M5" s="56">
        <f>IF($C5="B",INDEX(Batters[[#All],[GAP P]],MATCH(Table5[[#This Row],[PID]],Batters[[#All],[PID]],0)),INDEX(Table3[[#All],[MOV P]],MATCH(Table5[[#This Row],[PID]],Table3[[#All],[PID]],0)))</f>
        <v>5</v>
      </c>
      <c r="N5" s="56">
        <f>IF($C5="B",INDEX(Batters[[#All],[POW P]],MATCH(Table5[[#This Row],[PID]],Batters[[#All],[PID]],0)),INDEX(Table3[[#All],[CON P]],MATCH(Table5[[#This Row],[PID]],Table3[[#All],[PID]],0)))</f>
        <v>8</v>
      </c>
      <c r="O5" s="56" t="str">
        <f>IF($C5="B",INDEX(Batters[[#All],[EYE P]],MATCH(Table5[[#This Row],[PID]],Batters[[#All],[PID]],0)),INDEX(Table3[[#All],[VELO]],MATCH(Table5[[#This Row],[PID]],Table3[[#All],[PID]],0)))</f>
        <v>99-101 Mph</v>
      </c>
      <c r="P5" s="56">
        <f>IF($C5="B",INDEX(Batters[[#All],[K P]],MATCH(Table5[[#This Row],[PID]],Batters[[#All],[PID]],0)),INDEX(Table3[[#All],[STM]],MATCH(Table5[[#This Row],[PID]],Table3[[#All],[PID]],0)))</f>
        <v>9</v>
      </c>
      <c r="Q5" s="61">
        <f>IF($C5="B",INDEX(Batters[[#All],[Tot]],MATCH(Table5[[#This Row],[PID]],Batters[[#All],[PID]],0)),INDEX(Table3[[#All],[Tot]],MATCH(Table5[[#This Row],[PID]],Table3[[#All],[PID]],0)))</f>
        <v>92.350063466287054</v>
      </c>
      <c r="R5" s="52">
        <f>IF($C5="B",INDEX(Batters[[#All],[zScore]],MATCH(Table5[[#This Row],[PID]],Batters[[#All],[PID]],0)),INDEX(Table3[[#All],[zScore]],MATCH(Table5[[#This Row],[PID]],Table3[[#All],[PID]],0)))</f>
        <v>3.88416426387561</v>
      </c>
      <c r="S5" s="58" t="str">
        <f>IF($C5="B",INDEX(Batters[[#All],[DEM]],MATCH(Table5[[#This Row],[PID]],Batters[[#All],[PID]],0)),INDEX(Table3[[#All],[DEM]],MATCH(Table5[[#This Row],[PID]],Table3[[#All],[PID]],0)))</f>
        <v>$3.6m</v>
      </c>
      <c r="T5" s="62">
        <f>IF($C5="B",INDEX(Batters[[#All],[Rnk]],MATCH(Table5[[#This Row],[PID]],Batters[[#All],[PID]],0)),INDEX(Table3[[#All],[Rnk]],MATCH(Table5[[#This Row],[PID]],Table3[[#All],[PID]],0)))</f>
        <v>1</v>
      </c>
      <c r="U5" s="67">
        <f>IF($C5="B",VLOOKUP($A5,Bat!$A$4:$BA$1314,47,FALSE),VLOOKUP($A5,Pit!$A$4:$BF$1214,56,FALSE))</f>
        <v>1</v>
      </c>
      <c r="V5" s="50">
        <f>IF($C5="B",VLOOKUP($A5,Bat!$A$4:$BA$1314,48,FALSE),VLOOKUP($A5,Pit!$A$4:$BF$1214,57,FALSE))</f>
        <v>0</v>
      </c>
      <c r="W5" s="50">
        <v>1</v>
      </c>
      <c r="X5" s="51">
        <f>RANK(Table5[[#This Row],[zScore]],Table5[[#All],[zScore]])</f>
        <v>1</v>
      </c>
      <c r="Y5" s="50">
        <f>IFERROR(INDEX(DraftResults[[#All],[OVR]],MATCH(Table5[[#This Row],[PID]],DraftResults[[#All],[Player ID]],0)),"")</f>
        <v>4</v>
      </c>
      <c r="Z5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1</v>
      </c>
      <c r="AA5" s="50">
        <f>IFERROR(INDEX(DraftResults[[#All],[Pick in Round]],MATCH(Table5[[#This Row],[PID]],DraftResults[[#All],[Player ID]],0)),"")</f>
        <v>4</v>
      </c>
      <c r="AB5" s="50" t="str">
        <f>IFERROR(INDEX(DraftResults[[#All],[Team Name]],MATCH(Table5[[#This Row],[PID]],DraftResults[[#All],[Player ID]],0)),"")</f>
        <v>Palm Springs Codgers</v>
      </c>
      <c r="AC5" s="50">
        <f>IF(Table5[[#This Row],[Ovr]]="","",IF(Table5[[#This Row],[cmbList]]="","",Table5[[#This Row],[cmbList]]-Table5[[#This Row],[Ovr]]))</f>
        <v>-3</v>
      </c>
      <c r="AD5" s="54" t="str">
        <f>IF(ISERROR(VLOOKUP($AB5&amp;"-"&amp;$E5&amp;" "&amp;F5,Bonuses!$B$1:$G$1006,4,FALSE)),"",INT(VLOOKUP($AB5&amp;"-"&amp;$E5&amp;" "&amp;$F5,Bonuses!$B$1:$G$1006,4,FALSE)))</f>
        <v/>
      </c>
      <c r="AE5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1.4 (4) - SP Takashi Yamamoto</v>
      </c>
    </row>
    <row r="6" spans="1:31" s="50" customFormat="1" x14ac:dyDescent="0.3">
      <c r="A6" s="50">
        <v>8967</v>
      </c>
      <c r="B6" s="50">
        <f>COUNTIF(Table5[PID],A6)</f>
        <v>1</v>
      </c>
      <c r="C6" s="50" t="str">
        <f>IF(COUNTIF(Table3[[#All],[PID]],A6)&gt;0,"P","B")</f>
        <v>B</v>
      </c>
      <c r="D6" s="59" t="str">
        <f>IF($C6="B",INDEX(Batters[[#All],[POS]],MATCH(Table5[[#This Row],[PID]],Batters[[#All],[PID]],0)),INDEX(Table3[[#All],[POS]],MATCH(Table5[[#This Row],[PID]],Table3[[#All],[PID]],0)))</f>
        <v>LF</v>
      </c>
      <c r="E6" s="52" t="str">
        <f>IF($C6="B",INDEX(Batters[[#All],[First]],MATCH(Table5[[#This Row],[PID]],Batters[[#All],[PID]],0)),INDEX(Table3[[#All],[First]],MATCH(Table5[[#This Row],[PID]],Table3[[#All],[PID]],0)))</f>
        <v>John</v>
      </c>
      <c r="F6" s="50" t="str">
        <f>IF($C6="B",INDEX(Batters[[#All],[Last]],MATCH(A6,Batters[[#All],[PID]],0)),INDEX(Table3[[#All],[Last]],MATCH(A6,Table3[[#All],[PID]],0)))</f>
        <v>Reeves</v>
      </c>
      <c r="G6" s="56">
        <f>IF($C6="B",INDEX(Batters[[#All],[Age]],MATCH(Table5[[#This Row],[PID]],Batters[[#All],[PID]],0)),INDEX(Table3[[#All],[Age]],MATCH(Table5[[#This Row],[PID]],Table3[[#All],[PID]],0)))</f>
        <v>17</v>
      </c>
      <c r="H6" s="52" t="str">
        <f>IF($C6="B",INDEX(Batters[[#All],[B]],MATCH(Table5[[#This Row],[PID]],Batters[[#All],[PID]],0)),INDEX(Table3[[#All],[B]],MATCH(Table5[[#This Row],[PID]],Table3[[#All],[PID]],0)))</f>
        <v>L</v>
      </c>
      <c r="I6" s="52" t="str">
        <f>IF($C6="B",INDEX(Batters[[#All],[T]],MATCH(Table5[[#This Row],[PID]],Batters[[#All],[PID]],0)),INDEX(Table3[[#All],[T]],MATCH(Table5[[#This Row],[PID]],Table3[[#All],[PID]],0)))</f>
        <v>L</v>
      </c>
      <c r="J6" s="52" t="str">
        <f>IF($C6="B",INDEX(Batters[[#All],[WE]],MATCH(Table5[[#This Row],[PID]],Batters[[#All],[PID]],0)),INDEX(Table3[[#All],[WE]],MATCH(Table5[[#This Row],[PID]],Table3[[#All],[PID]],0)))</f>
        <v>Normal</v>
      </c>
      <c r="K6" s="52" t="str">
        <f>IF($C6="B",INDEX(Batters[[#All],[INT]],MATCH(Table5[[#This Row],[PID]],Batters[[#All],[PID]],0)),INDEX(Table3[[#All],[INT]],MATCH(Table5[[#This Row],[PID]],Table3[[#All],[PID]],0)))</f>
        <v>Normal</v>
      </c>
      <c r="L6" s="60">
        <f>IF($C6="B",INDEX(Batters[[#All],[CON P]],MATCH(Table5[[#This Row],[PID]],Batters[[#All],[PID]],0)),INDEX(Table3[[#All],[STU P]],MATCH(Table5[[#This Row],[PID]],Table3[[#All],[PID]],0)))</f>
        <v>7</v>
      </c>
      <c r="M6" s="56">
        <f>IF($C6="B",INDEX(Batters[[#All],[GAP P]],MATCH(Table5[[#This Row],[PID]],Batters[[#All],[PID]],0)),INDEX(Table3[[#All],[MOV P]],MATCH(Table5[[#This Row],[PID]],Table3[[#All],[PID]],0)))</f>
        <v>8</v>
      </c>
      <c r="N6" s="56">
        <f>IF($C6="B",INDEX(Batters[[#All],[POW P]],MATCH(Table5[[#This Row],[PID]],Batters[[#All],[PID]],0)),INDEX(Table3[[#All],[CON P]],MATCH(Table5[[#This Row],[PID]],Table3[[#All],[PID]],0)))</f>
        <v>9</v>
      </c>
      <c r="O6" s="56">
        <f>IF($C6="B",INDEX(Batters[[#All],[EYE P]],MATCH(Table5[[#This Row],[PID]],Batters[[#All],[PID]],0)),INDEX(Table3[[#All],[VELO]],MATCH(Table5[[#This Row],[PID]],Table3[[#All],[PID]],0)))</f>
        <v>5</v>
      </c>
      <c r="P6" s="56">
        <f>IF($C6="B",INDEX(Batters[[#All],[K P]],MATCH(Table5[[#This Row],[PID]],Batters[[#All],[PID]],0)),INDEX(Table3[[#All],[STM]],MATCH(Table5[[#This Row],[PID]],Table3[[#All],[PID]],0)))</f>
        <v>5</v>
      </c>
      <c r="Q6" s="61">
        <f>IF($C6="B",INDEX(Batters[[#All],[Tot]],MATCH(Table5[[#This Row],[PID]],Batters[[#All],[PID]],0)),INDEX(Table3[[#All],[Tot]],MATCH(Table5[[#This Row],[PID]],Table3[[#All],[PID]],0)))</f>
        <v>67.308675605339459</v>
      </c>
      <c r="R6" s="52">
        <f>IF($C6="B",INDEX(Batters[[#All],[zScore]],MATCH(Table5[[#This Row],[PID]],Batters[[#All],[PID]],0)),INDEX(Table3[[#All],[zScore]],MATCH(Table5[[#This Row],[PID]],Table3[[#All],[PID]],0)))</f>
        <v>3.5163987723445422</v>
      </c>
      <c r="S6" s="58" t="str">
        <f>IF($C6="B",INDEX(Batters[[#All],[DEM]],MATCH(Table5[[#This Row],[PID]],Batters[[#All],[PID]],0)),INDEX(Table3[[#All],[DEM]],MATCH(Table5[[#This Row],[PID]],Table3[[#All],[PID]],0)))</f>
        <v>$3.0m</v>
      </c>
      <c r="T6" s="62">
        <f>IF($C6="B",INDEX(Batters[[#All],[Rnk]],MATCH(Table5[[#This Row],[PID]],Batters[[#All],[PID]],0)),INDEX(Table3[[#All],[Rnk]],MATCH(Table5[[#This Row],[PID]],Table3[[#All],[PID]],0)))</f>
        <v>1</v>
      </c>
      <c r="U6" s="67">
        <f>IF($C6="B",VLOOKUP($A6,Bat!$A$4:$BA$1314,47,FALSE),VLOOKUP($A6,Pit!$A$4:$BF$1214,56,FALSE))</f>
        <v>1</v>
      </c>
      <c r="V6" s="50">
        <f>IF($C6="B",VLOOKUP($A6,Bat!$A$4:$BA$1314,48,FALSE),VLOOKUP($A6,Pit!$A$4:$BF$1214,57,FALSE))</f>
        <v>1</v>
      </c>
      <c r="W6" s="50">
        <v>2</v>
      </c>
      <c r="X6" s="51">
        <f>RANK(Table5[[#This Row],[zScore]],Table5[[#All],[zScore]])</f>
        <v>4</v>
      </c>
      <c r="Y6" s="50">
        <f>IFERROR(INDEX(DraftResults[[#All],[OVR]],MATCH(Table5[[#This Row],[PID]],DraftResults[[#All],[Player ID]],0)),"")</f>
        <v>5</v>
      </c>
      <c r="Z6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1</v>
      </c>
      <c r="AA6" s="50">
        <f>IFERROR(INDEX(DraftResults[[#All],[Pick in Round]],MATCH(Table5[[#This Row],[PID]],DraftResults[[#All],[Player ID]],0)),"")</f>
        <v>5</v>
      </c>
      <c r="AB6" s="50" t="str">
        <f>IFERROR(INDEX(DraftResults[[#All],[Team Name]],MATCH(Table5[[#This Row],[PID]],DraftResults[[#All],[Player ID]],0)),"")</f>
        <v>Tempe Knights</v>
      </c>
      <c r="AC6" s="50">
        <f>IF(Table5[[#This Row],[Ovr]]="","",IF(Table5[[#This Row],[cmbList]]="","",Table5[[#This Row],[cmbList]]-Table5[[#This Row],[Ovr]]))</f>
        <v>-3</v>
      </c>
      <c r="AD6" s="54" t="str">
        <f>IF(ISERROR(VLOOKUP($AB6&amp;"-"&amp;$E6&amp;" "&amp;F6,Bonuses!$B$1:$G$1006,4,FALSE)),"",INT(VLOOKUP($AB6&amp;"-"&amp;$E6&amp;" "&amp;$F6,Bonuses!$B$1:$G$1006,4,FALSE)))</f>
        <v/>
      </c>
      <c r="AE6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1.5 (5) - LF John Reeves</v>
      </c>
    </row>
    <row r="7" spans="1:31" s="50" customFormat="1" x14ac:dyDescent="0.3">
      <c r="A7" s="67">
        <v>11539</v>
      </c>
      <c r="B7" s="68">
        <f>COUNTIF(Table5[PID],A7)</f>
        <v>1</v>
      </c>
      <c r="C7" s="68" t="str">
        <f>IF(COUNTIF(Table3[[#All],[PID]],A7)&gt;0,"P","B")</f>
        <v>B</v>
      </c>
      <c r="D7" s="59" t="str">
        <f>IF($C7="B",INDEX(Batters[[#All],[POS]],MATCH(Table5[[#This Row],[PID]],Batters[[#All],[PID]],0)),INDEX(Table3[[#All],[POS]],MATCH(Table5[[#This Row],[PID]],Table3[[#All],[PID]],0)))</f>
        <v>SS</v>
      </c>
      <c r="E7" s="52" t="str">
        <f>IF($C7="B",INDEX(Batters[[#All],[First]],MATCH(Table5[[#This Row],[PID]],Batters[[#All],[PID]],0)),INDEX(Table3[[#All],[First]],MATCH(Table5[[#This Row],[PID]],Table3[[#All],[PID]],0)))</f>
        <v>Dan</v>
      </c>
      <c r="F7" s="55" t="str">
        <f>IF($C7="B",INDEX(Batters[[#All],[Last]],MATCH(A7,Batters[[#All],[PID]],0)),INDEX(Table3[[#All],[Last]],MATCH(A7,Table3[[#All],[PID]],0)))</f>
        <v>Sheehan</v>
      </c>
      <c r="G7" s="56">
        <f>IF($C7="B",INDEX(Batters[[#All],[Age]],MATCH(Table5[[#This Row],[PID]],Batters[[#All],[PID]],0)),INDEX(Table3[[#All],[Age]],MATCH(Table5[[#This Row],[PID]],Table3[[#All],[PID]],0)))</f>
        <v>17</v>
      </c>
      <c r="H7" s="52" t="str">
        <f>IF($C7="B",INDEX(Batters[[#All],[B]],MATCH(Table5[[#This Row],[PID]],Batters[[#All],[PID]],0)),INDEX(Table3[[#All],[B]],MATCH(Table5[[#This Row],[PID]],Table3[[#All],[PID]],0)))</f>
        <v>R</v>
      </c>
      <c r="I7" s="52" t="str">
        <f>IF($C7="B",INDEX(Batters[[#All],[T]],MATCH(Table5[[#This Row],[PID]],Batters[[#All],[PID]],0)),INDEX(Table3[[#All],[T]],MATCH(Table5[[#This Row],[PID]],Table3[[#All],[PID]],0)))</f>
        <v>R</v>
      </c>
      <c r="J7" s="69" t="str">
        <f>IF($C7="B",INDEX(Batters[[#All],[WE]],MATCH(Table5[[#This Row],[PID]],Batters[[#All],[PID]],0)),INDEX(Table3[[#All],[WE]],MATCH(Table5[[#This Row],[PID]],Table3[[#All],[PID]],0)))</f>
        <v>High</v>
      </c>
      <c r="K7" s="52" t="str">
        <f>IF($C7="B",INDEX(Batters[[#All],[INT]],MATCH(Table5[[#This Row],[PID]],Batters[[#All],[PID]],0)),INDEX(Table3[[#All],[INT]],MATCH(Table5[[#This Row],[PID]],Table3[[#All],[PID]],0)))</f>
        <v>Normal</v>
      </c>
      <c r="L7" s="60">
        <f>IF($C7="B",INDEX(Batters[[#All],[CON P]],MATCH(Table5[[#This Row],[PID]],Batters[[#All],[PID]],0)),INDEX(Table3[[#All],[STU P]],MATCH(Table5[[#This Row],[PID]],Table3[[#All],[PID]],0)))</f>
        <v>7</v>
      </c>
      <c r="M7" s="70">
        <f>IF($C7="B",INDEX(Batters[[#All],[GAP P]],MATCH(Table5[[#This Row],[PID]],Batters[[#All],[PID]],0)),INDEX(Table3[[#All],[MOV P]],MATCH(Table5[[#This Row],[PID]],Table3[[#All],[PID]],0)))</f>
        <v>7</v>
      </c>
      <c r="N7" s="70">
        <f>IF($C7="B",INDEX(Batters[[#All],[POW P]],MATCH(Table5[[#This Row],[PID]],Batters[[#All],[PID]],0)),INDEX(Table3[[#All],[CON P]],MATCH(Table5[[#This Row],[PID]],Table3[[#All],[PID]],0)))</f>
        <v>2</v>
      </c>
      <c r="O7" s="70">
        <f>IF($C7="B",INDEX(Batters[[#All],[EYE P]],MATCH(Table5[[#This Row],[PID]],Batters[[#All],[PID]],0)),INDEX(Table3[[#All],[VELO]],MATCH(Table5[[#This Row],[PID]],Table3[[#All],[PID]],0)))</f>
        <v>5</v>
      </c>
      <c r="P7" s="56">
        <f>IF($C7="B",INDEX(Batters[[#All],[K P]],MATCH(Table5[[#This Row],[PID]],Batters[[#All],[PID]],0)),INDEX(Table3[[#All],[STM]],MATCH(Table5[[#This Row],[PID]],Table3[[#All],[PID]],0)))</f>
        <v>8</v>
      </c>
      <c r="Q7" s="61">
        <f>IF($C7="B",INDEX(Batters[[#All],[Tot]],MATCH(Table5[[#This Row],[PID]],Batters[[#All],[PID]],0)),INDEX(Table3[[#All],[Tot]],MATCH(Table5[[#This Row],[PID]],Table3[[#All],[PID]],0)))</f>
        <v>62.563242388738594</v>
      </c>
      <c r="R7" s="52">
        <f>IF($C7="B",INDEX(Batters[[#All],[zScore]],MATCH(Table5[[#This Row],[PID]],Batters[[#All],[PID]],0)),INDEX(Table3[[#All],[zScore]],MATCH(Table5[[#This Row],[PID]],Table3[[#All],[PID]],0)))</f>
        <v>2.8237168562605102</v>
      </c>
      <c r="S7" s="75" t="str">
        <f>IF($C7="B",INDEX(Batters[[#All],[DEM]],MATCH(Table5[[#This Row],[PID]],Batters[[#All],[PID]],0)),INDEX(Table3[[#All],[DEM]],MATCH(Table5[[#This Row],[PID]],Table3[[#All],[PID]],0)))</f>
        <v>$1.0m</v>
      </c>
      <c r="T7" s="72">
        <f>IF($C7="B",INDEX(Batters[[#All],[Rnk]],MATCH(Table5[[#This Row],[PID]],Batters[[#All],[PID]],0)),INDEX(Table3[[#All],[Rnk]],MATCH(Table5[[#This Row],[PID]],Table3[[#All],[PID]],0)))</f>
        <v>1</v>
      </c>
      <c r="U7" s="67">
        <f>IF($C7="B",VLOOKUP($A7,Bat!$A$4:$BA$1314,47,FALSE),VLOOKUP($A7,Pit!$A$4:$BF$1214,56,FALSE))</f>
        <v>2</v>
      </c>
      <c r="V7" s="50">
        <f>IF($C7="B",VLOOKUP($A7,Bat!$A$4:$BA$1314,48,FALSE),VLOOKUP($A7,Pit!$A$4:$BF$1214,57,FALSE))</f>
        <v>2</v>
      </c>
      <c r="W7" s="68">
        <v>3</v>
      </c>
      <c r="X7" s="71">
        <f>RANK(Table5[[#This Row],[zScore]],Table5[[#All],[zScore]])</f>
        <v>11</v>
      </c>
      <c r="Y7" s="68">
        <f>IFERROR(INDEX(DraftResults[[#All],[OVR]],MATCH(Table5[[#This Row],[PID]],DraftResults[[#All],[Player ID]],0)),"")</f>
        <v>30</v>
      </c>
      <c r="Z7" s="7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1</v>
      </c>
      <c r="AA7" s="68">
        <f>IFERROR(INDEX(DraftResults[[#All],[Pick in Round]],MATCH(Table5[[#This Row],[PID]],DraftResults[[#All],[Player ID]],0)),"")</f>
        <v>30</v>
      </c>
      <c r="AB7" s="68" t="str">
        <f>IFERROR(INDEX(DraftResults[[#All],[Team Name]],MATCH(Table5[[#This Row],[PID]],DraftResults[[#All],[Player ID]],0)),"")</f>
        <v>Charleston Statesmen</v>
      </c>
      <c r="AC7" s="68">
        <f>IF(Table5[[#This Row],[Ovr]]="","",IF(Table5[[#This Row],[cmbList]]="","",Table5[[#This Row],[cmbList]]-Table5[[#This Row],[Ovr]]))</f>
        <v>-27</v>
      </c>
      <c r="AD7" s="74" t="str">
        <f>IF(ISERROR(VLOOKUP($AB7&amp;"-"&amp;$E7&amp;" "&amp;F7,Bonuses!$B$1:$G$1006,4,FALSE)),"",INT(VLOOKUP($AB7&amp;"-"&amp;$E7&amp;" "&amp;$F7,Bonuses!$B$1:$G$1006,4,FALSE)))</f>
        <v/>
      </c>
      <c r="AE7" s="68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1.30 (30) - SS Dan Sheehan</v>
      </c>
    </row>
    <row r="8" spans="1:31" s="50" customFormat="1" x14ac:dyDescent="0.3">
      <c r="A8" s="67">
        <v>10538</v>
      </c>
      <c r="B8" s="68">
        <f>COUNTIF(Table5[PID],A8)</f>
        <v>1</v>
      </c>
      <c r="C8" s="68" t="str">
        <f>IF(COUNTIF(Table3[[#All],[PID]],A8)&gt;0,"P","B")</f>
        <v>B</v>
      </c>
      <c r="D8" s="59" t="str">
        <f>IF($C8="B",INDEX(Batters[[#All],[POS]],MATCH(Table5[[#This Row],[PID]],Batters[[#All],[PID]],0)),INDEX(Table3[[#All],[POS]],MATCH(Table5[[#This Row],[PID]],Table3[[#All],[PID]],0)))</f>
        <v>CF</v>
      </c>
      <c r="E8" s="52" t="str">
        <f>IF($C8="B",INDEX(Batters[[#All],[First]],MATCH(Table5[[#This Row],[PID]],Batters[[#All],[PID]],0)),INDEX(Table3[[#All],[First]],MATCH(Table5[[#This Row],[PID]],Table3[[#All],[PID]],0)))</f>
        <v>Gerald</v>
      </c>
      <c r="F8" s="55" t="str">
        <f>IF($C8="B",INDEX(Batters[[#All],[Last]],MATCH(A8,Batters[[#All],[PID]],0)),INDEX(Table3[[#All],[Last]],MATCH(A8,Table3[[#All],[PID]],0)))</f>
        <v>Wolfe</v>
      </c>
      <c r="G8" s="56">
        <f>IF($C8="B",INDEX(Batters[[#All],[Age]],MATCH(Table5[[#This Row],[PID]],Batters[[#All],[PID]],0)),INDEX(Table3[[#All],[Age]],MATCH(Table5[[#This Row],[PID]],Table3[[#All],[PID]],0)))</f>
        <v>18</v>
      </c>
      <c r="H8" s="52" t="str">
        <f>IF($C8="B",INDEX(Batters[[#All],[B]],MATCH(Table5[[#This Row],[PID]],Batters[[#All],[PID]],0)),INDEX(Table3[[#All],[B]],MATCH(Table5[[#This Row],[PID]],Table3[[#All],[PID]],0)))</f>
        <v>R</v>
      </c>
      <c r="I8" s="52" t="str">
        <f>IF($C8="B",INDEX(Batters[[#All],[T]],MATCH(Table5[[#This Row],[PID]],Batters[[#All],[PID]],0)),INDEX(Table3[[#All],[T]],MATCH(Table5[[#This Row],[PID]],Table3[[#All],[PID]],0)))</f>
        <v>R</v>
      </c>
      <c r="J8" s="69" t="str">
        <f>IF($C8="B",INDEX(Batters[[#All],[WE]],MATCH(Table5[[#This Row],[PID]],Batters[[#All],[PID]],0)),INDEX(Table3[[#All],[WE]],MATCH(Table5[[#This Row],[PID]],Table3[[#All],[PID]],0)))</f>
        <v>Normal</v>
      </c>
      <c r="K8" s="52" t="str">
        <f>IF($C8="B",INDEX(Batters[[#All],[INT]],MATCH(Table5[[#This Row],[PID]],Batters[[#All],[PID]],0)),INDEX(Table3[[#All],[INT]],MATCH(Table5[[#This Row],[PID]],Table3[[#All],[PID]],0)))</f>
        <v>Normal</v>
      </c>
      <c r="L8" s="60">
        <f>IF($C8="B",INDEX(Batters[[#All],[CON P]],MATCH(Table5[[#This Row],[PID]],Batters[[#All],[PID]],0)),INDEX(Table3[[#All],[STU P]],MATCH(Table5[[#This Row],[PID]],Table3[[#All],[PID]],0)))</f>
        <v>6</v>
      </c>
      <c r="M8" s="70">
        <f>IF($C8="B",INDEX(Batters[[#All],[GAP P]],MATCH(Table5[[#This Row],[PID]],Batters[[#All],[PID]],0)),INDEX(Table3[[#All],[MOV P]],MATCH(Table5[[#This Row],[PID]],Table3[[#All],[PID]],0)))</f>
        <v>7</v>
      </c>
      <c r="N8" s="70">
        <f>IF($C8="B",INDEX(Batters[[#All],[POW P]],MATCH(Table5[[#This Row],[PID]],Batters[[#All],[PID]],0)),INDEX(Table3[[#All],[CON P]],MATCH(Table5[[#This Row],[PID]],Table3[[#All],[PID]],0)))</f>
        <v>8</v>
      </c>
      <c r="O8" s="70">
        <f>IF($C8="B",INDEX(Batters[[#All],[EYE P]],MATCH(Table5[[#This Row],[PID]],Batters[[#All],[PID]],0)),INDEX(Table3[[#All],[VELO]],MATCH(Table5[[#This Row],[PID]],Table3[[#All],[PID]],0)))</f>
        <v>6</v>
      </c>
      <c r="P8" s="56">
        <f>IF($C8="B",INDEX(Batters[[#All],[K P]],MATCH(Table5[[#This Row],[PID]],Batters[[#All],[PID]],0)),INDEX(Table3[[#All],[STM]],MATCH(Table5[[#This Row],[PID]],Table3[[#All],[PID]],0)))</f>
        <v>4</v>
      </c>
      <c r="Q8" s="61">
        <f>IF($C8="B",INDEX(Batters[[#All],[Tot]],MATCH(Table5[[#This Row],[PID]],Batters[[#All],[PID]],0)),INDEX(Table3[[#All],[Tot]],MATCH(Table5[[#This Row],[PID]],Table3[[#All],[PID]],0)))</f>
        <v>61.663747058846717</v>
      </c>
      <c r="R8" s="52">
        <f>IF($C8="B",INDEX(Batters[[#All],[zScore]],MATCH(Table5[[#This Row],[PID]],Batters[[#All],[PID]],0)),INDEX(Table3[[#All],[zScore]],MATCH(Table5[[#This Row],[PID]],Table3[[#All],[PID]],0)))</f>
        <v>2.6924192233197513</v>
      </c>
      <c r="S8" s="75" t="str">
        <f>IF($C8="B",INDEX(Batters[[#All],[DEM]],MATCH(Table5[[#This Row],[PID]],Batters[[#All],[PID]],0)),INDEX(Table3[[#All],[DEM]],MATCH(Table5[[#This Row],[PID]],Table3[[#All],[PID]],0)))</f>
        <v>$2.6m</v>
      </c>
      <c r="T8" s="72">
        <f>IF($C8="B",INDEX(Batters[[#All],[Rnk]],MATCH(Table5[[#This Row],[PID]],Batters[[#All],[PID]],0)),INDEX(Table3[[#All],[Rnk]],MATCH(Table5[[#This Row],[PID]],Table3[[#All],[PID]],0)))</f>
        <v>1</v>
      </c>
      <c r="U8" s="67">
        <f>IF($C8="B",VLOOKUP($A8,Bat!$A$4:$BA$1314,47,FALSE),VLOOKUP($A8,Pit!$A$4:$BF$1214,56,FALSE))</f>
        <v>3</v>
      </c>
      <c r="V8" s="50">
        <f>IF($C8="B",VLOOKUP($A8,Bat!$A$4:$BA$1314,48,FALSE),VLOOKUP($A8,Pit!$A$4:$BF$1214,57,FALSE))</f>
        <v>3</v>
      </c>
      <c r="W8" s="68">
        <v>4</v>
      </c>
      <c r="X8" s="71">
        <f>RANK(Table5[[#This Row],[zScore]],Table5[[#All],[zScore]])</f>
        <v>13</v>
      </c>
      <c r="Y8" s="68">
        <f>IFERROR(INDEX(DraftResults[[#All],[OVR]],MATCH(Table5[[#This Row],[PID]],DraftResults[[#All],[Player ID]],0)),"")</f>
        <v>10</v>
      </c>
      <c r="Z8" s="7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1</v>
      </c>
      <c r="AA8" s="68">
        <f>IFERROR(INDEX(DraftResults[[#All],[Pick in Round]],MATCH(Table5[[#This Row],[PID]],DraftResults[[#All],[Player ID]],0)),"")</f>
        <v>10</v>
      </c>
      <c r="AB8" s="68" t="str">
        <f>IFERROR(INDEX(DraftResults[[#All],[Team Name]],MATCH(Table5[[#This Row],[PID]],DraftResults[[#All],[Player ID]],0)),"")</f>
        <v>Gloucester Fishermen</v>
      </c>
      <c r="AC8" s="68">
        <f>IF(Table5[[#This Row],[Ovr]]="","",IF(Table5[[#This Row],[cmbList]]="","",Table5[[#This Row],[cmbList]]-Table5[[#This Row],[Ovr]]))</f>
        <v>-6</v>
      </c>
      <c r="AD8" s="74" t="str">
        <f>IF(ISERROR(VLOOKUP($AB8&amp;"-"&amp;$E8&amp;" "&amp;F8,Bonuses!$B$1:$G$1006,4,FALSE)),"",INT(VLOOKUP($AB8&amp;"-"&amp;$E8&amp;" "&amp;$F8,Bonuses!$B$1:$G$1006,4,FALSE)))</f>
        <v/>
      </c>
      <c r="AE8" s="68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1.10 (10) - CF Gerald Wolfe</v>
      </c>
    </row>
    <row r="9" spans="1:31" s="50" customFormat="1" x14ac:dyDescent="0.3">
      <c r="A9" s="67">
        <v>8335</v>
      </c>
      <c r="B9" s="68">
        <f>COUNTIF(Table5[PID],A9)</f>
        <v>1</v>
      </c>
      <c r="C9" s="68" t="str">
        <f>IF(COUNTIF(Table3[[#All],[PID]],A9)&gt;0,"P","B")</f>
        <v>P</v>
      </c>
      <c r="D9" s="59" t="str">
        <f>IF($C9="B",INDEX(Batters[[#All],[POS]],MATCH(Table5[[#This Row],[PID]],Batters[[#All],[PID]],0)),INDEX(Table3[[#All],[POS]],MATCH(Table5[[#This Row],[PID]],Table3[[#All],[PID]],0)))</f>
        <v>CL</v>
      </c>
      <c r="E9" s="52" t="str">
        <f>IF($C9="B",INDEX(Batters[[#All],[First]],MATCH(Table5[[#This Row],[PID]],Batters[[#All],[PID]],0)),INDEX(Table3[[#All],[First]],MATCH(Table5[[#This Row],[PID]],Table3[[#All],[PID]],0)))</f>
        <v>Shirai</v>
      </c>
      <c r="F9" s="55" t="str">
        <f>IF($C9="B",INDEX(Batters[[#All],[Last]],MATCH(A9,Batters[[#All],[PID]],0)),INDEX(Table3[[#All],[Last]],MATCH(A9,Table3[[#All],[PID]],0)))</f>
        <v>Mori</v>
      </c>
      <c r="G9" s="56">
        <f>IF($C9="B",INDEX(Batters[[#All],[Age]],MATCH(Table5[[#This Row],[PID]],Batters[[#All],[PID]],0)),INDEX(Table3[[#All],[Age]],MATCH(Table5[[#This Row],[PID]],Table3[[#All],[PID]],0)))</f>
        <v>21</v>
      </c>
      <c r="H9" s="52" t="str">
        <f>IF($C9="B",INDEX(Batters[[#All],[B]],MATCH(Table5[[#This Row],[PID]],Batters[[#All],[PID]],0)),INDEX(Table3[[#All],[B]],MATCH(Table5[[#This Row],[PID]],Table3[[#All],[PID]],0)))</f>
        <v>R</v>
      </c>
      <c r="I9" s="52" t="str">
        <f>IF($C9="B",INDEX(Batters[[#All],[T]],MATCH(Table5[[#This Row],[PID]],Batters[[#All],[PID]],0)),INDEX(Table3[[#All],[T]],MATCH(Table5[[#This Row],[PID]],Table3[[#All],[PID]],0)))</f>
        <v>R</v>
      </c>
      <c r="J9" s="69" t="str">
        <f>IF($C9="B",INDEX(Batters[[#All],[WE]],MATCH(Table5[[#This Row],[PID]],Batters[[#All],[PID]],0)),INDEX(Table3[[#All],[WE]],MATCH(Table5[[#This Row],[PID]],Table3[[#All],[PID]],0)))</f>
        <v>Normal</v>
      </c>
      <c r="K9" s="52" t="str">
        <f>IF($C9="B",INDEX(Batters[[#All],[INT]],MATCH(Table5[[#This Row],[PID]],Batters[[#All],[PID]],0)),INDEX(Table3[[#All],[INT]],MATCH(Table5[[#This Row],[PID]],Table3[[#All],[PID]],0)))</f>
        <v>Normal</v>
      </c>
      <c r="L9" s="60">
        <f>IF($C9="B",INDEX(Batters[[#All],[CON P]],MATCH(Table5[[#This Row],[PID]],Batters[[#All],[PID]],0)),INDEX(Table3[[#All],[STU P]],MATCH(Table5[[#This Row],[PID]],Table3[[#All],[PID]],0)))</f>
        <v>10</v>
      </c>
      <c r="M9" s="70">
        <f>IF($C9="B",INDEX(Batters[[#All],[GAP P]],MATCH(Table5[[#This Row],[PID]],Batters[[#All],[PID]],0)),INDEX(Table3[[#All],[MOV P]],MATCH(Table5[[#This Row],[PID]],Table3[[#All],[PID]],0)))</f>
        <v>7</v>
      </c>
      <c r="N9" s="70">
        <f>IF($C9="B",INDEX(Batters[[#All],[POW P]],MATCH(Table5[[#This Row],[PID]],Batters[[#All],[PID]],0)),INDEX(Table3[[#All],[CON P]],MATCH(Table5[[#This Row],[PID]],Table3[[#All],[PID]],0)))</f>
        <v>8</v>
      </c>
      <c r="O9" s="70" t="str">
        <f>IF($C9="B",INDEX(Batters[[#All],[EYE P]],MATCH(Table5[[#This Row],[PID]],Batters[[#All],[PID]],0)),INDEX(Table3[[#All],[VELO]],MATCH(Table5[[#This Row],[PID]],Table3[[#All],[PID]],0)))</f>
        <v>95-97 Mph</v>
      </c>
      <c r="P9" s="56">
        <f>IF($C9="B",INDEX(Batters[[#All],[K P]],MATCH(Table5[[#This Row],[PID]],Batters[[#All],[PID]],0)),INDEX(Table3[[#All],[STM]],MATCH(Table5[[#This Row],[PID]],Table3[[#All],[PID]],0)))</f>
        <v>1</v>
      </c>
      <c r="Q9" s="61">
        <f>IF($C9="B",INDEX(Batters[[#All],[Tot]],MATCH(Table5[[#This Row],[PID]],Batters[[#All],[PID]],0)),INDEX(Table3[[#All],[Tot]],MATCH(Table5[[#This Row],[PID]],Table3[[#All],[PID]],0)))</f>
        <v>90.89227173541552</v>
      </c>
      <c r="R9" s="52">
        <f>IF($C9="B",INDEX(Batters[[#All],[zScore]],MATCH(Table5[[#This Row],[PID]],Batters[[#All],[PID]],0)),INDEX(Table3[[#All],[zScore]],MATCH(Table5[[#This Row],[PID]],Table3[[#All],[PID]],0)))</f>
        <v>3.7803592401734889</v>
      </c>
      <c r="S9" s="75" t="str">
        <f>IF($C9="B",INDEX(Batters[[#All],[DEM]],MATCH(Table5[[#This Row],[PID]],Batters[[#All],[PID]],0)),INDEX(Table3[[#All],[DEM]],MATCH(Table5[[#This Row],[PID]],Table3[[#All],[PID]],0)))</f>
        <v>$1.2m</v>
      </c>
      <c r="T9" s="72">
        <f>IF($C9="B",INDEX(Batters[[#All],[Rnk]],MATCH(Table5[[#This Row],[PID]],Batters[[#All],[PID]],0)),INDEX(Table3[[#All],[Rnk]],MATCH(Table5[[#This Row],[PID]],Table3[[#All],[PID]],0)))</f>
        <v>1</v>
      </c>
      <c r="U9" s="67">
        <f>IF($C9="B",VLOOKUP($A9,Bat!$A$4:$BA$1314,47,FALSE),VLOOKUP($A9,Pit!$A$4:$BF$1214,56,FALSE))</f>
        <v>2</v>
      </c>
      <c r="V9" s="50">
        <f>IF($C9="B",VLOOKUP($A9,Bat!$A$4:$BA$1314,48,FALSE),VLOOKUP($A9,Pit!$A$4:$BF$1214,57,FALSE))</f>
        <v>0</v>
      </c>
      <c r="W9" s="68">
        <v>5</v>
      </c>
      <c r="X9" s="71">
        <f>RANK(Table5[[#This Row],[zScore]],Table5[[#All],[zScore]])</f>
        <v>2</v>
      </c>
      <c r="Y9" s="68">
        <f>IFERROR(INDEX(DraftResults[[#All],[OVR]],MATCH(Table5[[#This Row],[PID]],DraftResults[[#All],[Player ID]],0)),"")</f>
        <v>3</v>
      </c>
      <c r="Z9" s="7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1</v>
      </c>
      <c r="AA9" s="68">
        <f>IFERROR(INDEX(DraftResults[[#All],[Pick in Round]],MATCH(Table5[[#This Row],[PID]],DraftResults[[#All],[Player ID]],0)),"")</f>
        <v>3</v>
      </c>
      <c r="AB9" s="68" t="str">
        <f>IFERROR(INDEX(DraftResults[[#All],[Team Name]],MATCH(Table5[[#This Row],[PID]],DraftResults[[#All],[Player ID]],0)),"")</f>
        <v>Okinawa Shisa</v>
      </c>
      <c r="AC9" s="68">
        <f>IF(Table5[[#This Row],[Ovr]]="","",IF(Table5[[#This Row],[cmbList]]="","",Table5[[#This Row],[cmbList]]-Table5[[#This Row],[Ovr]]))</f>
        <v>2</v>
      </c>
      <c r="AD9" s="74" t="str">
        <f>IF(ISERROR(VLOOKUP($AB9&amp;"-"&amp;$E9&amp;" "&amp;F9,Bonuses!$B$1:$G$1006,4,FALSE)),"",INT(VLOOKUP($AB9&amp;"-"&amp;$E9&amp;" "&amp;$F9,Bonuses!$B$1:$G$1006,4,FALSE)))</f>
        <v/>
      </c>
      <c r="AE9" s="68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1.3 (3) - CL Shirai Mori</v>
      </c>
    </row>
    <row r="10" spans="1:31" s="50" customFormat="1" x14ac:dyDescent="0.3">
      <c r="A10" s="67">
        <v>20967</v>
      </c>
      <c r="B10" s="68">
        <f>COUNTIF(Table5[PID],A10)</f>
        <v>1</v>
      </c>
      <c r="C10" s="68" t="str">
        <f>IF(COUNTIF(Table3[[#All],[PID]],A10)&gt;0,"P","B")</f>
        <v>B</v>
      </c>
      <c r="D10" s="59" t="str">
        <f>IF($C10="B",INDEX(Batters[[#All],[POS]],MATCH(Table5[[#This Row],[PID]],Batters[[#All],[PID]],0)),INDEX(Table3[[#All],[POS]],MATCH(Table5[[#This Row],[PID]],Table3[[#All],[PID]],0)))</f>
        <v>3B</v>
      </c>
      <c r="E10" s="52" t="str">
        <f>IF($C10="B",INDEX(Batters[[#All],[First]],MATCH(Table5[[#This Row],[PID]],Batters[[#All],[PID]],0)),INDEX(Table3[[#All],[First]],MATCH(Table5[[#This Row],[PID]],Table3[[#All],[PID]],0)))</f>
        <v>Will</v>
      </c>
      <c r="F10" s="55" t="str">
        <f>IF($C10="B",INDEX(Batters[[#All],[Last]],MATCH(A10,Batters[[#All],[PID]],0)),INDEX(Table3[[#All],[Last]],MATCH(A10,Table3[[#All],[PID]],0)))</f>
        <v>Dingle</v>
      </c>
      <c r="G10" s="56">
        <f>IF($C10="B",INDEX(Batters[[#All],[Age]],MATCH(Table5[[#This Row],[PID]],Batters[[#All],[PID]],0)),INDEX(Table3[[#All],[Age]],MATCH(Table5[[#This Row],[PID]],Table3[[#All],[PID]],0)))</f>
        <v>17</v>
      </c>
      <c r="H10" s="52" t="str">
        <f>IF($C10="B",INDEX(Batters[[#All],[B]],MATCH(Table5[[#This Row],[PID]],Batters[[#All],[PID]],0)),INDEX(Table3[[#All],[B]],MATCH(Table5[[#This Row],[PID]],Table3[[#All],[PID]],0)))</f>
        <v>R</v>
      </c>
      <c r="I10" s="52" t="str">
        <f>IF($C10="B",INDEX(Batters[[#All],[T]],MATCH(Table5[[#This Row],[PID]],Batters[[#All],[PID]],0)),INDEX(Table3[[#All],[T]],MATCH(Table5[[#This Row],[PID]],Table3[[#All],[PID]],0)))</f>
        <v>R</v>
      </c>
      <c r="J10" s="69" t="str">
        <f>IF($C10="B",INDEX(Batters[[#All],[WE]],MATCH(Table5[[#This Row],[PID]],Batters[[#All],[PID]],0)),INDEX(Table3[[#All],[WE]],MATCH(Table5[[#This Row],[PID]],Table3[[#All],[PID]],0)))</f>
        <v>Normal</v>
      </c>
      <c r="K10" s="52" t="str">
        <f>IF($C10="B",INDEX(Batters[[#All],[INT]],MATCH(Table5[[#This Row],[PID]],Batters[[#All],[PID]],0)),INDEX(Table3[[#All],[INT]],MATCH(Table5[[#This Row],[PID]],Table3[[#All],[PID]],0)))</f>
        <v>High</v>
      </c>
      <c r="L10" s="60">
        <f>IF($C10="B",INDEX(Batters[[#All],[CON P]],MATCH(Table5[[#This Row],[PID]],Batters[[#All],[PID]],0)),INDEX(Table3[[#All],[STU P]],MATCH(Table5[[#This Row],[PID]],Table3[[#All],[PID]],0)))</f>
        <v>6</v>
      </c>
      <c r="M10" s="70">
        <f>IF($C10="B",INDEX(Batters[[#All],[GAP P]],MATCH(Table5[[#This Row],[PID]],Batters[[#All],[PID]],0)),INDEX(Table3[[#All],[MOV P]],MATCH(Table5[[#This Row],[PID]],Table3[[#All],[PID]],0)))</f>
        <v>8</v>
      </c>
      <c r="N10" s="70">
        <f>IF($C10="B",INDEX(Batters[[#All],[POW P]],MATCH(Table5[[#This Row],[PID]],Batters[[#All],[PID]],0)),INDEX(Table3[[#All],[CON P]],MATCH(Table5[[#This Row],[PID]],Table3[[#All],[PID]],0)))</f>
        <v>7</v>
      </c>
      <c r="O10" s="70">
        <f>IF($C10="B",INDEX(Batters[[#All],[EYE P]],MATCH(Table5[[#This Row],[PID]],Batters[[#All],[PID]],0)),INDEX(Table3[[#All],[VELO]],MATCH(Table5[[#This Row],[PID]],Table3[[#All],[PID]],0)))</f>
        <v>4</v>
      </c>
      <c r="P10" s="56">
        <f>IF($C10="B",INDEX(Batters[[#All],[K P]],MATCH(Table5[[#This Row],[PID]],Batters[[#All],[PID]],0)),INDEX(Table3[[#All],[STM]],MATCH(Table5[[#This Row],[PID]],Table3[[#All],[PID]],0)))</f>
        <v>5</v>
      </c>
      <c r="Q10" s="61">
        <f>IF($C10="B",INDEX(Batters[[#All],[Tot]],MATCH(Table5[[#This Row],[PID]],Batters[[#All],[PID]],0)),INDEX(Table3[[#All],[Tot]],MATCH(Table5[[#This Row],[PID]],Table3[[#All],[PID]],0)))</f>
        <v>60.271379126532835</v>
      </c>
      <c r="R10" s="52">
        <f>IF($C10="B",INDEX(Batters[[#All],[zScore]],MATCH(Table5[[#This Row],[PID]],Batters[[#All],[PID]],0)),INDEX(Table3[[#All],[zScore]],MATCH(Table5[[#This Row],[PID]],Table3[[#All],[PID]],0)))</f>
        <v>2.4891779083065804</v>
      </c>
      <c r="S10" s="75" t="str">
        <f>IF($C10="B",INDEX(Batters[[#All],[DEM]],MATCH(Table5[[#This Row],[PID]],Batters[[#All],[PID]],0)),INDEX(Table3[[#All],[DEM]],MATCH(Table5[[#This Row],[PID]],Table3[[#All],[PID]],0)))</f>
        <v>$900k</v>
      </c>
      <c r="T10" s="72">
        <f>IF($C10="B",INDEX(Batters[[#All],[Rnk]],MATCH(Table5[[#This Row],[PID]],Batters[[#All],[PID]],0)),INDEX(Table3[[#All],[Rnk]],MATCH(Table5[[#This Row],[PID]],Table3[[#All],[PID]],0)))</f>
        <v>1</v>
      </c>
      <c r="U10" s="67">
        <f>IF($C10="B",VLOOKUP($A10,Bat!$A$4:$BA$1314,47,FALSE),VLOOKUP($A10,Pit!$A$4:$BF$1214,56,FALSE))</f>
        <v>4</v>
      </c>
      <c r="V10" s="50">
        <f>IF($C10="B",VLOOKUP($A10,Bat!$A$4:$BA$1314,48,FALSE),VLOOKUP($A10,Pit!$A$4:$BF$1214,57,FALSE))</f>
        <v>4</v>
      </c>
      <c r="W10" s="68">
        <v>6</v>
      </c>
      <c r="X10" s="71">
        <f>RANK(Table5[[#This Row],[zScore]],Table5[[#All],[zScore]])</f>
        <v>20</v>
      </c>
      <c r="Y10" s="68">
        <f>IFERROR(INDEX(DraftResults[[#All],[OVR]],MATCH(Table5[[#This Row],[PID]],DraftResults[[#All],[Player ID]],0)),"")</f>
        <v>18</v>
      </c>
      <c r="Z10" s="7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1</v>
      </c>
      <c r="AA10" s="68">
        <f>IFERROR(INDEX(DraftResults[[#All],[Pick in Round]],MATCH(Table5[[#This Row],[PID]],DraftResults[[#All],[Player ID]],0)),"")</f>
        <v>18</v>
      </c>
      <c r="AB10" s="68" t="str">
        <f>IFERROR(INDEX(DraftResults[[#All],[Team Name]],MATCH(Table5[[#This Row],[PID]],DraftResults[[#All],[Player ID]],0)),"")</f>
        <v>Duluth Warriors</v>
      </c>
      <c r="AC10" s="68">
        <f>IF(Table5[[#This Row],[Ovr]]="","",IF(Table5[[#This Row],[cmbList]]="","",Table5[[#This Row],[cmbList]]-Table5[[#This Row],[Ovr]]))</f>
        <v>-12</v>
      </c>
      <c r="AD10" s="74" t="str">
        <f>IF(ISERROR(VLOOKUP($AB10&amp;"-"&amp;$E10&amp;" "&amp;F10,Bonuses!$B$1:$G$1006,4,FALSE)),"",INT(VLOOKUP($AB10&amp;"-"&amp;$E10&amp;" "&amp;$F10,Bonuses!$B$1:$G$1006,4,FALSE)))</f>
        <v/>
      </c>
      <c r="AE10" s="68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1.18 (18) - 3B Will Dingle</v>
      </c>
    </row>
    <row r="11" spans="1:31" s="50" customFormat="1" x14ac:dyDescent="0.3">
      <c r="A11" s="50">
        <v>9631</v>
      </c>
      <c r="B11" s="50">
        <f>COUNTIF(Table5[PID],A11)</f>
        <v>1</v>
      </c>
      <c r="C11" s="50" t="str">
        <f>IF(COUNTIF(Table3[[#All],[PID]],A11)&gt;0,"P","B")</f>
        <v>P</v>
      </c>
      <c r="D11" s="59" t="str">
        <f>IF($C11="B",INDEX(Batters[[#All],[POS]],MATCH(Table5[[#This Row],[PID]],Batters[[#All],[PID]],0)),INDEX(Table3[[#All],[POS]],MATCH(Table5[[#This Row],[PID]],Table3[[#All],[PID]],0)))</f>
        <v>SP</v>
      </c>
      <c r="E11" s="52" t="str">
        <f>IF($C11="B",INDEX(Batters[[#All],[First]],MATCH(Table5[[#This Row],[PID]],Batters[[#All],[PID]],0)),INDEX(Table3[[#All],[First]],MATCH(Table5[[#This Row],[PID]],Table3[[#All],[PID]],0)))</f>
        <v>Juan</v>
      </c>
      <c r="F11" s="50" t="str">
        <f>IF($C11="B",INDEX(Batters[[#All],[Last]],MATCH(A11,Batters[[#All],[PID]],0)),INDEX(Table3[[#All],[Last]],MATCH(A11,Table3[[#All],[PID]],0)))</f>
        <v>Meeks</v>
      </c>
      <c r="G11" s="56">
        <f>IF($C11="B",INDEX(Batters[[#All],[Age]],MATCH(Table5[[#This Row],[PID]],Batters[[#All],[PID]],0)),INDEX(Table3[[#All],[Age]],MATCH(Table5[[#This Row],[PID]],Table3[[#All],[PID]],0)))</f>
        <v>17</v>
      </c>
      <c r="H11" s="52" t="str">
        <f>IF($C11="B",INDEX(Batters[[#All],[B]],MATCH(Table5[[#This Row],[PID]],Batters[[#All],[PID]],0)),INDEX(Table3[[#All],[B]],MATCH(Table5[[#This Row],[PID]],Table3[[#All],[PID]],0)))</f>
        <v>R</v>
      </c>
      <c r="I11" s="52" t="str">
        <f>IF($C11="B",INDEX(Batters[[#All],[T]],MATCH(Table5[[#This Row],[PID]],Batters[[#All],[PID]],0)),INDEX(Table3[[#All],[T]],MATCH(Table5[[#This Row],[PID]],Table3[[#All],[PID]],0)))</f>
        <v>R</v>
      </c>
      <c r="J11" s="52" t="str">
        <f>IF($C11="B",INDEX(Batters[[#All],[WE]],MATCH(Table5[[#This Row],[PID]],Batters[[#All],[PID]],0)),INDEX(Table3[[#All],[WE]],MATCH(Table5[[#This Row],[PID]],Table3[[#All],[PID]],0)))</f>
        <v>Normal</v>
      </c>
      <c r="K11" s="52" t="str">
        <f>IF($C11="B",INDEX(Batters[[#All],[INT]],MATCH(Table5[[#This Row],[PID]],Batters[[#All],[PID]],0)),INDEX(Table3[[#All],[INT]],MATCH(Table5[[#This Row],[PID]],Table3[[#All],[PID]],0)))</f>
        <v>Normal</v>
      </c>
      <c r="L11" s="60">
        <f>IF($C11="B",INDEX(Batters[[#All],[CON P]],MATCH(Table5[[#This Row],[PID]],Batters[[#All],[PID]],0)),INDEX(Table3[[#All],[STU P]],MATCH(Table5[[#This Row],[PID]],Table3[[#All],[PID]],0)))</f>
        <v>7</v>
      </c>
      <c r="M11" s="56">
        <f>IF($C11="B",INDEX(Batters[[#All],[GAP P]],MATCH(Table5[[#This Row],[PID]],Batters[[#All],[PID]],0)),INDEX(Table3[[#All],[MOV P]],MATCH(Table5[[#This Row],[PID]],Table3[[#All],[PID]],0)))</f>
        <v>6</v>
      </c>
      <c r="N11" s="56">
        <f>IF($C11="B",INDEX(Batters[[#All],[POW P]],MATCH(Table5[[#This Row],[PID]],Batters[[#All],[PID]],0)),INDEX(Table3[[#All],[CON P]],MATCH(Table5[[#This Row],[PID]],Table3[[#All],[PID]],0)))</f>
        <v>6</v>
      </c>
      <c r="O11" s="56" t="str">
        <f>IF($C11="B",INDEX(Batters[[#All],[EYE P]],MATCH(Table5[[#This Row],[PID]],Batters[[#All],[PID]],0)),INDEX(Table3[[#All],[VELO]],MATCH(Table5[[#This Row],[PID]],Table3[[#All],[PID]],0)))</f>
        <v>95-97 Mph</v>
      </c>
      <c r="P11" s="56">
        <f>IF($C11="B",INDEX(Batters[[#All],[K P]],MATCH(Table5[[#This Row],[PID]],Batters[[#All],[PID]],0)),INDEX(Table3[[#All],[STM]],MATCH(Table5[[#This Row],[PID]],Table3[[#All],[PID]],0)))</f>
        <v>9</v>
      </c>
      <c r="Q11" s="61">
        <f>IF($C11="B",INDEX(Batters[[#All],[Tot]],MATCH(Table5[[#This Row],[PID]],Batters[[#All],[PID]],0)),INDEX(Table3[[#All],[Tot]],MATCH(Table5[[#This Row],[PID]],Table3[[#All],[PID]],0)))</f>
        <v>80.238359445097942</v>
      </c>
      <c r="R11" s="52">
        <f>IF($C11="B",INDEX(Batters[[#All],[zScore]],MATCH(Table5[[#This Row],[PID]],Batters[[#All],[PID]],0)),INDEX(Table3[[#All],[zScore]],MATCH(Table5[[#This Row],[PID]],Table3[[#All],[PID]],0)))</f>
        <v>3.0217257574910472</v>
      </c>
      <c r="S11" s="58" t="str">
        <f>IF($C11="B",INDEX(Batters[[#All],[DEM]],MATCH(Table5[[#This Row],[PID]],Batters[[#All],[PID]],0)),INDEX(Table3[[#All],[DEM]],MATCH(Table5[[#This Row],[PID]],Table3[[#All],[PID]],0)))</f>
        <v>$3.6m</v>
      </c>
      <c r="T11" s="62">
        <f>IF($C11="B",INDEX(Batters[[#All],[Rnk]],MATCH(Table5[[#This Row],[PID]],Batters[[#All],[PID]],0)),INDEX(Table3[[#All],[Rnk]],MATCH(Table5[[#This Row],[PID]],Table3[[#All],[PID]],0)))</f>
        <v>2</v>
      </c>
      <c r="U11" s="67">
        <f>IF($C11="B",VLOOKUP($A11,Bat!$A$4:$BA$1314,47,FALSE),VLOOKUP($A11,Pit!$A$4:$BF$1214,56,FALSE))</f>
        <v>3</v>
      </c>
      <c r="V11" s="50">
        <f>IF($C11="B",VLOOKUP($A11,Bat!$A$4:$BA$1314,48,FALSE),VLOOKUP($A11,Pit!$A$4:$BF$1214,57,FALSE))</f>
        <v>0</v>
      </c>
      <c r="W11" s="50">
        <v>7</v>
      </c>
      <c r="X11" s="51">
        <f>RANK(Table5[[#This Row],[zScore]],Table5[[#All],[zScore]])</f>
        <v>6</v>
      </c>
      <c r="Y11" s="50">
        <f>IFERROR(INDEX(DraftResults[[#All],[OVR]],MATCH(Table5[[#This Row],[PID]],DraftResults[[#All],[Player ID]],0)),"")</f>
        <v>11</v>
      </c>
      <c r="Z11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1</v>
      </c>
      <c r="AA11" s="50">
        <f>IFERROR(INDEX(DraftResults[[#All],[Pick in Round]],MATCH(Table5[[#This Row],[PID]],DraftResults[[#All],[Player ID]],0)),"")</f>
        <v>11</v>
      </c>
      <c r="AB11" s="50" t="str">
        <f>IFERROR(INDEX(DraftResults[[#All],[Team Name]],MATCH(Table5[[#This Row],[PID]],DraftResults[[#All],[Player ID]],0)),"")</f>
        <v>London Underground</v>
      </c>
      <c r="AC11" s="50">
        <f>IF(Table5[[#This Row],[Ovr]]="","",IF(Table5[[#This Row],[cmbList]]="","",Table5[[#This Row],[cmbList]]-Table5[[#This Row],[Ovr]]))</f>
        <v>-4</v>
      </c>
      <c r="AD11" s="54" t="str">
        <f>IF(ISERROR(VLOOKUP($AB11&amp;"-"&amp;$E11&amp;" "&amp;F11,Bonuses!$B$1:$G$1006,4,FALSE)),"",INT(VLOOKUP($AB11&amp;"-"&amp;$E11&amp;" "&amp;$F11,Bonuses!$B$1:$G$1006,4,FALSE)))</f>
        <v/>
      </c>
      <c r="AE11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1.11 (11) - SP Juan Meeks</v>
      </c>
    </row>
    <row r="12" spans="1:31" s="50" customFormat="1" x14ac:dyDescent="0.3">
      <c r="A12" s="50">
        <v>20292</v>
      </c>
      <c r="B12" s="50">
        <f>COUNTIF(Table5[PID],A12)</f>
        <v>1</v>
      </c>
      <c r="C12" s="50" t="str">
        <f>IF(COUNTIF(Table3[[#All],[PID]],A12)&gt;0,"P","B")</f>
        <v>P</v>
      </c>
      <c r="D12" s="59" t="str">
        <f>IF($C12="B",INDEX(Batters[[#All],[POS]],MATCH(Table5[[#This Row],[PID]],Batters[[#All],[PID]],0)),INDEX(Table3[[#All],[POS]],MATCH(Table5[[#This Row],[PID]],Table3[[#All],[PID]],0)))</f>
        <v>SP</v>
      </c>
      <c r="E12" s="52" t="str">
        <f>IF($C12="B",INDEX(Batters[[#All],[First]],MATCH(Table5[[#This Row],[PID]],Batters[[#All],[PID]],0)),INDEX(Table3[[#All],[First]],MATCH(Table5[[#This Row],[PID]],Table3[[#All],[PID]],0)))</f>
        <v>Zi-jing</v>
      </c>
      <c r="F12" s="50" t="str">
        <f>IF($C12="B",INDEX(Batters[[#All],[Last]],MATCH(A12,Batters[[#All],[PID]],0)),INDEX(Table3[[#All],[Last]],MATCH(A12,Table3[[#All],[PID]],0)))</f>
        <v>Xian</v>
      </c>
      <c r="G12" s="56">
        <f>IF($C12="B",INDEX(Batters[[#All],[Age]],MATCH(Table5[[#This Row],[PID]],Batters[[#All],[PID]],0)),INDEX(Table3[[#All],[Age]],MATCH(Table5[[#This Row],[PID]],Table3[[#All],[PID]],0)))</f>
        <v>21</v>
      </c>
      <c r="H12" s="52" t="str">
        <f>IF($C12="B",INDEX(Batters[[#All],[B]],MATCH(Table5[[#This Row],[PID]],Batters[[#All],[PID]],0)),INDEX(Table3[[#All],[B]],MATCH(Table5[[#This Row],[PID]],Table3[[#All],[PID]],0)))</f>
        <v>R</v>
      </c>
      <c r="I12" s="52" t="str">
        <f>IF($C12="B",INDEX(Batters[[#All],[T]],MATCH(Table5[[#This Row],[PID]],Batters[[#All],[PID]],0)),INDEX(Table3[[#All],[T]],MATCH(Table5[[#This Row],[PID]],Table3[[#All],[PID]],0)))</f>
        <v>R</v>
      </c>
      <c r="J12" s="52" t="str">
        <f>IF($C12="B",INDEX(Batters[[#All],[WE]],MATCH(Table5[[#This Row],[PID]],Batters[[#All],[PID]],0)),INDEX(Table3[[#All],[WE]],MATCH(Table5[[#This Row],[PID]],Table3[[#All],[PID]],0)))</f>
        <v>Normal</v>
      </c>
      <c r="K12" s="52" t="str">
        <f>IF($C12="B",INDEX(Batters[[#All],[INT]],MATCH(Table5[[#This Row],[PID]],Batters[[#All],[PID]],0)),INDEX(Table3[[#All],[INT]],MATCH(Table5[[#This Row],[PID]],Table3[[#All],[PID]],0)))</f>
        <v>Normal</v>
      </c>
      <c r="L12" s="60">
        <f>IF($C12="B",INDEX(Batters[[#All],[CON P]],MATCH(Table5[[#This Row],[PID]],Batters[[#All],[PID]],0)),INDEX(Table3[[#All],[STU P]],MATCH(Table5[[#This Row],[PID]],Table3[[#All],[PID]],0)))</f>
        <v>8</v>
      </c>
      <c r="M12" s="56">
        <f>IF($C12="B",INDEX(Batters[[#All],[GAP P]],MATCH(Table5[[#This Row],[PID]],Batters[[#All],[PID]],0)),INDEX(Table3[[#All],[MOV P]],MATCH(Table5[[#This Row],[PID]],Table3[[#All],[PID]],0)))</f>
        <v>6</v>
      </c>
      <c r="N12" s="56">
        <f>IF($C12="B",INDEX(Batters[[#All],[POW P]],MATCH(Table5[[#This Row],[PID]],Batters[[#All],[PID]],0)),INDEX(Table3[[#All],[CON P]],MATCH(Table5[[#This Row],[PID]],Table3[[#All],[PID]],0)))</f>
        <v>6</v>
      </c>
      <c r="O12" s="56" t="str">
        <f>IF($C12="B",INDEX(Batters[[#All],[EYE P]],MATCH(Table5[[#This Row],[PID]],Batters[[#All],[PID]],0)),INDEX(Table3[[#All],[VELO]],MATCH(Table5[[#This Row],[PID]],Table3[[#All],[PID]],0)))</f>
        <v>99-101 Mph</v>
      </c>
      <c r="P12" s="56">
        <f>IF($C12="B",INDEX(Batters[[#All],[K P]],MATCH(Table5[[#This Row],[PID]],Batters[[#All],[PID]],0)),INDEX(Table3[[#All],[STM]],MATCH(Table5[[#This Row],[PID]],Table3[[#All],[PID]],0)))</f>
        <v>6</v>
      </c>
      <c r="Q12" s="61">
        <f>IF($C12="B",INDEX(Batters[[#All],[Tot]],MATCH(Table5[[#This Row],[PID]],Batters[[#All],[PID]],0)),INDEX(Table3[[#All],[Tot]],MATCH(Table5[[#This Row],[PID]],Table3[[#All],[PID]],0)))</f>
        <v>80.159647663492564</v>
      </c>
      <c r="R12" s="52">
        <f>IF($C12="B",INDEX(Batters[[#All],[zScore]],MATCH(Table5[[#This Row],[PID]],Batters[[#All],[PID]],0)),INDEX(Table3[[#All],[zScore]],MATCH(Table5[[#This Row],[PID]],Table3[[#All],[PID]],0)))</f>
        <v>3.0161209250707826</v>
      </c>
      <c r="S12" s="58" t="str">
        <f>IF($C12="B",INDEX(Batters[[#All],[DEM]],MATCH(Table5[[#This Row],[PID]],Batters[[#All],[PID]],0)),INDEX(Table3[[#All],[DEM]],MATCH(Table5[[#This Row],[PID]],Table3[[#All],[PID]],0)))</f>
        <v>$4.0m</v>
      </c>
      <c r="T12" s="62">
        <f>IF($C12="B",INDEX(Batters[[#All],[Rnk]],MATCH(Table5[[#This Row],[PID]],Batters[[#All],[PID]],0)),INDEX(Table3[[#All],[Rnk]],MATCH(Table5[[#This Row],[PID]],Table3[[#All],[PID]],0)))</f>
        <v>3</v>
      </c>
      <c r="U12" s="67">
        <f>IF($C12="B",VLOOKUP($A12,Bat!$A$4:$BA$1314,47,FALSE),VLOOKUP($A12,Pit!$A$4:$BF$1214,56,FALSE))</f>
        <v>4</v>
      </c>
      <c r="V12" s="50">
        <f>IF($C12="B",VLOOKUP($A12,Bat!$A$4:$BA$1314,48,FALSE),VLOOKUP($A12,Pit!$A$4:$BF$1214,57,FALSE))</f>
        <v>0</v>
      </c>
      <c r="W12" s="50">
        <v>8</v>
      </c>
      <c r="X12" s="51">
        <f>RANK(Table5[[#This Row],[zScore]],Table5[[#All],[zScore]])</f>
        <v>8</v>
      </c>
      <c r="Y12" s="50">
        <f>IFERROR(INDEX(DraftResults[[#All],[OVR]],MATCH(Table5[[#This Row],[PID]],DraftResults[[#All],[Player ID]],0)),"")</f>
        <v>8</v>
      </c>
      <c r="Z12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1</v>
      </c>
      <c r="AA12" s="50">
        <f>IFERROR(INDEX(DraftResults[[#All],[Pick in Round]],MATCH(Table5[[#This Row],[PID]],DraftResults[[#All],[Player ID]],0)),"")</f>
        <v>8</v>
      </c>
      <c r="AB12" s="50" t="str">
        <f>IFERROR(INDEX(DraftResults[[#All],[Team Name]],MATCH(Table5[[#This Row],[PID]],DraftResults[[#All],[Player ID]],0)),"")</f>
        <v>West Virginia Alleghenies</v>
      </c>
      <c r="AC12" s="50">
        <f>IF(Table5[[#This Row],[Ovr]]="","",IF(Table5[[#This Row],[cmbList]]="","",Table5[[#This Row],[cmbList]]-Table5[[#This Row],[Ovr]]))</f>
        <v>0</v>
      </c>
      <c r="AD12" s="54" t="str">
        <f>IF(ISERROR(VLOOKUP($AB12&amp;"-"&amp;$E12&amp;" "&amp;F12,Bonuses!$B$1:$G$1006,4,FALSE)),"",INT(VLOOKUP($AB12&amp;"-"&amp;$E12&amp;" "&amp;$F12,Bonuses!$B$1:$G$1006,4,FALSE)))</f>
        <v/>
      </c>
      <c r="AE12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1.8 (8) - SP Zi-jing Xian</v>
      </c>
    </row>
    <row r="13" spans="1:31" s="50" customFormat="1" x14ac:dyDescent="0.3">
      <c r="A13" s="67">
        <v>11849</v>
      </c>
      <c r="B13" s="68">
        <f>COUNTIF(Table5[PID],A13)</f>
        <v>1</v>
      </c>
      <c r="C13" s="68" t="str">
        <f>IF(COUNTIF(Table3[[#All],[PID]],A13)&gt;0,"P","B")</f>
        <v>P</v>
      </c>
      <c r="D13" s="59" t="str">
        <f>IF($C13="B",INDEX(Batters[[#All],[POS]],MATCH(Table5[[#This Row],[PID]],Batters[[#All],[PID]],0)),INDEX(Table3[[#All],[POS]],MATCH(Table5[[#This Row],[PID]],Table3[[#All],[PID]],0)))</f>
        <v>SP</v>
      </c>
      <c r="E13" s="52" t="str">
        <f>IF($C13="B",INDEX(Batters[[#All],[First]],MATCH(Table5[[#This Row],[PID]],Batters[[#All],[PID]],0)),INDEX(Table3[[#All],[First]],MATCH(Table5[[#This Row],[PID]],Table3[[#All],[PID]],0)))</f>
        <v>Bill</v>
      </c>
      <c r="F13" s="55" t="str">
        <f>IF($C13="B",INDEX(Batters[[#All],[Last]],MATCH(A13,Batters[[#All],[PID]],0)),INDEX(Table3[[#All],[Last]],MATCH(A13,Table3[[#All],[PID]],0)))</f>
        <v>Manley</v>
      </c>
      <c r="G13" s="56">
        <f>IF($C13="B",INDEX(Batters[[#All],[Age]],MATCH(Table5[[#This Row],[PID]],Batters[[#All],[PID]],0)),INDEX(Table3[[#All],[Age]],MATCH(Table5[[#This Row],[PID]],Table3[[#All],[PID]],0)))</f>
        <v>17</v>
      </c>
      <c r="H13" s="52" t="str">
        <f>IF($C13="B",INDEX(Batters[[#All],[B]],MATCH(Table5[[#This Row],[PID]],Batters[[#All],[PID]],0)),INDEX(Table3[[#All],[B]],MATCH(Table5[[#This Row],[PID]],Table3[[#All],[PID]],0)))</f>
        <v>L</v>
      </c>
      <c r="I13" s="52" t="str">
        <f>IF($C13="B",INDEX(Batters[[#All],[T]],MATCH(Table5[[#This Row],[PID]],Batters[[#All],[PID]],0)),INDEX(Table3[[#All],[T]],MATCH(Table5[[#This Row],[PID]],Table3[[#All],[PID]],0)))</f>
        <v>L</v>
      </c>
      <c r="J13" s="69" t="str">
        <f>IF($C13="B",INDEX(Batters[[#All],[WE]],MATCH(Table5[[#This Row],[PID]],Batters[[#All],[PID]],0)),INDEX(Table3[[#All],[WE]],MATCH(Table5[[#This Row],[PID]],Table3[[#All],[PID]],0)))</f>
        <v>Normal</v>
      </c>
      <c r="K13" s="52" t="str">
        <f>IF($C13="B",INDEX(Batters[[#All],[INT]],MATCH(Table5[[#This Row],[PID]],Batters[[#All],[PID]],0)),INDEX(Table3[[#All],[INT]],MATCH(Table5[[#This Row],[PID]],Table3[[#All],[PID]],0)))</f>
        <v>Normal</v>
      </c>
      <c r="L13" s="60">
        <f>IF($C13="B",INDEX(Batters[[#All],[CON P]],MATCH(Table5[[#This Row],[PID]],Batters[[#All],[PID]],0)),INDEX(Table3[[#All],[STU P]],MATCH(Table5[[#This Row],[PID]],Table3[[#All],[PID]],0)))</f>
        <v>7</v>
      </c>
      <c r="M13" s="70">
        <f>IF($C13="B",INDEX(Batters[[#All],[GAP P]],MATCH(Table5[[#This Row],[PID]],Batters[[#All],[PID]],0)),INDEX(Table3[[#All],[MOV P]],MATCH(Table5[[#This Row],[PID]],Table3[[#All],[PID]],0)))</f>
        <v>5</v>
      </c>
      <c r="N13" s="70">
        <f>IF($C13="B",INDEX(Batters[[#All],[POW P]],MATCH(Table5[[#This Row],[PID]],Batters[[#All],[PID]],0)),INDEX(Table3[[#All],[CON P]],MATCH(Table5[[#This Row],[PID]],Table3[[#All],[PID]],0)))</f>
        <v>5</v>
      </c>
      <c r="O13" s="70" t="str">
        <f>IF($C13="B",INDEX(Batters[[#All],[EYE P]],MATCH(Table5[[#This Row],[PID]],Batters[[#All],[PID]],0)),INDEX(Table3[[#All],[VELO]],MATCH(Table5[[#This Row],[PID]],Table3[[#All],[PID]],0)))</f>
        <v>99-101 Mph</v>
      </c>
      <c r="P13" s="56">
        <f>IF($C13="B",INDEX(Batters[[#All],[K P]],MATCH(Table5[[#This Row],[PID]],Batters[[#All],[PID]],0)),INDEX(Table3[[#All],[STM]],MATCH(Table5[[#This Row],[PID]],Table3[[#All],[PID]],0)))</f>
        <v>7</v>
      </c>
      <c r="Q13" s="61">
        <f>IF($C13="B",INDEX(Batters[[#All],[Tot]],MATCH(Table5[[#This Row],[PID]],Batters[[#All],[PID]],0)),INDEX(Table3[[#All],[Tot]],MATCH(Table5[[#This Row],[PID]],Table3[[#All],[PID]],0)))</f>
        <v>73.36987779204317</v>
      </c>
      <c r="R13" s="52">
        <f>IF($C13="B",INDEX(Batters[[#All],[zScore]],MATCH(Table5[[#This Row],[PID]],Batters[[#All],[PID]],0)),INDEX(Table3[[#All],[zScore]],MATCH(Table5[[#This Row],[PID]],Table3[[#All],[PID]],0)))</f>
        <v>2.5326415586345465</v>
      </c>
      <c r="S13" s="75" t="str">
        <f>IF($C13="B",INDEX(Batters[[#All],[DEM]],MATCH(Table5[[#This Row],[PID]],Batters[[#All],[PID]],0)),INDEX(Table3[[#All],[DEM]],MATCH(Table5[[#This Row],[PID]],Table3[[#All],[PID]],0)))</f>
        <v>$3.8m</v>
      </c>
      <c r="T13" s="72">
        <f>IF($C13="B",INDEX(Batters[[#All],[Rnk]],MATCH(Table5[[#This Row],[PID]],Batters[[#All],[PID]],0)),INDEX(Table3[[#All],[Rnk]],MATCH(Table5[[#This Row],[PID]],Table3[[#All],[PID]],0)))</f>
        <v>4</v>
      </c>
      <c r="U13" s="67">
        <f>IF($C13="B",VLOOKUP($A13,Bat!$A$4:$BA$1314,47,FALSE),VLOOKUP($A13,Pit!$A$4:$BF$1214,56,FALSE))</f>
        <v>5</v>
      </c>
      <c r="V13" s="50">
        <f>IF($C13="B",VLOOKUP($A13,Bat!$A$4:$BA$1314,48,FALSE),VLOOKUP($A13,Pit!$A$4:$BF$1214,57,FALSE))</f>
        <v>0</v>
      </c>
      <c r="W13" s="68">
        <v>9</v>
      </c>
      <c r="X13" s="71">
        <f>RANK(Table5[[#This Row],[zScore]],Table5[[#All],[zScore]])</f>
        <v>19</v>
      </c>
      <c r="Y13" s="68">
        <f>IFERROR(INDEX(DraftResults[[#All],[OVR]],MATCH(Table5[[#This Row],[PID]],DraftResults[[#All],[Player ID]],0)),"")</f>
        <v>16</v>
      </c>
      <c r="Z13" s="7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1</v>
      </c>
      <c r="AA13" s="68">
        <f>IFERROR(INDEX(DraftResults[[#All],[Pick in Round]],MATCH(Table5[[#This Row],[PID]],DraftResults[[#All],[Player ID]],0)),"")</f>
        <v>16</v>
      </c>
      <c r="AB13" s="68" t="str">
        <f>IFERROR(INDEX(DraftResults[[#All],[Team Name]],MATCH(Table5[[#This Row],[PID]],DraftResults[[#All],[Player ID]],0)),"")</f>
        <v>Niihama-shi Ghosts</v>
      </c>
      <c r="AC13" s="68">
        <f>IF(Table5[[#This Row],[Ovr]]="","",IF(Table5[[#This Row],[cmbList]]="","",Table5[[#This Row],[cmbList]]-Table5[[#This Row],[Ovr]]))</f>
        <v>-7</v>
      </c>
      <c r="AD13" s="74" t="str">
        <f>IF(ISERROR(VLOOKUP($AB13&amp;"-"&amp;$E13&amp;" "&amp;F13,Bonuses!$B$1:$G$1006,4,FALSE)),"",INT(VLOOKUP($AB13&amp;"-"&amp;$E13&amp;" "&amp;$F13,Bonuses!$B$1:$G$1006,4,FALSE)))</f>
        <v/>
      </c>
      <c r="AE13" s="68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1.16 (16) - SP Bill Manley</v>
      </c>
    </row>
    <row r="14" spans="1:31" s="50" customFormat="1" x14ac:dyDescent="0.3">
      <c r="A14" s="50">
        <v>10479</v>
      </c>
      <c r="B14" s="50">
        <f>COUNTIF(Table5[PID],A14)</f>
        <v>1</v>
      </c>
      <c r="C14" s="50" t="str">
        <f>IF(COUNTIF(Table3[[#All],[PID]],A14)&gt;0,"P","B")</f>
        <v>B</v>
      </c>
      <c r="D14" s="59" t="str">
        <f>IF($C14="B",INDEX(Batters[[#All],[POS]],MATCH(Table5[[#This Row],[PID]],Batters[[#All],[PID]],0)),INDEX(Table3[[#All],[POS]],MATCH(Table5[[#This Row],[PID]],Table3[[#All],[PID]],0)))</f>
        <v>2B</v>
      </c>
      <c r="E14" s="52" t="str">
        <f>IF($C14="B",INDEX(Batters[[#All],[First]],MATCH(Table5[[#This Row],[PID]],Batters[[#All],[PID]],0)),INDEX(Table3[[#All],[First]],MATCH(Table5[[#This Row],[PID]],Table3[[#All],[PID]],0)))</f>
        <v>Ignacio</v>
      </c>
      <c r="F14" s="50" t="str">
        <f>IF($C14="B",INDEX(Batters[[#All],[Last]],MATCH(A14,Batters[[#All],[PID]],0)),INDEX(Table3[[#All],[Last]],MATCH(A14,Table3[[#All],[PID]],0)))</f>
        <v>Jaramillo</v>
      </c>
      <c r="G14" s="56">
        <f>IF($C14="B",INDEX(Batters[[#All],[Age]],MATCH(Table5[[#This Row],[PID]],Batters[[#All],[PID]],0)),INDEX(Table3[[#All],[Age]],MATCH(Table5[[#This Row],[PID]],Table3[[#All],[PID]],0)))</f>
        <v>17</v>
      </c>
      <c r="H14" s="52" t="str">
        <f>IF($C14="B",INDEX(Batters[[#All],[B]],MATCH(Table5[[#This Row],[PID]],Batters[[#All],[PID]],0)),INDEX(Table3[[#All],[B]],MATCH(Table5[[#This Row],[PID]],Table3[[#All],[PID]],0)))</f>
        <v>L</v>
      </c>
      <c r="I14" s="52" t="str">
        <f>IF($C14="B",INDEX(Batters[[#All],[T]],MATCH(Table5[[#This Row],[PID]],Batters[[#All],[PID]],0)),INDEX(Table3[[#All],[T]],MATCH(Table5[[#This Row],[PID]],Table3[[#All],[PID]],0)))</f>
        <v>R</v>
      </c>
      <c r="J14" s="52" t="str">
        <f>IF($C14="B",INDEX(Batters[[#All],[WE]],MATCH(Table5[[#This Row],[PID]],Batters[[#All],[PID]],0)),INDEX(Table3[[#All],[WE]],MATCH(Table5[[#This Row],[PID]],Table3[[#All],[PID]],0)))</f>
        <v>Normal</v>
      </c>
      <c r="K14" s="52" t="str">
        <f>IF($C14="B",INDEX(Batters[[#All],[INT]],MATCH(Table5[[#This Row],[PID]],Batters[[#All],[PID]],0)),INDEX(Table3[[#All],[INT]],MATCH(Table5[[#This Row],[PID]],Table3[[#All],[PID]],0)))</f>
        <v>Normal</v>
      </c>
      <c r="L14" s="60">
        <f>IF($C14="B",INDEX(Batters[[#All],[CON P]],MATCH(Table5[[#This Row],[PID]],Batters[[#All],[PID]],0)),INDEX(Table3[[#All],[STU P]],MATCH(Table5[[#This Row],[PID]],Table3[[#All],[PID]],0)))</f>
        <v>6</v>
      </c>
      <c r="M14" s="56">
        <f>IF($C14="B",INDEX(Batters[[#All],[GAP P]],MATCH(Table5[[#This Row],[PID]],Batters[[#All],[PID]],0)),INDEX(Table3[[#All],[MOV P]],MATCH(Table5[[#This Row],[PID]],Table3[[#All],[PID]],0)))</f>
        <v>7</v>
      </c>
      <c r="N14" s="56">
        <f>IF($C14="B",INDEX(Batters[[#All],[POW P]],MATCH(Table5[[#This Row],[PID]],Batters[[#All],[PID]],0)),INDEX(Table3[[#All],[CON P]],MATCH(Table5[[#This Row],[PID]],Table3[[#All],[PID]],0)))</f>
        <v>4</v>
      </c>
      <c r="O14" s="56">
        <f>IF($C14="B",INDEX(Batters[[#All],[EYE P]],MATCH(Table5[[#This Row],[PID]],Batters[[#All],[PID]],0)),INDEX(Table3[[#All],[VELO]],MATCH(Table5[[#This Row],[PID]],Table3[[#All],[PID]],0)))</f>
        <v>6</v>
      </c>
      <c r="P14" s="56">
        <f>IF($C14="B",INDEX(Batters[[#All],[K P]],MATCH(Table5[[#This Row],[PID]],Batters[[#All],[PID]],0)),INDEX(Table3[[#All],[STM]],MATCH(Table5[[#This Row],[PID]],Table3[[#All],[PID]],0)))</f>
        <v>8</v>
      </c>
      <c r="Q14" s="61">
        <f>IF($C14="B",INDEX(Batters[[#All],[Tot]],MATCH(Table5[[#This Row],[PID]],Batters[[#All],[PID]],0)),INDEX(Table3[[#All],[Tot]],MATCH(Table5[[#This Row],[PID]],Table3[[#All],[PID]],0)))</f>
        <v>59.804867099329392</v>
      </c>
      <c r="R14" s="52">
        <f>IF($C14="B",INDEX(Batters[[#All],[zScore]],MATCH(Table5[[#This Row],[PID]],Batters[[#All],[PID]],0)),INDEX(Table3[[#All],[zScore]],MATCH(Table5[[#This Row],[PID]],Table3[[#All],[PID]],0)))</f>
        <v>2.4210820295680331</v>
      </c>
      <c r="S14" s="58" t="str">
        <f>IF($C14="B",INDEX(Batters[[#All],[DEM]],MATCH(Table5[[#This Row],[PID]],Batters[[#All],[PID]],0)),INDEX(Table3[[#All],[DEM]],MATCH(Table5[[#This Row],[PID]],Table3[[#All],[PID]],0)))</f>
        <v>$330k</v>
      </c>
      <c r="T14" s="62">
        <f>IF($C14="B",INDEX(Batters[[#All],[Rnk]],MATCH(Table5[[#This Row],[PID]],Batters[[#All],[PID]],0)),INDEX(Table3[[#All],[Rnk]],MATCH(Table5[[#This Row],[PID]],Table3[[#All],[PID]],0)))</f>
        <v>1</v>
      </c>
      <c r="U14" s="67">
        <f>IF($C14="B",VLOOKUP($A14,Bat!$A$4:$BA$1314,47,FALSE),VLOOKUP($A14,Pit!$A$4:$BF$1214,56,FALSE))</f>
        <v>5</v>
      </c>
      <c r="V14" s="50">
        <f>IF($C14="B",VLOOKUP($A14,Bat!$A$4:$BA$1314,48,FALSE),VLOOKUP($A14,Pit!$A$4:$BF$1214,57,FALSE))</f>
        <v>5</v>
      </c>
      <c r="W14" s="50">
        <v>10</v>
      </c>
      <c r="X14" s="51">
        <f>RANK(Table5[[#This Row],[zScore]],Table5[[#All],[zScore]])</f>
        <v>23</v>
      </c>
      <c r="Y14" s="50">
        <f>IFERROR(INDEX(DraftResults[[#All],[OVR]],MATCH(Table5[[#This Row],[PID]],DraftResults[[#All],[Player ID]],0)),"")</f>
        <v>34</v>
      </c>
      <c r="Z14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S1</v>
      </c>
      <c r="AA14" s="50">
        <f>IFERROR(INDEX(DraftResults[[#All],[Pick in Round]],MATCH(Table5[[#This Row],[PID]],DraftResults[[#All],[Player ID]],0)),"")</f>
        <v>1</v>
      </c>
      <c r="AB14" s="50" t="str">
        <f>IFERROR(INDEX(DraftResults[[#All],[Team Name]],MATCH(Table5[[#This Row],[PID]],DraftResults[[#All],[Player ID]],0)),"")</f>
        <v>Amsterdam Lions</v>
      </c>
      <c r="AC14" s="50">
        <f>IF(Table5[[#This Row],[Ovr]]="","",IF(Table5[[#This Row],[cmbList]]="","",Table5[[#This Row],[cmbList]]-Table5[[#This Row],[Ovr]]))</f>
        <v>-24</v>
      </c>
      <c r="AD14" s="54" t="str">
        <f>IF(ISERROR(VLOOKUP($AB14&amp;"-"&amp;$E14&amp;" "&amp;F14,Bonuses!$B$1:$G$1006,4,FALSE)),"",INT(VLOOKUP($AB14&amp;"-"&amp;$E14&amp;" "&amp;$F14,Bonuses!$B$1:$G$1006,4,FALSE)))</f>
        <v/>
      </c>
      <c r="AE14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S1.1 (34) - 2B Ignacio Jaramillo</v>
      </c>
    </row>
    <row r="15" spans="1:31" s="50" customFormat="1" x14ac:dyDescent="0.3">
      <c r="A15" s="50">
        <v>12025</v>
      </c>
      <c r="B15" s="50">
        <f>COUNTIF(Table5[PID],A15)</f>
        <v>1</v>
      </c>
      <c r="C15" s="50" t="str">
        <f>IF(COUNTIF(Table3[[#All],[PID]],A15)&gt;0,"P","B")</f>
        <v>P</v>
      </c>
      <c r="D15" s="59" t="str">
        <f>IF($C15="B",INDEX(Batters[[#All],[POS]],MATCH(Table5[[#This Row],[PID]],Batters[[#All],[PID]],0)),INDEX(Table3[[#All],[POS]],MATCH(Table5[[#This Row],[PID]],Table3[[#All],[PID]],0)))</f>
        <v>SP</v>
      </c>
      <c r="E15" s="52" t="str">
        <f>IF($C15="B",INDEX(Batters[[#All],[First]],MATCH(Table5[[#This Row],[PID]],Batters[[#All],[PID]],0)),INDEX(Table3[[#All],[First]],MATCH(Table5[[#This Row],[PID]],Table3[[#All],[PID]],0)))</f>
        <v>Alberto</v>
      </c>
      <c r="F15" s="50" t="str">
        <f>IF($C15="B",INDEX(Batters[[#All],[Last]],MATCH(A15,Batters[[#All],[PID]],0)),INDEX(Table3[[#All],[Last]],MATCH(A15,Table3[[#All],[PID]],0)))</f>
        <v>Montaño</v>
      </c>
      <c r="G15" s="56">
        <f>IF($C15="B",INDEX(Batters[[#All],[Age]],MATCH(Table5[[#This Row],[PID]],Batters[[#All],[PID]],0)),INDEX(Table3[[#All],[Age]],MATCH(Table5[[#This Row],[PID]],Table3[[#All],[PID]],0)))</f>
        <v>17</v>
      </c>
      <c r="H15" s="52" t="str">
        <f>IF($C15="B",INDEX(Batters[[#All],[B]],MATCH(Table5[[#This Row],[PID]],Batters[[#All],[PID]],0)),INDEX(Table3[[#All],[B]],MATCH(Table5[[#This Row],[PID]],Table3[[#All],[PID]],0)))</f>
        <v>R</v>
      </c>
      <c r="I15" s="52" t="str">
        <f>IF($C15="B",INDEX(Batters[[#All],[T]],MATCH(Table5[[#This Row],[PID]],Batters[[#All],[PID]],0)),INDEX(Table3[[#All],[T]],MATCH(Table5[[#This Row],[PID]],Table3[[#All],[PID]],0)))</f>
        <v>R</v>
      </c>
      <c r="J15" s="52" t="str">
        <f>IF($C15="B",INDEX(Batters[[#All],[WE]],MATCH(Table5[[#This Row],[PID]],Batters[[#All],[PID]],0)),INDEX(Table3[[#All],[WE]],MATCH(Table5[[#This Row],[PID]],Table3[[#All],[PID]],0)))</f>
        <v>Normal</v>
      </c>
      <c r="K15" s="52" t="str">
        <f>IF($C15="B",INDEX(Batters[[#All],[INT]],MATCH(Table5[[#This Row],[PID]],Batters[[#All],[PID]],0)),INDEX(Table3[[#All],[INT]],MATCH(Table5[[#This Row],[PID]],Table3[[#All],[PID]],0)))</f>
        <v>High</v>
      </c>
      <c r="L15" s="60">
        <f>IF($C15="B",INDEX(Batters[[#All],[CON P]],MATCH(Table5[[#This Row],[PID]],Batters[[#All],[PID]],0)),INDEX(Table3[[#All],[STU P]],MATCH(Table5[[#This Row],[PID]],Table3[[#All],[PID]],0)))</f>
        <v>6</v>
      </c>
      <c r="M15" s="56">
        <f>IF($C15="B",INDEX(Batters[[#All],[GAP P]],MATCH(Table5[[#This Row],[PID]],Batters[[#All],[PID]],0)),INDEX(Table3[[#All],[MOV P]],MATCH(Table5[[#This Row],[PID]],Table3[[#All],[PID]],0)))</f>
        <v>5</v>
      </c>
      <c r="N15" s="56">
        <f>IF($C15="B",INDEX(Batters[[#All],[POW P]],MATCH(Table5[[#This Row],[PID]],Batters[[#All],[PID]],0)),INDEX(Table3[[#All],[CON P]],MATCH(Table5[[#This Row],[PID]],Table3[[#All],[PID]],0)))</f>
        <v>6</v>
      </c>
      <c r="O15" s="56" t="str">
        <f>IF($C15="B",INDEX(Batters[[#All],[EYE P]],MATCH(Table5[[#This Row],[PID]],Batters[[#All],[PID]],0)),INDEX(Table3[[#All],[VELO]],MATCH(Table5[[#This Row],[PID]],Table3[[#All],[PID]],0)))</f>
        <v>97-99 Mph</v>
      </c>
      <c r="P15" s="56">
        <f>IF($C15="B",INDEX(Batters[[#All],[K P]],MATCH(Table5[[#This Row],[PID]],Batters[[#All],[PID]],0)),INDEX(Table3[[#All],[STM]],MATCH(Table5[[#This Row],[PID]],Table3[[#All],[PID]],0)))</f>
        <v>8</v>
      </c>
      <c r="Q15" s="61">
        <f>IF($C15="B",INDEX(Batters[[#All],[Tot]],MATCH(Table5[[#This Row],[PID]],Batters[[#All],[PID]],0)),INDEX(Table3[[#All],[Tot]],MATCH(Table5[[#This Row],[PID]],Table3[[#All],[PID]],0)))</f>
        <v>72.246507421942098</v>
      </c>
      <c r="R15" s="52">
        <f>IF($C15="B",INDEX(Batters[[#All],[zScore]],MATCH(Table5[[#This Row],[PID]],Batters[[#All],[PID]],0)),INDEX(Table3[[#All],[zScore]],MATCH(Table5[[#This Row],[PID]],Table3[[#All],[PID]],0)))</f>
        <v>2.452649687762233</v>
      </c>
      <c r="S15" s="58" t="str">
        <f>IF($C15="B",INDEX(Batters[[#All],[DEM]],MATCH(Table5[[#This Row],[PID]],Batters[[#All],[PID]],0)),INDEX(Table3[[#All],[DEM]],MATCH(Table5[[#This Row],[PID]],Table3[[#All],[PID]],0)))</f>
        <v>$4.2m</v>
      </c>
      <c r="T15" s="62">
        <f>IF($C15="B",INDEX(Batters[[#All],[Rnk]],MATCH(Table5[[#This Row],[PID]],Batters[[#All],[PID]],0)),INDEX(Table3[[#All],[Rnk]],MATCH(Table5[[#This Row],[PID]],Table3[[#All],[PID]],0)))</f>
        <v>5</v>
      </c>
      <c r="U15" s="67">
        <f>IF($C15="B",VLOOKUP($A15,Bat!$A$4:$BA$1314,47,FALSE),VLOOKUP($A15,Pit!$A$4:$BF$1214,56,FALSE))</f>
        <v>6</v>
      </c>
      <c r="V15" s="50">
        <f>IF($C15="B",VLOOKUP($A15,Bat!$A$4:$BA$1314,48,FALSE),VLOOKUP($A15,Pit!$A$4:$BF$1214,57,FALSE))</f>
        <v>0</v>
      </c>
      <c r="W15" s="50">
        <v>11</v>
      </c>
      <c r="X15" s="51">
        <f>RANK(Table5[[#This Row],[zScore]],Table5[[#All],[zScore]])</f>
        <v>21</v>
      </c>
      <c r="Y15" s="50">
        <f>IFERROR(INDEX(DraftResults[[#All],[OVR]],MATCH(Table5[[#This Row],[PID]],DraftResults[[#All],[Player ID]],0)),"")</f>
        <v>20</v>
      </c>
      <c r="Z15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1</v>
      </c>
      <c r="AA15" s="50">
        <f>IFERROR(INDEX(DraftResults[[#All],[Pick in Round]],MATCH(Table5[[#This Row],[PID]],DraftResults[[#All],[Player ID]],0)),"")</f>
        <v>20</v>
      </c>
      <c r="AB15" s="50" t="str">
        <f>IFERROR(INDEX(DraftResults[[#All],[Team Name]],MATCH(Table5[[#This Row],[PID]],DraftResults[[#All],[Player ID]],0)),"")</f>
        <v>Fargo Dinosaurs</v>
      </c>
      <c r="AC15" s="50">
        <f>IF(Table5[[#This Row],[Ovr]]="","",IF(Table5[[#This Row],[cmbList]]="","",Table5[[#This Row],[cmbList]]-Table5[[#This Row],[Ovr]]))</f>
        <v>-9</v>
      </c>
      <c r="AD15" s="54" t="str">
        <f>IF(ISERROR(VLOOKUP($AB15&amp;"-"&amp;$E15&amp;" "&amp;F15,Bonuses!$B$1:$G$1006,4,FALSE)),"",INT(VLOOKUP($AB15&amp;"-"&amp;$E15&amp;" "&amp;$F15,Bonuses!$B$1:$G$1006,4,FALSE)))</f>
        <v/>
      </c>
      <c r="AE15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1.20 (20) - SP Alberto Montaño</v>
      </c>
    </row>
    <row r="16" spans="1:31" s="50" customFormat="1" x14ac:dyDescent="0.3">
      <c r="A16" s="50">
        <v>20985</v>
      </c>
      <c r="B16" s="50">
        <f>COUNTIF(Table5[PID],A16)</f>
        <v>1</v>
      </c>
      <c r="C16" s="50" t="str">
        <f>IF(COUNTIF(Table3[[#All],[PID]],A16)&gt;0,"P","B")</f>
        <v>P</v>
      </c>
      <c r="D16" s="59" t="str">
        <f>IF($C16="B",INDEX(Batters[[#All],[POS]],MATCH(Table5[[#This Row],[PID]],Batters[[#All],[PID]],0)),INDEX(Table3[[#All],[POS]],MATCH(Table5[[#This Row],[PID]],Table3[[#All],[PID]],0)))</f>
        <v>CL</v>
      </c>
      <c r="E16" s="52" t="str">
        <f>IF($C16="B",INDEX(Batters[[#All],[First]],MATCH(Table5[[#This Row],[PID]],Batters[[#All],[PID]],0)),INDEX(Table3[[#All],[First]],MATCH(Table5[[#This Row],[PID]],Table3[[#All],[PID]],0)))</f>
        <v>Mitch</v>
      </c>
      <c r="F16" s="50" t="str">
        <f>IF($C16="B",INDEX(Batters[[#All],[Last]],MATCH(A16,Batters[[#All],[PID]],0)),INDEX(Table3[[#All],[Last]],MATCH(A16,Table3[[#All],[PID]],0)))</f>
        <v>Hall</v>
      </c>
      <c r="G16" s="56">
        <f>IF($C16="B",INDEX(Batters[[#All],[Age]],MATCH(Table5[[#This Row],[PID]],Batters[[#All],[PID]],0)),INDEX(Table3[[#All],[Age]],MATCH(Table5[[#This Row],[PID]],Table3[[#All],[PID]],0)))</f>
        <v>16</v>
      </c>
      <c r="H16" s="52" t="str">
        <f>IF($C16="B",INDEX(Batters[[#All],[B]],MATCH(Table5[[#This Row],[PID]],Batters[[#All],[PID]],0)),INDEX(Table3[[#All],[B]],MATCH(Table5[[#This Row],[PID]],Table3[[#All],[PID]],0)))</f>
        <v>L</v>
      </c>
      <c r="I16" s="52" t="str">
        <f>IF($C16="B",INDEX(Batters[[#All],[T]],MATCH(Table5[[#This Row],[PID]],Batters[[#All],[PID]],0)),INDEX(Table3[[#All],[T]],MATCH(Table5[[#This Row],[PID]],Table3[[#All],[PID]],0)))</f>
        <v>R</v>
      </c>
      <c r="J16" s="52" t="str">
        <f>IF($C16="B",INDEX(Batters[[#All],[WE]],MATCH(Table5[[#This Row],[PID]],Batters[[#All],[PID]],0)),INDEX(Table3[[#All],[WE]],MATCH(Table5[[#This Row],[PID]],Table3[[#All],[PID]],0)))</f>
        <v>Normal</v>
      </c>
      <c r="K16" s="52" t="str">
        <f>IF($C16="B",INDEX(Batters[[#All],[INT]],MATCH(Table5[[#This Row],[PID]],Batters[[#All],[PID]],0)),INDEX(Table3[[#All],[INT]],MATCH(Table5[[#This Row],[PID]],Table3[[#All],[PID]],0)))</f>
        <v>High</v>
      </c>
      <c r="L16" s="60">
        <f>IF($C16="B",INDEX(Batters[[#All],[CON P]],MATCH(Table5[[#This Row],[PID]],Batters[[#All],[PID]],0)),INDEX(Table3[[#All],[STU P]],MATCH(Table5[[#This Row],[PID]],Table3[[#All],[PID]],0)))</f>
        <v>7</v>
      </c>
      <c r="M16" s="56">
        <f>IF($C16="B",INDEX(Batters[[#All],[GAP P]],MATCH(Table5[[#This Row],[PID]],Batters[[#All],[PID]],0)),INDEX(Table3[[#All],[MOV P]],MATCH(Table5[[#This Row],[PID]],Table3[[#All],[PID]],0)))</f>
        <v>5</v>
      </c>
      <c r="N16" s="56">
        <f>IF($C16="B",INDEX(Batters[[#All],[POW P]],MATCH(Table5[[#This Row],[PID]],Batters[[#All],[PID]],0)),INDEX(Table3[[#All],[CON P]],MATCH(Table5[[#This Row],[PID]],Table3[[#All],[PID]],0)))</f>
        <v>6</v>
      </c>
      <c r="O16" s="56" t="str">
        <f>IF($C16="B",INDEX(Batters[[#All],[EYE P]],MATCH(Table5[[#This Row],[PID]],Batters[[#All],[PID]],0)),INDEX(Table3[[#All],[VELO]],MATCH(Table5[[#This Row],[PID]],Table3[[#All],[PID]],0)))</f>
        <v>92-94 Mph</v>
      </c>
      <c r="P16" s="56">
        <f>IF($C16="B",INDEX(Batters[[#All],[K P]],MATCH(Table5[[#This Row],[PID]],Batters[[#All],[PID]],0)),INDEX(Table3[[#All],[STM]],MATCH(Table5[[#This Row],[PID]],Table3[[#All],[PID]],0)))</f>
        <v>6</v>
      </c>
      <c r="Q16" s="61">
        <f>IF($C16="B",INDEX(Batters[[#All],[Tot]],MATCH(Table5[[#This Row],[PID]],Batters[[#All],[PID]],0)),INDEX(Table3[[#All],[Tot]],MATCH(Table5[[#This Row],[PID]],Table3[[#All],[PID]],0)))</f>
        <v>65.966056115358143</v>
      </c>
      <c r="R16" s="52">
        <f>IF($C16="B",INDEX(Batters[[#All],[zScore]],MATCH(Table5[[#This Row],[PID]],Batters[[#All],[PID]],0)),INDEX(Table3[[#All],[zScore]],MATCH(Table5[[#This Row],[PID]],Table3[[#All],[PID]],0)))</f>
        <v>2.0054373851171872</v>
      </c>
      <c r="S16" s="58" t="str">
        <f>IF($C16="B",INDEX(Batters[[#All],[DEM]],MATCH(Table5[[#This Row],[PID]],Batters[[#All],[PID]],0)),INDEX(Table3[[#All],[DEM]],MATCH(Table5[[#This Row],[PID]],Table3[[#All],[PID]],0)))</f>
        <v>$370k</v>
      </c>
      <c r="T16" s="62">
        <f>IF($C16="B",INDEX(Batters[[#All],[Rnk]],MATCH(Table5[[#This Row],[PID]],Batters[[#All],[PID]],0)),INDEX(Table3[[#All],[Rnk]],MATCH(Table5[[#This Row],[PID]],Table3[[#All],[PID]],0)))</f>
        <v>2</v>
      </c>
      <c r="U16" s="67">
        <f>IF($C16="B",VLOOKUP($A16,Bat!$A$4:$BA$1314,47,FALSE),VLOOKUP($A16,Pit!$A$4:$BF$1214,56,FALSE))</f>
        <v>7</v>
      </c>
      <c r="V16" s="50">
        <f>IF($C16="B",VLOOKUP($A16,Bat!$A$4:$BA$1314,48,FALSE),VLOOKUP($A16,Pit!$A$4:$BF$1214,57,FALSE))</f>
        <v>0</v>
      </c>
      <c r="W16" s="50">
        <v>12</v>
      </c>
      <c r="X16" s="51">
        <f>RANK(Table5[[#This Row],[zScore]],Table5[[#All],[zScore]])</f>
        <v>38</v>
      </c>
      <c r="Y16" s="50">
        <f>IFERROR(INDEX(DraftResults[[#All],[OVR]],MATCH(Table5[[#This Row],[PID]],DraftResults[[#All],[Player ID]],0)),"")</f>
        <v>35</v>
      </c>
      <c r="Z16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S1</v>
      </c>
      <c r="AA16" s="50">
        <f>IFERROR(INDEX(DraftResults[[#All],[Pick in Round]],MATCH(Table5[[#This Row],[PID]],DraftResults[[#All],[Player ID]],0)),"")</f>
        <v>2</v>
      </c>
      <c r="AB16" s="50" t="str">
        <f>IFERROR(INDEX(DraftResults[[#All],[Team Name]],MATCH(Table5[[#This Row],[PID]],DraftResults[[#All],[Player ID]],0)),"")</f>
        <v>West Virginia Alleghenies</v>
      </c>
      <c r="AC16" s="50">
        <f>IF(Table5[[#This Row],[Ovr]]="","",IF(Table5[[#This Row],[cmbList]]="","",Table5[[#This Row],[cmbList]]-Table5[[#This Row],[Ovr]]))</f>
        <v>-23</v>
      </c>
      <c r="AD16" s="54" t="str">
        <f>IF(ISERROR(VLOOKUP($AB16&amp;"-"&amp;$E16&amp;" "&amp;F16,Bonuses!$B$1:$G$1006,4,FALSE)),"",INT(VLOOKUP($AB16&amp;"-"&amp;$E16&amp;" "&amp;$F16,Bonuses!$B$1:$G$1006,4,FALSE)))</f>
        <v/>
      </c>
      <c r="AE16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S1.2 (35) - CL Mitch Hall</v>
      </c>
    </row>
    <row r="17" spans="1:31" s="50" customFormat="1" x14ac:dyDescent="0.3">
      <c r="A17" s="50">
        <v>13255</v>
      </c>
      <c r="B17" s="50">
        <f>COUNTIF(Table5[PID],A17)</f>
        <v>1</v>
      </c>
      <c r="C17" s="50" t="str">
        <f>IF(COUNTIF(Table3[[#All],[PID]],A17)&gt;0,"P","B")</f>
        <v>B</v>
      </c>
      <c r="D17" s="59" t="str">
        <f>IF($C17="B",INDEX(Batters[[#All],[POS]],MATCH(Table5[[#This Row],[PID]],Batters[[#All],[PID]],0)),INDEX(Table3[[#All],[POS]],MATCH(Table5[[#This Row],[PID]],Table3[[#All],[PID]],0)))</f>
        <v>C</v>
      </c>
      <c r="E17" s="52" t="str">
        <f>IF($C17="B",INDEX(Batters[[#All],[First]],MATCH(Table5[[#This Row],[PID]],Batters[[#All],[PID]],0)),INDEX(Table3[[#All],[First]],MATCH(Table5[[#This Row],[PID]],Table3[[#All],[PID]],0)))</f>
        <v>Masaki</v>
      </c>
      <c r="F17" s="50" t="str">
        <f>IF($C17="B",INDEX(Batters[[#All],[Last]],MATCH(A17,Batters[[#All],[PID]],0)),INDEX(Table3[[#All],[Last]],MATCH(A17,Table3[[#All],[PID]],0)))</f>
        <v>Kouki</v>
      </c>
      <c r="G17" s="56">
        <f>IF($C17="B",INDEX(Batters[[#All],[Age]],MATCH(Table5[[#This Row],[PID]],Batters[[#All],[PID]],0)),INDEX(Table3[[#All],[Age]],MATCH(Table5[[#This Row],[PID]],Table3[[#All],[PID]],0)))</f>
        <v>17</v>
      </c>
      <c r="H17" s="52" t="str">
        <f>IF($C17="B",INDEX(Batters[[#All],[B]],MATCH(Table5[[#This Row],[PID]],Batters[[#All],[PID]],0)),INDEX(Table3[[#All],[B]],MATCH(Table5[[#This Row],[PID]],Table3[[#All],[PID]],0)))</f>
        <v>R</v>
      </c>
      <c r="I17" s="52" t="str">
        <f>IF($C17="B",INDEX(Batters[[#All],[T]],MATCH(Table5[[#This Row],[PID]],Batters[[#All],[PID]],0)),INDEX(Table3[[#All],[T]],MATCH(Table5[[#This Row],[PID]],Table3[[#All],[PID]],0)))</f>
        <v>R</v>
      </c>
      <c r="J17" s="52" t="str">
        <f>IF($C17="B",INDEX(Batters[[#All],[WE]],MATCH(Table5[[#This Row],[PID]],Batters[[#All],[PID]],0)),INDEX(Table3[[#All],[WE]],MATCH(Table5[[#This Row],[PID]],Table3[[#All],[PID]],0)))</f>
        <v>High</v>
      </c>
      <c r="K17" s="52" t="str">
        <f>IF($C17="B",INDEX(Batters[[#All],[INT]],MATCH(Table5[[#This Row],[PID]],Batters[[#All],[PID]],0)),INDEX(Table3[[#All],[INT]],MATCH(Table5[[#This Row],[PID]],Table3[[#All],[PID]],0)))</f>
        <v>High</v>
      </c>
      <c r="L17" s="60">
        <f>IF($C17="B",INDEX(Batters[[#All],[CON P]],MATCH(Table5[[#This Row],[PID]],Batters[[#All],[PID]],0)),INDEX(Table3[[#All],[STU P]],MATCH(Table5[[#This Row],[PID]],Table3[[#All],[PID]],0)))</f>
        <v>4</v>
      </c>
      <c r="M17" s="56">
        <f>IF($C17="B",INDEX(Batters[[#All],[GAP P]],MATCH(Table5[[#This Row],[PID]],Batters[[#All],[PID]],0)),INDEX(Table3[[#All],[MOV P]],MATCH(Table5[[#This Row],[PID]],Table3[[#All],[PID]],0)))</f>
        <v>5</v>
      </c>
      <c r="N17" s="56">
        <f>IF($C17="B",INDEX(Batters[[#All],[POW P]],MATCH(Table5[[#This Row],[PID]],Batters[[#All],[PID]],0)),INDEX(Table3[[#All],[CON P]],MATCH(Table5[[#This Row],[PID]],Table3[[#All],[PID]],0)))</f>
        <v>7</v>
      </c>
      <c r="O17" s="56">
        <f>IF($C17="B",INDEX(Batters[[#All],[EYE P]],MATCH(Table5[[#This Row],[PID]],Batters[[#All],[PID]],0)),INDEX(Table3[[#All],[VELO]],MATCH(Table5[[#This Row],[PID]],Table3[[#All],[PID]],0)))</f>
        <v>6</v>
      </c>
      <c r="P17" s="56">
        <f>IF($C17="B",INDEX(Batters[[#All],[K P]],MATCH(Table5[[#This Row],[PID]],Batters[[#All],[PID]],0)),INDEX(Table3[[#All],[STM]],MATCH(Table5[[#This Row],[PID]],Table3[[#All],[PID]],0)))</f>
        <v>4</v>
      </c>
      <c r="Q17" s="61">
        <f>IF($C17="B",INDEX(Batters[[#All],[Tot]],MATCH(Table5[[#This Row],[PID]],Batters[[#All],[PID]],0)),INDEX(Table3[[#All],[Tot]],MATCH(Table5[[#This Row],[PID]],Table3[[#All],[PID]],0)))</f>
        <v>53.670323456507134</v>
      </c>
      <c r="R17" s="52">
        <f>IF($C17="B",INDEX(Batters[[#All],[zScore]],MATCH(Table5[[#This Row],[PID]],Batters[[#All],[PID]],0)),INDEX(Table3[[#All],[zScore]],MATCH(Table5[[#This Row],[PID]],Table3[[#All],[PID]],0)))</f>
        <v>1.5256342904773148</v>
      </c>
      <c r="S17" s="58" t="str">
        <f>IF($C17="B",INDEX(Batters[[#All],[DEM]],MATCH(Table5[[#This Row],[PID]],Batters[[#All],[PID]],0)),INDEX(Table3[[#All],[DEM]],MATCH(Table5[[#This Row],[PID]],Table3[[#All],[PID]],0)))</f>
        <v>$800k</v>
      </c>
      <c r="T17" s="62">
        <f>IF($C17="B",INDEX(Batters[[#All],[Rnk]],MATCH(Table5[[#This Row],[PID]],Batters[[#All],[PID]],0)),INDEX(Table3[[#All],[Rnk]],MATCH(Table5[[#This Row],[PID]],Table3[[#All],[PID]],0)))</f>
        <v>1</v>
      </c>
      <c r="U17" s="67">
        <f>IF($C17="B",VLOOKUP($A17,Bat!$A$4:$BA$1314,47,FALSE),VLOOKUP($A17,Pit!$A$4:$BF$1214,56,FALSE))</f>
        <v>6</v>
      </c>
      <c r="V17" s="50">
        <f>IF($C17="B",VLOOKUP($A17,Bat!$A$4:$BA$1314,48,FALSE),VLOOKUP($A17,Pit!$A$4:$BF$1214,57,FALSE))</f>
        <v>6</v>
      </c>
      <c r="W17" s="50">
        <v>13</v>
      </c>
      <c r="X17" s="51">
        <f>RANK(Table5[[#This Row],[zScore]],Table5[[#All],[zScore]])</f>
        <v>73</v>
      </c>
      <c r="Y17" s="50">
        <f>IFERROR(INDEX(DraftResults[[#All],[OVR]],MATCH(Table5[[#This Row],[PID]],DraftResults[[#All],[Player ID]],0)),"")</f>
        <v>36</v>
      </c>
      <c r="Z17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S1</v>
      </c>
      <c r="AA17" s="50">
        <f>IFERROR(INDEX(DraftResults[[#All],[Pick in Round]],MATCH(Table5[[#This Row],[PID]],DraftResults[[#All],[Player ID]],0)),"")</f>
        <v>3</v>
      </c>
      <c r="AB17" s="50" t="str">
        <f>IFERROR(INDEX(DraftResults[[#All],[Team Name]],MATCH(Table5[[#This Row],[PID]],DraftResults[[#All],[Player ID]],0)),"")</f>
        <v>Amsterdam Lions</v>
      </c>
      <c r="AC17" s="50">
        <f>IF(Table5[[#This Row],[Ovr]]="","",IF(Table5[[#This Row],[cmbList]]="","",Table5[[#This Row],[cmbList]]-Table5[[#This Row],[Ovr]]))</f>
        <v>-23</v>
      </c>
      <c r="AD17" s="54" t="str">
        <f>IF(ISERROR(VLOOKUP($AB17&amp;"-"&amp;$E17&amp;" "&amp;F17,Bonuses!$B$1:$G$1006,4,FALSE)),"",INT(VLOOKUP($AB17&amp;"-"&amp;$E17&amp;" "&amp;$F17,Bonuses!$B$1:$G$1006,4,FALSE)))</f>
        <v/>
      </c>
      <c r="AE17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S1.3 (36) - C Masaki Kouki</v>
      </c>
    </row>
    <row r="18" spans="1:31" s="50" customFormat="1" x14ac:dyDescent="0.3">
      <c r="A18" s="67">
        <v>10522</v>
      </c>
      <c r="B18" s="68">
        <f>COUNTIF(Table5[PID],A18)</f>
        <v>1</v>
      </c>
      <c r="C18" s="68" t="str">
        <f>IF(COUNTIF(Table3[[#All],[PID]],A18)&gt;0,"P","B")</f>
        <v>B</v>
      </c>
      <c r="D18" s="59" t="str">
        <f>IF($C18="B",INDEX(Batters[[#All],[POS]],MATCH(Table5[[#This Row],[PID]],Batters[[#All],[PID]],0)),INDEX(Table3[[#All],[POS]],MATCH(Table5[[#This Row],[PID]],Table3[[#All],[PID]],0)))</f>
        <v>1B</v>
      </c>
      <c r="E18" s="52" t="str">
        <f>IF($C18="B",INDEX(Batters[[#All],[First]],MATCH(Table5[[#This Row],[PID]],Batters[[#All],[PID]],0)),INDEX(Table3[[#All],[First]],MATCH(Table5[[#This Row],[PID]],Table3[[#All],[PID]],0)))</f>
        <v>Juan Carlos</v>
      </c>
      <c r="F18" s="55" t="str">
        <f>IF($C18="B",INDEX(Batters[[#All],[Last]],MATCH(A18,Batters[[#All],[PID]],0)),INDEX(Table3[[#All],[Last]],MATCH(A18,Table3[[#All],[PID]],0)))</f>
        <v>Sánchez</v>
      </c>
      <c r="G18" s="56">
        <f>IF($C18="B",INDEX(Batters[[#All],[Age]],MATCH(Table5[[#This Row],[PID]],Batters[[#All],[PID]],0)),INDEX(Table3[[#All],[Age]],MATCH(Table5[[#This Row],[PID]],Table3[[#All],[PID]],0)))</f>
        <v>17</v>
      </c>
      <c r="H18" s="52" t="str">
        <f>IF($C18="B",INDEX(Batters[[#All],[B]],MATCH(Table5[[#This Row],[PID]],Batters[[#All],[PID]],0)),INDEX(Table3[[#All],[B]],MATCH(Table5[[#This Row],[PID]],Table3[[#All],[PID]],0)))</f>
        <v>L</v>
      </c>
      <c r="I18" s="52" t="str">
        <f>IF($C18="B",INDEX(Batters[[#All],[T]],MATCH(Table5[[#This Row],[PID]],Batters[[#All],[PID]],0)),INDEX(Table3[[#All],[T]],MATCH(Table5[[#This Row],[PID]],Table3[[#All],[PID]],0)))</f>
        <v>R</v>
      </c>
      <c r="J18" s="69" t="str">
        <f>IF($C18="B",INDEX(Batters[[#All],[WE]],MATCH(Table5[[#This Row],[PID]],Batters[[#All],[PID]],0)),INDEX(Table3[[#All],[WE]],MATCH(Table5[[#This Row],[PID]],Table3[[#All],[PID]],0)))</f>
        <v>High</v>
      </c>
      <c r="K18" s="52" t="str">
        <f>IF($C18="B",INDEX(Batters[[#All],[INT]],MATCH(Table5[[#This Row],[PID]],Batters[[#All],[PID]],0)),INDEX(Table3[[#All],[INT]],MATCH(Table5[[#This Row],[PID]],Table3[[#All],[PID]],0)))</f>
        <v>Normal</v>
      </c>
      <c r="L18" s="60">
        <f>IF($C18="B",INDEX(Batters[[#All],[CON P]],MATCH(Table5[[#This Row],[PID]],Batters[[#All],[PID]],0)),INDEX(Table3[[#All],[STU P]],MATCH(Table5[[#This Row],[PID]],Table3[[#All],[PID]],0)))</f>
        <v>6</v>
      </c>
      <c r="M18" s="70">
        <f>IF($C18="B",INDEX(Batters[[#All],[GAP P]],MATCH(Table5[[#This Row],[PID]],Batters[[#All],[PID]],0)),INDEX(Table3[[#All],[MOV P]],MATCH(Table5[[#This Row],[PID]],Table3[[#All],[PID]],0)))</f>
        <v>7</v>
      </c>
      <c r="N18" s="70">
        <f>IF($C18="B",INDEX(Batters[[#All],[POW P]],MATCH(Table5[[#This Row],[PID]],Batters[[#All],[PID]],0)),INDEX(Table3[[#All],[CON P]],MATCH(Table5[[#This Row],[PID]],Table3[[#All],[PID]],0)))</f>
        <v>6</v>
      </c>
      <c r="O18" s="70">
        <f>IF($C18="B",INDEX(Batters[[#All],[EYE P]],MATCH(Table5[[#This Row],[PID]],Batters[[#All],[PID]],0)),INDEX(Table3[[#All],[VELO]],MATCH(Table5[[#This Row],[PID]],Table3[[#All],[PID]],0)))</f>
        <v>5</v>
      </c>
      <c r="P18" s="56">
        <f>IF($C18="B",INDEX(Batters[[#All],[K P]],MATCH(Table5[[#This Row],[PID]],Batters[[#All],[PID]],0)),INDEX(Table3[[#All],[STM]],MATCH(Table5[[#This Row],[PID]],Table3[[#All],[PID]],0)))</f>
        <v>7</v>
      </c>
      <c r="Q18" s="61">
        <f>IF($C18="B",INDEX(Batters[[#All],[Tot]],MATCH(Table5[[#This Row],[PID]],Batters[[#All],[PID]],0)),INDEX(Table3[[#All],[Tot]],MATCH(Table5[[#This Row],[PID]],Table3[[#All],[PID]],0)))</f>
        <v>60.707497472108535</v>
      </c>
      <c r="R18" s="52">
        <f>IF($C18="B",INDEX(Batters[[#All],[zScore]],MATCH(Table5[[#This Row],[PID]],Batters[[#All],[PID]],0)),INDEX(Table3[[#All],[zScore]],MATCH(Table5[[#This Row],[PID]],Table3[[#All],[PID]],0)))</f>
        <v>2.5528372787927087</v>
      </c>
      <c r="S18" s="75" t="str">
        <f>IF($C18="B",INDEX(Batters[[#All],[DEM]],MATCH(Table5[[#This Row],[PID]],Batters[[#All],[PID]],0)),INDEX(Table3[[#All],[DEM]],MATCH(Table5[[#This Row],[PID]],Table3[[#All],[PID]],0)))</f>
        <v>$1.0m</v>
      </c>
      <c r="T18" s="72">
        <f>IF($C18="B",INDEX(Batters[[#All],[Rnk]],MATCH(Table5[[#This Row],[PID]],Batters[[#All],[PID]],0)),INDEX(Table3[[#All],[Rnk]],MATCH(Table5[[#This Row],[PID]],Table3[[#All],[PID]],0)))</f>
        <v>1</v>
      </c>
      <c r="U18" s="67">
        <f>IF($C18="B",VLOOKUP($A18,Bat!$A$4:$BA$1314,47,FALSE),VLOOKUP($A18,Pit!$A$4:$BF$1214,56,FALSE))</f>
        <v>7</v>
      </c>
      <c r="V18" s="50">
        <f>IF($C18="B",VLOOKUP($A18,Bat!$A$4:$BA$1314,48,FALSE),VLOOKUP($A18,Pit!$A$4:$BF$1214,57,FALSE))</f>
        <v>7</v>
      </c>
      <c r="W18" s="68">
        <v>14</v>
      </c>
      <c r="X18" s="71">
        <f>RANK(Table5[[#This Row],[zScore]],Table5[[#All],[zScore]])</f>
        <v>18</v>
      </c>
      <c r="Y18" s="68">
        <f>IFERROR(INDEX(DraftResults[[#All],[OVR]],MATCH(Table5[[#This Row],[PID]],DraftResults[[#All],[Player ID]],0)),"")</f>
        <v>39</v>
      </c>
      <c r="Z18" s="7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2</v>
      </c>
      <c r="AA18" s="68">
        <f>IFERROR(INDEX(DraftResults[[#All],[Pick in Round]],MATCH(Table5[[#This Row],[PID]],DraftResults[[#All],[Player ID]],0)),"")</f>
        <v>3</v>
      </c>
      <c r="AB18" s="68" t="str">
        <f>IFERROR(INDEX(DraftResults[[#All],[Team Name]],MATCH(Table5[[#This Row],[PID]],DraftResults[[#All],[Player ID]],0)),"")</f>
        <v>Okinawa Shisa</v>
      </c>
      <c r="AC18" s="68">
        <f>IF(Table5[[#This Row],[Ovr]]="","",IF(Table5[[#This Row],[cmbList]]="","",Table5[[#This Row],[cmbList]]-Table5[[#This Row],[Ovr]]))</f>
        <v>-25</v>
      </c>
      <c r="AD18" s="74" t="str">
        <f>IF(ISERROR(VLOOKUP($AB18&amp;"-"&amp;$E18&amp;" "&amp;F18,Bonuses!$B$1:$G$1006,4,FALSE)),"",INT(VLOOKUP($AB18&amp;"-"&amp;$E18&amp;" "&amp;$F18,Bonuses!$B$1:$G$1006,4,FALSE)))</f>
        <v/>
      </c>
      <c r="AE18" s="68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2.3 (39) - 1B Juan Carlos Sánchez</v>
      </c>
    </row>
    <row r="19" spans="1:31" s="50" customFormat="1" x14ac:dyDescent="0.3">
      <c r="A19" s="50">
        <v>9501</v>
      </c>
      <c r="B19" s="50">
        <f>COUNTIF(Table5[PID],A19)</f>
        <v>1</v>
      </c>
      <c r="C19" s="50" t="str">
        <f>IF(COUNTIF(Table3[[#All],[PID]],A19)&gt;0,"P","B")</f>
        <v>P</v>
      </c>
      <c r="D19" s="59" t="str">
        <f>IF($C19="B",INDEX(Batters[[#All],[POS]],MATCH(Table5[[#This Row],[PID]],Batters[[#All],[PID]],0)),INDEX(Table3[[#All],[POS]],MATCH(Table5[[#This Row],[PID]],Table3[[#All],[PID]],0)))</f>
        <v>CL</v>
      </c>
      <c r="E19" s="52" t="str">
        <f>IF($C19="B",INDEX(Batters[[#All],[First]],MATCH(Table5[[#This Row],[PID]],Batters[[#All],[PID]],0)),INDEX(Table3[[#All],[First]],MATCH(Table5[[#This Row],[PID]],Table3[[#All],[PID]],0)))</f>
        <v>Bradley</v>
      </c>
      <c r="F19" s="50" t="str">
        <f>IF($C19="B",INDEX(Batters[[#All],[Last]],MATCH(A19,Batters[[#All],[PID]],0)),INDEX(Table3[[#All],[Last]],MATCH(A19,Table3[[#All],[PID]],0)))</f>
        <v>Cline</v>
      </c>
      <c r="G19" s="56">
        <f>IF($C19="B",INDEX(Batters[[#All],[Age]],MATCH(Table5[[#This Row],[PID]],Batters[[#All],[PID]],0)),INDEX(Table3[[#All],[Age]],MATCH(Table5[[#This Row],[PID]],Table3[[#All],[PID]],0)))</f>
        <v>18</v>
      </c>
      <c r="H19" s="52" t="str">
        <f>IF($C19="B",INDEX(Batters[[#All],[B]],MATCH(Table5[[#This Row],[PID]],Batters[[#All],[PID]],0)),INDEX(Table3[[#All],[B]],MATCH(Table5[[#This Row],[PID]],Table3[[#All],[PID]],0)))</f>
        <v>S</v>
      </c>
      <c r="I19" s="52" t="str">
        <f>IF($C19="B",INDEX(Batters[[#All],[T]],MATCH(Table5[[#This Row],[PID]],Batters[[#All],[PID]],0)),INDEX(Table3[[#All],[T]],MATCH(Table5[[#This Row],[PID]],Table3[[#All],[PID]],0)))</f>
        <v>R</v>
      </c>
      <c r="J19" s="52" t="str">
        <f>IF($C19="B",INDEX(Batters[[#All],[WE]],MATCH(Table5[[#This Row],[PID]],Batters[[#All],[PID]],0)),INDEX(Table3[[#All],[WE]],MATCH(Table5[[#This Row],[PID]],Table3[[#All],[PID]],0)))</f>
        <v>High</v>
      </c>
      <c r="K19" s="52" t="str">
        <f>IF($C19="B",INDEX(Batters[[#All],[INT]],MATCH(Table5[[#This Row],[PID]],Batters[[#All],[PID]],0)),INDEX(Table3[[#All],[INT]],MATCH(Table5[[#This Row],[PID]],Table3[[#All],[PID]],0)))</f>
        <v>Normal</v>
      </c>
      <c r="L19" s="60">
        <f>IF($C19="B",INDEX(Batters[[#All],[CON P]],MATCH(Table5[[#This Row],[PID]],Batters[[#All],[PID]],0)),INDEX(Table3[[#All],[STU P]],MATCH(Table5[[#This Row],[PID]],Table3[[#All],[PID]],0)))</f>
        <v>7</v>
      </c>
      <c r="M19" s="56">
        <f>IF($C19="B",INDEX(Batters[[#All],[GAP P]],MATCH(Table5[[#This Row],[PID]],Batters[[#All],[PID]],0)),INDEX(Table3[[#All],[MOV P]],MATCH(Table5[[#This Row],[PID]],Table3[[#All],[PID]],0)))</f>
        <v>7</v>
      </c>
      <c r="N19" s="56">
        <f>IF($C19="B",INDEX(Batters[[#All],[POW P]],MATCH(Table5[[#This Row],[PID]],Batters[[#All],[PID]],0)),INDEX(Table3[[#All],[CON P]],MATCH(Table5[[#This Row],[PID]],Table3[[#All],[PID]],0)))</f>
        <v>6</v>
      </c>
      <c r="O19" s="56" t="str">
        <f>IF($C19="B",INDEX(Batters[[#All],[EYE P]],MATCH(Table5[[#This Row],[PID]],Batters[[#All],[PID]],0)),INDEX(Table3[[#All],[VELO]],MATCH(Table5[[#This Row],[PID]],Table3[[#All],[PID]],0)))</f>
        <v>91-93 Mph</v>
      </c>
      <c r="P19" s="56">
        <f>IF($C19="B",INDEX(Batters[[#All],[K P]],MATCH(Table5[[#This Row],[PID]],Batters[[#All],[PID]],0)),INDEX(Table3[[#All],[STM]],MATCH(Table5[[#This Row],[PID]],Table3[[#All],[PID]],0)))</f>
        <v>7</v>
      </c>
      <c r="Q19" s="61">
        <f>IF($C19="B",INDEX(Batters[[#All],[Tot]],MATCH(Table5[[#This Row],[PID]],Batters[[#All],[PID]],0)),INDEX(Table3[[#All],[Tot]],MATCH(Table5[[#This Row],[PID]],Table3[[#All],[PID]],0)))</f>
        <v>81.930334598786985</v>
      </c>
      <c r="R19" s="52">
        <f>IF($C19="B",INDEX(Batters[[#All],[zScore]],MATCH(Table5[[#This Row],[PID]],Batters[[#All],[PID]],0)),INDEX(Table3[[#All],[zScore]],MATCH(Table5[[#This Row],[PID]],Table3[[#All],[PID]],0)))</f>
        <v>3.1422062878800405</v>
      </c>
      <c r="S19" s="58" t="str">
        <f>IF($C19="B",INDEX(Batters[[#All],[DEM]],MATCH(Table5[[#This Row],[PID]],Batters[[#All],[PID]],0)),INDEX(Table3[[#All],[DEM]],MATCH(Table5[[#This Row],[PID]],Table3[[#All],[PID]],0)))</f>
        <v>$290k</v>
      </c>
      <c r="T19" s="62">
        <f>IF($C19="B",INDEX(Batters[[#All],[Rnk]],MATCH(Table5[[#This Row],[PID]],Batters[[#All],[PID]],0)),INDEX(Table3[[#All],[Rnk]],MATCH(Table5[[#This Row],[PID]],Table3[[#All],[PID]],0)))</f>
        <v>6</v>
      </c>
      <c r="U19" s="67">
        <f>IF($C19="B",VLOOKUP($A19,Bat!$A$4:$BA$1314,47,FALSE),VLOOKUP($A19,Pit!$A$4:$BF$1214,56,FALSE))</f>
        <v>8</v>
      </c>
      <c r="V19" s="50">
        <f>IF($C19="B",VLOOKUP($A19,Bat!$A$4:$BA$1314,48,FALSE),VLOOKUP($A19,Pit!$A$4:$BF$1214,57,FALSE))</f>
        <v>0</v>
      </c>
      <c r="W19" s="50">
        <v>15</v>
      </c>
      <c r="X19" s="51">
        <f>RANK(Table5[[#This Row],[zScore]],Table5[[#All],[zScore]])</f>
        <v>5</v>
      </c>
      <c r="Y19" s="50">
        <f>IFERROR(INDEX(DraftResults[[#All],[OVR]],MATCH(Table5[[#This Row],[PID]],DraftResults[[#All],[Player ID]],0)),"")</f>
        <v>9</v>
      </c>
      <c r="Z19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1</v>
      </c>
      <c r="AA19" s="50">
        <f>IFERROR(INDEX(DraftResults[[#All],[Pick in Round]],MATCH(Table5[[#This Row],[PID]],DraftResults[[#All],[Player ID]],0)),"")</f>
        <v>9</v>
      </c>
      <c r="AB19" s="50" t="str">
        <f>IFERROR(INDEX(DraftResults[[#All],[Team Name]],MATCH(Table5[[#This Row],[PID]],DraftResults[[#All],[Player ID]],0)),"")</f>
        <v>Gloucester Fishermen</v>
      </c>
      <c r="AC19" s="50">
        <f>IF(Table5[[#This Row],[Ovr]]="","",IF(Table5[[#This Row],[cmbList]]="","",Table5[[#This Row],[cmbList]]-Table5[[#This Row],[Ovr]]))</f>
        <v>6</v>
      </c>
      <c r="AD19" s="54" t="str">
        <f>IF(ISERROR(VLOOKUP($AB19&amp;"-"&amp;$E19&amp;" "&amp;F19,Bonuses!$B$1:$G$1006,4,FALSE)),"",INT(VLOOKUP($AB19&amp;"-"&amp;$E19&amp;" "&amp;$F19,Bonuses!$B$1:$G$1006,4,FALSE)))</f>
        <v/>
      </c>
      <c r="AE19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1.9 (9) - CL Bradley Cline</v>
      </c>
    </row>
    <row r="20" spans="1:31" s="50" customFormat="1" x14ac:dyDescent="0.3">
      <c r="A20" s="50">
        <v>12639</v>
      </c>
      <c r="B20" s="50">
        <f>COUNTIF(Table5[PID],A20)</f>
        <v>1</v>
      </c>
      <c r="C20" s="50" t="str">
        <f>IF(COUNTIF(Table3[[#All],[PID]],A20)&gt;0,"P","B")</f>
        <v>P</v>
      </c>
      <c r="D20" s="59" t="str">
        <f>IF($C20="B",INDEX(Batters[[#All],[POS]],MATCH(Table5[[#This Row],[PID]],Batters[[#All],[PID]],0)),INDEX(Table3[[#All],[POS]],MATCH(Table5[[#This Row],[PID]],Table3[[#All],[PID]],0)))</f>
        <v>SP</v>
      </c>
      <c r="E20" s="52" t="str">
        <f>IF($C20="B",INDEX(Batters[[#All],[First]],MATCH(Table5[[#This Row],[PID]],Batters[[#All],[PID]],0)),INDEX(Table3[[#All],[First]],MATCH(Table5[[#This Row],[PID]],Table3[[#All],[PID]],0)))</f>
        <v>Wilbert</v>
      </c>
      <c r="F20" s="50" t="str">
        <f>IF($C20="B",INDEX(Batters[[#All],[Last]],MATCH(A20,Batters[[#All],[PID]],0)),INDEX(Table3[[#All],[Last]],MATCH(A20,Table3[[#All],[PID]],0)))</f>
        <v>Dugles</v>
      </c>
      <c r="G20" s="56">
        <f>IF($C20="B",INDEX(Batters[[#All],[Age]],MATCH(Table5[[#This Row],[PID]],Batters[[#All],[PID]],0)),INDEX(Table3[[#All],[Age]],MATCH(Table5[[#This Row],[PID]],Table3[[#All],[PID]],0)))</f>
        <v>17</v>
      </c>
      <c r="H20" s="52" t="str">
        <f>IF($C20="B",INDEX(Batters[[#All],[B]],MATCH(Table5[[#This Row],[PID]],Batters[[#All],[PID]],0)),INDEX(Table3[[#All],[B]],MATCH(Table5[[#This Row],[PID]],Table3[[#All],[PID]],0)))</f>
        <v>L</v>
      </c>
      <c r="I20" s="52" t="str">
        <f>IF($C20="B",INDEX(Batters[[#All],[T]],MATCH(Table5[[#This Row],[PID]],Batters[[#All],[PID]],0)),INDEX(Table3[[#All],[T]],MATCH(Table5[[#This Row],[PID]],Table3[[#All],[PID]],0)))</f>
        <v>R</v>
      </c>
      <c r="J20" s="52" t="str">
        <f>IF($C20="B",INDEX(Batters[[#All],[WE]],MATCH(Table5[[#This Row],[PID]],Batters[[#All],[PID]],0)),INDEX(Table3[[#All],[WE]],MATCH(Table5[[#This Row],[PID]],Table3[[#All],[PID]],0)))</f>
        <v>Normal</v>
      </c>
      <c r="K20" s="52" t="str">
        <f>IF($C20="B",INDEX(Batters[[#All],[INT]],MATCH(Table5[[#This Row],[PID]],Batters[[#All],[PID]],0)),INDEX(Table3[[#All],[INT]],MATCH(Table5[[#This Row],[PID]],Table3[[#All],[PID]],0)))</f>
        <v>Normal</v>
      </c>
      <c r="L20" s="60">
        <f>IF($C20="B",INDEX(Batters[[#All],[CON P]],MATCH(Table5[[#This Row],[PID]],Batters[[#All],[PID]],0)),INDEX(Table3[[#All],[STU P]],MATCH(Table5[[#This Row],[PID]],Table3[[#All],[PID]],0)))</f>
        <v>6</v>
      </c>
      <c r="M20" s="56">
        <f>IF($C20="B",INDEX(Batters[[#All],[GAP P]],MATCH(Table5[[#This Row],[PID]],Batters[[#All],[PID]],0)),INDEX(Table3[[#All],[MOV P]],MATCH(Table5[[#This Row],[PID]],Table3[[#All],[PID]],0)))</f>
        <v>5</v>
      </c>
      <c r="N20" s="56">
        <f>IF($C20="B",INDEX(Batters[[#All],[POW P]],MATCH(Table5[[#This Row],[PID]],Batters[[#All],[PID]],0)),INDEX(Table3[[#All],[CON P]],MATCH(Table5[[#This Row],[PID]],Table3[[#All],[PID]],0)))</f>
        <v>6</v>
      </c>
      <c r="O20" s="56" t="str">
        <f>IF($C20="B",INDEX(Batters[[#All],[EYE P]],MATCH(Table5[[#This Row],[PID]],Batters[[#All],[PID]],0)),INDEX(Table3[[#All],[VELO]],MATCH(Table5[[#This Row],[PID]],Table3[[#All],[PID]],0)))</f>
        <v>96-98 Mph</v>
      </c>
      <c r="P20" s="56">
        <f>IF($C20="B",INDEX(Batters[[#All],[K P]],MATCH(Table5[[#This Row],[PID]],Batters[[#All],[PID]],0)),INDEX(Table3[[#All],[STM]],MATCH(Table5[[#This Row],[PID]],Table3[[#All],[PID]],0)))</f>
        <v>5</v>
      </c>
      <c r="Q20" s="61">
        <f>IF($C20="B",INDEX(Batters[[#All],[Tot]],MATCH(Table5[[#This Row],[PID]],Batters[[#All],[PID]],0)),INDEX(Table3[[#All],[Tot]],MATCH(Table5[[#This Row],[PID]],Table3[[#All],[PID]],0)))</f>
        <v>71.493709872293124</v>
      </c>
      <c r="R20" s="52">
        <f>IF($C20="B",INDEX(Batters[[#All],[zScore]],MATCH(Table5[[#This Row],[PID]],Batters[[#All],[PID]],0)),INDEX(Table3[[#All],[zScore]],MATCH(Table5[[#This Row],[PID]],Table3[[#All],[PID]],0)))</f>
        <v>2.3990452078976832</v>
      </c>
      <c r="S20" s="58" t="str">
        <f>IF($C20="B",INDEX(Batters[[#All],[DEM]],MATCH(Table5[[#This Row],[PID]],Batters[[#All],[PID]],0)),INDEX(Table3[[#All],[DEM]],MATCH(Table5[[#This Row],[PID]],Table3[[#All],[PID]],0)))</f>
        <v>$1.1m</v>
      </c>
      <c r="T20" s="62">
        <f>IF($C20="B",INDEX(Batters[[#All],[Rnk]],MATCH(Table5[[#This Row],[PID]],Batters[[#All],[PID]],0)),INDEX(Table3[[#All],[Rnk]],MATCH(Table5[[#This Row],[PID]],Table3[[#All],[PID]],0)))</f>
        <v>7</v>
      </c>
      <c r="U20" s="67">
        <f>IF($C20="B",VLOOKUP($A20,Bat!$A$4:$BA$1314,47,FALSE),VLOOKUP($A20,Pit!$A$4:$BF$1214,56,FALSE))</f>
        <v>9</v>
      </c>
      <c r="V20" s="50">
        <f>IF($C20="B",VLOOKUP($A20,Bat!$A$4:$BA$1314,48,FALSE),VLOOKUP($A20,Pit!$A$4:$BF$1214,57,FALSE))</f>
        <v>0</v>
      </c>
      <c r="W20" s="50">
        <v>16</v>
      </c>
      <c r="X20" s="51">
        <f>RANK(Table5[[#This Row],[zScore]],Table5[[#All],[zScore]])</f>
        <v>24</v>
      </c>
      <c r="Y20" s="50">
        <f>IFERROR(INDEX(DraftResults[[#All],[OVR]],MATCH(Table5[[#This Row],[PID]],DraftResults[[#All],[Player ID]],0)),"")</f>
        <v>49</v>
      </c>
      <c r="Z20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2</v>
      </c>
      <c r="AA20" s="50">
        <f>IFERROR(INDEX(DraftResults[[#All],[Pick in Round]],MATCH(Table5[[#This Row],[PID]],DraftResults[[#All],[Player ID]],0)),"")</f>
        <v>13</v>
      </c>
      <c r="AB20" s="50" t="str">
        <f>IFERROR(INDEX(DraftResults[[#All],[Team Name]],MATCH(Table5[[#This Row],[PID]],DraftResults[[#All],[Player ID]],0)),"")</f>
        <v>Duluth Warriors</v>
      </c>
      <c r="AC20" s="50">
        <f>IF(Table5[[#This Row],[Ovr]]="","",IF(Table5[[#This Row],[cmbList]]="","",Table5[[#This Row],[cmbList]]-Table5[[#This Row],[Ovr]]))</f>
        <v>-33</v>
      </c>
      <c r="AD20" s="54" t="str">
        <f>IF(ISERROR(VLOOKUP($AB20&amp;"-"&amp;$E20&amp;" "&amp;F20,Bonuses!$B$1:$G$1006,4,FALSE)),"",INT(VLOOKUP($AB20&amp;"-"&amp;$E20&amp;" "&amp;$F20,Bonuses!$B$1:$G$1006,4,FALSE)))</f>
        <v/>
      </c>
      <c r="AE20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2.13 (49) - SP Wilbert Dugles</v>
      </c>
    </row>
    <row r="21" spans="1:31" s="50" customFormat="1" x14ac:dyDescent="0.3">
      <c r="A21" s="50">
        <v>7532</v>
      </c>
      <c r="B21" s="55">
        <f>COUNTIF(Table5[PID],A21)</f>
        <v>1</v>
      </c>
      <c r="C21" s="55" t="str">
        <f>IF(COUNTIF(Table3[[#All],[PID]],A21)&gt;0,"P","B")</f>
        <v>P</v>
      </c>
      <c r="D21" s="59" t="str">
        <f>IF($C21="B",INDEX(Batters[[#All],[POS]],MATCH(Table5[[#This Row],[PID]],Batters[[#All],[PID]],0)),INDEX(Table3[[#All],[POS]],MATCH(Table5[[#This Row],[PID]],Table3[[#All],[PID]],0)))</f>
        <v>SP</v>
      </c>
      <c r="E21" s="52" t="str">
        <f>IF($C21="B",INDEX(Batters[[#All],[First]],MATCH(Table5[[#This Row],[PID]],Batters[[#All],[PID]],0)),INDEX(Table3[[#All],[First]],MATCH(Table5[[#This Row],[PID]],Table3[[#All],[PID]],0)))</f>
        <v>Orlando</v>
      </c>
      <c r="F21" s="50" t="str">
        <f>IF($C21="B",INDEX(Batters[[#All],[Last]],MATCH(A21,Batters[[#All],[PID]],0)),INDEX(Table3[[#All],[Last]],MATCH(A21,Table3[[#All],[PID]],0)))</f>
        <v>Ávila</v>
      </c>
      <c r="G21" s="56">
        <f>IF($C21="B",INDEX(Batters[[#All],[Age]],MATCH(Table5[[#This Row],[PID]],Batters[[#All],[PID]],0)),INDEX(Table3[[#All],[Age]],MATCH(Table5[[#This Row],[PID]],Table3[[#All],[PID]],0)))</f>
        <v>21</v>
      </c>
      <c r="H21" s="52" t="str">
        <f>IF($C21="B",INDEX(Batters[[#All],[B]],MATCH(Table5[[#This Row],[PID]],Batters[[#All],[PID]],0)),INDEX(Table3[[#All],[B]],MATCH(Table5[[#This Row],[PID]],Table3[[#All],[PID]],0)))</f>
        <v>R</v>
      </c>
      <c r="I21" s="52" t="str">
        <f>IF($C21="B",INDEX(Batters[[#All],[T]],MATCH(Table5[[#This Row],[PID]],Batters[[#All],[PID]],0)),INDEX(Table3[[#All],[T]],MATCH(Table5[[#This Row],[PID]],Table3[[#All],[PID]],0)))</f>
        <v>R</v>
      </c>
      <c r="J21" s="52" t="str">
        <f>IF($C21="B",INDEX(Batters[[#All],[WE]],MATCH(Table5[[#This Row],[PID]],Batters[[#All],[PID]],0)),INDEX(Table3[[#All],[WE]],MATCH(Table5[[#This Row],[PID]],Table3[[#All],[PID]],0)))</f>
        <v>Normal</v>
      </c>
      <c r="K21" s="52" t="str">
        <f>IF($C21="B",INDEX(Batters[[#All],[INT]],MATCH(Table5[[#This Row],[PID]],Batters[[#All],[PID]],0)),INDEX(Table3[[#All],[INT]],MATCH(Table5[[#This Row],[PID]],Table3[[#All],[PID]],0)))</f>
        <v>Normal</v>
      </c>
      <c r="L21" s="60">
        <f>IF($C21="B",INDEX(Batters[[#All],[CON P]],MATCH(Table5[[#This Row],[PID]],Batters[[#All],[PID]],0)),INDEX(Table3[[#All],[STU P]],MATCH(Table5[[#This Row],[PID]],Table3[[#All],[PID]],0)))</f>
        <v>5</v>
      </c>
      <c r="M21" s="56">
        <f>IF($C21="B",INDEX(Batters[[#All],[GAP P]],MATCH(Table5[[#This Row],[PID]],Batters[[#All],[PID]],0)),INDEX(Table3[[#All],[MOV P]],MATCH(Table5[[#This Row],[PID]],Table3[[#All],[PID]],0)))</f>
        <v>6</v>
      </c>
      <c r="N21" s="56">
        <f>IF($C21="B",INDEX(Batters[[#All],[POW P]],MATCH(Table5[[#This Row],[PID]],Batters[[#All],[PID]],0)),INDEX(Table3[[#All],[CON P]],MATCH(Table5[[#This Row],[PID]],Table3[[#All],[PID]],0)))</f>
        <v>8</v>
      </c>
      <c r="O21" s="56" t="str">
        <f>IF($C21="B",INDEX(Batters[[#All],[EYE P]],MATCH(Table5[[#This Row],[PID]],Batters[[#All],[PID]],0)),INDEX(Table3[[#All],[VELO]],MATCH(Table5[[#This Row],[PID]],Table3[[#All],[PID]],0)))</f>
        <v>93-95 Mph</v>
      </c>
      <c r="P21" s="56">
        <f>IF($C21="B",INDEX(Batters[[#All],[K P]],MATCH(Table5[[#This Row],[PID]],Batters[[#All],[PID]],0)),INDEX(Table3[[#All],[STM]],MATCH(Table5[[#This Row],[PID]],Table3[[#All],[PID]],0)))</f>
        <v>9</v>
      </c>
      <c r="Q21" s="61">
        <f>IF($C21="B",INDEX(Batters[[#All],[Tot]],MATCH(Table5[[#This Row],[PID]],Batters[[#All],[PID]],0)),INDEX(Table3[[#All],[Tot]],MATCH(Table5[[#This Row],[PID]],Table3[[#All],[PID]],0)))</f>
        <v>70.143007698053864</v>
      </c>
      <c r="R21" s="52">
        <f>IF($C21="B",INDEX(Batters[[#All],[zScore]],MATCH(Table5[[#This Row],[PID]],Batters[[#All],[PID]],0)),INDEX(Table3[[#All],[zScore]],MATCH(Table5[[#This Row],[PID]],Table3[[#All],[PID]],0)))</f>
        <v>2.3028657137750286</v>
      </c>
      <c r="S21" s="58" t="str">
        <f>IF($C21="B",INDEX(Batters[[#All],[DEM]],MATCH(Table5[[#This Row],[PID]],Batters[[#All],[PID]],0)),INDEX(Table3[[#All],[DEM]],MATCH(Table5[[#This Row],[PID]],Table3[[#All],[PID]],0)))</f>
        <v>$120k</v>
      </c>
      <c r="T21" s="62">
        <f>IF($C21="B",INDEX(Batters[[#All],[Rnk]],MATCH(Table5[[#This Row],[PID]],Batters[[#All],[PID]],0)),INDEX(Table3[[#All],[Rnk]],MATCH(Table5[[#This Row],[PID]],Table3[[#All],[PID]],0)))</f>
        <v>8</v>
      </c>
      <c r="U21" s="67">
        <f>IF($C21="B",VLOOKUP($A21,Bat!$A$4:$BA$1314,47,FALSE),VLOOKUP($A21,Pit!$A$4:$BF$1214,56,FALSE))</f>
        <v>10</v>
      </c>
      <c r="V21" s="50">
        <f>IF($C21="B",VLOOKUP($A21,Bat!$A$4:$BA$1314,48,FALSE),VLOOKUP($A21,Pit!$A$4:$BF$1214,57,FALSE))</f>
        <v>0</v>
      </c>
      <c r="W21" s="50">
        <v>17</v>
      </c>
      <c r="X21" s="51">
        <f>RANK(Table5[[#This Row],[zScore]],Table5[[#All],[zScore]])</f>
        <v>29</v>
      </c>
      <c r="Y21" s="50">
        <f>IFERROR(INDEX(DraftResults[[#All],[OVR]],MATCH(Table5[[#This Row],[PID]],DraftResults[[#All],[Player ID]],0)),"")</f>
        <v>17</v>
      </c>
      <c r="Z21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1</v>
      </c>
      <c r="AA21" s="50">
        <f>IFERROR(INDEX(DraftResults[[#All],[Pick in Round]],MATCH(Table5[[#This Row],[PID]],DraftResults[[#All],[Player ID]],0)),"")</f>
        <v>17</v>
      </c>
      <c r="AB21" s="50" t="str">
        <f>IFERROR(INDEX(DraftResults[[#All],[Team Name]],MATCH(Table5[[#This Row],[PID]],DraftResults[[#All],[Player ID]],0)),"")</f>
        <v>Madison Malts</v>
      </c>
      <c r="AC21" s="50">
        <f>IF(Table5[[#This Row],[Ovr]]="","",IF(Table5[[#This Row],[cmbList]]="","",Table5[[#This Row],[cmbList]]-Table5[[#This Row],[Ovr]]))</f>
        <v>0</v>
      </c>
      <c r="AD21" s="54" t="str">
        <f>IF(ISERROR(VLOOKUP($AB21&amp;"-"&amp;$E21&amp;" "&amp;F21,Bonuses!$B$1:$G$1006,4,FALSE)),"",INT(VLOOKUP($AB21&amp;"-"&amp;$E21&amp;" "&amp;$F21,Bonuses!$B$1:$G$1006,4,FALSE)))</f>
        <v/>
      </c>
      <c r="AE21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1.17 (17) - SP Orlando Ávila</v>
      </c>
    </row>
    <row r="22" spans="1:31" s="50" customFormat="1" x14ac:dyDescent="0.3">
      <c r="A22" s="67">
        <v>14912</v>
      </c>
      <c r="B22" s="68">
        <f>COUNTIF(Table5[PID],A22)</f>
        <v>1</v>
      </c>
      <c r="C22" s="68" t="str">
        <f>IF(COUNTIF(Table3[[#All],[PID]],A22)&gt;0,"P","B")</f>
        <v>P</v>
      </c>
      <c r="D22" s="59" t="str">
        <f>IF($C22="B",INDEX(Batters[[#All],[POS]],MATCH(Table5[[#This Row],[PID]],Batters[[#All],[PID]],0)),INDEX(Table3[[#All],[POS]],MATCH(Table5[[#This Row],[PID]],Table3[[#All],[PID]],0)))</f>
        <v>CL</v>
      </c>
      <c r="E22" s="52" t="str">
        <f>IF($C22="B",INDEX(Batters[[#All],[First]],MATCH(Table5[[#This Row],[PID]],Batters[[#All],[PID]],0)),INDEX(Table3[[#All],[First]],MATCH(Table5[[#This Row],[PID]],Table3[[#All],[PID]],0)))</f>
        <v>Tom</v>
      </c>
      <c r="F22" s="55" t="str">
        <f>IF($C22="B",INDEX(Batters[[#All],[Last]],MATCH(A22,Batters[[#All],[PID]],0)),INDEX(Table3[[#All],[Last]],MATCH(A22,Table3[[#All],[PID]],0)))</f>
        <v>Ray</v>
      </c>
      <c r="G22" s="56">
        <f>IF($C22="B",INDEX(Batters[[#All],[Age]],MATCH(Table5[[#This Row],[PID]],Batters[[#All],[PID]],0)),INDEX(Table3[[#All],[Age]],MATCH(Table5[[#This Row],[PID]],Table3[[#All],[PID]],0)))</f>
        <v>21</v>
      </c>
      <c r="H22" s="52" t="str">
        <f>IF($C22="B",INDEX(Batters[[#All],[B]],MATCH(Table5[[#This Row],[PID]],Batters[[#All],[PID]],0)),INDEX(Table3[[#All],[B]],MATCH(Table5[[#This Row],[PID]],Table3[[#All],[PID]],0)))</f>
        <v>R</v>
      </c>
      <c r="I22" s="52" t="str">
        <f>IF($C22="B",INDEX(Batters[[#All],[T]],MATCH(Table5[[#This Row],[PID]],Batters[[#All],[PID]],0)),INDEX(Table3[[#All],[T]],MATCH(Table5[[#This Row],[PID]],Table3[[#All],[PID]],0)))</f>
        <v>R</v>
      </c>
      <c r="J22" s="69" t="str">
        <f>IF($C22="B",INDEX(Batters[[#All],[WE]],MATCH(Table5[[#This Row],[PID]],Batters[[#All],[PID]],0)),INDEX(Table3[[#All],[WE]],MATCH(Table5[[#This Row],[PID]],Table3[[#All],[PID]],0)))</f>
        <v>Normal</v>
      </c>
      <c r="K22" s="52" t="str">
        <f>IF($C22="B",INDEX(Batters[[#All],[INT]],MATCH(Table5[[#This Row],[PID]],Batters[[#All],[PID]],0)),INDEX(Table3[[#All],[INT]],MATCH(Table5[[#This Row],[PID]],Table3[[#All],[PID]],0)))</f>
        <v>Normal</v>
      </c>
      <c r="L22" s="60">
        <f>IF($C22="B",INDEX(Batters[[#All],[CON P]],MATCH(Table5[[#This Row],[PID]],Batters[[#All],[PID]],0)),INDEX(Table3[[#All],[STU P]],MATCH(Table5[[#This Row],[PID]],Table3[[#All],[PID]],0)))</f>
        <v>8</v>
      </c>
      <c r="M22" s="70">
        <f>IF($C22="B",INDEX(Batters[[#All],[GAP P]],MATCH(Table5[[#This Row],[PID]],Batters[[#All],[PID]],0)),INDEX(Table3[[#All],[MOV P]],MATCH(Table5[[#This Row],[PID]],Table3[[#All],[PID]],0)))</f>
        <v>7</v>
      </c>
      <c r="N22" s="70">
        <f>IF($C22="B",INDEX(Batters[[#All],[POW P]],MATCH(Table5[[#This Row],[PID]],Batters[[#All],[PID]],0)),INDEX(Table3[[#All],[CON P]],MATCH(Table5[[#This Row],[PID]],Table3[[#All],[PID]],0)))</f>
        <v>5</v>
      </c>
      <c r="O22" s="70" t="str">
        <f>IF($C22="B",INDEX(Batters[[#All],[EYE P]],MATCH(Table5[[#This Row],[PID]],Batters[[#All],[PID]],0)),INDEX(Table3[[#All],[VELO]],MATCH(Table5[[#This Row],[PID]],Table3[[#All],[PID]],0)))</f>
        <v>94-96 Mph</v>
      </c>
      <c r="P22" s="56">
        <f>IF($C22="B",INDEX(Batters[[#All],[K P]],MATCH(Table5[[#This Row],[PID]],Batters[[#All],[PID]],0)),INDEX(Table3[[#All],[STM]],MATCH(Table5[[#This Row],[PID]],Table3[[#All],[PID]],0)))</f>
        <v>9</v>
      </c>
      <c r="Q22" s="61">
        <f>IF($C22="B",INDEX(Batters[[#All],[Tot]],MATCH(Table5[[#This Row],[PID]],Batters[[#All],[PID]],0)),INDEX(Table3[[#All],[Tot]],MATCH(Table5[[#This Row],[PID]],Table3[[#All],[PID]],0)))</f>
        <v>70.872429517568747</v>
      </c>
      <c r="R22" s="52">
        <f>IF($C22="B",INDEX(Batters[[#All],[zScore]],MATCH(Table5[[#This Row],[PID]],Batters[[#All],[PID]],0)),INDEX(Table3[[#All],[zScore]],MATCH(Table5[[#This Row],[PID]],Table3[[#All],[PID]],0)))</f>
        <v>2.3589387094080858</v>
      </c>
      <c r="S22" s="75" t="str">
        <f>IF($C22="B",INDEX(Batters[[#All],[DEM]],MATCH(Table5[[#This Row],[PID]],Batters[[#All],[PID]],0)),INDEX(Table3[[#All],[DEM]],MATCH(Table5[[#This Row],[PID]],Table3[[#All],[PID]],0)))</f>
        <v>$600k</v>
      </c>
      <c r="T22" s="72">
        <f>IF($C22="B",INDEX(Batters[[#All],[Rnk]],MATCH(Table5[[#This Row],[PID]],Batters[[#All],[PID]],0)),INDEX(Table3[[#All],[Rnk]],MATCH(Table5[[#This Row],[PID]],Table3[[#All],[PID]],0)))</f>
        <v>9</v>
      </c>
      <c r="U22" s="67">
        <f>IF($C22="B",VLOOKUP($A22,Bat!$A$4:$BA$1314,47,FALSE),VLOOKUP($A22,Pit!$A$4:$BF$1214,56,FALSE))</f>
        <v>11</v>
      </c>
      <c r="V22" s="50">
        <f>IF($C22="B",VLOOKUP($A22,Bat!$A$4:$BA$1314,48,FALSE),VLOOKUP($A22,Pit!$A$4:$BF$1214,57,FALSE))</f>
        <v>0</v>
      </c>
      <c r="W22" s="68">
        <v>18</v>
      </c>
      <c r="X22" s="71">
        <f>RANK(Table5[[#This Row],[zScore]],Table5[[#All],[zScore]])</f>
        <v>26</v>
      </c>
      <c r="Y22" s="68">
        <f>IFERROR(INDEX(DraftResults[[#All],[OVR]],MATCH(Table5[[#This Row],[PID]],DraftResults[[#All],[Player ID]],0)),"")</f>
        <v>19</v>
      </c>
      <c r="Z22" s="7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1</v>
      </c>
      <c r="AA22" s="68">
        <f>IFERROR(INDEX(DraftResults[[#All],[Pick in Round]],MATCH(Table5[[#This Row],[PID]],DraftResults[[#All],[Player ID]],0)),"")</f>
        <v>19</v>
      </c>
      <c r="AB22" s="68" t="str">
        <f>IFERROR(INDEX(DraftResults[[#All],[Team Name]],MATCH(Table5[[#This Row],[PID]],DraftResults[[#All],[Player ID]],0)),"")</f>
        <v>San Juan Coqui</v>
      </c>
      <c r="AC22" s="68">
        <f>IF(Table5[[#This Row],[Ovr]]="","",IF(Table5[[#This Row],[cmbList]]="","",Table5[[#This Row],[cmbList]]-Table5[[#This Row],[Ovr]]))</f>
        <v>-1</v>
      </c>
      <c r="AD22" s="74" t="str">
        <f>IF(ISERROR(VLOOKUP($AB22&amp;"-"&amp;$E22&amp;" "&amp;F22,Bonuses!$B$1:$G$1006,4,FALSE)),"",INT(VLOOKUP($AB22&amp;"-"&amp;$E22&amp;" "&amp;$F22,Bonuses!$B$1:$G$1006,4,FALSE)))</f>
        <v/>
      </c>
      <c r="AE22" s="68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1.19 (19) - CL Tom Ray</v>
      </c>
    </row>
    <row r="23" spans="1:31" s="50" customFormat="1" x14ac:dyDescent="0.3">
      <c r="A23" s="50">
        <v>13434</v>
      </c>
      <c r="B23" s="50">
        <f>COUNTIF(Table5[PID],A23)</f>
        <v>1</v>
      </c>
      <c r="C23" s="50" t="str">
        <f>IF(COUNTIF(Table3[[#All],[PID]],A23)&gt;0,"P","B")</f>
        <v>B</v>
      </c>
      <c r="D23" s="59" t="str">
        <f>IF($C23="B",INDEX(Batters[[#All],[POS]],MATCH(Table5[[#This Row],[PID]],Batters[[#All],[PID]],0)),INDEX(Table3[[#All],[POS]],MATCH(Table5[[#This Row],[PID]],Table3[[#All],[PID]],0)))</f>
        <v>RF</v>
      </c>
      <c r="E23" s="52" t="str">
        <f>IF($C23="B",INDEX(Batters[[#All],[First]],MATCH(Table5[[#This Row],[PID]],Batters[[#All],[PID]],0)),INDEX(Table3[[#All],[First]],MATCH(Table5[[#This Row],[PID]],Table3[[#All],[PID]],0)))</f>
        <v>Takamasa</v>
      </c>
      <c r="F23" s="50" t="str">
        <f>IF($C23="B",INDEX(Batters[[#All],[Last]],MATCH(A23,Batters[[#All],[PID]],0)),INDEX(Table3[[#All],[Last]],MATCH(A23,Table3[[#All],[PID]],0)))</f>
        <v>Kohara</v>
      </c>
      <c r="G23" s="56">
        <f>IF($C23="B",INDEX(Batters[[#All],[Age]],MATCH(Table5[[#This Row],[PID]],Batters[[#All],[PID]],0)),INDEX(Table3[[#All],[Age]],MATCH(Table5[[#This Row],[PID]],Table3[[#All],[PID]],0)))</f>
        <v>18</v>
      </c>
      <c r="H23" s="52" t="str">
        <f>IF($C23="B",INDEX(Batters[[#All],[B]],MATCH(Table5[[#This Row],[PID]],Batters[[#All],[PID]],0)),INDEX(Table3[[#All],[B]],MATCH(Table5[[#This Row],[PID]],Table3[[#All],[PID]],0)))</f>
        <v>R</v>
      </c>
      <c r="I23" s="52" t="str">
        <f>IF($C23="B",INDEX(Batters[[#All],[T]],MATCH(Table5[[#This Row],[PID]],Batters[[#All],[PID]],0)),INDEX(Table3[[#All],[T]],MATCH(Table5[[#This Row],[PID]],Table3[[#All],[PID]],0)))</f>
        <v>R</v>
      </c>
      <c r="J23" s="52" t="str">
        <f>IF($C23="B",INDEX(Batters[[#All],[WE]],MATCH(Table5[[#This Row],[PID]],Batters[[#All],[PID]],0)),INDEX(Table3[[#All],[WE]],MATCH(Table5[[#This Row],[PID]],Table3[[#All],[PID]],0)))</f>
        <v>Normal</v>
      </c>
      <c r="K23" s="52" t="str">
        <f>IF($C23="B",INDEX(Batters[[#All],[INT]],MATCH(Table5[[#This Row],[PID]],Batters[[#All],[PID]],0)),INDEX(Table3[[#All],[INT]],MATCH(Table5[[#This Row],[PID]],Table3[[#All],[PID]],0)))</f>
        <v>Normal</v>
      </c>
      <c r="L23" s="60">
        <f>IF($C23="B",INDEX(Batters[[#All],[CON P]],MATCH(Table5[[#This Row],[PID]],Batters[[#All],[PID]],0)),INDEX(Table3[[#All],[STU P]],MATCH(Table5[[#This Row],[PID]],Table3[[#All],[PID]],0)))</f>
        <v>5</v>
      </c>
      <c r="M23" s="56">
        <f>IF($C23="B",INDEX(Batters[[#All],[GAP P]],MATCH(Table5[[#This Row],[PID]],Batters[[#All],[PID]],0)),INDEX(Table3[[#All],[MOV P]],MATCH(Table5[[#This Row],[PID]],Table3[[#All],[PID]],0)))</f>
        <v>4</v>
      </c>
      <c r="N23" s="56">
        <f>IF($C23="B",INDEX(Batters[[#All],[POW P]],MATCH(Table5[[#This Row],[PID]],Batters[[#All],[PID]],0)),INDEX(Table3[[#All],[CON P]],MATCH(Table5[[#This Row],[PID]],Table3[[#All],[PID]],0)))</f>
        <v>6</v>
      </c>
      <c r="O23" s="56">
        <f>IF($C23="B",INDEX(Batters[[#All],[EYE P]],MATCH(Table5[[#This Row],[PID]],Batters[[#All],[PID]],0)),INDEX(Table3[[#All],[VELO]],MATCH(Table5[[#This Row],[PID]],Table3[[#All],[PID]],0)))</f>
        <v>6</v>
      </c>
      <c r="P23" s="56">
        <f>IF($C23="B",INDEX(Batters[[#All],[K P]],MATCH(Table5[[#This Row],[PID]],Batters[[#All],[PID]],0)),INDEX(Table3[[#All],[STM]],MATCH(Table5[[#This Row],[PID]],Table3[[#All],[PID]],0)))</f>
        <v>5</v>
      </c>
      <c r="Q23" s="61">
        <f>IF($C23="B",INDEX(Batters[[#All],[Tot]],MATCH(Table5[[#This Row],[PID]],Batters[[#All],[PID]],0)),INDEX(Table3[[#All],[Tot]],MATCH(Table5[[#This Row],[PID]],Table3[[#All],[PID]],0)))</f>
        <v>54.335628731052807</v>
      </c>
      <c r="R23" s="52">
        <f>IF($C23="B",INDEX(Batters[[#All],[zScore]],MATCH(Table5[[#This Row],[PID]],Batters[[#All],[PID]],0)),INDEX(Table3[[#All],[zScore]],MATCH(Table5[[#This Row],[PID]],Table3[[#All],[PID]],0)))</f>
        <v>1.6227476437410262</v>
      </c>
      <c r="S23" s="58" t="str">
        <f>IF($C23="B",INDEX(Batters[[#All],[DEM]],MATCH(Table5[[#This Row],[PID]],Batters[[#All],[PID]],0)),INDEX(Table3[[#All],[DEM]],MATCH(Table5[[#This Row],[PID]],Table3[[#All],[PID]],0)))</f>
        <v>$200k</v>
      </c>
      <c r="T23" s="62">
        <f>IF($C23="B",INDEX(Batters[[#All],[Rnk]],MATCH(Table5[[#This Row],[PID]],Batters[[#All],[PID]],0)),INDEX(Table3[[#All],[Rnk]],MATCH(Table5[[#This Row],[PID]],Table3[[#All],[PID]],0)))</f>
        <v>1</v>
      </c>
      <c r="U23" s="67">
        <f>IF($C23="B",VLOOKUP($A23,Bat!$A$4:$BA$1314,47,FALSE),VLOOKUP($A23,Pit!$A$4:$BF$1214,56,FALSE))</f>
        <v>8</v>
      </c>
      <c r="V23" s="50">
        <f>IF($C23="B",VLOOKUP($A23,Bat!$A$4:$BA$1314,48,FALSE),VLOOKUP($A23,Pit!$A$4:$BF$1214,57,FALSE))</f>
        <v>8</v>
      </c>
      <c r="W23" s="50">
        <v>19</v>
      </c>
      <c r="X23" s="51">
        <f>RANK(Table5[[#This Row],[zScore]],Table5[[#All],[zScore]])</f>
        <v>69</v>
      </c>
      <c r="Y23" s="50">
        <f>IFERROR(INDEX(DraftResults[[#All],[OVR]],MATCH(Table5[[#This Row],[PID]],DraftResults[[#All],[Player ID]],0)),"")</f>
        <v>101</v>
      </c>
      <c r="Z23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3</v>
      </c>
      <c r="AA23" s="50">
        <f>IFERROR(INDEX(DraftResults[[#All],[Pick in Round]],MATCH(Table5[[#This Row],[PID]],DraftResults[[#All],[Player ID]],0)),"")</f>
        <v>29</v>
      </c>
      <c r="AB23" s="50" t="str">
        <f>IFERROR(INDEX(DraftResults[[#All],[Team Name]],MATCH(Table5[[#This Row],[PID]],DraftResults[[#All],[Player ID]],0)),"")</f>
        <v>Amsterdam Lions</v>
      </c>
      <c r="AC23" s="50">
        <f>IF(Table5[[#This Row],[Ovr]]="","",IF(Table5[[#This Row],[cmbList]]="","",Table5[[#This Row],[cmbList]]-Table5[[#This Row],[Ovr]]))</f>
        <v>-82</v>
      </c>
      <c r="AD23" s="54" t="str">
        <f>IF(ISERROR(VLOOKUP($AB23&amp;"-"&amp;$E23&amp;" "&amp;F23,Bonuses!$B$1:$G$1006,4,FALSE)),"",INT(VLOOKUP($AB23&amp;"-"&amp;$E23&amp;" "&amp;$F23,Bonuses!$B$1:$G$1006,4,FALSE)))</f>
        <v/>
      </c>
      <c r="AE23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3.29 (101) - RF Takamasa Kohara</v>
      </c>
    </row>
    <row r="24" spans="1:31" s="50" customFormat="1" x14ac:dyDescent="0.3">
      <c r="A24" s="50">
        <v>12132</v>
      </c>
      <c r="B24" s="50">
        <f>COUNTIF(Table5[PID],A24)</f>
        <v>1</v>
      </c>
      <c r="C24" s="50" t="str">
        <f>IF(COUNTIF(Table3[[#All],[PID]],A24)&gt;0,"P","B")</f>
        <v>B</v>
      </c>
      <c r="D24" s="59" t="str">
        <f>IF($C24="B",INDEX(Batters[[#All],[POS]],MATCH(Table5[[#This Row],[PID]],Batters[[#All],[PID]],0)),INDEX(Table3[[#All],[POS]],MATCH(Table5[[#This Row],[PID]],Table3[[#All],[PID]],0)))</f>
        <v>RF</v>
      </c>
      <c r="E24" s="52" t="str">
        <f>IF($C24="B",INDEX(Batters[[#All],[First]],MATCH(Table5[[#This Row],[PID]],Batters[[#All],[PID]],0)),INDEX(Table3[[#All],[First]],MATCH(Table5[[#This Row],[PID]],Table3[[#All],[PID]],0)))</f>
        <v>Gael</v>
      </c>
      <c r="F24" s="50" t="str">
        <f>IF($C24="B",INDEX(Batters[[#All],[Last]],MATCH(A24,Batters[[#All],[PID]],0)),INDEX(Table3[[#All],[Last]],MATCH(A24,Table3[[#All],[PID]],0)))</f>
        <v>Hollingsworth</v>
      </c>
      <c r="G24" s="56">
        <f>IF($C24="B",INDEX(Batters[[#All],[Age]],MATCH(Table5[[#This Row],[PID]],Batters[[#All],[PID]],0)),INDEX(Table3[[#All],[Age]],MATCH(Table5[[#This Row],[PID]],Table3[[#All],[PID]],0)))</f>
        <v>17</v>
      </c>
      <c r="H24" s="52" t="str">
        <f>IF($C24="B",INDEX(Batters[[#All],[B]],MATCH(Table5[[#This Row],[PID]],Batters[[#All],[PID]],0)),INDEX(Table3[[#All],[B]],MATCH(Table5[[#This Row],[PID]],Table3[[#All],[PID]],0)))</f>
        <v>L</v>
      </c>
      <c r="I24" s="52" t="str">
        <f>IF($C24="B",INDEX(Batters[[#All],[T]],MATCH(Table5[[#This Row],[PID]],Batters[[#All],[PID]],0)),INDEX(Table3[[#All],[T]],MATCH(Table5[[#This Row],[PID]],Table3[[#All],[PID]],0)))</f>
        <v>L</v>
      </c>
      <c r="J24" s="52" t="str">
        <f>IF($C24="B",INDEX(Batters[[#All],[WE]],MATCH(Table5[[#This Row],[PID]],Batters[[#All],[PID]],0)),INDEX(Table3[[#All],[WE]],MATCH(Table5[[#This Row],[PID]],Table3[[#All],[PID]],0)))</f>
        <v>Normal</v>
      </c>
      <c r="K24" s="52" t="str">
        <f>IF($C24="B",INDEX(Batters[[#All],[INT]],MATCH(Table5[[#This Row],[PID]],Batters[[#All],[PID]],0)),INDEX(Table3[[#All],[INT]],MATCH(Table5[[#This Row],[PID]],Table3[[#All],[PID]],0)))</f>
        <v>Normal</v>
      </c>
      <c r="L24" s="60">
        <f>IF($C24="B",INDEX(Batters[[#All],[CON P]],MATCH(Table5[[#This Row],[PID]],Batters[[#All],[PID]],0)),INDEX(Table3[[#All],[STU P]],MATCH(Table5[[#This Row],[PID]],Table3[[#All],[PID]],0)))</f>
        <v>5</v>
      </c>
      <c r="M24" s="56">
        <f>IF($C24="B",INDEX(Batters[[#All],[GAP P]],MATCH(Table5[[#This Row],[PID]],Batters[[#All],[PID]],0)),INDEX(Table3[[#All],[MOV P]],MATCH(Table5[[#This Row],[PID]],Table3[[#All],[PID]],0)))</f>
        <v>8</v>
      </c>
      <c r="N24" s="56">
        <f>IF($C24="B",INDEX(Batters[[#All],[POW P]],MATCH(Table5[[#This Row],[PID]],Batters[[#All],[PID]],0)),INDEX(Table3[[#All],[CON P]],MATCH(Table5[[#This Row],[PID]],Table3[[#All],[PID]],0)))</f>
        <v>7</v>
      </c>
      <c r="O24" s="56">
        <f>IF($C24="B",INDEX(Batters[[#All],[EYE P]],MATCH(Table5[[#This Row],[PID]],Batters[[#All],[PID]],0)),INDEX(Table3[[#All],[VELO]],MATCH(Table5[[#This Row],[PID]],Table3[[#All],[PID]],0)))</f>
        <v>5</v>
      </c>
      <c r="P24" s="56">
        <f>IF($C24="B",INDEX(Batters[[#All],[K P]],MATCH(Table5[[#This Row],[PID]],Batters[[#All],[PID]],0)),INDEX(Table3[[#All],[STM]],MATCH(Table5[[#This Row],[PID]],Table3[[#All],[PID]],0)))</f>
        <v>4</v>
      </c>
      <c r="Q24" s="61">
        <f>IF($C24="B",INDEX(Batters[[#All],[Tot]],MATCH(Table5[[#This Row],[PID]],Batters[[#All],[PID]],0)),INDEX(Table3[[#All],[Tot]],MATCH(Table5[[#This Row],[PID]],Table3[[#All],[PID]],0)))</f>
        <v>56.250154316405421</v>
      </c>
      <c r="R24" s="52">
        <f>IF($C24="B",INDEX(Batters[[#All],[zScore]],MATCH(Table5[[#This Row],[PID]],Batters[[#All],[PID]],0)),INDEX(Table3[[#All],[zScore]],MATCH(Table5[[#This Row],[PID]],Table3[[#All],[PID]],0)))</f>
        <v>1.9022073243060542</v>
      </c>
      <c r="S24" s="58" t="str">
        <f>IF($C24="B",INDEX(Batters[[#All],[DEM]],MATCH(Table5[[#This Row],[PID]],Batters[[#All],[PID]],0)),INDEX(Table3[[#All],[DEM]],MATCH(Table5[[#This Row],[PID]],Table3[[#All],[PID]],0)))</f>
        <v>$370k</v>
      </c>
      <c r="T24" s="62">
        <f>IF($C24="B",INDEX(Batters[[#All],[Rnk]],MATCH(Table5[[#This Row],[PID]],Batters[[#All],[PID]],0)),INDEX(Table3[[#All],[Rnk]],MATCH(Table5[[#This Row],[PID]],Table3[[#All],[PID]],0)))</f>
        <v>1</v>
      </c>
      <c r="U24" s="67">
        <f>IF($C24="B",VLOOKUP($A24,Bat!$A$4:$BA$1314,47,FALSE),VLOOKUP($A24,Pit!$A$4:$BF$1214,56,FALSE))</f>
        <v>9</v>
      </c>
      <c r="V24" s="50">
        <f>IF($C24="B",VLOOKUP($A24,Bat!$A$4:$BA$1314,48,FALSE),VLOOKUP($A24,Pit!$A$4:$BF$1214,57,FALSE))</f>
        <v>9</v>
      </c>
      <c r="W24" s="50">
        <v>20</v>
      </c>
      <c r="X24" s="51">
        <f>RANK(Table5[[#This Row],[zScore]],Table5[[#All],[zScore]])</f>
        <v>46</v>
      </c>
      <c r="Y24" s="50">
        <f>IFERROR(INDEX(DraftResults[[#All],[OVR]],MATCH(Table5[[#This Row],[PID]],DraftResults[[#All],[Player ID]],0)),"")</f>
        <v>41</v>
      </c>
      <c r="Z24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2</v>
      </c>
      <c r="AA24" s="50">
        <f>IFERROR(INDEX(DraftResults[[#All],[Pick in Round]],MATCH(Table5[[#This Row],[PID]],DraftResults[[#All],[Player ID]],0)),"")</f>
        <v>5</v>
      </c>
      <c r="AB24" s="50" t="str">
        <f>IFERROR(INDEX(DraftResults[[#All],[Team Name]],MATCH(Table5[[#This Row],[PID]],DraftResults[[#All],[Player ID]],0)),"")</f>
        <v>Tempe Knights</v>
      </c>
      <c r="AC24" s="50">
        <f>IF(Table5[[#This Row],[Ovr]]="","",IF(Table5[[#This Row],[cmbList]]="","",Table5[[#This Row],[cmbList]]-Table5[[#This Row],[Ovr]]))</f>
        <v>-21</v>
      </c>
      <c r="AD24" s="54" t="str">
        <f>IF(ISERROR(VLOOKUP($AB24&amp;"-"&amp;$E24&amp;" "&amp;F24,Bonuses!$B$1:$G$1006,4,FALSE)),"",INT(VLOOKUP($AB24&amp;"-"&amp;$E24&amp;" "&amp;$F24,Bonuses!$B$1:$G$1006,4,FALSE)))</f>
        <v/>
      </c>
      <c r="AE24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2.5 (41) - RF Gael Hollingsworth</v>
      </c>
    </row>
    <row r="25" spans="1:31" s="50" customFormat="1" x14ac:dyDescent="0.3">
      <c r="A25" s="50">
        <v>12038</v>
      </c>
      <c r="B25" s="50">
        <f>COUNTIF(Table5[PID],A25)</f>
        <v>1</v>
      </c>
      <c r="C25" s="50" t="str">
        <f>IF(COUNTIF(Table3[[#All],[PID]],A25)&gt;0,"P","B")</f>
        <v>B</v>
      </c>
      <c r="D25" s="59" t="str">
        <f>IF($C25="B",INDEX(Batters[[#All],[POS]],MATCH(Table5[[#This Row],[PID]],Batters[[#All],[PID]],0)),INDEX(Table3[[#All],[POS]],MATCH(Table5[[#This Row],[PID]],Table3[[#All],[PID]],0)))</f>
        <v>SS</v>
      </c>
      <c r="E25" s="52" t="str">
        <f>IF($C25="B",INDEX(Batters[[#All],[First]],MATCH(Table5[[#This Row],[PID]],Batters[[#All],[PID]],0)),INDEX(Table3[[#All],[First]],MATCH(Table5[[#This Row],[PID]],Table3[[#All],[PID]],0)))</f>
        <v>Naofumi</v>
      </c>
      <c r="F25" s="50" t="str">
        <f>IF($C25="B",INDEX(Batters[[#All],[Last]],MATCH(A25,Batters[[#All],[PID]],0)),INDEX(Table3[[#All],[Last]],MATCH(A25,Table3[[#All],[PID]],0)))</f>
        <v>Miyamoto</v>
      </c>
      <c r="G25" s="56">
        <f>IF($C25="B",INDEX(Batters[[#All],[Age]],MATCH(Table5[[#This Row],[PID]],Batters[[#All],[PID]],0)),INDEX(Table3[[#All],[Age]],MATCH(Table5[[#This Row],[PID]],Table3[[#All],[PID]],0)))</f>
        <v>17</v>
      </c>
      <c r="H25" s="52" t="str">
        <f>IF($C25="B",INDEX(Batters[[#All],[B]],MATCH(Table5[[#This Row],[PID]],Batters[[#All],[PID]],0)),INDEX(Table3[[#All],[B]],MATCH(Table5[[#This Row],[PID]],Table3[[#All],[PID]],0)))</f>
        <v>S</v>
      </c>
      <c r="I25" s="52" t="str">
        <f>IF($C25="B",INDEX(Batters[[#All],[T]],MATCH(Table5[[#This Row],[PID]],Batters[[#All],[PID]],0)),INDEX(Table3[[#All],[T]],MATCH(Table5[[#This Row],[PID]],Table3[[#All],[PID]],0)))</f>
        <v>R</v>
      </c>
      <c r="J25" s="52" t="str">
        <f>IF($C25="B",INDEX(Batters[[#All],[WE]],MATCH(Table5[[#This Row],[PID]],Batters[[#All],[PID]],0)),INDEX(Table3[[#All],[WE]],MATCH(Table5[[#This Row],[PID]],Table3[[#All],[PID]],0)))</f>
        <v>High</v>
      </c>
      <c r="K25" s="52" t="str">
        <f>IF($C25="B",INDEX(Batters[[#All],[INT]],MATCH(Table5[[#This Row],[PID]],Batters[[#All],[PID]],0)),INDEX(Table3[[#All],[INT]],MATCH(Table5[[#This Row],[PID]],Table3[[#All],[PID]],0)))</f>
        <v>Normal</v>
      </c>
      <c r="L25" s="60">
        <f>IF($C25="B",INDEX(Batters[[#All],[CON P]],MATCH(Table5[[#This Row],[PID]],Batters[[#All],[PID]],0)),INDEX(Table3[[#All],[STU P]],MATCH(Table5[[#This Row],[PID]],Table3[[#All],[PID]],0)))</f>
        <v>5</v>
      </c>
      <c r="M25" s="56">
        <f>IF($C25="B",INDEX(Batters[[#All],[GAP P]],MATCH(Table5[[#This Row],[PID]],Batters[[#All],[PID]],0)),INDEX(Table3[[#All],[MOV P]],MATCH(Table5[[#This Row],[PID]],Table3[[#All],[PID]],0)))</f>
        <v>7</v>
      </c>
      <c r="N25" s="56">
        <f>IF($C25="B",INDEX(Batters[[#All],[POW P]],MATCH(Table5[[#This Row],[PID]],Batters[[#All],[PID]],0)),INDEX(Table3[[#All],[CON P]],MATCH(Table5[[#This Row],[PID]],Table3[[#All],[PID]],0)))</f>
        <v>8</v>
      </c>
      <c r="O25" s="56">
        <f>IF($C25="B",INDEX(Batters[[#All],[EYE P]],MATCH(Table5[[#This Row],[PID]],Batters[[#All],[PID]],0)),INDEX(Table3[[#All],[VELO]],MATCH(Table5[[#This Row],[PID]],Table3[[#All],[PID]],0)))</f>
        <v>4</v>
      </c>
      <c r="P25" s="56">
        <f>IF($C25="B",INDEX(Batters[[#All],[K P]],MATCH(Table5[[#This Row],[PID]],Batters[[#All],[PID]],0)),INDEX(Table3[[#All],[STM]],MATCH(Table5[[#This Row],[PID]],Table3[[#All],[PID]],0)))</f>
        <v>6</v>
      </c>
      <c r="Q25" s="61">
        <f>IF($C25="B",INDEX(Batters[[#All],[Tot]],MATCH(Table5[[#This Row],[PID]],Batters[[#All],[PID]],0)),INDEX(Table3[[#All],[Tot]],MATCH(Table5[[#This Row],[PID]],Table3[[#All],[PID]],0)))</f>
        <v>58.295310903096748</v>
      </c>
      <c r="R25" s="52">
        <f>IF($C25="B",INDEX(Batters[[#All],[zScore]],MATCH(Table5[[#This Row],[PID]],Batters[[#All],[PID]],0)),INDEX(Table3[[#All],[zScore]],MATCH(Table5[[#This Row],[PID]],Table3[[#All],[PID]],0)))</f>
        <v>2.200734965197809</v>
      </c>
      <c r="S25" s="58" t="str">
        <f>IF($C25="B",INDEX(Batters[[#All],[DEM]],MATCH(Table5[[#This Row],[PID]],Batters[[#All],[PID]],0)),INDEX(Table3[[#All],[DEM]],MATCH(Table5[[#This Row],[PID]],Table3[[#All],[PID]],0)))</f>
        <v>$3.2m</v>
      </c>
      <c r="T25" s="62">
        <f>IF($C25="B",INDEX(Batters[[#All],[Rnk]],MATCH(Table5[[#This Row],[PID]],Batters[[#All],[PID]],0)),INDEX(Table3[[#All],[Rnk]],MATCH(Table5[[#This Row],[PID]],Table3[[#All],[PID]],0)))</f>
        <v>2</v>
      </c>
      <c r="U25" s="67">
        <f>IF($C25="B",VLOOKUP($A25,Bat!$A$4:$BA$1314,47,FALSE),VLOOKUP($A25,Pit!$A$4:$BF$1214,56,FALSE))</f>
        <v>10</v>
      </c>
      <c r="V25" s="50">
        <f>IF($C25="B",VLOOKUP($A25,Bat!$A$4:$BA$1314,48,FALSE),VLOOKUP($A25,Pit!$A$4:$BF$1214,57,FALSE))</f>
        <v>10</v>
      </c>
      <c r="W25" s="50">
        <v>21</v>
      </c>
      <c r="X25" s="51">
        <f>RANK(Table5[[#This Row],[zScore]],Table5[[#All],[zScore]])</f>
        <v>32</v>
      </c>
      <c r="Y25" s="50">
        <f>IFERROR(INDEX(DraftResults[[#All],[OVR]],MATCH(Table5[[#This Row],[PID]],DraftResults[[#All],[Player ID]],0)),"")</f>
        <v>2</v>
      </c>
      <c r="Z25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1</v>
      </c>
      <c r="AA25" s="50">
        <f>IFERROR(INDEX(DraftResults[[#All],[Pick in Round]],MATCH(Table5[[#This Row],[PID]],DraftResults[[#All],[Player ID]],0)),"")</f>
        <v>2</v>
      </c>
      <c r="AB25" s="50" t="str">
        <f>IFERROR(INDEX(DraftResults[[#All],[Team Name]],MATCH(Table5[[#This Row],[PID]],DraftResults[[#All],[Player ID]],0)),"")</f>
        <v>Charleston Statesmen</v>
      </c>
      <c r="AC25" s="50">
        <f>IF(Table5[[#This Row],[Ovr]]="","",IF(Table5[[#This Row],[cmbList]]="","",Table5[[#This Row],[cmbList]]-Table5[[#This Row],[Ovr]]))</f>
        <v>19</v>
      </c>
      <c r="AD25" s="54" t="str">
        <f>IF(ISERROR(VLOOKUP($AB25&amp;"-"&amp;$E25&amp;" "&amp;F25,Bonuses!$B$1:$G$1006,4,FALSE)),"",INT(VLOOKUP($AB25&amp;"-"&amp;$E25&amp;" "&amp;$F25,Bonuses!$B$1:$G$1006,4,FALSE)))</f>
        <v/>
      </c>
      <c r="AE25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1.2 (2) - SS Naofumi Miyamoto</v>
      </c>
    </row>
    <row r="26" spans="1:31" s="50" customFormat="1" x14ac:dyDescent="0.3">
      <c r="A26" s="50">
        <v>12905</v>
      </c>
      <c r="B26" s="50">
        <f>COUNTIF(Table5[PID],A26)</f>
        <v>1</v>
      </c>
      <c r="C26" s="50" t="str">
        <f>IF(COUNTIF(Table3[[#All],[PID]],A26)&gt;0,"P","B")</f>
        <v>B</v>
      </c>
      <c r="D26" s="59" t="str">
        <f>IF($C26="B",INDEX(Batters[[#All],[POS]],MATCH(Table5[[#This Row],[PID]],Batters[[#All],[PID]],0)),INDEX(Table3[[#All],[POS]],MATCH(Table5[[#This Row],[PID]],Table3[[#All],[PID]],0)))</f>
        <v>CF</v>
      </c>
      <c r="E26" s="52" t="str">
        <f>IF($C26="B",INDEX(Batters[[#All],[First]],MATCH(Table5[[#This Row],[PID]],Batters[[#All],[PID]],0)),INDEX(Table3[[#All],[First]],MATCH(Table5[[#This Row],[PID]],Table3[[#All],[PID]],0)))</f>
        <v>Maxime</v>
      </c>
      <c r="F26" s="50" t="str">
        <f>IF($C26="B",INDEX(Batters[[#All],[Last]],MATCH(A26,Batters[[#All],[PID]],0)),INDEX(Table3[[#All],[Last]],MATCH(A26,Table3[[#All],[PID]],0)))</f>
        <v>Astier</v>
      </c>
      <c r="G26" s="56">
        <f>IF($C26="B",INDEX(Batters[[#All],[Age]],MATCH(Table5[[#This Row],[PID]],Batters[[#All],[PID]],0)),INDEX(Table3[[#All],[Age]],MATCH(Table5[[#This Row],[PID]],Table3[[#All],[PID]],0)))</f>
        <v>17</v>
      </c>
      <c r="H26" s="52" t="str">
        <f>IF($C26="B",INDEX(Batters[[#All],[B]],MATCH(Table5[[#This Row],[PID]],Batters[[#All],[PID]],0)),INDEX(Table3[[#All],[B]],MATCH(Table5[[#This Row],[PID]],Table3[[#All],[PID]],0)))</f>
        <v>L</v>
      </c>
      <c r="I26" s="52" t="str">
        <f>IF($C26="B",INDEX(Batters[[#All],[T]],MATCH(Table5[[#This Row],[PID]],Batters[[#All],[PID]],0)),INDEX(Table3[[#All],[T]],MATCH(Table5[[#This Row],[PID]],Table3[[#All],[PID]],0)))</f>
        <v>L</v>
      </c>
      <c r="J26" s="52" t="str">
        <f>IF($C26="B",INDEX(Batters[[#All],[WE]],MATCH(Table5[[#This Row],[PID]],Batters[[#All],[PID]],0)),INDEX(Table3[[#All],[WE]],MATCH(Table5[[#This Row],[PID]],Table3[[#All],[PID]],0)))</f>
        <v>Normal</v>
      </c>
      <c r="K26" s="52" t="str">
        <f>IF($C26="B",INDEX(Batters[[#All],[INT]],MATCH(Table5[[#This Row],[PID]],Batters[[#All],[PID]],0)),INDEX(Table3[[#All],[INT]],MATCH(Table5[[#This Row],[PID]],Table3[[#All],[PID]],0)))</f>
        <v>Low</v>
      </c>
      <c r="L26" s="60">
        <f>IF($C26="B",INDEX(Batters[[#All],[CON P]],MATCH(Table5[[#This Row],[PID]],Batters[[#All],[PID]],0)),INDEX(Table3[[#All],[STU P]],MATCH(Table5[[#This Row],[PID]],Table3[[#All],[PID]],0)))</f>
        <v>5</v>
      </c>
      <c r="M26" s="56">
        <f>IF($C26="B",INDEX(Batters[[#All],[GAP P]],MATCH(Table5[[#This Row],[PID]],Batters[[#All],[PID]],0)),INDEX(Table3[[#All],[MOV P]],MATCH(Table5[[#This Row],[PID]],Table3[[#All],[PID]],0)))</f>
        <v>7</v>
      </c>
      <c r="N26" s="56">
        <f>IF($C26="B",INDEX(Batters[[#All],[POW P]],MATCH(Table5[[#This Row],[PID]],Batters[[#All],[PID]],0)),INDEX(Table3[[#All],[CON P]],MATCH(Table5[[#This Row],[PID]],Table3[[#All],[PID]],0)))</f>
        <v>7</v>
      </c>
      <c r="O26" s="56">
        <f>IF($C26="B",INDEX(Batters[[#All],[EYE P]],MATCH(Table5[[#This Row],[PID]],Batters[[#All],[PID]],0)),INDEX(Table3[[#All],[VELO]],MATCH(Table5[[#This Row],[PID]],Table3[[#All],[PID]],0)))</f>
        <v>6</v>
      </c>
      <c r="P26" s="56">
        <f>IF($C26="B",INDEX(Batters[[#All],[K P]],MATCH(Table5[[#This Row],[PID]],Batters[[#All],[PID]],0)),INDEX(Table3[[#All],[STM]],MATCH(Table5[[#This Row],[PID]],Table3[[#All],[PID]],0)))</f>
        <v>4</v>
      </c>
      <c r="Q26" s="61">
        <f>IF($C26="B",INDEX(Batters[[#All],[Tot]],MATCH(Table5[[#This Row],[PID]],Batters[[#All],[PID]],0)),INDEX(Table3[[#All],[Tot]],MATCH(Table5[[#This Row],[PID]],Table3[[#All],[PID]],0)))</f>
        <v>56.713203256416648</v>
      </c>
      <c r="R26" s="52">
        <f>IF($C26="B",INDEX(Batters[[#All],[zScore]],MATCH(Table5[[#This Row],[PID]],Batters[[#All],[PID]],0)),INDEX(Table3[[#All],[zScore]],MATCH(Table5[[#This Row],[PID]],Table3[[#All],[PID]],0)))</f>
        <v>1.9697977027536104</v>
      </c>
      <c r="S26" s="58" t="str">
        <f>IF($C26="B",INDEX(Batters[[#All],[DEM]],MATCH(Table5[[#This Row],[PID]],Batters[[#All],[PID]],0)),INDEX(Table3[[#All],[DEM]],MATCH(Table5[[#This Row],[PID]],Table3[[#All],[PID]],0)))</f>
        <v>$750k</v>
      </c>
      <c r="T26" s="62">
        <f>IF($C26="B",INDEX(Batters[[#All],[Rnk]],MATCH(Table5[[#This Row],[PID]],Batters[[#All],[PID]],0)),INDEX(Table3[[#All],[Rnk]],MATCH(Table5[[#This Row],[PID]],Table3[[#All],[PID]],0)))</f>
        <v>2</v>
      </c>
      <c r="U26" s="67">
        <f>IF($C26="B",VLOOKUP($A26,Bat!$A$4:$BA$1314,47,FALSE),VLOOKUP($A26,Pit!$A$4:$BF$1214,56,FALSE))</f>
        <v>11</v>
      </c>
      <c r="V26" s="50">
        <f>IF($C26="B",VLOOKUP($A26,Bat!$A$4:$BA$1314,48,FALSE),VLOOKUP($A26,Pit!$A$4:$BF$1214,57,FALSE))</f>
        <v>11</v>
      </c>
      <c r="W26" s="50">
        <v>22</v>
      </c>
      <c r="X26" s="51">
        <f>RANK(Table5[[#This Row],[zScore]],Table5[[#All],[zScore]])</f>
        <v>39</v>
      </c>
      <c r="Y26" s="50">
        <f>IFERROR(INDEX(DraftResults[[#All],[OVR]],MATCH(Table5[[#This Row],[PID]],DraftResults[[#All],[Player ID]],0)),"")</f>
        <v>32</v>
      </c>
      <c r="Z26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1</v>
      </c>
      <c r="AA26" s="50">
        <f>IFERROR(INDEX(DraftResults[[#All],[Pick in Round]],MATCH(Table5[[#This Row],[PID]],DraftResults[[#All],[Player ID]],0)),"")</f>
        <v>32</v>
      </c>
      <c r="AB26" s="50" t="str">
        <f>IFERROR(INDEX(DraftResults[[#All],[Team Name]],MATCH(Table5[[#This Row],[PID]],DraftResults[[#All],[Player ID]],0)),"")</f>
        <v>West Virginia Alleghenies</v>
      </c>
      <c r="AC26" s="50">
        <f>IF(Table5[[#This Row],[Ovr]]="","",IF(Table5[[#This Row],[cmbList]]="","",Table5[[#This Row],[cmbList]]-Table5[[#This Row],[Ovr]]))</f>
        <v>-10</v>
      </c>
      <c r="AD26" s="54" t="str">
        <f>IF(ISERROR(VLOOKUP($AB26&amp;"-"&amp;$E26&amp;" "&amp;F26,Bonuses!$B$1:$G$1006,4,FALSE)),"",INT(VLOOKUP($AB26&amp;"-"&amp;$E26&amp;" "&amp;$F26,Bonuses!$B$1:$G$1006,4,FALSE)))</f>
        <v/>
      </c>
      <c r="AE26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1.32 (32) - CF Maxime Astier</v>
      </c>
    </row>
    <row r="27" spans="1:31" s="50" customFormat="1" x14ac:dyDescent="0.3">
      <c r="A27" s="67">
        <v>9306</v>
      </c>
      <c r="B27" s="68">
        <f>COUNTIF(Table5[PID],A27)</f>
        <v>1</v>
      </c>
      <c r="C27" s="68" t="str">
        <f>IF(COUNTIF(Table3[[#All],[PID]],A27)&gt;0,"P","B")</f>
        <v>B</v>
      </c>
      <c r="D27" s="59" t="str">
        <f>IF($C27="B",INDEX(Batters[[#All],[POS]],MATCH(Table5[[#This Row],[PID]],Batters[[#All],[PID]],0)),INDEX(Table3[[#All],[POS]],MATCH(Table5[[#This Row],[PID]],Table3[[#All],[PID]],0)))</f>
        <v>LF</v>
      </c>
      <c r="E27" s="52" t="str">
        <f>IF($C27="B",INDEX(Batters[[#All],[First]],MATCH(Table5[[#This Row],[PID]],Batters[[#All],[PID]],0)),INDEX(Table3[[#All],[First]],MATCH(Table5[[#This Row],[PID]],Table3[[#All],[PID]],0)))</f>
        <v>Tony</v>
      </c>
      <c r="F27" s="55" t="str">
        <f>IF($C27="B",INDEX(Batters[[#All],[Last]],MATCH(A27,Batters[[#All],[PID]],0)),INDEX(Table3[[#All],[Last]],MATCH(A27,Table3[[#All],[PID]],0)))</f>
        <v>Mesa</v>
      </c>
      <c r="G27" s="56">
        <f>IF($C27="B",INDEX(Batters[[#All],[Age]],MATCH(Table5[[#This Row],[PID]],Batters[[#All],[PID]],0)),INDEX(Table3[[#All],[Age]],MATCH(Table5[[#This Row],[PID]],Table3[[#All],[PID]],0)))</f>
        <v>18</v>
      </c>
      <c r="H27" s="52" t="str">
        <f>IF($C27="B",INDEX(Batters[[#All],[B]],MATCH(Table5[[#This Row],[PID]],Batters[[#All],[PID]],0)),INDEX(Table3[[#All],[B]],MATCH(Table5[[#This Row],[PID]],Table3[[#All],[PID]],0)))</f>
        <v>R</v>
      </c>
      <c r="I27" s="52" t="str">
        <f>IF($C27="B",INDEX(Batters[[#All],[T]],MATCH(Table5[[#This Row],[PID]],Batters[[#All],[PID]],0)),INDEX(Table3[[#All],[T]],MATCH(Table5[[#This Row],[PID]],Table3[[#All],[PID]],0)))</f>
        <v>L</v>
      </c>
      <c r="J27" s="69" t="str">
        <f>IF($C27="B",INDEX(Batters[[#All],[WE]],MATCH(Table5[[#This Row],[PID]],Batters[[#All],[PID]],0)),INDEX(Table3[[#All],[WE]],MATCH(Table5[[#This Row],[PID]],Table3[[#All],[PID]],0)))</f>
        <v>Normal</v>
      </c>
      <c r="K27" s="52" t="str">
        <f>IF($C27="B",INDEX(Batters[[#All],[INT]],MATCH(Table5[[#This Row],[PID]],Batters[[#All],[PID]],0)),INDEX(Table3[[#All],[INT]],MATCH(Table5[[#This Row],[PID]],Table3[[#All],[PID]],0)))</f>
        <v>Normal</v>
      </c>
      <c r="L27" s="60">
        <f>IF($C27="B",INDEX(Batters[[#All],[CON P]],MATCH(Table5[[#This Row],[PID]],Batters[[#All],[PID]],0)),INDEX(Table3[[#All],[STU P]],MATCH(Table5[[#This Row],[PID]],Table3[[#All],[PID]],0)))</f>
        <v>6</v>
      </c>
      <c r="M27" s="70">
        <f>IF($C27="B",INDEX(Batters[[#All],[GAP P]],MATCH(Table5[[#This Row],[PID]],Batters[[#All],[PID]],0)),INDEX(Table3[[#All],[MOV P]],MATCH(Table5[[#This Row],[PID]],Table3[[#All],[PID]],0)))</f>
        <v>7</v>
      </c>
      <c r="N27" s="70">
        <f>IF($C27="B",INDEX(Batters[[#All],[POW P]],MATCH(Table5[[#This Row],[PID]],Batters[[#All],[PID]],0)),INDEX(Table3[[#All],[CON P]],MATCH(Table5[[#This Row],[PID]],Table3[[#All],[PID]],0)))</f>
        <v>8</v>
      </c>
      <c r="O27" s="70">
        <f>IF($C27="B",INDEX(Batters[[#All],[EYE P]],MATCH(Table5[[#This Row],[PID]],Batters[[#All],[PID]],0)),INDEX(Table3[[#All],[VELO]],MATCH(Table5[[#This Row],[PID]],Table3[[#All],[PID]],0)))</f>
        <v>5</v>
      </c>
      <c r="P27" s="56">
        <f>IF($C27="B",INDEX(Batters[[#All],[K P]],MATCH(Table5[[#This Row],[PID]],Batters[[#All],[PID]],0)),INDEX(Table3[[#All],[STM]],MATCH(Table5[[#This Row],[PID]],Table3[[#All],[PID]],0)))</f>
        <v>6</v>
      </c>
      <c r="Q27" s="61">
        <f>IF($C27="B",INDEX(Batters[[#All],[Tot]],MATCH(Table5[[#This Row],[PID]],Batters[[#All],[PID]],0)),INDEX(Table3[[#All],[Tot]],MATCH(Table5[[#This Row],[PID]],Table3[[#All],[PID]],0)))</f>
        <v>61.574471328561174</v>
      </c>
      <c r="R27" s="52">
        <f>IF($C27="B",INDEX(Batters[[#All],[zScore]],MATCH(Table5[[#This Row],[PID]],Batters[[#All],[PID]],0)),INDEX(Table3[[#All],[zScore]],MATCH(Table5[[#This Row],[PID]],Table3[[#All],[PID]],0)))</f>
        <v>2.6793878137326015</v>
      </c>
      <c r="S27" s="75" t="str">
        <f>IF($C27="B",INDEX(Batters[[#All],[DEM]],MATCH(Table5[[#This Row],[PID]],Batters[[#All],[PID]],0)),INDEX(Table3[[#All],[DEM]],MATCH(Table5[[#This Row],[PID]],Table3[[#All],[PID]],0)))</f>
        <v>$2.8m</v>
      </c>
      <c r="T27" s="72">
        <f>IF($C27="B",INDEX(Batters[[#All],[Rnk]],MATCH(Table5[[#This Row],[PID]],Batters[[#All],[PID]],0)),INDEX(Table3[[#All],[Rnk]],MATCH(Table5[[#This Row],[PID]],Table3[[#All],[PID]],0)))</f>
        <v>2</v>
      </c>
      <c r="U27" s="67">
        <f>IF($C27="B",VLOOKUP($A27,Bat!$A$4:$BA$1314,47,FALSE),VLOOKUP($A27,Pit!$A$4:$BF$1214,56,FALSE))</f>
        <v>12</v>
      </c>
      <c r="V27" s="50">
        <f>IF($C27="B",VLOOKUP($A27,Bat!$A$4:$BA$1314,48,FALSE),VLOOKUP($A27,Pit!$A$4:$BF$1214,57,FALSE))</f>
        <v>12</v>
      </c>
      <c r="W27" s="68">
        <v>23</v>
      </c>
      <c r="X27" s="71">
        <f>RANK(Table5[[#This Row],[zScore]],Table5[[#All],[zScore]])</f>
        <v>14</v>
      </c>
      <c r="Y27" s="68">
        <f>IFERROR(INDEX(DraftResults[[#All],[OVR]],MATCH(Table5[[#This Row],[PID]],DraftResults[[#All],[Player ID]],0)),"")</f>
        <v>13</v>
      </c>
      <c r="Z27" s="7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1</v>
      </c>
      <c r="AA27" s="68">
        <f>IFERROR(INDEX(DraftResults[[#All],[Pick in Round]],MATCH(Table5[[#This Row],[PID]],DraftResults[[#All],[Player ID]],0)),"")</f>
        <v>13</v>
      </c>
      <c r="AB27" s="68" t="str">
        <f>IFERROR(INDEX(DraftResults[[#All],[Team Name]],MATCH(Table5[[#This Row],[PID]],DraftResults[[#All],[Player ID]],0)),"")</f>
        <v>Manchester Maulers</v>
      </c>
      <c r="AC27" s="68">
        <f>IF(Table5[[#This Row],[Ovr]]="","",IF(Table5[[#This Row],[cmbList]]="","",Table5[[#This Row],[cmbList]]-Table5[[#This Row],[Ovr]]))</f>
        <v>10</v>
      </c>
      <c r="AD27" s="74" t="str">
        <f>IF(ISERROR(VLOOKUP($AB27&amp;"-"&amp;$E27&amp;" "&amp;F27,Bonuses!$B$1:$G$1006,4,FALSE)),"",INT(VLOOKUP($AB27&amp;"-"&amp;$E27&amp;" "&amp;$F27,Bonuses!$B$1:$G$1006,4,FALSE)))</f>
        <v/>
      </c>
      <c r="AE27" s="68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1.13 (13) - LF Tony Mesa</v>
      </c>
    </row>
    <row r="28" spans="1:31" s="50" customFormat="1" x14ac:dyDescent="0.3">
      <c r="A28" s="67">
        <v>14458</v>
      </c>
      <c r="B28" s="68">
        <f>COUNTIF(Table5[PID],A28)</f>
        <v>1</v>
      </c>
      <c r="C28" s="68" t="str">
        <f>IF(COUNTIF(Table3[[#All],[PID]],A28)&gt;0,"P","B")</f>
        <v>P</v>
      </c>
      <c r="D28" s="59" t="str">
        <f>IF($C28="B",INDEX(Batters[[#All],[POS]],MATCH(Table5[[#This Row],[PID]],Batters[[#All],[PID]],0)),INDEX(Table3[[#All],[POS]],MATCH(Table5[[#This Row],[PID]],Table3[[#All],[PID]],0)))</f>
        <v>CL</v>
      </c>
      <c r="E28" s="52" t="str">
        <f>IF($C28="B",INDEX(Batters[[#All],[First]],MATCH(Table5[[#This Row],[PID]],Batters[[#All],[PID]],0)),INDEX(Table3[[#All],[First]],MATCH(Table5[[#This Row],[PID]],Table3[[#All],[PID]],0)))</f>
        <v>Melvin</v>
      </c>
      <c r="F28" s="55" t="str">
        <f>IF($C28="B",INDEX(Batters[[#All],[Last]],MATCH(A28,Batters[[#All],[PID]],0)),INDEX(Table3[[#All],[Last]],MATCH(A28,Table3[[#All],[PID]],0)))</f>
        <v>Romero</v>
      </c>
      <c r="G28" s="56">
        <f>IF($C28="B",INDEX(Batters[[#All],[Age]],MATCH(Table5[[#This Row],[PID]],Batters[[#All],[PID]],0)),INDEX(Table3[[#All],[Age]],MATCH(Table5[[#This Row],[PID]],Table3[[#All],[PID]],0)))</f>
        <v>21</v>
      </c>
      <c r="H28" s="52" t="str">
        <f>IF($C28="B",INDEX(Batters[[#All],[B]],MATCH(Table5[[#This Row],[PID]],Batters[[#All],[PID]],0)),INDEX(Table3[[#All],[B]],MATCH(Table5[[#This Row],[PID]],Table3[[#All],[PID]],0)))</f>
        <v>L</v>
      </c>
      <c r="I28" s="52" t="str">
        <f>IF($C28="B",INDEX(Batters[[#All],[T]],MATCH(Table5[[#This Row],[PID]],Batters[[#All],[PID]],0)),INDEX(Table3[[#All],[T]],MATCH(Table5[[#This Row],[PID]],Table3[[#All],[PID]],0)))</f>
        <v>L</v>
      </c>
      <c r="J28" s="69" t="str">
        <f>IF($C28="B",INDEX(Batters[[#All],[WE]],MATCH(Table5[[#This Row],[PID]],Batters[[#All],[PID]],0)),INDEX(Table3[[#All],[WE]],MATCH(Table5[[#This Row],[PID]],Table3[[#All],[PID]],0)))</f>
        <v>Normal</v>
      </c>
      <c r="K28" s="52" t="str">
        <f>IF($C28="B",INDEX(Batters[[#All],[INT]],MATCH(Table5[[#This Row],[PID]],Batters[[#All],[PID]],0)),INDEX(Table3[[#All],[INT]],MATCH(Table5[[#This Row],[PID]],Table3[[#All],[PID]],0)))</f>
        <v>High</v>
      </c>
      <c r="L28" s="60">
        <f>IF($C28="B",INDEX(Batters[[#All],[CON P]],MATCH(Table5[[#This Row],[PID]],Batters[[#All],[PID]],0)),INDEX(Table3[[#All],[STU P]],MATCH(Table5[[#This Row],[PID]],Table3[[#All],[PID]],0)))</f>
        <v>9</v>
      </c>
      <c r="M28" s="70">
        <f>IF($C28="B",INDEX(Batters[[#All],[GAP P]],MATCH(Table5[[#This Row],[PID]],Batters[[#All],[PID]],0)),INDEX(Table3[[#All],[MOV P]],MATCH(Table5[[#This Row],[PID]],Table3[[#All],[PID]],0)))</f>
        <v>7</v>
      </c>
      <c r="N28" s="70">
        <f>IF($C28="B",INDEX(Batters[[#All],[POW P]],MATCH(Table5[[#This Row],[PID]],Batters[[#All],[PID]],0)),INDEX(Table3[[#All],[CON P]],MATCH(Table5[[#This Row],[PID]],Table3[[#All],[PID]],0)))</f>
        <v>4</v>
      </c>
      <c r="O28" s="70" t="str">
        <f>IF($C28="B",INDEX(Batters[[#All],[EYE P]],MATCH(Table5[[#This Row],[PID]],Batters[[#All],[PID]],0)),INDEX(Table3[[#All],[VELO]],MATCH(Table5[[#This Row],[PID]],Table3[[#All],[PID]],0)))</f>
        <v>93-95 Mph</v>
      </c>
      <c r="P28" s="56">
        <f>IF($C28="B",INDEX(Batters[[#All],[K P]],MATCH(Table5[[#This Row],[PID]],Batters[[#All],[PID]],0)),INDEX(Table3[[#All],[STM]],MATCH(Table5[[#This Row],[PID]],Table3[[#All],[PID]],0)))</f>
        <v>2</v>
      </c>
      <c r="Q28" s="61">
        <f>IF($C28="B",INDEX(Batters[[#All],[Tot]],MATCH(Table5[[#This Row],[PID]],Batters[[#All],[PID]],0)),INDEX(Table3[[#All],[Tot]],MATCH(Table5[[#This Row],[PID]],Table3[[#All],[PID]],0)))</f>
        <v>66.810360166066943</v>
      </c>
      <c r="R28" s="52">
        <f>IF($C28="B",INDEX(Batters[[#All],[zScore]],MATCH(Table5[[#This Row],[PID]],Batters[[#All],[PID]],0)),INDEX(Table3[[#All],[zScore]],MATCH(Table5[[#This Row],[PID]],Table3[[#All],[PID]],0)))</f>
        <v>2.0655577714107949</v>
      </c>
      <c r="S28" s="75" t="str">
        <f>IF($C28="B",INDEX(Batters[[#All],[DEM]],MATCH(Table5[[#This Row],[PID]],Batters[[#All],[PID]],0)),INDEX(Table3[[#All],[DEM]],MATCH(Table5[[#This Row],[PID]],Table3[[#All],[PID]],0)))</f>
        <v>$65k</v>
      </c>
      <c r="T28" s="72">
        <f>IF($C28="B",INDEX(Batters[[#All],[Rnk]],MATCH(Table5[[#This Row],[PID]],Batters[[#All],[PID]],0)),INDEX(Table3[[#All],[Rnk]],MATCH(Table5[[#This Row],[PID]],Table3[[#All],[PID]],0)))</f>
        <v>3</v>
      </c>
      <c r="U28" s="67">
        <f>IF($C28="B",VLOOKUP($A28,Bat!$A$4:$BA$1314,47,FALSE),VLOOKUP($A28,Pit!$A$4:$BF$1214,56,FALSE))</f>
        <v>12</v>
      </c>
      <c r="V28" s="50">
        <f>IF($C28="B",VLOOKUP($A28,Bat!$A$4:$BA$1314,48,FALSE),VLOOKUP($A28,Pit!$A$4:$BF$1214,57,FALSE))</f>
        <v>0</v>
      </c>
      <c r="W28" s="68">
        <v>24</v>
      </c>
      <c r="X28" s="71">
        <f>RANK(Table5[[#This Row],[zScore]],Table5[[#All],[zScore]])</f>
        <v>36</v>
      </c>
      <c r="Y28" s="68">
        <f>IFERROR(INDEX(DraftResults[[#All],[OVR]],MATCH(Table5[[#This Row],[PID]],DraftResults[[#All],[Player ID]],0)),"")</f>
        <v>57</v>
      </c>
      <c r="Z28" s="7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2</v>
      </c>
      <c r="AA28" s="68">
        <f>IFERROR(INDEX(DraftResults[[#All],[Pick in Round]],MATCH(Table5[[#This Row],[PID]],DraftResults[[#All],[Player ID]],0)),"")</f>
        <v>21</v>
      </c>
      <c r="AB28" s="68" t="str">
        <f>IFERROR(INDEX(DraftResults[[#All],[Team Name]],MATCH(Table5[[#This Row],[PID]],DraftResults[[#All],[Player ID]],0)),"")</f>
        <v>San Juan Coqui</v>
      </c>
      <c r="AC28" s="68">
        <f>IF(Table5[[#This Row],[Ovr]]="","",IF(Table5[[#This Row],[cmbList]]="","",Table5[[#This Row],[cmbList]]-Table5[[#This Row],[Ovr]]))</f>
        <v>-33</v>
      </c>
      <c r="AD28" s="74" t="str">
        <f>IF(ISERROR(VLOOKUP($AB28&amp;"-"&amp;$E28&amp;" "&amp;F28,Bonuses!$B$1:$G$1006,4,FALSE)),"",INT(VLOOKUP($AB28&amp;"-"&amp;$E28&amp;" "&amp;$F28,Bonuses!$B$1:$G$1006,4,FALSE)))</f>
        <v/>
      </c>
      <c r="AE28" s="68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2.21 (57) - CL Melvin Romero</v>
      </c>
    </row>
    <row r="29" spans="1:31" s="50" customFormat="1" x14ac:dyDescent="0.3">
      <c r="A29" s="50">
        <v>13181</v>
      </c>
      <c r="B29" s="50">
        <f>COUNTIF(Table5[PID],A29)</f>
        <v>1</v>
      </c>
      <c r="C29" s="50" t="str">
        <f>IF(COUNTIF(Table3[[#All],[PID]],A29)&gt;0,"P","B")</f>
        <v>B</v>
      </c>
      <c r="D29" s="59" t="str">
        <f>IF($C29="B",INDEX(Batters[[#All],[POS]],MATCH(Table5[[#This Row],[PID]],Batters[[#All],[PID]],0)),INDEX(Table3[[#All],[POS]],MATCH(Table5[[#This Row],[PID]],Table3[[#All],[PID]],0)))</f>
        <v>2B</v>
      </c>
      <c r="E29" s="52" t="str">
        <f>IF($C29="B",INDEX(Batters[[#All],[First]],MATCH(Table5[[#This Row],[PID]],Batters[[#All],[PID]],0)),INDEX(Table3[[#All],[First]],MATCH(Table5[[#This Row],[PID]],Table3[[#All],[PID]],0)))</f>
        <v>Toshiro</v>
      </c>
      <c r="F29" s="50" t="str">
        <f>IF($C29="B",INDEX(Batters[[#All],[Last]],MATCH(A29,Batters[[#All],[PID]],0)),INDEX(Table3[[#All],[Last]],MATCH(A29,Table3[[#All],[PID]],0)))</f>
        <v>Motsuzuki</v>
      </c>
      <c r="G29" s="56">
        <f>IF($C29="B",INDEX(Batters[[#All],[Age]],MATCH(Table5[[#This Row],[PID]],Batters[[#All],[PID]],0)),INDEX(Table3[[#All],[Age]],MATCH(Table5[[#This Row],[PID]],Table3[[#All],[PID]],0)))</f>
        <v>17</v>
      </c>
      <c r="H29" s="52" t="str">
        <f>IF($C29="B",INDEX(Batters[[#All],[B]],MATCH(Table5[[#This Row],[PID]],Batters[[#All],[PID]],0)),INDEX(Table3[[#All],[B]],MATCH(Table5[[#This Row],[PID]],Table3[[#All],[PID]],0)))</f>
        <v>R</v>
      </c>
      <c r="I29" s="52" t="str">
        <f>IF($C29="B",INDEX(Batters[[#All],[T]],MATCH(Table5[[#This Row],[PID]],Batters[[#All],[PID]],0)),INDEX(Table3[[#All],[T]],MATCH(Table5[[#This Row],[PID]],Table3[[#All],[PID]],0)))</f>
        <v>R</v>
      </c>
      <c r="J29" s="52" t="str">
        <f>IF($C29="B",INDEX(Batters[[#All],[WE]],MATCH(Table5[[#This Row],[PID]],Batters[[#All],[PID]],0)),INDEX(Table3[[#All],[WE]],MATCH(Table5[[#This Row],[PID]],Table3[[#All],[PID]],0)))</f>
        <v>Normal</v>
      </c>
      <c r="K29" s="52" t="str">
        <f>IF($C29="B",INDEX(Batters[[#All],[INT]],MATCH(Table5[[#This Row],[PID]],Batters[[#All],[PID]],0)),INDEX(Table3[[#All],[INT]],MATCH(Table5[[#This Row],[PID]],Table3[[#All],[PID]],0)))</f>
        <v>Normal</v>
      </c>
      <c r="L29" s="60">
        <f>IF($C29="B",INDEX(Batters[[#All],[CON P]],MATCH(Table5[[#This Row],[PID]],Batters[[#All],[PID]],0)),INDEX(Table3[[#All],[STU P]],MATCH(Table5[[#This Row],[PID]],Table3[[#All],[PID]],0)))</f>
        <v>5</v>
      </c>
      <c r="M29" s="56">
        <f>IF($C29="B",INDEX(Batters[[#All],[GAP P]],MATCH(Table5[[#This Row],[PID]],Batters[[#All],[PID]],0)),INDEX(Table3[[#All],[MOV P]],MATCH(Table5[[#This Row],[PID]],Table3[[#All],[PID]],0)))</f>
        <v>7</v>
      </c>
      <c r="N29" s="56">
        <f>IF($C29="B",INDEX(Batters[[#All],[POW P]],MATCH(Table5[[#This Row],[PID]],Batters[[#All],[PID]],0)),INDEX(Table3[[#All],[CON P]],MATCH(Table5[[#This Row],[PID]],Table3[[#All],[PID]],0)))</f>
        <v>7</v>
      </c>
      <c r="O29" s="56">
        <f>IF($C29="B",INDEX(Batters[[#All],[EYE P]],MATCH(Table5[[#This Row],[PID]],Batters[[#All],[PID]],0)),INDEX(Table3[[#All],[VELO]],MATCH(Table5[[#This Row],[PID]],Table3[[#All],[PID]],0)))</f>
        <v>5</v>
      </c>
      <c r="P29" s="56">
        <f>IF($C29="B",INDEX(Batters[[#All],[K P]],MATCH(Table5[[#This Row],[PID]],Batters[[#All],[PID]],0)),INDEX(Table3[[#All],[STM]],MATCH(Table5[[#This Row],[PID]],Table3[[#All],[PID]],0)))</f>
        <v>5</v>
      </c>
      <c r="Q29" s="61">
        <f>IF($C29="B",INDEX(Batters[[#All],[Tot]],MATCH(Table5[[#This Row],[PID]],Batters[[#All],[PID]],0)),INDEX(Table3[[#All],[Tot]],MATCH(Table5[[#This Row],[PID]],Table3[[#All],[PID]],0)))</f>
        <v>56.21809915076237</v>
      </c>
      <c r="R29" s="52">
        <f>IF($C29="B",INDEX(Batters[[#All],[zScore]],MATCH(Table5[[#This Row],[PID]],Batters[[#All],[PID]],0)),INDEX(Table3[[#All],[zScore]],MATCH(Table5[[#This Row],[PID]],Table3[[#All],[PID]],0)))</f>
        <v>1.8975282923727117</v>
      </c>
      <c r="S29" s="58" t="str">
        <f>IF($C29="B",INDEX(Batters[[#All],[DEM]],MATCH(Table5[[#This Row],[PID]],Batters[[#All],[PID]],0)),INDEX(Table3[[#All],[DEM]],MATCH(Table5[[#This Row],[PID]],Table3[[#All],[PID]],0)))</f>
        <v>$400k</v>
      </c>
      <c r="T29" s="62">
        <f>IF($C29="B",INDEX(Batters[[#All],[Rnk]],MATCH(Table5[[#This Row],[PID]],Batters[[#All],[PID]],0)),INDEX(Table3[[#All],[Rnk]],MATCH(Table5[[#This Row],[PID]],Table3[[#All],[PID]],0)))</f>
        <v>2</v>
      </c>
      <c r="U29" s="67">
        <f>IF($C29="B",VLOOKUP($A29,Bat!$A$4:$BA$1314,47,FALSE),VLOOKUP($A29,Pit!$A$4:$BF$1214,56,FALSE))</f>
        <v>13</v>
      </c>
      <c r="V29" s="50">
        <f>IF($C29="B",VLOOKUP($A29,Bat!$A$4:$BA$1314,48,FALSE),VLOOKUP($A29,Pit!$A$4:$BF$1214,57,FALSE))</f>
        <v>13</v>
      </c>
      <c r="W29" s="50">
        <v>25</v>
      </c>
      <c r="X29" s="51">
        <f>RANK(Table5[[#This Row],[zScore]],Table5[[#All],[zScore]])</f>
        <v>47</v>
      </c>
      <c r="Y29" s="50">
        <f>IFERROR(INDEX(DraftResults[[#All],[OVR]],MATCH(Table5[[#This Row],[PID]],DraftResults[[#All],[Player ID]],0)),"")</f>
        <v>45</v>
      </c>
      <c r="Z29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2</v>
      </c>
      <c r="AA29" s="50">
        <f>IFERROR(INDEX(DraftResults[[#All],[Pick in Round]],MATCH(Table5[[#This Row],[PID]],DraftResults[[#All],[Player ID]],0)),"")</f>
        <v>9</v>
      </c>
      <c r="AB29" s="50" t="str">
        <f>IFERROR(INDEX(DraftResults[[#All],[Team Name]],MATCH(Table5[[#This Row],[PID]],DraftResults[[#All],[Player ID]],0)),"")</f>
        <v>Gloucester Fishermen</v>
      </c>
      <c r="AC29" s="50">
        <f>IF(Table5[[#This Row],[Ovr]]="","",IF(Table5[[#This Row],[cmbList]]="","",Table5[[#This Row],[cmbList]]-Table5[[#This Row],[Ovr]]))</f>
        <v>-20</v>
      </c>
      <c r="AD29" s="54" t="str">
        <f>IF(ISERROR(VLOOKUP($AB29&amp;"-"&amp;$E29&amp;" "&amp;F29,Bonuses!$B$1:$G$1006,4,FALSE)),"",INT(VLOOKUP($AB29&amp;"-"&amp;$E29&amp;" "&amp;$F29,Bonuses!$B$1:$G$1006,4,FALSE)))</f>
        <v/>
      </c>
      <c r="AE29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2.9 (45) - 2B Toshiro Motsuzuki</v>
      </c>
    </row>
    <row r="30" spans="1:31" s="50" customFormat="1" x14ac:dyDescent="0.3">
      <c r="A30" s="67">
        <v>9825</v>
      </c>
      <c r="B30" s="68">
        <f>COUNTIF(Table5[PID],A30)</f>
        <v>1</v>
      </c>
      <c r="C30" s="68" t="str">
        <f>IF(COUNTIF(Table3[[#All],[PID]],A30)&gt;0,"P","B")</f>
        <v>P</v>
      </c>
      <c r="D30" s="59" t="str">
        <f>IF($C30="B",INDEX(Batters[[#All],[POS]],MATCH(Table5[[#This Row],[PID]],Batters[[#All],[PID]],0)),INDEX(Table3[[#All],[POS]],MATCH(Table5[[#This Row],[PID]],Table3[[#All],[PID]],0)))</f>
        <v>SP</v>
      </c>
      <c r="E30" s="52" t="str">
        <f>IF($C30="B",INDEX(Batters[[#All],[First]],MATCH(Table5[[#This Row],[PID]],Batters[[#All],[PID]],0)),INDEX(Table3[[#All],[First]],MATCH(Table5[[#This Row],[PID]],Table3[[#All],[PID]],0)))</f>
        <v>Ken</v>
      </c>
      <c r="F30" s="55" t="str">
        <f>IF($C30="B",INDEX(Batters[[#All],[Last]],MATCH(A30,Batters[[#All],[PID]],0)),INDEX(Table3[[#All],[Last]],MATCH(A30,Table3[[#All],[PID]],0)))</f>
        <v>Marshall</v>
      </c>
      <c r="G30" s="56">
        <f>IF($C30="B",INDEX(Batters[[#All],[Age]],MATCH(Table5[[#This Row],[PID]],Batters[[#All],[PID]],0)),INDEX(Table3[[#All],[Age]],MATCH(Table5[[#This Row],[PID]],Table3[[#All],[PID]],0)))</f>
        <v>18</v>
      </c>
      <c r="H30" s="52" t="str">
        <f>IF($C30="B",INDEX(Batters[[#All],[B]],MATCH(Table5[[#This Row],[PID]],Batters[[#All],[PID]],0)),INDEX(Table3[[#All],[B]],MATCH(Table5[[#This Row],[PID]],Table3[[#All],[PID]],0)))</f>
        <v>R</v>
      </c>
      <c r="I30" s="52" t="str">
        <f>IF($C30="B",INDEX(Batters[[#All],[T]],MATCH(Table5[[#This Row],[PID]],Batters[[#All],[PID]],0)),INDEX(Table3[[#All],[T]],MATCH(Table5[[#This Row],[PID]],Table3[[#All],[PID]],0)))</f>
        <v>R</v>
      </c>
      <c r="J30" s="69" t="str">
        <f>IF($C30="B",INDEX(Batters[[#All],[WE]],MATCH(Table5[[#This Row],[PID]],Batters[[#All],[PID]],0)),INDEX(Table3[[#All],[WE]],MATCH(Table5[[#This Row],[PID]],Table3[[#All],[PID]],0)))</f>
        <v>High</v>
      </c>
      <c r="K30" s="52" t="str">
        <f>IF($C30="B",INDEX(Batters[[#All],[INT]],MATCH(Table5[[#This Row],[PID]],Batters[[#All],[PID]],0)),INDEX(Table3[[#All],[INT]],MATCH(Table5[[#This Row],[PID]],Table3[[#All],[PID]],0)))</f>
        <v>Normal</v>
      </c>
      <c r="L30" s="60">
        <f>IF($C30="B",INDEX(Batters[[#All],[CON P]],MATCH(Table5[[#This Row],[PID]],Batters[[#All],[PID]],0)),INDEX(Table3[[#All],[STU P]],MATCH(Table5[[#This Row],[PID]],Table3[[#All],[PID]],0)))</f>
        <v>6</v>
      </c>
      <c r="M30" s="70">
        <f>IF($C30="B",INDEX(Batters[[#All],[GAP P]],MATCH(Table5[[#This Row],[PID]],Batters[[#All],[PID]],0)),INDEX(Table3[[#All],[MOV P]],MATCH(Table5[[#This Row],[PID]],Table3[[#All],[PID]],0)))</f>
        <v>5</v>
      </c>
      <c r="N30" s="70">
        <f>IF($C30="B",INDEX(Batters[[#All],[POW P]],MATCH(Table5[[#This Row],[PID]],Batters[[#All],[PID]],0)),INDEX(Table3[[#All],[CON P]],MATCH(Table5[[#This Row],[PID]],Table3[[#All],[PID]],0)))</f>
        <v>6</v>
      </c>
      <c r="O30" s="70" t="str">
        <f>IF($C30="B",INDEX(Batters[[#All],[EYE P]],MATCH(Table5[[#This Row],[PID]],Batters[[#All],[PID]],0)),INDEX(Table3[[#All],[VELO]],MATCH(Table5[[#This Row],[PID]],Table3[[#All],[PID]],0)))</f>
        <v>94-96 Mph</v>
      </c>
      <c r="P30" s="56">
        <f>IF($C30="B",INDEX(Batters[[#All],[K P]],MATCH(Table5[[#This Row],[PID]],Batters[[#All],[PID]],0)),INDEX(Table3[[#All],[STM]],MATCH(Table5[[#This Row],[PID]],Table3[[#All],[PID]],0)))</f>
        <v>6</v>
      </c>
      <c r="Q30" s="61">
        <f>IF($C30="B",INDEX(Batters[[#All],[Tot]],MATCH(Table5[[#This Row],[PID]],Batters[[#All],[PID]],0)),INDEX(Table3[[#All],[Tot]],MATCH(Table5[[#This Row],[PID]],Table3[[#All],[PID]],0)))</f>
        <v>71.427716657076502</v>
      </c>
      <c r="R30" s="52">
        <f>IF($C30="B",INDEX(Batters[[#All],[zScore]],MATCH(Table5[[#This Row],[PID]],Batters[[#All],[PID]],0)),INDEX(Table3[[#All],[zScore]],MATCH(Table5[[#This Row],[PID]],Table3[[#All],[PID]],0)))</f>
        <v>2.3984438545726725</v>
      </c>
      <c r="S30" s="75" t="str">
        <f>IF($C30="B",INDEX(Batters[[#All],[DEM]],MATCH(Table5[[#This Row],[PID]],Batters[[#All],[PID]],0)),INDEX(Table3[[#All],[DEM]],MATCH(Table5[[#This Row],[PID]],Table3[[#All],[PID]],0)))</f>
        <v>$2.8m</v>
      </c>
      <c r="T30" s="72">
        <f>IF($C30="B",INDEX(Batters[[#All],[Rnk]],MATCH(Table5[[#This Row],[PID]],Batters[[#All],[PID]],0)),INDEX(Table3[[#All],[Rnk]],MATCH(Table5[[#This Row],[PID]],Table3[[#All],[PID]],0)))</f>
        <v>10</v>
      </c>
      <c r="U30" s="67">
        <f>IF($C30="B",VLOOKUP($A30,Bat!$A$4:$BA$1314,47,FALSE),VLOOKUP($A30,Pit!$A$4:$BF$1214,56,FALSE))</f>
        <v>14</v>
      </c>
      <c r="V30" s="50">
        <f>IF($C30="B",VLOOKUP($A30,Bat!$A$4:$BA$1314,48,FALSE),VLOOKUP($A30,Pit!$A$4:$BF$1214,57,FALSE))</f>
        <v>0</v>
      </c>
      <c r="W30" s="50">
        <v>27</v>
      </c>
      <c r="X30" s="71">
        <f>RANK(Table5[[#This Row],[zScore]],Table5[[#All],[zScore]])</f>
        <v>25</v>
      </c>
      <c r="Y30" s="68">
        <f>IFERROR(INDEX(DraftResults[[#All],[OVR]],MATCH(Table5[[#This Row],[PID]],DraftResults[[#All],[Player ID]],0)),"")</f>
        <v>58</v>
      </c>
      <c r="Z30" s="7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2</v>
      </c>
      <c r="AA30" s="68">
        <f>IFERROR(INDEX(DraftResults[[#All],[Pick in Round]],MATCH(Table5[[#This Row],[PID]],DraftResults[[#All],[Player ID]],0)),"")</f>
        <v>22</v>
      </c>
      <c r="AB30" s="68" t="str">
        <f>IFERROR(INDEX(DraftResults[[#All],[Team Name]],MATCH(Table5[[#This Row],[PID]],DraftResults[[#All],[Player ID]],0)),"")</f>
        <v>Florida Farstriders</v>
      </c>
      <c r="AC30" s="68">
        <f>IF(Table5[[#This Row],[Ovr]]="","",IF(Table5[[#This Row],[cmbList]]="","",Table5[[#This Row],[cmbList]]-Table5[[#This Row],[Ovr]]))</f>
        <v>-31</v>
      </c>
      <c r="AD30" s="74" t="str">
        <f>IF(ISERROR(VLOOKUP($AB30&amp;"-"&amp;$E30&amp;" "&amp;F30,Bonuses!$B$1:$G$1006,4,FALSE)),"",INT(VLOOKUP($AB30&amp;"-"&amp;$E30&amp;" "&amp;$F30,Bonuses!$B$1:$G$1006,4,FALSE)))</f>
        <v/>
      </c>
      <c r="AE30" s="68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2.22 (58) - SP Ken Marshall</v>
      </c>
    </row>
    <row r="31" spans="1:31" s="50" customFormat="1" x14ac:dyDescent="0.3">
      <c r="A31" s="67">
        <v>11707</v>
      </c>
      <c r="B31" s="68">
        <f>COUNTIF(Table5[PID],A31)</f>
        <v>1</v>
      </c>
      <c r="C31" s="68" t="str">
        <f>IF(COUNTIF(Table3[[#All],[PID]],A31)&gt;0,"P","B")</f>
        <v>B</v>
      </c>
      <c r="D31" s="59" t="str">
        <f>IF($C31="B",INDEX(Batters[[#All],[POS]],MATCH(Table5[[#This Row],[PID]],Batters[[#All],[PID]],0)),INDEX(Table3[[#All],[POS]],MATCH(Table5[[#This Row],[PID]],Table3[[#All],[PID]],0)))</f>
        <v>2B</v>
      </c>
      <c r="E31" s="52" t="str">
        <f>IF($C31="B",INDEX(Batters[[#All],[First]],MATCH(Table5[[#This Row],[PID]],Batters[[#All],[PID]],0)),INDEX(Table3[[#All],[First]],MATCH(Table5[[#This Row],[PID]],Table3[[#All],[PID]],0)))</f>
        <v>Corey</v>
      </c>
      <c r="F31" s="55" t="str">
        <f>IF($C31="B",INDEX(Batters[[#All],[Last]],MATCH(A31,Batters[[#All],[PID]],0)),INDEX(Table3[[#All],[Last]],MATCH(A31,Table3[[#All],[PID]],0)))</f>
        <v>Gorman</v>
      </c>
      <c r="G31" s="56">
        <f>IF($C31="B",INDEX(Batters[[#All],[Age]],MATCH(Table5[[#This Row],[PID]],Batters[[#All],[PID]],0)),INDEX(Table3[[#All],[Age]],MATCH(Table5[[#This Row],[PID]],Table3[[#All],[PID]],0)))</f>
        <v>17</v>
      </c>
      <c r="H31" s="52" t="str">
        <f>IF($C31="B",INDEX(Batters[[#All],[B]],MATCH(Table5[[#This Row],[PID]],Batters[[#All],[PID]],0)),INDEX(Table3[[#All],[B]],MATCH(Table5[[#This Row],[PID]],Table3[[#All],[PID]],0)))</f>
        <v>R</v>
      </c>
      <c r="I31" s="52" t="str">
        <f>IF($C31="B",INDEX(Batters[[#All],[T]],MATCH(Table5[[#This Row],[PID]],Batters[[#All],[PID]],0)),INDEX(Table3[[#All],[T]],MATCH(Table5[[#This Row],[PID]],Table3[[#All],[PID]],0)))</f>
        <v>R</v>
      </c>
      <c r="J31" s="69" t="str">
        <f>IF($C31="B",INDEX(Batters[[#All],[WE]],MATCH(Table5[[#This Row],[PID]],Batters[[#All],[PID]],0)),INDEX(Table3[[#All],[WE]],MATCH(Table5[[#This Row],[PID]],Table3[[#All],[PID]],0)))</f>
        <v>Low</v>
      </c>
      <c r="K31" s="52" t="str">
        <f>IF($C31="B",INDEX(Batters[[#All],[INT]],MATCH(Table5[[#This Row],[PID]],Batters[[#All],[PID]],0)),INDEX(Table3[[#All],[INT]],MATCH(Table5[[#This Row],[PID]],Table3[[#All],[PID]],0)))</f>
        <v>Normal</v>
      </c>
      <c r="L31" s="60">
        <f>IF($C31="B",INDEX(Batters[[#All],[CON P]],MATCH(Table5[[#This Row],[PID]],Batters[[#All],[PID]],0)),INDEX(Table3[[#All],[STU P]],MATCH(Table5[[#This Row],[PID]],Table3[[#All],[PID]],0)))</f>
        <v>7</v>
      </c>
      <c r="M31" s="70">
        <f>IF($C31="B",INDEX(Batters[[#All],[GAP P]],MATCH(Table5[[#This Row],[PID]],Batters[[#All],[PID]],0)),INDEX(Table3[[#All],[MOV P]],MATCH(Table5[[#This Row],[PID]],Table3[[#All],[PID]],0)))</f>
        <v>7</v>
      </c>
      <c r="N31" s="70">
        <f>IF($C31="B",INDEX(Batters[[#All],[POW P]],MATCH(Table5[[#This Row],[PID]],Batters[[#All],[PID]],0)),INDEX(Table3[[#All],[CON P]],MATCH(Table5[[#This Row],[PID]],Table3[[#All],[PID]],0)))</f>
        <v>5</v>
      </c>
      <c r="O31" s="70">
        <f>IF($C31="B",INDEX(Batters[[#All],[EYE P]],MATCH(Table5[[#This Row],[PID]],Batters[[#All],[PID]],0)),INDEX(Table3[[#All],[VELO]],MATCH(Table5[[#This Row],[PID]],Table3[[#All],[PID]],0)))</f>
        <v>2</v>
      </c>
      <c r="P31" s="56">
        <f>IF($C31="B",INDEX(Batters[[#All],[K P]],MATCH(Table5[[#This Row],[PID]],Batters[[#All],[PID]],0)),INDEX(Table3[[#All],[STM]],MATCH(Table5[[#This Row],[PID]],Table3[[#All],[PID]],0)))</f>
        <v>8</v>
      </c>
      <c r="Q31" s="61">
        <f>IF($C31="B",INDEX(Batters[[#All],[Tot]],MATCH(Table5[[#This Row],[PID]],Batters[[#All],[PID]],0)),INDEX(Table3[[#All],[Tot]],MATCH(Table5[[#This Row],[PID]],Table3[[#All],[PID]],0)))</f>
        <v>59.892367291083445</v>
      </c>
      <c r="R31" s="52">
        <f>IF($C31="B",INDEX(Batters[[#All],[zScore]],MATCH(Table5[[#This Row],[PID]],Batters[[#All],[PID]],0)),INDEX(Table3[[#All],[zScore]],MATCH(Table5[[#This Row],[PID]],Table3[[#All],[PID]],0)))</f>
        <v>2.4338542671521357</v>
      </c>
      <c r="S31" s="75" t="str">
        <f>IF($C31="B",INDEX(Batters[[#All],[DEM]],MATCH(Table5[[#This Row],[PID]],Batters[[#All],[PID]],0)),INDEX(Table3[[#All],[DEM]],MATCH(Table5[[#This Row],[PID]],Table3[[#All],[PID]],0)))</f>
        <v>$800k</v>
      </c>
      <c r="T31" s="72">
        <f>IF($C31="B",INDEX(Batters[[#All],[Rnk]],MATCH(Table5[[#This Row],[PID]],Batters[[#All],[PID]],0)),INDEX(Table3[[#All],[Rnk]],MATCH(Table5[[#This Row],[PID]],Table3[[#All],[PID]],0)))</f>
        <v>3</v>
      </c>
      <c r="U31" s="67">
        <f>IF($C31="B",VLOOKUP($A31,Bat!$A$4:$BA$1314,47,FALSE),VLOOKUP($A31,Pit!$A$4:$BF$1214,56,FALSE))</f>
        <v>14</v>
      </c>
      <c r="V31" s="50">
        <f>IF($C31="B",VLOOKUP($A31,Bat!$A$4:$BA$1314,48,FALSE),VLOOKUP($A31,Pit!$A$4:$BF$1214,57,FALSE))</f>
        <v>14</v>
      </c>
      <c r="W31" s="68">
        <v>28</v>
      </c>
      <c r="X31" s="71">
        <f>RANK(Table5[[#This Row],[zScore]],Table5[[#All],[zScore]])</f>
        <v>22</v>
      </c>
      <c r="Y31" s="68">
        <f>IFERROR(INDEX(DraftResults[[#All],[OVR]],MATCH(Table5[[#This Row],[PID]],DraftResults[[#All],[Player ID]],0)),"")</f>
        <v>37</v>
      </c>
      <c r="Z31" s="7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2</v>
      </c>
      <c r="AA31" s="68">
        <f>IFERROR(INDEX(DraftResults[[#All],[Pick in Round]],MATCH(Table5[[#This Row],[PID]],DraftResults[[#All],[Player ID]],0)),"")</f>
        <v>1</v>
      </c>
      <c r="AB31" s="68" t="str">
        <f>IFERROR(INDEX(DraftResults[[#All],[Team Name]],MATCH(Table5[[#This Row],[PID]],DraftResults[[#All],[Player ID]],0)),"")</f>
        <v>West Virginia Alleghenies</v>
      </c>
      <c r="AC31" s="68">
        <f>IF(Table5[[#This Row],[Ovr]]="","",IF(Table5[[#This Row],[cmbList]]="","",Table5[[#This Row],[cmbList]]-Table5[[#This Row],[Ovr]]))</f>
        <v>-9</v>
      </c>
      <c r="AD31" s="74" t="str">
        <f>IF(ISERROR(VLOOKUP($AB31&amp;"-"&amp;$E31&amp;" "&amp;F31,Bonuses!$B$1:$G$1006,4,FALSE)),"",INT(VLOOKUP($AB31&amp;"-"&amp;$E31&amp;" "&amp;$F31,Bonuses!$B$1:$G$1006,4,FALSE)))</f>
        <v/>
      </c>
      <c r="AE31" s="68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2.1 (37) - 2B Corey Gorman</v>
      </c>
    </row>
    <row r="32" spans="1:31" s="50" customFormat="1" x14ac:dyDescent="0.3">
      <c r="A32" s="50">
        <v>20285</v>
      </c>
      <c r="B32" s="50">
        <f>COUNTIF(Table5[PID],A32)</f>
        <v>1</v>
      </c>
      <c r="C32" s="50" t="str">
        <f>IF(COUNTIF(Table3[[#All],[PID]],A32)&gt;0,"P","B")</f>
        <v>B</v>
      </c>
      <c r="D32" s="59" t="str">
        <f>IF($C32="B",INDEX(Batters[[#All],[POS]],MATCH(Table5[[#This Row],[PID]],Batters[[#All],[PID]],0)),INDEX(Table3[[#All],[POS]],MATCH(Table5[[#This Row],[PID]],Table3[[#All],[PID]],0)))</f>
        <v>LF</v>
      </c>
      <c r="E32" s="52" t="str">
        <f>IF($C32="B",INDEX(Batters[[#All],[First]],MATCH(Table5[[#This Row],[PID]],Batters[[#All],[PID]],0)),INDEX(Table3[[#All],[First]],MATCH(Table5[[#This Row],[PID]],Table3[[#All],[PID]],0)))</f>
        <v>Chua chay</v>
      </c>
      <c r="F32" s="50" t="str">
        <f>IF($C32="B",INDEX(Batters[[#All],[Last]],MATCH(A32,Batters[[#All],[PID]],0)),INDEX(Table3[[#All],[Last]],MATCH(A32,Table3[[#All],[PID]],0)))</f>
        <v>Lo</v>
      </c>
      <c r="G32" s="56">
        <f>IF($C32="B",INDEX(Batters[[#All],[Age]],MATCH(Table5[[#This Row],[PID]],Batters[[#All],[PID]],0)),INDEX(Table3[[#All],[Age]],MATCH(Table5[[#This Row],[PID]],Table3[[#All],[PID]],0)))</f>
        <v>21</v>
      </c>
      <c r="H32" s="52" t="str">
        <f>IF($C32="B",INDEX(Batters[[#All],[B]],MATCH(Table5[[#This Row],[PID]],Batters[[#All],[PID]],0)),INDEX(Table3[[#All],[B]],MATCH(Table5[[#This Row],[PID]],Table3[[#All],[PID]],0)))</f>
        <v>L</v>
      </c>
      <c r="I32" s="52" t="str">
        <f>IF($C32="B",INDEX(Batters[[#All],[T]],MATCH(Table5[[#This Row],[PID]],Batters[[#All],[PID]],0)),INDEX(Table3[[#All],[T]],MATCH(Table5[[#This Row],[PID]],Table3[[#All],[PID]],0)))</f>
        <v>L</v>
      </c>
      <c r="J32" s="52" t="str">
        <f>IF($C32="B",INDEX(Batters[[#All],[WE]],MATCH(Table5[[#This Row],[PID]],Batters[[#All],[PID]],0)),INDEX(Table3[[#All],[WE]],MATCH(Table5[[#This Row],[PID]],Table3[[#All],[PID]],0)))</f>
        <v>Normal</v>
      </c>
      <c r="K32" s="52" t="str">
        <f>IF($C32="B",INDEX(Batters[[#All],[INT]],MATCH(Table5[[#This Row],[PID]],Batters[[#All],[PID]],0)),INDEX(Table3[[#All],[INT]],MATCH(Table5[[#This Row],[PID]],Table3[[#All],[PID]],0)))</f>
        <v>High</v>
      </c>
      <c r="L32" s="60">
        <f>IF($C32="B",INDEX(Batters[[#All],[CON P]],MATCH(Table5[[#This Row],[PID]],Batters[[#All],[PID]],0)),INDEX(Table3[[#All],[STU P]],MATCH(Table5[[#This Row],[PID]],Table3[[#All],[PID]],0)))</f>
        <v>7</v>
      </c>
      <c r="M32" s="56">
        <f>IF($C32="B",INDEX(Batters[[#All],[GAP P]],MATCH(Table5[[#This Row],[PID]],Batters[[#All],[PID]],0)),INDEX(Table3[[#All],[MOV P]],MATCH(Table5[[#This Row],[PID]],Table3[[#All],[PID]],0)))</f>
        <v>6</v>
      </c>
      <c r="N32" s="56">
        <f>IF($C32="B",INDEX(Batters[[#All],[POW P]],MATCH(Table5[[#This Row],[PID]],Batters[[#All],[PID]],0)),INDEX(Table3[[#All],[CON P]],MATCH(Table5[[#This Row],[PID]],Table3[[#All],[PID]],0)))</f>
        <v>3</v>
      </c>
      <c r="O32" s="56">
        <f>IF($C32="B",INDEX(Batters[[#All],[EYE P]],MATCH(Table5[[#This Row],[PID]],Batters[[#All],[PID]],0)),INDEX(Table3[[#All],[VELO]],MATCH(Table5[[#This Row],[PID]],Table3[[#All],[PID]],0)))</f>
        <v>4</v>
      </c>
      <c r="P32" s="56">
        <f>IF($C32="B",INDEX(Batters[[#All],[K P]],MATCH(Table5[[#This Row],[PID]],Batters[[#All],[PID]],0)),INDEX(Table3[[#All],[STM]],MATCH(Table5[[#This Row],[PID]],Table3[[#All],[PID]],0)))</f>
        <v>9</v>
      </c>
      <c r="Q32" s="61">
        <f>IF($C32="B",INDEX(Batters[[#All],[Tot]],MATCH(Table5[[#This Row],[PID]],Batters[[#All],[PID]],0)),INDEX(Table3[[#All],[Tot]],MATCH(Table5[[#This Row],[PID]],Table3[[#All],[PID]],0)))</f>
        <v>55.652766285110516</v>
      </c>
      <c r="R32" s="52">
        <f>IF($C32="B",INDEX(Batters[[#All],[zScore]],MATCH(Table5[[#This Row],[PID]],Batters[[#All],[PID]],0)),INDEX(Table3[[#All],[zScore]],MATCH(Table5[[#This Row],[PID]],Table3[[#All],[PID]],0)))</f>
        <v>1.8150077226521033</v>
      </c>
      <c r="S32" s="58" t="str">
        <f>IF($C32="B",INDEX(Batters[[#All],[DEM]],MATCH(Table5[[#This Row],[PID]],Batters[[#All],[PID]],0)),INDEX(Table3[[#All],[DEM]],MATCH(Table5[[#This Row],[PID]],Table3[[#All],[PID]],0)))</f>
        <v>$100k</v>
      </c>
      <c r="T32" s="62">
        <f>IF($C32="B",INDEX(Batters[[#All],[Rnk]],MATCH(Table5[[#This Row],[PID]],Batters[[#All],[PID]],0)),INDEX(Table3[[#All],[Rnk]],MATCH(Table5[[#This Row],[PID]],Table3[[#All],[PID]],0)))</f>
        <v>3</v>
      </c>
      <c r="U32" s="67">
        <f>IF($C32="B",VLOOKUP($A32,Bat!$A$4:$BA$1314,47,FALSE),VLOOKUP($A32,Pit!$A$4:$BF$1214,56,FALSE))</f>
        <v>15</v>
      </c>
      <c r="V32" s="50">
        <f>IF($C32="B",VLOOKUP($A32,Bat!$A$4:$BA$1314,48,FALSE),VLOOKUP($A32,Pit!$A$4:$BF$1214,57,FALSE))</f>
        <v>15</v>
      </c>
      <c r="W32" s="50">
        <v>29</v>
      </c>
      <c r="X32" s="51">
        <f>RANK(Table5[[#This Row],[zScore]],Table5[[#All],[zScore]])</f>
        <v>52</v>
      </c>
      <c r="Y32" s="50">
        <f>IFERROR(INDEX(DraftResults[[#All],[OVR]],MATCH(Table5[[#This Row],[PID]],DraftResults[[#All],[Player ID]],0)),"")</f>
        <v>70</v>
      </c>
      <c r="Z32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2</v>
      </c>
      <c r="AA32" s="50">
        <f>IFERROR(INDEX(DraftResults[[#All],[Pick in Round]],MATCH(Table5[[#This Row],[PID]],DraftResults[[#All],[Player ID]],0)),"")</f>
        <v>34</v>
      </c>
      <c r="AB32" s="50" t="str">
        <f>IFERROR(INDEX(DraftResults[[#All],[Team Name]],MATCH(Table5[[#This Row],[PID]],DraftResults[[#All],[Player ID]],0)),"")</f>
        <v>Toyama Wind Dancers</v>
      </c>
      <c r="AC32" s="50">
        <f>IF(Table5[[#This Row],[Ovr]]="","",IF(Table5[[#This Row],[cmbList]]="","",Table5[[#This Row],[cmbList]]-Table5[[#This Row],[Ovr]]))</f>
        <v>-41</v>
      </c>
      <c r="AD32" s="54" t="str">
        <f>IF(ISERROR(VLOOKUP($AB32&amp;"-"&amp;$E32&amp;" "&amp;F32,Bonuses!$B$1:$G$1006,4,FALSE)),"",INT(VLOOKUP($AB32&amp;"-"&amp;$E32&amp;" "&amp;$F32,Bonuses!$B$1:$G$1006,4,FALSE)))</f>
        <v/>
      </c>
      <c r="AE32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2.34 (70) - LF Chua chay Lo</v>
      </c>
    </row>
    <row r="33" spans="1:31" s="50" customFormat="1" x14ac:dyDescent="0.3">
      <c r="A33" s="50">
        <v>13315</v>
      </c>
      <c r="B33" s="50">
        <f>COUNTIF(Table5[PID],A33)</f>
        <v>1</v>
      </c>
      <c r="C33" s="50" t="str">
        <f>IF(COUNTIF(Table3[[#All],[PID]],A33)&gt;0,"P","B")</f>
        <v>B</v>
      </c>
      <c r="D33" s="59" t="str">
        <f>IF($C33="B",INDEX(Batters[[#All],[POS]],MATCH(Table5[[#This Row],[PID]],Batters[[#All],[PID]],0)),INDEX(Table3[[#All],[POS]],MATCH(Table5[[#This Row],[PID]],Table3[[#All],[PID]],0)))</f>
        <v>3B</v>
      </c>
      <c r="E33" s="52" t="str">
        <f>IF($C33="B",INDEX(Batters[[#All],[First]],MATCH(Table5[[#This Row],[PID]],Batters[[#All],[PID]],0)),INDEX(Table3[[#All],[First]],MATCH(Table5[[#This Row],[PID]],Table3[[#All],[PID]],0)))</f>
        <v>Yoshikazu</v>
      </c>
      <c r="F33" s="50" t="str">
        <f>IF($C33="B",INDEX(Batters[[#All],[Last]],MATCH(A33,Batters[[#All],[PID]],0)),INDEX(Table3[[#All],[Last]],MATCH(A33,Table3[[#All],[PID]],0)))</f>
        <v>Nakayama</v>
      </c>
      <c r="G33" s="56">
        <f>IF($C33="B",INDEX(Batters[[#All],[Age]],MATCH(Table5[[#This Row],[PID]],Batters[[#All],[PID]],0)),INDEX(Table3[[#All],[Age]],MATCH(Table5[[#This Row],[PID]],Table3[[#All],[PID]],0)))</f>
        <v>17</v>
      </c>
      <c r="H33" s="52" t="str">
        <f>IF($C33="B",INDEX(Batters[[#All],[B]],MATCH(Table5[[#This Row],[PID]],Batters[[#All],[PID]],0)),INDEX(Table3[[#All],[B]],MATCH(Table5[[#This Row],[PID]],Table3[[#All],[PID]],0)))</f>
        <v>R</v>
      </c>
      <c r="I33" s="52" t="str">
        <f>IF($C33="B",INDEX(Batters[[#All],[T]],MATCH(Table5[[#This Row],[PID]],Batters[[#All],[PID]],0)),INDEX(Table3[[#All],[T]],MATCH(Table5[[#This Row],[PID]],Table3[[#All],[PID]],0)))</f>
        <v>R</v>
      </c>
      <c r="J33" s="52" t="str">
        <f>IF($C33="B",INDEX(Batters[[#All],[WE]],MATCH(Table5[[#This Row],[PID]],Batters[[#All],[PID]],0)),INDEX(Table3[[#All],[WE]],MATCH(Table5[[#This Row],[PID]],Table3[[#All],[PID]],0)))</f>
        <v>Normal</v>
      </c>
      <c r="K33" s="52" t="str">
        <f>IF($C33="B",INDEX(Batters[[#All],[INT]],MATCH(Table5[[#This Row],[PID]],Batters[[#All],[PID]],0)),INDEX(Table3[[#All],[INT]],MATCH(Table5[[#This Row],[PID]],Table3[[#All],[PID]],0)))</f>
        <v>High</v>
      </c>
      <c r="L33" s="60">
        <f>IF($C33="B",INDEX(Batters[[#All],[CON P]],MATCH(Table5[[#This Row],[PID]],Batters[[#All],[PID]],0)),INDEX(Table3[[#All],[STU P]],MATCH(Table5[[#This Row],[PID]],Table3[[#All],[PID]],0)))</f>
        <v>4</v>
      </c>
      <c r="M33" s="56">
        <f>IF($C33="B",INDEX(Batters[[#All],[GAP P]],MATCH(Table5[[#This Row],[PID]],Batters[[#All],[PID]],0)),INDEX(Table3[[#All],[MOV P]],MATCH(Table5[[#This Row],[PID]],Table3[[#All],[PID]],0)))</f>
        <v>6</v>
      </c>
      <c r="N33" s="56">
        <f>IF($C33="B",INDEX(Batters[[#All],[POW P]],MATCH(Table5[[#This Row],[PID]],Batters[[#All],[PID]],0)),INDEX(Table3[[#All],[CON P]],MATCH(Table5[[#This Row],[PID]],Table3[[#All],[PID]],0)))</f>
        <v>8</v>
      </c>
      <c r="O33" s="56">
        <f>IF($C33="B",INDEX(Batters[[#All],[EYE P]],MATCH(Table5[[#This Row],[PID]],Batters[[#All],[PID]],0)),INDEX(Table3[[#All],[VELO]],MATCH(Table5[[#This Row],[PID]],Table3[[#All],[PID]],0)))</f>
        <v>7</v>
      </c>
      <c r="P33" s="56">
        <f>IF($C33="B",INDEX(Batters[[#All],[K P]],MATCH(Table5[[#This Row],[PID]],Batters[[#All],[PID]],0)),INDEX(Table3[[#All],[STM]],MATCH(Table5[[#This Row],[PID]],Table3[[#All],[PID]],0)))</f>
        <v>3</v>
      </c>
      <c r="Q33" s="61">
        <f>IF($C33="B",INDEX(Batters[[#All],[Tot]],MATCH(Table5[[#This Row],[PID]],Batters[[#All],[PID]],0)),INDEX(Table3[[#All],[Tot]],MATCH(Table5[[#This Row],[PID]],Table3[[#All],[PID]],0)))</f>
        <v>54.235455177712879</v>
      </c>
      <c r="R33" s="52">
        <f>IF($C33="B",INDEX(Batters[[#All],[zScore]],MATCH(Table5[[#This Row],[PID]],Batters[[#All],[PID]],0)),INDEX(Table3[[#All],[zScore]],MATCH(Table5[[#This Row],[PID]],Table3[[#All],[PID]],0)))</f>
        <v>1.6081254995233587</v>
      </c>
      <c r="S33" s="58" t="str">
        <f>IF($C33="B",INDEX(Batters[[#All],[DEM]],MATCH(Table5[[#This Row],[PID]],Batters[[#All],[PID]],0)),INDEX(Table3[[#All],[DEM]],MATCH(Table5[[#This Row],[PID]],Table3[[#All],[PID]],0)))</f>
        <v>$290k</v>
      </c>
      <c r="T33" s="62">
        <f>IF($C33="B",INDEX(Batters[[#All],[Rnk]],MATCH(Table5[[#This Row],[PID]],Batters[[#All],[PID]],0)),INDEX(Table3[[#All],[Rnk]],MATCH(Table5[[#This Row],[PID]],Table3[[#All],[PID]],0)))</f>
        <v>2</v>
      </c>
      <c r="U33" s="67">
        <f>IF($C33="B",VLOOKUP($A33,Bat!$A$4:$BA$1314,47,FALSE),VLOOKUP($A33,Pit!$A$4:$BF$1214,56,FALSE))</f>
        <v>16</v>
      </c>
      <c r="V33" s="50">
        <f>IF($C33="B",VLOOKUP($A33,Bat!$A$4:$BA$1314,48,FALSE),VLOOKUP($A33,Pit!$A$4:$BF$1214,57,FALSE))</f>
        <v>16</v>
      </c>
      <c r="W33" s="68">
        <v>30</v>
      </c>
      <c r="X33" s="51">
        <f>RANK(Table5[[#This Row],[zScore]],Table5[[#All],[zScore]])</f>
        <v>71</v>
      </c>
      <c r="Y33" s="50">
        <f>IFERROR(INDEX(DraftResults[[#All],[OVR]],MATCH(Table5[[#This Row],[PID]],DraftResults[[#All],[Player ID]],0)),"")</f>
        <v>12</v>
      </c>
      <c r="Z33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1</v>
      </c>
      <c r="AA33" s="50">
        <f>IFERROR(INDEX(DraftResults[[#All],[Pick in Round]],MATCH(Table5[[#This Row],[PID]],DraftResults[[#All],[Player ID]],0)),"")</f>
        <v>12</v>
      </c>
      <c r="AB33" s="50" t="str">
        <f>IFERROR(INDEX(DraftResults[[#All],[Team Name]],MATCH(Table5[[#This Row],[PID]],DraftResults[[#All],[Player ID]],0)),"")</f>
        <v>Niihama-shi Ghosts</v>
      </c>
      <c r="AC33" s="50">
        <f>IF(Table5[[#This Row],[Ovr]]="","",IF(Table5[[#This Row],[cmbList]]="","",Table5[[#This Row],[cmbList]]-Table5[[#This Row],[Ovr]]))</f>
        <v>18</v>
      </c>
      <c r="AD33" s="54" t="str">
        <f>IF(ISERROR(VLOOKUP($AB33&amp;"-"&amp;$E33&amp;" "&amp;F33,Bonuses!$B$1:$G$1006,4,FALSE)),"",INT(VLOOKUP($AB33&amp;"-"&amp;$E33&amp;" "&amp;$F33,Bonuses!$B$1:$G$1006,4,FALSE)))</f>
        <v/>
      </c>
      <c r="AE33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1.12 (12) - 3B Yoshikazu Nakayama</v>
      </c>
    </row>
    <row r="34" spans="1:31" s="50" customFormat="1" x14ac:dyDescent="0.3">
      <c r="A34" s="50">
        <v>20733</v>
      </c>
      <c r="B34" s="50">
        <f>COUNTIF(Table5[PID],A34)</f>
        <v>1</v>
      </c>
      <c r="C34" s="50" t="str">
        <f>IF(COUNTIF(Table3[[#All],[PID]],A34)&gt;0,"P","B")</f>
        <v>P</v>
      </c>
      <c r="D34" s="59" t="str">
        <f>IF($C34="B",INDEX(Batters[[#All],[POS]],MATCH(Table5[[#This Row],[PID]],Batters[[#All],[PID]],0)),INDEX(Table3[[#All],[POS]],MATCH(Table5[[#This Row],[PID]],Table3[[#All],[PID]],0)))</f>
        <v>RP</v>
      </c>
      <c r="E34" s="52" t="str">
        <f>IF($C34="B",INDEX(Batters[[#All],[First]],MATCH(Table5[[#This Row],[PID]],Batters[[#All],[PID]],0)),INDEX(Table3[[#All],[First]],MATCH(Table5[[#This Row],[PID]],Table3[[#All],[PID]],0)))</f>
        <v>Jack</v>
      </c>
      <c r="F34" s="50" t="str">
        <f>IF($C34="B",INDEX(Batters[[#All],[Last]],MATCH(A34,Batters[[#All],[PID]],0)),INDEX(Table3[[#All],[Last]],MATCH(A34,Table3[[#All],[PID]],0)))</f>
        <v>Harris</v>
      </c>
      <c r="G34" s="56">
        <f>IF($C34="B",INDEX(Batters[[#All],[Age]],MATCH(Table5[[#This Row],[PID]],Batters[[#All],[PID]],0)),INDEX(Table3[[#All],[Age]],MATCH(Table5[[#This Row],[PID]],Table3[[#All],[PID]],0)))</f>
        <v>17</v>
      </c>
      <c r="H34" s="52" t="str">
        <f>IF($C34="B",INDEX(Batters[[#All],[B]],MATCH(Table5[[#This Row],[PID]],Batters[[#All],[PID]],0)),INDEX(Table3[[#All],[B]],MATCH(Table5[[#This Row],[PID]],Table3[[#All],[PID]],0)))</f>
        <v>L</v>
      </c>
      <c r="I34" s="52" t="str">
        <f>IF($C34="B",INDEX(Batters[[#All],[T]],MATCH(Table5[[#This Row],[PID]],Batters[[#All],[PID]],0)),INDEX(Table3[[#All],[T]],MATCH(Table5[[#This Row],[PID]],Table3[[#All],[PID]],0)))</f>
        <v>L</v>
      </c>
      <c r="J34" s="52" t="str">
        <f>IF($C34="B",INDEX(Batters[[#All],[WE]],MATCH(Table5[[#This Row],[PID]],Batters[[#All],[PID]],0)),INDEX(Table3[[#All],[WE]],MATCH(Table5[[#This Row],[PID]],Table3[[#All],[PID]],0)))</f>
        <v>Normal</v>
      </c>
      <c r="K34" s="52" t="str">
        <f>IF($C34="B",INDEX(Batters[[#All],[INT]],MATCH(Table5[[#This Row],[PID]],Batters[[#All],[PID]],0)),INDEX(Table3[[#All],[INT]],MATCH(Table5[[#This Row],[PID]],Table3[[#All],[PID]],0)))</f>
        <v>Normal</v>
      </c>
      <c r="L34" s="60">
        <f>IF($C34="B",INDEX(Batters[[#All],[CON P]],MATCH(Table5[[#This Row],[PID]],Batters[[#All],[PID]],0)),INDEX(Table3[[#All],[STU P]],MATCH(Table5[[#This Row],[PID]],Table3[[#All],[PID]],0)))</f>
        <v>9</v>
      </c>
      <c r="M34" s="56">
        <f>IF($C34="B",INDEX(Batters[[#All],[GAP P]],MATCH(Table5[[#This Row],[PID]],Batters[[#All],[PID]],0)),INDEX(Table3[[#All],[MOV P]],MATCH(Table5[[#This Row],[PID]],Table3[[#All],[PID]],0)))</f>
        <v>3</v>
      </c>
      <c r="N34" s="56">
        <f>IF($C34="B",INDEX(Batters[[#All],[POW P]],MATCH(Table5[[#This Row],[PID]],Batters[[#All],[PID]],0)),INDEX(Table3[[#All],[CON P]],MATCH(Table5[[#This Row],[PID]],Table3[[#All],[PID]],0)))</f>
        <v>4</v>
      </c>
      <c r="O34" s="56" t="str">
        <f>IF($C34="B",INDEX(Batters[[#All],[EYE P]],MATCH(Table5[[#This Row],[PID]],Batters[[#All],[PID]],0)),INDEX(Table3[[#All],[VELO]],MATCH(Table5[[#This Row],[PID]],Table3[[#All],[PID]],0)))</f>
        <v>98-100 Mph</v>
      </c>
      <c r="P34" s="56">
        <f>IF($C34="B",INDEX(Batters[[#All],[K P]],MATCH(Table5[[#This Row],[PID]],Batters[[#All],[PID]],0)),INDEX(Table3[[#All],[STM]],MATCH(Table5[[#This Row],[PID]],Table3[[#All],[PID]],0)))</f>
        <v>5</v>
      </c>
      <c r="Q34" s="61">
        <f>IF($C34="B",INDEX(Batters[[#All],[Tot]],MATCH(Table5[[#This Row],[PID]],Batters[[#All],[PID]],0)),INDEX(Table3[[#All],[Tot]],MATCH(Table5[[#This Row],[PID]],Table3[[#All],[PID]],0)))</f>
        <v>57.097319718950061</v>
      </c>
      <c r="R34" s="52">
        <f>IF($C34="B",INDEX(Batters[[#All],[zScore]],MATCH(Table5[[#This Row],[PID]],Batters[[#All],[PID]],0)),INDEX(Table3[[#All],[zScore]],MATCH(Table5[[#This Row],[PID]],Table3[[#All],[PID]],0)))</f>
        <v>1.3739209809964024</v>
      </c>
      <c r="S34" s="58" t="str">
        <f>IF($C34="B",INDEX(Batters[[#All],[DEM]],MATCH(Table5[[#This Row],[PID]],Batters[[#All],[PID]],0)),INDEX(Table3[[#All],[DEM]],MATCH(Table5[[#This Row],[PID]],Table3[[#All],[PID]],0)))</f>
        <v>$200k</v>
      </c>
      <c r="T34" s="62">
        <f>IF($C34="B",INDEX(Batters[[#All],[Rnk]],MATCH(Table5[[#This Row],[PID]],Batters[[#All],[PID]],0)),INDEX(Table3[[#All],[Rnk]],MATCH(Table5[[#This Row],[PID]],Table3[[#All],[PID]],0)))</f>
        <v>5</v>
      </c>
      <c r="U34" s="67">
        <f>IF($C34="B",VLOOKUP($A34,Bat!$A$4:$BA$1314,47,FALSE),VLOOKUP($A34,Pit!$A$4:$BF$1214,56,FALSE))</f>
        <v>15</v>
      </c>
      <c r="V34" s="50">
        <f>IF($C34="B",VLOOKUP($A34,Bat!$A$4:$BA$1314,48,FALSE),VLOOKUP($A34,Pit!$A$4:$BF$1214,57,FALSE))</f>
        <v>0</v>
      </c>
      <c r="W34" s="50">
        <v>31</v>
      </c>
      <c r="X34" s="51">
        <f>RANK(Table5[[#This Row],[zScore]],Table5[[#All],[zScore]])</f>
        <v>87</v>
      </c>
      <c r="Y34" s="50">
        <f>IFERROR(INDEX(DraftResults[[#All],[OVR]],MATCH(Table5[[#This Row],[PID]],DraftResults[[#All],[Player ID]],0)),"")</f>
        <v>52</v>
      </c>
      <c r="Z34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2</v>
      </c>
      <c r="AA34" s="50">
        <f>IFERROR(INDEX(DraftResults[[#All],[Pick in Round]],MATCH(Table5[[#This Row],[PID]],DraftResults[[#All],[Player ID]],0)),"")</f>
        <v>16</v>
      </c>
      <c r="AB34" s="50" t="str">
        <f>IFERROR(INDEX(DraftResults[[#All],[Team Name]],MATCH(Table5[[#This Row],[PID]],DraftResults[[#All],[Player ID]],0)),"")</f>
        <v>San Antonio Calzones of Laredo</v>
      </c>
      <c r="AC34" s="50">
        <f>IF(Table5[[#This Row],[Ovr]]="","",IF(Table5[[#This Row],[cmbList]]="","",Table5[[#This Row],[cmbList]]-Table5[[#This Row],[Ovr]]))</f>
        <v>-21</v>
      </c>
      <c r="AD34" s="54" t="str">
        <f>IF(ISERROR(VLOOKUP($AB34&amp;"-"&amp;$E34&amp;" "&amp;F34,Bonuses!$B$1:$G$1006,4,FALSE)),"",INT(VLOOKUP($AB34&amp;"-"&amp;$E34&amp;" "&amp;$F34,Bonuses!$B$1:$G$1006,4,FALSE)))</f>
        <v/>
      </c>
      <c r="AE34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2.16 (52) - RP Jack Harris</v>
      </c>
    </row>
    <row r="35" spans="1:31" s="50" customFormat="1" x14ac:dyDescent="0.3">
      <c r="A35" s="50">
        <v>10897</v>
      </c>
      <c r="B35" s="50">
        <f>COUNTIF(Table5[PID],A35)</f>
        <v>1</v>
      </c>
      <c r="C35" s="50" t="str">
        <f>IF(COUNTIF(Table3[[#All],[PID]],A35)&gt;0,"P","B")</f>
        <v>B</v>
      </c>
      <c r="D35" s="59" t="str">
        <f>IF($C35="B",INDEX(Batters[[#All],[POS]],MATCH(Table5[[#This Row],[PID]],Batters[[#All],[PID]],0)),INDEX(Table3[[#All],[POS]],MATCH(Table5[[#This Row],[PID]],Table3[[#All],[PID]],0)))</f>
        <v>1B</v>
      </c>
      <c r="E35" s="52" t="str">
        <f>IF($C35="B",INDEX(Batters[[#All],[First]],MATCH(Table5[[#This Row],[PID]],Batters[[#All],[PID]],0)),INDEX(Table3[[#All],[First]],MATCH(Table5[[#This Row],[PID]],Table3[[#All],[PID]],0)))</f>
        <v>Curt</v>
      </c>
      <c r="F35" s="50" t="str">
        <f>IF($C35="B",INDEX(Batters[[#All],[Last]],MATCH(A35,Batters[[#All],[PID]],0)),INDEX(Table3[[#All],[Last]],MATCH(A35,Table3[[#All],[PID]],0)))</f>
        <v>Sharp</v>
      </c>
      <c r="G35" s="56">
        <f>IF($C35="B",INDEX(Batters[[#All],[Age]],MATCH(Table5[[#This Row],[PID]],Batters[[#All],[PID]],0)),INDEX(Table3[[#All],[Age]],MATCH(Table5[[#This Row],[PID]],Table3[[#All],[PID]],0)))</f>
        <v>17</v>
      </c>
      <c r="H35" s="52" t="str">
        <f>IF($C35="B",INDEX(Batters[[#All],[B]],MATCH(Table5[[#This Row],[PID]],Batters[[#All],[PID]],0)),INDEX(Table3[[#All],[B]],MATCH(Table5[[#This Row],[PID]],Table3[[#All],[PID]],0)))</f>
        <v>R</v>
      </c>
      <c r="I35" s="52" t="str">
        <f>IF($C35="B",INDEX(Batters[[#All],[T]],MATCH(Table5[[#This Row],[PID]],Batters[[#All],[PID]],0)),INDEX(Table3[[#All],[T]],MATCH(Table5[[#This Row],[PID]],Table3[[#All],[PID]],0)))</f>
        <v>R</v>
      </c>
      <c r="J35" s="52" t="str">
        <f>IF($C35="B",INDEX(Batters[[#All],[WE]],MATCH(Table5[[#This Row],[PID]],Batters[[#All],[PID]],0)),INDEX(Table3[[#All],[WE]],MATCH(Table5[[#This Row],[PID]],Table3[[#All],[PID]],0)))</f>
        <v>Normal</v>
      </c>
      <c r="K35" s="52" t="str">
        <f>IF($C35="B",INDEX(Batters[[#All],[INT]],MATCH(Table5[[#This Row],[PID]],Batters[[#All],[PID]],0)),INDEX(Table3[[#All],[INT]],MATCH(Table5[[#This Row],[PID]],Table3[[#All],[PID]],0)))</f>
        <v>Normal</v>
      </c>
      <c r="L35" s="60">
        <f>IF($C35="B",INDEX(Batters[[#All],[CON P]],MATCH(Table5[[#This Row],[PID]],Batters[[#All],[PID]],0)),INDEX(Table3[[#All],[STU P]],MATCH(Table5[[#This Row],[PID]],Table3[[#All],[PID]],0)))</f>
        <v>6</v>
      </c>
      <c r="M35" s="56">
        <f>IF($C35="B",INDEX(Batters[[#All],[GAP P]],MATCH(Table5[[#This Row],[PID]],Batters[[#All],[PID]],0)),INDEX(Table3[[#All],[MOV P]],MATCH(Table5[[#This Row],[PID]],Table3[[#All],[PID]],0)))</f>
        <v>6</v>
      </c>
      <c r="N35" s="56">
        <f>IF($C35="B",INDEX(Batters[[#All],[POW P]],MATCH(Table5[[#This Row],[PID]],Batters[[#All],[PID]],0)),INDEX(Table3[[#All],[CON P]],MATCH(Table5[[#This Row],[PID]],Table3[[#All],[PID]],0)))</f>
        <v>4</v>
      </c>
      <c r="O35" s="56">
        <f>IF($C35="B",INDEX(Batters[[#All],[EYE P]],MATCH(Table5[[#This Row],[PID]],Batters[[#All],[PID]],0)),INDEX(Table3[[#All],[VELO]],MATCH(Table5[[#This Row],[PID]],Table3[[#All],[PID]],0)))</f>
        <v>4</v>
      </c>
      <c r="P35" s="56">
        <f>IF($C35="B",INDEX(Batters[[#All],[K P]],MATCH(Table5[[#This Row],[PID]],Batters[[#All],[PID]],0)),INDEX(Table3[[#All],[STM]],MATCH(Table5[[#This Row],[PID]],Table3[[#All],[PID]],0)))</f>
        <v>6</v>
      </c>
      <c r="Q35" s="61">
        <f>IF($C35="B",INDEX(Batters[[#All],[Tot]],MATCH(Table5[[#This Row],[PID]],Batters[[#All],[PID]],0)),INDEX(Table3[[#All],[Tot]],MATCH(Table5[[#This Row],[PID]],Table3[[#All],[PID]],0)))</f>
        <v>55.885978676490382</v>
      </c>
      <c r="R35" s="52">
        <f>IF($C35="B",INDEX(Batters[[#All],[zScore]],MATCH(Table5[[#This Row],[PID]],Batters[[#All],[PID]],0)),INDEX(Table3[[#All],[zScore]],MATCH(Table5[[#This Row],[PID]],Table3[[#All],[PID]],0)))</f>
        <v>1.8490492945681141</v>
      </c>
      <c r="S35" s="58" t="str">
        <f>IF($C35="B",INDEX(Batters[[#All],[DEM]],MATCH(Table5[[#This Row],[PID]],Batters[[#All],[PID]],0)),INDEX(Table3[[#All],[DEM]],MATCH(Table5[[#This Row],[PID]],Table3[[#All],[PID]],0)))</f>
        <v>$190k</v>
      </c>
      <c r="T35" s="62">
        <f>IF($C35="B",INDEX(Batters[[#All],[Rnk]],MATCH(Table5[[#This Row],[PID]],Batters[[#All],[PID]],0)),INDEX(Table3[[#All],[Rnk]],MATCH(Table5[[#This Row],[PID]],Table3[[#All],[PID]],0)))</f>
        <v>2</v>
      </c>
      <c r="U35" s="67">
        <f>IF($C35="B",VLOOKUP($A35,Bat!$A$4:$BA$1314,47,FALSE),VLOOKUP($A35,Pit!$A$4:$BF$1214,56,FALSE))</f>
        <v>17</v>
      </c>
      <c r="V35" s="50">
        <f>IF($C35="B",VLOOKUP($A35,Bat!$A$4:$BA$1314,48,FALSE),VLOOKUP($A35,Pit!$A$4:$BF$1214,57,FALSE))</f>
        <v>17</v>
      </c>
      <c r="W35" s="68">
        <v>32</v>
      </c>
      <c r="X35" s="51">
        <f>RANK(Table5[[#This Row],[zScore]],Table5[[#All],[zScore]])</f>
        <v>49</v>
      </c>
      <c r="Y35" s="50">
        <f>IFERROR(INDEX(DraftResults[[#All],[OVR]],MATCH(Table5[[#This Row],[PID]],DraftResults[[#All],[Player ID]],0)),"")</f>
        <v>128</v>
      </c>
      <c r="Z35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4</v>
      </c>
      <c r="AA35" s="50">
        <f>IFERROR(INDEX(DraftResults[[#All],[Pick in Round]],MATCH(Table5[[#This Row],[PID]],DraftResults[[#All],[Player ID]],0)),"")</f>
        <v>23</v>
      </c>
      <c r="AB35" s="50" t="str">
        <f>IFERROR(INDEX(DraftResults[[#All],[Team Name]],MATCH(Table5[[#This Row],[PID]],DraftResults[[#All],[Player ID]],0)),"")</f>
        <v>Kentucky Thoroughbreds</v>
      </c>
      <c r="AC35" s="50">
        <f>IF(Table5[[#This Row],[Ovr]]="","",IF(Table5[[#This Row],[cmbList]]="","",Table5[[#This Row],[cmbList]]-Table5[[#This Row],[Ovr]]))</f>
        <v>-96</v>
      </c>
      <c r="AD35" s="54" t="str">
        <f>IF(ISERROR(VLOOKUP($AB35&amp;"-"&amp;$E35&amp;" "&amp;F35,Bonuses!$B$1:$G$1006,4,FALSE)),"",INT(VLOOKUP($AB35&amp;"-"&amp;$E35&amp;" "&amp;$F35,Bonuses!$B$1:$G$1006,4,FALSE)))</f>
        <v/>
      </c>
      <c r="AE35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4.23 (128) - 1B Curt Sharp</v>
      </c>
    </row>
    <row r="36" spans="1:31" s="50" customFormat="1" x14ac:dyDescent="0.3">
      <c r="A36" s="50">
        <v>11826</v>
      </c>
      <c r="B36" s="50">
        <f>COUNTIF(Table5[PID],A36)</f>
        <v>1</v>
      </c>
      <c r="C36" s="50" t="str">
        <f>IF(COUNTIF(Table3[[#All],[PID]],A36)&gt;0,"P","B")</f>
        <v>B</v>
      </c>
      <c r="D36" s="59" t="str">
        <f>IF($C36="B",INDEX(Batters[[#All],[POS]],MATCH(Table5[[#This Row],[PID]],Batters[[#All],[PID]],0)),INDEX(Table3[[#All],[POS]],MATCH(Table5[[#This Row],[PID]],Table3[[#All],[PID]],0)))</f>
        <v>C</v>
      </c>
      <c r="E36" s="52" t="str">
        <f>IF($C36="B",INDEX(Batters[[#All],[First]],MATCH(Table5[[#This Row],[PID]],Batters[[#All],[PID]],0)),INDEX(Table3[[#All],[First]],MATCH(Table5[[#This Row],[PID]],Table3[[#All],[PID]],0)))</f>
        <v>Dave</v>
      </c>
      <c r="F36" s="50" t="str">
        <f>IF($C36="B",INDEX(Batters[[#All],[Last]],MATCH(A36,Batters[[#All],[PID]],0)),INDEX(Table3[[#All],[Last]],MATCH(A36,Table3[[#All],[PID]],0)))</f>
        <v>Porter</v>
      </c>
      <c r="G36" s="56">
        <f>IF($C36="B",INDEX(Batters[[#All],[Age]],MATCH(Table5[[#This Row],[PID]],Batters[[#All],[PID]],0)),INDEX(Table3[[#All],[Age]],MATCH(Table5[[#This Row],[PID]],Table3[[#All],[PID]],0)))</f>
        <v>17</v>
      </c>
      <c r="H36" s="52" t="str">
        <f>IF($C36="B",INDEX(Batters[[#All],[B]],MATCH(Table5[[#This Row],[PID]],Batters[[#All],[PID]],0)),INDEX(Table3[[#All],[B]],MATCH(Table5[[#This Row],[PID]],Table3[[#All],[PID]],0)))</f>
        <v>R</v>
      </c>
      <c r="I36" s="52" t="str">
        <f>IF($C36="B",INDEX(Batters[[#All],[T]],MATCH(Table5[[#This Row],[PID]],Batters[[#All],[PID]],0)),INDEX(Table3[[#All],[T]],MATCH(Table5[[#This Row],[PID]],Table3[[#All],[PID]],0)))</f>
        <v>R</v>
      </c>
      <c r="J36" s="52" t="str">
        <f>IF($C36="B",INDEX(Batters[[#All],[WE]],MATCH(Table5[[#This Row],[PID]],Batters[[#All],[PID]],0)),INDEX(Table3[[#All],[WE]],MATCH(Table5[[#This Row],[PID]],Table3[[#All],[PID]],0)))</f>
        <v>Normal</v>
      </c>
      <c r="K36" s="52" t="str">
        <f>IF($C36="B",INDEX(Batters[[#All],[INT]],MATCH(Table5[[#This Row],[PID]],Batters[[#All],[PID]],0)),INDEX(Table3[[#All],[INT]],MATCH(Table5[[#This Row],[PID]],Table3[[#All],[PID]],0)))</f>
        <v>Normal</v>
      </c>
      <c r="L36" s="60">
        <f>IF($C36="B",INDEX(Batters[[#All],[CON P]],MATCH(Table5[[#This Row],[PID]],Batters[[#All],[PID]],0)),INDEX(Table3[[#All],[STU P]],MATCH(Table5[[#This Row],[PID]],Table3[[#All],[PID]],0)))</f>
        <v>5</v>
      </c>
      <c r="M36" s="56">
        <f>IF($C36="B",INDEX(Batters[[#All],[GAP P]],MATCH(Table5[[#This Row],[PID]],Batters[[#All],[PID]],0)),INDEX(Table3[[#All],[MOV P]],MATCH(Table5[[#This Row],[PID]],Table3[[#All],[PID]],0)))</f>
        <v>5</v>
      </c>
      <c r="N36" s="56">
        <f>IF($C36="B",INDEX(Batters[[#All],[POW P]],MATCH(Table5[[#This Row],[PID]],Batters[[#All],[PID]],0)),INDEX(Table3[[#All],[CON P]],MATCH(Table5[[#This Row],[PID]],Table3[[#All],[PID]],0)))</f>
        <v>3</v>
      </c>
      <c r="O36" s="56">
        <f>IF($C36="B",INDEX(Batters[[#All],[EYE P]],MATCH(Table5[[#This Row],[PID]],Batters[[#All],[PID]],0)),INDEX(Table3[[#All],[VELO]],MATCH(Table5[[#This Row],[PID]],Table3[[#All],[PID]],0)))</f>
        <v>5</v>
      </c>
      <c r="P36" s="56">
        <f>IF($C36="B",INDEX(Batters[[#All],[K P]],MATCH(Table5[[#This Row],[PID]],Batters[[#All],[PID]],0)),INDEX(Table3[[#All],[STM]],MATCH(Table5[[#This Row],[PID]],Table3[[#All],[PID]],0)))</f>
        <v>5</v>
      </c>
      <c r="Q36" s="61">
        <f>IF($C36="B",INDEX(Batters[[#All],[Tot]],MATCH(Table5[[#This Row],[PID]],Batters[[#All],[PID]],0)),INDEX(Table3[[#All],[Tot]],MATCH(Table5[[#This Row],[PID]],Table3[[#All],[PID]],0)))</f>
        <v>51.955701487131279</v>
      </c>
      <c r="R36" s="52">
        <f>IF($C36="B",INDEX(Batters[[#All],[zScore]],MATCH(Table5[[#This Row],[PID]],Batters[[#All],[PID]],0)),INDEX(Table3[[#All],[zScore]],MATCH(Table5[[#This Row],[PID]],Table3[[#All],[PID]],0)))</f>
        <v>1.2753541628480443</v>
      </c>
      <c r="S36" s="58" t="str">
        <f>IF($C36="B",INDEX(Batters[[#All],[DEM]],MATCH(Table5[[#This Row],[PID]],Batters[[#All],[PID]],0)),INDEX(Table3[[#All],[DEM]],MATCH(Table5[[#This Row],[PID]],Table3[[#All],[PID]],0)))</f>
        <v>$290k</v>
      </c>
      <c r="T36" s="62">
        <f>IF($C36="B",INDEX(Batters[[#All],[Rnk]],MATCH(Table5[[#This Row],[PID]],Batters[[#All],[PID]],0)),INDEX(Table3[[#All],[Rnk]],MATCH(Table5[[#This Row],[PID]],Table3[[#All],[PID]],0)))</f>
        <v>2</v>
      </c>
      <c r="U36" s="67">
        <f>IF($C36="B",VLOOKUP($A36,Bat!$A$4:$BA$1314,47,FALSE),VLOOKUP($A36,Pit!$A$4:$BF$1214,56,FALSE))</f>
        <v>18</v>
      </c>
      <c r="V36" s="50">
        <f>IF($C36="B",VLOOKUP($A36,Bat!$A$4:$BA$1314,48,FALSE),VLOOKUP($A36,Pit!$A$4:$BF$1214,57,FALSE))</f>
        <v>18</v>
      </c>
      <c r="W36" s="68">
        <v>34</v>
      </c>
      <c r="X36" s="51">
        <f>RANK(Table5[[#This Row],[zScore]],Table5[[#All],[zScore]])</f>
        <v>102</v>
      </c>
      <c r="Y36" s="50">
        <f>IFERROR(INDEX(DraftResults[[#All],[OVR]],MATCH(Table5[[#This Row],[PID]],DraftResults[[#All],[Player ID]],0)),"")</f>
        <v>133</v>
      </c>
      <c r="Z36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4</v>
      </c>
      <c r="AA36" s="50">
        <f>IFERROR(INDEX(DraftResults[[#All],[Pick in Round]],MATCH(Table5[[#This Row],[PID]],DraftResults[[#All],[Player ID]],0)),"")</f>
        <v>28</v>
      </c>
      <c r="AB36" s="50" t="str">
        <f>IFERROR(INDEX(DraftResults[[#All],[Team Name]],MATCH(Table5[[#This Row],[PID]],DraftResults[[#All],[Player ID]],0)),"")</f>
        <v>Amsterdam Lions</v>
      </c>
      <c r="AC36" s="50">
        <f>IF(Table5[[#This Row],[Ovr]]="","",IF(Table5[[#This Row],[cmbList]]="","",Table5[[#This Row],[cmbList]]-Table5[[#This Row],[Ovr]]))</f>
        <v>-99</v>
      </c>
      <c r="AD36" s="54" t="str">
        <f>IF(ISERROR(VLOOKUP($AB36&amp;"-"&amp;$E36&amp;" "&amp;F36,Bonuses!$B$1:$G$1006,4,FALSE)),"",INT(VLOOKUP($AB36&amp;"-"&amp;$E36&amp;" "&amp;$F36,Bonuses!$B$1:$G$1006,4,FALSE)))</f>
        <v/>
      </c>
      <c r="AE36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4.28 (133) - C Dave Porter</v>
      </c>
    </row>
    <row r="37" spans="1:31" s="50" customFormat="1" x14ac:dyDescent="0.3">
      <c r="A37" s="67">
        <v>11418</v>
      </c>
      <c r="B37" s="68">
        <f>COUNTIF(Table5[PID],A37)</f>
        <v>1</v>
      </c>
      <c r="C37" s="68" t="str">
        <f>IF(COUNTIF(Table3[[#All],[PID]],A37)&gt;0,"P","B")</f>
        <v>B</v>
      </c>
      <c r="D37" s="59" t="str">
        <f>IF($C37="B",INDEX(Batters[[#All],[POS]],MATCH(Table5[[#This Row],[PID]],Batters[[#All],[PID]],0)),INDEX(Table3[[#All],[POS]],MATCH(Table5[[#This Row],[PID]],Table3[[#All],[PID]],0)))</f>
        <v>C</v>
      </c>
      <c r="E37" s="52" t="str">
        <f>IF($C37="B",INDEX(Batters[[#All],[First]],MATCH(Table5[[#This Row],[PID]],Batters[[#All],[PID]],0)),INDEX(Table3[[#All],[First]],MATCH(Table5[[#This Row],[PID]],Table3[[#All],[PID]],0)))</f>
        <v>Mathew</v>
      </c>
      <c r="F37" s="55" t="str">
        <f>IF($C37="B",INDEX(Batters[[#All],[Last]],MATCH(A37,Batters[[#All],[PID]],0)),INDEX(Table3[[#All],[Last]],MATCH(A37,Table3[[#All],[PID]],0)))</f>
        <v>Burkett</v>
      </c>
      <c r="G37" s="56">
        <f>IF($C37="B",INDEX(Batters[[#All],[Age]],MATCH(Table5[[#This Row],[PID]],Batters[[#All],[PID]],0)),INDEX(Table3[[#All],[Age]],MATCH(Table5[[#This Row],[PID]],Table3[[#All],[PID]],0)))</f>
        <v>17</v>
      </c>
      <c r="H37" s="52" t="str">
        <f>IF($C37="B",INDEX(Batters[[#All],[B]],MATCH(Table5[[#This Row],[PID]],Batters[[#All],[PID]],0)),INDEX(Table3[[#All],[B]],MATCH(Table5[[#This Row],[PID]],Table3[[#All],[PID]],0)))</f>
        <v>R</v>
      </c>
      <c r="I37" s="52" t="str">
        <f>IF($C37="B",INDEX(Batters[[#All],[T]],MATCH(Table5[[#This Row],[PID]],Batters[[#All],[PID]],0)),INDEX(Table3[[#All],[T]],MATCH(Table5[[#This Row],[PID]],Table3[[#All],[PID]],0)))</f>
        <v>R</v>
      </c>
      <c r="J37" s="69" t="str">
        <f>IF($C37="B",INDEX(Batters[[#All],[WE]],MATCH(Table5[[#This Row],[PID]],Batters[[#All],[PID]],0)),INDEX(Table3[[#All],[WE]],MATCH(Table5[[#This Row],[PID]],Table3[[#All],[PID]],0)))</f>
        <v>High</v>
      </c>
      <c r="K37" s="52" t="str">
        <f>IF($C37="B",INDEX(Batters[[#All],[INT]],MATCH(Table5[[#This Row],[PID]],Batters[[#All],[PID]],0)),INDEX(Table3[[#All],[INT]],MATCH(Table5[[#This Row],[PID]],Table3[[#All],[PID]],0)))</f>
        <v>Normal</v>
      </c>
      <c r="L37" s="60">
        <f>IF($C37="B",INDEX(Batters[[#All],[CON P]],MATCH(Table5[[#This Row],[PID]],Batters[[#All],[PID]],0)),INDEX(Table3[[#All],[STU P]],MATCH(Table5[[#This Row],[PID]],Table3[[#All],[PID]],0)))</f>
        <v>4</v>
      </c>
      <c r="M37" s="70">
        <f>IF($C37="B",INDEX(Batters[[#All],[GAP P]],MATCH(Table5[[#This Row],[PID]],Batters[[#All],[PID]],0)),INDEX(Table3[[#All],[MOV P]],MATCH(Table5[[#This Row],[PID]],Table3[[#All],[PID]],0)))</f>
        <v>6</v>
      </c>
      <c r="N37" s="70">
        <f>IF($C37="B",INDEX(Batters[[#All],[POW P]],MATCH(Table5[[#This Row],[PID]],Batters[[#All],[PID]],0)),INDEX(Table3[[#All],[CON P]],MATCH(Table5[[#This Row],[PID]],Table3[[#All],[PID]],0)))</f>
        <v>4</v>
      </c>
      <c r="O37" s="70">
        <f>IF($C37="B",INDEX(Batters[[#All],[EYE P]],MATCH(Table5[[#This Row],[PID]],Batters[[#All],[PID]],0)),INDEX(Table3[[#All],[VELO]],MATCH(Table5[[#This Row],[PID]],Table3[[#All],[PID]],0)))</f>
        <v>6</v>
      </c>
      <c r="P37" s="56">
        <f>IF($C37="B",INDEX(Batters[[#All],[K P]],MATCH(Table5[[#This Row],[PID]],Batters[[#All],[PID]],0)),INDEX(Table3[[#All],[STM]],MATCH(Table5[[#This Row],[PID]],Table3[[#All],[PID]],0)))</f>
        <v>4</v>
      </c>
      <c r="Q37" s="61">
        <f>IF($C37="B",INDEX(Batters[[#All],[Tot]],MATCH(Table5[[#This Row],[PID]],Batters[[#All],[PID]],0)),INDEX(Table3[[#All],[Tot]],MATCH(Table5[[#This Row],[PID]],Table3[[#All],[PID]],0)))</f>
        <v>49.980684294560589</v>
      </c>
      <c r="R37" s="52">
        <f>IF($C37="B",INDEX(Batters[[#All],[zScore]],MATCH(Table5[[#This Row],[PID]],Batters[[#All],[PID]],0)),INDEX(Table3[[#All],[zScore]],MATCH(Table5[[#This Row],[PID]],Table3[[#All],[PID]],0)))</f>
        <v>0.9870646367278757</v>
      </c>
      <c r="S37" s="75" t="str">
        <f>IF($C37="B",INDEX(Batters[[#All],[DEM]],MATCH(Table5[[#This Row],[PID]],Batters[[#All],[PID]],0)),INDEX(Table3[[#All],[DEM]],MATCH(Table5[[#This Row],[PID]],Table3[[#All],[PID]],0)))</f>
        <v>$190k</v>
      </c>
      <c r="T37" s="72">
        <f>IF($C37="B",INDEX(Batters[[#All],[Rnk]],MATCH(Table5[[#This Row],[PID]],Batters[[#All],[PID]],0)),INDEX(Table3[[#All],[Rnk]],MATCH(Table5[[#This Row],[PID]],Table3[[#All],[PID]],0)))</f>
        <v>3</v>
      </c>
      <c r="U37" s="67">
        <f>IF($C37="B",VLOOKUP($A37,Bat!$A$4:$BA$1314,47,FALSE),VLOOKUP($A37,Pit!$A$4:$BF$1214,56,FALSE))</f>
        <v>19</v>
      </c>
      <c r="V37" s="50">
        <f>IF($C37="B",VLOOKUP($A37,Bat!$A$4:$BA$1314,48,FALSE),VLOOKUP($A37,Pit!$A$4:$BF$1214,57,FALSE))</f>
        <v>19</v>
      </c>
      <c r="W37" s="50">
        <v>35</v>
      </c>
      <c r="X37" s="71">
        <f>RANK(Table5[[#This Row],[zScore]],Table5[[#All],[zScore]])</f>
        <v>149</v>
      </c>
      <c r="Y37" s="68">
        <f>IFERROR(INDEX(DraftResults[[#All],[OVR]],MATCH(Table5[[#This Row],[PID]],DraftResults[[#All],[Player ID]],0)),"")</f>
        <v>97</v>
      </c>
      <c r="Z37" s="7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3</v>
      </c>
      <c r="AA37" s="68">
        <f>IFERROR(INDEX(DraftResults[[#All],[Pick in Round]],MATCH(Table5[[#This Row],[PID]],DraftResults[[#All],[Player ID]],0)),"")</f>
        <v>25</v>
      </c>
      <c r="AB37" s="68" t="str">
        <f>IFERROR(INDEX(DraftResults[[#All],[Team Name]],MATCH(Table5[[#This Row],[PID]],DraftResults[[#All],[Player ID]],0)),"")</f>
        <v>Reno Zephyrs</v>
      </c>
      <c r="AC37" s="68">
        <f>IF(Table5[[#This Row],[Ovr]]="","",IF(Table5[[#This Row],[cmbList]]="","",Table5[[#This Row],[cmbList]]-Table5[[#This Row],[Ovr]]))</f>
        <v>-62</v>
      </c>
      <c r="AD37" s="74" t="str">
        <f>IF(ISERROR(VLOOKUP($AB37&amp;"-"&amp;$E37&amp;" "&amp;F37,Bonuses!$B$1:$G$1006,4,FALSE)),"",INT(VLOOKUP($AB37&amp;"-"&amp;$E37&amp;" "&amp;$F37,Bonuses!$B$1:$G$1006,4,FALSE)))</f>
        <v/>
      </c>
      <c r="AE37" s="68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3.25 (97) - C Mathew Burkett</v>
      </c>
    </row>
    <row r="38" spans="1:31" s="50" customFormat="1" x14ac:dyDescent="0.3">
      <c r="A38" s="67">
        <v>9880</v>
      </c>
      <c r="B38" s="68">
        <f>COUNTIF(Table5[PID],A38)</f>
        <v>1</v>
      </c>
      <c r="C38" s="68" t="str">
        <f>IF(COUNTIF(Table3[[#All],[PID]],A38)&gt;0,"P","B")</f>
        <v>P</v>
      </c>
      <c r="D38" s="59" t="str">
        <f>IF($C38="B",INDEX(Batters[[#All],[POS]],MATCH(Table5[[#This Row],[PID]],Batters[[#All],[PID]],0)),INDEX(Table3[[#All],[POS]],MATCH(Table5[[#This Row],[PID]],Table3[[#All],[PID]],0)))</f>
        <v>CL</v>
      </c>
      <c r="E38" s="52" t="str">
        <f>IF($C38="B",INDEX(Batters[[#All],[First]],MATCH(Table5[[#This Row],[PID]],Batters[[#All],[PID]],0)),INDEX(Table3[[#All],[First]],MATCH(Table5[[#This Row],[PID]],Table3[[#All],[PID]],0)))</f>
        <v>Don</v>
      </c>
      <c r="F38" s="55" t="str">
        <f>IF($C38="B",INDEX(Batters[[#All],[Last]],MATCH(A38,Batters[[#All],[PID]],0)),INDEX(Table3[[#All],[Last]],MATCH(A38,Table3[[#All],[PID]],0)))</f>
        <v>Darragh</v>
      </c>
      <c r="G38" s="56">
        <f>IF($C38="B",INDEX(Batters[[#All],[Age]],MATCH(Table5[[#This Row],[PID]],Batters[[#All],[PID]],0)),INDEX(Table3[[#All],[Age]],MATCH(Table5[[#This Row],[PID]],Table3[[#All],[PID]],0)))</f>
        <v>18</v>
      </c>
      <c r="H38" s="52" t="str">
        <f>IF($C38="B",INDEX(Batters[[#All],[B]],MATCH(Table5[[#This Row],[PID]],Batters[[#All],[PID]],0)),INDEX(Table3[[#All],[B]],MATCH(Table5[[#This Row],[PID]],Table3[[#All],[PID]],0)))</f>
        <v>R</v>
      </c>
      <c r="I38" s="52" t="str">
        <f>IF($C38="B",INDEX(Batters[[#All],[T]],MATCH(Table5[[#This Row],[PID]],Batters[[#All],[PID]],0)),INDEX(Table3[[#All],[T]],MATCH(Table5[[#This Row],[PID]],Table3[[#All],[PID]],0)))</f>
        <v>R</v>
      </c>
      <c r="J38" s="69" t="str">
        <f>IF($C38="B",INDEX(Batters[[#All],[WE]],MATCH(Table5[[#This Row],[PID]],Batters[[#All],[PID]],0)),INDEX(Table3[[#All],[WE]],MATCH(Table5[[#This Row],[PID]],Table3[[#All],[PID]],0)))</f>
        <v>Low</v>
      </c>
      <c r="K38" s="52" t="str">
        <f>IF($C38="B",INDEX(Batters[[#All],[INT]],MATCH(Table5[[#This Row],[PID]],Batters[[#All],[PID]],0)),INDEX(Table3[[#All],[INT]],MATCH(Table5[[#This Row],[PID]],Table3[[#All],[PID]],0)))</f>
        <v>Low</v>
      </c>
      <c r="L38" s="60">
        <f>IF($C38="B",INDEX(Batters[[#All],[CON P]],MATCH(Table5[[#This Row],[PID]],Batters[[#All],[PID]],0)),INDEX(Table3[[#All],[STU P]],MATCH(Table5[[#This Row],[PID]],Table3[[#All],[PID]],0)))</f>
        <v>9</v>
      </c>
      <c r="M38" s="70">
        <f>IF($C38="B",INDEX(Batters[[#All],[GAP P]],MATCH(Table5[[#This Row],[PID]],Batters[[#All],[PID]],0)),INDEX(Table3[[#All],[MOV P]],MATCH(Table5[[#This Row],[PID]],Table3[[#All],[PID]],0)))</f>
        <v>5</v>
      </c>
      <c r="N38" s="70">
        <f>IF($C38="B",INDEX(Batters[[#All],[POW P]],MATCH(Table5[[#This Row],[PID]],Batters[[#All],[PID]],0)),INDEX(Table3[[#All],[CON P]],MATCH(Table5[[#This Row],[PID]],Table3[[#All],[PID]],0)))</f>
        <v>7</v>
      </c>
      <c r="O38" s="70" t="str">
        <f>IF($C38="B",INDEX(Batters[[#All],[EYE P]],MATCH(Table5[[#This Row],[PID]],Batters[[#All],[PID]],0)),INDEX(Table3[[#All],[VELO]],MATCH(Table5[[#This Row],[PID]],Table3[[#All],[PID]],0)))</f>
        <v>98-100 Mph</v>
      </c>
      <c r="P38" s="56">
        <f>IF($C38="B",INDEX(Batters[[#All],[K P]],MATCH(Table5[[#This Row],[PID]],Batters[[#All],[PID]],0)),INDEX(Table3[[#All],[STM]],MATCH(Table5[[#This Row],[PID]],Table3[[#All],[PID]],0)))</f>
        <v>10</v>
      </c>
      <c r="Q38" s="61">
        <f>IF($C38="B",INDEX(Batters[[#All],[Tot]],MATCH(Table5[[#This Row],[PID]],Batters[[#All],[PID]],0)),INDEX(Table3[[#All],[Tot]],MATCH(Table5[[#This Row],[PID]],Table3[[#All],[PID]],0)))</f>
        <v>88.450668032336807</v>
      </c>
      <c r="R38" s="52">
        <f>IF($C38="B",INDEX(Batters[[#All],[zScore]],MATCH(Table5[[#This Row],[PID]],Batters[[#All],[PID]],0)),INDEX(Table3[[#All],[zScore]],MATCH(Table5[[#This Row],[PID]],Table3[[#All],[PID]],0)))</f>
        <v>3.6064998850255843</v>
      </c>
      <c r="S38" s="75" t="str">
        <f>IF($C38="B",INDEX(Batters[[#All],[DEM]],MATCH(Table5[[#This Row],[PID]],Batters[[#All],[PID]],0)),INDEX(Table3[[#All],[DEM]],MATCH(Table5[[#This Row],[PID]],Table3[[#All],[PID]],0)))</f>
        <v>$700k</v>
      </c>
      <c r="T38" s="72">
        <f>IF($C38="B",INDEX(Batters[[#All],[Rnk]],MATCH(Table5[[#This Row],[PID]],Batters[[#All],[PID]],0)),INDEX(Table3[[#All],[Rnk]],MATCH(Table5[[#This Row],[PID]],Table3[[#All],[PID]],0)))</f>
        <v>11</v>
      </c>
      <c r="U38" s="67">
        <f>IF($C38="B",VLOOKUP($A38,Bat!$A$4:$BA$1314,47,FALSE),VLOOKUP($A38,Pit!$A$4:$BF$1214,56,FALSE))</f>
        <v>17</v>
      </c>
      <c r="V38" s="50">
        <f>IF($C38="B",VLOOKUP($A38,Bat!$A$4:$BA$1314,48,FALSE),VLOOKUP($A38,Pit!$A$4:$BF$1214,57,FALSE))</f>
        <v>0</v>
      </c>
      <c r="W38" s="68">
        <v>36</v>
      </c>
      <c r="X38" s="71">
        <f>RANK(Table5[[#This Row],[zScore]],Table5[[#All],[zScore]])</f>
        <v>3</v>
      </c>
      <c r="Y38" s="68">
        <f>IFERROR(INDEX(DraftResults[[#All],[OVR]],MATCH(Table5[[#This Row],[PID]],DraftResults[[#All],[Player ID]],0)),"")</f>
        <v>23</v>
      </c>
      <c r="Z38" s="7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1</v>
      </c>
      <c r="AA38" s="68">
        <f>IFERROR(INDEX(DraftResults[[#All],[Pick in Round]],MATCH(Table5[[#This Row],[PID]],DraftResults[[#All],[Player ID]],0)),"")</f>
        <v>23</v>
      </c>
      <c r="AB38" s="68" t="str">
        <f>IFERROR(INDEX(DraftResults[[#All],[Team Name]],MATCH(Table5[[#This Row],[PID]],DraftResults[[#All],[Player ID]],0)),"")</f>
        <v>Bakersfield Bears</v>
      </c>
      <c r="AC38" s="68">
        <f>IF(Table5[[#This Row],[Ovr]]="","",IF(Table5[[#This Row],[cmbList]]="","",Table5[[#This Row],[cmbList]]-Table5[[#This Row],[Ovr]]))</f>
        <v>13</v>
      </c>
      <c r="AD38" s="74" t="str">
        <f>IF(ISERROR(VLOOKUP($AB38&amp;"-"&amp;$E38&amp;" "&amp;F38,Bonuses!$B$1:$G$1006,4,FALSE)),"",INT(VLOOKUP($AB38&amp;"-"&amp;$E38&amp;" "&amp;$F38,Bonuses!$B$1:$G$1006,4,FALSE)))</f>
        <v/>
      </c>
      <c r="AE38" s="68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1.23 (23) - CL Don Darragh</v>
      </c>
    </row>
    <row r="39" spans="1:31" s="50" customFormat="1" x14ac:dyDescent="0.3">
      <c r="A39" s="50">
        <v>20950</v>
      </c>
      <c r="B39" s="50">
        <f>COUNTIF(Table5[PID],A39)</f>
        <v>1</v>
      </c>
      <c r="C39" s="50" t="str">
        <f>IF(COUNTIF(Table3[[#All],[PID]],A39)&gt;0,"P","B")</f>
        <v>P</v>
      </c>
      <c r="D39" s="59" t="str">
        <f>IF($C39="B",INDEX(Batters[[#All],[POS]],MATCH(Table5[[#This Row],[PID]],Batters[[#All],[PID]],0)),INDEX(Table3[[#All],[POS]],MATCH(Table5[[#This Row],[PID]],Table3[[#All],[PID]],0)))</f>
        <v>SP</v>
      </c>
      <c r="E39" s="52" t="str">
        <f>IF($C39="B",INDEX(Batters[[#All],[First]],MATCH(Table5[[#This Row],[PID]],Batters[[#All],[PID]],0)),INDEX(Table3[[#All],[First]],MATCH(Table5[[#This Row],[PID]],Table3[[#All],[PID]],0)))</f>
        <v>León</v>
      </c>
      <c r="F39" s="50" t="str">
        <f>IF($C39="B",INDEX(Batters[[#All],[Last]],MATCH(A39,Batters[[#All],[PID]],0)),INDEX(Table3[[#All],[Last]],MATCH(A39,Table3[[#All],[PID]],0)))</f>
        <v>Pérez</v>
      </c>
      <c r="G39" s="56">
        <f>IF($C39="B",INDEX(Batters[[#All],[Age]],MATCH(Table5[[#This Row],[PID]],Batters[[#All],[PID]],0)),INDEX(Table3[[#All],[Age]],MATCH(Table5[[#This Row],[PID]],Table3[[#All],[PID]],0)))</f>
        <v>17</v>
      </c>
      <c r="H39" s="52" t="str">
        <f>IF($C39="B",INDEX(Batters[[#All],[B]],MATCH(Table5[[#This Row],[PID]],Batters[[#All],[PID]],0)),INDEX(Table3[[#All],[B]],MATCH(Table5[[#This Row],[PID]],Table3[[#All],[PID]],0)))</f>
        <v>L</v>
      </c>
      <c r="I39" s="52" t="str">
        <f>IF($C39="B",INDEX(Batters[[#All],[T]],MATCH(Table5[[#This Row],[PID]],Batters[[#All],[PID]],0)),INDEX(Table3[[#All],[T]],MATCH(Table5[[#This Row],[PID]],Table3[[#All],[PID]],0)))</f>
        <v>L</v>
      </c>
      <c r="J39" s="52" t="str">
        <f>IF($C39="B",INDEX(Batters[[#All],[WE]],MATCH(Table5[[#This Row],[PID]],Batters[[#All],[PID]],0)),INDEX(Table3[[#All],[WE]],MATCH(Table5[[#This Row],[PID]],Table3[[#All],[PID]],0)))</f>
        <v>High</v>
      </c>
      <c r="K39" s="52" t="str">
        <f>IF($C39="B",INDEX(Batters[[#All],[INT]],MATCH(Table5[[#This Row],[PID]],Batters[[#All],[PID]],0)),INDEX(Table3[[#All],[INT]],MATCH(Table5[[#This Row],[PID]],Table3[[#All],[PID]],0)))</f>
        <v>Normal</v>
      </c>
      <c r="L39" s="60">
        <f>IF($C39="B",INDEX(Batters[[#All],[CON P]],MATCH(Table5[[#This Row],[PID]],Batters[[#All],[PID]],0)),INDEX(Table3[[#All],[STU P]],MATCH(Table5[[#This Row],[PID]],Table3[[#All],[PID]],0)))</f>
        <v>5</v>
      </c>
      <c r="M39" s="56">
        <f>IF($C39="B",INDEX(Batters[[#All],[GAP P]],MATCH(Table5[[#This Row],[PID]],Batters[[#All],[PID]],0)),INDEX(Table3[[#All],[MOV P]],MATCH(Table5[[#This Row],[PID]],Table3[[#All],[PID]],0)))</f>
        <v>6</v>
      </c>
      <c r="N39" s="56">
        <f>IF($C39="B",INDEX(Batters[[#All],[POW P]],MATCH(Table5[[#This Row],[PID]],Batters[[#All],[PID]],0)),INDEX(Table3[[#All],[CON P]],MATCH(Table5[[#This Row],[PID]],Table3[[#All],[PID]],0)))</f>
        <v>6</v>
      </c>
      <c r="O39" s="56" t="str">
        <f>IF($C39="B",INDEX(Batters[[#All],[EYE P]],MATCH(Table5[[#This Row],[PID]],Batters[[#All],[PID]],0)),INDEX(Table3[[#All],[VELO]],MATCH(Table5[[#This Row],[PID]],Table3[[#All],[PID]],0)))</f>
        <v>90-92 Mph</v>
      </c>
      <c r="P39" s="56">
        <f>IF($C39="B",INDEX(Batters[[#All],[K P]],MATCH(Table5[[#This Row],[PID]],Batters[[#All],[PID]],0)),INDEX(Table3[[#All],[STM]],MATCH(Table5[[#This Row],[PID]],Table3[[#All],[PID]],0)))</f>
        <v>6</v>
      </c>
      <c r="Q39" s="61">
        <f>IF($C39="B",INDEX(Batters[[#All],[Tot]],MATCH(Table5[[#This Row],[PID]],Batters[[#All],[PID]],0)),INDEX(Table3[[#All],[Tot]],MATCH(Table5[[#This Row],[PID]],Table3[[#All],[PID]],0)))</f>
        <v>70.928372114590317</v>
      </c>
      <c r="R39" s="52">
        <f>IF($C39="B",INDEX(Batters[[#All],[zScore]],MATCH(Table5[[#This Row],[PID]],Batters[[#All],[PID]],0)),INDEX(Table3[[#All],[zScore]],MATCH(Table5[[#This Row],[PID]],Table3[[#All],[PID]],0)))</f>
        <v>2.3587891836006052</v>
      </c>
      <c r="S39" s="58" t="str">
        <f>IF($C39="B",INDEX(Batters[[#All],[DEM]],MATCH(Table5[[#This Row],[PID]],Batters[[#All],[PID]],0)),INDEX(Table3[[#All],[DEM]],MATCH(Table5[[#This Row],[PID]],Table3[[#All],[PID]],0)))</f>
        <v>$2.8m</v>
      </c>
      <c r="T39" s="62">
        <f>IF($C39="B",INDEX(Batters[[#All],[Rnk]],MATCH(Table5[[#This Row],[PID]],Batters[[#All],[PID]],0)),INDEX(Table3[[#All],[Rnk]],MATCH(Table5[[#This Row],[PID]],Table3[[#All],[PID]],0)))</f>
        <v>12</v>
      </c>
      <c r="U39" s="67">
        <f>IF($C39="B",VLOOKUP($A39,Bat!$A$4:$BA$1314,47,FALSE),VLOOKUP($A39,Pit!$A$4:$BF$1214,56,FALSE))</f>
        <v>18</v>
      </c>
      <c r="V39" s="50">
        <f>IF($C39="B",VLOOKUP($A39,Bat!$A$4:$BA$1314,48,FALSE),VLOOKUP($A39,Pit!$A$4:$BF$1214,57,FALSE))</f>
        <v>0</v>
      </c>
      <c r="W39" s="50">
        <v>37</v>
      </c>
      <c r="X39" s="51">
        <f>RANK(Table5[[#This Row],[zScore]],Table5[[#All],[zScore]])</f>
        <v>27</v>
      </c>
      <c r="Y39" s="50">
        <f>IFERROR(INDEX(DraftResults[[#All],[OVR]],MATCH(Table5[[#This Row],[PID]],DraftResults[[#All],[Player ID]],0)),"")</f>
        <v>42</v>
      </c>
      <c r="Z39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2</v>
      </c>
      <c r="AA39" s="50">
        <f>IFERROR(INDEX(DraftResults[[#All],[Pick in Round]],MATCH(Table5[[#This Row],[PID]],DraftResults[[#All],[Player ID]],0)),"")</f>
        <v>6</v>
      </c>
      <c r="AB39" s="50" t="str">
        <f>IFERROR(INDEX(DraftResults[[#All],[Team Name]],MATCH(Table5[[#This Row],[PID]],DraftResults[[#All],[Player ID]],0)),"")</f>
        <v>New Orleans Trendsetters</v>
      </c>
      <c r="AC39" s="50">
        <f>IF(Table5[[#This Row],[Ovr]]="","",IF(Table5[[#This Row],[cmbList]]="","",Table5[[#This Row],[cmbList]]-Table5[[#This Row],[Ovr]]))</f>
        <v>-5</v>
      </c>
      <c r="AD39" s="54" t="str">
        <f>IF(ISERROR(VLOOKUP($AB39&amp;"-"&amp;$E39&amp;" "&amp;F39,Bonuses!$B$1:$G$1006,4,FALSE)),"",INT(VLOOKUP($AB39&amp;"-"&amp;$E39&amp;" "&amp;$F39,Bonuses!$B$1:$G$1006,4,FALSE)))</f>
        <v/>
      </c>
      <c r="AE39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2.6 (42) - SP León Pérez</v>
      </c>
    </row>
    <row r="40" spans="1:31" s="50" customFormat="1" x14ac:dyDescent="0.3">
      <c r="A40" s="67">
        <v>20532</v>
      </c>
      <c r="B40" s="68">
        <f>COUNTIF(Table5[PID],A40)</f>
        <v>1</v>
      </c>
      <c r="C40" s="68" t="str">
        <f>IF(COUNTIF(Table3[[#All],[PID]],A40)&gt;0,"P","B")</f>
        <v>P</v>
      </c>
      <c r="D40" s="59" t="str">
        <f>IF($C40="B",INDEX(Batters[[#All],[POS]],MATCH(Table5[[#This Row],[PID]],Batters[[#All],[PID]],0)),INDEX(Table3[[#All],[POS]],MATCH(Table5[[#This Row],[PID]],Table3[[#All],[PID]],0)))</f>
        <v>CL</v>
      </c>
      <c r="E40" s="52" t="str">
        <f>IF($C40="B",INDEX(Batters[[#All],[First]],MATCH(Table5[[#This Row],[PID]],Batters[[#All],[PID]],0)),INDEX(Table3[[#All],[First]],MATCH(Table5[[#This Row],[PID]],Table3[[#All],[PID]],0)))</f>
        <v>Vince</v>
      </c>
      <c r="F40" s="55" t="str">
        <f>IF($C40="B",INDEX(Batters[[#All],[Last]],MATCH(A40,Batters[[#All],[PID]],0)),INDEX(Table3[[#All],[Last]],MATCH(A40,Table3[[#All],[PID]],0)))</f>
        <v>Rayner</v>
      </c>
      <c r="G40" s="56">
        <f>IF($C40="B",INDEX(Batters[[#All],[Age]],MATCH(Table5[[#This Row],[PID]],Batters[[#All],[PID]],0)),INDEX(Table3[[#All],[Age]],MATCH(Table5[[#This Row],[PID]],Table3[[#All],[PID]],0)))</f>
        <v>17</v>
      </c>
      <c r="H40" s="52" t="str">
        <f>IF($C40="B",INDEX(Batters[[#All],[B]],MATCH(Table5[[#This Row],[PID]],Batters[[#All],[PID]],0)),INDEX(Table3[[#All],[B]],MATCH(Table5[[#This Row],[PID]],Table3[[#All],[PID]],0)))</f>
        <v>R</v>
      </c>
      <c r="I40" s="52" t="str">
        <f>IF($C40="B",INDEX(Batters[[#All],[T]],MATCH(Table5[[#This Row],[PID]],Batters[[#All],[PID]],0)),INDEX(Table3[[#All],[T]],MATCH(Table5[[#This Row],[PID]],Table3[[#All],[PID]],0)))</f>
        <v>R</v>
      </c>
      <c r="J40" s="69" t="str">
        <f>IF($C40="B",INDEX(Batters[[#All],[WE]],MATCH(Table5[[#This Row],[PID]],Batters[[#All],[PID]],0)),INDEX(Table3[[#All],[WE]],MATCH(Table5[[#This Row],[PID]],Table3[[#All],[PID]],0)))</f>
        <v>Normal</v>
      </c>
      <c r="K40" s="52" t="str">
        <f>IF($C40="B",INDEX(Batters[[#All],[INT]],MATCH(Table5[[#This Row],[PID]],Batters[[#All],[PID]],0)),INDEX(Table3[[#All],[INT]],MATCH(Table5[[#This Row],[PID]],Table3[[#All],[PID]],0)))</f>
        <v>Low</v>
      </c>
      <c r="L40" s="60">
        <f>IF($C40="B",INDEX(Batters[[#All],[CON P]],MATCH(Table5[[#This Row],[PID]],Batters[[#All],[PID]],0)),INDEX(Table3[[#All],[STU P]],MATCH(Table5[[#This Row],[PID]],Table3[[#All],[PID]],0)))</f>
        <v>7</v>
      </c>
      <c r="M40" s="70">
        <f>IF($C40="B",INDEX(Batters[[#All],[GAP P]],MATCH(Table5[[#This Row],[PID]],Batters[[#All],[PID]],0)),INDEX(Table3[[#All],[MOV P]],MATCH(Table5[[#This Row],[PID]],Table3[[#All],[PID]],0)))</f>
        <v>5</v>
      </c>
      <c r="N40" s="70">
        <f>IF($C40="B",INDEX(Batters[[#All],[POW P]],MATCH(Table5[[#This Row],[PID]],Batters[[#All],[PID]],0)),INDEX(Table3[[#All],[CON P]],MATCH(Table5[[#This Row],[PID]],Table3[[#All],[PID]],0)))</f>
        <v>5</v>
      </c>
      <c r="O40" s="70" t="str">
        <f>IF($C40="B",INDEX(Batters[[#All],[EYE P]],MATCH(Table5[[#This Row],[PID]],Batters[[#All],[PID]],0)),INDEX(Table3[[#All],[VELO]],MATCH(Table5[[#This Row],[PID]],Table3[[#All],[PID]],0)))</f>
        <v>96-98 Mph</v>
      </c>
      <c r="P40" s="56">
        <f>IF($C40="B",INDEX(Batters[[#All],[K P]],MATCH(Table5[[#This Row],[PID]],Batters[[#All],[PID]],0)),INDEX(Table3[[#All],[STM]],MATCH(Table5[[#This Row],[PID]],Table3[[#All],[PID]],0)))</f>
        <v>3</v>
      </c>
      <c r="Q40" s="61">
        <f>IF($C40="B",INDEX(Batters[[#All],[Tot]],MATCH(Table5[[#This Row],[PID]],Batters[[#All],[PID]],0)),INDEX(Table3[[#All],[Tot]],MATCH(Table5[[#This Row],[PID]],Table3[[#All],[PID]],0)))</f>
        <v>67.91930822869088</v>
      </c>
      <c r="R40" s="52">
        <f>IF($C40="B",INDEX(Batters[[#All],[zScore]],MATCH(Table5[[#This Row],[PID]],Batters[[#All],[PID]],0)),INDEX(Table3[[#All],[zScore]],MATCH(Table5[[#This Row],[PID]],Table3[[#All],[PID]],0)))</f>
        <v>2.1445226725604805</v>
      </c>
      <c r="S40" s="75" t="str">
        <f>IF($C40="B",INDEX(Batters[[#All],[DEM]],MATCH(Table5[[#This Row],[PID]],Batters[[#All],[PID]],0)),INDEX(Table3[[#All],[DEM]],MATCH(Table5[[#This Row],[PID]],Table3[[#All],[PID]],0)))</f>
        <v>$190k</v>
      </c>
      <c r="T40" s="72">
        <f>IF($C40="B",INDEX(Batters[[#All],[Rnk]],MATCH(Table5[[#This Row],[PID]],Batters[[#All],[PID]],0)),INDEX(Table3[[#All],[Rnk]],MATCH(Table5[[#This Row],[PID]],Table3[[#All],[PID]],0)))</f>
        <v>7</v>
      </c>
      <c r="U40" s="67">
        <f>IF($C40="B",VLOOKUP($A40,Bat!$A$4:$BA$1314,47,FALSE),VLOOKUP($A40,Pit!$A$4:$BF$1214,56,FALSE))</f>
        <v>19</v>
      </c>
      <c r="V40" s="50">
        <f>IF($C40="B",VLOOKUP($A40,Bat!$A$4:$BA$1314,48,FALSE),VLOOKUP($A40,Pit!$A$4:$BF$1214,57,FALSE))</f>
        <v>0</v>
      </c>
      <c r="W40" s="68">
        <v>38</v>
      </c>
      <c r="X40" s="71">
        <f>RANK(Table5[[#This Row],[zScore]],Table5[[#All],[zScore]])</f>
        <v>35</v>
      </c>
      <c r="Y40" s="68">
        <f>IFERROR(INDEX(DraftResults[[#All],[OVR]],MATCH(Table5[[#This Row],[PID]],DraftResults[[#All],[Player ID]],0)),"")</f>
        <v>48</v>
      </c>
      <c r="Z40" s="7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2</v>
      </c>
      <c r="AA40" s="68">
        <f>IFERROR(INDEX(DraftResults[[#All],[Pick in Round]],MATCH(Table5[[#This Row],[PID]],DraftResults[[#All],[Player ID]],0)),"")</f>
        <v>12</v>
      </c>
      <c r="AB40" s="68" t="str">
        <f>IFERROR(INDEX(DraftResults[[#All],[Team Name]],MATCH(Table5[[#This Row],[PID]],DraftResults[[#All],[Player ID]],0)),"")</f>
        <v>Aurora Borealis</v>
      </c>
      <c r="AC40" s="68">
        <f>IF(Table5[[#This Row],[Ovr]]="","",IF(Table5[[#This Row],[cmbList]]="","",Table5[[#This Row],[cmbList]]-Table5[[#This Row],[Ovr]]))</f>
        <v>-10</v>
      </c>
      <c r="AD40" s="74" t="str">
        <f>IF(ISERROR(VLOOKUP($AB40&amp;"-"&amp;$E40&amp;" "&amp;F40,Bonuses!$B$1:$G$1006,4,FALSE)),"",INT(VLOOKUP($AB40&amp;"-"&amp;$E40&amp;" "&amp;$F40,Bonuses!$B$1:$G$1006,4,FALSE)))</f>
        <v/>
      </c>
      <c r="AE40" s="68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2.12 (48) - CL Vince Rayner</v>
      </c>
    </row>
    <row r="41" spans="1:31" s="50" customFormat="1" x14ac:dyDescent="0.3">
      <c r="A41" s="50">
        <v>11270</v>
      </c>
      <c r="B41" s="50">
        <f>COUNTIF(Table5[PID],A41)</f>
        <v>1</v>
      </c>
      <c r="C41" s="50" t="str">
        <f>IF(COUNTIF(Table3[[#All],[PID]],A41)&gt;0,"P","B")</f>
        <v>B</v>
      </c>
      <c r="D41" s="59" t="str">
        <f>IF($C41="B",INDEX(Batters[[#All],[POS]],MATCH(Table5[[#This Row],[PID]],Batters[[#All],[PID]],0)),INDEX(Table3[[#All],[POS]],MATCH(Table5[[#This Row],[PID]],Table3[[#All],[PID]],0)))</f>
        <v>LF</v>
      </c>
      <c r="E41" s="52" t="str">
        <f>IF($C41="B",INDEX(Batters[[#All],[First]],MATCH(Table5[[#This Row],[PID]],Batters[[#All],[PID]],0)),INDEX(Table3[[#All],[First]],MATCH(Table5[[#This Row],[PID]],Table3[[#All],[PID]],0)))</f>
        <v>Dave</v>
      </c>
      <c r="F41" s="50" t="str">
        <f>IF($C41="B",INDEX(Batters[[#All],[Last]],MATCH(A41,Batters[[#All],[PID]],0)),INDEX(Table3[[#All],[Last]],MATCH(A41,Table3[[#All],[PID]],0)))</f>
        <v>Hall</v>
      </c>
      <c r="G41" s="56">
        <f>IF($C41="B",INDEX(Batters[[#All],[Age]],MATCH(Table5[[#This Row],[PID]],Batters[[#All],[PID]],0)),INDEX(Table3[[#All],[Age]],MATCH(Table5[[#This Row],[PID]],Table3[[#All],[PID]],0)))</f>
        <v>17</v>
      </c>
      <c r="H41" s="52" t="str">
        <f>IF($C41="B",INDEX(Batters[[#All],[B]],MATCH(Table5[[#This Row],[PID]],Batters[[#All],[PID]],0)),INDEX(Table3[[#All],[B]],MATCH(Table5[[#This Row],[PID]],Table3[[#All],[PID]],0)))</f>
        <v>L</v>
      </c>
      <c r="I41" s="52" t="str">
        <f>IF($C41="B",INDEX(Batters[[#All],[T]],MATCH(Table5[[#This Row],[PID]],Batters[[#All],[PID]],0)),INDEX(Table3[[#All],[T]],MATCH(Table5[[#This Row],[PID]],Table3[[#All],[PID]],0)))</f>
        <v>L</v>
      </c>
      <c r="J41" s="52" t="str">
        <f>IF($C41="B",INDEX(Batters[[#All],[WE]],MATCH(Table5[[#This Row],[PID]],Batters[[#All],[PID]],0)),INDEX(Table3[[#All],[WE]],MATCH(Table5[[#This Row],[PID]],Table3[[#All],[PID]],0)))</f>
        <v>Normal</v>
      </c>
      <c r="K41" s="52" t="str">
        <f>IF($C41="B",INDEX(Batters[[#All],[INT]],MATCH(Table5[[#This Row],[PID]],Batters[[#All],[PID]],0)),INDEX(Table3[[#All],[INT]],MATCH(Table5[[#This Row],[PID]],Table3[[#All],[PID]],0)))</f>
        <v>Normal</v>
      </c>
      <c r="L41" s="60">
        <f>IF($C41="B",INDEX(Batters[[#All],[CON P]],MATCH(Table5[[#This Row],[PID]],Batters[[#All],[PID]],0)),INDEX(Table3[[#All],[STU P]],MATCH(Table5[[#This Row],[PID]],Table3[[#All],[PID]],0)))</f>
        <v>5</v>
      </c>
      <c r="M41" s="56">
        <f>IF($C41="B",INDEX(Batters[[#All],[GAP P]],MATCH(Table5[[#This Row],[PID]],Batters[[#All],[PID]],0)),INDEX(Table3[[#All],[MOV P]],MATCH(Table5[[#This Row],[PID]],Table3[[#All],[PID]],0)))</f>
        <v>6</v>
      </c>
      <c r="N41" s="56">
        <f>IF($C41="B",INDEX(Batters[[#All],[POW P]],MATCH(Table5[[#This Row],[PID]],Batters[[#All],[PID]],0)),INDEX(Table3[[#All],[CON P]],MATCH(Table5[[#This Row],[PID]],Table3[[#All],[PID]],0)))</f>
        <v>4</v>
      </c>
      <c r="O41" s="56">
        <f>IF($C41="B",INDEX(Batters[[#All],[EYE P]],MATCH(Table5[[#This Row],[PID]],Batters[[#All],[PID]],0)),INDEX(Table3[[#All],[VELO]],MATCH(Table5[[#This Row],[PID]],Table3[[#All],[PID]],0)))</f>
        <v>4</v>
      </c>
      <c r="P41" s="56">
        <f>IF($C41="B",INDEX(Batters[[#All],[K P]],MATCH(Table5[[#This Row],[PID]],Batters[[#All],[PID]],0)),INDEX(Table3[[#All],[STM]],MATCH(Table5[[#This Row],[PID]],Table3[[#All],[PID]],0)))</f>
        <v>7</v>
      </c>
      <c r="Q41" s="61">
        <f>IF($C41="B",INDEX(Batters[[#All],[Tot]],MATCH(Table5[[#This Row],[PID]],Batters[[#All],[PID]],0)),INDEX(Table3[[#All],[Tot]],MATCH(Table5[[#This Row],[PID]],Table3[[#All],[PID]],0)))</f>
        <v>52.498401999864839</v>
      </c>
      <c r="R41" s="52">
        <f>IF($C41="B",INDEX(Batters[[#All],[zScore]],MATCH(Table5[[#This Row],[PID]],Batters[[#All],[PID]],0)),INDEX(Table3[[#All],[zScore]],MATCH(Table5[[#This Row],[PID]],Table3[[#All],[PID]],0)))</f>
        <v>1.3545711307963022</v>
      </c>
      <c r="S41" s="58" t="str">
        <f>IF($C41="B",INDEX(Batters[[#All],[DEM]],MATCH(Table5[[#This Row],[PID]],Batters[[#All],[PID]],0)),INDEX(Table3[[#All],[DEM]],MATCH(Table5[[#This Row],[PID]],Table3[[#All],[PID]],0)))</f>
        <v>$200k</v>
      </c>
      <c r="T41" s="62">
        <f>IF($C41="B",INDEX(Batters[[#All],[Rnk]],MATCH(Table5[[#This Row],[PID]],Batters[[#All],[PID]],0)),INDEX(Table3[[#All],[Rnk]],MATCH(Table5[[#This Row],[PID]],Table3[[#All],[PID]],0)))</f>
        <v>2</v>
      </c>
      <c r="U41" s="67">
        <f>IF($C41="B",VLOOKUP($A41,Bat!$A$4:$BA$1314,47,FALSE),VLOOKUP($A41,Pit!$A$4:$BF$1214,56,FALSE))</f>
        <v>20</v>
      </c>
      <c r="V41" s="50">
        <f>IF($C41="B",VLOOKUP($A41,Bat!$A$4:$BA$1314,48,FALSE),VLOOKUP($A41,Pit!$A$4:$BF$1214,57,FALSE))</f>
        <v>20</v>
      </c>
      <c r="W41" s="50">
        <v>39</v>
      </c>
      <c r="X41" s="51">
        <f>RANK(Table5[[#This Row],[zScore]],Table5[[#All],[zScore]])</f>
        <v>90</v>
      </c>
      <c r="Y41" s="50">
        <f>IFERROR(INDEX(DraftResults[[#All],[OVR]],MATCH(Table5[[#This Row],[PID]],DraftResults[[#All],[Player ID]],0)),"")</f>
        <v>190</v>
      </c>
      <c r="Z41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6</v>
      </c>
      <c r="AA41" s="50">
        <f>IFERROR(INDEX(DraftResults[[#All],[Pick in Round]],MATCH(Table5[[#This Row],[PID]],DraftResults[[#All],[Player ID]],0)),"")</f>
        <v>21</v>
      </c>
      <c r="AB41" s="50" t="str">
        <f>IFERROR(INDEX(DraftResults[[#All],[Team Name]],MATCH(Table5[[#This Row],[PID]],DraftResults[[#All],[Player ID]],0)),"")</f>
        <v>Neo-Tokyo Akira</v>
      </c>
      <c r="AC41" s="50">
        <f>IF(Table5[[#This Row],[Ovr]]="","",IF(Table5[[#This Row],[cmbList]]="","",Table5[[#This Row],[cmbList]]-Table5[[#This Row],[Ovr]]))</f>
        <v>-151</v>
      </c>
      <c r="AD41" s="54" t="str">
        <f>IF(ISERROR(VLOOKUP($AB41&amp;"-"&amp;$E41&amp;" "&amp;F41,Bonuses!$B$1:$G$1006,4,FALSE)),"",INT(VLOOKUP($AB41&amp;"-"&amp;$E41&amp;" "&amp;$F41,Bonuses!$B$1:$G$1006,4,FALSE)))</f>
        <v/>
      </c>
      <c r="AE41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6.21 (190) - LF Dave Hall</v>
      </c>
    </row>
    <row r="42" spans="1:31" s="50" customFormat="1" x14ac:dyDescent="0.3">
      <c r="A42" s="50">
        <v>13239</v>
      </c>
      <c r="B42" s="50">
        <f>COUNTIF(Table5[PID],A42)</f>
        <v>1</v>
      </c>
      <c r="C42" s="50" t="str">
        <f>IF(COUNTIF(Table3[[#All],[PID]],A42)&gt;0,"P","B")</f>
        <v>B</v>
      </c>
      <c r="D42" s="59" t="str">
        <f>IF($C42="B",INDEX(Batters[[#All],[POS]],MATCH(Table5[[#This Row],[PID]],Batters[[#All],[PID]],0)),INDEX(Table3[[#All],[POS]],MATCH(Table5[[#This Row],[PID]],Table3[[#All],[PID]],0)))</f>
        <v>RF</v>
      </c>
      <c r="E42" s="52" t="str">
        <f>IF($C42="B",INDEX(Batters[[#All],[First]],MATCH(Table5[[#This Row],[PID]],Batters[[#All],[PID]],0)),INDEX(Table3[[#All],[First]],MATCH(Table5[[#This Row],[PID]],Table3[[#All],[PID]],0)))</f>
        <v>Kazu</v>
      </c>
      <c r="F42" s="50" t="str">
        <f>IF($C42="B",INDEX(Batters[[#All],[Last]],MATCH(A42,Batters[[#All],[PID]],0)),INDEX(Table3[[#All],[Last]],MATCH(A42,Table3[[#All],[PID]],0)))</f>
        <v>Morimoto</v>
      </c>
      <c r="G42" s="56">
        <f>IF($C42="B",INDEX(Batters[[#All],[Age]],MATCH(Table5[[#This Row],[PID]],Batters[[#All],[PID]],0)),INDEX(Table3[[#All],[Age]],MATCH(Table5[[#This Row],[PID]],Table3[[#All],[PID]],0)))</f>
        <v>17</v>
      </c>
      <c r="H42" s="52" t="str">
        <f>IF($C42="B",INDEX(Batters[[#All],[B]],MATCH(Table5[[#This Row],[PID]],Batters[[#All],[PID]],0)),INDEX(Table3[[#All],[B]],MATCH(Table5[[#This Row],[PID]],Table3[[#All],[PID]],0)))</f>
        <v>R</v>
      </c>
      <c r="I42" s="52" t="str">
        <f>IF($C42="B",INDEX(Batters[[#All],[T]],MATCH(Table5[[#This Row],[PID]],Batters[[#All],[PID]],0)),INDEX(Table3[[#All],[T]],MATCH(Table5[[#This Row],[PID]],Table3[[#All],[PID]],0)))</f>
        <v>L</v>
      </c>
      <c r="J42" s="52" t="str">
        <f>IF($C42="B",INDEX(Batters[[#All],[WE]],MATCH(Table5[[#This Row],[PID]],Batters[[#All],[PID]],0)),INDEX(Table3[[#All],[WE]],MATCH(Table5[[#This Row],[PID]],Table3[[#All],[PID]],0)))</f>
        <v>High</v>
      </c>
      <c r="K42" s="52" t="str">
        <f>IF($C42="B",INDEX(Batters[[#All],[INT]],MATCH(Table5[[#This Row],[PID]],Batters[[#All],[PID]],0)),INDEX(Table3[[#All],[INT]],MATCH(Table5[[#This Row],[PID]],Table3[[#All],[PID]],0)))</f>
        <v>Normal</v>
      </c>
      <c r="L42" s="60">
        <f>IF($C42="B",INDEX(Batters[[#All],[CON P]],MATCH(Table5[[#This Row],[PID]],Batters[[#All],[PID]],0)),INDEX(Table3[[#All],[STU P]],MATCH(Table5[[#This Row],[PID]],Table3[[#All],[PID]],0)))</f>
        <v>4</v>
      </c>
      <c r="M42" s="56">
        <f>IF($C42="B",INDEX(Batters[[#All],[GAP P]],MATCH(Table5[[#This Row],[PID]],Batters[[#All],[PID]],0)),INDEX(Table3[[#All],[MOV P]],MATCH(Table5[[#This Row],[PID]],Table3[[#All],[PID]],0)))</f>
        <v>6</v>
      </c>
      <c r="N42" s="56">
        <f>IF($C42="B",INDEX(Batters[[#All],[POW P]],MATCH(Table5[[#This Row],[PID]],Batters[[#All],[PID]],0)),INDEX(Table3[[#All],[CON P]],MATCH(Table5[[#This Row],[PID]],Table3[[#All],[PID]],0)))</f>
        <v>7</v>
      </c>
      <c r="O42" s="56">
        <f>IF($C42="B",INDEX(Batters[[#All],[EYE P]],MATCH(Table5[[#This Row],[PID]],Batters[[#All],[PID]],0)),INDEX(Table3[[#All],[VELO]],MATCH(Table5[[#This Row],[PID]],Table3[[#All],[PID]],0)))</f>
        <v>6</v>
      </c>
      <c r="P42" s="56">
        <f>IF($C42="B",INDEX(Batters[[#All],[K P]],MATCH(Table5[[#This Row],[PID]],Batters[[#All],[PID]],0)),INDEX(Table3[[#All],[STM]],MATCH(Table5[[#This Row],[PID]],Table3[[#All],[PID]],0)))</f>
        <v>4</v>
      </c>
      <c r="Q42" s="61">
        <f>IF($C42="B",INDEX(Batters[[#All],[Tot]],MATCH(Table5[[#This Row],[PID]],Batters[[#All],[PID]],0)),INDEX(Table3[[#All],[Tot]],MATCH(Table5[[#This Row],[PID]],Table3[[#All],[PID]],0)))</f>
        <v>52.629788062293017</v>
      </c>
      <c r="R42" s="52">
        <f>IF($C42="B",INDEX(Batters[[#All],[zScore]],MATCH(Table5[[#This Row],[PID]],Batters[[#All],[PID]],0)),INDEX(Table3[[#All],[zScore]],MATCH(Table5[[#This Row],[PID]],Table3[[#All],[PID]],0)))</f>
        <v>1.373749305962926</v>
      </c>
      <c r="S42" s="58" t="str">
        <f>IF($C42="B",INDEX(Batters[[#All],[DEM]],MATCH(Table5[[#This Row],[PID]],Batters[[#All],[PID]],0)),INDEX(Table3[[#All],[DEM]],MATCH(Table5[[#This Row],[PID]],Table3[[#All],[PID]],0)))</f>
        <v>$230k</v>
      </c>
      <c r="T42" s="62">
        <f>IF($C42="B",INDEX(Batters[[#All],[Rnk]],MATCH(Table5[[#This Row],[PID]],Batters[[#All],[PID]],0)),INDEX(Table3[[#All],[Rnk]],MATCH(Table5[[#This Row],[PID]],Table3[[#All],[PID]],0)))</f>
        <v>2</v>
      </c>
      <c r="U42" s="67">
        <f>IF($C42="B",VLOOKUP($A42,Bat!$A$4:$BA$1314,47,FALSE),VLOOKUP($A42,Pit!$A$4:$BF$1214,56,FALSE))</f>
        <v>21</v>
      </c>
      <c r="V42" s="50">
        <f>IF($C42="B",VLOOKUP($A42,Bat!$A$4:$BA$1314,48,FALSE),VLOOKUP($A42,Pit!$A$4:$BF$1214,57,FALSE))</f>
        <v>21</v>
      </c>
      <c r="W42" s="68">
        <v>40</v>
      </c>
      <c r="X42" s="51">
        <f>RANK(Table5[[#This Row],[zScore]],Table5[[#All],[zScore]])</f>
        <v>88</v>
      </c>
      <c r="Y42" s="50">
        <f>IFERROR(INDEX(DraftResults[[#All],[OVR]],MATCH(Table5[[#This Row],[PID]],DraftResults[[#All],[Player ID]],0)),"")</f>
        <v>146</v>
      </c>
      <c r="Z42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5</v>
      </c>
      <c r="AA42" s="50">
        <f>IFERROR(INDEX(DraftResults[[#All],[Pick in Round]],MATCH(Table5[[#This Row],[PID]],DraftResults[[#All],[Player ID]],0)),"")</f>
        <v>9</v>
      </c>
      <c r="AB42" s="50" t="str">
        <f>IFERROR(INDEX(DraftResults[[#All],[Team Name]],MATCH(Table5[[#This Row],[PID]],DraftResults[[#All],[Player ID]],0)),"")</f>
        <v>Fargo Dinosaurs</v>
      </c>
      <c r="AC42" s="50">
        <f>IF(Table5[[#This Row],[Ovr]]="","",IF(Table5[[#This Row],[cmbList]]="","",Table5[[#This Row],[cmbList]]-Table5[[#This Row],[Ovr]]))</f>
        <v>-106</v>
      </c>
      <c r="AD42" s="54" t="str">
        <f>IF(ISERROR(VLOOKUP($AB42&amp;"-"&amp;$E42&amp;" "&amp;F42,Bonuses!$B$1:$G$1006,4,FALSE)),"",INT(VLOOKUP($AB42&amp;"-"&amp;$E42&amp;" "&amp;$F42,Bonuses!$B$1:$G$1006,4,FALSE)))</f>
        <v/>
      </c>
      <c r="AE42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5.9 (146) - RF Kazu Morimoto</v>
      </c>
    </row>
    <row r="43" spans="1:31" s="50" customFormat="1" x14ac:dyDescent="0.3">
      <c r="A43" s="50">
        <v>13271</v>
      </c>
      <c r="B43" s="50">
        <f>COUNTIF(Table5[PID],A43)</f>
        <v>1</v>
      </c>
      <c r="C43" s="50" t="str">
        <f>IF(COUNTIF(Table3[[#All],[PID]],A43)&gt;0,"P","B")</f>
        <v>B</v>
      </c>
      <c r="D43" s="59" t="str">
        <f>IF($C43="B",INDEX(Batters[[#All],[POS]],MATCH(Table5[[#This Row],[PID]],Batters[[#All],[PID]],0)),INDEX(Table3[[#All],[POS]],MATCH(Table5[[#This Row],[PID]],Table3[[#All],[PID]],0)))</f>
        <v>3B</v>
      </c>
      <c r="E43" s="52" t="str">
        <f>IF($C43="B",INDEX(Batters[[#All],[First]],MATCH(Table5[[#This Row],[PID]],Batters[[#All],[PID]],0)),INDEX(Table3[[#All],[First]],MATCH(Table5[[#This Row],[PID]],Table3[[#All],[PID]],0)))</f>
        <v>Yoshimi</v>
      </c>
      <c r="F43" s="50" t="str">
        <f>IF($C43="B",INDEX(Batters[[#All],[Last]],MATCH(A43,Batters[[#All],[PID]],0)),INDEX(Table3[[#All],[Last]],MATCH(A43,Table3[[#All],[PID]],0)))</f>
        <v>Yano</v>
      </c>
      <c r="G43" s="56">
        <f>IF($C43="B",INDEX(Batters[[#All],[Age]],MATCH(Table5[[#This Row],[PID]],Batters[[#All],[PID]],0)),INDEX(Table3[[#All],[Age]],MATCH(Table5[[#This Row],[PID]],Table3[[#All],[PID]],0)))</f>
        <v>17</v>
      </c>
      <c r="H43" s="52" t="str">
        <f>IF($C43="B",INDEX(Batters[[#All],[B]],MATCH(Table5[[#This Row],[PID]],Batters[[#All],[PID]],0)),INDEX(Table3[[#All],[B]],MATCH(Table5[[#This Row],[PID]],Table3[[#All],[PID]],0)))</f>
        <v>R</v>
      </c>
      <c r="I43" s="52" t="str">
        <f>IF($C43="B",INDEX(Batters[[#All],[T]],MATCH(Table5[[#This Row],[PID]],Batters[[#All],[PID]],0)),INDEX(Table3[[#All],[T]],MATCH(Table5[[#This Row],[PID]],Table3[[#All],[PID]],0)))</f>
        <v>R</v>
      </c>
      <c r="J43" s="52" t="str">
        <f>IF($C43="B",INDEX(Batters[[#All],[WE]],MATCH(Table5[[#This Row],[PID]],Batters[[#All],[PID]],0)),INDEX(Table3[[#All],[WE]],MATCH(Table5[[#This Row],[PID]],Table3[[#All],[PID]],0)))</f>
        <v>High</v>
      </c>
      <c r="K43" s="52" t="str">
        <f>IF($C43="B",INDEX(Batters[[#All],[INT]],MATCH(Table5[[#This Row],[PID]],Batters[[#All],[PID]],0)),INDEX(Table3[[#All],[INT]],MATCH(Table5[[#This Row],[PID]],Table3[[#All],[PID]],0)))</f>
        <v>Normal</v>
      </c>
      <c r="L43" s="60">
        <f>IF($C43="B",INDEX(Batters[[#All],[CON P]],MATCH(Table5[[#This Row],[PID]],Batters[[#All],[PID]],0)),INDEX(Table3[[#All],[STU P]],MATCH(Table5[[#This Row],[PID]],Table3[[#All],[PID]],0)))</f>
        <v>4</v>
      </c>
      <c r="M43" s="56">
        <f>IF($C43="B",INDEX(Batters[[#All],[GAP P]],MATCH(Table5[[#This Row],[PID]],Batters[[#All],[PID]],0)),INDEX(Table3[[#All],[MOV P]],MATCH(Table5[[#This Row],[PID]],Table3[[#All],[PID]],0)))</f>
        <v>6</v>
      </c>
      <c r="N43" s="56">
        <f>IF($C43="B",INDEX(Batters[[#All],[POW P]],MATCH(Table5[[#This Row],[PID]],Batters[[#All],[PID]],0)),INDEX(Table3[[#All],[CON P]],MATCH(Table5[[#This Row],[PID]],Table3[[#All],[PID]],0)))</f>
        <v>7</v>
      </c>
      <c r="O43" s="56">
        <f>IF($C43="B",INDEX(Batters[[#All],[EYE P]],MATCH(Table5[[#This Row],[PID]],Batters[[#All],[PID]],0)),INDEX(Table3[[#All],[VELO]],MATCH(Table5[[#This Row],[PID]],Table3[[#All],[PID]],0)))</f>
        <v>6</v>
      </c>
      <c r="P43" s="56">
        <f>IF($C43="B",INDEX(Batters[[#All],[K P]],MATCH(Table5[[#This Row],[PID]],Batters[[#All],[PID]],0)),INDEX(Table3[[#All],[STM]],MATCH(Table5[[#This Row],[PID]],Table3[[#All],[PID]],0)))</f>
        <v>3</v>
      </c>
      <c r="Q43" s="61">
        <f>IF($C43="B",INDEX(Batters[[#All],[Tot]],MATCH(Table5[[#This Row],[PID]],Batters[[#All],[PID]],0)),INDEX(Table3[[#All],[Tot]],MATCH(Table5[[#This Row],[PID]],Table3[[#All],[PID]],0)))</f>
        <v>52.145590350506311</v>
      </c>
      <c r="R43" s="52">
        <f>IF($C43="B",INDEX(Batters[[#All],[zScore]],MATCH(Table5[[#This Row],[PID]],Batters[[#All],[PID]],0)),INDEX(Table3[[#All],[zScore]],MATCH(Table5[[#This Row],[PID]],Table3[[#All],[PID]],0)))</f>
        <v>1.303071881277944</v>
      </c>
      <c r="S43" s="58" t="str">
        <f>IF($C43="B",INDEX(Batters[[#All],[DEM]],MATCH(Table5[[#This Row],[PID]],Batters[[#All],[PID]],0)),INDEX(Table3[[#All],[DEM]],MATCH(Table5[[#This Row],[PID]],Table3[[#All],[PID]],0)))</f>
        <v>$400k</v>
      </c>
      <c r="T43" s="62">
        <f>IF($C43="B",INDEX(Batters[[#All],[Rnk]],MATCH(Table5[[#This Row],[PID]],Batters[[#All],[PID]],0)),INDEX(Table3[[#All],[Rnk]],MATCH(Table5[[#This Row],[PID]],Table3[[#All],[PID]],0)))</f>
        <v>3</v>
      </c>
      <c r="U43" s="67">
        <f>IF($C43="B",VLOOKUP($A43,Bat!$A$4:$BA$1314,47,FALSE),VLOOKUP($A43,Pit!$A$4:$BF$1214,56,FALSE))</f>
        <v>22</v>
      </c>
      <c r="V43" s="50">
        <f>IF($C43="B",VLOOKUP($A43,Bat!$A$4:$BA$1314,48,FALSE),VLOOKUP($A43,Pit!$A$4:$BF$1214,57,FALSE))</f>
        <v>22</v>
      </c>
      <c r="W43" s="50">
        <v>41</v>
      </c>
      <c r="X43" s="51">
        <f>RANK(Table5[[#This Row],[zScore]],Table5[[#All],[zScore]])</f>
        <v>94</v>
      </c>
      <c r="Y43" s="50">
        <f>IFERROR(INDEX(DraftResults[[#All],[OVR]],MATCH(Table5[[#This Row],[PID]],DraftResults[[#All],[Player ID]],0)),"")</f>
        <v>71</v>
      </c>
      <c r="Z43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2</v>
      </c>
      <c r="AA43" s="50">
        <f>IFERROR(INDEX(DraftResults[[#All],[Pick in Round]],MATCH(Table5[[#This Row],[PID]],DraftResults[[#All],[Player ID]],0)),"")</f>
        <v>35</v>
      </c>
      <c r="AB43" s="50" t="str">
        <f>IFERROR(INDEX(DraftResults[[#All],[Team Name]],MATCH(Table5[[#This Row],[PID]],DraftResults[[#All],[Player ID]],0)),"")</f>
        <v>West Virginia Alleghenies</v>
      </c>
      <c r="AC43" s="50">
        <f>IF(Table5[[#This Row],[Ovr]]="","",IF(Table5[[#This Row],[cmbList]]="","",Table5[[#This Row],[cmbList]]-Table5[[#This Row],[Ovr]]))</f>
        <v>-30</v>
      </c>
      <c r="AD43" s="54" t="str">
        <f>IF(ISERROR(VLOOKUP($AB43&amp;"-"&amp;$E43&amp;" "&amp;F43,Bonuses!$B$1:$G$1006,4,FALSE)),"",INT(VLOOKUP($AB43&amp;"-"&amp;$E43&amp;" "&amp;$F43,Bonuses!$B$1:$G$1006,4,FALSE)))</f>
        <v/>
      </c>
      <c r="AE43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2.35 (71) - 3B Yoshimi Yano</v>
      </c>
    </row>
    <row r="44" spans="1:31" s="50" customFormat="1" x14ac:dyDescent="0.3">
      <c r="A44" s="50">
        <v>20621</v>
      </c>
      <c r="B44" s="50">
        <f>COUNTIF(Table5[PID],A44)</f>
        <v>1</v>
      </c>
      <c r="C44" s="50" t="str">
        <f>IF(COUNTIF(Table3[[#All],[PID]],A44)&gt;0,"P","B")</f>
        <v>B</v>
      </c>
      <c r="D44" s="59" t="str">
        <f>IF($C44="B",INDEX(Batters[[#All],[POS]],MATCH(Table5[[#This Row],[PID]],Batters[[#All],[PID]],0)),INDEX(Table3[[#All],[POS]],MATCH(Table5[[#This Row],[PID]],Table3[[#All],[PID]],0)))</f>
        <v>LF</v>
      </c>
      <c r="E44" s="52" t="str">
        <f>IF($C44="B",INDEX(Batters[[#All],[First]],MATCH(Table5[[#This Row],[PID]],Batters[[#All],[PID]],0)),INDEX(Table3[[#All],[First]],MATCH(Table5[[#This Row],[PID]],Table3[[#All],[PID]],0)))</f>
        <v>Hung</v>
      </c>
      <c r="F44" s="50" t="str">
        <f>IF($C44="B",INDEX(Batters[[#All],[Last]],MATCH(A44,Batters[[#All],[PID]],0)),INDEX(Table3[[#All],[Last]],MATCH(A44,Table3[[#All],[PID]],0)))</f>
        <v>Cai</v>
      </c>
      <c r="G44" s="56">
        <f>IF($C44="B",INDEX(Batters[[#All],[Age]],MATCH(Table5[[#This Row],[PID]],Batters[[#All],[PID]],0)),INDEX(Table3[[#All],[Age]],MATCH(Table5[[#This Row],[PID]],Table3[[#All],[PID]],0)))</f>
        <v>16</v>
      </c>
      <c r="H44" s="52" t="str">
        <f>IF($C44="B",INDEX(Batters[[#All],[B]],MATCH(Table5[[#This Row],[PID]],Batters[[#All],[PID]],0)),INDEX(Table3[[#All],[B]],MATCH(Table5[[#This Row],[PID]],Table3[[#All],[PID]],0)))</f>
        <v>L</v>
      </c>
      <c r="I44" s="52" t="str">
        <f>IF($C44="B",INDEX(Batters[[#All],[T]],MATCH(Table5[[#This Row],[PID]],Batters[[#All],[PID]],0)),INDEX(Table3[[#All],[T]],MATCH(Table5[[#This Row],[PID]],Table3[[#All],[PID]],0)))</f>
        <v>L</v>
      </c>
      <c r="J44" s="52" t="str">
        <f>IF($C44="B",INDEX(Batters[[#All],[WE]],MATCH(Table5[[#This Row],[PID]],Batters[[#All],[PID]],0)),INDEX(Table3[[#All],[WE]],MATCH(Table5[[#This Row],[PID]],Table3[[#All],[PID]],0)))</f>
        <v>Normal</v>
      </c>
      <c r="K44" s="52" t="str">
        <f>IF($C44="B",INDEX(Batters[[#All],[INT]],MATCH(Table5[[#This Row],[PID]],Batters[[#All],[PID]],0)),INDEX(Table3[[#All],[INT]],MATCH(Table5[[#This Row],[PID]],Table3[[#All],[PID]],0)))</f>
        <v>Normal</v>
      </c>
      <c r="L44" s="60">
        <f>IF($C44="B",INDEX(Batters[[#All],[CON P]],MATCH(Table5[[#This Row],[PID]],Batters[[#All],[PID]],0)),INDEX(Table3[[#All],[STU P]],MATCH(Table5[[#This Row],[PID]],Table3[[#All],[PID]],0)))</f>
        <v>4</v>
      </c>
      <c r="M44" s="56">
        <f>IF($C44="B",INDEX(Batters[[#All],[GAP P]],MATCH(Table5[[#This Row],[PID]],Batters[[#All],[PID]],0)),INDEX(Table3[[#All],[MOV P]],MATCH(Table5[[#This Row],[PID]],Table3[[#All],[PID]],0)))</f>
        <v>3</v>
      </c>
      <c r="N44" s="56">
        <f>IF($C44="B",INDEX(Batters[[#All],[POW P]],MATCH(Table5[[#This Row],[PID]],Batters[[#All],[PID]],0)),INDEX(Table3[[#All],[CON P]],MATCH(Table5[[#This Row],[PID]],Table3[[#All],[PID]],0)))</f>
        <v>10</v>
      </c>
      <c r="O44" s="56">
        <f>IF($C44="B",INDEX(Batters[[#All],[EYE P]],MATCH(Table5[[#This Row],[PID]],Batters[[#All],[PID]],0)),INDEX(Table3[[#All],[VELO]],MATCH(Table5[[#This Row],[PID]],Table3[[#All],[PID]],0)))</f>
        <v>7</v>
      </c>
      <c r="P44" s="56">
        <f>IF($C44="B",INDEX(Batters[[#All],[K P]],MATCH(Table5[[#This Row],[PID]],Batters[[#All],[PID]],0)),INDEX(Table3[[#All],[STM]],MATCH(Table5[[#This Row],[PID]],Table3[[#All],[PID]],0)))</f>
        <v>2</v>
      </c>
      <c r="Q44" s="61">
        <f>IF($C44="B",INDEX(Batters[[#All],[Tot]],MATCH(Table5[[#This Row],[PID]],Batters[[#All],[PID]],0)),INDEX(Table3[[#All],[Tot]],MATCH(Table5[[#This Row],[PID]],Table3[[#All],[PID]],0)))</f>
        <v>53.467644418687797</v>
      </c>
      <c r="R44" s="52">
        <f>IF($C44="B",INDEX(Batters[[#All],[zScore]],MATCH(Table5[[#This Row],[PID]],Batters[[#All],[PID]],0)),INDEX(Table3[[#All],[zScore]],MATCH(Table5[[#This Row],[PID]],Table3[[#All],[PID]],0)))</f>
        <v>1.4960496144617226</v>
      </c>
      <c r="S44" s="58" t="str">
        <f>IF($C44="B",INDEX(Batters[[#All],[DEM]],MATCH(Table5[[#This Row],[PID]],Batters[[#All],[PID]],0)),INDEX(Table3[[#All],[DEM]],MATCH(Table5[[#This Row],[PID]],Table3[[#All],[PID]],0)))</f>
        <v>$490k</v>
      </c>
      <c r="T44" s="62">
        <f>IF($C44="B",INDEX(Batters[[#All],[Rnk]],MATCH(Table5[[#This Row],[PID]],Batters[[#All],[PID]],0)),INDEX(Table3[[#All],[Rnk]],MATCH(Table5[[#This Row],[PID]],Table3[[#All],[PID]],0)))</f>
        <v>4</v>
      </c>
      <c r="U44" s="67">
        <f>IF($C44="B",VLOOKUP($A44,Bat!$A$4:$BA$1314,47,FALSE),VLOOKUP($A44,Pit!$A$4:$BF$1214,56,FALSE))</f>
        <v>23</v>
      </c>
      <c r="V44" s="50">
        <f>IF($C44="B",VLOOKUP($A44,Bat!$A$4:$BA$1314,48,FALSE),VLOOKUP($A44,Pit!$A$4:$BF$1214,57,FALSE))</f>
        <v>23</v>
      </c>
      <c r="W44" s="68">
        <v>42</v>
      </c>
      <c r="X44" s="51">
        <f>RANK(Table5[[#This Row],[zScore]],Table5[[#All],[zScore]])</f>
        <v>77</v>
      </c>
      <c r="Y44" s="50">
        <f>IFERROR(INDEX(DraftResults[[#All],[OVR]],MATCH(Table5[[#This Row],[PID]],DraftResults[[#All],[Player ID]],0)),"")</f>
        <v>1</v>
      </c>
      <c r="Z44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1</v>
      </c>
      <c r="AA44" s="50">
        <f>IFERROR(INDEX(DraftResults[[#All],[Pick in Round]],MATCH(Table5[[#This Row],[PID]],DraftResults[[#All],[Player ID]],0)),"")</f>
        <v>1</v>
      </c>
      <c r="AB44" s="50" t="str">
        <f>IFERROR(INDEX(DraftResults[[#All],[Team Name]],MATCH(Table5[[#This Row],[PID]],DraftResults[[#All],[Player ID]],0)),"")</f>
        <v>Yuma Arroyos</v>
      </c>
      <c r="AC44" s="50">
        <f>IF(Table5[[#This Row],[Ovr]]="","",IF(Table5[[#This Row],[cmbList]]="","",Table5[[#This Row],[cmbList]]-Table5[[#This Row],[Ovr]]))</f>
        <v>41</v>
      </c>
      <c r="AD44" s="54" t="str">
        <f>IF(ISERROR(VLOOKUP($AB44&amp;"-"&amp;$E44&amp;" "&amp;F44,Bonuses!$B$1:$G$1006,4,FALSE)),"",INT(VLOOKUP($AB44&amp;"-"&amp;$E44&amp;" "&amp;$F44,Bonuses!$B$1:$G$1006,4,FALSE)))</f>
        <v/>
      </c>
      <c r="AE44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1.1 (1) - LF Hung Cai</v>
      </c>
    </row>
    <row r="45" spans="1:31" s="50" customFormat="1" x14ac:dyDescent="0.3">
      <c r="A45" s="50">
        <v>20183</v>
      </c>
      <c r="B45" s="50">
        <f>COUNTIF(Table5[PID],A45)</f>
        <v>1</v>
      </c>
      <c r="C45" s="50" t="str">
        <f>IF(COUNTIF(Table3[[#All],[PID]],A45)&gt;0,"P","B")</f>
        <v>P</v>
      </c>
      <c r="D45" s="59" t="str">
        <f>IF($C45="B",INDEX(Batters[[#All],[POS]],MATCH(Table5[[#This Row],[PID]],Batters[[#All],[PID]],0)),INDEX(Table3[[#All],[POS]],MATCH(Table5[[#This Row],[PID]],Table3[[#All],[PID]],0)))</f>
        <v>SP</v>
      </c>
      <c r="E45" s="52" t="str">
        <f>IF($C45="B",INDEX(Batters[[#All],[First]],MATCH(Table5[[#This Row],[PID]],Batters[[#All],[PID]],0)),INDEX(Table3[[#All],[First]],MATCH(Table5[[#This Row],[PID]],Table3[[#All],[PID]],0)))</f>
        <v>Joshua</v>
      </c>
      <c r="F45" s="50" t="str">
        <f>IF($C45="B",INDEX(Batters[[#All],[Last]],MATCH(A45,Batters[[#All],[PID]],0)),INDEX(Table3[[#All],[Last]],MATCH(A45,Table3[[#All],[PID]],0)))</f>
        <v>MacLaine</v>
      </c>
      <c r="G45" s="56">
        <f>IF($C45="B",INDEX(Batters[[#All],[Age]],MATCH(Table5[[#This Row],[PID]],Batters[[#All],[PID]],0)),INDEX(Table3[[#All],[Age]],MATCH(Table5[[#This Row],[PID]],Table3[[#All],[PID]],0)))</f>
        <v>21</v>
      </c>
      <c r="H45" s="52" t="str">
        <f>IF($C45="B",INDEX(Batters[[#All],[B]],MATCH(Table5[[#This Row],[PID]],Batters[[#All],[PID]],0)),INDEX(Table3[[#All],[B]],MATCH(Table5[[#This Row],[PID]],Table3[[#All],[PID]],0)))</f>
        <v>L</v>
      </c>
      <c r="I45" s="52" t="str">
        <f>IF($C45="B",INDEX(Batters[[#All],[T]],MATCH(Table5[[#This Row],[PID]],Batters[[#All],[PID]],0)),INDEX(Table3[[#All],[T]],MATCH(Table5[[#This Row],[PID]],Table3[[#All],[PID]],0)))</f>
        <v>L</v>
      </c>
      <c r="J45" s="52" t="str">
        <f>IF($C45="B",INDEX(Batters[[#All],[WE]],MATCH(Table5[[#This Row],[PID]],Batters[[#All],[PID]],0)),INDEX(Table3[[#All],[WE]],MATCH(Table5[[#This Row],[PID]],Table3[[#All],[PID]],0)))</f>
        <v>Normal</v>
      </c>
      <c r="K45" s="52" t="str">
        <f>IF($C45="B",INDEX(Batters[[#All],[INT]],MATCH(Table5[[#This Row],[PID]],Batters[[#All],[PID]],0)),INDEX(Table3[[#All],[INT]],MATCH(Table5[[#This Row],[PID]],Table3[[#All],[PID]],0)))</f>
        <v>Normal</v>
      </c>
      <c r="L45" s="60">
        <f>IF($C45="B",INDEX(Batters[[#All],[CON P]],MATCH(Table5[[#This Row],[PID]],Batters[[#All],[PID]],0)),INDEX(Table3[[#All],[STU P]],MATCH(Table5[[#This Row],[PID]],Table3[[#All],[PID]],0)))</f>
        <v>7</v>
      </c>
      <c r="M45" s="56">
        <f>IF($C45="B",INDEX(Batters[[#All],[GAP P]],MATCH(Table5[[#This Row],[PID]],Batters[[#All],[PID]],0)),INDEX(Table3[[#All],[MOV P]],MATCH(Table5[[#This Row],[PID]],Table3[[#All],[PID]],0)))</f>
        <v>3</v>
      </c>
      <c r="N45" s="56">
        <f>IF($C45="B",INDEX(Batters[[#All],[POW P]],MATCH(Table5[[#This Row],[PID]],Batters[[#All],[PID]],0)),INDEX(Table3[[#All],[CON P]],MATCH(Table5[[#This Row],[PID]],Table3[[#All],[PID]],0)))</f>
        <v>5</v>
      </c>
      <c r="O45" s="56" t="str">
        <f>IF($C45="B",INDEX(Batters[[#All],[EYE P]],MATCH(Table5[[#This Row],[PID]],Batters[[#All],[PID]],0)),INDEX(Table3[[#All],[VELO]],MATCH(Table5[[#This Row],[PID]],Table3[[#All],[PID]],0)))</f>
        <v>94-96 Mph</v>
      </c>
      <c r="P45" s="56">
        <f>IF($C45="B",INDEX(Batters[[#All],[K P]],MATCH(Table5[[#This Row],[PID]],Batters[[#All],[PID]],0)),INDEX(Table3[[#All],[STM]],MATCH(Table5[[#This Row],[PID]],Table3[[#All],[PID]],0)))</f>
        <v>4</v>
      </c>
      <c r="Q45" s="61">
        <f>IF($C45="B",INDEX(Batters[[#All],[Tot]],MATCH(Table5[[#This Row],[PID]],Batters[[#All],[PID]],0)),INDEX(Table3[[#All],[Tot]],MATCH(Table5[[#This Row],[PID]],Table3[[#All],[PID]],0)))</f>
        <v>55.220497559588608</v>
      </c>
      <c r="R45" s="52">
        <f>IF($C45="B",INDEX(Batters[[#All],[zScore]],MATCH(Table5[[#This Row],[PID]],Batters[[#All],[PID]],0)),INDEX(Table3[[#All],[zScore]],MATCH(Table5[[#This Row],[PID]],Table3[[#All],[PID]],0)))</f>
        <v>1.2402780437980225</v>
      </c>
      <c r="S45" s="58" t="str">
        <f>IF($C45="B",INDEX(Batters[[#All],[DEM]],MATCH(Table5[[#This Row],[PID]],Batters[[#All],[PID]],0)),INDEX(Table3[[#All],[DEM]],MATCH(Table5[[#This Row],[PID]],Table3[[#All],[PID]],0)))</f>
        <v>$60k</v>
      </c>
      <c r="T45" s="62">
        <f>IF($C45="B",INDEX(Batters[[#All],[Rnk]],MATCH(Table5[[#This Row],[PID]],Batters[[#All],[PID]],0)),INDEX(Table3[[#All],[Rnk]],MATCH(Table5[[#This Row],[PID]],Table3[[#All],[PID]],0)))</f>
        <v>8</v>
      </c>
      <c r="U45" s="67">
        <f>IF($C45="B",VLOOKUP($A45,Bat!$A$4:$BA$1314,47,FALSE),VLOOKUP($A45,Pit!$A$4:$BF$1214,56,FALSE))</f>
        <v>20</v>
      </c>
      <c r="V45" s="50">
        <f>IF($C45="B",VLOOKUP($A45,Bat!$A$4:$BA$1314,48,FALSE),VLOOKUP($A45,Pit!$A$4:$BF$1214,57,FALSE))</f>
        <v>0</v>
      </c>
      <c r="W45" s="50">
        <v>43</v>
      </c>
      <c r="X45" s="51">
        <f>RANK(Table5[[#This Row],[zScore]],Table5[[#All],[zScore]])</f>
        <v>110</v>
      </c>
      <c r="Y45" s="50">
        <f>IFERROR(INDEX(DraftResults[[#All],[OVR]],MATCH(Table5[[#This Row],[PID]],DraftResults[[#All],[Player ID]],0)),"")</f>
        <v>149</v>
      </c>
      <c r="Z45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5</v>
      </c>
      <c r="AA45" s="50">
        <f>IFERROR(INDEX(DraftResults[[#All],[Pick in Round]],MATCH(Table5[[#This Row],[PID]],DraftResults[[#All],[Player ID]],0)),"")</f>
        <v>12</v>
      </c>
      <c r="AB45" s="50" t="str">
        <f>IFERROR(INDEX(DraftResults[[#All],[Team Name]],MATCH(Table5[[#This Row],[PID]],DraftResults[[#All],[Player ID]],0)),"")</f>
        <v>Niihama-shi Ghosts</v>
      </c>
      <c r="AC45" s="50">
        <f>IF(Table5[[#This Row],[Ovr]]="","",IF(Table5[[#This Row],[cmbList]]="","",Table5[[#This Row],[cmbList]]-Table5[[#This Row],[Ovr]]))</f>
        <v>-106</v>
      </c>
      <c r="AD45" s="54" t="str">
        <f>IF(ISERROR(VLOOKUP($AB45&amp;"-"&amp;$E45&amp;" "&amp;F45,Bonuses!$B$1:$G$1006,4,FALSE)),"",INT(VLOOKUP($AB45&amp;"-"&amp;$E45&amp;" "&amp;$F45,Bonuses!$B$1:$G$1006,4,FALSE)))</f>
        <v/>
      </c>
      <c r="AE45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5.12 (149) - SP Joshua MacLaine</v>
      </c>
    </row>
    <row r="46" spans="1:31" s="50" customFormat="1" x14ac:dyDescent="0.3">
      <c r="A46" s="67">
        <v>8989</v>
      </c>
      <c r="B46" s="68">
        <f>COUNTIF(Table5[PID],A46)</f>
        <v>1</v>
      </c>
      <c r="C46" s="68" t="str">
        <f>IF(COUNTIF(Table3[[#All],[PID]],A46)&gt;0,"P","B")</f>
        <v>B</v>
      </c>
      <c r="D46" s="59" t="str">
        <f>IF($C46="B",INDEX(Batters[[#All],[POS]],MATCH(Table5[[#This Row],[PID]],Batters[[#All],[PID]],0)),INDEX(Table3[[#All],[POS]],MATCH(Table5[[#This Row],[PID]],Table3[[#All],[PID]],0)))</f>
        <v>CF</v>
      </c>
      <c r="E46" s="52" t="str">
        <f>IF($C46="B",INDEX(Batters[[#All],[First]],MATCH(Table5[[#This Row],[PID]],Batters[[#All],[PID]],0)),INDEX(Table3[[#All],[First]],MATCH(Table5[[#This Row],[PID]],Table3[[#All],[PID]],0)))</f>
        <v>Steven</v>
      </c>
      <c r="F46" s="55" t="str">
        <f>IF($C46="B",INDEX(Batters[[#All],[Last]],MATCH(A46,Batters[[#All],[PID]],0)),INDEX(Table3[[#All],[Last]],MATCH(A46,Table3[[#All],[PID]],0)))</f>
        <v>Basnett</v>
      </c>
      <c r="G46" s="56">
        <f>IF($C46="B",INDEX(Batters[[#All],[Age]],MATCH(Table5[[#This Row],[PID]],Batters[[#All],[PID]],0)),INDEX(Table3[[#All],[Age]],MATCH(Table5[[#This Row],[PID]],Table3[[#All],[PID]],0)))</f>
        <v>18</v>
      </c>
      <c r="H46" s="52" t="str">
        <f>IF($C46="B",INDEX(Batters[[#All],[B]],MATCH(Table5[[#This Row],[PID]],Batters[[#All],[PID]],0)),INDEX(Table3[[#All],[B]],MATCH(Table5[[#This Row],[PID]],Table3[[#All],[PID]],0)))</f>
        <v>L</v>
      </c>
      <c r="I46" s="52" t="str">
        <f>IF($C46="B",INDEX(Batters[[#All],[T]],MATCH(Table5[[#This Row],[PID]],Batters[[#All],[PID]],0)),INDEX(Table3[[#All],[T]],MATCH(Table5[[#This Row],[PID]],Table3[[#All],[PID]],0)))</f>
        <v>L</v>
      </c>
      <c r="J46" s="69" t="str">
        <f>IF($C46="B",INDEX(Batters[[#All],[WE]],MATCH(Table5[[#This Row],[PID]],Batters[[#All],[PID]],0)),INDEX(Table3[[#All],[WE]],MATCH(Table5[[#This Row],[PID]],Table3[[#All],[PID]],0)))</f>
        <v>Normal</v>
      </c>
      <c r="K46" s="52" t="str">
        <f>IF($C46="B",INDEX(Batters[[#All],[INT]],MATCH(Table5[[#This Row],[PID]],Batters[[#All],[PID]],0)),INDEX(Table3[[#All],[INT]],MATCH(Table5[[#This Row],[PID]],Table3[[#All],[PID]],0)))</f>
        <v>Normal</v>
      </c>
      <c r="L46" s="60">
        <f>IF($C46="B",INDEX(Batters[[#All],[CON P]],MATCH(Table5[[#This Row],[PID]],Batters[[#All],[PID]],0)),INDEX(Table3[[#All],[STU P]],MATCH(Table5[[#This Row],[PID]],Table3[[#All],[PID]],0)))</f>
        <v>5</v>
      </c>
      <c r="M46" s="70">
        <f>IF($C46="B",INDEX(Batters[[#All],[GAP P]],MATCH(Table5[[#This Row],[PID]],Batters[[#All],[PID]],0)),INDEX(Table3[[#All],[MOV P]],MATCH(Table5[[#This Row],[PID]],Table3[[#All],[PID]],0)))</f>
        <v>7</v>
      </c>
      <c r="N46" s="70">
        <f>IF($C46="B",INDEX(Batters[[#All],[POW P]],MATCH(Table5[[#This Row],[PID]],Batters[[#All],[PID]],0)),INDEX(Table3[[#All],[CON P]],MATCH(Table5[[#This Row],[PID]],Table3[[#All],[PID]],0)))</f>
        <v>6</v>
      </c>
      <c r="O46" s="70">
        <f>IF($C46="B",INDEX(Batters[[#All],[EYE P]],MATCH(Table5[[#This Row],[PID]],Batters[[#All],[PID]],0)),INDEX(Table3[[#All],[VELO]],MATCH(Table5[[#This Row],[PID]],Table3[[#All],[PID]],0)))</f>
        <v>4</v>
      </c>
      <c r="P46" s="56">
        <f>IF($C46="B",INDEX(Batters[[#All],[K P]],MATCH(Table5[[#This Row],[PID]],Batters[[#All],[PID]],0)),INDEX(Table3[[#All],[STM]],MATCH(Table5[[#This Row],[PID]],Table3[[#All],[PID]],0)))</f>
        <v>6</v>
      </c>
      <c r="Q46" s="61">
        <f>IF($C46="B",INDEX(Batters[[#All],[Tot]],MATCH(Table5[[#This Row],[PID]],Batters[[#All],[PID]],0)),INDEX(Table3[[#All],[Tot]],MATCH(Table5[[#This Row],[PID]],Table3[[#All],[PID]],0)))</f>
        <v>55.551581858087289</v>
      </c>
      <c r="R46" s="52">
        <f>IF($C46="B",INDEX(Batters[[#All],[zScore]],MATCH(Table5[[#This Row],[PID]],Batters[[#All],[PID]],0)),INDEX(Table3[[#All],[zScore]],MATCH(Table5[[#This Row],[PID]],Table3[[#All],[PID]],0)))</f>
        <v>1.8002380231137927</v>
      </c>
      <c r="S46" s="75" t="str">
        <f>IF($C46="B",INDEX(Batters[[#All],[DEM]],MATCH(Table5[[#This Row],[PID]],Batters[[#All],[PID]],0)),INDEX(Table3[[#All],[DEM]],MATCH(Table5[[#This Row],[PID]],Table3[[#All],[PID]],0)))</f>
        <v>$2.2m</v>
      </c>
      <c r="T46" s="72">
        <f>IF($C46="B",INDEX(Batters[[#All],[Rnk]],MATCH(Table5[[#This Row],[PID]],Batters[[#All],[PID]],0)),INDEX(Table3[[#All],[Rnk]],MATCH(Table5[[#This Row],[PID]],Table3[[#All],[PID]],0)))</f>
        <v>3</v>
      </c>
      <c r="U46" s="67">
        <f>IF($C46="B",VLOOKUP($A46,Bat!$A$4:$BA$1314,47,FALSE),VLOOKUP($A46,Pit!$A$4:$BF$1214,56,FALSE))</f>
        <v>24</v>
      </c>
      <c r="V46" s="50">
        <f>IF($C46="B",VLOOKUP($A46,Bat!$A$4:$BA$1314,48,FALSE),VLOOKUP($A46,Pit!$A$4:$BF$1214,57,FALSE))</f>
        <v>24</v>
      </c>
      <c r="W46" s="68">
        <v>44</v>
      </c>
      <c r="X46" s="71">
        <f>RANK(Table5[[#This Row],[zScore]],Table5[[#All],[zScore]])</f>
        <v>53</v>
      </c>
      <c r="Y46" s="68">
        <f>IFERROR(INDEX(DraftResults[[#All],[OVR]],MATCH(Table5[[#This Row],[PID]],DraftResults[[#All],[Player ID]],0)),"")</f>
        <v>28</v>
      </c>
      <c r="Z46" s="7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1</v>
      </c>
      <c r="AA46" s="68">
        <f>IFERROR(INDEX(DraftResults[[#All],[Pick in Round]],MATCH(Table5[[#This Row],[PID]],DraftResults[[#All],[Player ID]],0)),"")</f>
        <v>28</v>
      </c>
      <c r="AB46" s="68" t="str">
        <f>IFERROR(INDEX(DraftResults[[#All],[Team Name]],MATCH(Table5[[#This Row],[PID]],DraftResults[[#All],[Player ID]],0)),"")</f>
        <v>Havana Leones</v>
      </c>
      <c r="AC46" s="68">
        <f>IF(Table5[[#This Row],[Ovr]]="","",IF(Table5[[#This Row],[cmbList]]="","",Table5[[#This Row],[cmbList]]-Table5[[#This Row],[Ovr]]))</f>
        <v>16</v>
      </c>
      <c r="AD46" s="74" t="str">
        <f>IF(ISERROR(VLOOKUP($AB46&amp;"-"&amp;$E46&amp;" "&amp;F46,Bonuses!$B$1:$G$1006,4,FALSE)),"",INT(VLOOKUP($AB46&amp;"-"&amp;$E46&amp;" "&amp;$F46,Bonuses!$B$1:$G$1006,4,FALSE)))</f>
        <v/>
      </c>
      <c r="AE46" s="68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1.28 (28) - CF Steven Basnett</v>
      </c>
    </row>
    <row r="47" spans="1:31" s="50" customFormat="1" x14ac:dyDescent="0.3">
      <c r="A47" s="50">
        <v>20665</v>
      </c>
      <c r="B47" s="50">
        <f>COUNTIF(Table5[PID],A47)</f>
        <v>1</v>
      </c>
      <c r="C47" s="50" t="str">
        <f>IF(COUNTIF(Table3[[#All],[PID]],A47)&gt;0,"P","B")</f>
        <v>B</v>
      </c>
      <c r="D47" s="59" t="str">
        <f>IF($C47="B",INDEX(Batters[[#All],[POS]],MATCH(Table5[[#This Row],[PID]],Batters[[#All],[PID]],0)),INDEX(Table3[[#All],[POS]],MATCH(Table5[[#This Row],[PID]],Table3[[#All],[PID]],0)))</f>
        <v>1B</v>
      </c>
      <c r="E47" s="52" t="str">
        <f>IF($C47="B",INDEX(Batters[[#All],[First]],MATCH(Table5[[#This Row],[PID]],Batters[[#All],[PID]],0)),INDEX(Table3[[#All],[First]],MATCH(Table5[[#This Row],[PID]],Table3[[#All],[PID]],0)))</f>
        <v>Young-kyoo</v>
      </c>
      <c r="F47" s="50" t="str">
        <f>IF($C47="B",INDEX(Batters[[#All],[Last]],MATCH(A47,Batters[[#All],[PID]],0)),INDEX(Table3[[#All],[Last]],MATCH(A47,Table3[[#All],[PID]],0)))</f>
        <v>Kang</v>
      </c>
      <c r="G47" s="56">
        <f>IF($C47="B",INDEX(Batters[[#All],[Age]],MATCH(Table5[[#This Row],[PID]],Batters[[#All],[PID]],0)),INDEX(Table3[[#All],[Age]],MATCH(Table5[[#This Row],[PID]],Table3[[#All],[PID]],0)))</f>
        <v>17</v>
      </c>
      <c r="H47" s="52" t="str">
        <f>IF($C47="B",INDEX(Batters[[#All],[B]],MATCH(Table5[[#This Row],[PID]],Batters[[#All],[PID]],0)),INDEX(Table3[[#All],[B]],MATCH(Table5[[#This Row],[PID]],Table3[[#All],[PID]],0)))</f>
        <v>R</v>
      </c>
      <c r="I47" s="52" t="str">
        <f>IF($C47="B",INDEX(Batters[[#All],[T]],MATCH(Table5[[#This Row],[PID]],Batters[[#All],[PID]],0)),INDEX(Table3[[#All],[T]],MATCH(Table5[[#This Row],[PID]],Table3[[#All],[PID]],0)))</f>
        <v>R</v>
      </c>
      <c r="J47" s="52" t="str">
        <f>IF($C47="B",INDEX(Batters[[#All],[WE]],MATCH(Table5[[#This Row],[PID]],Batters[[#All],[PID]],0)),INDEX(Table3[[#All],[WE]],MATCH(Table5[[#This Row],[PID]],Table3[[#All],[PID]],0)))</f>
        <v>High</v>
      </c>
      <c r="K47" s="52" t="str">
        <f>IF($C47="B",INDEX(Batters[[#All],[INT]],MATCH(Table5[[#This Row],[PID]],Batters[[#All],[PID]],0)),INDEX(Table3[[#All],[INT]],MATCH(Table5[[#This Row],[PID]],Table3[[#All],[PID]],0)))</f>
        <v>Normal</v>
      </c>
      <c r="L47" s="60">
        <f>IF($C47="B",INDEX(Batters[[#All],[CON P]],MATCH(Table5[[#This Row],[PID]],Batters[[#All],[PID]],0)),INDEX(Table3[[#All],[STU P]],MATCH(Table5[[#This Row],[PID]],Table3[[#All],[PID]],0)))</f>
        <v>4</v>
      </c>
      <c r="M47" s="56">
        <f>IF($C47="B",INDEX(Batters[[#All],[GAP P]],MATCH(Table5[[#This Row],[PID]],Batters[[#All],[PID]],0)),INDEX(Table3[[#All],[MOV P]],MATCH(Table5[[#This Row],[PID]],Table3[[#All],[PID]],0)))</f>
        <v>6</v>
      </c>
      <c r="N47" s="56">
        <f>IF($C47="B",INDEX(Batters[[#All],[POW P]],MATCH(Table5[[#This Row],[PID]],Batters[[#All],[PID]],0)),INDEX(Table3[[#All],[CON P]],MATCH(Table5[[#This Row],[PID]],Table3[[#All],[PID]],0)))</f>
        <v>7</v>
      </c>
      <c r="O47" s="56">
        <f>IF($C47="B",INDEX(Batters[[#All],[EYE P]],MATCH(Table5[[#This Row],[PID]],Batters[[#All],[PID]],0)),INDEX(Table3[[#All],[VELO]],MATCH(Table5[[#This Row],[PID]],Table3[[#All],[PID]],0)))</f>
        <v>6</v>
      </c>
      <c r="P47" s="56">
        <f>IF($C47="B",INDEX(Batters[[#All],[K P]],MATCH(Table5[[#This Row],[PID]],Batters[[#All],[PID]],0)),INDEX(Table3[[#All],[STM]],MATCH(Table5[[#This Row],[PID]],Table3[[#All],[PID]],0)))</f>
        <v>3</v>
      </c>
      <c r="Q47" s="61">
        <f>IF($C47="B",INDEX(Batters[[#All],[Tot]],MATCH(Table5[[#This Row],[PID]],Batters[[#All],[PID]],0)),INDEX(Table3[[#All],[Tot]],MATCH(Table5[[#This Row],[PID]],Table3[[#All],[PID]],0)))</f>
        <v>52.136619395505349</v>
      </c>
      <c r="R47" s="52">
        <f>IF($C47="B",INDEX(Batters[[#All],[zScore]],MATCH(Table5[[#This Row],[PID]],Batters[[#All],[PID]],0)),INDEX(Table3[[#All],[zScore]],MATCH(Table5[[#This Row],[PID]],Table3[[#All],[PID]],0)))</f>
        <v>1.3017624079347239</v>
      </c>
      <c r="S47" s="58" t="str">
        <f>IF($C47="B",INDEX(Batters[[#All],[DEM]],MATCH(Table5[[#This Row],[PID]],Batters[[#All],[PID]],0)),INDEX(Table3[[#All],[DEM]],MATCH(Table5[[#This Row],[PID]],Table3[[#All],[PID]],0)))</f>
        <v>$200k</v>
      </c>
      <c r="T47" s="62">
        <f>IF($C47="B",INDEX(Batters[[#All],[Rnk]],MATCH(Table5[[#This Row],[PID]],Batters[[#All],[PID]],0)),INDEX(Table3[[#All],[Rnk]],MATCH(Table5[[#This Row],[PID]],Table3[[#All],[PID]],0)))</f>
        <v>3</v>
      </c>
      <c r="U47" s="67">
        <f>IF($C47="B",VLOOKUP($A47,Bat!$A$4:$BA$1314,47,FALSE),VLOOKUP($A47,Pit!$A$4:$BF$1214,56,FALSE))</f>
        <v>25</v>
      </c>
      <c r="V47" s="50">
        <f>IF($C47="B",VLOOKUP($A47,Bat!$A$4:$BA$1314,48,FALSE),VLOOKUP($A47,Pit!$A$4:$BF$1214,57,FALSE))</f>
        <v>25</v>
      </c>
      <c r="W47" s="50">
        <v>45</v>
      </c>
      <c r="X47" s="51">
        <f>RANK(Table5[[#This Row],[zScore]],Table5[[#All],[zScore]])</f>
        <v>95</v>
      </c>
      <c r="Y47" s="50">
        <f>IFERROR(INDEX(DraftResults[[#All],[OVR]],MATCH(Table5[[#This Row],[PID]],DraftResults[[#All],[Player ID]],0)),"")</f>
        <v>63</v>
      </c>
      <c r="Z47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2</v>
      </c>
      <c r="AA47" s="50">
        <f>IFERROR(INDEX(DraftResults[[#All],[Pick in Round]],MATCH(Table5[[#This Row],[PID]],DraftResults[[#All],[Player ID]],0)),"")</f>
        <v>27</v>
      </c>
      <c r="AB47" s="50" t="str">
        <f>IFERROR(INDEX(DraftResults[[#All],[Team Name]],MATCH(Table5[[#This Row],[PID]],DraftResults[[#All],[Player ID]],0)),"")</f>
        <v>Kalamazoo Badgers</v>
      </c>
      <c r="AC47" s="50">
        <f>IF(Table5[[#This Row],[Ovr]]="","",IF(Table5[[#This Row],[cmbList]]="","",Table5[[#This Row],[cmbList]]-Table5[[#This Row],[Ovr]]))</f>
        <v>-18</v>
      </c>
      <c r="AD47" s="54" t="str">
        <f>IF(ISERROR(VLOOKUP($AB47&amp;"-"&amp;$E47&amp;" "&amp;F47,Bonuses!$B$1:$G$1006,4,FALSE)),"",INT(VLOOKUP($AB47&amp;"-"&amp;$E47&amp;" "&amp;$F47,Bonuses!$B$1:$G$1006,4,FALSE)))</f>
        <v/>
      </c>
      <c r="AE47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2.27 (63) - 1B Young-kyoo Kang</v>
      </c>
    </row>
    <row r="48" spans="1:31" s="50" customFormat="1" x14ac:dyDescent="0.3">
      <c r="A48" s="67">
        <v>11196</v>
      </c>
      <c r="B48" s="68">
        <f>COUNTIF(Table5[PID],A48)</f>
        <v>1</v>
      </c>
      <c r="C48" s="68" t="str">
        <f>IF(COUNTIF(Table3[[#All],[PID]],A48)&gt;0,"P","B")</f>
        <v>B</v>
      </c>
      <c r="D48" s="59" t="str">
        <f>IF($C48="B",INDEX(Batters[[#All],[POS]],MATCH(Table5[[#This Row],[PID]],Batters[[#All],[PID]],0)),INDEX(Table3[[#All],[POS]],MATCH(Table5[[#This Row],[PID]],Table3[[#All],[PID]],0)))</f>
        <v>SS</v>
      </c>
      <c r="E48" s="52" t="str">
        <f>IF($C48="B",INDEX(Batters[[#All],[First]],MATCH(Table5[[#This Row],[PID]],Batters[[#All],[PID]],0)),INDEX(Table3[[#All],[First]],MATCH(Table5[[#This Row],[PID]],Table3[[#All],[PID]],0)))</f>
        <v>Ron</v>
      </c>
      <c r="F48" s="55" t="str">
        <f>IF($C48="B",INDEX(Batters[[#All],[Last]],MATCH(A48,Batters[[#All],[PID]],0)),INDEX(Table3[[#All],[Last]],MATCH(A48,Table3[[#All],[PID]],0)))</f>
        <v>Lowery</v>
      </c>
      <c r="G48" s="56">
        <f>IF($C48="B",INDEX(Batters[[#All],[Age]],MATCH(Table5[[#This Row],[PID]],Batters[[#All],[PID]],0)),INDEX(Table3[[#All],[Age]],MATCH(Table5[[#This Row],[PID]],Table3[[#All],[PID]],0)))</f>
        <v>17</v>
      </c>
      <c r="H48" s="52" t="str">
        <f>IF($C48="B",INDEX(Batters[[#All],[B]],MATCH(Table5[[#This Row],[PID]],Batters[[#All],[PID]],0)),INDEX(Table3[[#All],[B]],MATCH(Table5[[#This Row],[PID]],Table3[[#All],[PID]],0)))</f>
        <v>R</v>
      </c>
      <c r="I48" s="52" t="str">
        <f>IF($C48="B",INDEX(Batters[[#All],[T]],MATCH(Table5[[#This Row],[PID]],Batters[[#All],[PID]],0)),INDEX(Table3[[#All],[T]],MATCH(Table5[[#This Row],[PID]],Table3[[#All],[PID]],0)))</f>
        <v>R</v>
      </c>
      <c r="J48" s="69" t="str">
        <f>IF($C48="B",INDEX(Batters[[#All],[WE]],MATCH(Table5[[#This Row],[PID]],Batters[[#All],[PID]],0)),INDEX(Table3[[#All],[WE]],MATCH(Table5[[#This Row],[PID]],Table3[[#All],[PID]],0)))</f>
        <v>Normal</v>
      </c>
      <c r="K48" s="52" t="str">
        <f>IF($C48="B",INDEX(Batters[[#All],[INT]],MATCH(Table5[[#This Row],[PID]],Batters[[#All],[PID]],0)),INDEX(Table3[[#All],[INT]],MATCH(Table5[[#This Row],[PID]],Table3[[#All],[PID]],0)))</f>
        <v>Normal</v>
      </c>
      <c r="L48" s="60">
        <f>IF($C48="B",INDEX(Batters[[#All],[CON P]],MATCH(Table5[[#This Row],[PID]],Batters[[#All],[PID]],0)),INDEX(Table3[[#All],[STU P]],MATCH(Table5[[#This Row],[PID]],Table3[[#All],[PID]],0)))</f>
        <v>5</v>
      </c>
      <c r="M48" s="70">
        <f>IF($C48="B",INDEX(Batters[[#All],[GAP P]],MATCH(Table5[[#This Row],[PID]],Batters[[#All],[PID]],0)),INDEX(Table3[[#All],[MOV P]],MATCH(Table5[[#This Row],[PID]],Table3[[#All],[PID]],0)))</f>
        <v>7</v>
      </c>
      <c r="N48" s="70">
        <f>IF($C48="B",INDEX(Batters[[#All],[POW P]],MATCH(Table5[[#This Row],[PID]],Batters[[#All],[PID]],0)),INDEX(Table3[[#All],[CON P]],MATCH(Table5[[#This Row],[PID]],Table3[[#All],[PID]],0)))</f>
        <v>3</v>
      </c>
      <c r="O48" s="70">
        <f>IF($C48="B",INDEX(Batters[[#All],[EYE P]],MATCH(Table5[[#This Row],[PID]],Batters[[#All],[PID]],0)),INDEX(Table3[[#All],[VELO]],MATCH(Table5[[#This Row],[PID]],Table3[[#All],[PID]],0)))</f>
        <v>5</v>
      </c>
      <c r="P48" s="56">
        <f>IF($C48="B",INDEX(Batters[[#All],[K P]],MATCH(Table5[[#This Row],[PID]],Batters[[#All],[PID]],0)),INDEX(Table3[[#All],[STM]],MATCH(Table5[[#This Row],[PID]],Table3[[#All],[PID]],0)))</f>
        <v>8</v>
      </c>
      <c r="Q48" s="61">
        <f>IF($C48="B",INDEX(Batters[[#All],[Tot]],MATCH(Table5[[#This Row],[PID]],Batters[[#All],[PID]],0)),INDEX(Table3[[#All],[Tot]],MATCH(Table5[[#This Row],[PID]],Table3[[#All],[PID]],0)))</f>
        <v>53.977277042597365</v>
      </c>
      <c r="R48" s="52">
        <f>IF($C48="B",INDEX(Batters[[#All],[zScore]],MATCH(Table5[[#This Row],[PID]],Batters[[#All],[PID]],0)),INDEX(Table3[[#All],[zScore]],MATCH(Table5[[#This Row],[PID]],Table3[[#All],[PID]],0)))</f>
        <v>1.57043972518832</v>
      </c>
      <c r="S48" s="75" t="str">
        <f>IF($C48="B",INDEX(Batters[[#All],[DEM]],MATCH(Table5[[#This Row],[PID]],Batters[[#All],[PID]],0)),INDEX(Table3[[#All],[DEM]],MATCH(Table5[[#This Row],[PID]],Table3[[#All],[PID]],0)))</f>
        <v>$500k</v>
      </c>
      <c r="T48" s="72">
        <f>IF($C48="B",INDEX(Batters[[#All],[Rnk]],MATCH(Table5[[#This Row],[PID]],Batters[[#All],[PID]],0)),INDEX(Table3[[#All],[Rnk]],MATCH(Table5[[#This Row],[PID]],Table3[[#All],[PID]],0)))</f>
        <v>3</v>
      </c>
      <c r="U48" s="67">
        <f>IF($C48="B",VLOOKUP($A48,Bat!$A$4:$BA$1314,47,FALSE),VLOOKUP($A48,Pit!$A$4:$BF$1214,56,FALSE))</f>
        <v>26</v>
      </c>
      <c r="V48" s="50">
        <f>IF($C48="B",VLOOKUP($A48,Bat!$A$4:$BA$1314,48,FALSE),VLOOKUP($A48,Pit!$A$4:$BF$1214,57,FALSE))</f>
        <v>26</v>
      </c>
      <c r="W48" s="68">
        <v>46</v>
      </c>
      <c r="X48" s="71">
        <f>RANK(Table5[[#This Row],[zScore]],Table5[[#All],[zScore]])</f>
        <v>72</v>
      </c>
      <c r="Y48" s="68">
        <f>IFERROR(INDEX(DraftResults[[#All],[OVR]],MATCH(Table5[[#This Row],[PID]],DraftResults[[#All],[Player ID]],0)),"")</f>
        <v>89</v>
      </c>
      <c r="Z48" s="7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3</v>
      </c>
      <c r="AA48" s="68">
        <f>IFERROR(INDEX(DraftResults[[#All],[Pick in Round]],MATCH(Table5[[#This Row],[PID]],DraftResults[[#All],[Player ID]],0)),"")</f>
        <v>17</v>
      </c>
      <c r="AB48" s="68" t="str">
        <f>IFERROR(INDEX(DraftResults[[#All],[Team Name]],MATCH(Table5[[#This Row],[PID]],DraftResults[[#All],[Player ID]],0)),"")</f>
        <v>Madison Malts</v>
      </c>
      <c r="AC48" s="68">
        <f>IF(Table5[[#This Row],[Ovr]]="","",IF(Table5[[#This Row],[cmbList]]="","",Table5[[#This Row],[cmbList]]-Table5[[#This Row],[Ovr]]))</f>
        <v>-43</v>
      </c>
      <c r="AD48" s="74" t="str">
        <f>IF(ISERROR(VLOOKUP($AB48&amp;"-"&amp;$E48&amp;" "&amp;F48,Bonuses!$B$1:$G$1006,4,FALSE)),"",INT(VLOOKUP($AB48&amp;"-"&amp;$E48&amp;" "&amp;$F48,Bonuses!$B$1:$G$1006,4,FALSE)))</f>
        <v/>
      </c>
      <c r="AE48" s="68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3.17 (89) - SS Ron Lowery</v>
      </c>
    </row>
    <row r="49" spans="1:31" s="50" customFormat="1" x14ac:dyDescent="0.3">
      <c r="A49" s="50">
        <v>9385</v>
      </c>
      <c r="B49" s="50">
        <f>COUNTIF(Table5[PID],A49)</f>
        <v>1</v>
      </c>
      <c r="C49" s="50" t="str">
        <f>IF(COUNTIF(Table3[[#All],[PID]],A49)&gt;0,"P","B")</f>
        <v>B</v>
      </c>
      <c r="D49" s="59" t="str">
        <f>IF($C49="B",INDEX(Batters[[#All],[POS]],MATCH(Table5[[#This Row],[PID]],Batters[[#All],[PID]],0)),INDEX(Table3[[#All],[POS]],MATCH(Table5[[#This Row],[PID]],Table3[[#All],[PID]],0)))</f>
        <v>SS</v>
      </c>
      <c r="E49" s="52" t="str">
        <f>IF($C49="B",INDEX(Batters[[#All],[First]],MATCH(Table5[[#This Row],[PID]],Batters[[#All],[PID]],0)),INDEX(Table3[[#All],[First]],MATCH(Table5[[#This Row],[PID]],Table3[[#All],[PID]],0)))</f>
        <v>Roger</v>
      </c>
      <c r="F49" s="50" t="str">
        <f>IF($C49="B",INDEX(Batters[[#All],[Last]],MATCH(A49,Batters[[#All],[PID]],0)),INDEX(Table3[[#All],[Last]],MATCH(A49,Table3[[#All],[PID]],0)))</f>
        <v>Miller</v>
      </c>
      <c r="G49" s="56">
        <f>IF($C49="B",INDEX(Batters[[#All],[Age]],MATCH(Table5[[#This Row],[PID]],Batters[[#All],[PID]],0)),INDEX(Table3[[#All],[Age]],MATCH(Table5[[#This Row],[PID]],Table3[[#All],[PID]],0)))</f>
        <v>17</v>
      </c>
      <c r="H49" s="52" t="str">
        <f>IF($C49="B",INDEX(Batters[[#All],[B]],MATCH(Table5[[#This Row],[PID]],Batters[[#All],[PID]],0)),INDEX(Table3[[#All],[B]],MATCH(Table5[[#This Row],[PID]],Table3[[#All],[PID]],0)))</f>
        <v>R</v>
      </c>
      <c r="I49" s="52" t="str">
        <f>IF($C49="B",INDEX(Batters[[#All],[T]],MATCH(Table5[[#This Row],[PID]],Batters[[#All],[PID]],0)),INDEX(Table3[[#All],[T]],MATCH(Table5[[#This Row],[PID]],Table3[[#All],[PID]],0)))</f>
        <v>R</v>
      </c>
      <c r="J49" s="52" t="str">
        <f>IF($C49="B",INDEX(Batters[[#All],[WE]],MATCH(Table5[[#This Row],[PID]],Batters[[#All],[PID]],0)),INDEX(Table3[[#All],[WE]],MATCH(Table5[[#This Row],[PID]],Table3[[#All],[PID]],0)))</f>
        <v>High</v>
      </c>
      <c r="K49" s="52" t="str">
        <f>IF($C49="B",INDEX(Batters[[#All],[INT]],MATCH(Table5[[#This Row],[PID]],Batters[[#All],[PID]],0)),INDEX(Table3[[#All],[INT]],MATCH(Table5[[#This Row],[PID]],Table3[[#All],[PID]],0)))</f>
        <v>Normal</v>
      </c>
      <c r="L49" s="60">
        <f>IF($C49="B",INDEX(Batters[[#All],[CON P]],MATCH(Table5[[#This Row],[PID]],Batters[[#All],[PID]],0)),INDEX(Table3[[#All],[STU P]],MATCH(Table5[[#This Row],[PID]],Table3[[#All],[PID]],0)))</f>
        <v>6</v>
      </c>
      <c r="M49" s="56">
        <f>IF($C49="B",INDEX(Batters[[#All],[GAP P]],MATCH(Table5[[#This Row],[PID]],Batters[[#All],[PID]],0)),INDEX(Table3[[#All],[MOV P]],MATCH(Table5[[#This Row],[PID]],Table3[[#All],[PID]],0)))</f>
        <v>6</v>
      </c>
      <c r="N49" s="56">
        <f>IF($C49="B",INDEX(Batters[[#All],[POW P]],MATCH(Table5[[#This Row],[PID]],Batters[[#All],[PID]],0)),INDEX(Table3[[#All],[CON P]],MATCH(Table5[[#This Row],[PID]],Table3[[#All],[PID]],0)))</f>
        <v>4</v>
      </c>
      <c r="O49" s="56">
        <f>IF($C49="B",INDEX(Batters[[#All],[EYE P]],MATCH(Table5[[#This Row],[PID]],Batters[[#All],[PID]],0)),INDEX(Table3[[#All],[VELO]],MATCH(Table5[[#This Row],[PID]],Table3[[#All],[PID]],0)))</f>
        <v>3</v>
      </c>
      <c r="P49" s="56">
        <f>IF($C49="B",INDEX(Batters[[#All],[K P]],MATCH(Table5[[#This Row],[PID]],Batters[[#All],[PID]],0)),INDEX(Table3[[#All],[STM]],MATCH(Table5[[#This Row],[PID]],Table3[[#All],[PID]],0)))</f>
        <v>8</v>
      </c>
      <c r="Q49" s="61">
        <f>IF($C49="B",INDEX(Batters[[#All],[Tot]],MATCH(Table5[[#This Row],[PID]],Batters[[#All],[PID]],0)),INDEX(Table3[[#All],[Tot]],MATCH(Table5[[#This Row],[PID]],Table3[[#All],[PID]],0)))</f>
        <v>56.297890178929578</v>
      </c>
      <c r="R49" s="52">
        <f>IF($C49="B",INDEX(Batters[[#All],[zScore]],MATCH(Table5[[#This Row],[PID]],Batters[[#All],[PID]],0)),INDEX(Table3[[#All],[zScore]],MATCH(Table5[[#This Row],[PID]],Table3[[#All],[PID]],0)))</f>
        <v>1.9091752379210818</v>
      </c>
      <c r="S49" s="58" t="str">
        <f>IF($C49="B",INDEX(Batters[[#All],[DEM]],MATCH(Table5[[#This Row],[PID]],Batters[[#All],[PID]],0)),INDEX(Table3[[#All],[DEM]],MATCH(Table5[[#This Row],[PID]],Table3[[#All],[PID]],0)))</f>
        <v>$200k</v>
      </c>
      <c r="T49" s="62">
        <f>IF($C49="B",INDEX(Batters[[#All],[Rnk]],MATCH(Table5[[#This Row],[PID]],Batters[[#All],[PID]],0)),INDEX(Table3[[#All],[Rnk]],MATCH(Table5[[#This Row],[PID]],Table3[[#All],[PID]],0)))</f>
        <v>4</v>
      </c>
      <c r="U49" s="67">
        <f>IF($C49="B",VLOOKUP($A49,Bat!$A$4:$BA$1314,47,FALSE),VLOOKUP($A49,Pit!$A$4:$BF$1214,56,FALSE))</f>
        <v>27</v>
      </c>
      <c r="V49" s="50">
        <f>IF($C49="B",VLOOKUP($A49,Bat!$A$4:$BA$1314,48,FALSE),VLOOKUP($A49,Pit!$A$4:$BF$1214,57,FALSE))</f>
        <v>27</v>
      </c>
      <c r="W49" s="50">
        <v>47</v>
      </c>
      <c r="X49" s="51">
        <f>RANK(Table5[[#This Row],[zScore]],Table5[[#All],[zScore]])</f>
        <v>45</v>
      </c>
      <c r="Y49" s="50">
        <f>IFERROR(INDEX(DraftResults[[#All],[OVR]],MATCH(Table5[[#This Row],[PID]],DraftResults[[#All],[Player ID]],0)),"")</f>
        <v>106</v>
      </c>
      <c r="Z49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4</v>
      </c>
      <c r="AA49" s="50">
        <f>IFERROR(INDEX(DraftResults[[#All],[Pick in Round]],MATCH(Table5[[#This Row],[PID]],DraftResults[[#All],[Player ID]],0)),"")</f>
        <v>1</v>
      </c>
      <c r="AB49" s="50" t="str">
        <f>IFERROR(INDEX(DraftResults[[#All],[Team Name]],MATCH(Table5[[#This Row],[PID]],DraftResults[[#All],[Player ID]],0)),"")</f>
        <v>Aurora Borealis</v>
      </c>
      <c r="AC49" s="50">
        <f>IF(Table5[[#This Row],[Ovr]]="","",IF(Table5[[#This Row],[cmbList]]="","",Table5[[#This Row],[cmbList]]-Table5[[#This Row],[Ovr]]))</f>
        <v>-59</v>
      </c>
      <c r="AD49" s="54" t="str">
        <f>IF(ISERROR(VLOOKUP($AB49&amp;"-"&amp;$E49&amp;" "&amp;F49,Bonuses!$B$1:$G$1006,4,FALSE)),"",INT(VLOOKUP($AB49&amp;"-"&amp;$E49&amp;" "&amp;$F49,Bonuses!$B$1:$G$1006,4,FALSE)))</f>
        <v/>
      </c>
      <c r="AE49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4.1 (106) - SS Roger Miller</v>
      </c>
    </row>
    <row r="50" spans="1:31" s="50" customFormat="1" x14ac:dyDescent="0.3">
      <c r="A50" s="50">
        <v>11619</v>
      </c>
      <c r="B50" s="50">
        <f>COUNTIF(Table5[PID],A50)</f>
        <v>1</v>
      </c>
      <c r="C50" s="50" t="str">
        <f>IF(COUNTIF(Table3[[#All],[PID]],A50)&gt;0,"P","B")</f>
        <v>B</v>
      </c>
      <c r="D50" s="59" t="str">
        <f>IF($C50="B",INDEX(Batters[[#All],[POS]],MATCH(Table5[[#This Row],[PID]],Batters[[#All],[PID]],0)),INDEX(Table3[[#All],[POS]],MATCH(Table5[[#This Row],[PID]],Table3[[#All],[PID]],0)))</f>
        <v>1B</v>
      </c>
      <c r="E50" s="52" t="str">
        <f>IF($C50="B",INDEX(Batters[[#All],[First]],MATCH(Table5[[#This Row],[PID]],Batters[[#All],[PID]],0)),INDEX(Table3[[#All],[First]],MATCH(Table5[[#This Row],[PID]],Table3[[#All],[PID]],0)))</f>
        <v>Juan</v>
      </c>
      <c r="F50" s="50" t="str">
        <f>IF($C50="B",INDEX(Batters[[#All],[Last]],MATCH(A50,Batters[[#All],[PID]],0)),INDEX(Table3[[#All],[Last]],MATCH(A50,Table3[[#All],[PID]],0)))</f>
        <v>Márquez</v>
      </c>
      <c r="G50" s="56">
        <f>IF($C50="B",INDEX(Batters[[#All],[Age]],MATCH(Table5[[#This Row],[PID]],Batters[[#All],[PID]],0)),INDEX(Table3[[#All],[Age]],MATCH(Table5[[#This Row],[PID]],Table3[[#All],[PID]],0)))</f>
        <v>17</v>
      </c>
      <c r="H50" s="52" t="str">
        <f>IF($C50="B",INDEX(Batters[[#All],[B]],MATCH(Table5[[#This Row],[PID]],Batters[[#All],[PID]],0)),INDEX(Table3[[#All],[B]],MATCH(Table5[[#This Row],[PID]],Table3[[#All],[PID]],0)))</f>
        <v>R</v>
      </c>
      <c r="I50" s="52" t="str">
        <f>IF($C50="B",INDEX(Batters[[#All],[T]],MATCH(Table5[[#This Row],[PID]],Batters[[#All],[PID]],0)),INDEX(Table3[[#All],[T]],MATCH(Table5[[#This Row],[PID]],Table3[[#All],[PID]],0)))</f>
        <v>R</v>
      </c>
      <c r="J50" s="52" t="str">
        <f>IF($C50="B",INDEX(Batters[[#All],[WE]],MATCH(Table5[[#This Row],[PID]],Batters[[#All],[PID]],0)),INDEX(Table3[[#All],[WE]],MATCH(Table5[[#This Row],[PID]],Table3[[#All],[PID]],0)))</f>
        <v>Normal</v>
      </c>
      <c r="K50" s="52" t="str">
        <f>IF($C50="B",INDEX(Batters[[#All],[INT]],MATCH(Table5[[#This Row],[PID]],Batters[[#All],[PID]],0)),INDEX(Table3[[#All],[INT]],MATCH(Table5[[#This Row],[PID]],Table3[[#All],[PID]],0)))</f>
        <v>Low</v>
      </c>
      <c r="L50" s="60">
        <f>IF($C50="B",INDEX(Batters[[#All],[CON P]],MATCH(Table5[[#This Row],[PID]],Batters[[#All],[PID]],0)),INDEX(Table3[[#All],[STU P]],MATCH(Table5[[#This Row],[PID]],Table3[[#All],[PID]],0)))</f>
        <v>4</v>
      </c>
      <c r="M50" s="56">
        <f>IF($C50="B",INDEX(Batters[[#All],[GAP P]],MATCH(Table5[[#This Row],[PID]],Batters[[#All],[PID]],0)),INDEX(Table3[[#All],[MOV P]],MATCH(Table5[[#This Row],[PID]],Table3[[#All],[PID]],0)))</f>
        <v>6</v>
      </c>
      <c r="N50" s="56">
        <f>IF($C50="B",INDEX(Batters[[#All],[POW P]],MATCH(Table5[[#This Row],[PID]],Batters[[#All],[PID]],0)),INDEX(Table3[[#All],[CON P]],MATCH(Table5[[#This Row],[PID]],Table3[[#All],[PID]],0)))</f>
        <v>8</v>
      </c>
      <c r="O50" s="56">
        <f>IF($C50="B",INDEX(Batters[[#All],[EYE P]],MATCH(Table5[[#This Row],[PID]],Batters[[#All],[PID]],0)),INDEX(Table3[[#All],[VELO]],MATCH(Table5[[#This Row],[PID]],Table3[[#All],[PID]],0)))</f>
        <v>7</v>
      </c>
      <c r="P50" s="56">
        <f>IF($C50="B",INDEX(Batters[[#All],[K P]],MATCH(Table5[[#This Row],[PID]],Batters[[#All],[PID]],0)),INDEX(Table3[[#All],[STM]],MATCH(Table5[[#This Row],[PID]],Table3[[#All],[PID]],0)))</f>
        <v>3</v>
      </c>
      <c r="Q50" s="61">
        <f>IF($C50="B",INDEX(Batters[[#All],[Tot]],MATCH(Table5[[#This Row],[PID]],Batters[[#All],[PID]],0)),INDEX(Table3[[#All],[Tot]],MATCH(Table5[[#This Row],[PID]],Table3[[#All],[PID]],0)))</f>
        <v>53.591353798581011</v>
      </c>
      <c r="R50" s="52">
        <f>IF($C50="B",INDEX(Batters[[#All],[zScore]],MATCH(Table5[[#This Row],[PID]],Batters[[#All],[PID]],0)),INDEX(Table3[[#All],[zScore]],MATCH(Table5[[#This Row],[PID]],Table3[[#All],[PID]],0)))</f>
        <v>1.5141072387903562</v>
      </c>
      <c r="S50" s="58" t="str">
        <f>IF($C50="B",INDEX(Batters[[#All],[DEM]],MATCH(Table5[[#This Row],[PID]],Batters[[#All],[PID]],0)),INDEX(Table3[[#All],[DEM]],MATCH(Table5[[#This Row],[PID]],Table3[[#All],[PID]],0)))</f>
        <v>$850k</v>
      </c>
      <c r="T50" s="62">
        <f>IF($C50="B",INDEX(Batters[[#All],[Rnk]],MATCH(Table5[[#This Row],[PID]],Batters[[#All],[PID]],0)),INDEX(Table3[[#All],[Rnk]],MATCH(Table5[[#This Row],[PID]],Table3[[#All],[PID]],0)))</f>
        <v>4</v>
      </c>
      <c r="U50" s="67">
        <f>IF($C50="B",VLOOKUP($A50,Bat!$A$4:$BA$1314,47,FALSE),VLOOKUP($A50,Pit!$A$4:$BF$1214,56,FALSE))</f>
        <v>28</v>
      </c>
      <c r="V50" s="50">
        <f>IF($C50="B",VLOOKUP($A50,Bat!$A$4:$BA$1314,48,FALSE),VLOOKUP($A50,Pit!$A$4:$BF$1214,57,FALSE))</f>
        <v>28</v>
      </c>
      <c r="W50" s="68">
        <v>48</v>
      </c>
      <c r="X50" s="51">
        <f>RANK(Table5[[#This Row],[zScore]],Table5[[#All],[zScore]])</f>
        <v>76</v>
      </c>
      <c r="Y50" s="50">
        <f>IFERROR(INDEX(DraftResults[[#All],[OVR]],MATCH(Table5[[#This Row],[PID]],DraftResults[[#All],[Player ID]],0)),"")</f>
        <v>115</v>
      </c>
      <c r="Z50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4</v>
      </c>
      <c r="AA50" s="50">
        <f>IFERROR(INDEX(DraftResults[[#All],[Pick in Round]],MATCH(Table5[[#This Row],[PID]],DraftResults[[#All],[Player ID]],0)),"")</f>
        <v>10</v>
      </c>
      <c r="AB50" s="50" t="str">
        <f>IFERROR(INDEX(DraftResults[[#All],[Team Name]],MATCH(Table5[[#This Row],[PID]],DraftResults[[#All],[Player ID]],0)),"")</f>
        <v>London Underground</v>
      </c>
      <c r="AC50" s="50">
        <f>IF(Table5[[#This Row],[Ovr]]="","",IF(Table5[[#This Row],[cmbList]]="","",Table5[[#This Row],[cmbList]]-Table5[[#This Row],[Ovr]]))</f>
        <v>-67</v>
      </c>
      <c r="AD50" s="54" t="str">
        <f>IF(ISERROR(VLOOKUP($AB50&amp;"-"&amp;$E50&amp;" "&amp;F50,Bonuses!$B$1:$G$1006,4,FALSE)),"",INT(VLOOKUP($AB50&amp;"-"&amp;$E50&amp;" "&amp;$F50,Bonuses!$B$1:$G$1006,4,FALSE)))</f>
        <v/>
      </c>
      <c r="AE50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4.10 (115) - 1B Juan Márquez</v>
      </c>
    </row>
    <row r="51" spans="1:31" s="50" customFormat="1" x14ac:dyDescent="0.3">
      <c r="A51" s="67">
        <v>13064</v>
      </c>
      <c r="B51" s="68">
        <f>COUNTIF(Table5[PID],A51)</f>
        <v>1</v>
      </c>
      <c r="C51" s="68" t="str">
        <f>IF(COUNTIF(Table3[[#All],[PID]],A51)&gt;0,"P","B")</f>
        <v>P</v>
      </c>
      <c r="D51" s="59" t="str">
        <f>IF($C51="B",INDEX(Batters[[#All],[POS]],MATCH(Table5[[#This Row],[PID]],Batters[[#All],[PID]],0)),INDEX(Table3[[#All],[POS]],MATCH(Table5[[#This Row],[PID]],Table3[[#All],[PID]],0)))</f>
        <v>SP</v>
      </c>
      <c r="E51" s="52" t="str">
        <f>IF($C51="B",INDEX(Batters[[#All],[First]],MATCH(Table5[[#This Row],[PID]],Batters[[#All],[PID]],0)),INDEX(Table3[[#All],[First]],MATCH(Table5[[#This Row],[PID]],Table3[[#All],[PID]],0)))</f>
        <v>Petro</v>
      </c>
      <c r="F51" s="55" t="str">
        <f>IF($C51="B",INDEX(Batters[[#All],[Last]],MATCH(A51,Batters[[#All],[PID]],0)),INDEX(Table3[[#All],[Last]],MATCH(A51,Table3[[#All],[PID]],0)))</f>
        <v>Bouchard</v>
      </c>
      <c r="G51" s="56">
        <f>IF($C51="B",INDEX(Batters[[#All],[Age]],MATCH(Table5[[#This Row],[PID]],Batters[[#All],[PID]],0)),INDEX(Table3[[#All],[Age]],MATCH(Table5[[#This Row],[PID]],Table3[[#All],[PID]],0)))</f>
        <v>18</v>
      </c>
      <c r="H51" s="52" t="str">
        <f>IF($C51="B",INDEX(Batters[[#All],[B]],MATCH(Table5[[#This Row],[PID]],Batters[[#All],[PID]],0)),INDEX(Table3[[#All],[B]],MATCH(Table5[[#This Row],[PID]],Table3[[#All],[PID]],0)))</f>
        <v>L</v>
      </c>
      <c r="I51" s="52" t="str">
        <f>IF($C51="B",INDEX(Batters[[#All],[T]],MATCH(Table5[[#This Row],[PID]],Batters[[#All],[PID]],0)),INDEX(Table3[[#All],[T]],MATCH(Table5[[#This Row],[PID]],Table3[[#All],[PID]],0)))</f>
        <v>L</v>
      </c>
      <c r="J51" s="69" t="str">
        <f>IF($C51="B",INDEX(Batters[[#All],[WE]],MATCH(Table5[[#This Row],[PID]],Batters[[#All],[PID]],0)),INDEX(Table3[[#All],[WE]],MATCH(Table5[[#This Row],[PID]],Table3[[#All],[PID]],0)))</f>
        <v>Normal</v>
      </c>
      <c r="K51" s="52" t="str">
        <f>IF($C51="B",INDEX(Batters[[#All],[INT]],MATCH(Table5[[#This Row],[PID]],Batters[[#All],[PID]],0)),INDEX(Table3[[#All],[INT]],MATCH(Table5[[#This Row],[PID]],Table3[[#All],[PID]],0)))</f>
        <v>Normal</v>
      </c>
      <c r="L51" s="60">
        <f>IF($C51="B",INDEX(Batters[[#All],[CON P]],MATCH(Table5[[#This Row],[PID]],Batters[[#All],[PID]],0)),INDEX(Table3[[#All],[STU P]],MATCH(Table5[[#This Row],[PID]],Table3[[#All],[PID]],0)))</f>
        <v>5</v>
      </c>
      <c r="M51" s="70">
        <f>IF($C51="B",INDEX(Batters[[#All],[GAP P]],MATCH(Table5[[#This Row],[PID]],Batters[[#All],[PID]],0)),INDEX(Table3[[#All],[MOV P]],MATCH(Table5[[#This Row],[PID]],Table3[[#All],[PID]],0)))</f>
        <v>4</v>
      </c>
      <c r="N51" s="70">
        <f>IF($C51="B",INDEX(Batters[[#All],[POW P]],MATCH(Table5[[#This Row],[PID]],Batters[[#All],[PID]],0)),INDEX(Table3[[#All],[CON P]],MATCH(Table5[[#This Row],[PID]],Table3[[#All],[PID]],0)))</f>
        <v>6</v>
      </c>
      <c r="O51" s="70" t="str">
        <f>IF($C51="B",INDEX(Batters[[#All],[EYE P]],MATCH(Table5[[#This Row],[PID]],Batters[[#All],[PID]],0)),INDEX(Table3[[#All],[VELO]],MATCH(Table5[[#This Row],[PID]],Table3[[#All],[PID]],0)))</f>
        <v>92-94 Mph</v>
      </c>
      <c r="P51" s="56">
        <f>IF($C51="B",INDEX(Batters[[#All],[K P]],MATCH(Table5[[#This Row],[PID]],Batters[[#All],[PID]],0)),INDEX(Table3[[#All],[STM]],MATCH(Table5[[#This Row],[PID]],Table3[[#All],[PID]],0)))</f>
        <v>9</v>
      </c>
      <c r="Q51" s="61">
        <f>IF($C51="B",INDEX(Batters[[#All],[Tot]],MATCH(Table5[[#This Row],[PID]],Batters[[#All],[PID]],0)),INDEX(Table3[[#All],[Tot]],MATCH(Table5[[#This Row],[PID]],Table3[[#All],[PID]],0)))</f>
        <v>63.346595907564506</v>
      </c>
      <c r="R51" s="52">
        <f>IF($C51="B",INDEX(Batters[[#All],[zScore]],MATCH(Table5[[#This Row],[PID]],Batters[[#All],[PID]],0)),INDEX(Table3[[#All],[zScore]],MATCH(Table5[[#This Row],[PID]],Table3[[#All],[PID]],0)))</f>
        <v>1.8189133959913744</v>
      </c>
      <c r="S51" s="75" t="str">
        <f>IF($C51="B",INDEX(Batters[[#All],[DEM]],MATCH(Table5[[#This Row],[PID]],Batters[[#All],[PID]],0)),INDEX(Table3[[#All],[DEM]],MATCH(Table5[[#This Row],[PID]],Table3[[#All],[PID]],0)))</f>
        <v>$2.8m</v>
      </c>
      <c r="T51" s="72">
        <f>IF($C51="B",INDEX(Batters[[#All],[Rnk]],MATCH(Table5[[#This Row],[PID]],Batters[[#All],[PID]],0)),INDEX(Table3[[#All],[Rnk]],MATCH(Table5[[#This Row],[PID]],Table3[[#All],[PID]],0)))</f>
        <v>13</v>
      </c>
      <c r="U51" s="67">
        <f>IF($C51="B",VLOOKUP($A51,Bat!$A$4:$BA$1314,47,FALSE),VLOOKUP($A51,Pit!$A$4:$BF$1214,56,FALSE))</f>
        <v>21</v>
      </c>
      <c r="V51" s="50">
        <f>IF($C51="B",VLOOKUP($A51,Bat!$A$4:$BA$1314,48,FALSE),VLOOKUP($A51,Pit!$A$4:$BF$1214,57,FALSE))</f>
        <v>0</v>
      </c>
      <c r="W51" s="50">
        <v>49</v>
      </c>
      <c r="X51" s="71">
        <f>RANK(Table5[[#This Row],[zScore]],Table5[[#All],[zScore]])</f>
        <v>51</v>
      </c>
      <c r="Y51" s="68">
        <f>IFERROR(INDEX(DraftResults[[#All],[OVR]],MATCH(Table5[[#This Row],[PID]],DraftResults[[#All],[Player ID]],0)),"")</f>
        <v>46</v>
      </c>
      <c r="Z51" s="7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2</v>
      </c>
      <c r="AA51" s="68">
        <f>IFERROR(INDEX(DraftResults[[#All],[Pick in Round]],MATCH(Table5[[#This Row],[PID]],DraftResults[[#All],[Player ID]],0)),"")</f>
        <v>10</v>
      </c>
      <c r="AB51" s="68" t="str">
        <f>IFERROR(INDEX(DraftResults[[#All],[Team Name]],MATCH(Table5[[#This Row],[PID]],DraftResults[[#All],[Player ID]],0)),"")</f>
        <v>London Underground</v>
      </c>
      <c r="AC51" s="68">
        <f>IF(Table5[[#This Row],[Ovr]]="","",IF(Table5[[#This Row],[cmbList]]="","",Table5[[#This Row],[cmbList]]-Table5[[#This Row],[Ovr]]))</f>
        <v>3</v>
      </c>
      <c r="AD51" s="74" t="str">
        <f>IF(ISERROR(VLOOKUP($AB51&amp;"-"&amp;$E51&amp;" "&amp;F51,Bonuses!$B$1:$G$1006,4,FALSE)),"",INT(VLOOKUP($AB51&amp;"-"&amp;$E51&amp;" "&amp;$F51,Bonuses!$B$1:$G$1006,4,FALSE)))</f>
        <v/>
      </c>
      <c r="AE51" s="68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2.10 (46) - SP Petro Bouchard</v>
      </c>
    </row>
    <row r="52" spans="1:31" s="50" customFormat="1" x14ac:dyDescent="0.3">
      <c r="A52" s="50">
        <v>10013</v>
      </c>
      <c r="B52" s="50">
        <f>COUNTIF(Table5[PID],A52)</f>
        <v>1</v>
      </c>
      <c r="C52" s="50" t="str">
        <f>IF(COUNTIF(Table3[[#All],[PID]],A52)&gt;0,"P","B")</f>
        <v>P</v>
      </c>
      <c r="D52" s="59" t="str">
        <f>IF($C52="B",INDEX(Batters[[#All],[POS]],MATCH(Table5[[#This Row],[PID]],Batters[[#All],[PID]],0)),INDEX(Table3[[#All],[POS]],MATCH(Table5[[#This Row],[PID]],Table3[[#All],[PID]],0)))</f>
        <v>SP</v>
      </c>
      <c r="E52" s="52" t="str">
        <f>IF($C52="B",INDEX(Batters[[#All],[First]],MATCH(Table5[[#This Row],[PID]],Batters[[#All],[PID]],0)),INDEX(Table3[[#All],[First]],MATCH(Table5[[#This Row],[PID]],Table3[[#All],[PID]],0)))</f>
        <v>Jimmy</v>
      </c>
      <c r="F52" s="50" t="str">
        <f>IF($C52="B",INDEX(Batters[[#All],[Last]],MATCH(A52,Batters[[#All],[PID]],0)),INDEX(Table3[[#All],[Last]],MATCH(A52,Table3[[#All],[PID]],0)))</f>
        <v>Horne</v>
      </c>
      <c r="G52" s="56">
        <f>IF($C52="B",INDEX(Batters[[#All],[Age]],MATCH(Table5[[#This Row],[PID]],Batters[[#All],[PID]],0)),INDEX(Table3[[#All],[Age]],MATCH(Table5[[#This Row],[PID]],Table3[[#All],[PID]],0)))</f>
        <v>17</v>
      </c>
      <c r="H52" s="52" t="str">
        <f>IF($C52="B",INDEX(Batters[[#All],[B]],MATCH(Table5[[#This Row],[PID]],Batters[[#All],[PID]],0)),INDEX(Table3[[#All],[B]],MATCH(Table5[[#This Row],[PID]],Table3[[#All],[PID]],0)))</f>
        <v>R</v>
      </c>
      <c r="I52" s="52" t="str">
        <f>IF($C52="B",INDEX(Batters[[#All],[T]],MATCH(Table5[[#This Row],[PID]],Batters[[#All],[PID]],0)),INDEX(Table3[[#All],[T]],MATCH(Table5[[#This Row],[PID]],Table3[[#All],[PID]],0)))</f>
        <v>R</v>
      </c>
      <c r="J52" s="52" t="str">
        <f>IF($C52="B",INDEX(Batters[[#All],[WE]],MATCH(Table5[[#This Row],[PID]],Batters[[#All],[PID]],0)),INDEX(Table3[[#All],[WE]],MATCH(Table5[[#This Row],[PID]],Table3[[#All],[PID]],0)))</f>
        <v>Normal</v>
      </c>
      <c r="K52" s="52" t="str">
        <f>IF($C52="B",INDEX(Batters[[#All],[INT]],MATCH(Table5[[#This Row],[PID]],Batters[[#All],[PID]],0)),INDEX(Table3[[#All],[INT]],MATCH(Table5[[#This Row],[PID]],Table3[[#All],[PID]],0)))</f>
        <v>Normal</v>
      </c>
      <c r="L52" s="60">
        <f>IF($C52="B",INDEX(Batters[[#All],[CON P]],MATCH(Table5[[#This Row],[PID]],Batters[[#All],[PID]],0)),INDEX(Table3[[#All],[STU P]],MATCH(Table5[[#This Row],[PID]],Table3[[#All],[PID]],0)))</f>
        <v>6</v>
      </c>
      <c r="M52" s="56">
        <f>IF($C52="B",INDEX(Batters[[#All],[GAP P]],MATCH(Table5[[#This Row],[PID]],Batters[[#All],[PID]],0)),INDEX(Table3[[#All],[MOV P]],MATCH(Table5[[#This Row],[PID]],Table3[[#All],[PID]],0)))</f>
        <v>6</v>
      </c>
      <c r="N52" s="56">
        <f>IF($C52="B",INDEX(Batters[[#All],[POW P]],MATCH(Table5[[#This Row],[PID]],Batters[[#All],[PID]],0)),INDEX(Table3[[#All],[CON P]],MATCH(Table5[[#This Row],[PID]],Table3[[#All],[PID]],0)))</f>
        <v>5</v>
      </c>
      <c r="O52" s="56" t="str">
        <f>IF($C52="B",INDEX(Batters[[#All],[EYE P]],MATCH(Table5[[#This Row],[PID]],Batters[[#All],[PID]],0)),INDEX(Table3[[#All],[VELO]],MATCH(Table5[[#This Row],[PID]],Table3[[#All],[PID]],0)))</f>
        <v>97-99 Mph</v>
      </c>
      <c r="P52" s="56">
        <f>IF($C52="B",INDEX(Batters[[#All],[K P]],MATCH(Table5[[#This Row],[PID]],Batters[[#All],[PID]],0)),INDEX(Table3[[#All],[STM]],MATCH(Table5[[#This Row],[PID]],Table3[[#All],[PID]],0)))</f>
        <v>7</v>
      </c>
      <c r="Q52" s="61">
        <f>IF($C52="B",INDEX(Batters[[#All],[Tot]],MATCH(Table5[[#This Row],[PID]],Batters[[#All],[PID]],0)),INDEX(Table3[[#All],[Tot]],MATCH(Table5[[#This Row],[PID]],Table3[[#All],[PID]],0)))</f>
        <v>69.588607602544542</v>
      </c>
      <c r="R52" s="52">
        <f>IF($C52="B",INDEX(Batters[[#All],[zScore]],MATCH(Table5[[#This Row],[PID]],Batters[[#All],[PID]],0)),INDEX(Table3[[#All],[zScore]],MATCH(Table5[[#This Row],[PID]],Table3[[#All],[PID]],0)))</f>
        <v>2.2633885279493153</v>
      </c>
      <c r="S52" s="58" t="str">
        <f>IF($C52="B",INDEX(Batters[[#All],[DEM]],MATCH(Table5[[#This Row],[PID]],Batters[[#All],[PID]],0)),INDEX(Table3[[#All],[DEM]],MATCH(Table5[[#This Row],[PID]],Table3[[#All],[PID]],0)))</f>
        <v>$3.4m</v>
      </c>
      <c r="T52" s="62">
        <f>IF($C52="B",INDEX(Batters[[#All],[Rnk]],MATCH(Table5[[#This Row],[PID]],Batters[[#All],[PID]],0)),INDEX(Table3[[#All],[Rnk]],MATCH(Table5[[#This Row],[PID]],Table3[[#All],[PID]],0)))</f>
        <v>14</v>
      </c>
      <c r="U52" s="67">
        <f>IF($C52="B",VLOOKUP($A52,Bat!$A$4:$BA$1314,47,FALSE),VLOOKUP($A52,Pit!$A$4:$BF$1214,56,FALSE))</f>
        <v>22</v>
      </c>
      <c r="V52" s="50">
        <f>IF($C52="B",VLOOKUP($A52,Bat!$A$4:$BA$1314,48,FALSE),VLOOKUP($A52,Pit!$A$4:$BF$1214,57,FALSE))</f>
        <v>0</v>
      </c>
      <c r="W52" s="68">
        <v>50</v>
      </c>
      <c r="X52" s="51">
        <f>RANK(Table5[[#This Row],[zScore]],Table5[[#All],[zScore]])</f>
        <v>30</v>
      </c>
      <c r="Y52" s="50">
        <f>IFERROR(INDEX(DraftResults[[#All],[OVR]],MATCH(Table5[[#This Row],[PID]],DraftResults[[#All],[Player ID]],0)),"")</f>
        <v>62</v>
      </c>
      <c r="Z52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2</v>
      </c>
      <c r="AA52" s="50">
        <f>IFERROR(INDEX(DraftResults[[#All],[Pick in Round]],MATCH(Table5[[#This Row],[PID]],DraftResults[[#All],[Player ID]],0)),"")</f>
        <v>26</v>
      </c>
      <c r="AB52" s="50" t="str">
        <f>IFERROR(INDEX(DraftResults[[#All],[Team Name]],MATCH(Table5[[#This Row],[PID]],DraftResults[[#All],[Player ID]],0)),"")</f>
        <v>Reno Zephyrs</v>
      </c>
      <c r="AC52" s="50">
        <f>IF(Table5[[#This Row],[Ovr]]="","",IF(Table5[[#This Row],[cmbList]]="","",Table5[[#This Row],[cmbList]]-Table5[[#This Row],[Ovr]]))</f>
        <v>-12</v>
      </c>
      <c r="AD52" s="54" t="str">
        <f>IF(ISERROR(VLOOKUP($AB52&amp;"-"&amp;$E52&amp;" "&amp;F52,Bonuses!$B$1:$G$1006,4,FALSE)),"",INT(VLOOKUP($AB52&amp;"-"&amp;$E52&amp;" "&amp;$F52,Bonuses!$B$1:$G$1006,4,FALSE)))</f>
        <v/>
      </c>
      <c r="AE52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2.26 (62) - SP Jimmy Horne</v>
      </c>
    </row>
    <row r="53" spans="1:31" s="50" customFormat="1" x14ac:dyDescent="0.3">
      <c r="A53" s="67">
        <v>7783</v>
      </c>
      <c r="B53" s="68">
        <f>COUNTIF(Table5[PID],A53)</f>
        <v>1</v>
      </c>
      <c r="C53" s="68" t="str">
        <f>IF(COUNTIF(Table3[[#All],[PID]],A53)&gt;0,"P","B")</f>
        <v>P</v>
      </c>
      <c r="D53" s="59" t="str">
        <f>IF($C53="B",INDEX(Batters[[#All],[POS]],MATCH(Table5[[#This Row],[PID]],Batters[[#All],[PID]],0)),INDEX(Table3[[#All],[POS]],MATCH(Table5[[#This Row],[PID]],Table3[[#All],[PID]],0)))</f>
        <v>SP</v>
      </c>
      <c r="E53" s="52" t="str">
        <f>IF($C53="B",INDEX(Batters[[#All],[First]],MATCH(Table5[[#This Row],[PID]],Batters[[#All],[PID]],0)),INDEX(Table3[[#All],[First]],MATCH(Table5[[#This Row],[PID]],Table3[[#All],[PID]],0)))</f>
        <v>Nelson</v>
      </c>
      <c r="F53" s="55" t="str">
        <f>IF($C53="B",INDEX(Batters[[#All],[Last]],MATCH(A53,Batters[[#All],[PID]],0)),INDEX(Table3[[#All],[Last]],MATCH(A53,Table3[[#All],[PID]],0)))</f>
        <v>García</v>
      </c>
      <c r="G53" s="56">
        <f>IF($C53="B",INDEX(Batters[[#All],[Age]],MATCH(Table5[[#This Row],[PID]],Batters[[#All],[PID]],0)),INDEX(Table3[[#All],[Age]],MATCH(Table5[[#This Row],[PID]],Table3[[#All],[PID]],0)))</f>
        <v>21</v>
      </c>
      <c r="H53" s="52" t="str">
        <f>IF($C53="B",INDEX(Batters[[#All],[B]],MATCH(Table5[[#This Row],[PID]],Batters[[#All],[PID]],0)),INDEX(Table3[[#All],[B]],MATCH(Table5[[#This Row],[PID]],Table3[[#All],[PID]],0)))</f>
        <v>L</v>
      </c>
      <c r="I53" s="52" t="str">
        <f>IF($C53="B",INDEX(Batters[[#All],[T]],MATCH(Table5[[#This Row],[PID]],Batters[[#All],[PID]],0)),INDEX(Table3[[#All],[T]],MATCH(Table5[[#This Row],[PID]],Table3[[#All],[PID]],0)))</f>
        <v>L</v>
      </c>
      <c r="J53" s="69" t="str">
        <f>IF($C53="B",INDEX(Batters[[#All],[WE]],MATCH(Table5[[#This Row],[PID]],Batters[[#All],[PID]],0)),INDEX(Table3[[#All],[WE]],MATCH(Table5[[#This Row],[PID]],Table3[[#All],[PID]],0)))</f>
        <v>Normal</v>
      </c>
      <c r="K53" s="52" t="str">
        <f>IF($C53="B",INDEX(Batters[[#All],[INT]],MATCH(Table5[[#This Row],[PID]],Batters[[#All],[PID]],0)),INDEX(Table3[[#All],[INT]],MATCH(Table5[[#This Row],[PID]],Table3[[#All],[PID]],0)))</f>
        <v>Normal</v>
      </c>
      <c r="L53" s="60">
        <f>IF($C53="B",INDEX(Batters[[#All],[CON P]],MATCH(Table5[[#This Row],[PID]],Batters[[#All],[PID]],0)),INDEX(Table3[[#All],[STU P]],MATCH(Table5[[#This Row],[PID]],Table3[[#All],[PID]],0)))</f>
        <v>6</v>
      </c>
      <c r="M53" s="70">
        <f>IF($C53="B",INDEX(Batters[[#All],[GAP P]],MATCH(Table5[[#This Row],[PID]],Batters[[#All],[PID]],0)),INDEX(Table3[[#All],[MOV P]],MATCH(Table5[[#This Row],[PID]],Table3[[#All],[PID]],0)))</f>
        <v>4</v>
      </c>
      <c r="N53" s="70">
        <f>IF($C53="B",INDEX(Batters[[#All],[POW P]],MATCH(Table5[[#This Row],[PID]],Batters[[#All],[PID]],0)),INDEX(Table3[[#All],[CON P]],MATCH(Table5[[#This Row],[PID]],Table3[[#All],[PID]],0)))</f>
        <v>5</v>
      </c>
      <c r="O53" s="70" t="str">
        <f>IF($C53="B",INDEX(Batters[[#All],[EYE P]],MATCH(Table5[[#This Row],[PID]],Batters[[#All],[PID]],0)),INDEX(Table3[[#All],[VELO]],MATCH(Table5[[#This Row],[PID]],Table3[[#All],[PID]],0)))</f>
        <v>94-96 Mph</v>
      </c>
      <c r="P53" s="56">
        <f>IF($C53="B",INDEX(Batters[[#All],[K P]],MATCH(Table5[[#This Row],[PID]],Batters[[#All],[PID]],0)),INDEX(Table3[[#All],[STM]],MATCH(Table5[[#This Row],[PID]],Table3[[#All],[PID]],0)))</f>
        <v>4</v>
      </c>
      <c r="Q53" s="61">
        <f>IF($C53="B",INDEX(Batters[[#All],[Tot]],MATCH(Table5[[#This Row],[PID]],Batters[[#All],[PID]],0)),INDEX(Table3[[#All],[Tot]],MATCH(Table5[[#This Row],[PID]],Table3[[#All],[PID]],0)))</f>
        <v>55.073976355664257</v>
      </c>
      <c r="R53" s="52">
        <f>IF($C53="B",INDEX(Batters[[#All],[zScore]],MATCH(Table5[[#This Row],[PID]],Batters[[#All],[PID]],0)),INDEX(Table3[[#All],[zScore]],MATCH(Table5[[#This Row],[PID]],Table3[[#All],[PID]],0)))</f>
        <v>1.2298447036135933</v>
      </c>
      <c r="S53" s="75" t="str">
        <f>IF($C53="B",INDEX(Batters[[#All],[DEM]],MATCH(Table5[[#This Row],[PID]],Batters[[#All],[PID]],0)),INDEX(Table3[[#All],[DEM]],MATCH(Table5[[#This Row],[PID]],Table3[[#All],[PID]],0)))</f>
        <v>$480k</v>
      </c>
      <c r="T53" s="72">
        <f>IF($C53="B",INDEX(Batters[[#All],[Rnk]],MATCH(Table5[[#This Row],[PID]],Batters[[#All],[PID]],0)),INDEX(Table3[[#All],[Rnk]],MATCH(Table5[[#This Row],[PID]],Table3[[#All],[PID]],0)))</f>
        <v>9</v>
      </c>
      <c r="U53" s="67">
        <f>IF($C53="B",VLOOKUP($A53,Bat!$A$4:$BA$1314,47,FALSE),VLOOKUP($A53,Pit!$A$4:$BF$1214,56,FALSE))</f>
        <v>23</v>
      </c>
      <c r="V53" s="50">
        <f>IF($C53="B",VLOOKUP($A53,Bat!$A$4:$BA$1314,48,FALSE),VLOOKUP($A53,Pit!$A$4:$BF$1214,57,FALSE))</f>
        <v>0</v>
      </c>
      <c r="W53" s="50">
        <v>51</v>
      </c>
      <c r="X53" s="71">
        <f>RANK(Table5[[#This Row],[zScore]],Table5[[#All],[zScore]])</f>
        <v>113</v>
      </c>
      <c r="Y53" s="68">
        <f>IFERROR(INDEX(DraftResults[[#All],[OVR]],MATCH(Table5[[#This Row],[PID]],DraftResults[[#All],[Player ID]],0)),"")</f>
        <v>100</v>
      </c>
      <c r="Z53" s="7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3</v>
      </c>
      <c r="AA53" s="68">
        <f>IFERROR(INDEX(DraftResults[[#All],[Pick in Round]],MATCH(Table5[[#This Row],[PID]],DraftResults[[#All],[Player ID]],0)),"")</f>
        <v>28</v>
      </c>
      <c r="AB53" s="68" t="str">
        <f>IFERROR(INDEX(DraftResults[[#All],[Team Name]],MATCH(Table5[[#This Row],[PID]],DraftResults[[#All],[Player ID]],0)),"")</f>
        <v>Havana Leones</v>
      </c>
      <c r="AC53" s="68">
        <f>IF(Table5[[#This Row],[Ovr]]="","",IF(Table5[[#This Row],[cmbList]]="","",Table5[[#This Row],[cmbList]]-Table5[[#This Row],[Ovr]]))</f>
        <v>-49</v>
      </c>
      <c r="AD53" s="74" t="str">
        <f>IF(ISERROR(VLOOKUP($AB53&amp;"-"&amp;$E53&amp;" "&amp;F53,Bonuses!$B$1:$G$1006,4,FALSE)),"",INT(VLOOKUP($AB53&amp;"-"&amp;$E53&amp;" "&amp;$F53,Bonuses!$B$1:$G$1006,4,FALSE)))</f>
        <v/>
      </c>
      <c r="AE53" s="68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3.28 (100) - SP Nelson García</v>
      </c>
    </row>
    <row r="54" spans="1:31" s="50" customFormat="1" x14ac:dyDescent="0.3">
      <c r="A54" s="50">
        <v>10405</v>
      </c>
      <c r="B54" s="55">
        <f>COUNTIF(Table5[PID],A54)</f>
        <v>1</v>
      </c>
      <c r="C54" s="55" t="str">
        <f>IF(COUNTIF(Table3[[#All],[PID]],A54)&gt;0,"P","B")</f>
        <v>P</v>
      </c>
      <c r="D54" s="59" t="str">
        <f>IF($C54="B",INDEX(Batters[[#All],[POS]],MATCH(Table5[[#This Row],[PID]],Batters[[#All],[PID]],0)),INDEX(Table3[[#All],[POS]],MATCH(Table5[[#This Row],[PID]],Table3[[#All],[PID]],0)))</f>
        <v>SP</v>
      </c>
      <c r="E54" s="52" t="str">
        <f>IF($C54="B",INDEX(Batters[[#All],[First]],MATCH(Table5[[#This Row],[PID]],Batters[[#All],[PID]],0)),INDEX(Table3[[#All],[First]],MATCH(Table5[[#This Row],[PID]],Table3[[#All],[PID]],0)))</f>
        <v>Michael</v>
      </c>
      <c r="F54" s="50" t="str">
        <f>IF($C54="B",INDEX(Batters[[#All],[Last]],MATCH(A54,Batters[[#All],[PID]],0)),INDEX(Table3[[#All],[Last]],MATCH(A54,Table3[[#All],[PID]],0)))</f>
        <v>Johnson</v>
      </c>
      <c r="G54" s="56">
        <f>IF($C54="B",INDEX(Batters[[#All],[Age]],MATCH(Table5[[#This Row],[PID]],Batters[[#All],[PID]],0)),INDEX(Table3[[#All],[Age]],MATCH(Table5[[#This Row],[PID]],Table3[[#All],[PID]],0)))</f>
        <v>17</v>
      </c>
      <c r="H54" s="52" t="str">
        <f>IF($C54="B",INDEX(Batters[[#All],[B]],MATCH(Table5[[#This Row],[PID]],Batters[[#All],[PID]],0)),INDEX(Table3[[#All],[B]],MATCH(Table5[[#This Row],[PID]],Table3[[#All],[PID]],0)))</f>
        <v>R</v>
      </c>
      <c r="I54" s="52" t="str">
        <f>IF($C54="B",INDEX(Batters[[#All],[T]],MATCH(Table5[[#This Row],[PID]],Batters[[#All],[PID]],0)),INDEX(Table3[[#All],[T]],MATCH(Table5[[#This Row],[PID]],Table3[[#All],[PID]],0)))</f>
        <v>R</v>
      </c>
      <c r="J54" s="52" t="str">
        <f>IF($C54="B",INDEX(Batters[[#All],[WE]],MATCH(Table5[[#This Row],[PID]],Batters[[#All],[PID]],0)),INDEX(Table3[[#All],[WE]],MATCH(Table5[[#This Row],[PID]],Table3[[#All],[PID]],0)))</f>
        <v>Normal</v>
      </c>
      <c r="K54" s="52" t="str">
        <f>IF($C54="B",INDEX(Batters[[#All],[INT]],MATCH(Table5[[#This Row],[PID]],Batters[[#All],[PID]],0)),INDEX(Table3[[#All],[INT]],MATCH(Table5[[#This Row],[PID]],Table3[[#All],[PID]],0)))</f>
        <v>Low</v>
      </c>
      <c r="L54" s="60">
        <f>IF($C54="B",INDEX(Batters[[#All],[CON P]],MATCH(Table5[[#This Row],[PID]],Batters[[#All],[PID]],0)),INDEX(Table3[[#All],[STU P]],MATCH(Table5[[#This Row],[PID]],Table3[[#All],[PID]],0)))</f>
        <v>6</v>
      </c>
      <c r="M54" s="56">
        <f>IF($C54="B",INDEX(Batters[[#All],[GAP P]],MATCH(Table5[[#This Row],[PID]],Batters[[#All],[PID]],0)),INDEX(Table3[[#All],[MOV P]],MATCH(Table5[[#This Row],[PID]],Table3[[#All],[PID]],0)))</f>
        <v>4</v>
      </c>
      <c r="N54" s="56">
        <f>IF($C54="B",INDEX(Batters[[#All],[POW P]],MATCH(Table5[[#This Row],[PID]],Batters[[#All],[PID]],0)),INDEX(Table3[[#All],[CON P]],MATCH(Table5[[#This Row],[PID]],Table3[[#All],[PID]],0)))</f>
        <v>5</v>
      </c>
      <c r="O54" s="56" t="str">
        <f>IF($C54="B",INDEX(Batters[[#All],[EYE P]],MATCH(Table5[[#This Row],[PID]],Batters[[#All],[PID]],0)),INDEX(Table3[[#All],[VELO]],MATCH(Table5[[#This Row],[PID]],Table3[[#All],[PID]],0)))</f>
        <v>98-100 Mph</v>
      </c>
      <c r="P54" s="56">
        <f>IF($C54="B",INDEX(Batters[[#All],[K P]],MATCH(Table5[[#This Row],[PID]],Batters[[#All],[PID]],0)),INDEX(Table3[[#All],[STM]],MATCH(Table5[[#This Row],[PID]],Table3[[#All],[PID]],0)))</f>
        <v>6</v>
      </c>
      <c r="Q54" s="61">
        <f>IF($C54="B",INDEX(Batters[[#All],[Tot]],MATCH(Table5[[#This Row],[PID]],Batters[[#All],[PID]],0)),INDEX(Table3[[#All],[Tot]],MATCH(Table5[[#This Row],[PID]],Table3[[#All],[PID]],0)))</f>
        <v>64.357676601553507</v>
      </c>
      <c r="R54" s="52">
        <f>IF($C54="B",INDEX(Batters[[#All],[zScore]],MATCH(Table5[[#This Row],[PID]],Batters[[#All],[PID]],0)),INDEX(Table3[[#All],[zScore]],MATCH(Table5[[#This Row],[PID]],Table3[[#All],[PID]],0)))</f>
        <v>1.8909094522054801</v>
      </c>
      <c r="S54" s="58" t="str">
        <f>IF($C54="B",INDEX(Batters[[#All],[DEM]],MATCH(Table5[[#This Row],[PID]],Batters[[#All],[PID]],0)),INDEX(Table3[[#All],[DEM]],MATCH(Table5[[#This Row],[PID]],Table3[[#All],[PID]],0)))</f>
        <v>$3.0m</v>
      </c>
      <c r="T54" s="62">
        <f>IF($C54="B",INDEX(Batters[[#All],[Rnk]],MATCH(Table5[[#This Row],[PID]],Batters[[#All],[PID]],0)),INDEX(Table3[[#All],[Rnk]],MATCH(Table5[[#This Row],[PID]],Table3[[#All],[PID]],0)))</f>
        <v>15</v>
      </c>
      <c r="U54" s="67">
        <f>IF($C54="B",VLOOKUP($A54,Bat!$A$4:$BA$1314,47,FALSE),VLOOKUP($A54,Pit!$A$4:$BF$1214,56,FALSE))</f>
        <v>24</v>
      </c>
      <c r="V54" s="50">
        <f>IF($C54="B",VLOOKUP($A54,Bat!$A$4:$BA$1314,48,FALSE),VLOOKUP($A54,Pit!$A$4:$BF$1214,57,FALSE))</f>
        <v>0</v>
      </c>
      <c r="W54" s="68">
        <v>52</v>
      </c>
      <c r="X54" s="51">
        <f>RANK(Table5[[#This Row],[zScore]],Table5[[#All],[zScore]])</f>
        <v>48</v>
      </c>
      <c r="Y54" s="50">
        <f>IFERROR(INDEX(DraftResults[[#All],[OVR]],MATCH(Table5[[#This Row],[PID]],DraftResults[[#All],[Player ID]],0)),"")</f>
        <v>66</v>
      </c>
      <c r="Z54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2</v>
      </c>
      <c r="AA54" s="50">
        <f>IFERROR(INDEX(DraftResults[[#All],[Pick in Round]],MATCH(Table5[[#This Row],[PID]],DraftResults[[#All],[Player ID]],0)),"")</f>
        <v>30</v>
      </c>
      <c r="AB54" s="50" t="str">
        <f>IFERROR(INDEX(DraftResults[[#All],[Team Name]],MATCH(Table5[[#This Row],[PID]],DraftResults[[#All],[Player ID]],0)),"")</f>
        <v>Okinawa Shisa</v>
      </c>
      <c r="AC54" s="50">
        <f>IF(Table5[[#This Row],[Ovr]]="","",IF(Table5[[#This Row],[cmbList]]="","",Table5[[#This Row],[cmbList]]-Table5[[#This Row],[Ovr]]))</f>
        <v>-14</v>
      </c>
      <c r="AD54" s="54" t="str">
        <f>IF(ISERROR(VLOOKUP($AB54&amp;"-"&amp;$E54&amp;" "&amp;F54,Bonuses!$B$1:$G$1006,4,FALSE)),"",INT(VLOOKUP($AB54&amp;"-"&amp;$E54&amp;" "&amp;$F54,Bonuses!$B$1:$G$1006,4,FALSE)))</f>
        <v/>
      </c>
      <c r="AE54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2.30 (66) - SP Michael Johnson</v>
      </c>
    </row>
    <row r="55" spans="1:31" s="50" customFormat="1" x14ac:dyDescent="0.3">
      <c r="A55" s="50">
        <v>21027</v>
      </c>
      <c r="B55" s="50">
        <f>COUNTIF(Table5[PID],A55)</f>
        <v>1</v>
      </c>
      <c r="C55" s="50" t="str">
        <f>IF(COUNTIF(Table3[[#All],[PID]],A55)&gt;0,"P","B")</f>
        <v>P</v>
      </c>
      <c r="D55" s="59" t="str">
        <f>IF($C55="B",INDEX(Batters[[#All],[POS]],MATCH(Table5[[#This Row],[PID]],Batters[[#All],[PID]],0)),INDEX(Table3[[#All],[POS]],MATCH(Table5[[#This Row],[PID]],Table3[[#All],[PID]],0)))</f>
        <v>SP</v>
      </c>
      <c r="E55" s="52" t="str">
        <f>IF($C55="B",INDEX(Batters[[#All],[First]],MATCH(Table5[[#This Row],[PID]],Batters[[#All],[PID]],0)),INDEX(Table3[[#All],[First]],MATCH(Table5[[#This Row],[PID]],Table3[[#All],[PID]],0)))</f>
        <v>Troy</v>
      </c>
      <c r="F55" s="50" t="str">
        <f>IF($C55="B",INDEX(Batters[[#All],[Last]],MATCH(A55,Batters[[#All],[PID]],0)),INDEX(Table3[[#All],[Last]],MATCH(A55,Table3[[#All],[PID]],0)))</f>
        <v>Thomas</v>
      </c>
      <c r="G55" s="56">
        <f>IF($C55="B",INDEX(Batters[[#All],[Age]],MATCH(Table5[[#This Row],[PID]],Batters[[#All],[PID]],0)),INDEX(Table3[[#All],[Age]],MATCH(Table5[[#This Row],[PID]],Table3[[#All],[PID]],0)))</f>
        <v>16</v>
      </c>
      <c r="H55" s="52" t="str">
        <f>IF($C55="B",INDEX(Batters[[#All],[B]],MATCH(Table5[[#This Row],[PID]],Batters[[#All],[PID]],0)),INDEX(Table3[[#All],[B]],MATCH(Table5[[#This Row],[PID]],Table3[[#All],[PID]],0)))</f>
        <v>L</v>
      </c>
      <c r="I55" s="52" t="str">
        <f>IF($C55="B",INDEX(Batters[[#All],[T]],MATCH(Table5[[#This Row],[PID]],Batters[[#All],[PID]],0)),INDEX(Table3[[#All],[T]],MATCH(Table5[[#This Row],[PID]],Table3[[#All],[PID]],0)))</f>
        <v>L</v>
      </c>
      <c r="J55" s="52" t="str">
        <f>IF($C55="B",INDEX(Batters[[#All],[WE]],MATCH(Table5[[#This Row],[PID]],Batters[[#All],[PID]],0)),INDEX(Table3[[#All],[WE]],MATCH(Table5[[#This Row],[PID]],Table3[[#All],[PID]],0)))</f>
        <v>High</v>
      </c>
      <c r="K55" s="52" t="str">
        <f>IF($C55="B",INDEX(Batters[[#All],[INT]],MATCH(Table5[[#This Row],[PID]],Batters[[#All],[PID]],0)),INDEX(Table3[[#All],[INT]],MATCH(Table5[[#This Row],[PID]],Table3[[#All],[PID]],0)))</f>
        <v>Normal</v>
      </c>
      <c r="L55" s="60">
        <f>IF($C55="B",INDEX(Batters[[#All],[CON P]],MATCH(Table5[[#This Row],[PID]],Batters[[#All],[PID]],0)),INDEX(Table3[[#All],[STU P]],MATCH(Table5[[#This Row],[PID]],Table3[[#All],[PID]],0)))</f>
        <v>6</v>
      </c>
      <c r="M55" s="56">
        <f>IF($C55="B",INDEX(Batters[[#All],[GAP P]],MATCH(Table5[[#This Row],[PID]],Batters[[#All],[PID]],0)),INDEX(Table3[[#All],[MOV P]],MATCH(Table5[[#This Row],[PID]],Table3[[#All],[PID]],0)))</f>
        <v>7</v>
      </c>
      <c r="N55" s="56">
        <f>IF($C55="B",INDEX(Batters[[#All],[POW P]],MATCH(Table5[[#This Row],[PID]],Batters[[#All],[PID]],0)),INDEX(Table3[[#All],[CON P]],MATCH(Table5[[#This Row],[PID]],Table3[[#All],[PID]],0)))</f>
        <v>6</v>
      </c>
      <c r="O55" s="56" t="str">
        <f>IF($C55="B",INDEX(Batters[[#All],[EYE P]],MATCH(Table5[[#This Row],[PID]],Batters[[#All],[PID]],0)),INDEX(Table3[[#All],[VELO]],MATCH(Table5[[#This Row],[PID]],Table3[[#All],[PID]],0)))</f>
        <v>95-97 Mph</v>
      </c>
      <c r="P55" s="56">
        <f>IF($C55="B",INDEX(Batters[[#All],[K P]],MATCH(Table5[[#This Row],[PID]],Batters[[#All],[PID]],0)),INDEX(Table3[[#All],[STM]],MATCH(Table5[[#This Row],[PID]],Table3[[#All],[PID]],0)))</f>
        <v>8</v>
      </c>
      <c r="Q55" s="61">
        <f>IF($C55="B",INDEX(Batters[[#All],[Tot]],MATCH(Table5[[#This Row],[PID]],Batters[[#All],[PID]],0)),INDEX(Table3[[#All],[Tot]],MATCH(Table5[[#This Row],[PID]],Table3[[#All],[PID]],0)))</f>
        <v>79.13229285358338</v>
      </c>
      <c r="R55" s="52">
        <f>IF($C55="B",INDEX(Batters[[#All],[zScore]],MATCH(Table5[[#This Row],[PID]],Batters[[#All],[PID]],0)),INDEX(Table3[[#All],[zScore]],MATCH(Table5[[#This Row],[PID]],Table3[[#All],[PID]],0)))</f>
        <v>2.9429660373493696</v>
      </c>
      <c r="S55" s="58" t="str">
        <f>IF($C55="B",INDEX(Batters[[#All],[DEM]],MATCH(Table5[[#This Row],[PID]],Batters[[#All],[PID]],0)),INDEX(Table3[[#All],[DEM]],MATCH(Table5[[#This Row],[PID]],Table3[[#All],[PID]],0)))</f>
        <v>$2.8m</v>
      </c>
      <c r="T55" s="62">
        <f>IF($C55="B",INDEX(Batters[[#All],[Rnk]],MATCH(Table5[[#This Row],[PID]],Batters[[#All],[PID]],0)),INDEX(Table3[[#All],[Rnk]],MATCH(Table5[[#This Row],[PID]],Table3[[#All],[PID]],0)))</f>
        <v>16</v>
      </c>
      <c r="U55" s="67">
        <f>IF($C55="B",VLOOKUP($A55,Bat!$A$4:$BA$1314,47,FALSE),VLOOKUP($A55,Pit!$A$4:$BF$1214,56,FALSE))</f>
        <v>25</v>
      </c>
      <c r="V55" s="50">
        <f>IF($C55="B",VLOOKUP($A55,Bat!$A$4:$BA$1314,48,FALSE),VLOOKUP($A55,Pit!$A$4:$BF$1214,57,FALSE))</f>
        <v>0</v>
      </c>
      <c r="W55" s="50">
        <v>53</v>
      </c>
      <c r="X55" s="51">
        <f>RANK(Table5[[#This Row],[zScore]],Table5[[#All],[zScore]])</f>
        <v>10</v>
      </c>
      <c r="Y55" s="50">
        <f>IFERROR(INDEX(DraftResults[[#All],[OVR]],MATCH(Table5[[#This Row],[PID]],DraftResults[[#All],[Player ID]],0)),"")</f>
        <v>26</v>
      </c>
      <c r="Z55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1</v>
      </c>
      <c r="AA55" s="50">
        <f>IFERROR(INDEX(DraftResults[[#All],[Pick in Round]],MATCH(Table5[[#This Row],[PID]],DraftResults[[#All],[Player ID]],0)),"")</f>
        <v>26</v>
      </c>
      <c r="AB55" s="50" t="str">
        <f>IFERROR(INDEX(DraftResults[[#All],[Team Name]],MATCH(Table5[[#This Row],[PID]],DraftResults[[#All],[Player ID]],0)),"")</f>
        <v>Florida Farstriders</v>
      </c>
      <c r="AC55" s="50">
        <f>IF(Table5[[#This Row],[Ovr]]="","",IF(Table5[[#This Row],[cmbList]]="","",Table5[[#This Row],[cmbList]]-Table5[[#This Row],[Ovr]]))</f>
        <v>27</v>
      </c>
      <c r="AD55" s="54" t="str">
        <f>IF(ISERROR(VLOOKUP($AB55&amp;"-"&amp;$E55&amp;" "&amp;F55,Bonuses!$B$1:$G$1006,4,FALSE)),"",INT(VLOOKUP($AB55&amp;"-"&amp;$E55&amp;" "&amp;$F55,Bonuses!$B$1:$G$1006,4,FALSE)))</f>
        <v/>
      </c>
      <c r="AE55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1.26 (26) - SP Troy Thomas</v>
      </c>
    </row>
    <row r="56" spans="1:31" s="50" customFormat="1" x14ac:dyDescent="0.3">
      <c r="A56" s="50">
        <v>10465</v>
      </c>
      <c r="B56" s="50">
        <f>COUNTIF(Table5[PID],A56)</f>
        <v>1</v>
      </c>
      <c r="C56" s="50" t="str">
        <f>IF(COUNTIF(Table3[[#All],[PID]],A56)&gt;0,"P","B")</f>
        <v>P</v>
      </c>
      <c r="D56" s="59" t="str">
        <f>IF($C56="B",INDEX(Batters[[#All],[POS]],MATCH(Table5[[#This Row],[PID]],Batters[[#All],[PID]],0)),INDEX(Table3[[#All],[POS]],MATCH(Table5[[#This Row],[PID]],Table3[[#All],[PID]],0)))</f>
        <v>SP</v>
      </c>
      <c r="E56" s="52" t="str">
        <f>IF($C56="B",INDEX(Batters[[#All],[First]],MATCH(Table5[[#This Row],[PID]],Batters[[#All],[PID]],0)),INDEX(Table3[[#All],[First]],MATCH(Table5[[#This Row],[PID]],Table3[[#All],[PID]],0)))</f>
        <v>Ramón</v>
      </c>
      <c r="F56" s="50" t="str">
        <f>IF($C56="B",INDEX(Batters[[#All],[Last]],MATCH(A56,Batters[[#All],[PID]],0)),INDEX(Table3[[#All],[Last]],MATCH(A56,Table3[[#All],[PID]],0)))</f>
        <v>Sandoval</v>
      </c>
      <c r="G56" s="56">
        <f>IF($C56="B",INDEX(Batters[[#All],[Age]],MATCH(Table5[[#This Row],[PID]],Batters[[#All],[PID]],0)),INDEX(Table3[[#All],[Age]],MATCH(Table5[[#This Row],[PID]],Table3[[#All],[PID]],0)))</f>
        <v>17</v>
      </c>
      <c r="H56" s="52" t="str">
        <f>IF($C56="B",INDEX(Batters[[#All],[B]],MATCH(Table5[[#This Row],[PID]],Batters[[#All],[PID]],0)),INDEX(Table3[[#All],[B]],MATCH(Table5[[#This Row],[PID]],Table3[[#All],[PID]],0)))</f>
        <v>R</v>
      </c>
      <c r="I56" s="52" t="str">
        <f>IF($C56="B",INDEX(Batters[[#All],[T]],MATCH(Table5[[#This Row],[PID]],Batters[[#All],[PID]],0)),INDEX(Table3[[#All],[T]],MATCH(Table5[[#This Row],[PID]],Table3[[#All],[PID]],0)))</f>
        <v>R</v>
      </c>
      <c r="J56" s="52" t="str">
        <f>IF($C56="B",INDEX(Batters[[#All],[WE]],MATCH(Table5[[#This Row],[PID]],Batters[[#All],[PID]],0)),INDEX(Table3[[#All],[WE]],MATCH(Table5[[#This Row],[PID]],Table3[[#All],[PID]],0)))</f>
        <v>Normal</v>
      </c>
      <c r="K56" s="52" t="str">
        <f>IF($C56="B",INDEX(Batters[[#All],[INT]],MATCH(Table5[[#This Row],[PID]],Batters[[#All],[PID]],0)),INDEX(Table3[[#All],[INT]],MATCH(Table5[[#This Row],[PID]],Table3[[#All],[PID]],0)))</f>
        <v>Normal</v>
      </c>
      <c r="L56" s="60">
        <f>IF($C56="B",INDEX(Batters[[#All],[CON P]],MATCH(Table5[[#This Row],[PID]],Batters[[#All],[PID]],0)),INDEX(Table3[[#All],[STU P]],MATCH(Table5[[#This Row],[PID]],Table3[[#All],[PID]],0)))</f>
        <v>6</v>
      </c>
      <c r="M56" s="56">
        <f>IF($C56="B",INDEX(Batters[[#All],[GAP P]],MATCH(Table5[[#This Row],[PID]],Batters[[#All],[PID]],0)),INDEX(Table3[[#All],[MOV P]],MATCH(Table5[[#This Row],[PID]],Table3[[#All],[PID]],0)))</f>
        <v>6</v>
      </c>
      <c r="N56" s="56">
        <f>IF($C56="B",INDEX(Batters[[#All],[POW P]],MATCH(Table5[[#This Row],[PID]],Batters[[#All],[PID]],0)),INDEX(Table3[[#All],[CON P]],MATCH(Table5[[#This Row],[PID]],Table3[[#All],[PID]],0)))</f>
        <v>5</v>
      </c>
      <c r="O56" s="56" t="str">
        <f>IF($C56="B",INDEX(Batters[[#All],[EYE P]],MATCH(Table5[[#This Row],[PID]],Batters[[#All],[PID]],0)),INDEX(Table3[[#All],[VELO]],MATCH(Table5[[#This Row],[PID]],Table3[[#All],[PID]],0)))</f>
        <v>96-98 Mph</v>
      </c>
      <c r="P56" s="56">
        <f>IF($C56="B",INDEX(Batters[[#All],[K P]],MATCH(Table5[[#This Row],[PID]],Batters[[#All],[PID]],0)),INDEX(Table3[[#All],[STM]],MATCH(Table5[[#This Row],[PID]],Table3[[#All],[PID]],0)))</f>
        <v>4</v>
      </c>
      <c r="Q56" s="61">
        <f>IF($C56="B",INDEX(Batters[[#All],[Tot]],MATCH(Table5[[#This Row],[PID]],Batters[[#All],[PID]],0)),INDEX(Table3[[#All],[Tot]],MATCH(Table5[[#This Row],[PID]],Table3[[#All],[PID]],0)))</f>
        <v>68.059711303177735</v>
      </c>
      <c r="R56" s="52">
        <f>IF($C56="B",INDEX(Batters[[#All],[zScore]],MATCH(Table5[[#This Row],[PID]],Batters[[#All],[PID]],0)),INDEX(Table3[[#All],[zScore]],MATCH(Table5[[#This Row],[PID]],Table3[[#All],[PID]],0)))</f>
        <v>2.1545203589009327</v>
      </c>
      <c r="S56" s="58" t="str">
        <f>IF($C56="B",INDEX(Batters[[#All],[DEM]],MATCH(Table5[[#This Row],[PID]],Batters[[#All],[PID]],0)),INDEX(Table3[[#All],[DEM]],MATCH(Table5[[#This Row],[PID]],Table3[[#All],[PID]],0)))</f>
        <v>$1.1m</v>
      </c>
      <c r="T56" s="62">
        <f>IF($C56="B",INDEX(Batters[[#All],[Rnk]],MATCH(Table5[[#This Row],[PID]],Batters[[#All],[PID]],0)),INDEX(Table3[[#All],[Rnk]],MATCH(Table5[[#This Row],[PID]],Table3[[#All],[PID]],0)))</f>
        <v>10</v>
      </c>
      <c r="U56" s="67">
        <f>IF($C56="B",VLOOKUP($A56,Bat!$A$4:$BA$1314,47,FALSE),VLOOKUP($A56,Pit!$A$4:$BF$1214,56,FALSE))</f>
        <v>26</v>
      </c>
      <c r="V56" s="50">
        <f>IF($C56="B",VLOOKUP($A56,Bat!$A$4:$BA$1314,48,FALSE),VLOOKUP($A56,Pit!$A$4:$BF$1214,57,FALSE))</f>
        <v>0</v>
      </c>
      <c r="W56" s="68">
        <v>54</v>
      </c>
      <c r="X56" s="51">
        <f>RANK(Table5[[#This Row],[zScore]],Table5[[#All],[zScore]])</f>
        <v>34</v>
      </c>
      <c r="Y56" s="50">
        <f>IFERROR(INDEX(DraftResults[[#All],[OVR]],MATCH(Table5[[#This Row],[PID]],DraftResults[[#All],[Player ID]],0)),"")</f>
        <v>61</v>
      </c>
      <c r="Z56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2</v>
      </c>
      <c r="AA56" s="50">
        <f>IFERROR(INDEX(DraftResults[[#All],[Pick in Round]],MATCH(Table5[[#This Row],[PID]],DraftResults[[#All],[Player ID]],0)),"")</f>
        <v>25</v>
      </c>
      <c r="AB56" s="50" t="str">
        <f>IFERROR(INDEX(DraftResults[[#All],[Team Name]],MATCH(Table5[[#This Row],[PID]],DraftResults[[#All],[Player ID]],0)),"")</f>
        <v>Bakersfield Bears</v>
      </c>
      <c r="AC56" s="50">
        <f>IF(Table5[[#This Row],[Ovr]]="","",IF(Table5[[#This Row],[cmbList]]="","",Table5[[#This Row],[cmbList]]-Table5[[#This Row],[Ovr]]))</f>
        <v>-7</v>
      </c>
      <c r="AD56" s="54" t="str">
        <f>IF(ISERROR(VLOOKUP($AB56&amp;"-"&amp;$E56&amp;" "&amp;F56,Bonuses!$B$1:$G$1006,4,FALSE)),"",INT(VLOOKUP($AB56&amp;"-"&amp;$E56&amp;" "&amp;$F56,Bonuses!$B$1:$G$1006,4,FALSE)))</f>
        <v/>
      </c>
      <c r="AE56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2.25 (61) - SP Ramón Sandoval</v>
      </c>
    </row>
    <row r="57" spans="1:31" s="50" customFormat="1" x14ac:dyDescent="0.3">
      <c r="A57" s="50">
        <v>13376</v>
      </c>
      <c r="B57" s="50">
        <f>COUNTIF(Table5[PID],A57)</f>
        <v>1</v>
      </c>
      <c r="C57" s="50" t="str">
        <f>IF(COUNTIF(Table3[[#All],[PID]],A57)&gt;0,"P","B")</f>
        <v>P</v>
      </c>
      <c r="D57" s="59" t="str">
        <f>IF($C57="B",INDEX(Batters[[#All],[POS]],MATCH(Table5[[#This Row],[PID]],Batters[[#All],[PID]],0)),INDEX(Table3[[#All],[POS]],MATCH(Table5[[#This Row],[PID]],Table3[[#All],[PID]],0)))</f>
        <v>SP</v>
      </c>
      <c r="E57" s="52" t="str">
        <f>IF($C57="B",INDEX(Batters[[#All],[First]],MATCH(Table5[[#This Row],[PID]],Batters[[#All],[PID]],0)),INDEX(Table3[[#All],[First]],MATCH(Table5[[#This Row],[PID]],Table3[[#All],[PID]],0)))</f>
        <v>Toru</v>
      </c>
      <c r="F57" s="50" t="str">
        <f>IF($C57="B",INDEX(Batters[[#All],[Last]],MATCH(A57,Batters[[#All],[PID]],0)),INDEX(Table3[[#All],[Last]],MATCH(A57,Table3[[#All],[PID]],0)))</f>
        <v>Suzuki</v>
      </c>
      <c r="G57" s="56">
        <f>IF($C57="B",INDEX(Batters[[#All],[Age]],MATCH(Table5[[#This Row],[PID]],Batters[[#All],[PID]],0)),INDEX(Table3[[#All],[Age]],MATCH(Table5[[#This Row],[PID]],Table3[[#All],[PID]],0)))</f>
        <v>17</v>
      </c>
      <c r="H57" s="52" t="str">
        <f>IF($C57="B",INDEX(Batters[[#All],[B]],MATCH(Table5[[#This Row],[PID]],Batters[[#All],[PID]],0)),INDEX(Table3[[#All],[B]],MATCH(Table5[[#This Row],[PID]],Table3[[#All],[PID]],0)))</f>
        <v>S</v>
      </c>
      <c r="I57" s="52" t="str">
        <f>IF($C57="B",INDEX(Batters[[#All],[T]],MATCH(Table5[[#This Row],[PID]],Batters[[#All],[PID]],0)),INDEX(Table3[[#All],[T]],MATCH(Table5[[#This Row],[PID]],Table3[[#All],[PID]],0)))</f>
        <v>R</v>
      </c>
      <c r="J57" s="52" t="str">
        <f>IF($C57="B",INDEX(Batters[[#All],[WE]],MATCH(Table5[[#This Row],[PID]],Batters[[#All],[PID]],0)),INDEX(Table3[[#All],[WE]],MATCH(Table5[[#This Row],[PID]],Table3[[#All],[PID]],0)))</f>
        <v>Normal</v>
      </c>
      <c r="K57" s="52" t="str">
        <f>IF($C57="B",INDEX(Batters[[#All],[INT]],MATCH(Table5[[#This Row],[PID]],Batters[[#All],[PID]],0)),INDEX(Table3[[#All],[INT]],MATCH(Table5[[#This Row],[PID]],Table3[[#All],[PID]],0)))</f>
        <v>Normal</v>
      </c>
      <c r="L57" s="60">
        <f>IF($C57="B",INDEX(Batters[[#All],[CON P]],MATCH(Table5[[#This Row],[PID]],Batters[[#All],[PID]],0)),INDEX(Table3[[#All],[STU P]],MATCH(Table5[[#This Row],[PID]],Table3[[#All],[PID]],0)))</f>
        <v>5</v>
      </c>
      <c r="M57" s="56">
        <f>IF($C57="B",INDEX(Batters[[#All],[GAP P]],MATCH(Table5[[#This Row],[PID]],Batters[[#All],[PID]],0)),INDEX(Table3[[#All],[MOV P]],MATCH(Table5[[#This Row],[PID]],Table3[[#All],[PID]],0)))</f>
        <v>6</v>
      </c>
      <c r="N57" s="56">
        <f>IF($C57="B",INDEX(Batters[[#All],[POW P]],MATCH(Table5[[#This Row],[PID]],Batters[[#All],[PID]],0)),INDEX(Table3[[#All],[CON P]],MATCH(Table5[[#This Row],[PID]],Table3[[#All],[PID]],0)))</f>
        <v>8</v>
      </c>
      <c r="O57" s="56" t="str">
        <f>IF($C57="B",INDEX(Batters[[#All],[EYE P]],MATCH(Table5[[#This Row],[PID]],Batters[[#All],[PID]],0)),INDEX(Table3[[#All],[VELO]],MATCH(Table5[[#This Row],[PID]],Table3[[#All],[PID]],0)))</f>
        <v>90-92 Mph</v>
      </c>
      <c r="P57" s="56">
        <f>IF($C57="B",INDEX(Batters[[#All],[K P]],MATCH(Table5[[#This Row],[PID]],Batters[[#All],[PID]],0)),INDEX(Table3[[#All],[STM]],MATCH(Table5[[#This Row],[PID]],Table3[[#All],[PID]],0)))</f>
        <v>6</v>
      </c>
      <c r="Q57" s="61">
        <f>IF($C57="B",INDEX(Batters[[#All],[Tot]],MATCH(Table5[[#This Row],[PID]],Batters[[#All],[PID]],0)),INDEX(Table3[[#All],[Tot]],MATCH(Table5[[#This Row],[PID]],Table3[[#All],[PID]],0)))</f>
        <v>80.229775047518956</v>
      </c>
      <c r="R57" s="52">
        <f>IF($C57="B",INDEX(Batters[[#All],[zScore]],MATCH(Table5[[#This Row],[PID]],Batters[[#All],[PID]],0)),INDEX(Table3[[#All],[zScore]],MATCH(Table5[[#This Row],[PID]],Table3[[#All],[PID]],0)))</f>
        <v>3.0211144880104457</v>
      </c>
      <c r="S57" s="58" t="str">
        <f>IF($C57="B",INDEX(Batters[[#All],[DEM]],MATCH(Table5[[#This Row],[PID]],Batters[[#All],[PID]],0)),INDEX(Table3[[#All],[DEM]],MATCH(Table5[[#This Row],[PID]],Table3[[#All],[PID]],0)))</f>
        <v>$3.4m</v>
      </c>
      <c r="T57" s="62">
        <f>IF($C57="B",INDEX(Batters[[#All],[Rnk]],MATCH(Table5[[#This Row],[PID]],Batters[[#All],[PID]],0)),INDEX(Table3[[#All],[Rnk]],MATCH(Table5[[#This Row],[PID]],Table3[[#All],[PID]],0)))</f>
        <v>17</v>
      </c>
      <c r="U57" s="67">
        <f>IF($C57="B",VLOOKUP($A57,Bat!$A$4:$BA$1314,47,FALSE),VLOOKUP($A57,Pit!$A$4:$BF$1214,56,FALSE))</f>
        <v>27</v>
      </c>
      <c r="V57" s="50">
        <f>IF($C57="B",VLOOKUP($A57,Bat!$A$4:$BA$1314,48,FALSE),VLOOKUP($A57,Pit!$A$4:$BF$1214,57,FALSE))</f>
        <v>0</v>
      </c>
      <c r="W57" s="50">
        <v>55</v>
      </c>
      <c r="X57" s="51">
        <f>RANK(Table5[[#This Row],[zScore]],Table5[[#All],[zScore]])</f>
        <v>7</v>
      </c>
      <c r="Y57" s="50">
        <f>IFERROR(INDEX(DraftResults[[#All],[OVR]],MATCH(Table5[[#This Row],[PID]],DraftResults[[#All],[Player ID]],0)),"")</f>
        <v>31</v>
      </c>
      <c r="Z57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1</v>
      </c>
      <c r="AA57" s="50">
        <f>IFERROR(INDEX(DraftResults[[#All],[Pick in Round]],MATCH(Table5[[#This Row],[PID]],DraftResults[[#All],[Player ID]],0)),"")</f>
        <v>31</v>
      </c>
      <c r="AB57" s="50" t="str">
        <f>IFERROR(INDEX(DraftResults[[#All],[Team Name]],MATCH(Table5[[#This Row],[PID]],DraftResults[[#All],[Player ID]],0)),"")</f>
        <v>Toyama Wind Dancers</v>
      </c>
      <c r="AC57" s="50">
        <f>IF(Table5[[#This Row],[Ovr]]="","",IF(Table5[[#This Row],[cmbList]]="","",Table5[[#This Row],[cmbList]]-Table5[[#This Row],[Ovr]]))</f>
        <v>24</v>
      </c>
      <c r="AD57" s="54" t="str">
        <f>IF(ISERROR(VLOOKUP($AB57&amp;"-"&amp;$E57&amp;" "&amp;F57,Bonuses!$B$1:$G$1006,4,FALSE)),"",INT(VLOOKUP($AB57&amp;"-"&amp;$E57&amp;" "&amp;$F57,Bonuses!$B$1:$G$1006,4,FALSE)))</f>
        <v/>
      </c>
      <c r="AE57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1.31 (31) - SP Toru Suzuki</v>
      </c>
    </row>
    <row r="58" spans="1:31" s="50" customFormat="1" x14ac:dyDescent="0.3">
      <c r="A58" s="50">
        <v>21052</v>
      </c>
      <c r="B58" s="55">
        <f>COUNTIF(Table5[PID],A58)</f>
        <v>1</v>
      </c>
      <c r="C58" s="55" t="str">
        <f>IF(COUNTIF(Table3[[#All],[PID]],A58)&gt;0,"P","B")</f>
        <v>P</v>
      </c>
      <c r="D58" s="59" t="str">
        <f>IF($C58="B",INDEX(Batters[[#All],[POS]],MATCH(Table5[[#This Row],[PID]],Batters[[#All],[PID]],0)),INDEX(Table3[[#All],[POS]],MATCH(Table5[[#This Row],[PID]],Table3[[#All],[PID]],0)))</f>
        <v>SP</v>
      </c>
      <c r="E58" s="52" t="str">
        <f>IF($C58="B",INDEX(Batters[[#All],[First]],MATCH(Table5[[#This Row],[PID]],Batters[[#All],[PID]],0)),INDEX(Table3[[#All],[First]],MATCH(Table5[[#This Row],[PID]],Table3[[#All],[PID]],0)))</f>
        <v>Weston</v>
      </c>
      <c r="F58" s="50" t="str">
        <f>IF($C58="B",INDEX(Batters[[#All],[Last]],MATCH(A58,Batters[[#All],[PID]],0)),INDEX(Table3[[#All],[Last]],MATCH(A58,Table3[[#All],[PID]],0)))</f>
        <v>Harris</v>
      </c>
      <c r="G58" s="56">
        <f>IF($C58="B",INDEX(Batters[[#All],[Age]],MATCH(Table5[[#This Row],[PID]],Batters[[#All],[PID]],0)),INDEX(Table3[[#All],[Age]],MATCH(Table5[[#This Row],[PID]],Table3[[#All],[PID]],0)))</f>
        <v>17</v>
      </c>
      <c r="H58" s="52" t="str">
        <f>IF($C58="B",INDEX(Batters[[#All],[B]],MATCH(Table5[[#This Row],[PID]],Batters[[#All],[PID]],0)),INDEX(Table3[[#All],[B]],MATCH(Table5[[#This Row],[PID]],Table3[[#All],[PID]],0)))</f>
        <v>L</v>
      </c>
      <c r="I58" s="52" t="str">
        <f>IF($C58="B",INDEX(Batters[[#All],[T]],MATCH(Table5[[#This Row],[PID]],Batters[[#All],[PID]],0)),INDEX(Table3[[#All],[T]],MATCH(Table5[[#This Row],[PID]],Table3[[#All],[PID]],0)))</f>
        <v>L</v>
      </c>
      <c r="J58" s="52" t="str">
        <f>IF($C58="B",INDEX(Batters[[#All],[WE]],MATCH(Table5[[#This Row],[PID]],Batters[[#All],[PID]],0)),INDEX(Table3[[#All],[WE]],MATCH(Table5[[#This Row],[PID]],Table3[[#All],[PID]],0)))</f>
        <v>Normal</v>
      </c>
      <c r="K58" s="52" t="str">
        <f>IF($C58="B",INDEX(Batters[[#All],[INT]],MATCH(Table5[[#This Row],[PID]],Batters[[#All],[PID]],0)),INDEX(Table3[[#All],[INT]],MATCH(Table5[[#This Row],[PID]],Table3[[#All],[PID]],0)))</f>
        <v>High</v>
      </c>
      <c r="L58" s="60">
        <f>IF($C58="B",INDEX(Batters[[#All],[CON P]],MATCH(Table5[[#This Row],[PID]],Batters[[#All],[PID]],0)),INDEX(Table3[[#All],[STU P]],MATCH(Table5[[#This Row],[PID]],Table3[[#All],[PID]],0)))</f>
        <v>6</v>
      </c>
      <c r="M58" s="56">
        <f>IF($C58="B",INDEX(Batters[[#All],[GAP P]],MATCH(Table5[[#This Row],[PID]],Batters[[#All],[PID]],0)),INDEX(Table3[[#All],[MOV P]],MATCH(Table5[[#This Row],[PID]],Table3[[#All],[PID]],0)))</f>
        <v>5</v>
      </c>
      <c r="N58" s="56">
        <f>IF($C58="B",INDEX(Batters[[#All],[POW P]],MATCH(Table5[[#This Row],[PID]],Batters[[#All],[PID]],0)),INDEX(Table3[[#All],[CON P]],MATCH(Table5[[#This Row],[PID]],Table3[[#All],[PID]],0)))</f>
        <v>6</v>
      </c>
      <c r="O58" s="56" t="str">
        <f>IF($C58="B",INDEX(Batters[[#All],[EYE P]],MATCH(Table5[[#This Row],[PID]],Batters[[#All],[PID]],0)),INDEX(Table3[[#All],[VELO]],MATCH(Table5[[#This Row],[PID]],Table3[[#All],[PID]],0)))</f>
        <v>96-98 Mph</v>
      </c>
      <c r="P58" s="56">
        <f>IF($C58="B",INDEX(Batters[[#All],[K P]],MATCH(Table5[[#This Row],[PID]],Batters[[#All],[PID]],0)),INDEX(Table3[[#All],[STM]],MATCH(Table5[[#This Row],[PID]],Table3[[#All],[PID]],0)))</f>
        <v>7</v>
      </c>
      <c r="Q58" s="61">
        <f>IF($C58="B",INDEX(Batters[[#All],[Tot]],MATCH(Table5[[#This Row],[PID]],Batters[[#All],[PID]],0)),INDEX(Table3[[#All],[Tot]],MATCH(Table5[[#This Row],[PID]],Table3[[#All],[PID]],0)))</f>
        <v>73.910773444649692</v>
      </c>
      <c r="R58" s="52">
        <f>IF($C58="B",INDEX(Batters[[#All],[zScore]],MATCH(Table5[[#This Row],[PID]],Batters[[#All],[PID]],0)),INDEX(Table3[[#All],[zScore]],MATCH(Table5[[#This Row],[PID]],Table3[[#All],[PID]],0)))</f>
        <v>2.5711571331505487</v>
      </c>
      <c r="S58" s="58" t="str">
        <f>IF($C58="B",INDEX(Batters[[#All],[DEM]],MATCH(Table5[[#This Row],[PID]],Batters[[#All],[PID]],0)),INDEX(Table3[[#All],[DEM]],MATCH(Table5[[#This Row],[PID]],Table3[[#All],[PID]],0)))</f>
        <v>$3.0m</v>
      </c>
      <c r="T58" s="62">
        <f>IF($C58="B",INDEX(Batters[[#All],[Rnk]],MATCH(Table5[[#This Row],[PID]],Batters[[#All],[PID]],0)),INDEX(Table3[[#All],[Rnk]],MATCH(Table5[[#This Row],[PID]],Table3[[#All],[PID]],0)))</f>
        <v>18</v>
      </c>
      <c r="U58" s="67">
        <f>IF($C58="B",VLOOKUP($A58,Bat!$A$4:$BA$1314,47,FALSE),VLOOKUP($A58,Pit!$A$4:$BF$1214,56,FALSE))</f>
        <v>28</v>
      </c>
      <c r="V58" s="50">
        <f>IF($C58="B",VLOOKUP($A58,Bat!$A$4:$BA$1314,48,FALSE),VLOOKUP($A58,Pit!$A$4:$BF$1214,57,FALSE))</f>
        <v>0</v>
      </c>
      <c r="W58" s="68">
        <v>56</v>
      </c>
      <c r="X58" s="51">
        <f>RANK(Table5[[#This Row],[zScore]],Table5[[#All],[zScore]])</f>
        <v>16</v>
      </c>
      <c r="Y58" s="50">
        <f>IFERROR(INDEX(DraftResults[[#All],[OVR]],MATCH(Table5[[#This Row],[PID]],DraftResults[[#All],[Player ID]],0)),"")</f>
        <v>40</v>
      </c>
      <c r="Z58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2</v>
      </c>
      <c r="AA58" s="50">
        <f>IFERROR(INDEX(DraftResults[[#All],[Pick in Round]],MATCH(Table5[[#This Row],[PID]],DraftResults[[#All],[Player ID]],0)),"")</f>
        <v>4</v>
      </c>
      <c r="AB58" s="50" t="str">
        <f>IFERROR(INDEX(DraftResults[[#All],[Team Name]],MATCH(Table5[[#This Row],[PID]],DraftResults[[#All],[Player ID]],0)),"")</f>
        <v>Palm Springs Codgers</v>
      </c>
      <c r="AC58" s="50">
        <f>IF(Table5[[#This Row],[Ovr]]="","",IF(Table5[[#This Row],[cmbList]]="","",Table5[[#This Row],[cmbList]]-Table5[[#This Row],[Ovr]]))</f>
        <v>16</v>
      </c>
      <c r="AD58" s="54" t="str">
        <f>IF(ISERROR(VLOOKUP($AB58&amp;"-"&amp;$E58&amp;" "&amp;F58,Bonuses!$B$1:$G$1006,4,FALSE)),"",INT(VLOOKUP($AB58&amp;"-"&amp;$E58&amp;" "&amp;$F58,Bonuses!$B$1:$G$1006,4,FALSE)))</f>
        <v/>
      </c>
      <c r="AE58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2.4 (40) - SP Weston Harris</v>
      </c>
    </row>
    <row r="59" spans="1:31" s="50" customFormat="1" x14ac:dyDescent="0.3">
      <c r="A59" s="50">
        <v>9755</v>
      </c>
      <c r="B59" s="50">
        <f>COUNTIF(Table5[PID],A59)</f>
        <v>1</v>
      </c>
      <c r="C59" s="50" t="str">
        <f>IF(COUNTIF(Table3[[#All],[PID]],A59)&gt;0,"P","B")</f>
        <v>P</v>
      </c>
      <c r="D59" s="59" t="str">
        <f>IF($C59="B",INDEX(Batters[[#All],[POS]],MATCH(Table5[[#This Row],[PID]],Batters[[#All],[PID]],0)),INDEX(Table3[[#All],[POS]],MATCH(Table5[[#This Row],[PID]],Table3[[#All],[PID]],0)))</f>
        <v>SP</v>
      </c>
      <c r="E59" s="52" t="str">
        <f>IF($C59="B",INDEX(Batters[[#All],[First]],MATCH(Table5[[#This Row],[PID]],Batters[[#All],[PID]],0)),INDEX(Table3[[#All],[First]],MATCH(Table5[[#This Row],[PID]],Table3[[#All],[PID]],0)))</f>
        <v>Gerard</v>
      </c>
      <c r="F59" s="50" t="str">
        <f>IF($C59="B",INDEX(Batters[[#All],[Last]],MATCH(A59,Batters[[#All],[PID]],0)),INDEX(Table3[[#All],[Last]],MATCH(A59,Table3[[#All],[PID]],0)))</f>
        <v>Scott</v>
      </c>
      <c r="G59" s="56">
        <f>IF($C59="B",INDEX(Batters[[#All],[Age]],MATCH(Table5[[#This Row],[PID]],Batters[[#All],[PID]],0)),INDEX(Table3[[#All],[Age]],MATCH(Table5[[#This Row],[PID]],Table3[[#All],[PID]],0)))</f>
        <v>17</v>
      </c>
      <c r="H59" s="52" t="str">
        <f>IF($C59="B",INDEX(Batters[[#All],[B]],MATCH(Table5[[#This Row],[PID]],Batters[[#All],[PID]],0)),INDEX(Table3[[#All],[B]],MATCH(Table5[[#This Row],[PID]],Table3[[#All],[PID]],0)))</f>
        <v>S</v>
      </c>
      <c r="I59" s="52" t="str">
        <f>IF($C59="B",INDEX(Batters[[#All],[T]],MATCH(Table5[[#This Row],[PID]],Batters[[#All],[PID]],0)),INDEX(Table3[[#All],[T]],MATCH(Table5[[#This Row],[PID]],Table3[[#All],[PID]],0)))</f>
        <v>R</v>
      </c>
      <c r="J59" s="52" t="str">
        <f>IF($C59="B",INDEX(Batters[[#All],[WE]],MATCH(Table5[[#This Row],[PID]],Batters[[#All],[PID]],0)),INDEX(Table3[[#All],[WE]],MATCH(Table5[[#This Row],[PID]],Table3[[#All],[PID]],0)))</f>
        <v>Normal</v>
      </c>
      <c r="K59" s="52" t="str">
        <f>IF($C59="B",INDEX(Batters[[#All],[INT]],MATCH(Table5[[#This Row],[PID]],Batters[[#All],[PID]],0)),INDEX(Table3[[#All],[INT]],MATCH(Table5[[#This Row],[PID]],Table3[[#All],[PID]],0)))</f>
        <v>Normal</v>
      </c>
      <c r="L59" s="60">
        <f>IF($C59="B",INDEX(Batters[[#All],[CON P]],MATCH(Table5[[#This Row],[PID]],Batters[[#All],[PID]],0)),INDEX(Table3[[#All],[STU P]],MATCH(Table5[[#This Row],[PID]],Table3[[#All],[PID]],0)))</f>
        <v>6</v>
      </c>
      <c r="M59" s="56">
        <f>IF($C59="B",INDEX(Batters[[#All],[GAP P]],MATCH(Table5[[#This Row],[PID]],Batters[[#All],[PID]],0)),INDEX(Table3[[#All],[MOV P]],MATCH(Table5[[#This Row],[PID]],Table3[[#All],[PID]],0)))</f>
        <v>5</v>
      </c>
      <c r="N59" s="56">
        <f>IF($C59="B",INDEX(Batters[[#All],[POW P]],MATCH(Table5[[#This Row],[PID]],Batters[[#All],[PID]],0)),INDEX(Table3[[#All],[CON P]],MATCH(Table5[[#This Row],[PID]],Table3[[#All],[PID]],0)))</f>
        <v>6</v>
      </c>
      <c r="O59" s="56" t="str">
        <f>IF($C59="B",INDEX(Batters[[#All],[EYE P]],MATCH(Table5[[#This Row],[PID]],Batters[[#All],[PID]],0)),INDEX(Table3[[#All],[VELO]],MATCH(Table5[[#This Row],[PID]],Table3[[#All],[PID]],0)))</f>
        <v>95-97 Mph</v>
      </c>
      <c r="P59" s="56">
        <f>IF($C59="B",INDEX(Batters[[#All],[K P]],MATCH(Table5[[#This Row],[PID]],Batters[[#All],[PID]],0)),INDEX(Table3[[#All],[STM]],MATCH(Table5[[#This Row],[PID]],Table3[[#All],[PID]],0)))</f>
        <v>8</v>
      </c>
      <c r="Q59" s="61">
        <f>IF($C59="B",INDEX(Batters[[#All],[Tot]],MATCH(Table5[[#This Row],[PID]],Batters[[#All],[PID]],0)),INDEX(Table3[[#All],[Tot]],MATCH(Table5[[#This Row],[PID]],Table3[[#All],[PID]],0)))</f>
        <v>70.69223492492381</v>
      </c>
      <c r="R59" s="52">
        <f>IF($C59="B",INDEX(Batters[[#All],[zScore]],MATCH(Table5[[#This Row],[PID]],Batters[[#All],[PID]],0)),INDEX(Table3[[#All],[zScore]],MATCH(Table5[[#This Row],[PID]],Table3[[#All],[PID]],0)))</f>
        <v>2.3419745549734898</v>
      </c>
      <c r="S59" s="58" t="str">
        <f>IF($C59="B",INDEX(Batters[[#All],[DEM]],MATCH(Table5[[#This Row],[PID]],Batters[[#All],[PID]],0)),INDEX(Table3[[#All],[DEM]],MATCH(Table5[[#This Row],[PID]],Table3[[#All],[PID]],0)))</f>
        <v>$650k</v>
      </c>
      <c r="T59" s="62">
        <f>IF($C59="B",INDEX(Batters[[#All],[Rnk]],MATCH(Table5[[#This Row],[PID]],Batters[[#All],[PID]],0)),INDEX(Table3[[#All],[Rnk]],MATCH(Table5[[#This Row],[PID]],Table3[[#All],[PID]],0)))</f>
        <v>19</v>
      </c>
      <c r="U59" s="67">
        <f>IF($C59="B",VLOOKUP($A59,Bat!$A$4:$BA$1314,47,FALSE),VLOOKUP($A59,Pit!$A$4:$BF$1214,56,FALSE))</f>
        <v>28</v>
      </c>
      <c r="V59" s="50">
        <f>IF($C59="B",VLOOKUP($A59,Bat!$A$4:$BA$1314,48,FALSE),VLOOKUP($A59,Pit!$A$4:$BF$1214,57,FALSE))</f>
        <v>0</v>
      </c>
      <c r="W59" s="50">
        <v>57</v>
      </c>
      <c r="X59" s="51">
        <f>RANK(Table5[[#This Row],[zScore]],Table5[[#All],[zScore]])</f>
        <v>28</v>
      </c>
      <c r="Y59" s="50">
        <f>IFERROR(INDEX(DraftResults[[#All],[OVR]],MATCH(Table5[[#This Row],[PID]],DraftResults[[#All],[Player ID]],0)),"")</f>
        <v>90</v>
      </c>
      <c r="Z59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3</v>
      </c>
      <c r="AA59" s="50">
        <f>IFERROR(INDEX(DraftResults[[#All],[Pick in Round]],MATCH(Table5[[#This Row],[PID]],DraftResults[[#All],[Player ID]],0)),"")</f>
        <v>18</v>
      </c>
      <c r="AB59" s="50" t="str">
        <f>IFERROR(INDEX(DraftResults[[#All],[Team Name]],MATCH(Table5[[#This Row],[PID]],DraftResults[[#All],[Player ID]],0)),"")</f>
        <v>Duluth Warriors</v>
      </c>
      <c r="AC59" s="50">
        <f>IF(Table5[[#This Row],[Ovr]]="","",IF(Table5[[#This Row],[cmbList]]="","",Table5[[#This Row],[cmbList]]-Table5[[#This Row],[Ovr]]))</f>
        <v>-33</v>
      </c>
      <c r="AD59" s="54" t="str">
        <f>IF(ISERROR(VLOOKUP($AB59&amp;"-"&amp;$E59&amp;" "&amp;F59,Bonuses!$B$1:$G$1006,4,FALSE)),"",INT(VLOOKUP($AB59&amp;"-"&amp;$E59&amp;" "&amp;$F59,Bonuses!$B$1:$G$1006,4,FALSE)))</f>
        <v/>
      </c>
      <c r="AE59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3.18 (90) - SP Gerard Scott</v>
      </c>
    </row>
    <row r="60" spans="1:31" s="50" customFormat="1" x14ac:dyDescent="0.3">
      <c r="A60" s="50">
        <v>10920</v>
      </c>
      <c r="B60" s="50">
        <f>COUNTIF(Table5[PID],A60)</f>
        <v>1</v>
      </c>
      <c r="C60" s="50" t="str">
        <f>IF(COUNTIF(Table3[[#All],[PID]],A60)&gt;0,"P","B")</f>
        <v>P</v>
      </c>
      <c r="D60" s="59" t="str">
        <f>IF($C60="B",INDEX(Batters[[#All],[POS]],MATCH(Table5[[#This Row],[PID]],Batters[[#All],[PID]],0)),INDEX(Table3[[#All],[POS]],MATCH(Table5[[#This Row],[PID]],Table3[[#All],[PID]],0)))</f>
        <v>SP</v>
      </c>
      <c r="E60" s="52" t="str">
        <f>IF($C60="B",INDEX(Batters[[#All],[First]],MATCH(Table5[[#This Row],[PID]],Batters[[#All],[PID]],0)),INDEX(Table3[[#All],[First]],MATCH(Table5[[#This Row],[PID]],Table3[[#All],[PID]],0)))</f>
        <v>Juan</v>
      </c>
      <c r="F60" s="50" t="str">
        <f>IF($C60="B",INDEX(Batters[[#All],[Last]],MATCH(A60,Batters[[#All],[PID]],0)),INDEX(Table3[[#All],[Last]],MATCH(A60,Table3[[#All],[PID]],0)))</f>
        <v>Menéndez</v>
      </c>
      <c r="G60" s="56">
        <f>IF($C60="B",INDEX(Batters[[#All],[Age]],MATCH(Table5[[#This Row],[PID]],Batters[[#All],[PID]],0)),INDEX(Table3[[#All],[Age]],MATCH(Table5[[#This Row],[PID]],Table3[[#All],[PID]],0)))</f>
        <v>17</v>
      </c>
      <c r="H60" s="52" t="str">
        <f>IF($C60="B",INDEX(Batters[[#All],[B]],MATCH(Table5[[#This Row],[PID]],Batters[[#All],[PID]],0)),INDEX(Table3[[#All],[B]],MATCH(Table5[[#This Row],[PID]],Table3[[#All],[PID]],0)))</f>
        <v>R</v>
      </c>
      <c r="I60" s="52" t="str">
        <f>IF($C60="B",INDEX(Batters[[#All],[T]],MATCH(Table5[[#This Row],[PID]],Batters[[#All],[PID]],0)),INDEX(Table3[[#All],[T]],MATCH(Table5[[#This Row],[PID]],Table3[[#All],[PID]],0)))</f>
        <v>R</v>
      </c>
      <c r="J60" s="52" t="str">
        <f>IF($C60="B",INDEX(Batters[[#All],[WE]],MATCH(Table5[[#This Row],[PID]],Batters[[#All],[PID]],0)),INDEX(Table3[[#All],[WE]],MATCH(Table5[[#This Row],[PID]],Table3[[#All],[PID]],0)))</f>
        <v>Normal</v>
      </c>
      <c r="K60" s="52" t="str">
        <f>IF($C60="B",INDEX(Batters[[#All],[INT]],MATCH(Table5[[#This Row],[PID]],Batters[[#All],[PID]],0)),INDEX(Table3[[#All],[INT]],MATCH(Table5[[#This Row],[PID]],Table3[[#All],[PID]],0)))</f>
        <v>Normal</v>
      </c>
      <c r="L60" s="60">
        <f>IF($C60="B",INDEX(Batters[[#All],[CON P]],MATCH(Table5[[#This Row],[PID]],Batters[[#All],[PID]],0)),INDEX(Table3[[#All],[STU P]],MATCH(Table5[[#This Row],[PID]],Table3[[#All],[PID]],0)))</f>
        <v>6</v>
      </c>
      <c r="M60" s="56">
        <f>IF($C60="B",INDEX(Batters[[#All],[GAP P]],MATCH(Table5[[#This Row],[PID]],Batters[[#All],[PID]],0)),INDEX(Table3[[#All],[MOV P]],MATCH(Table5[[#This Row],[PID]],Table3[[#All],[PID]],0)))</f>
        <v>6</v>
      </c>
      <c r="N60" s="56">
        <f>IF($C60="B",INDEX(Batters[[#All],[POW P]],MATCH(Table5[[#This Row],[PID]],Batters[[#All],[PID]],0)),INDEX(Table3[[#All],[CON P]],MATCH(Table5[[#This Row],[PID]],Table3[[#All],[PID]],0)))</f>
        <v>6</v>
      </c>
      <c r="O60" s="56" t="str">
        <f>IF($C60="B",INDEX(Batters[[#All],[EYE P]],MATCH(Table5[[#This Row],[PID]],Batters[[#All],[PID]],0)),INDEX(Table3[[#All],[VELO]],MATCH(Table5[[#This Row],[PID]],Table3[[#All],[PID]],0)))</f>
        <v>91-93 Mph</v>
      </c>
      <c r="P60" s="56">
        <f>IF($C60="B",INDEX(Batters[[#All],[K P]],MATCH(Table5[[#This Row],[PID]],Batters[[#All],[PID]],0)),INDEX(Table3[[#All],[STM]],MATCH(Table5[[#This Row],[PID]],Table3[[#All],[PID]],0)))</f>
        <v>10</v>
      </c>
      <c r="Q60" s="61">
        <f>IF($C60="B",INDEX(Batters[[#All],[Tot]],MATCH(Table5[[#This Row],[PID]],Batters[[#All],[PID]],0)),INDEX(Table3[[#All],[Tot]],MATCH(Table5[[#This Row],[PID]],Table3[[#All],[PID]],0)))</f>
        <v>73.74984917181456</v>
      </c>
      <c r="R60" s="52">
        <f>IF($C60="B",INDEX(Batters[[#All],[zScore]],MATCH(Table5[[#This Row],[PID]],Batters[[#All],[PID]],0)),INDEX(Table3[[#All],[zScore]],MATCH(Table5[[#This Row],[PID]],Table3[[#All],[PID]],0)))</f>
        <v>2.5636488009135063</v>
      </c>
      <c r="S60" s="58" t="str">
        <f>IF($C60="B",INDEX(Batters[[#All],[DEM]],MATCH(Table5[[#This Row],[PID]],Batters[[#All],[PID]],0)),INDEX(Table3[[#All],[DEM]],MATCH(Table5[[#This Row],[PID]],Table3[[#All],[PID]],0)))</f>
        <v>$3.6m</v>
      </c>
      <c r="T60" s="62">
        <f>IF($C60="B",INDEX(Batters[[#All],[Rnk]],MATCH(Table5[[#This Row],[PID]],Batters[[#All],[PID]],0)),INDEX(Table3[[#All],[Rnk]],MATCH(Table5[[#This Row],[PID]],Table3[[#All],[PID]],0)))</f>
        <v>20</v>
      </c>
      <c r="U60" s="67">
        <f>IF($C60="B",VLOOKUP($A60,Bat!$A$4:$BA$1314,47,FALSE),VLOOKUP($A60,Pit!$A$4:$BF$1214,56,FALSE))</f>
        <v>29</v>
      </c>
      <c r="V60" s="50">
        <f>IF($C60="B",VLOOKUP($A60,Bat!$A$4:$BA$1314,48,FALSE),VLOOKUP($A60,Pit!$A$4:$BF$1214,57,FALSE))</f>
        <v>0</v>
      </c>
      <c r="W60" s="68">
        <v>58</v>
      </c>
      <c r="X60" s="51">
        <f>RANK(Table5[[#This Row],[zScore]],Table5[[#All],[zScore]])</f>
        <v>17</v>
      </c>
      <c r="Y60" s="50">
        <f>IFERROR(INDEX(DraftResults[[#All],[OVR]],MATCH(Table5[[#This Row],[PID]],DraftResults[[#All],[Player ID]],0)),"")</f>
        <v>38</v>
      </c>
      <c r="Z60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2</v>
      </c>
      <c r="AA60" s="50">
        <f>IFERROR(INDEX(DraftResults[[#All],[Pick in Round]],MATCH(Table5[[#This Row],[PID]],DraftResults[[#All],[Player ID]],0)),"")</f>
        <v>2</v>
      </c>
      <c r="AB60" s="50" t="str">
        <f>IFERROR(INDEX(DraftResults[[#All],[Team Name]],MATCH(Table5[[#This Row],[PID]],DraftResults[[#All],[Player ID]],0)),"")</f>
        <v>Charleston Statesmen</v>
      </c>
      <c r="AC60" s="50">
        <f>IF(Table5[[#This Row],[Ovr]]="","",IF(Table5[[#This Row],[cmbList]]="","",Table5[[#This Row],[cmbList]]-Table5[[#This Row],[Ovr]]))</f>
        <v>20</v>
      </c>
      <c r="AD60" s="54" t="str">
        <f>IF(ISERROR(VLOOKUP($AB60&amp;"-"&amp;$E60&amp;" "&amp;F60,Bonuses!$B$1:$G$1006,4,FALSE)),"",INT(VLOOKUP($AB60&amp;"-"&amp;$E60&amp;" "&amp;$F60,Bonuses!$B$1:$G$1006,4,FALSE)))</f>
        <v/>
      </c>
      <c r="AE60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2.2 (38) - SP Juan Menéndez</v>
      </c>
    </row>
    <row r="61" spans="1:31" s="50" customFormat="1" x14ac:dyDescent="0.3">
      <c r="A61" s="50">
        <v>20817</v>
      </c>
      <c r="B61" s="50">
        <f>COUNTIF(Table5[PID],A61)</f>
        <v>1</v>
      </c>
      <c r="C61" s="50" t="str">
        <f>IF(COUNTIF(Table3[[#All],[PID]],A61)&gt;0,"P","B")</f>
        <v>B</v>
      </c>
      <c r="D61" s="59" t="str">
        <f>IF($C61="B",INDEX(Batters[[#All],[POS]],MATCH(Table5[[#This Row],[PID]],Batters[[#All],[PID]],0)),INDEX(Table3[[#All],[POS]],MATCH(Table5[[#This Row],[PID]],Table3[[#All],[PID]],0)))</f>
        <v>3B</v>
      </c>
      <c r="E61" s="52" t="str">
        <f>IF($C61="B",INDEX(Batters[[#All],[First]],MATCH(Table5[[#This Row],[PID]],Batters[[#All],[PID]],0)),INDEX(Table3[[#All],[First]],MATCH(Table5[[#This Row],[PID]],Table3[[#All],[PID]],0)))</f>
        <v>Stephen</v>
      </c>
      <c r="F61" s="50" t="str">
        <f>IF($C61="B",INDEX(Batters[[#All],[Last]],MATCH(A61,Batters[[#All],[PID]],0)),INDEX(Table3[[#All],[Last]],MATCH(A61,Table3[[#All],[PID]],0)))</f>
        <v>Davis</v>
      </c>
      <c r="G61" s="56">
        <f>IF($C61="B",INDEX(Batters[[#All],[Age]],MATCH(Table5[[#This Row],[PID]],Batters[[#All],[PID]],0)),INDEX(Table3[[#All],[Age]],MATCH(Table5[[#This Row],[PID]],Table3[[#All],[PID]],0)))</f>
        <v>17</v>
      </c>
      <c r="H61" s="52" t="str">
        <f>IF($C61="B",INDEX(Batters[[#All],[B]],MATCH(Table5[[#This Row],[PID]],Batters[[#All],[PID]],0)),INDEX(Table3[[#All],[B]],MATCH(Table5[[#This Row],[PID]],Table3[[#All],[PID]],0)))</f>
        <v>L</v>
      </c>
      <c r="I61" s="52" t="str">
        <f>IF($C61="B",INDEX(Batters[[#All],[T]],MATCH(Table5[[#This Row],[PID]],Batters[[#All],[PID]],0)),INDEX(Table3[[#All],[T]],MATCH(Table5[[#This Row],[PID]],Table3[[#All],[PID]],0)))</f>
        <v>R</v>
      </c>
      <c r="J61" s="52" t="str">
        <f>IF($C61="B",INDEX(Batters[[#All],[WE]],MATCH(Table5[[#This Row],[PID]],Batters[[#All],[PID]],0)),INDEX(Table3[[#All],[WE]],MATCH(Table5[[#This Row],[PID]],Table3[[#All],[PID]],0)))</f>
        <v>High</v>
      </c>
      <c r="K61" s="52" t="str">
        <f>IF($C61="B",INDEX(Batters[[#All],[INT]],MATCH(Table5[[#This Row],[PID]],Batters[[#All],[PID]],0)),INDEX(Table3[[#All],[INT]],MATCH(Table5[[#This Row],[PID]],Table3[[#All],[PID]],0)))</f>
        <v>High</v>
      </c>
      <c r="L61" s="60">
        <f>IF($C61="B",INDEX(Batters[[#All],[CON P]],MATCH(Table5[[#This Row],[PID]],Batters[[#All],[PID]],0)),INDEX(Table3[[#All],[STU P]],MATCH(Table5[[#This Row],[PID]],Table3[[#All],[PID]],0)))</f>
        <v>5</v>
      </c>
      <c r="M61" s="56">
        <f>IF($C61="B",INDEX(Batters[[#All],[GAP P]],MATCH(Table5[[#This Row],[PID]],Batters[[#All],[PID]],0)),INDEX(Table3[[#All],[MOV P]],MATCH(Table5[[#This Row],[PID]],Table3[[#All],[PID]],0)))</f>
        <v>6</v>
      </c>
      <c r="N61" s="56">
        <f>IF($C61="B",INDEX(Batters[[#All],[POW P]],MATCH(Table5[[#This Row],[PID]],Batters[[#All],[PID]],0)),INDEX(Table3[[#All],[CON P]],MATCH(Table5[[#This Row],[PID]],Table3[[#All],[PID]],0)))</f>
        <v>3</v>
      </c>
      <c r="O61" s="56">
        <f>IF($C61="B",INDEX(Batters[[#All],[EYE P]],MATCH(Table5[[#This Row],[PID]],Batters[[#All],[PID]],0)),INDEX(Table3[[#All],[VELO]],MATCH(Table5[[#This Row],[PID]],Table3[[#All],[PID]],0)))</f>
        <v>4</v>
      </c>
      <c r="P61" s="56">
        <f>IF($C61="B",INDEX(Batters[[#All],[K P]],MATCH(Table5[[#This Row],[PID]],Batters[[#All],[PID]],0)),INDEX(Table3[[#All],[STM]],MATCH(Table5[[#This Row],[PID]],Table3[[#All],[PID]],0)))</f>
        <v>6</v>
      </c>
      <c r="Q61" s="61">
        <f>IF($C61="B",INDEX(Batters[[#All],[Tot]],MATCH(Table5[[#This Row],[PID]],Batters[[#All],[PID]],0)),INDEX(Table3[[#All],[Tot]],MATCH(Table5[[#This Row],[PID]],Table3[[#All],[PID]],0)))</f>
        <v>51.623676701733345</v>
      </c>
      <c r="R61" s="52">
        <f>IF($C61="B",INDEX(Batters[[#All],[zScore]],MATCH(Table5[[#This Row],[PID]],Batters[[#All],[PID]],0)),INDEX(Table3[[#All],[zScore]],MATCH(Table5[[#This Row],[PID]],Table3[[#All],[PID]],0)))</f>
        <v>1.2268891325675066</v>
      </c>
      <c r="S61" s="58" t="str">
        <f>IF($C61="B",INDEX(Batters[[#All],[DEM]],MATCH(Table5[[#This Row],[PID]],Batters[[#All],[PID]],0)),INDEX(Table3[[#All],[DEM]],MATCH(Table5[[#This Row],[PID]],Table3[[#All],[PID]],0)))</f>
        <v>$330k</v>
      </c>
      <c r="T61" s="62">
        <f>IF($C61="B",INDEX(Batters[[#All],[Rnk]],MATCH(Table5[[#This Row],[PID]],Batters[[#All],[PID]],0)),INDEX(Table3[[#All],[Rnk]],MATCH(Table5[[#This Row],[PID]],Table3[[#All],[PID]],0)))</f>
        <v>3</v>
      </c>
      <c r="U61" s="67">
        <f>IF($C61="B",VLOOKUP($A61,Bat!$A$4:$BA$1314,47,FALSE),VLOOKUP($A61,Pit!$A$4:$BF$1214,56,FALSE))</f>
        <v>29</v>
      </c>
      <c r="V61" s="50">
        <f>IF($C61="B",VLOOKUP($A61,Bat!$A$4:$BA$1314,48,FALSE),VLOOKUP($A61,Pit!$A$4:$BF$1214,57,FALSE))</f>
        <v>29</v>
      </c>
      <c r="W61" s="50">
        <v>59</v>
      </c>
      <c r="X61" s="51">
        <f>RANK(Table5[[#This Row],[zScore]],Table5[[#All],[zScore]])</f>
        <v>115</v>
      </c>
      <c r="Y61" s="50">
        <f>IFERROR(INDEX(DraftResults[[#All],[OVR]],MATCH(Table5[[#This Row],[PID]],DraftResults[[#All],[Player ID]],0)),"")</f>
        <v>113</v>
      </c>
      <c r="Z61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4</v>
      </c>
      <c r="AA61" s="50">
        <f>IFERROR(INDEX(DraftResults[[#All],[Pick in Round]],MATCH(Table5[[#This Row],[PID]],DraftResults[[#All],[Player ID]],0)),"")</f>
        <v>8</v>
      </c>
      <c r="AB61" s="50" t="str">
        <f>IFERROR(INDEX(DraftResults[[#All],[Team Name]],MATCH(Table5[[#This Row],[PID]],DraftResults[[#All],[Player ID]],0)),"")</f>
        <v>Gloucester Fishermen</v>
      </c>
      <c r="AC61" s="50">
        <f>IF(Table5[[#This Row],[Ovr]]="","",IF(Table5[[#This Row],[cmbList]]="","",Table5[[#This Row],[cmbList]]-Table5[[#This Row],[Ovr]]))</f>
        <v>-54</v>
      </c>
      <c r="AD61" s="54" t="str">
        <f>IF(ISERROR(VLOOKUP($AB61&amp;"-"&amp;$E61&amp;" "&amp;F61,Bonuses!$B$1:$G$1006,4,FALSE)),"",INT(VLOOKUP($AB61&amp;"-"&amp;$E61&amp;" "&amp;$F61,Bonuses!$B$1:$G$1006,4,FALSE)))</f>
        <v/>
      </c>
      <c r="AE61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4.8 (113) - 3B Stephen Davis</v>
      </c>
    </row>
    <row r="62" spans="1:31" s="50" customFormat="1" x14ac:dyDescent="0.3">
      <c r="A62" s="67">
        <v>13436</v>
      </c>
      <c r="B62" s="68">
        <f>COUNTIF(Table5[PID],A62)</f>
        <v>1</v>
      </c>
      <c r="C62" s="68" t="str">
        <f>IF(COUNTIF(Table3[[#All],[PID]],A62)&gt;0,"P","B")</f>
        <v>B</v>
      </c>
      <c r="D62" s="59" t="str">
        <f>IF($C62="B",INDEX(Batters[[#All],[POS]],MATCH(Table5[[#This Row],[PID]],Batters[[#All],[PID]],0)),INDEX(Table3[[#All],[POS]],MATCH(Table5[[#This Row],[PID]],Table3[[#All],[PID]],0)))</f>
        <v>3B</v>
      </c>
      <c r="E62" s="52" t="str">
        <f>IF($C62="B",INDEX(Batters[[#All],[First]],MATCH(Table5[[#This Row],[PID]],Batters[[#All],[PID]],0)),INDEX(Table3[[#All],[First]],MATCH(Table5[[#This Row],[PID]],Table3[[#All],[PID]],0)))</f>
        <v>Tsunesaburo</v>
      </c>
      <c r="F62" s="55" t="str">
        <f>IF($C62="B",INDEX(Batters[[#All],[Last]],MATCH(A62,Batters[[#All],[PID]],0)),INDEX(Table3[[#All],[Last]],MATCH(A62,Table3[[#All],[PID]],0)))</f>
        <v>Suzuki</v>
      </c>
      <c r="G62" s="56">
        <f>IF($C62="B",INDEX(Batters[[#All],[Age]],MATCH(Table5[[#This Row],[PID]],Batters[[#All],[PID]],0)),INDEX(Table3[[#All],[Age]],MATCH(Table5[[#This Row],[PID]],Table3[[#All],[PID]],0)))</f>
        <v>18</v>
      </c>
      <c r="H62" s="52" t="str">
        <f>IF($C62="B",INDEX(Batters[[#All],[B]],MATCH(Table5[[#This Row],[PID]],Batters[[#All],[PID]],0)),INDEX(Table3[[#All],[B]],MATCH(Table5[[#This Row],[PID]],Table3[[#All],[PID]],0)))</f>
        <v>R</v>
      </c>
      <c r="I62" s="52" t="str">
        <f>IF($C62="B",INDEX(Batters[[#All],[T]],MATCH(Table5[[#This Row],[PID]],Batters[[#All],[PID]],0)),INDEX(Table3[[#All],[T]],MATCH(Table5[[#This Row],[PID]],Table3[[#All],[PID]],0)))</f>
        <v>R</v>
      </c>
      <c r="J62" s="69" t="str">
        <f>IF($C62="B",INDEX(Batters[[#All],[WE]],MATCH(Table5[[#This Row],[PID]],Batters[[#All],[PID]],0)),INDEX(Table3[[#All],[WE]],MATCH(Table5[[#This Row],[PID]],Table3[[#All],[PID]],0)))</f>
        <v>Normal</v>
      </c>
      <c r="K62" s="52" t="str">
        <f>IF($C62="B",INDEX(Batters[[#All],[INT]],MATCH(Table5[[#This Row],[PID]],Batters[[#All],[PID]],0)),INDEX(Table3[[#All],[INT]],MATCH(Table5[[#This Row],[PID]],Table3[[#All],[PID]],0)))</f>
        <v>Low</v>
      </c>
      <c r="L62" s="60">
        <f>IF($C62="B",INDEX(Batters[[#All],[CON P]],MATCH(Table5[[#This Row],[PID]],Batters[[#All],[PID]],0)),INDEX(Table3[[#All],[STU P]],MATCH(Table5[[#This Row],[PID]],Table3[[#All],[PID]],0)))</f>
        <v>4</v>
      </c>
      <c r="M62" s="70">
        <f>IF($C62="B",INDEX(Batters[[#All],[GAP P]],MATCH(Table5[[#This Row],[PID]],Batters[[#All],[PID]],0)),INDEX(Table3[[#All],[MOV P]],MATCH(Table5[[#This Row],[PID]],Table3[[#All],[PID]],0)))</f>
        <v>5</v>
      </c>
      <c r="N62" s="70">
        <f>IF($C62="B",INDEX(Batters[[#All],[POW P]],MATCH(Table5[[#This Row],[PID]],Batters[[#All],[PID]],0)),INDEX(Table3[[#All],[CON P]],MATCH(Table5[[#This Row],[PID]],Table3[[#All],[PID]],0)))</f>
        <v>7</v>
      </c>
      <c r="O62" s="70">
        <f>IF($C62="B",INDEX(Batters[[#All],[EYE P]],MATCH(Table5[[#This Row],[PID]],Batters[[#All],[PID]],0)),INDEX(Table3[[#All],[VELO]],MATCH(Table5[[#This Row],[PID]],Table3[[#All],[PID]],0)))</f>
        <v>6</v>
      </c>
      <c r="P62" s="56">
        <f>IF($C62="B",INDEX(Batters[[#All],[K P]],MATCH(Table5[[#This Row],[PID]],Batters[[#All],[PID]],0)),INDEX(Table3[[#All],[STM]],MATCH(Table5[[#This Row],[PID]],Table3[[#All],[PID]],0)))</f>
        <v>4</v>
      </c>
      <c r="Q62" s="61">
        <f>IF($C62="B",INDEX(Batters[[#All],[Tot]],MATCH(Table5[[#This Row],[PID]],Batters[[#All],[PID]],0)),INDEX(Table3[[#All],[Tot]],MATCH(Table5[[#This Row],[PID]],Table3[[#All],[PID]],0)))</f>
        <v>51.406994197887457</v>
      </c>
      <c r="R62" s="52">
        <f>IF($C62="B",INDEX(Batters[[#All],[zScore]],MATCH(Table5[[#This Row],[PID]],Batters[[#All],[PID]],0)),INDEX(Table3[[#All],[zScore]],MATCH(Table5[[#This Row],[PID]],Table3[[#All],[PID]],0)))</f>
        <v>1.1952603970875106</v>
      </c>
      <c r="S62" s="75" t="str">
        <f>IF($C62="B",INDEX(Batters[[#All],[DEM]],MATCH(Table5[[#This Row],[PID]],Batters[[#All],[PID]],0)),INDEX(Table3[[#All],[DEM]],MATCH(Table5[[#This Row],[PID]],Table3[[#All],[PID]],0)))</f>
        <v>$420k</v>
      </c>
      <c r="T62" s="72">
        <f>IF($C62="B",INDEX(Batters[[#All],[Rnk]],MATCH(Table5[[#This Row],[PID]],Batters[[#All],[PID]],0)),INDEX(Table3[[#All],[Rnk]],MATCH(Table5[[#This Row],[PID]],Table3[[#All],[PID]],0)))</f>
        <v>4</v>
      </c>
      <c r="U62" s="67">
        <f>IF($C62="B",VLOOKUP($A62,Bat!$A$4:$BA$1314,47,FALSE),VLOOKUP($A62,Pit!$A$4:$BF$1214,56,FALSE))</f>
        <v>30</v>
      </c>
      <c r="V62" s="50">
        <f>IF($C62="B",VLOOKUP($A62,Bat!$A$4:$BA$1314,48,FALSE),VLOOKUP($A62,Pit!$A$4:$BF$1214,57,FALSE))</f>
        <v>30</v>
      </c>
      <c r="W62" s="68">
        <v>60</v>
      </c>
      <c r="X62" s="71">
        <f>RANK(Table5[[#This Row],[zScore]],Table5[[#All],[zScore]])</f>
        <v>119</v>
      </c>
      <c r="Y62" s="68">
        <f>IFERROR(INDEX(DraftResults[[#All],[OVR]],MATCH(Table5[[#This Row],[PID]],DraftResults[[#All],[Player ID]],0)),"")</f>
        <v>96</v>
      </c>
      <c r="Z62" s="7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3</v>
      </c>
      <c r="AA62" s="68">
        <f>IFERROR(INDEX(DraftResults[[#All],[Pick in Round]],MATCH(Table5[[#This Row],[PID]],DraftResults[[#All],[Player ID]],0)),"")</f>
        <v>24</v>
      </c>
      <c r="AB62" s="68" t="str">
        <f>IFERROR(INDEX(DraftResults[[#All],[Team Name]],MATCH(Table5[[#This Row],[PID]],DraftResults[[#All],[Player ID]],0)),"")</f>
        <v>Kentucky Thoroughbreds</v>
      </c>
      <c r="AC62" s="68">
        <f>IF(Table5[[#This Row],[Ovr]]="","",IF(Table5[[#This Row],[cmbList]]="","",Table5[[#This Row],[cmbList]]-Table5[[#This Row],[Ovr]]))</f>
        <v>-36</v>
      </c>
      <c r="AD62" s="74" t="str">
        <f>IF(ISERROR(VLOOKUP($AB62&amp;"-"&amp;$E62&amp;" "&amp;F62,Bonuses!$B$1:$G$1006,4,FALSE)),"",INT(VLOOKUP($AB62&amp;"-"&amp;$E62&amp;" "&amp;$F62,Bonuses!$B$1:$G$1006,4,FALSE)))</f>
        <v/>
      </c>
      <c r="AE62" s="68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3.24 (96) - 3B Tsunesaburo Suzuki</v>
      </c>
    </row>
    <row r="63" spans="1:31" s="50" customFormat="1" x14ac:dyDescent="0.3">
      <c r="A63" s="50">
        <v>20230</v>
      </c>
      <c r="B63" s="50">
        <f>COUNTIF(Table5[PID],A63)</f>
        <v>1</v>
      </c>
      <c r="C63" s="50" t="str">
        <f>IF(COUNTIF(Table3[[#All],[PID]],A63)&gt;0,"P","B")</f>
        <v>B</v>
      </c>
      <c r="D63" s="59" t="str">
        <f>IF($C63="B",INDEX(Batters[[#All],[POS]],MATCH(Table5[[#This Row],[PID]],Batters[[#All],[PID]],0)),INDEX(Table3[[#All],[POS]],MATCH(Table5[[#This Row],[PID]],Table3[[#All],[PID]],0)))</f>
        <v>LF</v>
      </c>
      <c r="E63" s="52" t="str">
        <f>IF($C63="B",INDEX(Batters[[#All],[First]],MATCH(Table5[[#This Row],[PID]],Batters[[#All],[PID]],0)),INDEX(Table3[[#All],[First]],MATCH(Table5[[#This Row],[PID]],Table3[[#All],[PID]],0)))</f>
        <v>Dave</v>
      </c>
      <c r="F63" s="50" t="str">
        <f>IF($C63="B",INDEX(Batters[[#All],[Last]],MATCH(A63,Batters[[#All],[PID]],0)),INDEX(Table3[[#All],[Last]],MATCH(A63,Table3[[#All],[PID]],0)))</f>
        <v>Docherty</v>
      </c>
      <c r="G63" s="56">
        <f>IF($C63="B",INDEX(Batters[[#All],[Age]],MATCH(Table5[[#This Row],[PID]],Batters[[#All],[PID]],0)),INDEX(Table3[[#All],[Age]],MATCH(Table5[[#This Row],[PID]],Table3[[#All],[PID]],0)))</f>
        <v>21</v>
      </c>
      <c r="H63" s="52" t="str">
        <f>IF($C63="B",INDEX(Batters[[#All],[B]],MATCH(Table5[[#This Row],[PID]],Batters[[#All],[PID]],0)),INDEX(Table3[[#All],[B]],MATCH(Table5[[#This Row],[PID]],Table3[[#All],[PID]],0)))</f>
        <v>L</v>
      </c>
      <c r="I63" s="52" t="str">
        <f>IF($C63="B",INDEX(Batters[[#All],[T]],MATCH(Table5[[#This Row],[PID]],Batters[[#All],[PID]],0)),INDEX(Table3[[#All],[T]],MATCH(Table5[[#This Row],[PID]],Table3[[#All],[PID]],0)))</f>
        <v>L</v>
      </c>
      <c r="J63" s="52" t="str">
        <f>IF($C63="B",INDEX(Batters[[#All],[WE]],MATCH(Table5[[#This Row],[PID]],Batters[[#All],[PID]],0)),INDEX(Table3[[#All],[WE]],MATCH(Table5[[#This Row],[PID]],Table3[[#All],[PID]],0)))</f>
        <v>Normal</v>
      </c>
      <c r="K63" s="52" t="str">
        <f>IF($C63="B",INDEX(Batters[[#All],[INT]],MATCH(Table5[[#This Row],[PID]],Batters[[#All],[PID]],0)),INDEX(Table3[[#All],[INT]],MATCH(Table5[[#This Row],[PID]],Table3[[#All],[PID]],0)))</f>
        <v>Normal</v>
      </c>
      <c r="L63" s="60">
        <f>IF($C63="B",INDEX(Batters[[#All],[CON P]],MATCH(Table5[[#This Row],[PID]],Batters[[#All],[PID]],0)),INDEX(Table3[[#All],[STU P]],MATCH(Table5[[#This Row],[PID]],Table3[[#All],[PID]],0)))</f>
        <v>4</v>
      </c>
      <c r="M63" s="56">
        <f>IF($C63="B",INDEX(Batters[[#All],[GAP P]],MATCH(Table5[[#This Row],[PID]],Batters[[#All],[PID]],0)),INDEX(Table3[[#All],[MOV P]],MATCH(Table5[[#This Row],[PID]],Table3[[#All],[PID]],0)))</f>
        <v>7</v>
      </c>
      <c r="N63" s="56">
        <f>IF($C63="B",INDEX(Batters[[#All],[POW P]],MATCH(Table5[[#This Row],[PID]],Batters[[#All],[PID]],0)),INDEX(Table3[[#All],[CON P]],MATCH(Table5[[#This Row],[PID]],Table3[[#All],[PID]],0)))</f>
        <v>7</v>
      </c>
      <c r="O63" s="56">
        <f>IF($C63="B",INDEX(Batters[[#All],[EYE P]],MATCH(Table5[[#This Row],[PID]],Batters[[#All],[PID]],0)),INDEX(Table3[[#All],[VELO]],MATCH(Table5[[#This Row],[PID]],Table3[[#All],[PID]],0)))</f>
        <v>6</v>
      </c>
      <c r="P63" s="56">
        <f>IF($C63="B",INDEX(Batters[[#All],[K P]],MATCH(Table5[[#This Row],[PID]],Batters[[#All],[PID]],0)),INDEX(Table3[[#All],[STM]],MATCH(Table5[[#This Row],[PID]],Table3[[#All],[PID]],0)))</f>
        <v>4</v>
      </c>
      <c r="Q63" s="61">
        <f>IF($C63="B",INDEX(Batters[[#All],[Tot]],MATCH(Table5[[#This Row],[PID]],Batters[[#All],[PID]],0)),INDEX(Table3[[#All],[Tot]],MATCH(Table5[[#This Row],[PID]],Table3[[#All],[PID]],0)))</f>
        <v>48.059479681354141</v>
      </c>
      <c r="R63" s="52">
        <f>IF($C63="B",INDEX(Batters[[#All],[zScore]],MATCH(Table5[[#This Row],[PID]],Batters[[#All],[PID]],0)),INDEX(Table3[[#All],[zScore]],MATCH(Table5[[#This Row],[PID]],Table3[[#All],[PID]],0)))</f>
        <v>0.70663003109274258</v>
      </c>
      <c r="S63" s="58" t="str">
        <f>IF($C63="B",INDEX(Batters[[#All],[DEM]],MATCH(Table5[[#This Row],[PID]],Batters[[#All],[PID]],0)),INDEX(Table3[[#All],[DEM]],MATCH(Table5[[#This Row],[PID]],Table3[[#All],[PID]],0)))</f>
        <v>$260k</v>
      </c>
      <c r="T63" s="62">
        <f>IF($C63="B",INDEX(Batters[[#All],[Rnk]],MATCH(Table5[[#This Row],[PID]],Batters[[#All],[PID]],0)),INDEX(Table3[[#All],[Rnk]],MATCH(Table5[[#This Row],[PID]],Table3[[#All],[PID]],0)))</f>
        <v>4</v>
      </c>
      <c r="U63" s="67">
        <f>IF($C63="B",VLOOKUP($A63,Bat!$A$4:$BA$1314,47,FALSE),VLOOKUP($A63,Pit!$A$4:$BF$1214,56,FALSE))</f>
        <v>31</v>
      </c>
      <c r="V63" s="50">
        <f>IF($C63="B",VLOOKUP($A63,Bat!$A$4:$BA$1314,48,FALSE),VLOOKUP($A63,Pit!$A$4:$BF$1214,57,FALSE))</f>
        <v>31</v>
      </c>
      <c r="W63" s="50">
        <v>61</v>
      </c>
      <c r="X63" s="51">
        <f>RANK(Table5[[#This Row],[zScore]],Table5[[#All],[zScore]])</f>
        <v>186</v>
      </c>
      <c r="Y63" s="50">
        <f>IFERROR(INDEX(DraftResults[[#All],[OVR]],MATCH(Table5[[#This Row],[PID]],DraftResults[[#All],[Player ID]],0)),"")</f>
        <v>56</v>
      </c>
      <c r="Z63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2</v>
      </c>
      <c r="AA63" s="50">
        <f>IFERROR(INDEX(DraftResults[[#All],[Pick in Round]],MATCH(Table5[[#This Row],[PID]],DraftResults[[#All],[Player ID]],0)),"")</f>
        <v>20</v>
      </c>
      <c r="AB63" s="50" t="str">
        <f>IFERROR(INDEX(DraftResults[[#All],[Team Name]],MATCH(Table5[[#This Row],[PID]],DraftResults[[#All],[Player ID]],0)),"")</f>
        <v>Duluth Warriors</v>
      </c>
      <c r="AC63" s="50">
        <f>IF(Table5[[#This Row],[Ovr]]="","",IF(Table5[[#This Row],[cmbList]]="","",Table5[[#This Row],[cmbList]]-Table5[[#This Row],[Ovr]]))</f>
        <v>5</v>
      </c>
      <c r="AD63" s="54" t="str">
        <f>IF(ISERROR(VLOOKUP($AB63&amp;"-"&amp;$E63&amp;" "&amp;F63,Bonuses!$B$1:$G$1006,4,FALSE)),"",INT(VLOOKUP($AB63&amp;"-"&amp;$E63&amp;" "&amp;$F63,Bonuses!$B$1:$G$1006,4,FALSE)))</f>
        <v/>
      </c>
      <c r="AE63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2.20 (56) - LF Dave Docherty</v>
      </c>
    </row>
    <row r="64" spans="1:31" s="50" customFormat="1" x14ac:dyDescent="0.3">
      <c r="A64" s="67">
        <v>15995</v>
      </c>
      <c r="B64" s="68">
        <f>COUNTIF(Table5[PID],A64)</f>
        <v>1</v>
      </c>
      <c r="C64" s="68" t="str">
        <f>IF(COUNTIF(Table3[[#All],[PID]],A64)&gt;0,"P","B")</f>
        <v>P</v>
      </c>
      <c r="D64" s="59" t="str">
        <f>IF($C64="B",INDEX(Batters[[#All],[POS]],MATCH(Table5[[#This Row],[PID]],Batters[[#All],[PID]],0)),INDEX(Table3[[#All],[POS]],MATCH(Table5[[#This Row],[PID]],Table3[[#All],[PID]],0)))</f>
        <v>SP</v>
      </c>
      <c r="E64" s="52" t="str">
        <f>IF($C64="B",INDEX(Batters[[#All],[First]],MATCH(Table5[[#This Row],[PID]],Batters[[#All],[PID]],0)),INDEX(Table3[[#All],[First]],MATCH(Table5[[#This Row],[PID]],Table3[[#All],[PID]],0)))</f>
        <v>José</v>
      </c>
      <c r="F64" s="55" t="str">
        <f>IF($C64="B",INDEX(Batters[[#All],[Last]],MATCH(A64,Batters[[#All],[PID]],0)),INDEX(Table3[[#All],[Last]],MATCH(A64,Table3[[#All],[PID]],0)))</f>
        <v>Espinosa</v>
      </c>
      <c r="G64" s="56">
        <f>IF($C64="B",INDEX(Batters[[#All],[Age]],MATCH(Table5[[#This Row],[PID]],Batters[[#All],[PID]],0)),INDEX(Table3[[#All],[Age]],MATCH(Table5[[#This Row],[PID]],Table3[[#All],[PID]],0)))</f>
        <v>21</v>
      </c>
      <c r="H64" s="52" t="str">
        <f>IF($C64="B",INDEX(Batters[[#All],[B]],MATCH(Table5[[#This Row],[PID]],Batters[[#All],[PID]],0)),INDEX(Table3[[#All],[B]],MATCH(Table5[[#This Row],[PID]],Table3[[#All],[PID]],0)))</f>
        <v>L</v>
      </c>
      <c r="I64" s="52" t="str">
        <f>IF($C64="B",INDEX(Batters[[#All],[T]],MATCH(Table5[[#This Row],[PID]],Batters[[#All],[PID]],0)),INDEX(Table3[[#All],[T]],MATCH(Table5[[#This Row],[PID]],Table3[[#All],[PID]],0)))</f>
        <v>L</v>
      </c>
      <c r="J64" s="69" t="str">
        <f>IF($C64="B",INDEX(Batters[[#All],[WE]],MATCH(Table5[[#This Row],[PID]],Batters[[#All],[PID]],0)),INDEX(Table3[[#All],[WE]],MATCH(Table5[[#This Row],[PID]],Table3[[#All],[PID]],0)))</f>
        <v>Normal</v>
      </c>
      <c r="K64" s="52" t="str">
        <f>IF($C64="B",INDEX(Batters[[#All],[INT]],MATCH(Table5[[#This Row],[PID]],Batters[[#All],[PID]],0)),INDEX(Table3[[#All],[INT]],MATCH(Table5[[#This Row],[PID]],Table3[[#All],[PID]],0)))</f>
        <v>Normal</v>
      </c>
      <c r="L64" s="60">
        <f>IF($C64="B",INDEX(Batters[[#All],[CON P]],MATCH(Table5[[#This Row],[PID]],Batters[[#All],[PID]],0)),INDEX(Table3[[#All],[STU P]],MATCH(Table5[[#This Row],[PID]],Table3[[#All],[PID]],0)))</f>
        <v>5</v>
      </c>
      <c r="M64" s="70">
        <f>IF($C64="B",INDEX(Batters[[#All],[GAP P]],MATCH(Table5[[#This Row],[PID]],Batters[[#All],[PID]],0)),INDEX(Table3[[#All],[MOV P]],MATCH(Table5[[#This Row],[PID]],Table3[[#All],[PID]],0)))</f>
        <v>6</v>
      </c>
      <c r="N64" s="70">
        <f>IF($C64="B",INDEX(Batters[[#All],[POW P]],MATCH(Table5[[#This Row],[PID]],Batters[[#All],[PID]],0)),INDEX(Table3[[#All],[CON P]],MATCH(Table5[[#This Row],[PID]],Table3[[#All],[PID]],0)))</f>
        <v>5</v>
      </c>
      <c r="O64" s="70" t="str">
        <f>IF($C64="B",INDEX(Batters[[#All],[EYE P]],MATCH(Table5[[#This Row],[PID]],Batters[[#All],[PID]],0)),INDEX(Table3[[#All],[VELO]],MATCH(Table5[[#This Row],[PID]],Table3[[#All],[PID]],0)))</f>
        <v>94-96 Mph</v>
      </c>
      <c r="P64" s="56">
        <f>IF($C64="B",INDEX(Batters[[#All],[K P]],MATCH(Table5[[#This Row],[PID]],Batters[[#All],[PID]],0)),INDEX(Table3[[#All],[STM]],MATCH(Table5[[#This Row],[PID]],Table3[[#All],[PID]],0)))</f>
        <v>7</v>
      </c>
      <c r="Q64" s="61">
        <f>IF($C64="B",INDEX(Batters[[#All],[Tot]],MATCH(Table5[[#This Row],[PID]],Batters[[#All],[PID]],0)),INDEX(Table3[[#All],[Tot]],MATCH(Table5[[#This Row],[PID]],Table3[[#All],[PID]],0)))</f>
        <v>61.755364798169168</v>
      </c>
      <c r="R64" s="52">
        <f>IF($C64="B",INDEX(Batters[[#All],[zScore]],MATCH(Table5[[#This Row],[PID]],Batters[[#All],[PID]],0)),INDEX(Table3[[#All],[zScore]],MATCH(Table5[[#This Row],[PID]],Table3[[#All],[PID]],0)))</f>
        <v>1.7103175914508197</v>
      </c>
      <c r="S64" s="75" t="str">
        <f>IF($C64="B",INDEX(Batters[[#All],[DEM]],MATCH(Table5[[#This Row],[PID]],Batters[[#All],[PID]],0)),INDEX(Table3[[#All],[DEM]],MATCH(Table5[[#This Row],[PID]],Table3[[#All],[PID]],0)))</f>
        <v>$1.6m</v>
      </c>
      <c r="T64" s="72">
        <f>IF($C64="B",INDEX(Batters[[#All],[Rnk]],MATCH(Table5[[#This Row],[PID]],Batters[[#All],[PID]],0)),INDEX(Table3[[#All],[Rnk]],MATCH(Table5[[#This Row],[PID]],Table3[[#All],[PID]],0)))</f>
        <v>21</v>
      </c>
      <c r="U64" s="67">
        <f>IF($C64="B",VLOOKUP($A64,Bat!$A$4:$BA$1314,47,FALSE),VLOOKUP($A64,Pit!$A$4:$BF$1214,56,FALSE))</f>
        <v>30</v>
      </c>
      <c r="V64" s="50">
        <f>IF($C64="B",VLOOKUP($A64,Bat!$A$4:$BA$1314,48,FALSE),VLOOKUP($A64,Pit!$A$4:$BF$1214,57,FALSE))</f>
        <v>0</v>
      </c>
      <c r="W64" s="68">
        <v>62</v>
      </c>
      <c r="X64" s="71">
        <f>RANK(Table5[[#This Row],[zScore]],Table5[[#All],[zScore]])</f>
        <v>58</v>
      </c>
      <c r="Y64" s="68">
        <f>IFERROR(INDEX(DraftResults[[#All],[OVR]],MATCH(Table5[[#This Row],[PID]],DraftResults[[#All],[Player ID]],0)),"")</f>
        <v>33</v>
      </c>
      <c r="Z64" s="7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1</v>
      </c>
      <c r="AA64" s="68">
        <f>IFERROR(INDEX(DraftResults[[#All],[Pick in Round]],MATCH(Table5[[#This Row],[PID]],DraftResults[[#All],[Player ID]],0)),"")</f>
        <v>33</v>
      </c>
      <c r="AB64" s="68" t="str">
        <f>IFERROR(INDEX(DraftResults[[#All],[Team Name]],MATCH(Table5[[#This Row],[PID]],DraftResults[[#All],[Player ID]],0)),"")</f>
        <v>Kalamazoo Badgers</v>
      </c>
      <c r="AC64" s="68">
        <f>IF(Table5[[#This Row],[Ovr]]="","",IF(Table5[[#This Row],[cmbList]]="","",Table5[[#This Row],[cmbList]]-Table5[[#This Row],[Ovr]]))</f>
        <v>29</v>
      </c>
      <c r="AD64" s="74" t="str">
        <f>IF(ISERROR(VLOOKUP($AB64&amp;"-"&amp;$E64&amp;" "&amp;F64,Bonuses!$B$1:$G$1006,4,FALSE)),"",INT(VLOOKUP($AB64&amp;"-"&amp;$E64&amp;" "&amp;$F64,Bonuses!$B$1:$G$1006,4,FALSE)))</f>
        <v/>
      </c>
      <c r="AE64" s="68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1.33 (33) - SP José Espinosa</v>
      </c>
    </row>
    <row r="65" spans="1:31" s="50" customFormat="1" x14ac:dyDescent="0.3">
      <c r="A65" s="50">
        <v>10290</v>
      </c>
      <c r="B65" s="50">
        <f>COUNTIF(Table5[PID],A65)</f>
        <v>1</v>
      </c>
      <c r="C65" s="50" t="str">
        <f>IF(COUNTIF(Table3[[#All],[PID]],A65)&gt;0,"P","B")</f>
        <v>P</v>
      </c>
      <c r="D65" s="59" t="str">
        <f>IF($C65="B",INDEX(Batters[[#All],[POS]],MATCH(Table5[[#This Row],[PID]],Batters[[#All],[PID]],0)),INDEX(Table3[[#All],[POS]],MATCH(Table5[[#This Row],[PID]],Table3[[#All],[PID]],0)))</f>
        <v>SP</v>
      </c>
      <c r="E65" s="52" t="str">
        <f>IF($C65="B",INDEX(Batters[[#All],[First]],MATCH(Table5[[#This Row],[PID]],Batters[[#All],[PID]],0)),INDEX(Table3[[#All],[First]],MATCH(Table5[[#This Row],[PID]],Table3[[#All],[PID]],0)))</f>
        <v>John</v>
      </c>
      <c r="F65" s="50" t="str">
        <f>IF($C65="B",INDEX(Batters[[#All],[Last]],MATCH(A65,Batters[[#All],[PID]],0)),INDEX(Table3[[#All],[Last]],MATCH(A65,Table3[[#All],[PID]],0)))</f>
        <v>Sharp</v>
      </c>
      <c r="G65" s="56">
        <f>IF($C65="B",INDEX(Batters[[#All],[Age]],MATCH(Table5[[#This Row],[PID]],Batters[[#All],[PID]],0)),INDEX(Table3[[#All],[Age]],MATCH(Table5[[#This Row],[PID]],Table3[[#All],[PID]],0)))</f>
        <v>17</v>
      </c>
      <c r="H65" s="52" t="str">
        <f>IF($C65="B",INDEX(Batters[[#All],[B]],MATCH(Table5[[#This Row],[PID]],Batters[[#All],[PID]],0)),INDEX(Table3[[#All],[B]],MATCH(Table5[[#This Row],[PID]],Table3[[#All],[PID]],0)))</f>
        <v>L</v>
      </c>
      <c r="I65" s="52" t="str">
        <f>IF($C65="B",INDEX(Batters[[#All],[T]],MATCH(Table5[[#This Row],[PID]],Batters[[#All],[PID]],0)),INDEX(Table3[[#All],[T]],MATCH(Table5[[#This Row],[PID]],Table3[[#All],[PID]],0)))</f>
        <v>L</v>
      </c>
      <c r="J65" s="52" t="str">
        <f>IF($C65="B",INDEX(Batters[[#All],[WE]],MATCH(Table5[[#This Row],[PID]],Batters[[#All],[PID]],0)),INDEX(Table3[[#All],[WE]],MATCH(Table5[[#This Row],[PID]],Table3[[#All],[PID]],0)))</f>
        <v>Normal</v>
      </c>
      <c r="K65" s="52" t="str">
        <f>IF($C65="B",INDEX(Batters[[#All],[INT]],MATCH(Table5[[#This Row],[PID]],Batters[[#All],[PID]],0)),INDEX(Table3[[#All],[INT]],MATCH(Table5[[#This Row],[PID]],Table3[[#All],[PID]],0)))</f>
        <v>Normal</v>
      </c>
      <c r="L65" s="60">
        <f>IF($C65="B",INDEX(Batters[[#All],[CON P]],MATCH(Table5[[#This Row],[PID]],Batters[[#All],[PID]],0)),INDEX(Table3[[#All],[STU P]],MATCH(Table5[[#This Row],[PID]],Table3[[#All],[PID]],0)))</f>
        <v>6</v>
      </c>
      <c r="M65" s="56">
        <f>IF($C65="B",INDEX(Batters[[#All],[GAP P]],MATCH(Table5[[#This Row],[PID]],Batters[[#All],[PID]],0)),INDEX(Table3[[#All],[MOV P]],MATCH(Table5[[#This Row],[PID]],Table3[[#All],[PID]],0)))</f>
        <v>7</v>
      </c>
      <c r="N65" s="56">
        <f>IF($C65="B",INDEX(Batters[[#All],[POW P]],MATCH(Table5[[#This Row],[PID]],Batters[[#All],[PID]],0)),INDEX(Table3[[#All],[CON P]],MATCH(Table5[[#This Row],[PID]],Table3[[#All],[PID]],0)))</f>
        <v>4</v>
      </c>
      <c r="O65" s="56" t="str">
        <f>IF($C65="B",INDEX(Batters[[#All],[EYE P]],MATCH(Table5[[#This Row],[PID]],Batters[[#All],[PID]],0)),INDEX(Table3[[#All],[VELO]],MATCH(Table5[[#This Row],[PID]],Table3[[#All],[PID]],0)))</f>
        <v>88-90 Mph</v>
      </c>
      <c r="P65" s="56">
        <f>IF($C65="B",INDEX(Batters[[#All],[K P]],MATCH(Table5[[#This Row],[PID]],Batters[[#All],[PID]],0)),INDEX(Table3[[#All],[STM]],MATCH(Table5[[#This Row],[PID]],Table3[[#All],[PID]],0)))</f>
        <v>3</v>
      </c>
      <c r="Q65" s="61">
        <f>IF($C65="B",INDEX(Batters[[#All],[Tot]],MATCH(Table5[[#This Row],[PID]],Batters[[#All],[PID]],0)),INDEX(Table3[[#All],[Tot]],MATCH(Table5[[#This Row],[PID]],Table3[[#All],[PID]],0)))</f>
        <v>65.167377815338696</v>
      </c>
      <c r="R65" s="52">
        <f>IF($C65="B",INDEX(Batters[[#All],[zScore]],MATCH(Table5[[#This Row],[PID]],Batters[[#All],[PID]],0)),INDEX(Table3[[#All],[zScore]],MATCH(Table5[[#This Row],[PID]],Table3[[#All],[PID]],0)))</f>
        <v>1.9485658731527702</v>
      </c>
      <c r="S65" s="58" t="str">
        <f>IF($C65="B",INDEX(Batters[[#All],[DEM]],MATCH(Table5[[#This Row],[PID]],Batters[[#All],[PID]],0)),INDEX(Table3[[#All],[DEM]],MATCH(Table5[[#This Row],[PID]],Table3[[#All],[PID]],0)))</f>
        <v>$2.6m</v>
      </c>
      <c r="T65" s="62">
        <f>IF($C65="B",INDEX(Batters[[#All],[Rnk]],MATCH(Table5[[#This Row],[PID]],Batters[[#All],[PID]],0)),INDEX(Table3[[#All],[Rnk]],MATCH(Table5[[#This Row],[PID]],Table3[[#All],[PID]],0)))</f>
        <v>11</v>
      </c>
      <c r="U65" s="67">
        <f>IF($C65="B",VLOOKUP($A65,Bat!$A$4:$BA$1314,47,FALSE),VLOOKUP($A65,Pit!$A$4:$BF$1214,56,FALSE))</f>
        <v>31</v>
      </c>
      <c r="V65" s="50">
        <f>IF($C65="B",VLOOKUP($A65,Bat!$A$4:$BA$1314,48,FALSE),VLOOKUP($A65,Pit!$A$4:$BF$1214,57,FALSE))</f>
        <v>0</v>
      </c>
      <c r="W65" s="50">
        <v>63</v>
      </c>
      <c r="X65" s="51">
        <f>RANK(Table5[[#This Row],[zScore]],Table5[[#All],[zScore]])</f>
        <v>42</v>
      </c>
      <c r="Y65" s="50">
        <f>IFERROR(INDEX(DraftResults[[#All],[OVR]],MATCH(Table5[[#This Row],[PID]],DraftResults[[#All],[Player ID]],0)),"")</f>
        <v>72</v>
      </c>
      <c r="Z65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2</v>
      </c>
      <c r="AA65" s="50">
        <f>IFERROR(INDEX(DraftResults[[#All],[Pick in Round]],MATCH(Table5[[#This Row],[PID]],DraftResults[[#All],[Player ID]],0)),"")</f>
        <v>36</v>
      </c>
      <c r="AB65" s="50" t="str">
        <f>IFERROR(INDEX(DraftResults[[#All],[Team Name]],MATCH(Table5[[#This Row],[PID]],DraftResults[[#All],[Player ID]],0)),"")</f>
        <v>Kentucky Thoroughbreds</v>
      </c>
      <c r="AC65" s="50">
        <f>IF(Table5[[#This Row],[Ovr]]="","",IF(Table5[[#This Row],[cmbList]]="","",Table5[[#This Row],[cmbList]]-Table5[[#This Row],[Ovr]]))</f>
        <v>-9</v>
      </c>
      <c r="AD65" s="54" t="str">
        <f>IF(ISERROR(VLOOKUP($AB65&amp;"-"&amp;$E65&amp;" "&amp;F65,Bonuses!$B$1:$G$1006,4,FALSE)),"",INT(VLOOKUP($AB65&amp;"-"&amp;$E65&amp;" "&amp;$F65,Bonuses!$B$1:$G$1006,4,FALSE)))</f>
        <v/>
      </c>
      <c r="AE65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2.36 (72) - SP John Sharp</v>
      </c>
    </row>
    <row r="66" spans="1:31" s="50" customFormat="1" x14ac:dyDescent="0.3">
      <c r="A66" s="50">
        <v>21011</v>
      </c>
      <c r="B66" s="55">
        <f>COUNTIF(Table5[PID],A66)</f>
        <v>1</v>
      </c>
      <c r="C66" s="55" t="str">
        <f>IF(COUNTIF(Table3[[#All],[PID]],A66)&gt;0,"P","B")</f>
        <v>P</v>
      </c>
      <c r="D66" s="59" t="str">
        <f>IF($C66="B",INDEX(Batters[[#All],[POS]],MATCH(Table5[[#This Row],[PID]],Batters[[#All],[PID]],0)),INDEX(Table3[[#All],[POS]],MATCH(Table5[[#This Row],[PID]],Table3[[#All],[PID]],0)))</f>
        <v>RP</v>
      </c>
      <c r="E66" s="52" t="str">
        <f>IF($C66="B",INDEX(Batters[[#All],[First]],MATCH(Table5[[#This Row],[PID]],Batters[[#All],[PID]],0)),INDEX(Table3[[#All],[First]],MATCH(Table5[[#This Row],[PID]],Table3[[#All],[PID]],0)))</f>
        <v>Ricardo</v>
      </c>
      <c r="F66" s="50" t="str">
        <f>IF($C66="B",INDEX(Batters[[#All],[Last]],MATCH(A66,Batters[[#All],[PID]],0)),INDEX(Table3[[#All],[Last]],MATCH(A66,Table3[[#All],[PID]],0)))</f>
        <v>López</v>
      </c>
      <c r="G66" s="56">
        <f>IF($C66="B",INDEX(Batters[[#All],[Age]],MATCH(Table5[[#This Row],[PID]],Batters[[#All],[PID]],0)),INDEX(Table3[[#All],[Age]],MATCH(Table5[[#This Row],[PID]],Table3[[#All],[PID]],0)))</f>
        <v>17</v>
      </c>
      <c r="H66" s="52" t="str">
        <f>IF($C66="B",INDEX(Batters[[#All],[B]],MATCH(Table5[[#This Row],[PID]],Batters[[#All],[PID]],0)),INDEX(Table3[[#All],[B]],MATCH(Table5[[#This Row],[PID]],Table3[[#All],[PID]],0)))</f>
        <v>R</v>
      </c>
      <c r="I66" s="52" t="str">
        <f>IF($C66="B",INDEX(Batters[[#All],[T]],MATCH(Table5[[#This Row],[PID]],Batters[[#All],[PID]],0)),INDEX(Table3[[#All],[T]],MATCH(Table5[[#This Row],[PID]],Table3[[#All],[PID]],0)))</f>
        <v>R</v>
      </c>
      <c r="J66" s="52" t="str">
        <f>IF($C66="B",INDEX(Batters[[#All],[WE]],MATCH(Table5[[#This Row],[PID]],Batters[[#All],[PID]],0)),INDEX(Table3[[#All],[WE]],MATCH(Table5[[#This Row],[PID]],Table3[[#All],[PID]],0)))</f>
        <v>Low</v>
      </c>
      <c r="K66" s="52" t="str">
        <f>IF($C66="B",INDEX(Batters[[#All],[INT]],MATCH(Table5[[#This Row],[PID]],Batters[[#All],[PID]],0)),INDEX(Table3[[#All],[INT]],MATCH(Table5[[#This Row],[PID]],Table3[[#All],[PID]],0)))</f>
        <v>Normal</v>
      </c>
      <c r="L66" s="60">
        <f>IF($C66="B",INDEX(Batters[[#All],[CON P]],MATCH(Table5[[#This Row],[PID]],Batters[[#All],[PID]],0)),INDEX(Table3[[#All],[STU P]],MATCH(Table5[[#This Row],[PID]],Table3[[#All],[PID]],0)))</f>
        <v>7</v>
      </c>
      <c r="M66" s="56">
        <f>IF($C66="B",INDEX(Batters[[#All],[GAP P]],MATCH(Table5[[#This Row],[PID]],Batters[[#All],[PID]],0)),INDEX(Table3[[#All],[MOV P]],MATCH(Table5[[#This Row],[PID]],Table3[[#All],[PID]],0)))</f>
        <v>4</v>
      </c>
      <c r="N66" s="56">
        <f>IF($C66="B",INDEX(Batters[[#All],[POW P]],MATCH(Table5[[#This Row],[PID]],Batters[[#All],[PID]],0)),INDEX(Table3[[#All],[CON P]],MATCH(Table5[[#This Row],[PID]],Table3[[#All],[PID]],0)))</f>
        <v>4</v>
      </c>
      <c r="O66" s="56" t="str">
        <f>IF($C66="B",INDEX(Batters[[#All],[EYE P]],MATCH(Table5[[#This Row],[PID]],Batters[[#All],[PID]],0)),INDEX(Table3[[#All],[VELO]],MATCH(Table5[[#This Row],[PID]],Table3[[#All],[PID]],0)))</f>
        <v>95-97 Mph</v>
      </c>
      <c r="P66" s="56">
        <f>IF($C66="B",INDEX(Batters[[#All],[K P]],MATCH(Table5[[#This Row],[PID]],Batters[[#All],[PID]],0)),INDEX(Table3[[#All],[STM]],MATCH(Table5[[#This Row],[PID]],Table3[[#All],[PID]],0)))</f>
        <v>4</v>
      </c>
      <c r="Q66" s="61">
        <f>IF($C66="B",INDEX(Batters[[#All],[Tot]],MATCH(Table5[[#This Row],[PID]],Batters[[#All],[PID]],0)),INDEX(Table3[[#All],[Tot]],MATCH(Table5[[#This Row],[PID]],Table3[[#All],[PID]],0)))</f>
        <v>57.653600659848394</v>
      </c>
      <c r="R66" s="52">
        <f>IF($C66="B",INDEX(Batters[[#All],[zScore]],MATCH(Table5[[#This Row],[PID]],Batters[[#All],[PID]],0)),INDEX(Table3[[#All],[zScore]],MATCH(Table5[[#This Row],[PID]],Table3[[#All],[PID]],0)))</f>
        <v>1.4135320962415598</v>
      </c>
      <c r="S66" s="58" t="str">
        <f>IF($C66="B",INDEX(Batters[[#All],[DEM]],MATCH(Table5[[#This Row],[PID]],Batters[[#All],[PID]],0)),INDEX(Table3[[#All],[DEM]],MATCH(Table5[[#This Row],[PID]],Table3[[#All],[PID]],0)))</f>
        <v>$65k</v>
      </c>
      <c r="T66" s="62">
        <f>IF($C66="B",INDEX(Batters[[#All],[Rnk]],MATCH(Table5[[#This Row],[PID]],Batters[[#All],[PID]],0)),INDEX(Table3[[#All],[Rnk]],MATCH(Table5[[#This Row],[PID]],Table3[[#All],[PID]],0)))</f>
        <v>12</v>
      </c>
      <c r="U66" s="67">
        <f>IF($C66="B",VLOOKUP($A66,Bat!$A$4:$BA$1314,47,FALSE),VLOOKUP($A66,Pit!$A$4:$BF$1214,56,FALSE))</f>
        <v>32</v>
      </c>
      <c r="V66" s="50">
        <f>IF($C66="B",VLOOKUP($A66,Bat!$A$4:$BA$1314,48,FALSE),VLOOKUP($A66,Pit!$A$4:$BF$1214,57,FALSE))</f>
        <v>0</v>
      </c>
      <c r="W66" s="68">
        <v>64</v>
      </c>
      <c r="X66" s="51">
        <f>RANK(Table5[[#This Row],[zScore]],Table5[[#All],[zScore]])</f>
        <v>83</v>
      </c>
      <c r="Y66" s="50">
        <f>IFERROR(INDEX(DraftResults[[#All],[OVR]],MATCH(Table5[[#This Row],[PID]],DraftResults[[#All],[Player ID]],0)),"")</f>
        <v>159</v>
      </c>
      <c r="Z66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5</v>
      </c>
      <c r="AA66" s="50">
        <f>IFERROR(INDEX(DraftResults[[#All],[Pick in Round]],MATCH(Table5[[#This Row],[PID]],DraftResults[[#All],[Player ID]],0)),"")</f>
        <v>22</v>
      </c>
      <c r="AB66" s="50" t="str">
        <f>IFERROR(INDEX(DraftResults[[#All],[Team Name]],MATCH(Table5[[#This Row],[PID]],DraftResults[[#All],[Player ID]],0)),"")</f>
        <v>Bakersfield Bears</v>
      </c>
      <c r="AC66" s="50">
        <f>IF(Table5[[#This Row],[Ovr]]="","",IF(Table5[[#This Row],[cmbList]]="","",Table5[[#This Row],[cmbList]]-Table5[[#This Row],[Ovr]]))</f>
        <v>-95</v>
      </c>
      <c r="AD66" s="54" t="str">
        <f>IF(ISERROR(VLOOKUP($AB66&amp;"-"&amp;$E66&amp;" "&amp;F66,Bonuses!$B$1:$G$1006,4,FALSE)),"",INT(VLOOKUP($AB66&amp;"-"&amp;$E66&amp;" "&amp;$F66,Bonuses!$B$1:$G$1006,4,FALSE)))</f>
        <v/>
      </c>
      <c r="AE66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5.22 (159) - RP Ricardo López</v>
      </c>
    </row>
    <row r="67" spans="1:31" s="50" customFormat="1" x14ac:dyDescent="0.3">
      <c r="A67" s="50">
        <v>20596</v>
      </c>
      <c r="B67" s="50">
        <f>COUNTIF(Table5[PID],A67)</f>
        <v>1</v>
      </c>
      <c r="C67" s="50" t="str">
        <f>IF(COUNTIF(Table3[[#All],[PID]],A67)&gt;0,"P","B")</f>
        <v>B</v>
      </c>
      <c r="D67" s="59" t="str">
        <f>IF($C67="B",INDEX(Batters[[#All],[POS]],MATCH(Table5[[#This Row],[PID]],Batters[[#All],[PID]],0)),INDEX(Table3[[#All],[POS]],MATCH(Table5[[#This Row],[PID]],Table3[[#All],[PID]],0)))</f>
        <v>RF</v>
      </c>
      <c r="E67" s="52" t="str">
        <f>IF($C67="B",INDEX(Batters[[#All],[First]],MATCH(Table5[[#This Row],[PID]],Batters[[#All],[PID]],0)),INDEX(Table3[[#All],[First]],MATCH(Table5[[#This Row],[PID]],Table3[[#All],[PID]],0)))</f>
        <v>Chin-yau</v>
      </c>
      <c r="F67" s="50" t="str">
        <f>IF($C67="B",INDEX(Batters[[#All],[Last]],MATCH(A67,Batters[[#All],[PID]],0)),INDEX(Table3[[#All],[Last]],MATCH(A67,Table3[[#All],[PID]],0)))</f>
        <v>Su</v>
      </c>
      <c r="G67" s="56">
        <f>IF($C67="B",INDEX(Batters[[#All],[Age]],MATCH(Table5[[#This Row],[PID]],Batters[[#All],[PID]],0)),INDEX(Table3[[#All],[Age]],MATCH(Table5[[#This Row],[PID]],Table3[[#All],[PID]],0)))</f>
        <v>17</v>
      </c>
      <c r="H67" s="52" t="str">
        <f>IF($C67="B",INDEX(Batters[[#All],[B]],MATCH(Table5[[#This Row],[PID]],Batters[[#All],[PID]],0)),INDEX(Table3[[#All],[B]],MATCH(Table5[[#This Row],[PID]],Table3[[#All],[PID]],0)))</f>
        <v>L</v>
      </c>
      <c r="I67" s="52" t="str">
        <f>IF($C67="B",INDEX(Batters[[#All],[T]],MATCH(Table5[[#This Row],[PID]],Batters[[#All],[PID]],0)),INDEX(Table3[[#All],[T]],MATCH(Table5[[#This Row],[PID]],Table3[[#All],[PID]],0)))</f>
        <v>L</v>
      </c>
      <c r="J67" s="52" t="str">
        <f>IF($C67="B",INDEX(Batters[[#All],[WE]],MATCH(Table5[[#This Row],[PID]],Batters[[#All],[PID]],0)),INDEX(Table3[[#All],[WE]],MATCH(Table5[[#This Row],[PID]],Table3[[#All],[PID]],0)))</f>
        <v>Normal</v>
      </c>
      <c r="K67" s="52" t="str">
        <f>IF($C67="B",INDEX(Batters[[#All],[INT]],MATCH(Table5[[#This Row],[PID]],Batters[[#All],[PID]],0)),INDEX(Table3[[#All],[INT]],MATCH(Table5[[#This Row],[PID]],Table3[[#All],[PID]],0)))</f>
        <v>Low</v>
      </c>
      <c r="L67" s="60">
        <f>IF($C67="B",INDEX(Batters[[#All],[CON P]],MATCH(Table5[[#This Row],[PID]],Batters[[#All],[PID]],0)),INDEX(Table3[[#All],[STU P]],MATCH(Table5[[#This Row],[PID]],Table3[[#All],[PID]],0)))</f>
        <v>6</v>
      </c>
      <c r="M67" s="56">
        <f>IF($C67="B",INDEX(Batters[[#All],[GAP P]],MATCH(Table5[[#This Row],[PID]],Batters[[#All],[PID]],0)),INDEX(Table3[[#All],[MOV P]],MATCH(Table5[[#This Row],[PID]],Table3[[#All],[PID]],0)))</f>
        <v>5</v>
      </c>
      <c r="N67" s="56">
        <f>IF($C67="B",INDEX(Batters[[#All],[POW P]],MATCH(Table5[[#This Row],[PID]],Batters[[#All],[PID]],0)),INDEX(Table3[[#All],[CON P]],MATCH(Table5[[#This Row],[PID]],Table3[[#All],[PID]],0)))</f>
        <v>3</v>
      </c>
      <c r="O67" s="56">
        <f>IF($C67="B",INDEX(Batters[[#All],[EYE P]],MATCH(Table5[[#This Row],[PID]],Batters[[#All],[PID]],0)),INDEX(Table3[[#All],[VELO]],MATCH(Table5[[#This Row],[PID]],Table3[[#All],[PID]],0)))</f>
        <v>2</v>
      </c>
      <c r="P67" s="56">
        <f>IF($C67="B",INDEX(Batters[[#All],[K P]],MATCH(Table5[[#This Row],[PID]],Batters[[#All],[PID]],0)),INDEX(Table3[[#All],[STM]],MATCH(Table5[[#This Row],[PID]],Table3[[#All],[PID]],0)))</f>
        <v>9</v>
      </c>
      <c r="Q67" s="61">
        <f>IF($C67="B",INDEX(Batters[[#All],[Tot]],MATCH(Table5[[#This Row],[PID]],Batters[[#All],[PID]],0)),INDEX(Table3[[#All],[Tot]],MATCH(Table5[[#This Row],[PID]],Table3[[#All],[PID]],0)))</f>
        <v>53.282985041892559</v>
      </c>
      <c r="R67" s="52">
        <f>IF($C67="B",INDEX(Batters[[#All],[zScore]],MATCH(Table5[[#This Row],[PID]],Batters[[#All],[PID]],0)),INDEX(Table3[[#All],[zScore]],MATCH(Table5[[#This Row],[PID]],Table3[[#All],[PID]],0)))</f>
        <v>1.4690952343023005</v>
      </c>
      <c r="S67" s="58" t="str">
        <f>IF($C67="B",INDEX(Batters[[#All],[DEM]],MATCH(Table5[[#This Row],[PID]],Batters[[#All],[PID]],0)),INDEX(Table3[[#All],[DEM]],MATCH(Table5[[#This Row],[PID]],Table3[[#All],[PID]],0)))</f>
        <v>$190k</v>
      </c>
      <c r="T67" s="62">
        <f>IF($C67="B",INDEX(Batters[[#All],[Rnk]],MATCH(Table5[[#This Row],[PID]],Batters[[#All],[PID]],0)),INDEX(Table3[[#All],[Rnk]],MATCH(Table5[[#This Row],[PID]],Table3[[#All],[PID]],0)))</f>
        <v>4</v>
      </c>
      <c r="U67" s="67">
        <f>IF($C67="B",VLOOKUP($A67,Bat!$A$4:$BA$1314,47,FALSE),VLOOKUP($A67,Pit!$A$4:$BF$1214,56,FALSE))</f>
        <v>32</v>
      </c>
      <c r="V67" s="50">
        <f>IF($C67="B",VLOOKUP($A67,Bat!$A$4:$BA$1314,48,FALSE),VLOOKUP($A67,Pit!$A$4:$BF$1214,57,FALSE))</f>
        <v>32</v>
      </c>
      <c r="W67" s="50">
        <v>65</v>
      </c>
      <c r="X67" s="51">
        <f>RANK(Table5[[#This Row],[zScore]],Table5[[#All],[zScore]])</f>
        <v>78</v>
      </c>
      <c r="Y67" s="50">
        <f>IFERROR(INDEX(DraftResults[[#All],[OVR]],MATCH(Table5[[#This Row],[PID]],DraftResults[[#All],[Player ID]],0)),"")</f>
        <v>135</v>
      </c>
      <c r="Z67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4</v>
      </c>
      <c r="AA67" s="50">
        <f>IFERROR(INDEX(DraftResults[[#All],[Pick in Round]],MATCH(Table5[[#This Row],[PID]],DraftResults[[#All],[Player ID]],0)),"")</f>
        <v>30</v>
      </c>
      <c r="AB67" s="50" t="str">
        <f>IFERROR(INDEX(DraftResults[[#All],[Team Name]],MATCH(Table5[[#This Row],[PID]],DraftResults[[#All],[Player ID]],0)),"")</f>
        <v>Toyama Wind Dancers</v>
      </c>
      <c r="AC67" s="50">
        <f>IF(Table5[[#This Row],[Ovr]]="","",IF(Table5[[#This Row],[cmbList]]="","",Table5[[#This Row],[cmbList]]-Table5[[#This Row],[Ovr]]))</f>
        <v>-70</v>
      </c>
      <c r="AD67" s="54" t="str">
        <f>IF(ISERROR(VLOOKUP($AB67&amp;"-"&amp;$E67&amp;" "&amp;F67,Bonuses!$B$1:$G$1006,4,FALSE)),"",INT(VLOOKUP($AB67&amp;"-"&amp;$E67&amp;" "&amp;$F67,Bonuses!$B$1:$G$1006,4,FALSE)))</f>
        <v/>
      </c>
      <c r="AE67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4.30 (135) - RF Chin-yau Su</v>
      </c>
    </row>
    <row r="68" spans="1:31" s="50" customFormat="1" x14ac:dyDescent="0.3">
      <c r="A68" s="50">
        <v>11580</v>
      </c>
      <c r="B68" s="50">
        <f>COUNTIF(Table5[PID],A68)</f>
        <v>1</v>
      </c>
      <c r="C68" s="50" t="str">
        <f>IF(COUNTIF(Table3[[#All],[PID]],A68)&gt;0,"P","B")</f>
        <v>B</v>
      </c>
      <c r="D68" s="59" t="str">
        <f>IF($C68="B",INDEX(Batters[[#All],[POS]],MATCH(Table5[[#This Row],[PID]],Batters[[#All],[PID]],0)),INDEX(Table3[[#All],[POS]],MATCH(Table5[[#This Row],[PID]],Table3[[#All],[PID]],0)))</f>
        <v>1B</v>
      </c>
      <c r="E68" s="52" t="str">
        <f>IF($C68="B",INDEX(Batters[[#All],[First]],MATCH(Table5[[#This Row],[PID]],Batters[[#All],[PID]],0)),INDEX(Table3[[#All],[First]],MATCH(Table5[[#This Row],[PID]],Table3[[#All],[PID]],0)))</f>
        <v>Robert</v>
      </c>
      <c r="F68" s="50" t="str">
        <f>IF($C68="B",INDEX(Batters[[#All],[Last]],MATCH(A68,Batters[[#All],[PID]],0)),INDEX(Table3[[#All],[Last]],MATCH(A68,Table3[[#All],[PID]],0)))</f>
        <v>Webb</v>
      </c>
      <c r="G68" s="56">
        <f>IF($C68="B",INDEX(Batters[[#All],[Age]],MATCH(Table5[[#This Row],[PID]],Batters[[#All],[PID]],0)),INDEX(Table3[[#All],[Age]],MATCH(Table5[[#This Row],[PID]],Table3[[#All],[PID]],0)))</f>
        <v>17</v>
      </c>
      <c r="H68" s="52" t="str">
        <f>IF($C68="B",INDEX(Batters[[#All],[B]],MATCH(Table5[[#This Row],[PID]],Batters[[#All],[PID]],0)),INDEX(Table3[[#All],[B]],MATCH(Table5[[#This Row],[PID]],Table3[[#All],[PID]],0)))</f>
        <v>R</v>
      </c>
      <c r="I68" s="52" t="str">
        <f>IF($C68="B",INDEX(Batters[[#All],[T]],MATCH(Table5[[#This Row],[PID]],Batters[[#All],[PID]],0)),INDEX(Table3[[#All],[T]],MATCH(Table5[[#This Row],[PID]],Table3[[#All],[PID]],0)))</f>
        <v>R</v>
      </c>
      <c r="J68" s="52" t="str">
        <f>IF($C68="B",INDEX(Batters[[#All],[WE]],MATCH(Table5[[#This Row],[PID]],Batters[[#All],[PID]],0)),INDEX(Table3[[#All],[WE]],MATCH(Table5[[#This Row],[PID]],Table3[[#All],[PID]],0)))</f>
        <v>Normal</v>
      </c>
      <c r="K68" s="52" t="str">
        <f>IF($C68="B",INDEX(Batters[[#All],[INT]],MATCH(Table5[[#This Row],[PID]],Batters[[#All],[PID]],0)),INDEX(Table3[[#All],[INT]],MATCH(Table5[[#This Row],[PID]],Table3[[#All],[PID]],0)))</f>
        <v>Normal</v>
      </c>
      <c r="L68" s="60">
        <f>IF($C68="B",INDEX(Batters[[#All],[CON P]],MATCH(Table5[[#This Row],[PID]],Batters[[#All],[PID]],0)),INDEX(Table3[[#All],[STU P]],MATCH(Table5[[#This Row],[PID]],Table3[[#All],[PID]],0)))</f>
        <v>4</v>
      </c>
      <c r="M68" s="56">
        <f>IF($C68="B",INDEX(Batters[[#All],[GAP P]],MATCH(Table5[[#This Row],[PID]],Batters[[#All],[PID]],0)),INDEX(Table3[[#All],[MOV P]],MATCH(Table5[[#This Row],[PID]],Table3[[#All],[PID]],0)))</f>
        <v>6</v>
      </c>
      <c r="N68" s="56">
        <f>IF($C68="B",INDEX(Batters[[#All],[POW P]],MATCH(Table5[[#This Row],[PID]],Batters[[#All],[PID]],0)),INDEX(Table3[[#All],[CON P]],MATCH(Table5[[#This Row],[PID]],Table3[[#All],[PID]],0)))</f>
        <v>7</v>
      </c>
      <c r="O68" s="56">
        <f>IF($C68="B",INDEX(Batters[[#All],[EYE P]],MATCH(Table5[[#This Row],[PID]],Batters[[#All],[PID]],0)),INDEX(Table3[[#All],[VELO]],MATCH(Table5[[#This Row],[PID]],Table3[[#All],[PID]],0)))</f>
        <v>6</v>
      </c>
      <c r="P68" s="56">
        <f>IF($C68="B",INDEX(Batters[[#All],[K P]],MATCH(Table5[[#This Row],[PID]],Batters[[#All],[PID]],0)),INDEX(Table3[[#All],[STM]],MATCH(Table5[[#This Row],[PID]],Table3[[#All],[PID]],0)))</f>
        <v>3</v>
      </c>
      <c r="Q68" s="61">
        <f>IF($C68="B",INDEX(Batters[[#All],[Tot]],MATCH(Table5[[#This Row],[PID]],Batters[[#All],[PID]],0)),INDEX(Table3[[#All],[Tot]],MATCH(Table5[[#This Row],[PID]],Table3[[#All],[PID]],0)))</f>
        <v>51.823207258141089</v>
      </c>
      <c r="R68" s="52">
        <f>IF($C68="B",INDEX(Batters[[#All],[zScore]],MATCH(Table5[[#This Row],[PID]],Batters[[#All],[PID]],0)),INDEX(Table3[[#All],[zScore]],MATCH(Table5[[#This Row],[PID]],Table3[[#All],[PID]],0)))</f>
        <v>1.2560142307031894</v>
      </c>
      <c r="S68" s="58" t="str">
        <f>IF($C68="B",INDEX(Batters[[#All],[DEM]],MATCH(Table5[[#This Row],[PID]],Batters[[#All],[PID]],0)),INDEX(Table3[[#All],[DEM]],MATCH(Table5[[#This Row],[PID]],Table3[[#All],[PID]],0)))</f>
        <v>$200k</v>
      </c>
      <c r="T68" s="62">
        <f>IF($C68="B",INDEX(Batters[[#All],[Rnk]],MATCH(Table5[[#This Row],[PID]],Batters[[#All],[PID]],0)),INDEX(Table3[[#All],[Rnk]],MATCH(Table5[[#This Row],[PID]],Table3[[#All],[PID]],0)))</f>
        <v>4</v>
      </c>
      <c r="U68" s="67">
        <f>IF($C68="B",VLOOKUP($A68,Bat!$A$4:$BA$1314,47,FALSE),VLOOKUP($A68,Pit!$A$4:$BF$1214,56,FALSE))</f>
        <v>33</v>
      </c>
      <c r="V68" s="50">
        <f>IF($C68="B",VLOOKUP($A68,Bat!$A$4:$BA$1314,48,FALSE),VLOOKUP($A68,Pit!$A$4:$BF$1214,57,FALSE))</f>
        <v>33</v>
      </c>
      <c r="W68" s="68">
        <v>66</v>
      </c>
      <c r="X68" s="51">
        <f>RANK(Table5[[#This Row],[zScore]],Table5[[#All],[zScore]])</f>
        <v>108</v>
      </c>
      <c r="Y68" s="50">
        <f>IFERROR(INDEX(DraftResults[[#All],[OVR]],MATCH(Table5[[#This Row],[PID]],DraftResults[[#All],[Player ID]],0)),"")</f>
        <v>130</v>
      </c>
      <c r="Z68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4</v>
      </c>
      <c r="AA68" s="50">
        <f>IFERROR(INDEX(DraftResults[[#All],[Pick in Round]],MATCH(Table5[[#This Row],[PID]],DraftResults[[#All],[Player ID]],0)),"")</f>
        <v>25</v>
      </c>
      <c r="AB68" s="50" t="str">
        <f>IFERROR(INDEX(DraftResults[[#All],[Team Name]],MATCH(Table5[[#This Row],[PID]],DraftResults[[#All],[Player ID]],0)),"")</f>
        <v>West Virginia Alleghenies</v>
      </c>
      <c r="AC68" s="50">
        <f>IF(Table5[[#This Row],[Ovr]]="","",IF(Table5[[#This Row],[cmbList]]="","",Table5[[#This Row],[cmbList]]-Table5[[#This Row],[Ovr]]))</f>
        <v>-64</v>
      </c>
      <c r="AD68" s="54" t="str">
        <f>IF(ISERROR(VLOOKUP($AB68&amp;"-"&amp;$E68&amp;" "&amp;F68,Bonuses!$B$1:$G$1006,4,FALSE)),"",INT(VLOOKUP($AB68&amp;"-"&amp;$E68&amp;" "&amp;$F68,Bonuses!$B$1:$G$1006,4,FALSE)))</f>
        <v/>
      </c>
      <c r="AE68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4.25 (130) - 1B Robert Webb</v>
      </c>
    </row>
    <row r="69" spans="1:31" s="50" customFormat="1" x14ac:dyDescent="0.3">
      <c r="A69" s="50">
        <v>21008</v>
      </c>
      <c r="B69" s="55">
        <f>COUNTIF(Table5[PID],A69)</f>
        <v>1</v>
      </c>
      <c r="C69" s="55" t="str">
        <f>IF(COUNTIF(Table3[[#All],[PID]],A69)&gt;0,"P","B")</f>
        <v>P</v>
      </c>
      <c r="D69" s="59" t="str">
        <f>IF($C69="B",INDEX(Batters[[#All],[POS]],MATCH(Table5[[#This Row],[PID]],Batters[[#All],[PID]],0)),INDEX(Table3[[#All],[POS]],MATCH(Table5[[#This Row],[PID]],Table3[[#All],[PID]],0)))</f>
        <v>CL</v>
      </c>
      <c r="E69" s="52" t="str">
        <f>IF($C69="B",INDEX(Batters[[#All],[First]],MATCH(Table5[[#This Row],[PID]],Batters[[#All],[PID]],0)),INDEX(Table3[[#All],[First]],MATCH(Table5[[#This Row],[PID]],Table3[[#All],[PID]],0)))</f>
        <v>Liam</v>
      </c>
      <c r="F69" s="50" t="str">
        <f>IF($C69="B",INDEX(Batters[[#All],[Last]],MATCH(A69,Batters[[#All],[PID]],0)),INDEX(Table3[[#All],[Last]],MATCH(A69,Table3[[#All],[PID]],0)))</f>
        <v>Pennington</v>
      </c>
      <c r="G69" s="56">
        <f>IF($C69="B",INDEX(Batters[[#All],[Age]],MATCH(Table5[[#This Row],[PID]],Batters[[#All],[PID]],0)),INDEX(Table3[[#All],[Age]],MATCH(Table5[[#This Row],[PID]],Table3[[#All],[PID]],0)))</f>
        <v>18</v>
      </c>
      <c r="H69" s="52" t="str">
        <f>IF($C69="B",INDEX(Batters[[#All],[B]],MATCH(Table5[[#This Row],[PID]],Batters[[#All],[PID]],0)),INDEX(Table3[[#All],[B]],MATCH(Table5[[#This Row],[PID]],Table3[[#All],[PID]],0)))</f>
        <v>S</v>
      </c>
      <c r="I69" s="52" t="str">
        <f>IF($C69="B",INDEX(Batters[[#All],[T]],MATCH(Table5[[#This Row],[PID]],Batters[[#All],[PID]],0)),INDEX(Table3[[#All],[T]],MATCH(Table5[[#This Row],[PID]],Table3[[#All],[PID]],0)))</f>
        <v>L</v>
      </c>
      <c r="J69" s="52" t="str">
        <f>IF($C69="B",INDEX(Batters[[#All],[WE]],MATCH(Table5[[#This Row],[PID]],Batters[[#All],[PID]],0)),INDEX(Table3[[#All],[WE]],MATCH(Table5[[#This Row],[PID]],Table3[[#All],[PID]],0)))</f>
        <v>High</v>
      </c>
      <c r="K69" s="52" t="str">
        <f>IF($C69="B",INDEX(Batters[[#All],[INT]],MATCH(Table5[[#This Row],[PID]],Batters[[#All],[PID]],0)),INDEX(Table3[[#All],[INT]],MATCH(Table5[[#This Row],[PID]],Table3[[#All],[PID]],0)))</f>
        <v>Normal</v>
      </c>
      <c r="L69" s="60">
        <f>IF($C69="B",INDEX(Batters[[#All],[CON P]],MATCH(Table5[[#This Row],[PID]],Batters[[#All],[PID]],0)),INDEX(Table3[[#All],[STU P]],MATCH(Table5[[#This Row],[PID]],Table3[[#All],[PID]],0)))</f>
        <v>5</v>
      </c>
      <c r="M69" s="56">
        <f>IF($C69="B",INDEX(Batters[[#All],[GAP P]],MATCH(Table5[[#This Row],[PID]],Batters[[#All],[PID]],0)),INDEX(Table3[[#All],[MOV P]],MATCH(Table5[[#This Row],[PID]],Table3[[#All],[PID]],0)))</f>
        <v>6</v>
      </c>
      <c r="N69" s="56">
        <f>IF($C69="B",INDEX(Batters[[#All],[POW P]],MATCH(Table5[[#This Row],[PID]],Batters[[#All],[PID]],0)),INDEX(Table3[[#All],[CON P]],MATCH(Table5[[#This Row],[PID]],Table3[[#All],[PID]],0)))</f>
        <v>6</v>
      </c>
      <c r="O69" s="56" t="str">
        <f>IF($C69="B",INDEX(Batters[[#All],[EYE P]],MATCH(Table5[[#This Row],[PID]],Batters[[#All],[PID]],0)),INDEX(Table3[[#All],[VELO]],MATCH(Table5[[#This Row],[PID]],Table3[[#All],[PID]],0)))</f>
        <v>89-91 Mph</v>
      </c>
      <c r="P69" s="56">
        <f>IF($C69="B",INDEX(Batters[[#All],[K P]],MATCH(Table5[[#This Row],[PID]],Batters[[#All],[PID]],0)),INDEX(Table3[[#All],[STM]],MATCH(Table5[[#This Row],[PID]],Table3[[#All],[PID]],0)))</f>
        <v>2</v>
      </c>
      <c r="Q69" s="61">
        <f>IF($C69="B",INDEX(Batters[[#All],[Tot]],MATCH(Table5[[#This Row],[PID]],Batters[[#All],[PID]],0)),INDEX(Table3[[#All],[Tot]],MATCH(Table5[[#This Row],[PID]],Table3[[#All],[PID]],0)))</f>
        <v>66.075721547549534</v>
      </c>
      <c r="R69" s="52">
        <f>IF($C69="B",INDEX(Batters[[#All],[zScore]],MATCH(Table5[[#This Row],[PID]],Batters[[#All],[PID]],0)),INDEX(Table3[[#All],[zScore]],MATCH(Table5[[#This Row],[PID]],Table3[[#All],[PID]],0)))</f>
        <v>2.0132463351522687</v>
      </c>
      <c r="S69" s="58" t="str">
        <f>IF($C69="B",INDEX(Batters[[#All],[DEM]],MATCH(Table5[[#This Row],[PID]],Batters[[#All],[PID]],0)),INDEX(Table3[[#All],[DEM]],MATCH(Table5[[#This Row],[PID]],Table3[[#All],[PID]],0)))</f>
        <v>$65k</v>
      </c>
      <c r="T69" s="62">
        <f>IF($C69="B",INDEX(Batters[[#All],[Rnk]],MATCH(Table5[[#This Row],[PID]],Batters[[#All],[PID]],0)),INDEX(Table3[[#All],[Rnk]],MATCH(Table5[[#This Row],[PID]],Table3[[#All],[PID]],0)))</f>
        <v>13</v>
      </c>
      <c r="U69" s="67">
        <f>IF($C69="B",VLOOKUP($A69,Bat!$A$4:$BA$1314,47,FALSE),VLOOKUP($A69,Pit!$A$4:$BF$1214,56,FALSE))</f>
        <v>33</v>
      </c>
      <c r="V69" s="50">
        <f>IF($C69="B",VLOOKUP($A69,Bat!$A$4:$BA$1314,48,FALSE),VLOOKUP($A69,Pit!$A$4:$BF$1214,57,FALSE))</f>
        <v>0</v>
      </c>
      <c r="W69" s="50">
        <v>67</v>
      </c>
      <c r="X69" s="51">
        <f>RANK(Table5[[#This Row],[zScore]],Table5[[#All],[zScore]])</f>
        <v>37</v>
      </c>
      <c r="Y69" s="50">
        <f>IFERROR(INDEX(DraftResults[[#All],[OVR]],MATCH(Table5[[#This Row],[PID]],DraftResults[[#All],[Player ID]],0)),"")</f>
        <v>140</v>
      </c>
      <c r="Z69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5</v>
      </c>
      <c r="AA69" s="50">
        <f>IFERROR(INDEX(DraftResults[[#All],[Pick in Round]],MATCH(Table5[[#This Row],[PID]],DraftResults[[#All],[Player ID]],0)),"")</f>
        <v>3</v>
      </c>
      <c r="AB69" s="50" t="str">
        <f>IFERROR(INDEX(DraftResults[[#All],[Team Name]],MATCH(Table5[[#This Row],[PID]],DraftResults[[#All],[Player ID]],0)),"")</f>
        <v>West Virginia Alleghenies</v>
      </c>
      <c r="AC69" s="50">
        <f>IF(Table5[[#This Row],[Ovr]]="","",IF(Table5[[#This Row],[cmbList]]="","",Table5[[#This Row],[cmbList]]-Table5[[#This Row],[Ovr]]))</f>
        <v>-73</v>
      </c>
      <c r="AD69" s="54" t="str">
        <f>IF(ISERROR(VLOOKUP($AB69&amp;"-"&amp;$E69&amp;" "&amp;F69,Bonuses!$B$1:$G$1006,4,FALSE)),"",INT(VLOOKUP($AB69&amp;"-"&amp;$E69&amp;" "&amp;$F69,Bonuses!$B$1:$G$1006,4,FALSE)))</f>
        <v/>
      </c>
      <c r="AE69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5.3 (140) - CL Liam Pennington</v>
      </c>
    </row>
    <row r="70" spans="1:31" s="50" customFormat="1" x14ac:dyDescent="0.3">
      <c r="A70" s="50">
        <v>12866</v>
      </c>
      <c r="B70" s="50">
        <f>COUNTIF(Table5[PID],A70)</f>
        <v>1</v>
      </c>
      <c r="C70" s="50" t="str">
        <f>IF(COUNTIF(Table3[[#All],[PID]],A70)&gt;0,"P","B")</f>
        <v>B</v>
      </c>
      <c r="D70" s="59" t="str">
        <f>IF($C70="B",INDEX(Batters[[#All],[POS]],MATCH(Table5[[#This Row],[PID]],Batters[[#All],[PID]],0)),INDEX(Table3[[#All],[POS]],MATCH(Table5[[#This Row],[PID]],Table3[[#All],[PID]],0)))</f>
        <v>C</v>
      </c>
      <c r="E70" s="52" t="str">
        <f>IF($C70="B",INDEX(Batters[[#All],[First]],MATCH(Table5[[#This Row],[PID]],Batters[[#All],[PID]],0)),INDEX(Table3[[#All],[First]],MATCH(Table5[[#This Row],[PID]],Table3[[#All],[PID]],0)))</f>
        <v>Rheinhardt</v>
      </c>
      <c r="F70" s="50" t="str">
        <f>IF($C70="B",INDEX(Batters[[#All],[Last]],MATCH(A70,Batters[[#All],[PID]],0)),INDEX(Table3[[#All],[Last]],MATCH(A70,Table3[[#All],[PID]],0)))</f>
        <v>Heine</v>
      </c>
      <c r="G70" s="56">
        <f>IF($C70="B",INDEX(Batters[[#All],[Age]],MATCH(Table5[[#This Row],[PID]],Batters[[#All],[PID]],0)),INDEX(Table3[[#All],[Age]],MATCH(Table5[[#This Row],[PID]],Table3[[#All],[PID]],0)))</f>
        <v>17</v>
      </c>
      <c r="H70" s="52" t="str">
        <f>IF($C70="B",INDEX(Batters[[#All],[B]],MATCH(Table5[[#This Row],[PID]],Batters[[#All],[PID]],0)),INDEX(Table3[[#All],[B]],MATCH(Table5[[#This Row],[PID]],Table3[[#All],[PID]],0)))</f>
        <v>L</v>
      </c>
      <c r="I70" s="52" t="str">
        <f>IF($C70="B",INDEX(Batters[[#All],[T]],MATCH(Table5[[#This Row],[PID]],Batters[[#All],[PID]],0)),INDEX(Table3[[#All],[T]],MATCH(Table5[[#This Row],[PID]],Table3[[#All],[PID]],0)))</f>
        <v>R</v>
      </c>
      <c r="J70" s="52" t="str">
        <f>IF($C70="B",INDEX(Batters[[#All],[WE]],MATCH(Table5[[#This Row],[PID]],Batters[[#All],[PID]],0)),INDEX(Table3[[#All],[WE]],MATCH(Table5[[#This Row],[PID]],Table3[[#All],[PID]],0)))</f>
        <v>Normal</v>
      </c>
      <c r="K70" s="52" t="str">
        <f>IF($C70="B",INDEX(Batters[[#All],[INT]],MATCH(Table5[[#This Row],[PID]],Batters[[#All],[PID]],0)),INDEX(Table3[[#All],[INT]],MATCH(Table5[[#This Row],[PID]],Table3[[#All],[PID]],0)))</f>
        <v>Normal</v>
      </c>
      <c r="L70" s="60">
        <f>IF($C70="B",INDEX(Batters[[#All],[CON P]],MATCH(Table5[[#This Row],[PID]],Batters[[#All],[PID]],0)),INDEX(Table3[[#All],[STU P]],MATCH(Table5[[#This Row],[PID]],Table3[[#All],[PID]],0)))</f>
        <v>3</v>
      </c>
      <c r="M70" s="56">
        <f>IF($C70="B",INDEX(Batters[[#All],[GAP P]],MATCH(Table5[[#This Row],[PID]],Batters[[#All],[PID]],0)),INDEX(Table3[[#All],[MOV P]],MATCH(Table5[[#This Row],[PID]],Table3[[#All],[PID]],0)))</f>
        <v>7</v>
      </c>
      <c r="N70" s="56">
        <f>IF($C70="B",INDEX(Batters[[#All],[POW P]],MATCH(Table5[[#This Row],[PID]],Batters[[#All],[PID]],0)),INDEX(Table3[[#All],[CON P]],MATCH(Table5[[#This Row],[PID]],Table3[[#All],[PID]],0)))</f>
        <v>7</v>
      </c>
      <c r="O70" s="56">
        <f>IF($C70="B",INDEX(Batters[[#All],[EYE P]],MATCH(Table5[[#This Row],[PID]],Batters[[#All],[PID]],0)),INDEX(Table3[[#All],[VELO]],MATCH(Table5[[#This Row],[PID]],Table3[[#All],[PID]],0)))</f>
        <v>7</v>
      </c>
      <c r="P70" s="56">
        <f>IF($C70="B",INDEX(Batters[[#All],[K P]],MATCH(Table5[[#This Row],[PID]],Batters[[#All],[PID]],0)),INDEX(Table3[[#All],[STM]],MATCH(Table5[[#This Row],[PID]],Table3[[#All],[PID]],0)))</f>
        <v>1</v>
      </c>
      <c r="Q70" s="61">
        <f>IF($C70="B",INDEX(Batters[[#All],[Tot]],MATCH(Table5[[#This Row],[PID]],Batters[[#All],[PID]],0)),INDEX(Table3[[#All],[Tot]],MATCH(Table5[[#This Row],[PID]],Table3[[#All],[PID]],0)))</f>
        <v>48.571038420406971</v>
      </c>
      <c r="R70" s="52">
        <f>IF($C70="B",INDEX(Batters[[#All],[zScore]],MATCH(Table5[[#This Row],[PID]],Batters[[#All],[PID]],0)),INDEX(Table3[[#All],[zScore]],MATCH(Table5[[#This Row],[PID]],Table3[[#All],[PID]],0)))</f>
        <v>0.78130129320576502</v>
      </c>
      <c r="S70" s="58" t="str">
        <f>IF($C70="B",INDEX(Batters[[#All],[DEM]],MATCH(Table5[[#This Row],[PID]],Batters[[#All],[PID]],0)),INDEX(Table3[[#All],[DEM]],MATCH(Table5[[#This Row],[PID]],Table3[[#All],[PID]],0)))</f>
        <v>$200k</v>
      </c>
      <c r="T70" s="62">
        <f>IF($C70="B",INDEX(Batters[[#All],[Rnk]],MATCH(Table5[[#This Row],[PID]],Batters[[#All],[PID]],0)),INDEX(Table3[[#All],[Rnk]],MATCH(Table5[[#This Row],[PID]],Table3[[#All],[PID]],0)))</f>
        <v>3</v>
      </c>
      <c r="U70" s="67">
        <f>IF($C70="B",VLOOKUP($A70,Bat!$A$4:$BA$1314,47,FALSE),VLOOKUP($A70,Pit!$A$4:$BF$1214,56,FALSE))</f>
        <v>34</v>
      </c>
      <c r="V70" s="50">
        <f>IF($C70="B",VLOOKUP($A70,Bat!$A$4:$BA$1314,48,FALSE),VLOOKUP($A70,Pit!$A$4:$BF$1214,57,FALSE))</f>
        <v>34</v>
      </c>
      <c r="W70" s="68">
        <v>68</v>
      </c>
      <c r="X70" s="51">
        <f>RANK(Table5[[#This Row],[zScore]],Table5[[#All],[zScore]])</f>
        <v>171</v>
      </c>
      <c r="Y70" s="50">
        <f>IFERROR(INDEX(DraftResults[[#All],[OVR]],MATCH(Table5[[#This Row],[PID]],DraftResults[[#All],[Player ID]],0)),"")</f>
        <v>21</v>
      </c>
      <c r="Z70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1</v>
      </c>
      <c r="AA70" s="50">
        <f>IFERROR(INDEX(DraftResults[[#All],[Pick in Round]],MATCH(Table5[[#This Row],[PID]],DraftResults[[#All],[Player ID]],0)),"")</f>
        <v>21</v>
      </c>
      <c r="AB70" s="50" t="str">
        <f>IFERROR(INDEX(DraftResults[[#All],[Team Name]],MATCH(Table5[[#This Row],[PID]],DraftResults[[#All],[Player ID]],0)),"")</f>
        <v>Hartford Harpoon</v>
      </c>
      <c r="AC70" s="50">
        <f>IF(Table5[[#This Row],[Ovr]]="","",IF(Table5[[#This Row],[cmbList]]="","",Table5[[#This Row],[cmbList]]-Table5[[#This Row],[Ovr]]))</f>
        <v>47</v>
      </c>
      <c r="AD70" s="54" t="str">
        <f>IF(ISERROR(VLOOKUP($AB70&amp;"-"&amp;$E70&amp;" "&amp;F70,Bonuses!$B$1:$G$1006,4,FALSE)),"",INT(VLOOKUP($AB70&amp;"-"&amp;$E70&amp;" "&amp;$F70,Bonuses!$B$1:$G$1006,4,FALSE)))</f>
        <v/>
      </c>
      <c r="AE70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1.21 (21) - C Rheinhardt Heine</v>
      </c>
    </row>
    <row r="71" spans="1:31" s="50" customFormat="1" x14ac:dyDescent="0.3">
      <c r="A71" s="67">
        <v>20916</v>
      </c>
      <c r="B71" s="68">
        <f>COUNTIF(Table5[PID],A71)</f>
        <v>1</v>
      </c>
      <c r="C71" s="68" t="str">
        <f>IF(COUNTIF(Table3[[#All],[PID]],A71)&gt;0,"P","B")</f>
        <v>B</v>
      </c>
      <c r="D71" s="59" t="str">
        <f>IF($C71="B",INDEX(Batters[[#All],[POS]],MATCH(Table5[[#This Row],[PID]],Batters[[#All],[PID]],0)),INDEX(Table3[[#All],[POS]],MATCH(Table5[[#This Row],[PID]],Table3[[#All],[PID]],0)))</f>
        <v>2B</v>
      </c>
      <c r="E71" s="52" t="str">
        <f>IF($C71="B",INDEX(Batters[[#All],[First]],MATCH(Table5[[#This Row],[PID]],Batters[[#All],[PID]],0)),INDEX(Table3[[#All],[First]],MATCH(Table5[[#This Row],[PID]],Table3[[#All],[PID]],0)))</f>
        <v>Máximo</v>
      </c>
      <c r="F71" s="55" t="str">
        <f>IF($C71="B",INDEX(Batters[[#All],[Last]],MATCH(A71,Batters[[#All],[PID]],0)),INDEX(Table3[[#All],[Last]],MATCH(A71,Table3[[#All],[PID]],0)))</f>
        <v>Sánchez</v>
      </c>
      <c r="G71" s="56">
        <f>IF($C71="B",INDEX(Batters[[#All],[Age]],MATCH(Table5[[#This Row],[PID]],Batters[[#All],[PID]],0)),INDEX(Table3[[#All],[Age]],MATCH(Table5[[#This Row],[PID]],Table3[[#All],[PID]],0)))</f>
        <v>17</v>
      </c>
      <c r="H71" s="52" t="str">
        <f>IF($C71="B",INDEX(Batters[[#All],[B]],MATCH(Table5[[#This Row],[PID]],Batters[[#All],[PID]],0)),INDEX(Table3[[#All],[B]],MATCH(Table5[[#This Row],[PID]],Table3[[#All],[PID]],0)))</f>
        <v>R</v>
      </c>
      <c r="I71" s="52" t="str">
        <f>IF($C71="B",INDEX(Batters[[#All],[T]],MATCH(Table5[[#This Row],[PID]],Batters[[#All],[PID]],0)),INDEX(Table3[[#All],[T]],MATCH(Table5[[#This Row],[PID]],Table3[[#All],[PID]],0)))</f>
        <v>R</v>
      </c>
      <c r="J71" s="69" t="str">
        <f>IF($C71="B",INDEX(Batters[[#All],[WE]],MATCH(Table5[[#This Row],[PID]],Batters[[#All],[PID]],0)),INDEX(Table3[[#All],[WE]],MATCH(Table5[[#This Row],[PID]],Table3[[#All],[PID]],0)))</f>
        <v>High</v>
      </c>
      <c r="K71" s="52" t="str">
        <f>IF($C71="B",INDEX(Batters[[#All],[INT]],MATCH(Table5[[#This Row],[PID]],Batters[[#All],[PID]],0)),INDEX(Table3[[#All],[INT]],MATCH(Table5[[#This Row],[PID]],Table3[[#All],[PID]],0)))</f>
        <v>Normal</v>
      </c>
      <c r="L71" s="60">
        <f>IF($C71="B",INDEX(Batters[[#All],[CON P]],MATCH(Table5[[#This Row],[PID]],Batters[[#All],[PID]],0)),INDEX(Table3[[#All],[STU P]],MATCH(Table5[[#This Row],[PID]],Table3[[#All],[PID]],0)))</f>
        <v>6</v>
      </c>
      <c r="M71" s="70">
        <f>IF($C71="B",INDEX(Batters[[#All],[GAP P]],MATCH(Table5[[#This Row],[PID]],Batters[[#All],[PID]],0)),INDEX(Table3[[#All],[MOV P]],MATCH(Table5[[#This Row],[PID]],Table3[[#All],[PID]],0)))</f>
        <v>6</v>
      </c>
      <c r="N71" s="70">
        <f>IF($C71="B",INDEX(Batters[[#All],[POW P]],MATCH(Table5[[#This Row],[PID]],Batters[[#All],[PID]],0)),INDEX(Table3[[#All],[CON P]],MATCH(Table5[[#This Row],[PID]],Table3[[#All],[PID]],0)))</f>
        <v>3</v>
      </c>
      <c r="O71" s="70">
        <f>IF($C71="B",INDEX(Batters[[#All],[EYE P]],MATCH(Table5[[#This Row],[PID]],Batters[[#All],[PID]],0)),INDEX(Table3[[#All],[VELO]],MATCH(Table5[[#This Row],[PID]],Table3[[#All],[PID]],0)))</f>
        <v>4</v>
      </c>
      <c r="P71" s="56">
        <f>IF($C71="B",INDEX(Batters[[#All],[K P]],MATCH(Table5[[#This Row],[PID]],Batters[[#All],[PID]],0)),INDEX(Table3[[#All],[STM]],MATCH(Table5[[#This Row],[PID]],Table3[[#All],[PID]],0)))</f>
        <v>7</v>
      </c>
      <c r="Q71" s="61">
        <f>IF($C71="B",INDEX(Batters[[#All],[Tot]],MATCH(Table5[[#This Row],[PID]],Batters[[#All],[PID]],0)),INDEX(Table3[[#All],[Tot]],MATCH(Table5[[#This Row],[PID]],Table3[[#All],[PID]],0)))</f>
        <v>55.834031451657538</v>
      </c>
      <c r="R71" s="52">
        <f>IF($C71="B",INDEX(Batters[[#All],[zScore]],MATCH(Table5[[#This Row],[PID]],Batters[[#All],[PID]],0)),INDEX(Table3[[#All],[zScore]],MATCH(Table5[[#This Row],[PID]],Table3[[#All],[PID]],0)))</f>
        <v>1.8414666563578481</v>
      </c>
      <c r="S71" s="75" t="str">
        <f>IF($C71="B",INDEX(Batters[[#All],[DEM]],MATCH(Table5[[#This Row],[PID]],Batters[[#All],[PID]],0)),INDEX(Table3[[#All],[DEM]],MATCH(Table5[[#This Row],[PID]],Table3[[#All],[PID]],0)))</f>
        <v>$240k</v>
      </c>
      <c r="T71" s="72">
        <f>IF($C71="B",INDEX(Batters[[#All],[Rnk]],MATCH(Table5[[#This Row],[PID]],Batters[[#All],[PID]],0)),INDEX(Table3[[#All],[Rnk]],MATCH(Table5[[#This Row],[PID]],Table3[[#All],[PID]],0)))</f>
        <v>5</v>
      </c>
      <c r="U71" s="67">
        <f>IF($C71="B",VLOOKUP($A71,Bat!$A$4:$BA$1314,47,FALSE),VLOOKUP($A71,Pit!$A$4:$BF$1214,56,FALSE))</f>
        <v>35</v>
      </c>
      <c r="V71" s="50">
        <f>IF($C71="B",VLOOKUP($A71,Bat!$A$4:$BA$1314,48,FALSE),VLOOKUP($A71,Pit!$A$4:$BF$1214,57,FALSE))</f>
        <v>35</v>
      </c>
      <c r="W71" s="50">
        <v>69</v>
      </c>
      <c r="X71" s="71">
        <f>RANK(Table5[[#This Row],[zScore]],Table5[[#All],[zScore]])</f>
        <v>50</v>
      </c>
      <c r="Y71" s="68">
        <f>IFERROR(INDEX(DraftResults[[#All],[OVR]],MATCH(Table5[[#This Row],[PID]],DraftResults[[#All],[Player ID]],0)),"")</f>
        <v>75</v>
      </c>
      <c r="Z71" s="7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3</v>
      </c>
      <c r="AA71" s="68">
        <f>IFERROR(INDEX(DraftResults[[#All],[Pick in Round]],MATCH(Table5[[#This Row],[PID]],DraftResults[[#All],[Player ID]],0)),"")</f>
        <v>3</v>
      </c>
      <c r="AB71" s="68" t="str">
        <f>IFERROR(INDEX(DraftResults[[#All],[Team Name]],MATCH(Table5[[#This Row],[PID]],DraftResults[[#All],[Player ID]],0)),"")</f>
        <v>Okinawa Shisa</v>
      </c>
      <c r="AC71" s="68">
        <f>IF(Table5[[#This Row],[Ovr]]="","",IF(Table5[[#This Row],[cmbList]]="","",Table5[[#This Row],[cmbList]]-Table5[[#This Row],[Ovr]]))</f>
        <v>-6</v>
      </c>
      <c r="AD71" s="74" t="str">
        <f>IF(ISERROR(VLOOKUP($AB71&amp;"-"&amp;$E71&amp;" "&amp;F71,Bonuses!$B$1:$G$1006,4,FALSE)),"",INT(VLOOKUP($AB71&amp;"-"&amp;$E71&amp;" "&amp;$F71,Bonuses!$B$1:$G$1006,4,FALSE)))</f>
        <v/>
      </c>
      <c r="AE71" s="68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3.3 (75) - 2B Máximo Sánchez</v>
      </c>
    </row>
    <row r="72" spans="1:31" s="50" customFormat="1" x14ac:dyDescent="0.3">
      <c r="A72" s="50">
        <v>13433</v>
      </c>
      <c r="B72" s="50">
        <f>COUNTIF(Table5[PID],A72)</f>
        <v>1</v>
      </c>
      <c r="C72" s="50" t="str">
        <f>IF(COUNTIF(Table3[[#All],[PID]],A72)&gt;0,"P","B")</f>
        <v>B</v>
      </c>
      <c r="D72" s="59" t="str">
        <f>IF($C72="B",INDEX(Batters[[#All],[POS]],MATCH(Table5[[#This Row],[PID]],Batters[[#All],[PID]],0)),INDEX(Table3[[#All],[POS]],MATCH(Table5[[#This Row],[PID]],Table3[[#All],[PID]],0)))</f>
        <v>LF</v>
      </c>
      <c r="E72" s="52" t="str">
        <f>IF($C72="B",INDEX(Batters[[#All],[First]],MATCH(Table5[[#This Row],[PID]],Batters[[#All],[PID]],0)),INDEX(Table3[[#All],[First]],MATCH(Table5[[#This Row],[PID]],Table3[[#All],[PID]],0)))</f>
        <v>Akio</v>
      </c>
      <c r="F72" s="50" t="str">
        <f>IF($C72="B",INDEX(Batters[[#All],[Last]],MATCH(A72,Batters[[#All],[PID]],0)),INDEX(Table3[[#All],[Last]],MATCH(A72,Table3[[#All],[PID]],0)))</f>
        <v>Takahashi</v>
      </c>
      <c r="G72" s="56">
        <f>IF($C72="B",INDEX(Batters[[#All],[Age]],MATCH(Table5[[#This Row],[PID]],Batters[[#All],[PID]],0)),INDEX(Table3[[#All],[Age]],MATCH(Table5[[#This Row],[PID]],Table3[[#All],[PID]],0)))</f>
        <v>18</v>
      </c>
      <c r="H72" s="52" t="str">
        <f>IF($C72="B",INDEX(Batters[[#All],[B]],MATCH(Table5[[#This Row],[PID]],Batters[[#All],[PID]],0)),INDEX(Table3[[#All],[B]],MATCH(Table5[[#This Row],[PID]],Table3[[#All],[PID]],0)))</f>
        <v>R</v>
      </c>
      <c r="I72" s="52" t="str">
        <f>IF($C72="B",INDEX(Batters[[#All],[T]],MATCH(Table5[[#This Row],[PID]],Batters[[#All],[PID]],0)),INDEX(Table3[[#All],[T]],MATCH(Table5[[#This Row],[PID]],Table3[[#All],[PID]],0)))</f>
        <v>R</v>
      </c>
      <c r="J72" s="52" t="str">
        <f>IF($C72="B",INDEX(Batters[[#All],[WE]],MATCH(Table5[[#This Row],[PID]],Batters[[#All],[PID]],0)),INDEX(Table3[[#All],[WE]],MATCH(Table5[[#This Row],[PID]],Table3[[#All],[PID]],0)))</f>
        <v>High</v>
      </c>
      <c r="K72" s="52" t="str">
        <f>IF($C72="B",INDEX(Batters[[#All],[INT]],MATCH(Table5[[#This Row],[PID]],Batters[[#All],[PID]],0)),INDEX(Table3[[#All],[INT]],MATCH(Table5[[#This Row],[PID]],Table3[[#All],[PID]],0)))</f>
        <v>Normal</v>
      </c>
      <c r="L72" s="60">
        <f>IF($C72="B",INDEX(Batters[[#All],[CON P]],MATCH(Table5[[#This Row],[PID]],Batters[[#All],[PID]],0)),INDEX(Table3[[#All],[STU P]],MATCH(Table5[[#This Row],[PID]],Table3[[#All],[PID]],0)))</f>
        <v>5</v>
      </c>
      <c r="M72" s="56">
        <f>IF($C72="B",INDEX(Batters[[#All],[GAP P]],MATCH(Table5[[#This Row],[PID]],Batters[[#All],[PID]],0)),INDEX(Table3[[#All],[MOV P]],MATCH(Table5[[#This Row],[PID]],Table3[[#All],[PID]],0)))</f>
        <v>6</v>
      </c>
      <c r="N72" s="56">
        <f>IF($C72="B",INDEX(Batters[[#All],[POW P]],MATCH(Table5[[#This Row],[PID]],Batters[[#All],[PID]],0)),INDEX(Table3[[#All],[CON P]],MATCH(Table5[[#This Row],[PID]],Table3[[#All],[PID]],0)))</f>
        <v>5</v>
      </c>
      <c r="O72" s="56">
        <f>IF($C72="B",INDEX(Batters[[#All],[EYE P]],MATCH(Table5[[#This Row],[PID]],Batters[[#All],[PID]],0)),INDEX(Table3[[#All],[VELO]],MATCH(Table5[[#This Row],[PID]],Table3[[#All],[PID]],0)))</f>
        <v>6</v>
      </c>
      <c r="P72" s="56">
        <f>IF($C72="B",INDEX(Batters[[#All],[K P]],MATCH(Table5[[#This Row],[PID]],Batters[[#All],[PID]],0)),INDEX(Table3[[#All],[STM]],MATCH(Table5[[#This Row],[PID]],Table3[[#All],[PID]],0)))</f>
        <v>4</v>
      </c>
      <c r="Q72" s="61">
        <f>IF($C72="B",INDEX(Batters[[#All],[Tot]],MATCH(Table5[[#This Row],[PID]],Batters[[#All],[PID]],0)),INDEX(Table3[[#All],[Tot]],MATCH(Table5[[#This Row],[PID]],Table3[[#All],[PID]],0)))</f>
        <v>54.489705135748125</v>
      </c>
      <c r="R72" s="52">
        <f>IF($C72="B",INDEX(Batters[[#All],[zScore]],MATCH(Table5[[#This Row],[PID]],Batters[[#All],[PID]],0)),INDEX(Table3[[#All],[zScore]],MATCH(Table5[[#This Row],[PID]],Table3[[#All],[PID]],0)))</f>
        <v>1.6452378852756311</v>
      </c>
      <c r="S72" s="58" t="str">
        <f>IF($C72="B",INDEX(Batters[[#All],[DEM]],MATCH(Table5[[#This Row],[PID]],Batters[[#All],[PID]],0)),INDEX(Table3[[#All],[DEM]],MATCH(Table5[[#This Row],[PID]],Table3[[#All],[PID]],0)))</f>
        <v>$1.3m</v>
      </c>
      <c r="T72" s="62">
        <f>IF($C72="B",INDEX(Batters[[#All],[Rnk]],MATCH(Table5[[#This Row],[PID]],Batters[[#All],[PID]],0)),INDEX(Table3[[#All],[Rnk]],MATCH(Table5[[#This Row],[PID]],Table3[[#All],[PID]],0)))</f>
        <v>5</v>
      </c>
      <c r="U72" s="67">
        <f>IF($C72="B",VLOOKUP($A72,Bat!$A$4:$BA$1314,47,FALSE),VLOOKUP($A72,Pit!$A$4:$BF$1214,56,FALSE))</f>
        <v>36</v>
      </c>
      <c r="V72" s="50">
        <f>IF($C72="B",VLOOKUP($A72,Bat!$A$4:$BA$1314,48,FALSE),VLOOKUP($A72,Pit!$A$4:$BF$1214,57,FALSE))</f>
        <v>36</v>
      </c>
      <c r="W72" s="68">
        <v>70</v>
      </c>
      <c r="X72" s="51">
        <f>RANK(Table5[[#This Row],[zScore]],Table5[[#All],[zScore]])</f>
        <v>64</v>
      </c>
      <c r="Y72" s="50">
        <f>IFERROR(INDEX(DraftResults[[#All],[OVR]],MATCH(Table5[[#This Row],[PID]],DraftResults[[#All],[Player ID]],0)),"")</f>
        <v>223</v>
      </c>
      <c r="Z72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7</v>
      </c>
      <c r="AA72" s="50">
        <f>IFERROR(INDEX(DraftResults[[#All],[Pick in Round]],MATCH(Table5[[#This Row],[PID]],DraftResults[[#All],[Player ID]],0)),"")</f>
        <v>22</v>
      </c>
      <c r="AB72" s="50" t="str">
        <f>IFERROR(INDEX(DraftResults[[#All],[Team Name]],MATCH(Table5[[#This Row],[PID]],DraftResults[[#All],[Player ID]],0)),"")</f>
        <v>Bakersfield Bears</v>
      </c>
      <c r="AC72" s="50">
        <f>IF(Table5[[#This Row],[Ovr]]="","",IF(Table5[[#This Row],[cmbList]]="","",Table5[[#This Row],[cmbList]]-Table5[[#This Row],[Ovr]]))</f>
        <v>-153</v>
      </c>
      <c r="AD72" s="54" t="str">
        <f>IF(ISERROR(VLOOKUP($AB72&amp;"-"&amp;$E72&amp;" "&amp;F72,Bonuses!$B$1:$G$1006,4,FALSE)),"",INT(VLOOKUP($AB72&amp;"-"&amp;$E72&amp;" "&amp;$F72,Bonuses!$B$1:$G$1006,4,FALSE)))</f>
        <v/>
      </c>
      <c r="AE72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7.22 (223) - LF Akio Takahashi</v>
      </c>
    </row>
    <row r="73" spans="1:31" s="50" customFormat="1" x14ac:dyDescent="0.3">
      <c r="A73" s="50">
        <v>20690</v>
      </c>
      <c r="B73" s="50">
        <f>COUNTIF(Table5[PID],A73)</f>
        <v>1</v>
      </c>
      <c r="C73" s="50" t="str">
        <f>IF(COUNTIF(Table3[[#All],[PID]],A73)&gt;0,"P","B")</f>
        <v>B</v>
      </c>
      <c r="D73" s="59" t="str">
        <f>IF($C73="B",INDEX(Batters[[#All],[POS]],MATCH(Table5[[#This Row],[PID]],Batters[[#All],[PID]],0)),INDEX(Table3[[#All],[POS]],MATCH(Table5[[#This Row],[PID]],Table3[[#All],[PID]],0)))</f>
        <v>1B</v>
      </c>
      <c r="E73" s="52" t="str">
        <f>IF($C73="B",INDEX(Batters[[#All],[First]],MATCH(Table5[[#This Row],[PID]],Batters[[#All],[PID]],0)),INDEX(Table3[[#All],[First]],MATCH(Table5[[#This Row],[PID]],Table3[[#All],[PID]],0)))</f>
        <v>Ai-de</v>
      </c>
      <c r="F73" s="50" t="str">
        <f>IF($C73="B",INDEX(Batters[[#All],[Last]],MATCH(A73,Batters[[#All],[PID]],0)),INDEX(Table3[[#All],[Last]],MATCH(A73,Table3[[#All],[PID]],0)))</f>
        <v>Ong</v>
      </c>
      <c r="G73" s="56">
        <f>IF($C73="B",INDEX(Batters[[#All],[Age]],MATCH(Table5[[#This Row],[PID]],Batters[[#All],[PID]],0)),INDEX(Table3[[#All],[Age]],MATCH(Table5[[#This Row],[PID]],Table3[[#All],[PID]],0)))</f>
        <v>17</v>
      </c>
      <c r="H73" s="52" t="str">
        <f>IF($C73="B",INDEX(Batters[[#All],[B]],MATCH(Table5[[#This Row],[PID]],Batters[[#All],[PID]],0)),INDEX(Table3[[#All],[B]],MATCH(Table5[[#This Row],[PID]],Table3[[#All],[PID]],0)))</f>
        <v>R</v>
      </c>
      <c r="I73" s="52" t="str">
        <f>IF($C73="B",INDEX(Batters[[#All],[T]],MATCH(Table5[[#This Row],[PID]],Batters[[#All],[PID]],0)),INDEX(Table3[[#All],[T]],MATCH(Table5[[#This Row],[PID]],Table3[[#All],[PID]],0)))</f>
        <v>R</v>
      </c>
      <c r="J73" s="52" t="str">
        <f>IF($C73="B",INDEX(Batters[[#All],[WE]],MATCH(Table5[[#This Row],[PID]],Batters[[#All],[PID]],0)),INDEX(Table3[[#All],[WE]],MATCH(Table5[[#This Row],[PID]],Table3[[#All],[PID]],0)))</f>
        <v>Normal</v>
      </c>
      <c r="K73" s="52" t="str">
        <f>IF($C73="B",INDEX(Batters[[#All],[INT]],MATCH(Table5[[#This Row],[PID]],Batters[[#All],[PID]],0)),INDEX(Table3[[#All],[INT]],MATCH(Table5[[#This Row],[PID]],Table3[[#All],[PID]],0)))</f>
        <v>Normal</v>
      </c>
      <c r="L73" s="60">
        <f>IF($C73="B",INDEX(Batters[[#All],[CON P]],MATCH(Table5[[#This Row],[PID]],Batters[[#All],[PID]],0)),INDEX(Table3[[#All],[STU P]],MATCH(Table5[[#This Row],[PID]],Table3[[#All],[PID]],0)))</f>
        <v>4</v>
      </c>
      <c r="M73" s="56">
        <f>IF($C73="B",INDEX(Batters[[#All],[GAP P]],MATCH(Table5[[#This Row],[PID]],Batters[[#All],[PID]],0)),INDEX(Table3[[#All],[MOV P]],MATCH(Table5[[#This Row],[PID]],Table3[[#All],[PID]],0)))</f>
        <v>5</v>
      </c>
      <c r="N73" s="56">
        <f>IF($C73="B",INDEX(Batters[[#All],[POW P]],MATCH(Table5[[#This Row],[PID]],Batters[[#All],[PID]],0)),INDEX(Table3[[#All],[CON P]],MATCH(Table5[[#This Row],[PID]],Table3[[#All],[PID]],0)))</f>
        <v>7</v>
      </c>
      <c r="O73" s="56">
        <f>IF($C73="B",INDEX(Batters[[#All],[EYE P]],MATCH(Table5[[#This Row],[PID]],Batters[[#All],[PID]],0)),INDEX(Table3[[#All],[VELO]],MATCH(Table5[[#This Row],[PID]],Table3[[#All],[PID]],0)))</f>
        <v>6</v>
      </c>
      <c r="P73" s="56">
        <f>IF($C73="B",INDEX(Batters[[#All],[K P]],MATCH(Table5[[#This Row],[PID]],Batters[[#All],[PID]],0)),INDEX(Table3[[#All],[STM]],MATCH(Table5[[#This Row],[PID]],Table3[[#All],[PID]],0)))</f>
        <v>3</v>
      </c>
      <c r="Q73" s="61">
        <f>IF($C73="B",INDEX(Batters[[#All],[Tot]],MATCH(Table5[[#This Row],[PID]],Batters[[#All],[PID]],0)),INDEX(Table3[[#All],[Tot]],MATCH(Table5[[#This Row],[PID]],Table3[[#All],[PID]],0)))</f>
        <v>51.227765807119994</v>
      </c>
      <c r="R73" s="52">
        <f>IF($C73="B",INDEX(Batters[[#All],[zScore]],MATCH(Table5[[#This Row],[PID]],Batters[[#All],[PID]],0)),INDEX(Table3[[#All],[zScore]],MATCH(Table5[[#This Row],[PID]],Table3[[#All],[PID]],0)))</f>
        <v>1.169098767692083</v>
      </c>
      <c r="S73" s="58" t="str">
        <f>IF($C73="B",INDEX(Batters[[#All],[DEM]],MATCH(Table5[[#This Row],[PID]],Batters[[#All],[PID]],0)),INDEX(Table3[[#All],[DEM]],MATCH(Table5[[#This Row],[PID]],Table3[[#All],[PID]],0)))</f>
        <v>$65k</v>
      </c>
      <c r="T73" s="62">
        <f>IF($C73="B",INDEX(Batters[[#All],[Rnk]],MATCH(Table5[[#This Row],[PID]],Batters[[#All],[PID]],0)),INDEX(Table3[[#All],[Rnk]],MATCH(Table5[[#This Row],[PID]],Table3[[#All],[PID]],0)))</f>
        <v>5</v>
      </c>
      <c r="U73" s="67">
        <f>IF($C73="B",VLOOKUP($A73,Bat!$A$4:$BA$1314,47,FALSE),VLOOKUP($A73,Pit!$A$4:$BF$1214,56,FALSE))</f>
        <v>37</v>
      </c>
      <c r="V73" s="50">
        <f>IF($C73="B",VLOOKUP($A73,Bat!$A$4:$BA$1314,48,FALSE),VLOOKUP($A73,Pit!$A$4:$BF$1214,57,FALSE))</f>
        <v>37</v>
      </c>
      <c r="W73" s="50">
        <v>71</v>
      </c>
      <c r="X73" s="51">
        <f>RANK(Table5[[#This Row],[zScore]],Table5[[#All],[zScore]])</f>
        <v>123</v>
      </c>
      <c r="Y73" s="50">
        <f>IFERROR(INDEX(DraftResults[[#All],[OVR]],MATCH(Table5[[#This Row],[PID]],DraftResults[[#All],[Player ID]],0)),"")</f>
        <v>137</v>
      </c>
      <c r="Z73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4</v>
      </c>
      <c r="AA73" s="50">
        <f>IFERROR(INDEX(DraftResults[[#All],[Pick in Round]],MATCH(Table5[[#This Row],[PID]],DraftResults[[#All],[Player ID]],0)),"")</f>
        <v>32</v>
      </c>
      <c r="AB73" s="50" t="str">
        <f>IFERROR(INDEX(DraftResults[[#All],[Team Name]],MATCH(Table5[[#This Row],[PID]],DraftResults[[#All],[Player ID]],0)),"")</f>
        <v>Manchester Maulers</v>
      </c>
      <c r="AC73" s="50">
        <f>IF(Table5[[#This Row],[Ovr]]="","",IF(Table5[[#This Row],[cmbList]]="","",Table5[[#This Row],[cmbList]]-Table5[[#This Row],[Ovr]]))</f>
        <v>-66</v>
      </c>
      <c r="AD73" s="54" t="str">
        <f>IF(ISERROR(VLOOKUP($AB73&amp;"-"&amp;$E73&amp;" "&amp;F73,Bonuses!$B$1:$G$1006,4,FALSE)),"",INT(VLOOKUP($AB73&amp;"-"&amp;$E73&amp;" "&amp;$F73,Bonuses!$B$1:$G$1006,4,FALSE)))</f>
        <v/>
      </c>
      <c r="AE73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4.32 (137) - 1B Ai-de Ong</v>
      </c>
    </row>
    <row r="74" spans="1:31" s="50" customFormat="1" x14ac:dyDescent="0.3">
      <c r="A74" s="67">
        <v>20369</v>
      </c>
      <c r="B74" s="68">
        <f>COUNTIF(Table5[PID],A74)</f>
        <v>1</v>
      </c>
      <c r="C74" s="68" t="str">
        <f>IF(COUNTIF(Table3[[#All],[PID]],A74)&gt;0,"P","B")</f>
        <v>B</v>
      </c>
      <c r="D74" s="59" t="str">
        <f>IF($C74="B",INDEX(Batters[[#All],[POS]],MATCH(Table5[[#This Row],[PID]],Batters[[#All],[PID]],0)),INDEX(Table3[[#All],[POS]],MATCH(Table5[[#This Row],[PID]],Table3[[#All],[PID]],0)))</f>
        <v>RF</v>
      </c>
      <c r="E74" s="52" t="str">
        <f>IF($C74="B",INDEX(Batters[[#All],[First]],MATCH(Table5[[#This Row],[PID]],Batters[[#All],[PID]],0)),INDEX(Table3[[#All],[First]],MATCH(Table5[[#This Row],[PID]],Table3[[#All],[PID]],0)))</f>
        <v>Keith</v>
      </c>
      <c r="F74" s="55" t="str">
        <f>IF($C74="B",INDEX(Batters[[#All],[Last]],MATCH(A74,Batters[[#All],[PID]],0)),INDEX(Table3[[#All],[Last]],MATCH(A74,Table3[[#All],[PID]],0)))</f>
        <v>O'Neal</v>
      </c>
      <c r="G74" s="56">
        <f>IF($C74="B",INDEX(Batters[[#All],[Age]],MATCH(Table5[[#This Row],[PID]],Batters[[#All],[PID]],0)),INDEX(Table3[[#All],[Age]],MATCH(Table5[[#This Row],[PID]],Table3[[#All],[PID]],0)))</f>
        <v>17</v>
      </c>
      <c r="H74" s="52" t="str">
        <f>IF($C74="B",INDEX(Batters[[#All],[B]],MATCH(Table5[[#This Row],[PID]],Batters[[#All],[PID]],0)),INDEX(Table3[[#All],[B]],MATCH(Table5[[#This Row],[PID]],Table3[[#All],[PID]],0)))</f>
        <v>R</v>
      </c>
      <c r="I74" s="52" t="str">
        <f>IF($C74="B",INDEX(Batters[[#All],[T]],MATCH(Table5[[#This Row],[PID]],Batters[[#All],[PID]],0)),INDEX(Table3[[#All],[T]],MATCH(Table5[[#This Row],[PID]],Table3[[#All],[PID]],0)))</f>
        <v>R</v>
      </c>
      <c r="J74" s="69" t="str">
        <f>IF($C74="B",INDEX(Batters[[#All],[WE]],MATCH(Table5[[#This Row],[PID]],Batters[[#All],[PID]],0)),INDEX(Table3[[#All],[WE]],MATCH(Table5[[#This Row],[PID]],Table3[[#All],[PID]],0)))</f>
        <v>Normal</v>
      </c>
      <c r="K74" s="52" t="str">
        <f>IF($C74="B",INDEX(Batters[[#All],[INT]],MATCH(Table5[[#This Row],[PID]],Batters[[#All],[PID]],0)),INDEX(Table3[[#All],[INT]],MATCH(Table5[[#This Row],[PID]],Table3[[#All],[PID]],0)))</f>
        <v>Normal</v>
      </c>
      <c r="L74" s="60">
        <f>IF($C74="B",INDEX(Batters[[#All],[CON P]],MATCH(Table5[[#This Row],[PID]],Batters[[#All],[PID]],0)),INDEX(Table3[[#All],[STU P]],MATCH(Table5[[#This Row],[PID]],Table3[[#All],[PID]],0)))</f>
        <v>5</v>
      </c>
      <c r="M74" s="70">
        <f>IF($C74="B",INDEX(Batters[[#All],[GAP P]],MATCH(Table5[[#This Row],[PID]],Batters[[#All],[PID]],0)),INDEX(Table3[[#All],[MOV P]],MATCH(Table5[[#This Row],[PID]],Table3[[#All],[PID]],0)))</f>
        <v>7</v>
      </c>
      <c r="N74" s="70">
        <f>IF($C74="B",INDEX(Batters[[#All],[POW P]],MATCH(Table5[[#This Row],[PID]],Batters[[#All],[PID]],0)),INDEX(Table3[[#All],[CON P]],MATCH(Table5[[#This Row],[PID]],Table3[[#All],[PID]],0)))</f>
        <v>3</v>
      </c>
      <c r="O74" s="70">
        <f>IF($C74="B",INDEX(Batters[[#All],[EYE P]],MATCH(Table5[[#This Row],[PID]],Batters[[#All],[PID]],0)),INDEX(Table3[[#All],[VELO]],MATCH(Table5[[#This Row],[PID]],Table3[[#All],[PID]],0)))</f>
        <v>5</v>
      </c>
      <c r="P74" s="56">
        <f>IF($C74="B",INDEX(Batters[[#All],[K P]],MATCH(Table5[[#This Row],[PID]],Batters[[#All],[PID]],0)),INDEX(Table3[[#All],[STM]],MATCH(Table5[[#This Row],[PID]],Table3[[#All],[PID]],0)))</f>
        <v>6</v>
      </c>
      <c r="Q74" s="61">
        <f>IF($C74="B",INDEX(Batters[[#All],[Tot]],MATCH(Table5[[#This Row],[PID]],Batters[[#All],[PID]],0)),INDEX(Table3[[#All],[Tot]],MATCH(Table5[[#This Row],[PID]],Table3[[#All],[PID]],0)))</f>
        <v>52.724778092275258</v>
      </c>
      <c r="R74" s="52">
        <f>IF($C74="B",INDEX(Batters[[#All],[zScore]],MATCH(Table5[[#This Row],[PID]],Batters[[#All],[PID]],0)),INDEX(Table3[[#All],[zScore]],MATCH(Table5[[#This Row],[PID]],Table3[[#All],[PID]],0)))</f>
        <v>1.3876148210747601</v>
      </c>
      <c r="S74" s="75" t="str">
        <f>IF($C74="B",INDEX(Batters[[#All],[DEM]],MATCH(Table5[[#This Row],[PID]],Batters[[#All],[PID]],0)),INDEX(Table3[[#All],[DEM]],MATCH(Table5[[#This Row],[PID]],Table3[[#All],[PID]],0)))</f>
        <v>$190k</v>
      </c>
      <c r="T74" s="72">
        <f>IF($C74="B",INDEX(Batters[[#All],[Rnk]],MATCH(Table5[[#This Row],[PID]],Batters[[#All],[PID]],0)),INDEX(Table3[[#All],[Rnk]],MATCH(Table5[[#This Row],[PID]],Table3[[#All],[PID]],0)))</f>
        <v>5</v>
      </c>
      <c r="U74" s="67">
        <f>IF($C74="B",VLOOKUP($A74,Bat!$A$4:$BA$1314,47,FALSE),VLOOKUP($A74,Pit!$A$4:$BF$1214,56,FALSE))</f>
        <v>38</v>
      </c>
      <c r="V74" s="50">
        <f>IF($C74="B",VLOOKUP($A74,Bat!$A$4:$BA$1314,48,FALSE),VLOOKUP($A74,Pit!$A$4:$BF$1214,57,FALSE))</f>
        <v>38</v>
      </c>
      <c r="W74" s="68">
        <v>72</v>
      </c>
      <c r="X74" s="71">
        <f>RANK(Table5[[#This Row],[zScore]],Table5[[#All],[zScore]])</f>
        <v>85</v>
      </c>
      <c r="Y74" s="68">
        <f>IFERROR(INDEX(DraftResults[[#All],[OVR]],MATCH(Table5[[#This Row],[PID]],DraftResults[[#All],[Player ID]],0)),"")</f>
        <v>160</v>
      </c>
      <c r="Z74" s="7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5</v>
      </c>
      <c r="AA74" s="68">
        <f>IFERROR(INDEX(DraftResults[[#All],[Pick in Round]],MATCH(Table5[[#This Row],[PID]],DraftResults[[#All],[Player ID]],0)),"")</f>
        <v>23</v>
      </c>
      <c r="AB74" s="68" t="str">
        <f>IFERROR(INDEX(DraftResults[[#All],[Team Name]],MATCH(Table5[[#This Row],[PID]],DraftResults[[#All],[Player ID]],0)),"")</f>
        <v>Kentucky Thoroughbreds</v>
      </c>
      <c r="AC74" s="68">
        <f>IF(Table5[[#This Row],[Ovr]]="","",IF(Table5[[#This Row],[cmbList]]="","",Table5[[#This Row],[cmbList]]-Table5[[#This Row],[Ovr]]))</f>
        <v>-88</v>
      </c>
      <c r="AD74" s="74" t="str">
        <f>IF(ISERROR(VLOOKUP($AB74&amp;"-"&amp;$E74&amp;" "&amp;F74,Bonuses!$B$1:$G$1006,4,FALSE)),"",INT(VLOOKUP($AB74&amp;"-"&amp;$E74&amp;" "&amp;$F74,Bonuses!$B$1:$G$1006,4,FALSE)))</f>
        <v/>
      </c>
      <c r="AE74" s="68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5.23 (160) - RF Keith O'Neal</v>
      </c>
    </row>
    <row r="75" spans="1:31" s="50" customFormat="1" x14ac:dyDescent="0.3">
      <c r="A75" s="50">
        <v>13736</v>
      </c>
      <c r="B75" s="50">
        <f>COUNTIF(Table5[PID],A75)</f>
        <v>1</v>
      </c>
      <c r="C75" s="50" t="str">
        <f>IF(COUNTIF(Table3[[#All],[PID]],A75)&gt;0,"P","B")</f>
        <v>P</v>
      </c>
      <c r="D75" s="59" t="str">
        <f>IF($C75="B",INDEX(Batters[[#All],[POS]],MATCH(Table5[[#This Row],[PID]],Batters[[#All],[PID]],0)),INDEX(Table3[[#All],[POS]],MATCH(Table5[[#This Row],[PID]],Table3[[#All],[PID]],0)))</f>
        <v>SP</v>
      </c>
      <c r="E75" s="52" t="str">
        <f>IF($C75="B",INDEX(Batters[[#All],[First]],MATCH(Table5[[#This Row],[PID]],Batters[[#All],[PID]],0)),INDEX(Table3[[#All],[First]],MATCH(Table5[[#This Row],[PID]],Table3[[#All],[PID]],0)))</f>
        <v>Will</v>
      </c>
      <c r="F75" s="50" t="str">
        <f>IF($C75="B",INDEX(Batters[[#All],[Last]],MATCH(A75,Batters[[#All],[PID]],0)),INDEX(Table3[[#All],[Last]],MATCH(A75,Table3[[#All],[PID]],0)))</f>
        <v>Hawkins</v>
      </c>
      <c r="G75" s="56">
        <f>IF($C75="B",INDEX(Batters[[#All],[Age]],MATCH(Table5[[#This Row],[PID]],Batters[[#All],[PID]],0)),INDEX(Table3[[#All],[Age]],MATCH(Table5[[#This Row],[PID]],Table3[[#All],[PID]],0)))</f>
        <v>21</v>
      </c>
      <c r="H75" s="52" t="str">
        <f>IF($C75="B",INDEX(Batters[[#All],[B]],MATCH(Table5[[#This Row],[PID]],Batters[[#All],[PID]],0)),INDEX(Table3[[#All],[B]],MATCH(Table5[[#This Row],[PID]],Table3[[#All],[PID]],0)))</f>
        <v>L</v>
      </c>
      <c r="I75" s="52" t="str">
        <f>IF($C75="B",INDEX(Batters[[#All],[T]],MATCH(Table5[[#This Row],[PID]],Batters[[#All],[PID]],0)),INDEX(Table3[[#All],[T]],MATCH(Table5[[#This Row],[PID]],Table3[[#All],[PID]],0)))</f>
        <v>R</v>
      </c>
      <c r="J75" s="52" t="str">
        <f>IF($C75="B",INDEX(Batters[[#All],[WE]],MATCH(Table5[[#This Row],[PID]],Batters[[#All],[PID]],0)),INDEX(Table3[[#All],[WE]],MATCH(Table5[[#This Row],[PID]],Table3[[#All],[PID]],0)))</f>
        <v>Low</v>
      </c>
      <c r="K75" s="52" t="str">
        <f>IF($C75="B",INDEX(Batters[[#All],[INT]],MATCH(Table5[[#This Row],[PID]],Batters[[#All],[PID]],0)),INDEX(Table3[[#All],[INT]],MATCH(Table5[[#This Row],[PID]],Table3[[#All],[PID]],0)))</f>
        <v>Normal</v>
      </c>
      <c r="L75" s="60">
        <f>IF($C75="B",INDEX(Batters[[#All],[CON P]],MATCH(Table5[[#This Row],[PID]],Batters[[#All],[PID]],0)),INDEX(Table3[[#All],[STU P]],MATCH(Table5[[#This Row],[PID]],Table3[[#All],[PID]],0)))</f>
        <v>5</v>
      </c>
      <c r="M75" s="56">
        <f>IF($C75="B",INDEX(Batters[[#All],[GAP P]],MATCH(Table5[[#This Row],[PID]],Batters[[#All],[PID]],0)),INDEX(Table3[[#All],[MOV P]],MATCH(Table5[[#This Row],[PID]],Table3[[#All],[PID]],0)))</f>
        <v>6</v>
      </c>
      <c r="N75" s="56">
        <f>IF($C75="B",INDEX(Batters[[#All],[POW P]],MATCH(Table5[[#This Row],[PID]],Batters[[#All],[PID]],0)),INDEX(Table3[[#All],[CON P]],MATCH(Table5[[#This Row],[PID]],Table3[[#All],[PID]],0)))</f>
        <v>4</v>
      </c>
      <c r="O75" s="56" t="str">
        <f>IF($C75="B",INDEX(Batters[[#All],[EYE P]],MATCH(Table5[[#This Row],[PID]],Batters[[#All],[PID]],0)),INDEX(Table3[[#All],[VELO]],MATCH(Table5[[#This Row],[PID]],Table3[[#All],[PID]],0)))</f>
        <v>90-92 Mph</v>
      </c>
      <c r="P75" s="56">
        <f>IF($C75="B",INDEX(Batters[[#All],[K P]],MATCH(Table5[[#This Row],[PID]],Batters[[#All],[PID]],0)),INDEX(Table3[[#All],[STM]],MATCH(Table5[[#This Row],[PID]],Table3[[#All],[PID]],0)))</f>
        <v>8</v>
      </c>
      <c r="Q75" s="61">
        <f>IF($C75="B",INDEX(Batters[[#All],[Tot]],MATCH(Table5[[#This Row],[PID]],Batters[[#All],[PID]],0)),INDEX(Table3[[#All],[Tot]],MATCH(Table5[[#This Row],[PID]],Table3[[#All],[PID]],0)))</f>
        <v>56.06473592625585</v>
      </c>
      <c r="R75" s="52">
        <f>IF($C75="B",INDEX(Batters[[#All],[zScore]],MATCH(Table5[[#This Row],[PID]],Batters[[#All],[PID]],0)),INDEX(Table3[[#All],[zScore]],MATCH(Table5[[#This Row],[PID]],Table3[[#All],[PID]],0)))</f>
        <v>1.300393752925924</v>
      </c>
      <c r="S75" s="58" t="str">
        <f>IF($C75="B",INDEX(Batters[[#All],[DEM]],MATCH(Table5[[#This Row],[PID]],Batters[[#All],[PID]],0)),INDEX(Table3[[#All],[DEM]],MATCH(Table5[[#This Row],[PID]],Table3[[#All],[PID]],0)))</f>
        <v>$1.4m</v>
      </c>
      <c r="T75" s="62">
        <f>IF($C75="B",INDEX(Batters[[#All],[Rnk]],MATCH(Table5[[#This Row],[PID]],Batters[[#All],[PID]],0)),INDEX(Table3[[#All],[Rnk]],MATCH(Table5[[#This Row],[PID]],Table3[[#All],[PID]],0)))</f>
        <v>22</v>
      </c>
      <c r="U75" s="67">
        <f>IF($C75="B",VLOOKUP($A75,Bat!$A$4:$BA$1314,47,FALSE),VLOOKUP($A75,Pit!$A$4:$BF$1214,56,FALSE))</f>
        <v>34</v>
      </c>
      <c r="V75" s="50">
        <f>IF($C75="B",VLOOKUP($A75,Bat!$A$4:$BA$1314,48,FALSE),VLOOKUP($A75,Pit!$A$4:$BF$1214,57,FALSE))</f>
        <v>0</v>
      </c>
      <c r="W75" s="50">
        <v>73</v>
      </c>
      <c r="X75" s="51">
        <f>RANK(Table5[[#This Row],[zScore]],Table5[[#All],[zScore]])</f>
        <v>96</v>
      </c>
      <c r="Y75" s="50">
        <f>IFERROR(INDEX(DraftResults[[#All],[OVR]],MATCH(Table5[[#This Row],[PID]],DraftResults[[#All],[Player ID]],0)),"")</f>
        <v>151</v>
      </c>
      <c r="Z75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5</v>
      </c>
      <c r="AA75" s="50">
        <f>IFERROR(INDEX(DraftResults[[#All],[Pick in Round]],MATCH(Table5[[#This Row],[PID]],DraftResults[[#All],[Player ID]],0)),"")</f>
        <v>14</v>
      </c>
      <c r="AB75" s="50" t="str">
        <f>IFERROR(INDEX(DraftResults[[#All],[Team Name]],MATCH(Table5[[#This Row],[PID]],DraftResults[[#All],[Player ID]],0)),"")</f>
        <v>San Antonio Calzones of Laredo</v>
      </c>
      <c r="AC75" s="50">
        <f>IF(Table5[[#This Row],[Ovr]]="","",IF(Table5[[#This Row],[cmbList]]="","",Table5[[#This Row],[cmbList]]-Table5[[#This Row],[Ovr]]))</f>
        <v>-78</v>
      </c>
      <c r="AD75" s="54" t="str">
        <f>IF(ISERROR(VLOOKUP($AB75&amp;"-"&amp;$E75&amp;" "&amp;F75,Bonuses!$B$1:$G$1006,4,FALSE)),"",INT(VLOOKUP($AB75&amp;"-"&amp;$E75&amp;" "&amp;$F75,Bonuses!$B$1:$G$1006,4,FALSE)))</f>
        <v/>
      </c>
      <c r="AE75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5.14 (151) - SP Will Hawkins</v>
      </c>
    </row>
    <row r="76" spans="1:31" s="50" customFormat="1" x14ac:dyDescent="0.3">
      <c r="A76" s="50">
        <v>9371</v>
      </c>
      <c r="B76" s="50">
        <f>COUNTIF(Table5[PID],A76)</f>
        <v>1</v>
      </c>
      <c r="C76" s="50" t="str">
        <f>IF(COUNTIF(Table3[[#All],[PID]],A76)&gt;0,"P","B")</f>
        <v>P</v>
      </c>
      <c r="D76" s="59" t="str">
        <f>IF($C76="B",INDEX(Batters[[#All],[POS]],MATCH(Table5[[#This Row],[PID]],Batters[[#All],[PID]],0)),INDEX(Table3[[#All],[POS]],MATCH(Table5[[#This Row],[PID]],Table3[[#All],[PID]],0)))</f>
        <v>SP</v>
      </c>
      <c r="E76" s="52" t="str">
        <f>IF($C76="B",INDEX(Batters[[#All],[First]],MATCH(Table5[[#This Row],[PID]],Batters[[#All],[PID]],0)),INDEX(Table3[[#All],[First]],MATCH(Table5[[#This Row],[PID]],Table3[[#All],[PID]],0)))</f>
        <v>Ken</v>
      </c>
      <c r="F76" s="50" t="str">
        <f>IF($C76="B",INDEX(Batters[[#All],[Last]],MATCH(A76,Batters[[#All],[PID]],0)),INDEX(Table3[[#All],[Last]],MATCH(A76,Table3[[#All],[PID]],0)))</f>
        <v>Berrios</v>
      </c>
      <c r="G76" s="56">
        <f>IF($C76="B",INDEX(Batters[[#All],[Age]],MATCH(Table5[[#This Row],[PID]],Batters[[#All],[PID]],0)),INDEX(Table3[[#All],[Age]],MATCH(Table5[[#This Row],[PID]],Table3[[#All],[PID]],0)))</f>
        <v>17</v>
      </c>
      <c r="H76" s="52" t="str">
        <f>IF($C76="B",INDEX(Batters[[#All],[B]],MATCH(Table5[[#This Row],[PID]],Batters[[#All],[PID]],0)),INDEX(Table3[[#All],[B]],MATCH(Table5[[#This Row],[PID]],Table3[[#All],[PID]],0)))</f>
        <v>R</v>
      </c>
      <c r="I76" s="52" t="str">
        <f>IF($C76="B",INDEX(Batters[[#All],[T]],MATCH(Table5[[#This Row],[PID]],Batters[[#All],[PID]],0)),INDEX(Table3[[#All],[T]],MATCH(Table5[[#This Row],[PID]],Table3[[#All],[PID]],0)))</f>
        <v>R</v>
      </c>
      <c r="J76" s="52" t="str">
        <f>IF($C76="B",INDEX(Batters[[#All],[WE]],MATCH(Table5[[#This Row],[PID]],Batters[[#All],[PID]],0)),INDEX(Table3[[#All],[WE]],MATCH(Table5[[#This Row],[PID]],Table3[[#All],[PID]],0)))</f>
        <v>Normal</v>
      </c>
      <c r="K76" s="52" t="str">
        <f>IF($C76="B",INDEX(Batters[[#All],[INT]],MATCH(Table5[[#This Row],[PID]],Batters[[#All],[PID]],0)),INDEX(Table3[[#All],[INT]],MATCH(Table5[[#This Row],[PID]],Table3[[#All],[PID]],0)))</f>
        <v>Normal</v>
      </c>
      <c r="L76" s="60">
        <f>IF($C76="B",INDEX(Batters[[#All],[CON P]],MATCH(Table5[[#This Row],[PID]],Batters[[#All],[PID]],0)),INDEX(Table3[[#All],[STU P]],MATCH(Table5[[#This Row],[PID]],Table3[[#All],[PID]],0)))</f>
        <v>5</v>
      </c>
      <c r="M76" s="56">
        <f>IF($C76="B",INDEX(Batters[[#All],[GAP P]],MATCH(Table5[[#This Row],[PID]],Batters[[#All],[PID]],0)),INDEX(Table3[[#All],[MOV P]],MATCH(Table5[[#This Row],[PID]],Table3[[#All],[PID]],0)))</f>
        <v>4</v>
      </c>
      <c r="N76" s="56">
        <f>IF($C76="B",INDEX(Batters[[#All],[POW P]],MATCH(Table5[[#This Row],[PID]],Batters[[#All],[PID]],0)),INDEX(Table3[[#All],[CON P]],MATCH(Table5[[#This Row],[PID]],Table3[[#All],[PID]],0)))</f>
        <v>6</v>
      </c>
      <c r="O76" s="56" t="str">
        <f>IF($C76="B",INDEX(Batters[[#All],[EYE P]],MATCH(Table5[[#This Row],[PID]],Batters[[#All],[PID]],0)),INDEX(Table3[[#All],[VELO]],MATCH(Table5[[#This Row],[PID]],Table3[[#All],[PID]],0)))</f>
        <v>95-97 Mph</v>
      </c>
      <c r="P76" s="56">
        <f>IF($C76="B",INDEX(Batters[[#All],[K P]],MATCH(Table5[[#This Row],[PID]],Batters[[#All],[PID]],0)),INDEX(Table3[[#All],[STM]],MATCH(Table5[[#This Row],[PID]],Table3[[#All],[PID]],0)))</f>
        <v>8</v>
      </c>
      <c r="Q76" s="61">
        <f>IF($C76="B",INDEX(Batters[[#All],[Tot]],MATCH(Table5[[#This Row],[PID]],Batters[[#All],[PID]],0)),INDEX(Table3[[#All],[Tot]],MATCH(Table5[[#This Row],[PID]],Table3[[#All],[PID]],0)))</f>
        <v>62.499651065200013</v>
      </c>
      <c r="R76" s="52">
        <f>IF($C76="B",INDEX(Batters[[#All],[zScore]],MATCH(Table5[[#This Row],[PID]],Batters[[#All],[PID]],0)),INDEX(Table3[[#All],[zScore]],MATCH(Table5[[#This Row],[PID]],Table3[[#All],[PID]],0)))</f>
        <v>1.7632688214201053</v>
      </c>
      <c r="S76" s="58" t="str">
        <f>IF($C76="B",INDEX(Batters[[#All],[DEM]],MATCH(Table5[[#This Row],[PID]],Batters[[#All],[PID]],0)),INDEX(Table3[[#All],[DEM]],MATCH(Table5[[#This Row],[PID]],Table3[[#All],[PID]],0)))</f>
        <v>$330k</v>
      </c>
      <c r="T76" s="62">
        <f>IF($C76="B",INDEX(Batters[[#All],[Rnk]],MATCH(Table5[[#This Row],[PID]],Batters[[#All],[PID]],0)),INDEX(Table3[[#All],[Rnk]],MATCH(Table5[[#This Row],[PID]],Table3[[#All],[PID]],0)))</f>
        <v>23</v>
      </c>
      <c r="U76" s="67">
        <f>IF($C76="B",VLOOKUP($A76,Bat!$A$4:$BA$1314,47,FALSE),VLOOKUP($A76,Pit!$A$4:$BF$1214,56,FALSE))</f>
        <v>35</v>
      </c>
      <c r="V76" s="50">
        <f>IF($C76="B",VLOOKUP($A76,Bat!$A$4:$BA$1314,48,FALSE),VLOOKUP($A76,Pit!$A$4:$BF$1214,57,FALSE))</f>
        <v>0</v>
      </c>
      <c r="W76" s="68">
        <v>74</v>
      </c>
      <c r="X76" s="51">
        <f>RANK(Table5[[#This Row],[zScore]],Table5[[#All],[zScore]])</f>
        <v>55</v>
      </c>
      <c r="Y76" s="50">
        <f>IFERROR(INDEX(DraftResults[[#All],[OVR]],MATCH(Table5[[#This Row],[PID]],DraftResults[[#All],[Player ID]],0)),"")</f>
        <v>59</v>
      </c>
      <c r="Z76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2</v>
      </c>
      <c r="AA76" s="50">
        <f>IFERROR(INDEX(DraftResults[[#All],[Pick in Round]],MATCH(Table5[[#This Row],[PID]],DraftResults[[#All],[Player ID]],0)),"")</f>
        <v>23</v>
      </c>
      <c r="AB76" s="50" t="str">
        <f>IFERROR(INDEX(DraftResults[[#All],[Team Name]],MATCH(Table5[[#This Row],[PID]],DraftResults[[#All],[Player ID]],0)),"")</f>
        <v>Aurora Borealis</v>
      </c>
      <c r="AC76" s="50">
        <f>IF(Table5[[#This Row],[Ovr]]="","",IF(Table5[[#This Row],[cmbList]]="","",Table5[[#This Row],[cmbList]]-Table5[[#This Row],[Ovr]]))</f>
        <v>15</v>
      </c>
      <c r="AD76" s="54" t="str">
        <f>IF(ISERROR(VLOOKUP($AB76&amp;"-"&amp;$E76&amp;" "&amp;F76,Bonuses!$B$1:$G$1006,4,FALSE)),"",INT(VLOOKUP($AB76&amp;"-"&amp;$E76&amp;" "&amp;$F76,Bonuses!$B$1:$G$1006,4,FALSE)))</f>
        <v/>
      </c>
      <c r="AE76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2.23 (59) - SP Ken Berrios</v>
      </c>
    </row>
    <row r="77" spans="1:31" s="50" customFormat="1" x14ac:dyDescent="0.3">
      <c r="A77" s="50">
        <v>9094</v>
      </c>
      <c r="B77" s="55">
        <f>COUNTIF(Table5[PID],A77)</f>
        <v>1</v>
      </c>
      <c r="C77" s="55" t="str">
        <f>IF(COUNTIF(Table3[[#All],[PID]],A77)&gt;0,"P","B")</f>
        <v>P</v>
      </c>
      <c r="D77" s="59" t="str">
        <f>IF($C77="B",INDEX(Batters[[#All],[POS]],MATCH(Table5[[#This Row],[PID]],Batters[[#All],[PID]],0)),INDEX(Table3[[#All],[POS]],MATCH(Table5[[#This Row],[PID]],Table3[[#All],[PID]],0)))</f>
        <v>SP</v>
      </c>
      <c r="E77" s="52" t="str">
        <f>IF($C77="B",INDEX(Batters[[#All],[First]],MATCH(Table5[[#This Row],[PID]],Batters[[#All],[PID]],0)),INDEX(Table3[[#All],[First]],MATCH(Table5[[#This Row],[PID]],Table3[[#All],[PID]],0)))</f>
        <v>Chris</v>
      </c>
      <c r="F77" s="50" t="str">
        <f>IF($C77="B",INDEX(Batters[[#All],[Last]],MATCH(A77,Batters[[#All],[PID]],0)),INDEX(Table3[[#All],[Last]],MATCH(A77,Table3[[#All],[PID]],0)))</f>
        <v>Hanson</v>
      </c>
      <c r="G77" s="56">
        <f>IF($C77="B",INDEX(Batters[[#All],[Age]],MATCH(Table5[[#This Row],[PID]],Batters[[#All],[PID]],0)),INDEX(Table3[[#All],[Age]],MATCH(Table5[[#This Row],[PID]],Table3[[#All],[PID]],0)))</f>
        <v>18</v>
      </c>
      <c r="H77" s="52" t="str">
        <f>IF($C77="B",INDEX(Batters[[#All],[B]],MATCH(Table5[[#This Row],[PID]],Batters[[#All],[PID]],0)),INDEX(Table3[[#All],[B]],MATCH(Table5[[#This Row],[PID]],Table3[[#All],[PID]],0)))</f>
        <v>L</v>
      </c>
      <c r="I77" s="52" t="str">
        <f>IF($C77="B",INDEX(Batters[[#All],[T]],MATCH(Table5[[#This Row],[PID]],Batters[[#All],[PID]],0)),INDEX(Table3[[#All],[T]],MATCH(Table5[[#This Row],[PID]],Table3[[#All],[PID]],0)))</f>
        <v>L</v>
      </c>
      <c r="J77" s="52" t="str">
        <f>IF($C77="B",INDEX(Batters[[#All],[WE]],MATCH(Table5[[#This Row],[PID]],Batters[[#All],[PID]],0)),INDEX(Table3[[#All],[WE]],MATCH(Table5[[#This Row],[PID]],Table3[[#All],[PID]],0)))</f>
        <v>Normal</v>
      </c>
      <c r="K77" s="52" t="str">
        <f>IF($C77="B",INDEX(Batters[[#All],[INT]],MATCH(Table5[[#This Row],[PID]],Batters[[#All],[PID]],0)),INDEX(Table3[[#All],[INT]],MATCH(Table5[[#This Row],[PID]],Table3[[#All],[PID]],0)))</f>
        <v>Normal</v>
      </c>
      <c r="L77" s="60">
        <f>IF($C77="B",INDEX(Batters[[#All],[CON P]],MATCH(Table5[[#This Row],[PID]],Batters[[#All],[PID]],0)),INDEX(Table3[[#All],[STU P]],MATCH(Table5[[#This Row],[PID]],Table3[[#All],[PID]],0)))</f>
        <v>5</v>
      </c>
      <c r="M77" s="56">
        <f>IF($C77="B",INDEX(Batters[[#All],[GAP P]],MATCH(Table5[[#This Row],[PID]],Batters[[#All],[PID]],0)),INDEX(Table3[[#All],[MOV P]],MATCH(Table5[[#This Row],[PID]],Table3[[#All],[PID]],0)))</f>
        <v>7</v>
      </c>
      <c r="N77" s="56">
        <f>IF($C77="B",INDEX(Batters[[#All],[POW P]],MATCH(Table5[[#This Row],[PID]],Batters[[#All],[PID]],0)),INDEX(Table3[[#All],[CON P]],MATCH(Table5[[#This Row],[PID]],Table3[[#All],[PID]],0)))</f>
        <v>7</v>
      </c>
      <c r="O77" s="56" t="str">
        <f>IF($C77="B",INDEX(Batters[[#All],[EYE P]],MATCH(Table5[[#This Row],[PID]],Batters[[#All],[PID]],0)),INDEX(Table3[[#All],[VELO]],MATCH(Table5[[#This Row],[PID]],Table3[[#All],[PID]],0)))</f>
        <v>87-89 Mph</v>
      </c>
      <c r="P77" s="56">
        <f>IF($C77="B",INDEX(Batters[[#All],[K P]],MATCH(Table5[[#This Row],[PID]],Batters[[#All],[PID]],0)),INDEX(Table3[[#All],[STM]],MATCH(Table5[[#This Row],[PID]],Table3[[#All],[PID]],0)))</f>
        <v>6</v>
      </c>
      <c r="Q77" s="61">
        <f>IF($C77="B",INDEX(Batters[[#All],[Tot]],MATCH(Table5[[#This Row],[PID]],Batters[[#All],[PID]],0)),INDEX(Table3[[#All],[Tot]],MATCH(Table5[[#This Row],[PID]],Table3[[#All],[PID]],0)))</f>
        <v>79.566824304371707</v>
      </c>
      <c r="R77" s="52">
        <f>IF($C77="B",INDEX(Batters[[#All],[zScore]],MATCH(Table5[[#This Row],[PID]],Batters[[#All],[PID]],0)),INDEX(Table3[[#All],[zScore]],MATCH(Table5[[#This Row],[PID]],Table3[[#All],[PID]],0)))</f>
        <v>2.9739077326499959</v>
      </c>
      <c r="S77" s="58" t="str">
        <f>IF($C77="B",INDEX(Batters[[#All],[DEM]],MATCH(Table5[[#This Row],[PID]],Batters[[#All],[PID]],0)),INDEX(Table3[[#All],[DEM]],MATCH(Table5[[#This Row],[PID]],Table3[[#All],[PID]],0)))</f>
        <v>$2.2m</v>
      </c>
      <c r="T77" s="62">
        <f>IF($C77="B",INDEX(Batters[[#All],[Rnk]],MATCH(Table5[[#This Row],[PID]],Batters[[#All],[PID]],0)),INDEX(Table3[[#All],[Rnk]],MATCH(Table5[[#This Row],[PID]],Table3[[#All],[PID]],0)))</f>
        <v>24</v>
      </c>
      <c r="U77" s="67">
        <f>IF($C77="B",VLOOKUP($A77,Bat!$A$4:$BA$1314,47,FALSE),VLOOKUP($A77,Pit!$A$4:$BF$1214,56,FALSE))</f>
        <v>36</v>
      </c>
      <c r="V77" s="50">
        <f>IF($C77="B",VLOOKUP($A77,Bat!$A$4:$BA$1314,48,FALSE),VLOOKUP($A77,Pit!$A$4:$BF$1214,57,FALSE))</f>
        <v>0</v>
      </c>
      <c r="W77" s="50">
        <v>75</v>
      </c>
      <c r="X77" s="51">
        <f>RANK(Table5[[#This Row],[zScore]],Table5[[#All],[zScore]])</f>
        <v>9</v>
      </c>
      <c r="Y77" s="50">
        <f>IFERROR(INDEX(DraftResults[[#All],[OVR]],MATCH(Table5[[#This Row],[PID]],DraftResults[[#All],[Player ID]],0)),"")</f>
        <v>69</v>
      </c>
      <c r="Z77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2</v>
      </c>
      <c r="AA77" s="50">
        <f>IFERROR(INDEX(DraftResults[[#All],[Pick in Round]],MATCH(Table5[[#This Row],[PID]],DraftResults[[#All],[Player ID]],0)),"")</f>
        <v>33</v>
      </c>
      <c r="AB77" s="50" t="str">
        <f>IFERROR(INDEX(DraftResults[[#All],[Team Name]],MATCH(Table5[[#This Row],[PID]],DraftResults[[#All],[Player ID]],0)),"")</f>
        <v>Charleston Statesmen</v>
      </c>
      <c r="AC77" s="50">
        <f>IF(Table5[[#This Row],[Ovr]]="","",IF(Table5[[#This Row],[cmbList]]="","",Table5[[#This Row],[cmbList]]-Table5[[#This Row],[Ovr]]))</f>
        <v>6</v>
      </c>
      <c r="AD77" s="54" t="str">
        <f>IF(ISERROR(VLOOKUP($AB77&amp;"-"&amp;$E77&amp;" "&amp;F77,Bonuses!$B$1:$G$1006,4,FALSE)),"",INT(VLOOKUP($AB77&amp;"-"&amp;$E77&amp;" "&amp;$F77,Bonuses!$B$1:$G$1006,4,FALSE)))</f>
        <v/>
      </c>
      <c r="AE77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2.33 (69) - SP Chris Hanson</v>
      </c>
    </row>
    <row r="78" spans="1:31" s="50" customFormat="1" x14ac:dyDescent="0.3">
      <c r="A78" s="67">
        <v>9906</v>
      </c>
      <c r="B78" s="68">
        <f>COUNTIF(Table5[PID],A78)</f>
        <v>1</v>
      </c>
      <c r="C78" s="68" t="str">
        <f>IF(COUNTIF(Table3[[#All],[PID]],A78)&gt;0,"P","B")</f>
        <v>P</v>
      </c>
      <c r="D78" s="59" t="str">
        <f>IF($C78="B",INDEX(Batters[[#All],[POS]],MATCH(Table5[[#This Row],[PID]],Batters[[#All],[PID]],0)),INDEX(Table3[[#All],[POS]],MATCH(Table5[[#This Row],[PID]],Table3[[#All],[PID]],0)))</f>
        <v>RP</v>
      </c>
      <c r="E78" s="52" t="str">
        <f>IF($C78="B",INDEX(Batters[[#All],[First]],MATCH(Table5[[#This Row],[PID]],Batters[[#All],[PID]],0)),INDEX(Table3[[#All],[First]],MATCH(Table5[[#This Row],[PID]],Table3[[#All],[PID]],0)))</f>
        <v>Wesley</v>
      </c>
      <c r="F78" s="55" t="str">
        <f>IF($C78="B",INDEX(Batters[[#All],[Last]],MATCH(A78,Batters[[#All],[PID]],0)),INDEX(Table3[[#All],[Last]],MATCH(A78,Table3[[#All],[PID]],0)))</f>
        <v>Carter</v>
      </c>
      <c r="G78" s="56">
        <f>IF($C78="B",INDEX(Batters[[#All],[Age]],MATCH(Table5[[#This Row],[PID]],Batters[[#All],[PID]],0)),INDEX(Table3[[#All],[Age]],MATCH(Table5[[#This Row],[PID]],Table3[[#All],[PID]],0)))</f>
        <v>17</v>
      </c>
      <c r="H78" s="52" t="str">
        <f>IF($C78="B",INDEX(Batters[[#All],[B]],MATCH(Table5[[#This Row],[PID]],Batters[[#All],[PID]],0)),INDEX(Table3[[#All],[B]],MATCH(Table5[[#This Row],[PID]],Table3[[#All],[PID]],0)))</f>
        <v>R</v>
      </c>
      <c r="I78" s="52" t="str">
        <f>IF($C78="B",INDEX(Batters[[#All],[T]],MATCH(Table5[[#This Row],[PID]],Batters[[#All],[PID]],0)),INDEX(Table3[[#All],[T]],MATCH(Table5[[#This Row],[PID]],Table3[[#All],[PID]],0)))</f>
        <v>R</v>
      </c>
      <c r="J78" s="69" t="str">
        <f>IF($C78="B",INDEX(Batters[[#All],[WE]],MATCH(Table5[[#This Row],[PID]],Batters[[#All],[PID]],0)),INDEX(Table3[[#All],[WE]],MATCH(Table5[[#This Row],[PID]],Table3[[#All],[PID]],0)))</f>
        <v>Normal</v>
      </c>
      <c r="K78" s="52" t="str">
        <f>IF($C78="B",INDEX(Batters[[#All],[INT]],MATCH(Table5[[#This Row],[PID]],Batters[[#All],[PID]],0)),INDEX(Table3[[#All],[INT]],MATCH(Table5[[#This Row],[PID]],Table3[[#All],[PID]],0)))</f>
        <v>Normal</v>
      </c>
      <c r="L78" s="60">
        <f>IF($C78="B",INDEX(Batters[[#All],[CON P]],MATCH(Table5[[#This Row],[PID]],Batters[[#All],[PID]],0)),INDEX(Table3[[#All],[STU P]],MATCH(Table5[[#This Row],[PID]],Table3[[#All],[PID]],0)))</f>
        <v>7</v>
      </c>
      <c r="M78" s="70">
        <f>IF($C78="B",INDEX(Batters[[#All],[GAP P]],MATCH(Table5[[#This Row],[PID]],Batters[[#All],[PID]],0)),INDEX(Table3[[#All],[MOV P]],MATCH(Table5[[#This Row],[PID]],Table3[[#All],[PID]],0)))</f>
        <v>5</v>
      </c>
      <c r="N78" s="70">
        <f>IF($C78="B",INDEX(Batters[[#All],[POW P]],MATCH(Table5[[#This Row],[PID]],Batters[[#All],[PID]],0)),INDEX(Table3[[#All],[CON P]],MATCH(Table5[[#This Row],[PID]],Table3[[#All],[PID]],0)))</f>
        <v>6</v>
      </c>
      <c r="O78" s="70" t="str">
        <f>IF($C78="B",INDEX(Batters[[#All],[EYE P]],MATCH(Table5[[#This Row],[PID]],Batters[[#All],[PID]],0)),INDEX(Table3[[#All],[VELO]],MATCH(Table5[[#This Row],[PID]],Table3[[#All],[PID]],0)))</f>
        <v>92-94 Mph</v>
      </c>
      <c r="P78" s="56">
        <f>IF($C78="B",INDEX(Batters[[#All],[K P]],MATCH(Table5[[#This Row],[PID]],Batters[[#All],[PID]],0)),INDEX(Table3[[#All],[STM]],MATCH(Table5[[#This Row],[PID]],Table3[[#All],[PID]],0)))</f>
        <v>9</v>
      </c>
      <c r="Q78" s="61">
        <f>IF($C78="B",INDEX(Batters[[#All],[Tot]],MATCH(Table5[[#This Row],[PID]],Batters[[#All],[PID]],0)),INDEX(Table3[[#All],[Tot]],MATCH(Table5[[#This Row],[PID]],Table3[[#All],[PID]],0)))</f>
        <v>73.950515485087934</v>
      </c>
      <c r="R78" s="52">
        <f>IF($C78="B",INDEX(Batters[[#All],[zScore]],MATCH(Table5[[#This Row],[PID]],Batters[[#All],[PID]],0)),INDEX(Table3[[#All],[zScore]],MATCH(Table5[[#This Row],[PID]],Table3[[#All],[PID]],0)))</f>
        <v>2.5739870459304739</v>
      </c>
      <c r="S78" s="75" t="str">
        <f>IF($C78="B",INDEX(Batters[[#All],[DEM]],MATCH(Table5[[#This Row],[PID]],Batters[[#All],[PID]],0)),INDEX(Table3[[#All],[DEM]],MATCH(Table5[[#This Row],[PID]],Table3[[#All],[PID]],0)))</f>
        <v>$2.4m</v>
      </c>
      <c r="T78" s="72">
        <f>IF($C78="B",INDEX(Batters[[#All],[Rnk]],MATCH(Table5[[#This Row],[PID]],Batters[[#All],[PID]],0)),INDEX(Table3[[#All],[Rnk]],MATCH(Table5[[#This Row],[PID]],Table3[[#All],[PID]],0)))</f>
        <v>25</v>
      </c>
      <c r="U78" s="67">
        <f>IF($C78="B",VLOOKUP($A78,Bat!$A$4:$BA$1314,47,FALSE),VLOOKUP($A78,Pit!$A$4:$BF$1214,56,FALSE))</f>
        <v>37</v>
      </c>
      <c r="V78" s="50">
        <f>IF($C78="B",VLOOKUP($A78,Bat!$A$4:$BA$1314,48,FALSE),VLOOKUP($A78,Pit!$A$4:$BF$1214,57,FALSE))</f>
        <v>0</v>
      </c>
      <c r="W78" s="68">
        <v>76</v>
      </c>
      <c r="X78" s="71">
        <f>RANK(Table5[[#This Row],[zScore]],Table5[[#All],[zScore]])</f>
        <v>15</v>
      </c>
      <c r="Y78" s="68">
        <f>IFERROR(INDEX(DraftResults[[#All],[OVR]],MATCH(Table5[[#This Row],[PID]],DraftResults[[#All],[Player ID]],0)),"")</f>
        <v>22</v>
      </c>
      <c r="Z78" s="7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1</v>
      </c>
      <c r="AA78" s="68">
        <f>IFERROR(INDEX(DraftResults[[#All],[Pick in Round]],MATCH(Table5[[#This Row],[PID]],DraftResults[[#All],[Player ID]],0)),"")</f>
        <v>22</v>
      </c>
      <c r="AB78" s="68" t="str">
        <f>IFERROR(INDEX(DraftResults[[#All],[Team Name]],MATCH(Table5[[#This Row],[PID]],DraftResults[[#All],[Player ID]],0)),"")</f>
        <v>West Virginia Alleghenies</v>
      </c>
      <c r="AC78" s="68">
        <f>IF(Table5[[#This Row],[Ovr]]="","",IF(Table5[[#This Row],[cmbList]]="","",Table5[[#This Row],[cmbList]]-Table5[[#This Row],[Ovr]]))</f>
        <v>54</v>
      </c>
      <c r="AD78" s="74" t="str">
        <f>IF(ISERROR(VLOOKUP($AB78&amp;"-"&amp;$E78&amp;" "&amp;F78,Bonuses!$B$1:$G$1006,4,FALSE)),"",INT(VLOOKUP($AB78&amp;"-"&amp;$E78&amp;" "&amp;$F78,Bonuses!$B$1:$G$1006,4,FALSE)))</f>
        <v/>
      </c>
      <c r="AE78" s="68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1.22 (22) - RP Wesley Carter</v>
      </c>
    </row>
    <row r="79" spans="1:31" s="50" customFormat="1" x14ac:dyDescent="0.3">
      <c r="A79" s="50">
        <v>13921</v>
      </c>
      <c r="B79" s="50">
        <f>COUNTIF(Table5[PID],A79)</f>
        <v>1</v>
      </c>
      <c r="C79" s="50" t="str">
        <f>IF(COUNTIF(Table3[[#All],[PID]],A79)&gt;0,"P","B")</f>
        <v>P</v>
      </c>
      <c r="D79" s="59" t="str">
        <f>IF($C79="B",INDEX(Batters[[#All],[POS]],MATCH(Table5[[#This Row],[PID]],Batters[[#All],[PID]],0)),INDEX(Table3[[#All],[POS]],MATCH(Table5[[#This Row],[PID]],Table3[[#All],[PID]],0)))</f>
        <v>CL</v>
      </c>
      <c r="E79" s="52" t="str">
        <f>IF($C79="B",INDEX(Batters[[#All],[First]],MATCH(Table5[[#This Row],[PID]],Batters[[#All],[PID]],0)),INDEX(Table3[[#All],[First]],MATCH(Table5[[#This Row],[PID]],Table3[[#All],[PID]],0)))</f>
        <v>Jeffery</v>
      </c>
      <c r="F79" s="50" t="str">
        <f>IF($C79="B",INDEX(Batters[[#All],[Last]],MATCH(A79,Batters[[#All],[PID]],0)),INDEX(Table3[[#All],[Last]],MATCH(A79,Table3[[#All],[PID]],0)))</f>
        <v>Owen</v>
      </c>
      <c r="G79" s="56">
        <f>IF($C79="B",INDEX(Batters[[#All],[Age]],MATCH(Table5[[#This Row],[PID]],Batters[[#All],[PID]],0)),INDEX(Table3[[#All],[Age]],MATCH(Table5[[#This Row],[PID]],Table3[[#All],[PID]],0)))</f>
        <v>21</v>
      </c>
      <c r="H79" s="52" t="str">
        <f>IF($C79="B",INDEX(Batters[[#All],[B]],MATCH(Table5[[#This Row],[PID]],Batters[[#All],[PID]],0)),INDEX(Table3[[#All],[B]],MATCH(Table5[[#This Row],[PID]],Table3[[#All],[PID]],0)))</f>
        <v>R</v>
      </c>
      <c r="I79" s="52" t="str">
        <f>IF($C79="B",INDEX(Batters[[#All],[T]],MATCH(Table5[[#This Row],[PID]],Batters[[#All],[PID]],0)),INDEX(Table3[[#All],[T]],MATCH(Table5[[#This Row],[PID]],Table3[[#All],[PID]],0)))</f>
        <v>R</v>
      </c>
      <c r="J79" s="52" t="str">
        <f>IF($C79="B",INDEX(Batters[[#All],[WE]],MATCH(Table5[[#This Row],[PID]],Batters[[#All],[PID]],0)),INDEX(Table3[[#All],[WE]],MATCH(Table5[[#This Row],[PID]],Table3[[#All],[PID]],0)))</f>
        <v>Normal</v>
      </c>
      <c r="K79" s="52" t="str">
        <f>IF($C79="B",INDEX(Batters[[#All],[INT]],MATCH(Table5[[#This Row],[PID]],Batters[[#All],[PID]],0)),INDEX(Table3[[#All],[INT]],MATCH(Table5[[#This Row],[PID]],Table3[[#All],[PID]],0)))</f>
        <v>Normal</v>
      </c>
      <c r="L79" s="60">
        <f>IF($C79="B",INDEX(Batters[[#All],[CON P]],MATCH(Table5[[#This Row],[PID]],Batters[[#All],[PID]],0)),INDEX(Table3[[#All],[STU P]],MATCH(Table5[[#This Row],[PID]],Table3[[#All],[PID]],0)))</f>
        <v>7</v>
      </c>
      <c r="M79" s="56">
        <f>IF($C79="B",INDEX(Batters[[#All],[GAP P]],MATCH(Table5[[#This Row],[PID]],Batters[[#All],[PID]],0)),INDEX(Table3[[#All],[MOV P]],MATCH(Table5[[#This Row],[PID]],Table3[[#All],[PID]],0)))</f>
        <v>6</v>
      </c>
      <c r="N79" s="56">
        <f>IF($C79="B",INDEX(Batters[[#All],[POW P]],MATCH(Table5[[#This Row],[PID]],Batters[[#All],[PID]],0)),INDEX(Table3[[#All],[CON P]],MATCH(Table5[[#This Row],[PID]],Table3[[#All],[PID]],0)))</f>
        <v>5</v>
      </c>
      <c r="O79" s="56" t="str">
        <f>IF($C79="B",INDEX(Batters[[#All],[EYE P]],MATCH(Table5[[#This Row],[PID]],Batters[[#All],[PID]],0)),INDEX(Table3[[#All],[VELO]],MATCH(Table5[[#This Row],[PID]],Table3[[#All],[PID]],0)))</f>
        <v>94-96 Mph</v>
      </c>
      <c r="P79" s="56">
        <f>IF($C79="B",INDEX(Batters[[#All],[K P]],MATCH(Table5[[#This Row],[PID]],Batters[[#All],[PID]],0)),INDEX(Table3[[#All],[STM]],MATCH(Table5[[#This Row],[PID]],Table3[[#All],[PID]],0)))</f>
        <v>8</v>
      </c>
      <c r="Q79" s="61">
        <f>IF($C79="B",INDEX(Batters[[#All],[Tot]],MATCH(Table5[[#This Row],[PID]],Batters[[#All],[PID]],0)),INDEX(Table3[[#All],[Tot]],MATCH(Table5[[#This Row],[PID]],Table3[[#All],[PID]],0)))</f>
        <v>63.02408610678161</v>
      </c>
      <c r="R79" s="52">
        <f>IF($C79="B",INDEX(Batters[[#All],[zScore]],MATCH(Table5[[#This Row],[PID]],Batters[[#All],[PID]],0)),INDEX(Table3[[#All],[zScore]],MATCH(Table5[[#This Row],[PID]],Table3[[#All],[PID]],0)))</f>
        <v>1.79594843000517</v>
      </c>
      <c r="S79" s="58" t="str">
        <f>IF($C79="B",INDEX(Batters[[#All],[DEM]],MATCH(Table5[[#This Row],[PID]],Batters[[#All],[PID]],0)),INDEX(Table3[[#All],[DEM]],MATCH(Table5[[#This Row],[PID]],Table3[[#All],[PID]],0)))</f>
        <v>$110k</v>
      </c>
      <c r="T79" s="62">
        <f>IF($C79="B",INDEX(Batters[[#All],[Rnk]],MATCH(Table5[[#This Row],[PID]],Batters[[#All],[PID]],0)),INDEX(Table3[[#All],[Rnk]],MATCH(Table5[[#This Row],[PID]],Table3[[#All],[PID]],0)))</f>
        <v>26</v>
      </c>
      <c r="U79" s="67">
        <f>IF($C79="B",VLOOKUP($A79,Bat!$A$4:$BA$1314,47,FALSE),VLOOKUP($A79,Pit!$A$4:$BF$1214,56,FALSE))</f>
        <v>38</v>
      </c>
      <c r="V79" s="50">
        <f>IF($C79="B",VLOOKUP($A79,Bat!$A$4:$BA$1314,48,FALSE),VLOOKUP($A79,Pit!$A$4:$BF$1214,57,FALSE))</f>
        <v>0</v>
      </c>
      <c r="W79" s="50">
        <v>77</v>
      </c>
      <c r="X79" s="51">
        <f>RANK(Table5[[#This Row],[zScore]],Table5[[#All],[zScore]])</f>
        <v>54</v>
      </c>
      <c r="Y79" s="50">
        <f>IFERROR(INDEX(DraftResults[[#All],[OVR]],MATCH(Table5[[#This Row],[PID]],DraftResults[[#All],[Player ID]],0)),"")</f>
        <v>6</v>
      </c>
      <c r="Z79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1</v>
      </c>
      <c r="AA79" s="50">
        <f>IFERROR(INDEX(DraftResults[[#All],[Pick in Round]],MATCH(Table5[[#This Row],[PID]],DraftResults[[#All],[Player ID]],0)),"")</f>
        <v>6</v>
      </c>
      <c r="AB79" s="50" t="str">
        <f>IFERROR(INDEX(DraftResults[[#All],[Team Name]],MATCH(Table5[[#This Row],[PID]],DraftResults[[#All],[Player ID]],0)),"")</f>
        <v>New Orleans Trendsetters</v>
      </c>
      <c r="AC79" s="50">
        <f>IF(Table5[[#This Row],[Ovr]]="","",IF(Table5[[#This Row],[cmbList]]="","",Table5[[#This Row],[cmbList]]-Table5[[#This Row],[Ovr]]))</f>
        <v>71</v>
      </c>
      <c r="AD79" s="54" t="str">
        <f>IF(ISERROR(VLOOKUP($AB79&amp;"-"&amp;$E79&amp;" "&amp;F79,Bonuses!$B$1:$G$1006,4,FALSE)),"",INT(VLOOKUP($AB79&amp;"-"&amp;$E79&amp;" "&amp;$F79,Bonuses!$B$1:$G$1006,4,FALSE)))</f>
        <v/>
      </c>
      <c r="AE79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1.6 (6) - CL Jeffery Owen</v>
      </c>
    </row>
    <row r="80" spans="1:31" s="50" customFormat="1" x14ac:dyDescent="0.3">
      <c r="A80" s="67">
        <v>12616</v>
      </c>
      <c r="B80" s="68">
        <f>COUNTIF(Table5[PID],A80)</f>
        <v>1</v>
      </c>
      <c r="C80" s="68" t="str">
        <f>IF(COUNTIF(Table3[[#All],[PID]],A80)&gt;0,"P","B")</f>
        <v>B</v>
      </c>
      <c r="D80" s="59" t="str">
        <f>IF($C80="B",INDEX(Batters[[#All],[POS]],MATCH(Table5[[#This Row],[PID]],Batters[[#All],[PID]],0)),INDEX(Table3[[#All],[POS]],MATCH(Table5[[#This Row],[PID]],Table3[[#All],[PID]],0)))</f>
        <v>C</v>
      </c>
      <c r="E80" s="52" t="str">
        <f>IF($C80="B",INDEX(Batters[[#All],[First]],MATCH(Table5[[#This Row],[PID]],Batters[[#All],[PID]],0)),INDEX(Table3[[#All],[First]],MATCH(Table5[[#This Row],[PID]],Table3[[#All],[PID]],0)))</f>
        <v>Matt</v>
      </c>
      <c r="F80" s="55" t="str">
        <f>IF($C80="B",INDEX(Batters[[#All],[Last]],MATCH(A80,Batters[[#All],[PID]],0)),INDEX(Table3[[#All],[Last]],MATCH(A80,Table3[[#All],[PID]],0)))</f>
        <v>Markle</v>
      </c>
      <c r="G80" s="56">
        <f>IF($C80="B",INDEX(Batters[[#All],[Age]],MATCH(Table5[[#This Row],[PID]],Batters[[#All],[PID]],0)),INDEX(Table3[[#All],[Age]],MATCH(Table5[[#This Row],[PID]],Table3[[#All],[PID]],0)))</f>
        <v>17</v>
      </c>
      <c r="H80" s="52" t="str">
        <f>IF($C80="B",INDEX(Batters[[#All],[B]],MATCH(Table5[[#This Row],[PID]],Batters[[#All],[PID]],0)),INDEX(Table3[[#All],[B]],MATCH(Table5[[#This Row],[PID]],Table3[[#All],[PID]],0)))</f>
        <v>S</v>
      </c>
      <c r="I80" s="52" t="str">
        <f>IF($C80="B",INDEX(Batters[[#All],[T]],MATCH(Table5[[#This Row],[PID]],Batters[[#All],[PID]],0)),INDEX(Table3[[#All],[T]],MATCH(Table5[[#This Row],[PID]],Table3[[#All],[PID]],0)))</f>
        <v>R</v>
      </c>
      <c r="J80" s="69" t="str">
        <f>IF($C80="B",INDEX(Batters[[#All],[WE]],MATCH(Table5[[#This Row],[PID]],Batters[[#All],[PID]],0)),INDEX(Table3[[#All],[WE]],MATCH(Table5[[#This Row],[PID]],Table3[[#All],[PID]],0)))</f>
        <v>Normal</v>
      </c>
      <c r="K80" s="52" t="str">
        <f>IF($C80="B",INDEX(Batters[[#All],[INT]],MATCH(Table5[[#This Row],[PID]],Batters[[#All],[PID]],0)),INDEX(Table3[[#All],[INT]],MATCH(Table5[[#This Row],[PID]],Table3[[#All],[PID]],0)))</f>
        <v>Normal</v>
      </c>
      <c r="L80" s="60">
        <f>IF($C80="B",INDEX(Batters[[#All],[CON P]],MATCH(Table5[[#This Row],[PID]],Batters[[#All],[PID]],0)),INDEX(Table3[[#All],[STU P]],MATCH(Table5[[#This Row],[PID]],Table3[[#All],[PID]],0)))</f>
        <v>5</v>
      </c>
      <c r="M80" s="70">
        <f>IF($C80="B",INDEX(Batters[[#All],[GAP P]],MATCH(Table5[[#This Row],[PID]],Batters[[#All],[PID]],0)),INDEX(Table3[[#All],[MOV P]],MATCH(Table5[[#This Row],[PID]],Table3[[#All],[PID]],0)))</f>
        <v>6</v>
      </c>
      <c r="N80" s="70">
        <f>IF($C80="B",INDEX(Batters[[#All],[POW P]],MATCH(Table5[[#This Row],[PID]],Batters[[#All],[PID]],0)),INDEX(Table3[[#All],[CON P]],MATCH(Table5[[#This Row],[PID]],Table3[[#All],[PID]],0)))</f>
        <v>3</v>
      </c>
      <c r="O80" s="70">
        <f>IF($C80="B",INDEX(Batters[[#All],[EYE P]],MATCH(Table5[[#This Row],[PID]],Batters[[#All],[PID]],0)),INDEX(Table3[[#All],[VELO]],MATCH(Table5[[#This Row],[PID]],Table3[[#All],[PID]],0)))</f>
        <v>4</v>
      </c>
      <c r="P80" s="56">
        <f>IF($C80="B",INDEX(Batters[[#All],[K P]],MATCH(Table5[[#This Row],[PID]],Batters[[#All],[PID]],0)),INDEX(Table3[[#All],[STM]],MATCH(Table5[[#This Row],[PID]],Table3[[#All],[PID]],0)))</f>
        <v>8</v>
      </c>
      <c r="Q80" s="61">
        <f>IF($C80="B",INDEX(Batters[[#All],[Tot]],MATCH(Table5[[#This Row],[PID]],Batters[[#All],[PID]],0)),INDEX(Table3[[#All],[Tot]],MATCH(Table5[[#This Row],[PID]],Table3[[#All],[PID]],0)))</f>
        <v>51.998971039290012</v>
      </c>
      <c r="R80" s="52">
        <f>IF($C80="B",INDEX(Batters[[#All],[zScore]],MATCH(Table5[[#This Row],[PID]],Batters[[#All],[PID]],0)),INDEX(Table3[[#All],[zScore]],MATCH(Table5[[#This Row],[PID]],Table3[[#All],[PID]],0)))</f>
        <v>1.2816701375819335</v>
      </c>
      <c r="S80" s="75" t="str">
        <f>IF($C80="B",INDEX(Batters[[#All],[DEM]],MATCH(Table5[[#This Row],[PID]],Batters[[#All],[PID]],0)),INDEX(Table3[[#All],[DEM]],MATCH(Table5[[#This Row],[PID]],Table3[[#All],[PID]],0)))</f>
        <v>$200k</v>
      </c>
      <c r="T80" s="72">
        <f>IF($C80="B",INDEX(Batters[[#All],[Rnk]],MATCH(Table5[[#This Row],[PID]],Batters[[#All],[PID]],0)),INDEX(Table3[[#All],[Rnk]],MATCH(Table5[[#This Row],[PID]],Table3[[#All],[PID]],0)))</f>
        <v>4</v>
      </c>
      <c r="U80" s="67">
        <f>IF($C80="B",VLOOKUP($A80,Bat!$A$4:$BA$1314,47,FALSE),VLOOKUP($A80,Pit!$A$4:$BF$1214,56,FALSE))</f>
        <v>39</v>
      </c>
      <c r="V80" s="50">
        <f>IF($C80="B",VLOOKUP($A80,Bat!$A$4:$BA$1314,48,FALSE),VLOOKUP($A80,Pit!$A$4:$BF$1214,57,FALSE))</f>
        <v>39</v>
      </c>
      <c r="W80" s="68">
        <v>78</v>
      </c>
      <c r="X80" s="71">
        <f>RANK(Table5[[#This Row],[zScore]],Table5[[#All],[zScore]])</f>
        <v>100</v>
      </c>
      <c r="Y80" s="68">
        <f>IFERROR(INDEX(DraftResults[[#All],[OVR]],MATCH(Table5[[#This Row],[PID]],DraftResults[[#All],[Player ID]],0)),"")</f>
        <v>176</v>
      </c>
      <c r="Z80" s="7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6</v>
      </c>
      <c r="AA80" s="68">
        <f>IFERROR(INDEX(DraftResults[[#All],[Pick in Round]],MATCH(Table5[[#This Row],[PID]],DraftResults[[#All],[Player ID]],0)),"")</f>
        <v>7</v>
      </c>
      <c r="AB80" s="68" t="str">
        <f>IFERROR(INDEX(DraftResults[[#All],[Team Name]],MATCH(Table5[[#This Row],[PID]],DraftResults[[#All],[Player ID]],0)),"")</f>
        <v>Florida Farstriders</v>
      </c>
      <c r="AC80" s="68">
        <f>IF(Table5[[#This Row],[Ovr]]="","",IF(Table5[[#This Row],[cmbList]]="","",Table5[[#This Row],[cmbList]]-Table5[[#This Row],[Ovr]]))</f>
        <v>-98</v>
      </c>
      <c r="AD80" s="74" t="str">
        <f>IF(ISERROR(VLOOKUP($AB80&amp;"-"&amp;$E80&amp;" "&amp;F80,Bonuses!$B$1:$G$1006,4,FALSE)),"",INT(VLOOKUP($AB80&amp;"-"&amp;$E80&amp;" "&amp;$F80,Bonuses!$B$1:$G$1006,4,FALSE)))</f>
        <v/>
      </c>
      <c r="AE80" s="68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6.7 (176) - C Matt Markle</v>
      </c>
    </row>
    <row r="81" spans="1:31" s="50" customFormat="1" x14ac:dyDescent="0.3">
      <c r="A81" s="67">
        <v>20535</v>
      </c>
      <c r="B81" s="68">
        <f>COUNTIF(Table5[PID],A81)</f>
        <v>1</v>
      </c>
      <c r="C81" s="68" t="str">
        <f>IF(COUNTIF(Table3[[#All],[PID]],A81)&gt;0,"P","B")</f>
        <v>P</v>
      </c>
      <c r="D81" s="59" t="str">
        <f>IF($C81="B",INDEX(Batters[[#All],[POS]],MATCH(Table5[[#This Row],[PID]],Batters[[#All],[PID]],0)),INDEX(Table3[[#All],[POS]],MATCH(Table5[[#This Row],[PID]],Table3[[#All],[PID]],0)))</f>
        <v>SP</v>
      </c>
      <c r="E81" s="52" t="str">
        <f>IF($C81="B",INDEX(Batters[[#All],[First]],MATCH(Table5[[#This Row],[PID]],Batters[[#All],[PID]],0)),INDEX(Table3[[#All],[First]],MATCH(Table5[[#This Row],[PID]],Table3[[#All],[PID]],0)))</f>
        <v>Edwin</v>
      </c>
      <c r="F81" s="55" t="str">
        <f>IF($C81="B",INDEX(Batters[[#All],[Last]],MATCH(A81,Batters[[#All],[PID]],0)),INDEX(Table3[[#All],[Last]],MATCH(A81,Table3[[#All],[PID]],0)))</f>
        <v>Nunn</v>
      </c>
      <c r="G81" s="56">
        <f>IF($C81="B",INDEX(Batters[[#All],[Age]],MATCH(Table5[[#This Row],[PID]],Batters[[#All],[PID]],0)),INDEX(Table3[[#All],[Age]],MATCH(Table5[[#This Row],[PID]],Table3[[#All],[PID]],0)))</f>
        <v>17</v>
      </c>
      <c r="H81" s="52" t="str">
        <f>IF($C81="B",INDEX(Batters[[#All],[B]],MATCH(Table5[[#This Row],[PID]],Batters[[#All],[PID]],0)),INDEX(Table3[[#All],[B]],MATCH(Table5[[#This Row],[PID]],Table3[[#All],[PID]],0)))</f>
        <v>R</v>
      </c>
      <c r="I81" s="52" t="str">
        <f>IF($C81="B",INDEX(Batters[[#All],[T]],MATCH(Table5[[#This Row],[PID]],Batters[[#All],[PID]],0)),INDEX(Table3[[#All],[T]],MATCH(Table5[[#This Row],[PID]],Table3[[#All],[PID]],0)))</f>
        <v>R</v>
      </c>
      <c r="J81" s="69" t="str">
        <f>IF($C81="B",INDEX(Batters[[#All],[WE]],MATCH(Table5[[#This Row],[PID]],Batters[[#All],[PID]],0)),INDEX(Table3[[#All],[WE]],MATCH(Table5[[#This Row],[PID]],Table3[[#All],[PID]],0)))</f>
        <v>Normal</v>
      </c>
      <c r="K81" s="52" t="str">
        <f>IF($C81="B",INDEX(Batters[[#All],[INT]],MATCH(Table5[[#This Row],[PID]],Batters[[#All],[PID]],0)),INDEX(Table3[[#All],[INT]],MATCH(Table5[[#This Row],[PID]],Table3[[#All],[PID]],0)))</f>
        <v>Normal</v>
      </c>
      <c r="L81" s="60">
        <f>IF($C81="B",INDEX(Batters[[#All],[CON P]],MATCH(Table5[[#This Row],[PID]],Batters[[#All],[PID]],0)),INDEX(Table3[[#All],[STU P]],MATCH(Table5[[#This Row],[PID]],Table3[[#All],[PID]],0)))</f>
        <v>6</v>
      </c>
      <c r="M81" s="70">
        <f>IF($C81="B",INDEX(Batters[[#All],[GAP P]],MATCH(Table5[[#This Row],[PID]],Batters[[#All],[PID]],0)),INDEX(Table3[[#All],[MOV P]],MATCH(Table5[[#This Row],[PID]],Table3[[#All],[PID]],0)))</f>
        <v>4</v>
      </c>
      <c r="N81" s="70">
        <f>IF($C81="B",INDEX(Batters[[#All],[POW P]],MATCH(Table5[[#This Row],[PID]],Batters[[#All],[PID]],0)),INDEX(Table3[[#All],[CON P]],MATCH(Table5[[#This Row],[PID]],Table3[[#All],[PID]],0)))</f>
        <v>6</v>
      </c>
      <c r="O81" s="70" t="str">
        <f>IF($C81="B",INDEX(Batters[[#All],[EYE P]],MATCH(Table5[[#This Row],[PID]],Batters[[#All],[PID]],0)),INDEX(Table3[[#All],[VELO]],MATCH(Table5[[#This Row],[PID]],Table3[[#All],[PID]],0)))</f>
        <v>96-98 Mph</v>
      </c>
      <c r="P81" s="56">
        <f>IF($C81="B",INDEX(Batters[[#All],[K P]],MATCH(Table5[[#This Row],[PID]],Batters[[#All],[PID]],0)),INDEX(Table3[[#All],[STM]],MATCH(Table5[[#This Row],[PID]],Table3[[#All],[PID]],0)))</f>
        <v>9</v>
      </c>
      <c r="Q81" s="61">
        <f>IF($C81="B",INDEX(Batters[[#All],[Tot]],MATCH(Table5[[#This Row],[PID]],Batters[[#All],[PID]],0)),INDEX(Table3[[#All],[Tot]],MATCH(Table5[[#This Row],[PID]],Table3[[#All],[PID]],0)))</f>
        <v>61.205828695782309</v>
      </c>
      <c r="R81" s="52">
        <f>IF($C81="B",INDEX(Batters[[#All],[zScore]],MATCH(Table5[[#This Row],[PID]],Batters[[#All],[PID]],0)),INDEX(Table3[[#All],[zScore]],MATCH(Table5[[#This Row],[PID]],Table3[[#All],[PID]],0)))</f>
        <v>1.6664757147686113</v>
      </c>
      <c r="S81" s="75" t="str">
        <f>IF($C81="B",INDEX(Batters[[#All],[DEM]],MATCH(Table5[[#This Row],[PID]],Batters[[#All],[PID]],0)),INDEX(Table3[[#All],[DEM]],MATCH(Table5[[#This Row],[PID]],Table3[[#All],[PID]],0)))</f>
        <v>$330k</v>
      </c>
      <c r="T81" s="72">
        <f>IF($C81="B",INDEX(Batters[[#All],[Rnk]],MATCH(Table5[[#This Row],[PID]],Batters[[#All],[PID]],0)),INDEX(Table3[[#All],[Rnk]],MATCH(Table5[[#This Row],[PID]],Table3[[#All],[PID]],0)))</f>
        <v>27</v>
      </c>
      <c r="U81" s="67">
        <f>IF($C81="B",VLOOKUP($A81,Bat!$A$4:$BA$1314,47,FALSE),VLOOKUP($A81,Pit!$A$4:$BF$1214,56,FALSE))</f>
        <v>39</v>
      </c>
      <c r="V81" s="50">
        <f>IF($C81="B",VLOOKUP($A81,Bat!$A$4:$BA$1314,48,FALSE),VLOOKUP($A81,Pit!$A$4:$BF$1214,57,FALSE))</f>
        <v>0</v>
      </c>
      <c r="W81" s="50">
        <v>79</v>
      </c>
      <c r="X81" s="71">
        <f>RANK(Table5[[#This Row],[zScore]],Table5[[#All],[zScore]])</f>
        <v>63</v>
      </c>
      <c r="Y81" s="68">
        <f>IFERROR(INDEX(DraftResults[[#All],[OVR]],MATCH(Table5[[#This Row],[PID]],DraftResults[[#All],[Player ID]],0)),"")</f>
        <v>110</v>
      </c>
      <c r="Z81" s="7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4</v>
      </c>
      <c r="AA81" s="68">
        <f>IFERROR(INDEX(DraftResults[[#All],[Pick in Round]],MATCH(Table5[[#This Row],[PID]],DraftResults[[#All],[Player ID]],0)),"")</f>
        <v>5</v>
      </c>
      <c r="AB81" s="68" t="str">
        <f>IFERROR(INDEX(DraftResults[[#All],[Team Name]],MATCH(Table5[[#This Row],[PID]],DraftResults[[#All],[Player ID]],0)),"")</f>
        <v>Tempe Knights</v>
      </c>
      <c r="AC81" s="68">
        <f>IF(Table5[[#This Row],[Ovr]]="","",IF(Table5[[#This Row],[cmbList]]="","",Table5[[#This Row],[cmbList]]-Table5[[#This Row],[Ovr]]))</f>
        <v>-31</v>
      </c>
      <c r="AD81" s="74" t="str">
        <f>IF(ISERROR(VLOOKUP($AB81&amp;"-"&amp;$E81&amp;" "&amp;F81,Bonuses!$B$1:$G$1006,4,FALSE)),"",INT(VLOOKUP($AB81&amp;"-"&amp;$E81&amp;" "&amp;$F81,Bonuses!$B$1:$G$1006,4,FALSE)))</f>
        <v/>
      </c>
      <c r="AE81" s="68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4.5 (110) - SP Edwin Nunn</v>
      </c>
    </row>
    <row r="82" spans="1:31" s="50" customFormat="1" x14ac:dyDescent="0.3">
      <c r="A82" s="50">
        <v>11752</v>
      </c>
      <c r="B82" s="50">
        <f>COUNTIF(Table5[PID],A82)</f>
        <v>1</v>
      </c>
      <c r="C82" s="50" t="str">
        <f>IF(COUNTIF(Table3[[#All],[PID]],A82)&gt;0,"P","B")</f>
        <v>B</v>
      </c>
      <c r="D82" s="59" t="str">
        <f>IF($C82="B",INDEX(Batters[[#All],[POS]],MATCH(Table5[[#This Row],[PID]],Batters[[#All],[PID]],0)),INDEX(Table3[[#All],[POS]],MATCH(Table5[[#This Row],[PID]],Table3[[#All],[PID]],0)))</f>
        <v>C</v>
      </c>
      <c r="E82" s="52" t="str">
        <f>IF($C82="B",INDEX(Batters[[#All],[First]],MATCH(Table5[[#This Row],[PID]],Batters[[#All],[PID]],0)),INDEX(Table3[[#All],[First]],MATCH(Table5[[#This Row],[PID]],Table3[[#All],[PID]],0)))</f>
        <v>Frank</v>
      </c>
      <c r="F82" s="50" t="str">
        <f>IF($C82="B",INDEX(Batters[[#All],[Last]],MATCH(A82,Batters[[#All],[PID]],0)),INDEX(Table3[[#All],[Last]],MATCH(A82,Table3[[#All],[PID]],0)))</f>
        <v>Walker</v>
      </c>
      <c r="G82" s="56">
        <f>IF($C82="B",INDEX(Batters[[#All],[Age]],MATCH(Table5[[#This Row],[PID]],Batters[[#All],[PID]],0)),INDEX(Table3[[#All],[Age]],MATCH(Table5[[#This Row],[PID]],Table3[[#All],[PID]],0)))</f>
        <v>17</v>
      </c>
      <c r="H82" s="52" t="str">
        <f>IF($C82="B",INDEX(Batters[[#All],[B]],MATCH(Table5[[#This Row],[PID]],Batters[[#All],[PID]],0)),INDEX(Table3[[#All],[B]],MATCH(Table5[[#This Row],[PID]],Table3[[#All],[PID]],0)))</f>
        <v>R</v>
      </c>
      <c r="I82" s="52" t="str">
        <f>IF($C82="B",INDEX(Batters[[#All],[T]],MATCH(Table5[[#This Row],[PID]],Batters[[#All],[PID]],0)),INDEX(Table3[[#All],[T]],MATCH(Table5[[#This Row],[PID]],Table3[[#All],[PID]],0)))</f>
        <v>R</v>
      </c>
      <c r="J82" s="52" t="str">
        <f>IF($C82="B",INDEX(Batters[[#All],[WE]],MATCH(Table5[[#This Row],[PID]],Batters[[#All],[PID]],0)),INDEX(Table3[[#All],[WE]],MATCH(Table5[[#This Row],[PID]],Table3[[#All],[PID]],0)))</f>
        <v>Normal</v>
      </c>
      <c r="K82" s="52" t="str">
        <f>IF($C82="B",INDEX(Batters[[#All],[INT]],MATCH(Table5[[#This Row],[PID]],Batters[[#All],[PID]],0)),INDEX(Table3[[#All],[INT]],MATCH(Table5[[#This Row],[PID]],Table3[[#All],[PID]],0)))</f>
        <v>Normal</v>
      </c>
      <c r="L82" s="60">
        <f>IF($C82="B",INDEX(Batters[[#All],[CON P]],MATCH(Table5[[#This Row],[PID]],Batters[[#All],[PID]],0)),INDEX(Table3[[#All],[STU P]],MATCH(Table5[[#This Row],[PID]],Table3[[#All],[PID]],0)))</f>
        <v>4</v>
      </c>
      <c r="M82" s="56">
        <f>IF($C82="B",INDEX(Batters[[#All],[GAP P]],MATCH(Table5[[#This Row],[PID]],Batters[[#All],[PID]],0)),INDEX(Table3[[#All],[MOV P]],MATCH(Table5[[#This Row],[PID]],Table3[[#All],[PID]],0)))</f>
        <v>6</v>
      </c>
      <c r="N82" s="56">
        <f>IF($C82="B",INDEX(Batters[[#All],[POW P]],MATCH(Table5[[#This Row],[PID]],Batters[[#All],[PID]],0)),INDEX(Table3[[#All],[CON P]],MATCH(Table5[[#This Row],[PID]],Table3[[#All],[PID]],0)))</f>
        <v>5</v>
      </c>
      <c r="O82" s="56">
        <f>IF($C82="B",INDEX(Batters[[#All],[EYE P]],MATCH(Table5[[#This Row],[PID]],Batters[[#All],[PID]],0)),INDEX(Table3[[#All],[VELO]],MATCH(Table5[[#This Row],[PID]],Table3[[#All],[PID]],0)))</f>
        <v>5</v>
      </c>
      <c r="P82" s="56">
        <f>IF($C82="B",INDEX(Batters[[#All],[K P]],MATCH(Table5[[#This Row],[PID]],Batters[[#All],[PID]],0)),INDEX(Table3[[#All],[STM]],MATCH(Table5[[#This Row],[PID]],Table3[[#All],[PID]],0)))</f>
        <v>5</v>
      </c>
      <c r="Q82" s="61">
        <f>IF($C82="B",INDEX(Batters[[#All],[Tot]],MATCH(Table5[[#This Row],[PID]],Batters[[#All],[PID]],0)),INDEX(Table3[[#All],[Tot]],MATCH(Table5[[#This Row],[PID]],Table3[[#All],[PID]],0)))</f>
        <v>49.563745624005108</v>
      </c>
      <c r="R82" s="52">
        <f>IF($C82="B",INDEX(Batters[[#All],[zScore]],MATCH(Table5[[#This Row],[PID]],Batters[[#All],[PID]],0)),INDEX(Table3[[#All],[zScore]],MATCH(Table5[[#This Row],[PID]],Table3[[#All],[PID]],0)))</f>
        <v>0.92620488714809546</v>
      </c>
      <c r="S82" s="58" t="str">
        <f>IF($C82="B",INDEX(Batters[[#All],[DEM]],MATCH(Table5[[#This Row],[PID]],Batters[[#All],[PID]],0)),INDEX(Table3[[#All],[DEM]],MATCH(Table5[[#This Row],[PID]],Table3[[#All],[PID]],0)))</f>
        <v>$850k</v>
      </c>
      <c r="T82" s="62">
        <f>IF($C82="B",INDEX(Batters[[#All],[Rnk]],MATCH(Table5[[#This Row],[PID]],Batters[[#All],[PID]],0)),INDEX(Table3[[#All],[Rnk]],MATCH(Table5[[#This Row],[PID]],Table3[[#All],[PID]],0)))</f>
        <v>4</v>
      </c>
      <c r="U82" s="67">
        <f>IF($C82="B",VLOOKUP($A82,Bat!$A$4:$BA$1314,47,FALSE),VLOOKUP($A82,Pit!$A$4:$BF$1214,56,FALSE))</f>
        <v>40</v>
      </c>
      <c r="V82" s="50">
        <f>IF($C82="B",VLOOKUP($A82,Bat!$A$4:$BA$1314,48,FALSE),VLOOKUP($A82,Pit!$A$4:$BF$1214,57,FALSE))</f>
        <v>40</v>
      </c>
      <c r="W82" s="68">
        <v>80</v>
      </c>
      <c r="X82" s="51">
        <f>RANK(Table5[[#This Row],[zScore]],Table5[[#All],[zScore]])</f>
        <v>154</v>
      </c>
      <c r="Y82" s="50">
        <f>IFERROR(INDEX(DraftResults[[#All],[OVR]],MATCH(Table5[[#This Row],[PID]],DraftResults[[#All],[Player ID]],0)),"")</f>
        <v>74</v>
      </c>
      <c r="Z82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3</v>
      </c>
      <c r="AA82" s="50">
        <f>IFERROR(INDEX(DraftResults[[#All],[Pick in Round]],MATCH(Table5[[#This Row],[PID]],DraftResults[[#All],[Player ID]],0)),"")</f>
        <v>2</v>
      </c>
      <c r="AB82" s="50" t="str">
        <f>IFERROR(INDEX(DraftResults[[#All],[Team Name]],MATCH(Table5[[#This Row],[PID]],DraftResults[[#All],[Player ID]],0)),"")</f>
        <v>Charleston Statesmen</v>
      </c>
      <c r="AC82" s="50">
        <f>IF(Table5[[#This Row],[Ovr]]="","",IF(Table5[[#This Row],[cmbList]]="","",Table5[[#This Row],[cmbList]]-Table5[[#This Row],[Ovr]]))</f>
        <v>6</v>
      </c>
      <c r="AD82" s="54" t="str">
        <f>IF(ISERROR(VLOOKUP($AB82&amp;"-"&amp;$E82&amp;" "&amp;F82,Bonuses!$B$1:$G$1006,4,FALSE)),"",INT(VLOOKUP($AB82&amp;"-"&amp;$E82&amp;" "&amp;$F82,Bonuses!$B$1:$G$1006,4,FALSE)))</f>
        <v/>
      </c>
      <c r="AE82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3.2 (74) - C Frank Walker</v>
      </c>
    </row>
    <row r="83" spans="1:31" s="50" customFormat="1" x14ac:dyDescent="0.3">
      <c r="A83" s="50">
        <v>20219</v>
      </c>
      <c r="B83" s="50">
        <f>COUNTIF(Table5[PID],A83)</f>
        <v>1</v>
      </c>
      <c r="C83" s="50" t="str">
        <f>IF(COUNTIF(Table3[[#All],[PID]],A83)&gt;0,"P","B")</f>
        <v>P</v>
      </c>
      <c r="D83" s="59" t="str">
        <f>IF($C83="B",INDEX(Batters[[#All],[POS]],MATCH(Table5[[#This Row],[PID]],Batters[[#All],[PID]],0)),INDEX(Table3[[#All],[POS]],MATCH(Table5[[#This Row],[PID]],Table3[[#All],[PID]],0)))</f>
        <v>CL</v>
      </c>
      <c r="E83" s="52" t="str">
        <f>IF($C83="B",INDEX(Batters[[#All],[First]],MATCH(Table5[[#This Row],[PID]],Batters[[#All],[PID]],0)),INDEX(Table3[[#All],[First]],MATCH(Table5[[#This Row],[PID]],Table3[[#All],[PID]],0)))</f>
        <v>Troy</v>
      </c>
      <c r="F83" s="50" t="str">
        <f>IF($C83="B",INDEX(Batters[[#All],[Last]],MATCH(A83,Batters[[#All],[PID]],0)),INDEX(Table3[[#All],[Last]],MATCH(A83,Table3[[#All],[PID]],0)))</f>
        <v>Sheppard</v>
      </c>
      <c r="G83" s="56">
        <f>IF($C83="B",INDEX(Batters[[#All],[Age]],MATCH(Table5[[#This Row],[PID]],Batters[[#All],[PID]],0)),INDEX(Table3[[#All],[Age]],MATCH(Table5[[#This Row],[PID]],Table3[[#All],[PID]],0)))</f>
        <v>21</v>
      </c>
      <c r="H83" s="52" t="str">
        <f>IF($C83="B",INDEX(Batters[[#All],[B]],MATCH(Table5[[#This Row],[PID]],Batters[[#All],[PID]],0)),INDEX(Table3[[#All],[B]],MATCH(Table5[[#This Row],[PID]],Table3[[#All],[PID]],0)))</f>
        <v>R</v>
      </c>
      <c r="I83" s="52" t="str">
        <f>IF($C83="B",INDEX(Batters[[#All],[T]],MATCH(Table5[[#This Row],[PID]],Batters[[#All],[PID]],0)),INDEX(Table3[[#All],[T]],MATCH(Table5[[#This Row],[PID]],Table3[[#All],[PID]],0)))</f>
        <v>R</v>
      </c>
      <c r="J83" s="52" t="str">
        <f>IF($C83="B",INDEX(Batters[[#All],[WE]],MATCH(Table5[[#This Row],[PID]],Batters[[#All],[PID]],0)),INDEX(Table3[[#All],[WE]],MATCH(Table5[[#This Row],[PID]],Table3[[#All],[PID]],0)))</f>
        <v>High</v>
      </c>
      <c r="K83" s="52" t="str">
        <f>IF($C83="B",INDEX(Batters[[#All],[INT]],MATCH(Table5[[#This Row],[PID]],Batters[[#All],[PID]],0)),INDEX(Table3[[#All],[INT]],MATCH(Table5[[#This Row],[PID]],Table3[[#All],[PID]],0)))</f>
        <v>Low</v>
      </c>
      <c r="L83" s="60">
        <f>IF($C83="B",INDEX(Batters[[#All],[CON P]],MATCH(Table5[[#This Row],[PID]],Batters[[#All],[PID]],0)),INDEX(Table3[[#All],[STU P]],MATCH(Table5[[#This Row],[PID]],Table3[[#All],[PID]],0)))</f>
        <v>5</v>
      </c>
      <c r="M83" s="56">
        <f>IF($C83="B",INDEX(Batters[[#All],[GAP P]],MATCH(Table5[[#This Row],[PID]],Batters[[#All],[PID]],0)),INDEX(Table3[[#All],[MOV P]],MATCH(Table5[[#This Row],[PID]],Table3[[#All],[PID]],0)))</f>
        <v>7</v>
      </c>
      <c r="N83" s="56">
        <f>IF($C83="B",INDEX(Batters[[#All],[POW P]],MATCH(Table5[[#This Row],[PID]],Batters[[#All],[PID]],0)),INDEX(Table3[[#All],[CON P]],MATCH(Table5[[#This Row],[PID]],Table3[[#All],[PID]],0)))</f>
        <v>5</v>
      </c>
      <c r="O83" s="56" t="str">
        <f>IF($C83="B",INDEX(Batters[[#All],[EYE P]],MATCH(Table5[[#This Row],[PID]],Batters[[#All],[PID]],0)),INDEX(Table3[[#All],[VELO]],MATCH(Table5[[#This Row],[PID]],Table3[[#All],[PID]],0)))</f>
        <v>91-93 Mph</v>
      </c>
      <c r="P83" s="56">
        <f>IF($C83="B",INDEX(Batters[[#All],[K P]],MATCH(Table5[[#This Row],[PID]],Batters[[#All],[PID]],0)),INDEX(Table3[[#All],[STM]],MATCH(Table5[[#This Row],[PID]],Table3[[#All],[PID]],0)))</f>
        <v>3</v>
      </c>
      <c r="Q83" s="61">
        <f>IF($C83="B",INDEX(Batters[[#All],[Tot]],MATCH(Table5[[#This Row],[PID]],Batters[[#All],[PID]],0)),INDEX(Table3[[#All],[Tot]],MATCH(Table5[[#This Row],[PID]],Table3[[#All],[PID]],0)))</f>
        <v>55.800529949228263</v>
      </c>
      <c r="R83" s="52">
        <f>IF($C83="B",INDEX(Batters[[#All],[zScore]],MATCH(Table5[[#This Row],[PID]],Batters[[#All],[PID]],0)),INDEX(Table3[[#All],[zScore]],MATCH(Table5[[#This Row],[PID]],Table3[[#All],[PID]],0)))</f>
        <v>1.2815804292344839</v>
      </c>
      <c r="S83" s="58" t="str">
        <f>IF($C83="B",INDEX(Batters[[#All],[DEM]],MATCH(Table5[[#This Row],[PID]],Batters[[#All],[PID]],0)),INDEX(Table3[[#All],[DEM]],MATCH(Table5[[#This Row],[PID]],Table3[[#All],[PID]],0)))</f>
        <v>$110k</v>
      </c>
      <c r="T83" s="62">
        <f>IF($C83="B",INDEX(Batters[[#All],[Rnk]],MATCH(Table5[[#This Row],[PID]],Batters[[#All],[PID]],0)),INDEX(Table3[[#All],[Rnk]],MATCH(Table5[[#This Row],[PID]],Table3[[#All],[PID]],0)))</f>
        <v>14</v>
      </c>
      <c r="U83" s="67">
        <f>IF($C83="B",VLOOKUP($A83,Bat!$A$4:$BA$1314,47,FALSE),VLOOKUP($A83,Pit!$A$4:$BF$1214,56,FALSE))</f>
        <v>40</v>
      </c>
      <c r="V83" s="50">
        <f>IF($C83="B",VLOOKUP($A83,Bat!$A$4:$BA$1314,48,FALSE),VLOOKUP($A83,Pit!$A$4:$BF$1214,57,FALSE))</f>
        <v>0</v>
      </c>
      <c r="W83" s="50">
        <v>81</v>
      </c>
      <c r="X83" s="51">
        <f>RANK(Table5[[#This Row],[zScore]],Table5[[#All],[zScore]])</f>
        <v>101</v>
      </c>
      <c r="Y83" s="50">
        <f>IFERROR(INDEX(DraftResults[[#All],[OVR]],MATCH(Table5[[#This Row],[PID]],DraftResults[[#All],[Player ID]],0)),"")</f>
        <v>152</v>
      </c>
      <c r="Z83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5</v>
      </c>
      <c r="AA83" s="50">
        <f>IFERROR(INDEX(DraftResults[[#All],[Pick in Round]],MATCH(Table5[[#This Row],[PID]],DraftResults[[#All],[Player ID]],0)),"")</f>
        <v>15</v>
      </c>
      <c r="AB83" s="50" t="str">
        <f>IFERROR(INDEX(DraftResults[[#All],[Team Name]],MATCH(Table5[[#This Row],[PID]],DraftResults[[#All],[Player ID]],0)),"")</f>
        <v>London Underground</v>
      </c>
      <c r="AC83" s="50">
        <f>IF(Table5[[#This Row],[Ovr]]="","",IF(Table5[[#This Row],[cmbList]]="","",Table5[[#This Row],[cmbList]]-Table5[[#This Row],[Ovr]]))</f>
        <v>-71</v>
      </c>
      <c r="AD83" s="54" t="str">
        <f>IF(ISERROR(VLOOKUP($AB83&amp;"-"&amp;$E83&amp;" "&amp;F83,Bonuses!$B$1:$G$1006,4,FALSE)),"",INT(VLOOKUP($AB83&amp;"-"&amp;$E83&amp;" "&amp;$F83,Bonuses!$B$1:$G$1006,4,FALSE)))</f>
        <v/>
      </c>
      <c r="AE83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5.15 (152) - CL Troy Sheppard</v>
      </c>
    </row>
    <row r="84" spans="1:31" s="50" customFormat="1" x14ac:dyDescent="0.3">
      <c r="A84" s="50">
        <v>10557</v>
      </c>
      <c r="B84" s="50">
        <f>COUNTIF(Table5[PID],A84)</f>
        <v>1</v>
      </c>
      <c r="C84" s="50" t="str">
        <f>IF(COUNTIF(Table3[[#All],[PID]],A84)&gt;0,"P","B")</f>
        <v>B</v>
      </c>
      <c r="D84" s="59" t="str">
        <f>IF($C84="B",INDEX(Batters[[#All],[POS]],MATCH(Table5[[#This Row],[PID]],Batters[[#All],[PID]],0)),INDEX(Table3[[#All],[POS]],MATCH(Table5[[#This Row],[PID]],Table3[[#All],[PID]],0)))</f>
        <v>C</v>
      </c>
      <c r="E84" s="52" t="str">
        <f>IF($C84="B",INDEX(Batters[[#All],[First]],MATCH(Table5[[#This Row],[PID]],Batters[[#All],[PID]],0)),INDEX(Table3[[#All],[First]],MATCH(Table5[[#This Row],[PID]],Table3[[#All],[PID]],0)))</f>
        <v>Brian</v>
      </c>
      <c r="F84" s="50" t="str">
        <f>IF($C84="B",INDEX(Batters[[#All],[Last]],MATCH(A84,Batters[[#All],[PID]],0)),INDEX(Table3[[#All],[Last]],MATCH(A84,Table3[[#All],[PID]],0)))</f>
        <v>Phipps</v>
      </c>
      <c r="G84" s="56">
        <f>IF($C84="B",INDEX(Batters[[#All],[Age]],MATCH(Table5[[#This Row],[PID]],Batters[[#All],[PID]],0)),INDEX(Table3[[#All],[Age]],MATCH(Table5[[#This Row],[PID]],Table3[[#All],[PID]],0)))</f>
        <v>17</v>
      </c>
      <c r="H84" s="52" t="str">
        <f>IF($C84="B",INDEX(Batters[[#All],[B]],MATCH(Table5[[#This Row],[PID]],Batters[[#All],[PID]],0)),INDEX(Table3[[#All],[B]],MATCH(Table5[[#This Row],[PID]],Table3[[#All],[PID]],0)))</f>
        <v>S</v>
      </c>
      <c r="I84" s="52" t="str">
        <f>IF($C84="B",INDEX(Batters[[#All],[T]],MATCH(Table5[[#This Row],[PID]],Batters[[#All],[PID]],0)),INDEX(Table3[[#All],[T]],MATCH(Table5[[#This Row],[PID]],Table3[[#All],[PID]],0)))</f>
        <v>R</v>
      </c>
      <c r="J84" s="52" t="str">
        <f>IF($C84="B",INDEX(Batters[[#All],[WE]],MATCH(Table5[[#This Row],[PID]],Batters[[#All],[PID]],0)),INDEX(Table3[[#All],[WE]],MATCH(Table5[[#This Row],[PID]],Table3[[#All],[PID]],0)))</f>
        <v>Normal</v>
      </c>
      <c r="K84" s="52" t="str">
        <f>IF($C84="B",INDEX(Batters[[#All],[INT]],MATCH(Table5[[#This Row],[PID]],Batters[[#All],[PID]],0)),INDEX(Table3[[#All],[INT]],MATCH(Table5[[#This Row],[PID]],Table3[[#All],[PID]],0)))</f>
        <v>Normal</v>
      </c>
      <c r="L84" s="60">
        <f>IF($C84="B",INDEX(Batters[[#All],[CON P]],MATCH(Table5[[#This Row],[PID]],Batters[[#All],[PID]],0)),INDEX(Table3[[#All],[STU P]],MATCH(Table5[[#This Row],[PID]],Table3[[#All],[PID]],0)))</f>
        <v>5</v>
      </c>
      <c r="M84" s="56">
        <f>IF($C84="B",INDEX(Batters[[#All],[GAP P]],MATCH(Table5[[#This Row],[PID]],Batters[[#All],[PID]],0)),INDEX(Table3[[#All],[MOV P]],MATCH(Table5[[#This Row],[PID]],Table3[[#All],[PID]],0)))</f>
        <v>6</v>
      </c>
      <c r="N84" s="56">
        <f>IF($C84="B",INDEX(Batters[[#All],[POW P]],MATCH(Table5[[#This Row],[PID]],Batters[[#All],[PID]],0)),INDEX(Table3[[#All],[CON P]],MATCH(Table5[[#This Row],[PID]],Table3[[#All],[PID]],0)))</f>
        <v>3</v>
      </c>
      <c r="O84" s="56">
        <f>IF($C84="B",INDEX(Batters[[#All],[EYE P]],MATCH(Table5[[#This Row],[PID]],Batters[[#All],[PID]],0)),INDEX(Table3[[#All],[VELO]],MATCH(Table5[[#This Row],[PID]],Table3[[#All],[PID]],0)))</f>
        <v>1</v>
      </c>
      <c r="P84" s="56">
        <f>IF($C84="B",INDEX(Batters[[#All],[K P]],MATCH(Table5[[#This Row],[PID]],Batters[[#All],[PID]],0)),INDEX(Table3[[#All],[STM]],MATCH(Table5[[#This Row],[PID]],Table3[[#All],[PID]],0)))</f>
        <v>9</v>
      </c>
      <c r="Q84" s="61">
        <f>IF($C84="B",INDEX(Batters[[#All],[Tot]],MATCH(Table5[[#This Row],[PID]],Batters[[#All],[PID]],0)),INDEX(Table3[[#All],[Tot]],MATCH(Table5[[#This Row],[PID]],Table3[[#All],[PID]],0)))</f>
        <v>50.331544739805565</v>
      </c>
      <c r="R84" s="52">
        <f>IF($C84="B",INDEX(Batters[[#All],[zScore]],MATCH(Table5[[#This Row],[PID]],Batters[[#All],[PID]],0)),INDEX(Table3[[#All],[zScore]],MATCH(Table5[[#This Row],[PID]],Table3[[#All],[PID]],0)))</f>
        <v>1.0382790726702429</v>
      </c>
      <c r="S84" s="58" t="str">
        <f>IF($C84="B",INDEX(Batters[[#All],[DEM]],MATCH(Table5[[#This Row],[PID]],Batters[[#All],[PID]],0)),INDEX(Table3[[#All],[DEM]],MATCH(Table5[[#This Row],[PID]],Table3[[#All],[PID]],0)))</f>
        <v>$480k</v>
      </c>
      <c r="T84" s="62">
        <f>IF($C84="B",INDEX(Batters[[#All],[Rnk]],MATCH(Table5[[#This Row],[PID]],Batters[[#All],[PID]],0)),INDEX(Table3[[#All],[Rnk]],MATCH(Table5[[#This Row],[PID]],Table3[[#All],[PID]],0)))</f>
        <v>5</v>
      </c>
      <c r="U84" s="67">
        <f>IF($C84="B",VLOOKUP($A84,Bat!$A$4:$BA$1314,47,FALSE),VLOOKUP($A84,Pit!$A$4:$BF$1214,56,FALSE))</f>
        <v>41</v>
      </c>
      <c r="V84" s="50">
        <f>IF($C84="B",VLOOKUP($A84,Bat!$A$4:$BA$1314,48,FALSE),VLOOKUP($A84,Pit!$A$4:$BF$1214,57,FALSE))</f>
        <v>41</v>
      </c>
      <c r="W84" s="68">
        <v>82</v>
      </c>
      <c r="X84" s="51">
        <f>RANK(Table5[[#This Row],[zScore]],Table5[[#All],[zScore]])</f>
        <v>140</v>
      </c>
      <c r="Y84" s="50">
        <f>IFERROR(INDEX(DraftResults[[#All],[OVR]],MATCH(Table5[[#This Row],[PID]],DraftResults[[#All],[Player ID]],0)),"")</f>
        <v>88</v>
      </c>
      <c r="Z84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3</v>
      </c>
      <c r="AA84" s="50">
        <f>IFERROR(INDEX(DraftResults[[#All],[Pick in Round]],MATCH(Table5[[#This Row],[PID]],DraftResults[[#All],[Player ID]],0)),"")</f>
        <v>16</v>
      </c>
      <c r="AB84" s="50" t="str">
        <f>IFERROR(INDEX(DraftResults[[#All],[Team Name]],MATCH(Table5[[#This Row],[PID]],DraftResults[[#All],[Player ID]],0)),"")</f>
        <v>Niihama-shi Ghosts</v>
      </c>
      <c r="AC84" s="50">
        <f>IF(Table5[[#This Row],[Ovr]]="","",IF(Table5[[#This Row],[cmbList]]="","",Table5[[#This Row],[cmbList]]-Table5[[#This Row],[Ovr]]))</f>
        <v>-6</v>
      </c>
      <c r="AD84" s="54" t="str">
        <f>IF(ISERROR(VLOOKUP($AB84&amp;"-"&amp;$E84&amp;" "&amp;F84,Bonuses!$B$1:$G$1006,4,FALSE)),"",INT(VLOOKUP($AB84&amp;"-"&amp;$E84&amp;" "&amp;$F84,Bonuses!$B$1:$G$1006,4,FALSE)))</f>
        <v/>
      </c>
      <c r="AE84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3.16 (88) - C Brian Phipps</v>
      </c>
    </row>
    <row r="85" spans="1:31" s="50" customFormat="1" x14ac:dyDescent="0.3">
      <c r="A85" s="67">
        <v>20517</v>
      </c>
      <c r="B85" s="68">
        <f>COUNTIF(Table5[PID],A85)</f>
        <v>1</v>
      </c>
      <c r="C85" s="68" t="str">
        <f>IF(COUNTIF(Table3[[#All],[PID]],A85)&gt;0,"P","B")</f>
        <v>B</v>
      </c>
      <c r="D85" s="59" t="str">
        <f>IF($C85="B",INDEX(Batters[[#All],[POS]],MATCH(Table5[[#This Row],[PID]],Batters[[#All],[PID]],0)),INDEX(Table3[[#All],[POS]],MATCH(Table5[[#This Row],[PID]],Table3[[#All],[PID]],0)))</f>
        <v>3B</v>
      </c>
      <c r="E85" s="52" t="str">
        <f>IF($C85="B",INDEX(Batters[[#All],[First]],MATCH(Table5[[#This Row],[PID]],Batters[[#All],[PID]],0)),INDEX(Table3[[#All],[First]],MATCH(Table5[[#This Row],[PID]],Table3[[#All],[PID]],0)))</f>
        <v>Amador</v>
      </c>
      <c r="F85" s="55" t="str">
        <f>IF($C85="B",INDEX(Batters[[#All],[Last]],MATCH(A85,Batters[[#All],[PID]],0)),INDEX(Table3[[#All],[Last]],MATCH(A85,Table3[[#All],[PID]],0)))</f>
        <v>Mahusay</v>
      </c>
      <c r="G85" s="56">
        <f>IF($C85="B",INDEX(Batters[[#All],[Age]],MATCH(Table5[[#This Row],[PID]],Batters[[#All],[PID]],0)),INDEX(Table3[[#All],[Age]],MATCH(Table5[[#This Row],[PID]],Table3[[#All],[PID]],0)))</f>
        <v>16</v>
      </c>
      <c r="H85" s="52" t="str">
        <f>IF($C85="B",INDEX(Batters[[#All],[B]],MATCH(Table5[[#This Row],[PID]],Batters[[#All],[PID]],0)),INDEX(Table3[[#All],[B]],MATCH(Table5[[#This Row],[PID]],Table3[[#All],[PID]],0)))</f>
        <v>R</v>
      </c>
      <c r="I85" s="52" t="str">
        <f>IF($C85="B",INDEX(Batters[[#All],[T]],MATCH(Table5[[#This Row],[PID]],Batters[[#All],[PID]],0)),INDEX(Table3[[#All],[T]],MATCH(Table5[[#This Row],[PID]],Table3[[#All],[PID]],0)))</f>
        <v>R</v>
      </c>
      <c r="J85" s="69" t="str">
        <f>IF($C85="B",INDEX(Batters[[#All],[WE]],MATCH(Table5[[#This Row],[PID]],Batters[[#All],[PID]],0)),INDEX(Table3[[#All],[WE]],MATCH(Table5[[#This Row],[PID]],Table3[[#All],[PID]],0)))</f>
        <v>High</v>
      </c>
      <c r="K85" s="52" t="str">
        <f>IF($C85="B",INDEX(Batters[[#All],[INT]],MATCH(Table5[[#This Row],[PID]],Batters[[#All],[PID]],0)),INDEX(Table3[[#All],[INT]],MATCH(Table5[[#This Row],[PID]],Table3[[#All],[PID]],0)))</f>
        <v>High</v>
      </c>
      <c r="L85" s="60">
        <f>IF($C85="B",INDEX(Batters[[#All],[CON P]],MATCH(Table5[[#This Row],[PID]],Batters[[#All],[PID]],0)),INDEX(Table3[[#All],[STU P]],MATCH(Table5[[#This Row],[PID]],Table3[[#All],[PID]],0)))</f>
        <v>4</v>
      </c>
      <c r="M85" s="70">
        <f>IF($C85="B",INDEX(Batters[[#All],[GAP P]],MATCH(Table5[[#This Row],[PID]],Batters[[#All],[PID]],0)),INDEX(Table3[[#All],[MOV P]],MATCH(Table5[[#This Row],[PID]],Table3[[#All],[PID]],0)))</f>
        <v>5</v>
      </c>
      <c r="N85" s="70">
        <f>IF($C85="B",INDEX(Batters[[#All],[POW P]],MATCH(Table5[[#This Row],[PID]],Batters[[#All],[PID]],0)),INDEX(Table3[[#All],[CON P]],MATCH(Table5[[#This Row],[PID]],Table3[[#All],[PID]],0)))</f>
        <v>5</v>
      </c>
      <c r="O85" s="70">
        <f>IF($C85="B",INDEX(Batters[[#All],[EYE P]],MATCH(Table5[[#This Row],[PID]],Batters[[#All],[PID]],0)),INDEX(Table3[[#All],[VELO]],MATCH(Table5[[#This Row],[PID]],Table3[[#All],[PID]],0)))</f>
        <v>5</v>
      </c>
      <c r="P85" s="56">
        <f>IF($C85="B",INDEX(Batters[[#All],[K P]],MATCH(Table5[[#This Row],[PID]],Batters[[#All],[PID]],0)),INDEX(Table3[[#All],[STM]],MATCH(Table5[[#This Row],[PID]],Table3[[#All],[PID]],0)))</f>
        <v>4</v>
      </c>
      <c r="Q85" s="61">
        <f>IF($C85="B",INDEX(Batters[[#All],[Tot]],MATCH(Table5[[#This Row],[PID]],Batters[[#All],[PID]],0)),INDEX(Table3[[#All],[Tot]],MATCH(Table5[[#This Row],[PID]],Table3[[#All],[PID]],0)))</f>
        <v>49.445694323833038</v>
      </c>
      <c r="R85" s="52">
        <f>IF($C85="B",INDEX(Batters[[#All],[zScore]],MATCH(Table5[[#This Row],[PID]],Batters[[#All],[PID]],0)),INDEX(Table3[[#All],[zScore]],MATCH(Table5[[#This Row],[PID]],Table3[[#All],[PID]],0)))</f>
        <v>0.90897316202058986</v>
      </c>
      <c r="S85" s="75" t="str">
        <f>IF($C85="B",INDEX(Batters[[#All],[DEM]],MATCH(Table5[[#This Row],[PID]],Batters[[#All],[PID]],0)),INDEX(Table3[[#All],[DEM]],MATCH(Table5[[#This Row],[PID]],Table3[[#All],[PID]],0)))</f>
        <v>$70k</v>
      </c>
      <c r="T85" s="72">
        <f>IF($C85="B",INDEX(Batters[[#All],[Rnk]],MATCH(Table5[[#This Row],[PID]],Batters[[#All],[PID]],0)),INDEX(Table3[[#All],[Rnk]],MATCH(Table5[[#This Row],[PID]],Table3[[#All],[PID]],0)))</f>
        <v>5</v>
      </c>
      <c r="U85" s="67">
        <f>IF($C85="B",VLOOKUP($A85,Bat!$A$4:$BA$1314,47,FALSE),VLOOKUP($A85,Pit!$A$4:$BF$1214,56,FALSE))</f>
        <v>42</v>
      </c>
      <c r="V85" s="50">
        <f>IF($C85="B",VLOOKUP($A85,Bat!$A$4:$BA$1314,48,FALSE),VLOOKUP($A85,Pit!$A$4:$BF$1214,57,FALSE))</f>
        <v>42</v>
      </c>
      <c r="W85" s="50">
        <v>83</v>
      </c>
      <c r="X85" s="71">
        <f>RANK(Table5[[#This Row],[zScore]],Table5[[#All],[zScore]])</f>
        <v>157</v>
      </c>
      <c r="Y85" s="68">
        <f>IFERROR(INDEX(DraftResults[[#All],[OVR]],MATCH(Table5[[#This Row],[PID]],DraftResults[[#All],[Player ID]],0)),"")</f>
        <v>229</v>
      </c>
      <c r="Z85" s="7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7</v>
      </c>
      <c r="AA85" s="68">
        <f>IFERROR(INDEX(DraftResults[[#All],[Pick in Round]],MATCH(Table5[[#This Row],[PID]],DraftResults[[#All],[Player ID]],0)),"")</f>
        <v>28</v>
      </c>
      <c r="AB85" s="68" t="str">
        <f>IFERROR(INDEX(DraftResults[[#All],[Team Name]],MATCH(Table5[[#This Row],[PID]],DraftResults[[#All],[Player ID]],0)),"")</f>
        <v>Amsterdam Lions</v>
      </c>
      <c r="AC85" s="68">
        <f>IF(Table5[[#This Row],[Ovr]]="","",IF(Table5[[#This Row],[cmbList]]="","",Table5[[#This Row],[cmbList]]-Table5[[#This Row],[Ovr]]))</f>
        <v>-146</v>
      </c>
      <c r="AD85" s="74" t="str">
        <f>IF(ISERROR(VLOOKUP($AB85&amp;"-"&amp;$E85&amp;" "&amp;F85,Bonuses!$B$1:$G$1006,4,FALSE)),"",INT(VLOOKUP($AB85&amp;"-"&amp;$E85&amp;" "&amp;$F85,Bonuses!$B$1:$G$1006,4,FALSE)))</f>
        <v/>
      </c>
      <c r="AE85" s="68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7.28 (229) - 3B Amador Mahusay</v>
      </c>
    </row>
    <row r="86" spans="1:31" s="50" customFormat="1" x14ac:dyDescent="0.3">
      <c r="A86" s="50">
        <v>21033</v>
      </c>
      <c r="B86" s="50">
        <f>COUNTIF(Table5[PID],A86)</f>
        <v>1</v>
      </c>
      <c r="C86" s="50" t="str">
        <f>IF(COUNTIF(Table3[[#All],[PID]],A86)&gt;0,"P","B")</f>
        <v>P</v>
      </c>
      <c r="D86" s="59" t="str">
        <f>IF($C86="B",INDEX(Batters[[#All],[POS]],MATCH(Table5[[#This Row],[PID]],Batters[[#All],[PID]],0)),INDEX(Table3[[#All],[POS]],MATCH(Table5[[#This Row],[PID]],Table3[[#All],[PID]],0)))</f>
        <v>SP</v>
      </c>
      <c r="E86" s="52" t="str">
        <f>IF($C86="B",INDEX(Batters[[#All],[First]],MATCH(Table5[[#This Row],[PID]],Batters[[#All],[PID]],0)),INDEX(Table3[[#All],[First]],MATCH(Table5[[#This Row],[PID]],Table3[[#All],[PID]],0)))</f>
        <v>Terrence</v>
      </c>
      <c r="F86" s="50" t="str">
        <f>IF($C86="B",INDEX(Batters[[#All],[Last]],MATCH(A86,Batters[[#All],[PID]],0)),INDEX(Table3[[#All],[Last]],MATCH(A86,Table3[[#All],[PID]],0)))</f>
        <v>Brown</v>
      </c>
      <c r="G86" s="56">
        <f>IF($C86="B",INDEX(Batters[[#All],[Age]],MATCH(Table5[[#This Row],[PID]],Batters[[#All],[PID]],0)),INDEX(Table3[[#All],[Age]],MATCH(Table5[[#This Row],[PID]],Table3[[#All],[PID]],0)))</f>
        <v>17</v>
      </c>
      <c r="H86" s="52" t="str">
        <f>IF($C86="B",INDEX(Batters[[#All],[B]],MATCH(Table5[[#This Row],[PID]],Batters[[#All],[PID]],0)),INDEX(Table3[[#All],[B]],MATCH(Table5[[#This Row],[PID]],Table3[[#All],[PID]],0)))</f>
        <v>R</v>
      </c>
      <c r="I86" s="52" t="str">
        <f>IF($C86="B",INDEX(Batters[[#All],[T]],MATCH(Table5[[#This Row],[PID]],Batters[[#All],[PID]],0)),INDEX(Table3[[#All],[T]],MATCH(Table5[[#This Row],[PID]],Table3[[#All],[PID]],0)))</f>
        <v>R</v>
      </c>
      <c r="J86" s="52" t="str">
        <f>IF($C86="B",INDEX(Batters[[#All],[WE]],MATCH(Table5[[#This Row],[PID]],Batters[[#All],[PID]],0)),INDEX(Table3[[#All],[WE]],MATCH(Table5[[#This Row],[PID]],Table3[[#All],[PID]],0)))</f>
        <v>High</v>
      </c>
      <c r="K86" s="52" t="str">
        <f>IF($C86="B",INDEX(Batters[[#All],[INT]],MATCH(Table5[[#This Row],[PID]],Batters[[#All],[PID]],0)),INDEX(Table3[[#All],[INT]],MATCH(Table5[[#This Row],[PID]],Table3[[#All],[PID]],0)))</f>
        <v>Normal</v>
      </c>
      <c r="L86" s="60">
        <f>IF($C86="B",INDEX(Batters[[#All],[CON P]],MATCH(Table5[[#This Row],[PID]],Batters[[#All],[PID]],0)),INDEX(Table3[[#All],[STU P]],MATCH(Table5[[#This Row],[PID]],Table3[[#All],[PID]],0)))</f>
        <v>5</v>
      </c>
      <c r="M86" s="56">
        <f>IF($C86="B",INDEX(Batters[[#All],[GAP P]],MATCH(Table5[[#This Row],[PID]],Batters[[#All],[PID]],0)),INDEX(Table3[[#All],[MOV P]],MATCH(Table5[[#This Row],[PID]],Table3[[#All],[PID]],0)))</f>
        <v>4</v>
      </c>
      <c r="N86" s="56">
        <f>IF($C86="B",INDEX(Batters[[#All],[POW P]],MATCH(Table5[[#This Row],[PID]],Batters[[#All],[PID]],0)),INDEX(Table3[[#All],[CON P]],MATCH(Table5[[#This Row],[PID]],Table3[[#All],[PID]],0)))</f>
        <v>5</v>
      </c>
      <c r="O86" s="56" t="str">
        <f>IF($C86="B",INDEX(Batters[[#All],[EYE P]],MATCH(Table5[[#This Row],[PID]],Batters[[#All],[PID]],0)),INDEX(Table3[[#All],[VELO]],MATCH(Table5[[#This Row],[PID]],Table3[[#All],[PID]],0)))</f>
        <v>92-94 Mph</v>
      </c>
      <c r="P86" s="56">
        <f>IF($C86="B",INDEX(Batters[[#All],[K P]],MATCH(Table5[[#This Row],[PID]],Batters[[#All],[PID]],0)),INDEX(Table3[[#All],[STM]],MATCH(Table5[[#This Row],[PID]],Table3[[#All],[PID]],0)))</f>
        <v>5</v>
      </c>
      <c r="Q86" s="61">
        <f>IF($C86="B",INDEX(Batters[[#All],[Tot]],MATCH(Table5[[#This Row],[PID]],Batters[[#All],[PID]],0)),INDEX(Table3[[#All],[Tot]],MATCH(Table5[[#This Row],[PID]],Table3[[#All],[PID]],0)))</f>
        <v>49.827781625382457</v>
      </c>
      <c r="R86" s="52">
        <f>IF($C86="B",INDEX(Batters[[#All],[zScore]],MATCH(Table5[[#This Row],[PID]],Batters[[#All],[PID]],0)),INDEX(Table3[[#All],[zScore]],MATCH(Table5[[#This Row],[PID]],Table3[[#All],[PID]],0)))</f>
        <v>0.85627874299638618</v>
      </c>
      <c r="S86" s="58" t="str">
        <f>IF($C86="B",INDEX(Batters[[#All],[DEM]],MATCH(Table5[[#This Row],[PID]],Batters[[#All],[PID]],0)),INDEX(Table3[[#All],[DEM]],MATCH(Table5[[#This Row],[PID]],Table3[[#All],[PID]],0)))</f>
        <v>$380k</v>
      </c>
      <c r="T86" s="62">
        <f>IF($C86="B",INDEX(Batters[[#All],[Rnk]],MATCH(Table5[[#This Row],[PID]],Batters[[#All],[PID]],0)),INDEX(Table3[[#All],[Rnk]],MATCH(Table5[[#This Row],[PID]],Table3[[#All],[PID]],0)))</f>
        <v>15</v>
      </c>
      <c r="U86" s="67">
        <f>IF($C86="B",VLOOKUP($A86,Bat!$A$4:$BA$1314,47,FALSE),VLOOKUP($A86,Pit!$A$4:$BF$1214,56,FALSE))</f>
        <v>41</v>
      </c>
      <c r="V86" s="50">
        <f>IF($C86="B",VLOOKUP($A86,Bat!$A$4:$BA$1314,48,FALSE),VLOOKUP($A86,Pit!$A$4:$BF$1214,57,FALSE))</f>
        <v>0</v>
      </c>
      <c r="W86" s="68">
        <v>84</v>
      </c>
      <c r="X86" s="51">
        <f>RANK(Table5[[#This Row],[zScore]],Table5[[#All],[zScore]])</f>
        <v>164</v>
      </c>
      <c r="Y86" s="50">
        <f>IFERROR(INDEX(DraftResults[[#All],[OVR]],MATCH(Table5[[#This Row],[PID]],DraftResults[[#All],[Player ID]],0)),"")</f>
        <v>141</v>
      </c>
      <c r="Z86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5</v>
      </c>
      <c r="AA86" s="50">
        <f>IFERROR(INDEX(DraftResults[[#All],[Pick in Round]],MATCH(Table5[[#This Row],[PID]],DraftResults[[#All],[Player ID]],0)),"")</f>
        <v>4</v>
      </c>
      <c r="AB86" s="50" t="str">
        <f>IFERROR(INDEX(DraftResults[[#All],[Team Name]],MATCH(Table5[[#This Row],[PID]],DraftResults[[#All],[Player ID]],0)),"")</f>
        <v>Palm Springs Codgers</v>
      </c>
      <c r="AC86" s="50">
        <f>IF(Table5[[#This Row],[Ovr]]="","",IF(Table5[[#This Row],[cmbList]]="","",Table5[[#This Row],[cmbList]]-Table5[[#This Row],[Ovr]]))</f>
        <v>-57</v>
      </c>
      <c r="AD86" s="54" t="str">
        <f>IF(ISERROR(VLOOKUP($AB86&amp;"-"&amp;$E86&amp;" "&amp;F86,Bonuses!$B$1:$G$1006,4,FALSE)),"",INT(VLOOKUP($AB86&amp;"-"&amp;$E86&amp;" "&amp;$F86,Bonuses!$B$1:$G$1006,4,FALSE)))</f>
        <v/>
      </c>
      <c r="AE86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5.4 (141) - SP Terrence Brown</v>
      </c>
    </row>
    <row r="87" spans="1:31" s="50" customFormat="1" x14ac:dyDescent="0.3">
      <c r="A87" s="50">
        <v>13312</v>
      </c>
      <c r="B87" s="50">
        <f>COUNTIF(Table5[PID],A87)</f>
        <v>1</v>
      </c>
      <c r="C87" s="50" t="str">
        <f>IF(COUNTIF(Table3[[#All],[PID]],A87)&gt;0,"P","B")</f>
        <v>B</v>
      </c>
      <c r="D87" s="59" t="str">
        <f>IF($C87="B",INDEX(Batters[[#All],[POS]],MATCH(Table5[[#This Row],[PID]],Batters[[#All],[PID]],0)),INDEX(Table3[[#All],[POS]],MATCH(Table5[[#This Row],[PID]],Table3[[#All],[PID]],0)))</f>
        <v>RF</v>
      </c>
      <c r="E87" s="52" t="str">
        <f>IF($C87="B",INDEX(Batters[[#All],[First]],MATCH(Table5[[#This Row],[PID]],Batters[[#All],[PID]],0)),INDEX(Table3[[#All],[First]],MATCH(Table5[[#This Row],[PID]],Table3[[#All],[PID]],0)))</f>
        <v>Katsumi</v>
      </c>
      <c r="F87" s="50" t="str">
        <f>IF($C87="B",INDEX(Batters[[#All],[Last]],MATCH(A87,Batters[[#All],[PID]],0)),INDEX(Table3[[#All],[Last]],MATCH(A87,Table3[[#All],[PID]],0)))</f>
        <v>Kobayashi</v>
      </c>
      <c r="G87" s="56">
        <f>IF($C87="B",INDEX(Batters[[#All],[Age]],MATCH(Table5[[#This Row],[PID]],Batters[[#All],[PID]],0)),INDEX(Table3[[#All],[Age]],MATCH(Table5[[#This Row],[PID]],Table3[[#All],[PID]],0)))</f>
        <v>18</v>
      </c>
      <c r="H87" s="52" t="str">
        <f>IF($C87="B",INDEX(Batters[[#All],[B]],MATCH(Table5[[#This Row],[PID]],Batters[[#All],[PID]],0)),INDEX(Table3[[#All],[B]],MATCH(Table5[[#This Row],[PID]],Table3[[#All],[PID]],0)))</f>
        <v>S</v>
      </c>
      <c r="I87" s="52" t="str">
        <f>IF($C87="B",INDEX(Batters[[#All],[T]],MATCH(Table5[[#This Row],[PID]],Batters[[#All],[PID]],0)),INDEX(Table3[[#All],[T]],MATCH(Table5[[#This Row],[PID]],Table3[[#All],[PID]],0)))</f>
        <v>R</v>
      </c>
      <c r="J87" s="52" t="str">
        <f>IF($C87="B",INDEX(Batters[[#All],[WE]],MATCH(Table5[[#This Row],[PID]],Batters[[#All],[PID]],0)),INDEX(Table3[[#All],[WE]],MATCH(Table5[[#This Row],[PID]],Table3[[#All],[PID]],0)))</f>
        <v>High</v>
      </c>
      <c r="K87" s="52" t="str">
        <f>IF($C87="B",INDEX(Batters[[#All],[INT]],MATCH(Table5[[#This Row],[PID]],Batters[[#All],[PID]],0)),INDEX(Table3[[#All],[INT]],MATCH(Table5[[#This Row],[PID]],Table3[[#All],[PID]],0)))</f>
        <v>Normal</v>
      </c>
      <c r="L87" s="60">
        <f>IF($C87="B",INDEX(Batters[[#All],[CON P]],MATCH(Table5[[#This Row],[PID]],Batters[[#All],[PID]],0)),INDEX(Table3[[#All],[STU P]],MATCH(Table5[[#This Row],[PID]],Table3[[#All],[PID]],0)))</f>
        <v>4</v>
      </c>
      <c r="M87" s="56">
        <f>IF($C87="B",INDEX(Batters[[#All],[GAP P]],MATCH(Table5[[#This Row],[PID]],Batters[[#All],[PID]],0)),INDEX(Table3[[#All],[MOV P]],MATCH(Table5[[#This Row],[PID]],Table3[[#All],[PID]],0)))</f>
        <v>4</v>
      </c>
      <c r="N87" s="56">
        <f>IF($C87="B",INDEX(Batters[[#All],[POW P]],MATCH(Table5[[#This Row],[PID]],Batters[[#All],[PID]],0)),INDEX(Table3[[#All],[CON P]],MATCH(Table5[[#This Row],[PID]],Table3[[#All],[PID]],0)))</f>
        <v>4</v>
      </c>
      <c r="O87" s="56">
        <f>IF($C87="B",INDEX(Batters[[#All],[EYE P]],MATCH(Table5[[#This Row],[PID]],Batters[[#All],[PID]],0)),INDEX(Table3[[#All],[VELO]],MATCH(Table5[[#This Row],[PID]],Table3[[#All],[PID]],0)))</f>
        <v>6</v>
      </c>
      <c r="P87" s="56">
        <f>IF($C87="B",INDEX(Batters[[#All],[K P]],MATCH(Table5[[#This Row],[PID]],Batters[[#All],[PID]],0)),INDEX(Table3[[#All],[STM]],MATCH(Table5[[#This Row],[PID]],Table3[[#All],[PID]],0)))</f>
        <v>5</v>
      </c>
      <c r="Q87" s="61">
        <f>IF($C87="B",INDEX(Batters[[#All],[Tot]],MATCH(Table5[[#This Row],[PID]],Batters[[#All],[PID]],0)),INDEX(Table3[[#All],[Tot]],MATCH(Table5[[#This Row],[PID]],Table3[[#All],[PID]],0)))</f>
        <v>48.875951786005174</v>
      </c>
      <c r="R87" s="52">
        <f>IF($C87="B",INDEX(Batters[[#All],[zScore]],MATCH(Table5[[#This Row],[PID]],Batters[[#All],[PID]],0)),INDEX(Table3[[#All],[zScore]],MATCH(Table5[[#This Row],[PID]],Table3[[#All],[PID]],0)))</f>
        <v>0.82580892078828561</v>
      </c>
      <c r="S87" s="58" t="str">
        <f>IF($C87="B",INDEX(Batters[[#All],[DEM]],MATCH(Table5[[#This Row],[PID]],Batters[[#All],[PID]],0)),INDEX(Table3[[#All],[DEM]],MATCH(Table5[[#This Row],[PID]],Table3[[#All],[PID]],0)))</f>
        <v>$65k</v>
      </c>
      <c r="T87" s="62">
        <f>IF($C87="B",INDEX(Batters[[#All],[Rnk]],MATCH(Table5[[#This Row],[PID]],Batters[[#All],[PID]],0)),INDEX(Table3[[#All],[Rnk]],MATCH(Table5[[#This Row],[PID]],Table3[[#All],[PID]],0)))</f>
        <v>5</v>
      </c>
      <c r="U87" s="67">
        <f>IF($C87="B",VLOOKUP($A87,Bat!$A$4:$BA$1314,47,FALSE),VLOOKUP($A87,Pit!$A$4:$BF$1214,56,FALSE))</f>
        <v>43</v>
      </c>
      <c r="V87" s="50">
        <f>IF($C87="B",VLOOKUP($A87,Bat!$A$4:$BA$1314,48,FALSE),VLOOKUP($A87,Pit!$A$4:$BF$1214,57,FALSE))</f>
        <v>43</v>
      </c>
      <c r="W87" s="50">
        <v>85</v>
      </c>
      <c r="X87" s="51">
        <f>RANK(Table5[[#This Row],[zScore]],Table5[[#All],[zScore]])</f>
        <v>168</v>
      </c>
      <c r="Y87" s="50">
        <f>IFERROR(INDEX(DraftResults[[#All],[OVR]],MATCH(Table5[[#This Row],[PID]],DraftResults[[#All],[Player ID]],0)),"")</f>
        <v>261</v>
      </c>
      <c r="Z87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8</v>
      </c>
      <c r="AA87" s="50">
        <f>IFERROR(INDEX(DraftResults[[#All],[Pick in Round]],MATCH(Table5[[#This Row],[PID]],DraftResults[[#All],[Player ID]],0)),"")</f>
        <v>28</v>
      </c>
      <c r="AB87" s="50" t="str">
        <f>IFERROR(INDEX(DraftResults[[#All],[Team Name]],MATCH(Table5[[#This Row],[PID]],DraftResults[[#All],[Player ID]],0)),"")</f>
        <v>Amsterdam Lions</v>
      </c>
      <c r="AC87" s="50">
        <f>IF(Table5[[#This Row],[Ovr]]="","",IF(Table5[[#This Row],[cmbList]]="","",Table5[[#This Row],[cmbList]]-Table5[[#This Row],[Ovr]]))</f>
        <v>-176</v>
      </c>
      <c r="AD87" s="54" t="str">
        <f>IF(ISERROR(VLOOKUP($AB87&amp;"-"&amp;$E87&amp;" "&amp;F87,Bonuses!$B$1:$G$1006,4,FALSE)),"",INT(VLOOKUP($AB87&amp;"-"&amp;$E87&amp;" "&amp;$F87,Bonuses!$B$1:$G$1006,4,FALSE)))</f>
        <v/>
      </c>
      <c r="AE87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8.28 (261) - RF Katsumi Kobayashi</v>
      </c>
    </row>
    <row r="88" spans="1:31" s="50" customFormat="1" x14ac:dyDescent="0.3">
      <c r="A88" s="67">
        <v>9871</v>
      </c>
      <c r="B88" s="68">
        <f>COUNTIF(Table5[PID],A88)</f>
        <v>1</v>
      </c>
      <c r="C88" s="68" t="str">
        <f>IF(COUNTIF(Table3[[#All],[PID]],A88)&gt;0,"P","B")</f>
        <v>P</v>
      </c>
      <c r="D88" s="59" t="str">
        <f>IF($C88="B",INDEX(Batters[[#All],[POS]],MATCH(Table5[[#This Row],[PID]],Batters[[#All],[PID]],0)),INDEX(Table3[[#All],[POS]],MATCH(Table5[[#This Row],[PID]],Table3[[#All],[PID]],0)))</f>
        <v>SP</v>
      </c>
      <c r="E88" s="52" t="str">
        <f>IF($C88="B",INDEX(Batters[[#All],[First]],MATCH(Table5[[#This Row],[PID]],Batters[[#All],[PID]],0)),INDEX(Table3[[#All],[First]],MATCH(Table5[[#This Row],[PID]],Table3[[#All],[PID]],0)))</f>
        <v>Bernardo</v>
      </c>
      <c r="F88" s="55" t="str">
        <f>IF($C88="B",INDEX(Batters[[#All],[Last]],MATCH(A88,Batters[[#All],[PID]],0)),INDEX(Table3[[#All],[Last]],MATCH(A88,Table3[[#All],[PID]],0)))</f>
        <v>Peña</v>
      </c>
      <c r="G88" s="56">
        <f>IF($C88="B",INDEX(Batters[[#All],[Age]],MATCH(Table5[[#This Row],[PID]],Batters[[#All],[PID]],0)),INDEX(Table3[[#All],[Age]],MATCH(Table5[[#This Row],[PID]],Table3[[#All],[PID]],0)))</f>
        <v>17</v>
      </c>
      <c r="H88" s="52" t="str">
        <f>IF($C88="B",INDEX(Batters[[#All],[B]],MATCH(Table5[[#This Row],[PID]],Batters[[#All],[PID]],0)),INDEX(Table3[[#All],[B]],MATCH(Table5[[#This Row],[PID]],Table3[[#All],[PID]],0)))</f>
        <v>R</v>
      </c>
      <c r="I88" s="52" t="str">
        <f>IF($C88="B",INDEX(Batters[[#All],[T]],MATCH(Table5[[#This Row],[PID]],Batters[[#All],[PID]],0)),INDEX(Table3[[#All],[T]],MATCH(Table5[[#This Row],[PID]],Table3[[#All],[PID]],0)))</f>
        <v>R</v>
      </c>
      <c r="J88" s="69" t="str">
        <f>IF($C88="B",INDEX(Batters[[#All],[WE]],MATCH(Table5[[#This Row],[PID]],Batters[[#All],[PID]],0)),INDEX(Table3[[#All],[WE]],MATCH(Table5[[#This Row],[PID]],Table3[[#All],[PID]],0)))</f>
        <v>Normal</v>
      </c>
      <c r="K88" s="52" t="str">
        <f>IF($C88="B",INDEX(Batters[[#All],[INT]],MATCH(Table5[[#This Row],[PID]],Batters[[#All],[PID]],0)),INDEX(Table3[[#All],[INT]],MATCH(Table5[[#This Row],[PID]],Table3[[#All],[PID]],0)))</f>
        <v>Normal</v>
      </c>
      <c r="L88" s="60">
        <f>IF($C88="B",INDEX(Batters[[#All],[CON P]],MATCH(Table5[[#This Row],[PID]],Batters[[#All],[PID]],0)),INDEX(Table3[[#All],[STU P]],MATCH(Table5[[#This Row],[PID]],Table3[[#All],[PID]],0)))</f>
        <v>6</v>
      </c>
      <c r="M88" s="70">
        <f>IF($C88="B",INDEX(Batters[[#All],[GAP P]],MATCH(Table5[[#This Row],[PID]],Batters[[#All],[PID]],0)),INDEX(Table3[[#All],[MOV P]],MATCH(Table5[[#This Row],[PID]],Table3[[#All],[PID]],0)))</f>
        <v>3</v>
      </c>
      <c r="N88" s="70">
        <f>IF($C88="B",INDEX(Batters[[#All],[POW P]],MATCH(Table5[[#This Row],[PID]],Batters[[#All],[PID]],0)),INDEX(Table3[[#All],[CON P]],MATCH(Table5[[#This Row],[PID]],Table3[[#All],[PID]],0)))</f>
        <v>4</v>
      </c>
      <c r="O88" s="70" t="str">
        <f>IF($C88="B",INDEX(Batters[[#All],[EYE P]],MATCH(Table5[[#This Row],[PID]],Batters[[#All],[PID]],0)),INDEX(Table3[[#All],[VELO]],MATCH(Table5[[#This Row],[PID]],Table3[[#All],[PID]],0)))</f>
        <v>91-93 Mph</v>
      </c>
      <c r="P88" s="56">
        <f>IF($C88="B",INDEX(Batters[[#All],[K P]],MATCH(Table5[[#This Row],[PID]],Batters[[#All],[PID]],0)),INDEX(Table3[[#All],[STM]],MATCH(Table5[[#This Row],[PID]],Table3[[#All],[PID]],0)))</f>
        <v>8</v>
      </c>
      <c r="Q88" s="61">
        <f>IF($C88="B",INDEX(Batters[[#All],[Tot]],MATCH(Table5[[#This Row],[PID]],Batters[[#All],[PID]],0)),INDEX(Table3[[#All],[Tot]],MATCH(Table5[[#This Row],[PID]],Table3[[#All],[PID]],0)))</f>
        <v>55.054486744063979</v>
      </c>
      <c r="R88" s="52">
        <f>IF($C88="B",INDEX(Batters[[#All],[zScore]],MATCH(Table5[[#This Row],[PID]],Batters[[#All],[PID]],0)),INDEX(Table3[[#All],[zScore]],MATCH(Table5[[#This Row],[PID]],Table3[[#All],[PID]],0)))</f>
        <v>1.2284569061996908</v>
      </c>
      <c r="S88" s="75" t="str">
        <f>IF($C88="B",INDEX(Batters[[#All],[DEM]],MATCH(Table5[[#This Row],[PID]],Batters[[#All],[PID]],0)),INDEX(Table3[[#All],[DEM]],MATCH(Table5[[#This Row],[PID]],Table3[[#All],[PID]],0)))</f>
        <v>$700k</v>
      </c>
      <c r="T88" s="72">
        <f>IF($C88="B",INDEX(Batters[[#All],[Rnk]],MATCH(Table5[[#This Row],[PID]],Batters[[#All],[PID]],0)),INDEX(Table3[[#All],[Rnk]],MATCH(Table5[[#This Row],[PID]],Table3[[#All],[PID]],0)))</f>
        <v>28</v>
      </c>
      <c r="U88" s="67">
        <f>IF($C88="B",VLOOKUP($A88,Bat!$A$4:$BA$1314,47,FALSE),VLOOKUP($A88,Pit!$A$4:$BF$1214,56,FALSE))</f>
        <v>42</v>
      </c>
      <c r="V88" s="50">
        <f>IF($C88="B",VLOOKUP($A88,Bat!$A$4:$BA$1314,48,FALSE),VLOOKUP($A88,Pit!$A$4:$BF$1214,57,FALSE))</f>
        <v>0</v>
      </c>
      <c r="W88" s="68">
        <v>86</v>
      </c>
      <c r="X88" s="71">
        <f>RANK(Table5[[#This Row],[zScore]],Table5[[#All],[zScore]])</f>
        <v>114</v>
      </c>
      <c r="Y88" s="68">
        <f>IFERROR(INDEX(DraftResults[[#All],[OVR]],MATCH(Table5[[#This Row],[PID]],DraftResults[[#All],[Player ID]],0)),"")</f>
        <v>129</v>
      </c>
      <c r="Z88" s="7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4</v>
      </c>
      <c r="AA88" s="68">
        <f>IFERROR(INDEX(DraftResults[[#All],[Pick in Round]],MATCH(Table5[[#This Row],[PID]],DraftResults[[#All],[Player ID]],0)),"")</f>
        <v>24</v>
      </c>
      <c r="AB88" s="68" t="str">
        <f>IFERROR(INDEX(DraftResults[[#All],[Team Name]],MATCH(Table5[[#This Row],[PID]],DraftResults[[#All],[Player ID]],0)),"")</f>
        <v>Tempe Knights</v>
      </c>
      <c r="AC88" s="68">
        <f>IF(Table5[[#This Row],[Ovr]]="","",IF(Table5[[#This Row],[cmbList]]="","",Table5[[#This Row],[cmbList]]-Table5[[#This Row],[Ovr]]))</f>
        <v>-43</v>
      </c>
      <c r="AD88" s="74" t="str">
        <f>IF(ISERROR(VLOOKUP($AB88&amp;"-"&amp;$E88&amp;" "&amp;F88,Bonuses!$B$1:$G$1006,4,FALSE)),"",INT(VLOOKUP($AB88&amp;"-"&amp;$E88&amp;" "&amp;$F88,Bonuses!$B$1:$G$1006,4,FALSE)))</f>
        <v/>
      </c>
      <c r="AE88" s="68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4.24 (129) - SP Bernardo Peña</v>
      </c>
    </row>
    <row r="89" spans="1:31" s="50" customFormat="1" x14ac:dyDescent="0.3">
      <c r="A89" s="50">
        <v>14598</v>
      </c>
      <c r="B89" s="50">
        <f>COUNTIF(Table5[PID],A89)</f>
        <v>1</v>
      </c>
      <c r="C89" s="50" t="str">
        <f>IF(COUNTIF(Table3[[#All],[PID]],A89)&gt;0,"P","B")</f>
        <v>P</v>
      </c>
      <c r="D89" s="59" t="str">
        <f>IF($C89="B",INDEX(Batters[[#All],[POS]],MATCH(Table5[[#This Row],[PID]],Batters[[#All],[PID]],0)),INDEX(Table3[[#All],[POS]],MATCH(Table5[[#This Row],[PID]],Table3[[#All],[PID]],0)))</f>
        <v>CL</v>
      </c>
      <c r="E89" s="52" t="str">
        <f>IF($C89="B",INDEX(Batters[[#All],[First]],MATCH(Table5[[#This Row],[PID]],Batters[[#All],[PID]],0)),INDEX(Table3[[#All],[First]],MATCH(Table5[[#This Row],[PID]],Table3[[#All],[PID]],0)))</f>
        <v>Joshua</v>
      </c>
      <c r="F89" s="50" t="str">
        <f>IF($C89="B",INDEX(Batters[[#All],[Last]],MATCH(A89,Batters[[#All],[PID]],0)),INDEX(Table3[[#All],[Last]],MATCH(A89,Table3[[#All],[PID]],0)))</f>
        <v>Watkins</v>
      </c>
      <c r="G89" s="56">
        <f>IF($C89="B",INDEX(Batters[[#All],[Age]],MATCH(Table5[[#This Row],[PID]],Batters[[#All],[PID]],0)),INDEX(Table3[[#All],[Age]],MATCH(Table5[[#This Row],[PID]],Table3[[#All],[PID]],0)))</f>
        <v>21</v>
      </c>
      <c r="H89" s="52" t="str">
        <f>IF($C89="B",INDEX(Batters[[#All],[B]],MATCH(Table5[[#This Row],[PID]],Batters[[#All],[PID]],0)),INDEX(Table3[[#All],[B]],MATCH(Table5[[#This Row],[PID]],Table3[[#All],[PID]],0)))</f>
        <v>S</v>
      </c>
      <c r="I89" s="52" t="str">
        <f>IF($C89="B",INDEX(Batters[[#All],[T]],MATCH(Table5[[#This Row],[PID]],Batters[[#All],[PID]],0)),INDEX(Table3[[#All],[T]],MATCH(Table5[[#This Row],[PID]],Table3[[#All],[PID]],0)))</f>
        <v>R</v>
      </c>
      <c r="J89" s="52" t="str">
        <f>IF($C89="B",INDEX(Batters[[#All],[WE]],MATCH(Table5[[#This Row],[PID]],Batters[[#All],[PID]],0)),INDEX(Table3[[#All],[WE]],MATCH(Table5[[#This Row],[PID]],Table3[[#All],[PID]],0)))</f>
        <v>Normal</v>
      </c>
      <c r="K89" s="52" t="str">
        <f>IF($C89="B",INDEX(Batters[[#All],[INT]],MATCH(Table5[[#This Row],[PID]],Batters[[#All],[PID]],0)),INDEX(Table3[[#All],[INT]],MATCH(Table5[[#This Row],[PID]],Table3[[#All],[PID]],0)))</f>
        <v>Normal</v>
      </c>
      <c r="L89" s="60">
        <f>IF($C89="B",INDEX(Batters[[#All],[CON P]],MATCH(Table5[[#This Row],[PID]],Batters[[#All],[PID]],0)),INDEX(Table3[[#All],[STU P]],MATCH(Table5[[#This Row],[PID]],Table3[[#All],[PID]],0)))</f>
        <v>8</v>
      </c>
      <c r="M89" s="56">
        <f>IF($C89="B",INDEX(Batters[[#All],[GAP P]],MATCH(Table5[[#This Row],[PID]],Batters[[#All],[PID]],0)),INDEX(Table3[[#All],[MOV P]],MATCH(Table5[[#This Row],[PID]],Table3[[#All],[PID]],0)))</f>
        <v>7</v>
      </c>
      <c r="N89" s="56">
        <f>IF($C89="B",INDEX(Batters[[#All],[POW P]],MATCH(Table5[[#This Row],[PID]],Batters[[#All],[PID]],0)),INDEX(Table3[[#All],[CON P]],MATCH(Table5[[#This Row],[PID]],Table3[[#All],[PID]],0)))</f>
        <v>5</v>
      </c>
      <c r="O89" s="56" t="str">
        <f>IF($C89="B",INDEX(Batters[[#All],[EYE P]],MATCH(Table5[[#This Row],[PID]],Batters[[#All],[PID]],0)),INDEX(Table3[[#All],[VELO]],MATCH(Table5[[#This Row],[PID]],Table3[[#All],[PID]],0)))</f>
        <v>95-97 Mph</v>
      </c>
      <c r="P89" s="56">
        <f>IF($C89="B",INDEX(Batters[[#All],[K P]],MATCH(Table5[[#This Row],[PID]],Batters[[#All],[PID]],0)),INDEX(Table3[[#All],[STM]],MATCH(Table5[[#This Row],[PID]],Table3[[#All],[PID]],0)))</f>
        <v>4</v>
      </c>
      <c r="Q89" s="61">
        <f>IF($C89="B",INDEX(Batters[[#All],[Tot]],MATCH(Table5[[#This Row],[PID]],Batters[[#All],[PID]],0)),INDEX(Table3[[#All],[Tot]],MATCH(Table5[[#This Row],[PID]],Table3[[#All],[PID]],0)))</f>
        <v>68.194489265635909</v>
      </c>
      <c r="R89" s="52">
        <f>IF($C89="B",INDEX(Batters[[#All],[zScore]],MATCH(Table5[[#This Row],[PID]],Batters[[#All],[PID]],0)),INDEX(Table3[[#All],[zScore]],MATCH(Table5[[#This Row],[PID]],Table3[[#All],[PID]],0)))</f>
        <v>2.1641174977042446</v>
      </c>
      <c r="S89" s="58" t="str">
        <f>IF($C89="B",INDEX(Batters[[#All],[DEM]],MATCH(Table5[[#This Row],[PID]],Batters[[#All],[PID]],0)),INDEX(Table3[[#All],[DEM]],MATCH(Table5[[#This Row],[PID]],Table3[[#All],[PID]],0)))</f>
        <v>$200k</v>
      </c>
      <c r="T89" s="62">
        <f>IF($C89="B",INDEX(Batters[[#All],[Rnk]],MATCH(Table5[[#This Row],[PID]],Batters[[#All],[PID]],0)),INDEX(Table3[[#All],[Rnk]],MATCH(Table5[[#This Row],[PID]],Table3[[#All],[PID]],0)))</f>
        <v>4</v>
      </c>
      <c r="U89" s="67">
        <f>IF($C89="B",VLOOKUP($A89,Bat!$A$4:$BA$1314,47,FALSE),VLOOKUP($A89,Pit!$A$4:$BF$1214,56,FALSE))</f>
        <v>13</v>
      </c>
      <c r="V89" s="50">
        <f>IF($C89="B",VLOOKUP($A89,Bat!$A$4:$BA$1314,48,FALSE),VLOOKUP($A89,Pit!$A$4:$BF$1214,57,FALSE))</f>
        <v>0</v>
      </c>
      <c r="W89" s="68">
        <f>IF(Table5[[#This Row],[posRnk]]=999,9999,Table5[[#This Row],[posRnk]]+Table5[[#This Row],[zRnk]]+IF($W$3&lt;&gt;Table5[[#This Row],[Type]],50,0))</f>
        <v>37</v>
      </c>
      <c r="X89" s="51">
        <f>RANK(Table5[[#This Row],[zScore]],Table5[[#All],[zScore]])</f>
        <v>33</v>
      </c>
      <c r="Y89" s="50">
        <f>IFERROR(INDEX(DraftResults[[#All],[OVR]],MATCH(Table5[[#This Row],[PID]],DraftResults[[#All],[Player ID]],0)),"")</f>
        <v>29</v>
      </c>
      <c r="Z89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1</v>
      </c>
      <c r="AA89" s="50">
        <f>IFERROR(INDEX(DraftResults[[#All],[Pick in Round]],MATCH(Table5[[#This Row],[PID]],DraftResults[[#All],[Player ID]],0)),"")</f>
        <v>29</v>
      </c>
      <c r="AB89" s="50" t="str">
        <f>IFERROR(INDEX(DraftResults[[#All],[Team Name]],MATCH(Table5[[#This Row],[PID]],DraftResults[[#All],[Player ID]],0)),"")</f>
        <v>Gloucester Fishermen</v>
      </c>
      <c r="AC89" s="50">
        <f>IF(Table5[[#This Row],[Ovr]]="","",IF(Table5[[#This Row],[cmbList]]="","",Table5[[#This Row],[cmbList]]-Table5[[#This Row],[Ovr]]))</f>
        <v>8</v>
      </c>
      <c r="AD89" s="54" t="str">
        <f>IF(ISERROR(VLOOKUP($AB89&amp;"-"&amp;$E89&amp;" "&amp;F89,Bonuses!$B$1:$G$1006,4,FALSE)),"",INT(VLOOKUP($AB89&amp;"-"&amp;$E89&amp;" "&amp;$F89,Bonuses!$B$1:$G$1006,4,FALSE)))</f>
        <v/>
      </c>
      <c r="AE89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1.29 (29) - CL Joshua Watkins</v>
      </c>
    </row>
    <row r="90" spans="1:31" s="50" customFormat="1" x14ac:dyDescent="0.3">
      <c r="A90" s="50">
        <v>9457</v>
      </c>
      <c r="B90" s="50">
        <f>COUNTIF(Table5[PID],A90)</f>
        <v>1</v>
      </c>
      <c r="C90" s="50" t="str">
        <f>IF(COUNTIF(Table3[[#All],[PID]],A90)&gt;0,"P","B")</f>
        <v>P</v>
      </c>
      <c r="D90" s="59" t="str">
        <f>IF($C90="B",INDEX(Batters[[#All],[POS]],MATCH(Table5[[#This Row],[PID]],Batters[[#All],[PID]],0)),INDEX(Table3[[#All],[POS]],MATCH(Table5[[#This Row],[PID]],Table3[[#All],[PID]],0)))</f>
        <v>SP</v>
      </c>
      <c r="E90" s="52" t="str">
        <f>IF($C90="B",INDEX(Batters[[#All],[First]],MATCH(Table5[[#This Row],[PID]],Batters[[#All],[PID]],0)),INDEX(Table3[[#All],[First]],MATCH(Table5[[#This Row],[PID]],Table3[[#All],[PID]],0)))</f>
        <v>Peter</v>
      </c>
      <c r="F90" s="50" t="str">
        <f>IF($C90="B",INDEX(Batters[[#All],[Last]],MATCH(A90,Batters[[#All],[PID]],0)),INDEX(Table3[[#All],[Last]],MATCH(A90,Table3[[#All],[PID]],0)))</f>
        <v>Hill</v>
      </c>
      <c r="G90" s="56">
        <f>IF($C90="B",INDEX(Batters[[#All],[Age]],MATCH(Table5[[#This Row],[PID]],Batters[[#All],[PID]],0)),INDEX(Table3[[#All],[Age]],MATCH(Table5[[#This Row],[PID]],Table3[[#All],[PID]],0)))</f>
        <v>18</v>
      </c>
      <c r="H90" s="52" t="str">
        <f>IF($C90="B",INDEX(Batters[[#All],[B]],MATCH(Table5[[#This Row],[PID]],Batters[[#All],[PID]],0)),INDEX(Table3[[#All],[B]],MATCH(Table5[[#This Row],[PID]],Table3[[#All],[PID]],0)))</f>
        <v>R</v>
      </c>
      <c r="I90" s="52" t="str">
        <f>IF($C90="B",INDEX(Batters[[#All],[T]],MATCH(Table5[[#This Row],[PID]],Batters[[#All],[PID]],0)),INDEX(Table3[[#All],[T]],MATCH(Table5[[#This Row],[PID]],Table3[[#All],[PID]],0)))</f>
        <v>R</v>
      </c>
      <c r="J90" s="52" t="str">
        <f>IF($C90="B",INDEX(Batters[[#All],[WE]],MATCH(Table5[[#This Row],[PID]],Batters[[#All],[PID]],0)),INDEX(Table3[[#All],[WE]],MATCH(Table5[[#This Row],[PID]],Table3[[#All],[PID]],0)))</f>
        <v>Normal</v>
      </c>
      <c r="K90" s="52" t="str">
        <f>IF($C90="B",INDEX(Batters[[#All],[INT]],MATCH(Table5[[#This Row],[PID]],Batters[[#All],[PID]],0)),INDEX(Table3[[#All],[INT]],MATCH(Table5[[#This Row],[PID]],Table3[[#All],[PID]],0)))</f>
        <v>Normal</v>
      </c>
      <c r="L90" s="60">
        <f>IF($C90="B",INDEX(Batters[[#All],[CON P]],MATCH(Table5[[#This Row],[PID]],Batters[[#All],[PID]],0)),INDEX(Table3[[#All],[STU P]],MATCH(Table5[[#This Row],[PID]],Table3[[#All],[PID]],0)))</f>
        <v>6</v>
      </c>
      <c r="M90" s="56">
        <f>IF($C90="B",INDEX(Batters[[#All],[GAP P]],MATCH(Table5[[#This Row],[PID]],Batters[[#All],[PID]],0)),INDEX(Table3[[#All],[MOV P]],MATCH(Table5[[#This Row],[PID]],Table3[[#All],[PID]],0)))</f>
        <v>4</v>
      </c>
      <c r="N90" s="56">
        <f>IF($C90="B",INDEX(Batters[[#All],[POW P]],MATCH(Table5[[#This Row],[PID]],Batters[[#All],[PID]],0)),INDEX(Table3[[#All],[CON P]],MATCH(Table5[[#This Row],[PID]],Table3[[#All],[PID]],0)))</f>
        <v>7</v>
      </c>
      <c r="O90" s="56" t="str">
        <f>IF($C90="B",INDEX(Batters[[#All],[EYE P]],MATCH(Table5[[#This Row],[PID]],Batters[[#All],[PID]],0)),INDEX(Table3[[#All],[VELO]],MATCH(Table5[[#This Row],[PID]],Table3[[#All],[PID]],0)))</f>
        <v>93-95 Mph</v>
      </c>
      <c r="P90" s="56">
        <f>IF($C90="B",INDEX(Batters[[#All],[K P]],MATCH(Table5[[#This Row],[PID]],Batters[[#All],[PID]],0)),INDEX(Table3[[#All],[STM]],MATCH(Table5[[#This Row],[PID]],Table3[[#All],[PID]],0)))</f>
        <v>4</v>
      </c>
      <c r="Q90" s="61">
        <f>IF($C90="B",INDEX(Batters[[#All],[Tot]],MATCH(Table5[[#This Row],[PID]],Batters[[#All],[PID]],0)),INDEX(Table3[[#All],[Tot]],MATCH(Table5[[#This Row],[PID]],Table3[[#All],[PID]],0)))</f>
        <v>69.362362403471849</v>
      </c>
      <c r="R90" s="52">
        <f>IF($C90="B",INDEX(Batters[[#All],[zScore]],MATCH(Table5[[#This Row],[PID]],Batters[[#All],[PID]],0)),INDEX(Table3[[#All],[zScore]],MATCH(Table5[[#This Row],[PID]],Table3[[#All],[PID]],0)))</f>
        <v>2.2472782786215935</v>
      </c>
      <c r="S90" s="58" t="str">
        <f>IF($C90="B",INDEX(Batters[[#All],[DEM]],MATCH(Table5[[#This Row],[PID]],Batters[[#All],[PID]],0)),INDEX(Table3[[#All],[DEM]],MATCH(Table5[[#This Row],[PID]],Table3[[#All],[PID]],0)))</f>
        <v>$850k</v>
      </c>
      <c r="T90" s="62">
        <f>IF($C90="B",INDEX(Batters[[#All],[Rnk]],MATCH(Table5[[#This Row],[PID]],Batters[[#All],[PID]],0)),INDEX(Table3[[#All],[Rnk]],MATCH(Table5[[#This Row],[PID]],Table3[[#All],[PID]],0)))</f>
        <v>6</v>
      </c>
      <c r="U90" s="67">
        <f>IF($C90="B",VLOOKUP($A90,Bat!$A$4:$BA$1314,47,FALSE),VLOOKUP($A90,Pit!$A$4:$BF$1214,56,FALSE))</f>
        <v>16</v>
      </c>
      <c r="V90" s="50">
        <f>IF($C90="B",VLOOKUP($A90,Bat!$A$4:$BA$1314,48,FALSE),VLOOKUP($A90,Pit!$A$4:$BF$1214,57,FALSE))</f>
        <v>0</v>
      </c>
      <c r="W90" s="68">
        <f>IF(Table5[[#This Row],[posRnk]]=999,9999,Table5[[#This Row],[posRnk]]+Table5[[#This Row],[zRnk]]+IF($W$3&lt;&gt;Table5[[#This Row],[Type]],50,0))</f>
        <v>37</v>
      </c>
      <c r="X90" s="51">
        <f>RANK(Table5[[#This Row],[zScore]],Table5[[#All],[zScore]])</f>
        <v>31</v>
      </c>
      <c r="Y90" s="50">
        <f>IFERROR(INDEX(DraftResults[[#All],[OVR]],MATCH(Table5[[#This Row],[PID]],DraftResults[[#All],[Player ID]],0)),"")</f>
        <v>131</v>
      </c>
      <c r="Z90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4</v>
      </c>
      <c r="AA90" s="50">
        <f>IFERROR(INDEX(DraftResults[[#All],[Pick in Round]],MATCH(Table5[[#This Row],[PID]],DraftResults[[#All],[Player ID]],0)),"")</f>
        <v>26</v>
      </c>
      <c r="AB90" s="50" t="str">
        <f>IFERROR(INDEX(DraftResults[[#All],[Team Name]],MATCH(Table5[[#This Row],[PID]],DraftResults[[#All],[Player ID]],0)),"")</f>
        <v>Madison Malts</v>
      </c>
      <c r="AC90" s="50">
        <f>IF(Table5[[#This Row],[Ovr]]="","",IF(Table5[[#This Row],[cmbList]]="","",Table5[[#This Row],[cmbList]]-Table5[[#This Row],[Ovr]]))</f>
        <v>-94</v>
      </c>
      <c r="AD90" s="54" t="str">
        <f>IF(ISERROR(VLOOKUP($AB90&amp;"-"&amp;$E90&amp;" "&amp;F90,Bonuses!$B$1:$G$1006,4,FALSE)),"",INT(VLOOKUP($AB90&amp;"-"&amp;$E90&amp;" "&amp;$F90,Bonuses!$B$1:$G$1006,4,FALSE)))</f>
        <v/>
      </c>
      <c r="AE90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4.26 (131) - SP Peter Hill</v>
      </c>
    </row>
    <row r="91" spans="1:31" s="50" customFormat="1" x14ac:dyDescent="0.3">
      <c r="A91" s="50">
        <v>12919</v>
      </c>
      <c r="B91" s="50">
        <f>COUNTIF(Table5[PID],A91)</f>
        <v>1</v>
      </c>
      <c r="C91" s="50" t="str">
        <f>IF(COUNTIF(Table3[[#All],[PID]],A91)&gt;0,"P","B")</f>
        <v>B</v>
      </c>
      <c r="D91" s="59" t="str">
        <f>IF($C91="B",INDEX(Batters[[#All],[POS]],MATCH(Table5[[#This Row],[PID]],Batters[[#All],[PID]],0)),INDEX(Table3[[#All],[POS]],MATCH(Table5[[#This Row],[PID]],Table3[[#All],[PID]],0)))</f>
        <v>SS</v>
      </c>
      <c r="E91" s="52" t="str">
        <f>IF($C91="B",INDEX(Batters[[#All],[First]],MATCH(Table5[[#This Row],[PID]],Batters[[#All],[PID]],0)),INDEX(Table3[[#All],[First]],MATCH(Table5[[#This Row],[PID]],Table3[[#All],[PID]],0)))</f>
        <v>Robert</v>
      </c>
      <c r="F91" s="50" t="str">
        <f>IF($C91="B",INDEX(Batters[[#All],[Last]],MATCH(A91,Batters[[#All],[PID]],0)),INDEX(Table3[[#All],[Last]],MATCH(A91,Table3[[#All],[PID]],0)))</f>
        <v>Godefroy</v>
      </c>
      <c r="G91" s="56">
        <f>IF($C91="B",INDEX(Batters[[#All],[Age]],MATCH(Table5[[#This Row],[PID]],Batters[[#All],[PID]],0)),INDEX(Table3[[#All],[Age]],MATCH(Table5[[#This Row],[PID]],Table3[[#All],[PID]],0)))</f>
        <v>18</v>
      </c>
      <c r="H91" s="52" t="str">
        <f>IF($C91="B",INDEX(Batters[[#All],[B]],MATCH(Table5[[#This Row],[PID]],Batters[[#All],[PID]],0)),INDEX(Table3[[#All],[B]],MATCH(Table5[[#This Row],[PID]],Table3[[#All],[PID]],0)))</f>
        <v>R</v>
      </c>
      <c r="I91" s="52" t="str">
        <f>IF($C91="B",INDEX(Batters[[#All],[T]],MATCH(Table5[[#This Row],[PID]],Batters[[#All],[PID]],0)),INDEX(Table3[[#All],[T]],MATCH(Table5[[#This Row],[PID]],Table3[[#All],[PID]],0)))</f>
        <v>R</v>
      </c>
      <c r="J91" s="52" t="str">
        <f>IF($C91="B",INDEX(Batters[[#All],[WE]],MATCH(Table5[[#This Row],[PID]],Batters[[#All],[PID]],0)),INDEX(Table3[[#All],[WE]],MATCH(Table5[[#This Row],[PID]],Table3[[#All],[PID]],0)))</f>
        <v>Normal</v>
      </c>
      <c r="K91" s="52" t="str">
        <f>IF($C91="B",INDEX(Batters[[#All],[INT]],MATCH(Table5[[#This Row],[PID]],Batters[[#All],[PID]],0)),INDEX(Table3[[#All],[INT]],MATCH(Table5[[#This Row],[PID]],Table3[[#All],[PID]],0)))</f>
        <v>Normal</v>
      </c>
      <c r="L91" s="60">
        <f>IF($C91="B",INDEX(Batters[[#All],[CON P]],MATCH(Table5[[#This Row],[PID]],Batters[[#All],[PID]],0)),INDEX(Table3[[#All],[STU P]],MATCH(Table5[[#This Row],[PID]],Table3[[#All],[PID]],0)))</f>
        <v>5</v>
      </c>
      <c r="M91" s="56">
        <f>IF($C91="B",INDEX(Batters[[#All],[GAP P]],MATCH(Table5[[#This Row],[PID]],Batters[[#All],[PID]],0)),INDEX(Table3[[#All],[MOV P]],MATCH(Table5[[#This Row],[PID]],Table3[[#All],[PID]],0)))</f>
        <v>4</v>
      </c>
      <c r="N91" s="56">
        <f>IF($C91="B",INDEX(Batters[[#All],[POW P]],MATCH(Table5[[#This Row],[PID]],Batters[[#All],[PID]],0)),INDEX(Table3[[#All],[CON P]],MATCH(Table5[[#This Row],[PID]],Table3[[#All],[PID]],0)))</f>
        <v>2</v>
      </c>
      <c r="O91" s="56">
        <f>IF($C91="B",INDEX(Batters[[#All],[EYE P]],MATCH(Table5[[#This Row],[PID]],Batters[[#All],[PID]],0)),INDEX(Table3[[#All],[VELO]],MATCH(Table5[[#This Row],[PID]],Table3[[#All],[PID]],0)))</f>
        <v>3</v>
      </c>
      <c r="P91" s="56">
        <f>IF($C91="B",INDEX(Batters[[#All],[K P]],MATCH(Table5[[#This Row],[PID]],Batters[[#All],[PID]],0)),INDEX(Table3[[#All],[STM]],MATCH(Table5[[#This Row],[PID]],Table3[[#All],[PID]],0)))</f>
        <v>9</v>
      </c>
      <c r="Q91" s="61">
        <f>IF($C91="B",INDEX(Batters[[#All],[Tot]],MATCH(Table5[[#This Row],[PID]],Batters[[#All],[PID]],0)),INDEX(Table3[[#All],[Tot]],MATCH(Table5[[#This Row],[PID]],Table3[[#All],[PID]],0)))</f>
        <v>50.175371489882473</v>
      </c>
      <c r="R91" s="52">
        <f>IF($C91="B",INDEX(Batters[[#All],[zScore]],MATCH(Table5[[#This Row],[PID]],Batters[[#All],[PID]],0)),INDEX(Table3[[#All],[zScore]],MATCH(Table5[[#This Row],[PID]],Table3[[#All],[PID]],0)))</f>
        <v>1.0154827586015167</v>
      </c>
      <c r="S91" s="58" t="str">
        <f>IF($C91="B",INDEX(Batters[[#All],[DEM]],MATCH(Table5[[#This Row],[PID]],Batters[[#All],[PID]],0)),INDEX(Table3[[#All],[DEM]],MATCH(Table5[[#This Row],[PID]],Table3[[#All],[PID]],0)))</f>
        <v>$490k</v>
      </c>
      <c r="T91" s="62">
        <f>IF($C91="B",INDEX(Batters[[#All],[Rnk]],MATCH(Table5[[#This Row],[PID]],Batters[[#All],[PID]],0)),INDEX(Table3[[#All],[Rnk]],MATCH(Table5[[#This Row],[PID]],Table3[[#All],[PID]],0)))</f>
        <v>5</v>
      </c>
      <c r="U91" s="67">
        <f>IF($C91="B",VLOOKUP($A91,Bat!$A$4:$BA$1314,47,FALSE),VLOOKUP($A91,Pit!$A$4:$BF$1214,56,FALSE))</f>
        <v>44</v>
      </c>
      <c r="V91" s="50">
        <f>IF($C91="B",VLOOKUP($A91,Bat!$A$4:$BA$1314,48,FALSE),VLOOKUP($A91,Pit!$A$4:$BF$1214,57,FALSE))</f>
        <v>44</v>
      </c>
      <c r="W91" s="50">
        <v>87</v>
      </c>
      <c r="X91" s="51">
        <f>RANK(Table5[[#This Row],[zScore]],Table5[[#All],[zScore]])</f>
        <v>147</v>
      </c>
      <c r="Y91" s="50">
        <f>IFERROR(INDEX(DraftResults[[#All],[OVR]],MATCH(Table5[[#This Row],[PID]],DraftResults[[#All],[Player ID]],0)),"")</f>
        <v>73</v>
      </c>
      <c r="Z91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3</v>
      </c>
      <c r="AA91" s="50">
        <f>IFERROR(INDEX(DraftResults[[#All],[Pick in Round]],MATCH(Table5[[#This Row],[PID]],DraftResults[[#All],[Player ID]],0)),"")</f>
        <v>1</v>
      </c>
      <c r="AB91" s="50" t="str">
        <f>IFERROR(INDEX(DraftResults[[#All],[Team Name]],MATCH(Table5[[#This Row],[PID]],DraftResults[[#All],[Player ID]],0)),"")</f>
        <v>Aurora Borealis</v>
      </c>
      <c r="AC91" s="50">
        <f>IF(Table5[[#This Row],[Ovr]]="","",IF(Table5[[#This Row],[cmbList]]="","",Table5[[#This Row],[cmbList]]-Table5[[#This Row],[Ovr]]))</f>
        <v>14</v>
      </c>
      <c r="AD91" s="54" t="str">
        <f>IF(ISERROR(VLOOKUP($AB91&amp;"-"&amp;$E91&amp;" "&amp;F91,Bonuses!$B$1:$G$1006,4,FALSE)),"",INT(VLOOKUP($AB91&amp;"-"&amp;$E91&amp;" "&amp;$F91,Bonuses!$B$1:$G$1006,4,FALSE)))</f>
        <v/>
      </c>
      <c r="AE91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3.1 (73) - SS Robert Godefroy</v>
      </c>
    </row>
    <row r="92" spans="1:31" s="50" customFormat="1" x14ac:dyDescent="0.3">
      <c r="A92" s="67">
        <v>12116</v>
      </c>
      <c r="B92" s="68">
        <f>COUNTIF(Table5[PID],A92)</f>
        <v>1</v>
      </c>
      <c r="C92" s="68" t="str">
        <f>IF(COUNTIF(Table3[[#All],[PID]],A92)&gt;0,"P","B")</f>
        <v>B</v>
      </c>
      <c r="D92" s="59" t="str">
        <f>IF($C92="B",INDEX(Batters[[#All],[POS]],MATCH(Table5[[#This Row],[PID]],Batters[[#All],[PID]],0)),INDEX(Table3[[#All],[POS]],MATCH(Table5[[#This Row],[PID]],Table3[[#All],[PID]],0)))</f>
        <v>SS</v>
      </c>
      <c r="E92" s="52" t="str">
        <f>IF($C92="B",INDEX(Batters[[#All],[First]],MATCH(Table5[[#This Row],[PID]],Batters[[#All],[PID]],0)),INDEX(Table3[[#All],[First]],MATCH(Table5[[#This Row],[PID]],Table3[[#All],[PID]],0)))</f>
        <v>Rio</v>
      </c>
      <c r="F92" s="55" t="str">
        <f>IF($C92="B",INDEX(Batters[[#All],[Last]],MATCH(A92,Batters[[#All],[PID]],0)),INDEX(Table3[[#All],[Last]],MATCH(A92,Table3[[#All],[PID]],0)))</f>
        <v>Fellick</v>
      </c>
      <c r="G92" s="56">
        <f>IF($C92="B",INDEX(Batters[[#All],[Age]],MATCH(Table5[[#This Row],[PID]],Batters[[#All],[PID]],0)),INDEX(Table3[[#All],[Age]],MATCH(Table5[[#This Row],[PID]],Table3[[#All],[PID]],0)))</f>
        <v>17</v>
      </c>
      <c r="H92" s="52" t="str">
        <f>IF($C92="B",INDEX(Batters[[#All],[B]],MATCH(Table5[[#This Row],[PID]],Batters[[#All],[PID]],0)),INDEX(Table3[[#All],[B]],MATCH(Table5[[#This Row],[PID]],Table3[[#All],[PID]],0)))</f>
        <v>R</v>
      </c>
      <c r="I92" s="52" t="str">
        <f>IF($C92="B",INDEX(Batters[[#All],[T]],MATCH(Table5[[#This Row],[PID]],Batters[[#All],[PID]],0)),INDEX(Table3[[#All],[T]],MATCH(Table5[[#This Row],[PID]],Table3[[#All],[PID]],0)))</f>
        <v>R</v>
      </c>
      <c r="J92" s="69" t="str">
        <f>IF($C92="B",INDEX(Batters[[#All],[WE]],MATCH(Table5[[#This Row],[PID]],Batters[[#All],[PID]],0)),INDEX(Table3[[#All],[WE]],MATCH(Table5[[#This Row],[PID]],Table3[[#All],[PID]],0)))</f>
        <v>Normal</v>
      </c>
      <c r="K92" s="52" t="str">
        <f>IF($C92="B",INDEX(Batters[[#All],[INT]],MATCH(Table5[[#This Row],[PID]],Batters[[#All],[PID]],0)),INDEX(Table3[[#All],[INT]],MATCH(Table5[[#This Row],[PID]],Table3[[#All],[PID]],0)))</f>
        <v>Normal</v>
      </c>
      <c r="L92" s="60">
        <f>IF($C92="B",INDEX(Batters[[#All],[CON P]],MATCH(Table5[[#This Row],[PID]],Batters[[#All],[PID]],0)),INDEX(Table3[[#All],[STU P]],MATCH(Table5[[#This Row],[PID]],Table3[[#All],[PID]],0)))</f>
        <v>5</v>
      </c>
      <c r="M92" s="70">
        <f>IF($C92="B",INDEX(Batters[[#All],[GAP P]],MATCH(Table5[[#This Row],[PID]],Batters[[#All],[PID]],0)),INDEX(Table3[[#All],[MOV P]],MATCH(Table5[[#This Row],[PID]],Table3[[#All],[PID]],0)))</f>
        <v>5</v>
      </c>
      <c r="N92" s="70">
        <f>IF($C92="B",INDEX(Batters[[#All],[POW P]],MATCH(Table5[[#This Row],[PID]],Batters[[#All],[PID]],0)),INDEX(Table3[[#All],[CON P]],MATCH(Table5[[#This Row],[PID]],Table3[[#All],[PID]],0)))</f>
        <v>2</v>
      </c>
      <c r="O92" s="70">
        <f>IF($C92="B",INDEX(Batters[[#All],[EYE P]],MATCH(Table5[[#This Row],[PID]],Batters[[#All],[PID]],0)),INDEX(Table3[[#All],[VELO]],MATCH(Table5[[#This Row],[PID]],Table3[[#All],[PID]],0)))</f>
        <v>6</v>
      </c>
      <c r="P92" s="56">
        <f>IF($C92="B",INDEX(Batters[[#All],[K P]],MATCH(Table5[[#This Row],[PID]],Batters[[#All],[PID]],0)),INDEX(Table3[[#All],[STM]],MATCH(Table5[[#This Row],[PID]],Table3[[#All],[PID]],0)))</f>
        <v>7</v>
      </c>
      <c r="Q92" s="61">
        <f>IF($C92="B",INDEX(Batters[[#All],[Tot]],MATCH(Table5[[#This Row],[PID]],Batters[[#All],[PID]],0)),INDEX(Table3[[#All],[Tot]],MATCH(Table5[[#This Row],[PID]],Table3[[#All],[PID]],0)))</f>
        <v>52.027058147439263</v>
      </c>
      <c r="R92" s="52">
        <f>IF($C92="B",INDEX(Batters[[#All],[zScore]],MATCH(Table5[[#This Row],[PID]],Batters[[#All],[PID]],0)),INDEX(Table3[[#All],[zScore]],MATCH(Table5[[#This Row],[PID]],Table3[[#All],[PID]],0)))</f>
        <v>1.2857699596639347</v>
      </c>
      <c r="S92" s="75" t="str">
        <f>IF($C92="B",INDEX(Batters[[#All],[DEM]],MATCH(Table5[[#This Row],[PID]],Batters[[#All],[PID]],0)),INDEX(Table3[[#All],[DEM]],MATCH(Table5[[#This Row],[PID]],Table3[[#All],[PID]],0)))</f>
        <v>$600k</v>
      </c>
      <c r="T92" s="72">
        <f>IF($C92="B",INDEX(Batters[[#All],[Rnk]],MATCH(Table5[[#This Row],[PID]],Batters[[#All],[PID]],0)),INDEX(Table3[[#All],[Rnk]],MATCH(Table5[[#This Row],[PID]],Table3[[#All],[PID]],0)))</f>
        <v>6</v>
      </c>
      <c r="U92" s="67">
        <f>IF($C92="B",VLOOKUP($A92,Bat!$A$4:$BA$1314,47,FALSE),VLOOKUP($A92,Pit!$A$4:$BF$1214,56,FALSE))</f>
        <v>45</v>
      </c>
      <c r="V92" s="50">
        <f>IF($C92="B",VLOOKUP($A92,Bat!$A$4:$BA$1314,48,FALSE),VLOOKUP($A92,Pit!$A$4:$BF$1214,57,FALSE))</f>
        <v>45</v>
      </c>
      <c r="W92" s="68">
        <v>88</v>
      </c>
      <c r="X92" s="71">
        <f>RANK(Table5[[#This Row],[zScore]],Table5[[#All],[zScore]])</f>
        <v>98</v>
      </c>
      <c r="Y92" s="68">
        <f>IFERROR(INDEX(DraftResults[[#All],[OVR]],MATCH(Table5[[#This Row],[PID]],DraftResults[[#All],[Player ID]],0)),"")</f>
        <v>82</v>
      </c>
      <c r="Z92" s="7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3</v>
      </c>
      <c r="AA92" s="68">
        <f>IFERROR(INDEX(DraftResults[[#All],[Pick in Round]],MATCH(Table5[[#This Row],[PID]],DraftResults[[#All],[Player ID]],0)),"")</f>
        <v>10</v>
      </c>
      <c r="AB92" s="68" t="str">
        <f>IFERROR(INDEX(DraftResults[[#All],[Team Name]],MATCH(Table5[[#This Row],[PID]],DraftResults[[#All],[Player ID]],0)),"")</f>
        <v>London Underground</v>
      </c>
      <c r="AC92" s="68">
        <f>IF(Table5[[#This Row],[Ovr]]="","",IF(Table5[[#This Row],[cmbList]]="","",Table5[[#This Row],[cmbList]]-Table5[[#This Row],[Ovr]]))</f>
        <v>6</v>
      </c>
      <c r="AD92" s="74" t="str">
        <f>IF(ISERROR(VLOOKUP($AB92&amp;"-"&amp;$E92&amp;" "&amp;F92,Bonuses!$B$1:$G$1006,4,FALSE)),"",INT(VLOOKUP($AB92&amp;"-"&amp;$E92&amp;" "&amp;$F92,Bonuses!$B$1:$G$1006,4,FALSE)))</f>
        <v/>
      </c>
      <c r="AE92" s="68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3.10 (82) - SS Rio Fellick</v>
      </c>
    </row>
    <row r="93" spans="1:31" s="50" customFormat="1" x14ac:dyDescent="0.3">
      <c r="A93" s="50">
        <v>8928</v>
      </c>
      <c r="B93" s="50">
        <f>COUNTIF(Table5[PID],A93)</f>
        <v>1</v>
      </c>
      <c r="C93" s="50" t="str">
        <f>IF(COUNTIF(Table3[[#All],[PID]],A93)&gt;0,"P","B")</f>
        <v>P</v>
      </c>
      <c r="D93" s="59" t="str">
        <f>IF($C93="B",INDEX(Batters[[#All],[POS]],MATCH(Table5[[#This Row],[PID]],Batters[[#All],[PID]],0)),INDEX(Table3[[#All],[POS]],MATCH(Table5[[#This Row],[PID]],Table3[[#All],[PID]],0)))</f>
        <v>SP</v>
      </c>
      <c r="E93" s="52" t="str">
        <f>IF($C93="B",INDEX(Batters[[#All],[First]],MATCH(Table5[[#This Row],[PID]],Batters[[#All],[PID]],0)),INDEX(Table3[[#All],[First]],MATCH(Table5[[#This Row],[PID]],Table3[[#All],[PID]],0)))</f>
        <v>Masaaki</v>
      </c>
      <c r="F93" s="50" t="str">
        <f>IF($C93="B",INDEX(Batters[[#All],[Last]],MATCH(A93,Batters[[#All],[PID]],0)),INDEX(Table3[[#All],[Last]],MATCH(A93,Table3[[#All],[PID]],0)))</f>
        <v>Watanabe</v>
      </c>
      <c r="G93" s="56">
        <f>IF($C93="B",INDEX(Batters[[#All],[Age]],MATCH(Table5[[#This Row],[PID]],Batters[[#All],[PID]],0)),INDEX(Table3[[#All],[Age]],MATCH(Table5[[#This Row],[PID]],Table3[[#All],[PID]],0)))</f>
        <v>21</v>
      </c>
      <c r="H93" s="52" t="str">
        <f>IF($C93="B",INDEX(Batters[[#All],[B]],MATCH(Table5[[#This Row],[PID]],Batters[[#All],[PID]],0)),INDEX(Table3[[#All],[B]],MATCH(Table5[[#This Row],[PID]],Table3[[#All],[PID]],0)))</f>
        <v>R</v>
      </c>
      <c r="I93" s="52" t="str">
        <f>IF($C93="B",INDEX(Batters[[#All],[T]],MATCH(Table5[[#This Row],[PID]],Batters[[#All],[PID]],0)),INDEX(Table3[[#All],[T]],MATCH(Table5[[#This Row],[PID]],Table3[[#All],[PID]],0)))</f>
        <v>R</v>
      </c>
      <c r="J93" s="52" t="str">
        <f>IF($C93="B",INDEX(Batters[[#All],[WE]],MATCH(Table5[[#This Row],[PID]],Batters[[#All],[PID]],0)),INDEX(Table3[[#All],[WE]],MATCH(Table5[[#This Row],[PID]],Table3[[#All],[PID]],0)))</f>
        <v>High</v>
      </c>
      <c r="K93" s="52" t="str">
        <f>IF($C93="B",INDEX(Batters[[#All],[INT]],MATCH(Table5[[#This Row],[PID]],Batters[[#All],[PID]],0)),INDEX(Table3[[#All],[INT]],MATCH(Table5[[#This Row],[PID]],Table3[[#All],[PID]],0)))</f>
        <v>Normal</v>
      </c>
      <c r="L93" s="60">
        <f>IF($C93="B",INDEX(Batters[[#All],[CON P]],MATCH(Table5[[#This Row],[PID]],Batters[[#All],[PID]],0)),INDEX(Table3[[#All],[STU P]],MATCH(Table5[[#This Row],[PID]],Table3[[#All],[PID]],0)))</f>
        <v>4</v>
      </c>
      <c r="M93" s="56">
        <f>IF($C93="B",INDEX(Batters[[#All],[GAP P]],MATCH(Table5[[#This Row],[PID]],Batters[[#All],[PID]],0)),INDEX(Table3[[#All],[MOV P]],MATCH(Table5[[#This Row],[PID]],Table3[[#All],[PID]],0)))</f>
        <v>3</v>
      </c>
      <c r="N93" s="56">
        <f>IF($C93="B",INDEX(Batters[[#All],[POW P]],MATCH(Table5[[#This Row],[PID]],Batters[[#All],[PID]],0)),INDEX(Table3[[#All],[CON P]],MATCH(Table5[[#This Row],[PID]],Table3[[#All],[PID]],0)))</f>
        <v>7</v>
      </c>
      <c r="O93" s="56" t="str">
        <f>IF($C93="B",INDEX(Batters[[#All],[EYE P]],MATCH(Table5[[#This Row],[PID]],Batters[[#All],[PID]],0)),INDEX(Table3[[#All],[VELO]],MATCH(Table5[[#This Row],[PID]],Table3[[#All],[PID]],0)))</f>
        <v>91-93 Mph</v>
      </c>
      <c r="P93" s="56">
        <f>IF($C93="B",INDEX(Batters[[#All],[K P]],MATCH(Table5[[#This Row],[PID]],Batters[[#All],[PID]],0)),INDEX(Table3[[#All],[STM]],MATCH(Table5[[#This Row],[PID]],Table3[[#All],[PID]],0)))</f>
        <v>7</v>
      </c>
      <c r="Q93" s="61">
        <f>IF($C93="B",INDEX(Batters[[#All],[Tot]],MATCH(Table5[[#This Row],[PID]],Batters[[#All],[PID]],0)),INDEX(Table3[[#All],[Tot]],MATCH(Table5[[#This Row],[PID]],Table3[[#All],[PID]],0)))</f>
        <v>54.57641290118562</v>
      </c>
      <c r="R93" s="52">
        <f>IF($C93="B",INDEX(Batters[[#All],[zScore]],MATCH(Table5[[#This Row],[PID]],Batters[[#All],[PID]],0)),INDEX(Table3[[#All],[zScore]],MATCH(Table5[[#This Row],[PID]],Table3[[#All],[PID]],0)))</f>
        <v>1.1944146863541418</v>
      </c>
      <c r="S93" s="58" t="str">
        <f>IF($C93="B",INDEX(Batters[[#All],[DEM]],MATCH(Table5[[#This Row],[PID]],Batters[[#All],[PID]],0)),INDEX(Table3[[#All],[DEM]],MATCH(Table5[[#This Row],[PID]],Table3[[#All],[PID]],0)))</f>
        <v>$20k</v>
      </c>
      <c r="T93" s="62">
        <f>IF($C93="B",INDEX(Batters[[#All],[Rnk]],MATCH(Table5[[#This Row],[PID]],Batters[[#All],[PID]],0)),INDEX(Table3[[#All],[Rnk]],MATCH(Table5[[#This Row],[PID]],Table3[[#All],[PID]],0)))</f>
        <v>29</v>
      </c>
      <c r="U93" s="67">
        <f>IF($C93="B",VLOOKUP($A93,Bat!$A$4:$BA$1314,47,FALSE),VLOOKUP($A93,Pit!$A$4:$BF$1214,56,FALSE))</f>
        <v>43</v>
      </c>
      <c r="V93" s="50">
        <f>IF($C93="B",VLOOKUP($A93,Bat!$A$4:$BA$1314,48,FALSE),VLOOKUP($A93,Pit!$A$4:$BF$1214,57,FALSE))</f>
        <v>0</v>
      </c>
      <c r="W93" s="50">
        <v>89</v>
      </c>
      <c r="X93" s="51">
        <f>RANK(Table5[[#This Row],[zScore]],Table5[[#All],[zScore]])</f>
        <v>120</v>
      </c>
      <c r="Y93" s="50">
        <f>IFERROR(INDEX(DraftResults[[#All],[OVR]],MATCH(Table5[[#This Row],[PID]],DraftResults[[#All],[Player ID]],0)),"")</f>
        <v>78</v>
      </c>
      <c r="Z93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3</v>
      </c>
      <c r="AA93" s="50">
        <f>IFERROR(INDEX(DraftResults[[#All],[Pick in Round]],MATCH(Table5[[#This Row],[PID]],DraftResults[[#All],[Player ID]],0)),"")</f>
        <v>6</v>
      </c>
      <c r="AB93" s="50" t="str">
        <f>IFERROR(INDEX(DraftResults[[#All],[Team Name]],MATCH(Table5[[#This Row],[PID]],DraftResults[[#All],[Player ID]],0)),"")</f>
        <v>New Orleans Trendsetters</v>
      </c>
      <c r="AC93" s="50">
        <f>IF(Table5[[#This Row],[Ovr]]="","",IF(Table5[[#This Row],[cmbList]]="","",Table5[[#This Row],[cmbList]]-Table5[[#This Row],[Ovr]]))</f>
        <v>11</v>
      </c>
      <c r="AD93" s="54" t="str">
        <f>IF(ISERROR(VLOOKUP($AB93&amp;"-"&amp;$E93&amp;" "&amp;F93,Bonuses!$B$1:$G$1006,4,FALSE)),"",INT(VLOOKUP($AB93&amp;"-"&amp;$E93&amp;" "&amp;$F93,Bonuses!$B$1:$G$1006,4,FALSE)))</f>
        <v/>
      </c>
      <c r="AE93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3.6 (78) - SP Masaaki Watanabe</v>
      </c>
    </row>
    <row r="94" spans="1:31" s="50" customFormat="1" x14ac:dyDescent="0.3">
      <c r="A94" s="50">
        <v>10913</v>
      </c>
      <c r="B94" s="50">
        <f>COUNTIF(Table5[PID],A94)</f>
        <v>1</v>
      </c>
      <c r="C94" s="50" t="str">
        <f>IF(COUNTIF(Table3[[#All],[PID]],A94)&gt;0,"P","B")</f>
        <v>P</v>
      </c>
      <c r="D94" s="59" t="str">
        <f>IF($C94="B",INDEX(Batters[[#All],[POS]],MATCH(Table5[[#This Row],[PID]],Batters[[#All],[PID]],0)),INDEX(Table3[[#All],[POS]],MATCH(Table5[[#This Row],[PID]],Table3[[#All],[PID]],0)))</f>
        <v>RP</v>
      </c>
      <c r="E94" s="52" t="str">
        <f>IF($C94="B",INDEX(Batters[[#All],[First]],MATCH(Table5[[#This Row],[PID]],Batters[[#All],[PID]],0)),INDEX(Table3[[#All],[First]],MATCH(Table5[[#This Row],[PID]],Table3[[#All],[PID]],0)))</f>
        <v>Sean</v>
      </c>
      <c r="F94" s="50" t="str">
        <f>IF($C94="B",INDEX(Batters[[#All],[Last]],MATCH(A94,Batters[[#All],[PID]],0)),INDEX(Table3[[#All],[Last]],MATCH(A94,Table3[[#All],[PID]],0)))</f>
        <v>Martin</v>
      </c>
      <c r="G94" s="56">
        <f>IF($C94="B",INDEX(Batters[[#All],[Age]],MATCH(Table5[[#This Row],[PID]],Batters[[#All],[PID]],0)),INDEX(Table3[[#All],[Age]],MATCH(Table5[[#This Row],[PID]],Table3[[#All],[PID]],0)))</f>
        <v>17</v>
      </c>
      <c r="H94" s="52" t="str">
        <f>IF($C94="B",INDEX(Batters[[#All],[B]],MATCH(Table5[[#This Row],[PID]],Batters[[#All],[PID]],0)),INDEX(Table3[[#All],[B]],MATCH(Table5[[#This Row],[PID]],Table3[[#All],[PID]],0)))</f>
        <v>R</v>
      </c>
      <c r="I94" s="52" t="str">
        <f>IF($C94="B",INDEX(Batters[[#All],[T]],MATCH(Table5[[#This Row],[PID]],Batters[[#All],[PID]],0)),INDEX(Table3[[#All],[T]],MATCH(Table5[[#This Row],[PID]],Table3[[#All],[PID]],0)))</f>
        <v>R</v>
      </c>
      <c r="J94" s="52" t="str">
        <f>IF($C94="B",INDEX(Batters[[#All],[WE]],MATCH(Table5[[#This Row],[PID]],Batters[[#All],[PID]],0)),INDEX(Table3[[#All],[WE]],MATCH(Table5[[#This Row],[PID]],Table3[[#All],[PID]],0)))</f>
        <v>High</v>
      </c>
      <c r="K94" s="52" t="str">
        <f>IF($C94="B",INDEX(Batters[[#All],[INT]],MATCH(Table5[[#This Row],[PID]],Batters[[#All],[PID]],0)),INDEX(Table3[[#All],[INT]],MATCH(Table5[[#This Row],[PID]],Table3[[#All],[PID]],0)))</f>
        <v>High</v>
      </c>
      <c r="L94" s="60">
        <f>IF($C94="B",INDEX(Batters[[#All],[CON P]],MATCH(Table5[[#This Row],[PID]],Batters[[#All],[PID]],0)),INDEX(Table3[[#All],[STU P]],MATCH(Table5[[#This Row],[PID]],Table3[[#All],[PID]],0)))</f>
        <v>6</v>
      </c>
      <c r="M94" s="56">
        <f>IF($C94="B",INDEX(Batters[[#All],[GAP P]],MATCH(Table5[[#This Row],[PID]],Batters[[#All],[PID]],0)),INDEX(Table3[[#All],[MOV P]],MATCH(Table5[[#This Row],[PID]],Table3[[#All],[PID]],0)))</f>
        <v>3</v>
      </c>
      <c r="N94" s="56">
        <f>IF($C94="B",INDEX(Batters[[#All],[POW P]],MATCH(Table5[[#This Row],[PID]],Batters[[#All],[PID]],0)),INDEX(Table3[[#All],[CON P]],MATCH(Table5[[#This Row],[PID]],Table3[[#All],[PID]],0)))</f>
        <v>6</v>
      </c>
      <c r="O94" s="56" t="str">
        <f>IF($C94="B",INDEX(Batters[[#All],[EYE P]],MATCH(Table5[[#This Row],[PID]],Batters[[#All],[PID]],0)),INDEX(Table3[[#All],[VELO]],MATCH(Table5[[#This Row],[PID]],Table3[[#All],[PID]],0)))</f>
        <v>92-94 Mph</v>
      </c>
      <c r="P94" s="56">
        <f>IF($C94="B",INDEX(Batters[[#All],[K P]],MATCH(Table5[[#This Row],[PID]],Batters[[#All],[PID]],0)),INDEX(Table3[[#All],[STM]],MATCH(Table5[[#This Row],[PID]],Table3[[#All],[PID]],0)))</f>
        <v>6</v>
      </c>
      <c r="Q94" s="61">
        <f>IF($C94="B",INDEX(Batters[[#All],[Tot]],MATCH(Table5[[#This Row],[PID]],Batters[[#All],[PID]],0)),INDEX(Table3[[#All],[Tot]],MATCH(Table5[[#This Row],[PID]],Table3[[#All],[PID]],0)))</f>
        <v>62.325950644555832</v>
      </c>
      <c r="R94" s="52">
        <f>IF($C94="B",INDEX(Batters[[#All],[zScore]],MATCH(Table5[[#This Row],[PID]],Batters[[#All],[PID]],0)),INDEX(Table3[[#All],[zScore]],MATCH(Table5[[#This Row],[PID]],Table3[[#All],[PID]],0)))</f>
        <v>1.7462362751966689</v>
      </c>
      <c r="S94" s="58" t="str">
        <f>IF($C94="B",INDEX(Batters[[#All],[DEM]],MATCH(Table5[[#This Row],[PID]],Batters[[#All],[PID]],0)),INDEX(Table3[[#All],[DEM]],MATCH(Table5[[#This Row],[PID]],Table3[[#All],[PID]],0)))</f>
        <v>$190k</v>
      </c>
      <c r="T94" s="62">
        <f>IF($C94="B",INDEX(Batters[[#All],[Rnk]],MATCH(Table5[[#This Row],[PID]],Batters[[#All],[PID]],0)),INDEX(Table3[[#All],[Rnk]],MATCH(Table5[[#This Row],[PID]],Table3[[#All],[PID]],0)))</f>
        <v>30</v>
      </c>
      <c r="U94" s="67">
        <f>IF($C94="B",VLOOKUP($A94,Bat!$A$4:$BA$1314,47,FALSE),VLOOKUP($A94,Pit!$A$4:$BF$1214,56,FALSE))</f>
        <v>44</v>
      </c>
      <c r="V94" s="50">
        <f>IF($C94="B",VLOOKUP($A94,Bat!$A$4:$BA$1314,48,FALSE),VLOOKUP($A94,Pit!$A$4:$BF$1214,57,FALSE))</f>
        <v>0</v>
      </c>
      <c r="W94" s="68">
        <v>90</v>
      </c>
      <c r="X94" s="51">
        <f>RANK(Table5[[#This Row],[zScore]],Table5[[#All],[zScore]])</f>
        <v>56</v>
      </c>
      <c r="Y94" s="50">
        <f>IFERROR(INDEX(DraftResults[[#All],[OVR]],MATCH(Table5[[#This Row],[PID]],DraftResults[[#All],[Player ID]],0)),"")</f>
        <v>95</v>
      </c>
      <c r="Z94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3</v>
      </c>
      <c r="AA94" s="50">
        <f>IFERROR(INDEX(DraftResults[[#All],[Pick in Round]],MATCH(Table5[[#This Row],[PID]],DraftResults[[#All],[Player ID]],0)),"")</f>
        <v>23</v>
      </c>
      <c r="AB94" s="50" t="str">
        <f>IFERROR(INDEX(DraftResults[[#All],[Team Name]],MATCH(Table5[[#This Row],[PID]],DraftResults[[#All],[Player ID]],0)),"")</f>
        <v>Bakersfield Bears</v>
      </c>
      <c r="AC94" s="50">
        <f>IF(Table5[[#This Row],[Ovr]]="","",IF(Table5[[#This Row],[cmbList]]="","",Table5[[#This Row],[cmbList]]-Table5[[#This Row],[Ovr]]))</f>
        <v>-5</v>
      </c>
      <c r="AD94" s="54" t="str">
        <f>IF(ISERROR(VLOOKUP($AB94&amp;"-"&amp;$E94&amp;" "&amp;F94,Bonuses!$B$1:$G$1006,4,FALSE)),"",INT(VLOOKUP($AB94&amp;"-"&amp;$E94&amp;" "&amp;$F94,Bonuses!$B$1:$G$1006,4,FALSE)))</f>
        <v/>
      </c>
      <c r="AE94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3.23 (95) - RP Sean Martin</v>
      </c>
    </row>
    <row r="95" spans="1:31" s="50" customFormat="1" x14ac:dyDescent="0.3">
      <c r="A95" s="67">
        <v>14930</v>
      </c>
      <c r="B95" s="68">
        <f>COUNTIF(Table5[PID],A95)</f>
        <v>1</v>
      </c>
      <c r="C95" s="68" t="str">
        <f>IF(COUNTIF(Table3[[#All],[PID]],A95)&gt;0,"P","B")</f>
        <v>P</v>
      </c>
      <c r="D95" s="59" t="str">
        <f>IF($C95="B",INDEX(Batters[[#All],[POS]],MATCH(Table5[[#This Row],[PID]],Batters[[#All],[PID]],0)),INDEX(Table3[[#All],[POS]],MATCH(Table5[[#This Row],[PID]],Table3[[#All],[PID]],0)))</f>
        <v>SP</v>
      </c>
      <c r="E95" s="52" t="str">
        <f>IF($C95="B",INDEX(Batters[[#All],[First]],MATCH(Table5[[#This Row],[PID]],Batters[[#All],[PID]],0)),INDEX(Table3[[#All],[First]],MATCH(Table5[[#This Row],[PID]],Table3[[#All],[PID]],0)))</f>
        <v>Doug</v>
      </c>
      <c r="F95" s="55" t="str">
        <f>IF($C95="B",INDEX(Batters[[#All],[Last]],MATCH(A95,Batters[[#All],[PID]],0)),INDEX(Table3[[#All],[Last]],MATCH(A95,Table3[[#All],[PID]],0)))</f>
        <v>Vera</v>
      </c>
      <c r="G95" s="56">
        <f>IF($C95="B",INDEX(Batters[[#All],[Age]],MATCH(Table5[[#This Row],[PID]],Batters[[#All],[PID]],0)),INDEX(Table3[[#All],[Age]],MATCH(Table5[[#This Row],[PID]],Table3[[#All],[PID]],0)))</f>
        <v>21</v>
      </c>
      <c r="H95" s="52" t="str">
        <f>IF($C95="B",INDEX(Batters[[#All],[B]],MATCH(Table5[[#This Row],[PID]],Batters[[#All],[PID]],0)),INDEX(Table3[[#All],[B]],MATCH(Table5[[#This Row],[PID]],Table3[[#All],[PID]],0)))</f>
        <v>R</v>
      </c>
      <c r="I95" s="52" t="str">
        <f>IF($C95="B",INDEX(Batters[[#All],[T]],MATCH(Table5[[#This Row],[PID]],Batters[[#All],[PID]],0)),INDEX(Table3[[#All],[T]],MATCH(Table5[[#This Row],[PID]],Table3[[#All],[PID]],0)))</f>
        <v>R</v>
      </c>
      <c r="J95" s="69" t="str">
        <f>IF($C95="B",INDEX(Batters[[#All],[WE]],MATCH(Table5[[#This Row],[PID]],Batters[[#All],[PID]],0)),INDEX(Table3[[#All],[WE]],MATCH(Table5[[#This Row],[PID]],Table3[[#All],[PID]],0)))</f>
        <v>Normal</v>
      </c>
      <c r="K95" s="52" t="str">
        <f>IF($C95="B",INDEX(Batters[[#All],[INT]],MATCH(Table5[[#This Row],[PID]],Batters[[#All],[PID]],0)),INDEX(Table3[[#All],[INT]],MATCH(Table5[[#This Row],[PID]],Table3[[#All],[PID]],0)))</f>
        <v>Normal</v>
      </c>
      <c r="L95" s="60">
        <f>IF($C95="B",INDEX(Batters[[#All],[CON P]],MATCH(Table5[[#This Row],[PID]],Batters[[#All],[PID]],0)),INDEX(Table3[[#All],[STU P]],MATCH(Table5[[#This Row],[PID]],Table3[[#All],[PID]],0)))</f>
        <v>6</v>
      </c>
      <c r="M95" s="70">
        <f>IF($C95="B",INDEX(Batters[[#All],[GAP P]],MATCH(Table5[[#This Row],[PID]],Batters[[#All],[PID]],0)),INDEX(Table3[[#All],[MOV P]],MATCH(Table5[[#This Row],[PID]],Table3[[#All],[PID]],0)))</f>
        <v>4</v>
      </c>
      <c r="N95" s="70">
        <f>IF($C95="B",INDEX(Batters[[#All],[POW P]],MATCH(Table5[[#This Row],[PID]],Batters[[#All],[PID]],0)),INDEX(Table3[[#All],[CON P]],MATCH(Table5[[#This Row],[PID]],Table3[[#All],[PID]],0)))</f>
        <v>5</v>
      </c>
      <c r="O95" s="70" t="str">
        <f>IF($C95="B",INDEX(Batters[[#All],[EYE P]],MATCH(Table5[[#This Row],[PID]],Batters[[#All],[PID]],0)),INDEX(Table3[[#All],[VELO]],MATCH(Table5[[#This Row],[PID]],Table3[[#All],[PID]],0)))</f>
        <v>97-99 Mph</v>
      </c>
      <c r="P95" s="56">
        <f>IF($C95="B",INDEX(Batters[[#All],[K P]],MATCH(Table5[[#This Row],[PID]],Batters[[#All],[PID]],0)),INDEX(Table3[[#All],[STM]],MATCH(Table5[[#This Row],[PID]],Table3[[#All],[PID]],0)))</f>
        <v>8</v>
      </c>
      <c r="Q95" s="61">
        <f>IF($C95="B",INDEX(Batters[[#All],[Tot]],MATCH(Table5[[#This Row],[PID]],Batters[[#All],[PID]],0)),INDEX(Table3[[#All],[Tot]],MATCH(Table5[[#This Row],[PID]],Table3[[#All],[PID]],0)))</f>
        <v>57.167096808645987</v>
      </c>
      <c r="R95" s="52">
        <f>IF($C95="B",INDEX(Batters[[#All],[zScore]],MATCH(Table5[[#This Row],[PID]],Batters[[#All],[PID]],0)),INDEX(Table3[[#All],[zScore]],MATCH(Table5[[#This Row],[PID]],Table3[[#All],[PID]],0)))</f>
        <v>1.3788896005161608</v>
      </c>
      <c r="S95" s="75" t="str">
        <f>IF($C95="B",INDEX(Batters[[#All],[DEM]],MATCH(Table5[[#This Row],[PID]],Batters[[#All],[PID]],0)),INDEX(Table3[[#All],[DEM]],MATCH(Table5[[#This Row],[PID]],Table3[[#All],[PID]],0)))</f>
        <v>$850k</v>
      </c>
      <c r="T95" s="72">
        <f>IF($C95="B",INDEX(Batters[[#All],[Rnk]],MATCH(Table5[[#This Row],[PID]],Batters[[#All],[PID]],0)),INDEX(Table3[[#All],[Rnk]],MATCH(Table5[[#This Row],[PID]],Table3[[#All],[PID]],0)))</f>
        <v>31</v>
      </c>
      <c r="U95" s="67">
        <f>IF($C95="B",VLOOKUP($A95,Bat!$A$4:$BA$1314,47,FALSE),VLOOKUP($A95,Pit!$A$4:$BF$1214,56,FALSE))</f>
        <v>45</v>
      </c>
      <c r="V95" s="50">
        <f>IF($C95="B",VLOOKUP($A95,Bat!$A$4:$BA$1314,48,FALSE),VLOOKUP($A95,Pit!$A$4:$BF$1214,57,FALSE))</f>
        <v>0</v>
      </c>
      <c r="W95" s="50">
        <v>91</v>
      </c>
      <c r="X95" s="71">
        <f>RANK(Table5[[#This Row],[zScore]],Table5[[#All],[zScore]])</f>
        <v>86</v>
      </c>
      <c r="Y95" s="68">
        <f>IFERROR(INDEX(DraftResults[[#All],[OVR]],MATCH(Table5[[#This Row],[PID]],DraftResults[[#All],[Player ID]],0)),"")</f>
        <v>65</v>
      </c>
      <c r="Z95" s="7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2</v>
      </c>
      <c r="AA95" s="68">
        <f>IFERROR(INDEX(DraftResults[[#All],[Pick in Round]],MATCH(Table5[[#This Row],[PID]],DraftResults[[#All],[Player ID]],0)),"")</f>
        <v>29</v>
      </c>
      <c r="AB95" s="68" t="str">
        <f>IFERROR(INDEX(DraftResults[[#All],[Team Name]],MATCH(Table5[[#This Row],[PID]],DraftResults[[#All],[Player ID]],0)),"")</f>
        <v>Neo-Tokyo Akira</v>
      </c>
      <c r="AC95" s="68">
        <f>IF(Table5[[#This Row],[Ovr]]="","",IF(Table5[[#This Row],[cmbList]]="","",Table5[[#This Row],[cmbList]]-Table5[[#This Row],[Ovr]]))</f>
        <v>26</v>
      </c>
      <c r="AD95" s="74" t="str">
        <f>IF(ISERROR(VLOOKUP($AB95&amp;"-"&amp;$E95&amp;" "&amp;F95,Bonuses!$B$1:$G$1006,4,FALSE)),"",INT(VLOOKUP($AB95&amp;"-"&amp;$E95&amp;" "&amp;$F95,Bonuses!$B$1:$G$1006,4,FALSE)))</f>
        <v/>
      </c>
      <c r="AE95" s="68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2.29 (65) - SP Doug Vera</v>
      </c>
    </row>
    <row r="96" spans="1:31" s="50" customFormat="1" x14ac:dyDescent="0.3">
      <c r="A96" s="50">
        <v>13245</v>
      </c>
      <c r="B96" s="50">
        <f>COUNTIF(Table5[PID],A96)</f>
        <v>1</v>
      </c>
      <c r="C96" s="50" t="str">
        <f>IF(COUNTIF(Table3[[#All],[PID]],A96)&gt;0,"P","B")</f>
        <v>B</v>
      </c>
      <c r="D96" s="59" t="str">
        <f>IF($C96="B",INDEX(Batters[[#All],[POS]],MATCH(Table5[[#This Row],[PID]],Batters[[#All],[PID]],0)),INDEX(Table3[[#All],[POS]],MATCH(Table5[[#This Row],[PID]],Table3[[#All],[PID]],0)))</f>
        <v>2B</v>
      </c>
      <c r="E96" s="52" t="str">
        <f>IF($C96="B",INDEX(Batters[[#All],[First]],MATCH(Table5[[#This Row],[PID]],Batters[[#All],[PID]],0)),INDEX(Table3[[#All],[First]],MATCH(Table5[[#This Row],[PID]],Table3[[#All],[PID]],0)))</f>
        <v>Jun</v>
      </c>
      <c r="F96" s="50" t="str">
        <f>IF($C96="B",INDEX(Batters[[#All],[Last]],MATCH(A96,Batters[[#All],[PID]],0)),INDEX(Table3[[#All],[Last]],MATCH(A96,Table3[[#All],[PID]],0)))</f>
        <v>Shibata</v>
      </c>
      <c r="G96" s="56">
        <f>IF($C96="B",INDEX(Batters[[#All],[Age]],MATCH(Table5[[#This Row],[PID]],Batters[[#All],[PID]],0)),INDEX(Table3[[#All],[Age]],MATCH(Table5[[#This Row],[PID]],Table3[[#All],[PID]],0)))</f>
        <v>18</v>
      </c>
      <c r="H96" s="52" t="str">
        <f>IF($C96="B",INDEX(Batters[[#All],[B]],MATCH(Table5[[#This Row],[PID]],Batters[[#All],[PID]],0)),INDEX(Table3[[#All],[B]],MATCH(Table5[[#This Row],[PID]],Table3[[#All],[PID]],0)))</f>
        <v>L</v>
      </c>
      <c r="I96" s="52" t="str">
        <f>IF($C96="B",INDEX(Batters[[#All],[T]],MATCH(Table5[[#This Row],[PID]],Batters[[#All],[PID]],0)),INDEX(Table3[[#All],[T]],MATCH(Table5[[#This Row],[PID]],Table3[[#All],[PID]],0)))</f>
        <v>R</v>
      </c>
      <c r="J96" s="52" t="str">
        <f>IF($C96="B",INDEX(Batters[[#All],[WE]],MATCH(Table5[[#This Row],[PID]],Batters[[#All],[PID]],0)),INDEX(Table3[[#All],[WE]],MATCH(Table5[[#This Row],[PID]],Table3[[#All],[PID]],0)))</f>
        <v>High</v>
      </c>
      <c r="K96" s="52" t="str">
        <f>IF($C96="B",INDEX(Batters[[#All],[INT]],MATCH(Table5[[#This Row],[PID]],Batters[[#All],[PID]],0)),INDEX(Table3[[#All],[INT]],MATCH(Table5[[#This Row],[PID]],Table3[[#All],[PID]],0)))</f>
        <v>Normal</v>
      </c>
      <c r="L96" s="60">
        <f>IF($C96="B",INDEX(Batters[[#All],[CON P]],MATCH(Table5[[#This Row],[PID]],Batters[[#All],[PID]],0)),INDEX(Table3[[#All],[STU P]],MATCH(Table5[[#This Row],[PID]],Table3[[#All],[PID]],0)))</f>
        <v>4</v>
      </c>
      <c r="M96" s="56">
        <f>IF($C96="B",INDEX(Batters[[#All],[GAP P]],MATCH(Table5[[#This Row],[PID]],Batters[[#All],[PID]],0)),INDEX(Table3[[#All],[MOV P]],MATCH(Table5[[#This Row],[PID]],Table3[[#All],[PID]],0)))</f>
        <v>10</v>
      </c>
      <c r="N96" s="56">
        <f>IF($C96="B",INDEX(Batters[[#All],[POW P]],MATCH(Table5[[#This Row],[PID]],Batters[[#All],[PID]],0)),INDEX(Table3[[#All],[CON P]],MATCH(Table5[[#This Row],[PID]],Table3[[#All],[PID]],0)))</f>
        <v>5</v>
      </c>
      <c r="O96" s="56">
        <f>IF($C96="B",INDEX(Batters[[#All],[EYE P]],MATCH(Table5[[#This Row],[PID]],Batters[[#All],[PID]],0)),INDEX(Table3[[#All],[VELO]],MATCH(Table5[[#This Row],[PID]],Table3[[#All],[PID]],0)))</f>
        <v>6</v>
      </c>
      <c r="P96" s="56">
        <f>IF($C96="B",INDEX(Batters[[#All],[K P]],MATCH(Table5[[#This Row],[PID]],Batters[[#All],[PID]],0)),INDEX(Table3[[#All],[STM]],MATCH(Table5[[#This Row],[PID]],Table3[[#All],[PID]],0)))</f>
        <v>5</v>
      </c>
      <c r="Q96" s="61">
        <f>IF($C96="B",INDEX(Batters[[#All],[Tot]],MATCH(Table5[[#This Row],[PID]],Batters[[#All],[PID]],0)),INDEX(Table3[[#All],[Tot]],MATCH(Table5[[#This Row],[PID]],Table3[[#All],[PID]],0)))</f>
        <v>54.399837963281854</v>
      </c>
      <c r="R96" s="52">
        <f>IF($C96="B",INDEX(Batters[[#All],[zScore]],MATCH(Table5[[#This Row],[PID]],Batters[[#All],[PID]],0)),INDEX(Table3[[#All],[zScore]],MATCH(Table5[[#This Row],[PID]],Table3[[#All],[PID]],0)))</f>
        <v>1.632120143991395</v>
      </c>
      <c r="S96" s="58" t="str">
        <f>IF($C96="B",INDEX(Batters[[#All],[DEM]],MATCH(Table5[[#This Row],[PID]],Batters[[#All],[PID]],0)),INDEX(Table3[[#All],[DEM]],MATCH(Table5[[#This Row],[PID]],Table3[[#All],[PID]],0)))</f>
        <v>$440k</v>
      </c>
      <c r="T96" s="62">
        <f>IF($C96="B",INDEX(Batters[[#All],[Rnk]],MATCH(Table5[[#This Row],[PID]],Batters[[#All],[PID]],0)),INDEX(Table3[[#All],[Rnk]],MATCH(Table5[[#This Row],[PID]],Table3[[#All],[PID]],0)))</f>
        <v>6</v>
      </c>
      <c r="U96" s="67">
        <f>IF($C96="B",VLOOKUP($A96,Bat!$A$4:$BA$1314,47,FALSE),VLOOKUP($A96,Pit!$A$4:$BF$1214,56,FALSE))</f>
        <v>46</v>
      </c>
      <c r="V96" s="50">
        <f>IF($C96="B",VLOOKUP($A96,Bat!$A$4:$BA$1314,48,FALSE),VLOOKUP($A96,Pit!$A$4:$BF$1214,57,FALSE))</f>
        <v>46</v>
      </c>
      <c r="W96" s="68">
        <v>92</v>
      </c>
      <c r="X96" s="51">
        <f>RANK(Table5[[#This Row],[zScore]],Table5[[#All],[zScore]])</f>
        <v>67</v>
      </c>
      <c r="Y96" s="50">
        <f>IFERROR(INDEX(DraftResults[[#All],[OVR]],MATCH(Table5[[#This Row],[PID]],DraftResults[[#All],[Player ID]],0)),"")</f>
        <v>68</v>
      </c>
      <c r="Z96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2</v>
      </c>
      <c r="AA96" s="50">
        <f>IFERROR(INDEX(DraftResults[[#All],[Pick in Round]],MATCH(Table5[[#This Row],[PID]],DraftResults[[#All],[Player ID]],0)),"")</f>
        <v>32</v>
      </c>
      <c r="AB96" s="50" t="str">
        <f>IFERROR(INDEX(DraftResults[[#All],[Team Name]],MATCH(Table5[[#This Row],[PID]],DraftResults[[#All],[Player ID]],0)),"")</f>
        <v>Gloucester Fishermen</v>
      </c>
      <c r="AC96" s="50">
        <f>IF(Table5[[#This Row],[Ovr]]="","",IF(Table5[[#This Row],[cmbList]]="","",Table5[[#This Row],[cmbList]]-Table5[[#This Row],[Ovr]]))</f>
        <v>24</v>
      </c>
      <c r="AD96" s="54" t="str">
        <f>IF(ISERROR(VLOOKUP($AB96&amp;"-"&amp;$E96&amp;" "&amp;F96,Bonuses!$B$1:$G$1006,4,FALSE)),"",INT(VLOOKUP($AB96&amp;"-"&amp;$E96&amp;" "&amp;$F96,Bonuses!$B$1:$G$1006,4,FALSE)))</f>
        <v/>
      </c>
      <c r="AE96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2.32 (68) - 2B Jun Shibata</v>
      </c>
    </row>
    <row r="97" spans="1:31" s="50" customFormat="1" x14ac:dyDescent="0.3">
      <c r="A97" s="50">
        <v>11914</v>
      </c>
      <c r="B97" s="50">
        <f>COUNTIF(Table5[PID],A97)</f>
        <v>1</v>
      </c>
      <c r="C97" s="50" t="str">
        <f>IF(COUNTIF(Table3[[#All],[PID]],A97)&gt;0,"P","B")</f>
        <v>B</v>
      </c>
      <c r="D97" s="59" t="str">
        <f>IF($C97="B",INDEX(Batters[[#All],[POS]],MATCH(Table5[[#This Row],[PID]],Batters[[#All],[PID]],0)),INDEX(Table3[[#All],[POS]],MATCH(Table5[[#This Row],[PID]],Table3[[#All],[PID]],0)))</f>
        <v>LF</v>
      </c>
      <c r="E97" s="52" t="str">
        <f>IF($C97="B",INDEX(Batters[[#All],[First]],MATCH(Table5[[#This Row],[PID]],Batters[[#All],[PID]],0)),INDEX(Table3[[#All],[First]],MATCH(Table5[[#This Row],[PID]],Table3[[#All],[PID]],0)))</f>
        <v>Miguel</v>
      </c>
      <c r="F97" s="50" t="str">
        <f>IF($C97="B",INDEX(Batters[[#All],[Last]],MATCH(A97,Batters[[#All],[PID]],0)),INDEX(Table3[[#All],[Last]],MATCH(A97,Table3[[#All],[PID]],0)))</f>
        <v>Ortega</v>
      </c>
      <c r="G97" s="56">
        <f>IF($C97="B",INDEX(Batters[[#All],[Age]],MATCH(Table5[[#This Row],[PID]],Batters[[#All],[PID]],0)),INDEX(Table3[[#All],[Age]],MATCH(Table5[[#This Row],[PID]],Table3[[#All],[PID]],0)))</f>
        <v>18</v>
      </c>
      <c r="H97" s="52" t="str">
        <f>IF($C97="B",INDEX(Batters[[#All],[B]],MATCH(Table5[[#This Row],[PID]],Batters[[#All],[PID]],0)),INDEX(Table3[[#All],[B]],MATCH(Table5[[#This Row],[PID]],Table3[[#All],[PID]],0)))</f>
        <v>L</v>
      </c>
      <c r="I97" s="52" t="str">
        <f>IF($C97="B",INDEX(Batters[[#All],[T]],MATCH(Table5[[#This Row],[PID]],Batters[[#All],[PID]],0)),INDEX(Table3[[#All],[T]],MATCH(Table5[[#This Row],[PID]],Table3[[#All],[PID]],0)))</f>
        <v>L</v>
      </c>
      <c r="J97" s="52" t="str">
        <f>IF($C97="B",INDEX(Batters[[#All],[WE]],MATCH(Table5[[#This Row],[PID]],Batters[[#All],[PID]],0)),INDEX(Table3[[#All],[WE]],MATCH(Table5[[#This Row],[PID]],Table3[[#All],[PID]],0)))</f>
        <v>High</v>
      </c>
      <c r="K97" s="52" t="str">
        <f>IF($C97="B",INDEX(Batters[[#All],[INT]],MATCH(Table5[[#This Row],[PID]],Batters[[#All],[PID]],0)),INDEX(Table3[[#All],[INT]],MATCH(Table5[[#This Row],[PID]],Table3[[#All],[PID]],0)))</f>
        <v>Normal</v>
      </c>
      <c r="L97" s="60">
        <f>IF($C97="B",INDEX(Batters[[#All],[CON P]],MATCH(Table5[[#This Row],[PID]],Batters[[#All],[PID]],0)),INDEX(Table3[[#All],[STU P]],MATCH(Table5[[#This Row],[PID]],Table3[[#All],[PID]],0)))</f>
        <v>6</v>
      </c>
      <c r="M97" s="56">
        <f>IF($C97="B",INDEX(Batters[[#All],[GAP P]],MATCH(Table5[[#This Row],[PID]],Batters[[#All],[PID]],0)),INDEX(Table3[[#All],[MOV P]],MATCH(Table5[[#This Row],[PID]],Table3[[#All],[PID]],0)))</f>
        <v>6</v>
      </c>
      <c r="N97" s="56">
        <f>IF($C97="B",INDEX(Batters[[#All],[POW P]],MATCH(Table5[[#This Row],[PID]],Batters[[#All],[PID]],0)),INDEX(Table3[[#All],[CON P]],MATCH(Table5[[#This Row],[PID]],Table3[[#All],[PID]],0)))</f>
        <v>4</v>
      </c>
      <c r="O97" s="56">
        <f>IF($C97="B",INDEX(Batters[[#All],[EYE P]],MATCH(Table5[[#This Row],[PID]],Batters[[#All],[PID]],0)),INDEX(Table3[[#All],[VELO]],MATCH(Table5[[#This Row],[PID]],Table3[[#All],[PID]],0)))</f>
        <v>4</v>
      </c>
      <c r="P97" s="56">
        <f>IF($C97="B",INDEX(Batters[[#All],[K P]],MATCH(Table5[[#This Row],[PID]],Batters[[#All],[PID]],0)),INDEX(Table3[[#All],[STM]],MATCH(Table5[[#This Row],[PID]],Table3[[#All],[PID]],0)))</f>
        <v>7</v>
      </c>
      <c r="Q97" s="61">
        <f>IF($C97="B",INDEX(Batters[[#All],[Tot]],MATCH(Table5[[#This Row],[PID]],Batters[[#All],[PID]],0)),INDEX(Table3[[#All],[Tot]],MATCH(Table5[[#This Row],[PID]],Table3[[#All],[PID]],0)))</f>
        <v>56.691591793604772</v>
      </c>
      <c r="R97" s="52">
        <f>IF($C97="B",INDEX(Batters[[#All],[zScore]],MATCH(Table5[[#This Row],[PID]],Batters[[#All],[PID]],0)),INDEX(Table3[[#All],[zScore]],MATCH(Table5[[#This Row],[PID]],Table3[[#All],[PID]],0)))</f>
        <v>1.9666431183802513</v>
      </c>
      <c r="S97" s="58" t="str">
        <f>IF($C97="B",INDEX(Batters[[#All],[DEM]],MATCH(Table5[[#This Row],[PID]],Batters[[#All],[PID]],0)),INDEX(Table3[[#All],[DEM]],MATCH(Table5[[#This Row],[PID]],Table3[[#All],[PID]],0)))</f>
        <v>$190k</v>
      </c>
      <c r="T97" s="62">
        <f>IF($C97="B",INDEX(Batters[[#All],[Rnk]],MATCH(Table5[[#This Row],[PID]],Batters[[#All],[PID]],0)),INDEX(Table3[[#All],[Rnk]],MATCH(Table5[[#This Row],[PID]],Table3[[#All],[PID]],0)))</f>
        <v>6</v>
      </c>
      <c r="U97" s="67">
        <f>IF($C97="B",VLOOKUP($A97,Bat!$A$4:$BA$1314,47,FALSE),VLOOKUP($A97,Pit!$A$4:$BF$1214,56,FALSE))</f>
        <v>47</v>
      </c>
      <c r="V97" s="50">
        <f>IF($C97="B",VLOOKUP($A97,Bat!$A$4:$BA$1314,48,FALSE),VLOOKUP($A97,Pit!$A$4:$BF$1214,57,FALSE))</f>
        <v>47</v>
      </c>
      <c r="W97" s="50">
        <v>93</v>
      </c>
      <c r="X97" s="51">
        <f>RANK(Table5[[#This Row],[zScore]],Table5[[#All],[zScore]])</f>
        <v>40</v>
      </c>
      <c r="Y97" s="50">
        <f>IFERROR(INDEX(DraftResults[[#All],[OVR]],MATCH(Table5[[#This Row],[PID]],DraftResults[[#All],[Player ID]],0)),"")</f>
        <v>76</v>
      </c>
      <c r="Z97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3</v>
      </c>
      <c r="AA97" s="50">
        <f>IFERROR(INDEX(DraftResults[[#All],[Pick in Round]],MATCH(Table5[[#This Row],[PID]],DraftResults[[#All],[Player ID]],0)),"")</f>
        <v>4</v>
      </c>
      <c r="AB97" s="50" t="str">
        <f>IFERROR(INDEX(DraftResults[[#All],[Team Name]],MATCH(Table5[[#This Row],[PID]],DraftResults[[#All],[Player ID]],0)),"")</f>
        <v>Palm Springs Codgers</v>
      </c>
      <c r="AC97" s="50">
        <f>IF(Table5[[#This Row],[Ovr]]="","",IF(Table5[[#This Row],[cmbList]]="","",Table5[[#This Row],[cmbList]]-Table5[[#This Row],[Ovr]]))</f>
        <v>17</v>
      </c>
      <c r="AD97" s="54" t="str">
        <f>IF(ISERROR(VLOOKUP($AB97&amp;"-"&amp;$E97&amp;" "&amp;F97,Bonuses!$B$1:$G$1006,4,FALSE)),"",INT(VLOOKUP($AB97&amp;"-"&amp;$E97&amp;" "&amp;$F97,Bonuses!$B$1:$G$1006,4,FALSE)))</f>
        <v/>
      </c>
      <c r="AE97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3.4 (76) - LF Miguel Ortega</v>
      </c>
    </row>
    <row r="98" spans="1:31" s="50" customFormat="1" x14ac:dyDescent="0.3">
      <c r="A98" s="67">
        <v>8961</v>
      </c>
      <c r="B98" s="68">
        <f>COUNTIF(Table5[PID],A98)</f>
        <v>1</v>
      </c>
      <c r="C98" s="68" t="str">
        <f>IF(COUNTIF(Table3[[#All],[PID]],A98)&gt;0,"P","B")</f>
        <v>B</v>
      </c>
      <c r="D98" s="59" t="str">
        <f>IF($C98="B",INDEX(Batters[[#All],[POS]],MATCH(Table5[[#This Row],[PID]],Batters[[#All],[PID]],0)),INDEX(Table3[[#All],[POS]],MATCH(Table5[[#This Row],[PID]],Table3[[#All],[PID]],0)))</f>
        <v>LF</v>
      </c>
      <c r="E98" s="52" t="str">
        <f>IF($C98="B",INDEX(Batters[[#All],[First]],MATCH(Table5[[#This Row],[PID]],Batters[[#All],[PID]],0)),INDEX(Table3[[#All],[First]],MATCH(Table5[[#This Row],[PID]],Table3[[#All],[PID]],0)))</f>
        <v>Ricardo</v>
      </c>
      <c r="F98" s="55" t="str">
        <f>IF($C98="B",INDEX(Batters[[#All],[Last]],MATCH(A98,Batters[[#All],[PID]],0)),INDEX(Table3[[#All],[Last]],MATCH(A98,Table3[[#All],[PID]],0)))</f>
        <v>Rowland</v>
      </c>
      <c r="G98" s="56">
        <f>IF($C98="B",INDEX(Batters[[#All],[Age]],MATCH(Table5[[#This Row],[PID]],Batters[[#All],[PID]],0)),INDEX(Table3[[#All],[Age]],MATCH(Table5[[#This Row],[PID]],Table3[[#All],[PID]],0)))</f>
        <v>18</v>
      </c>
      <c r="H98" s="52" t="str">
        <f>IF($C98="B",INDEX(Batters[[#All],[B]],MATCH(Table5[[#This Row],[PID]],Batters[[#All],[PID]],0)),INDEX(Table3[[#All],[B]],MATCH(Table5[[#This Row],[PID]],Table3[[#All],[PID]],0)))</f>
        <v>R</v>
      </c>
      <c r="I98" s="52" t="str">
        <f>IF($C98="B",INDEX(Batters[[#All],[T]],MATCH(Table5[[#This Row],[PID]],Batters[[#All],[PID]],0)),INDEX(Table3[[#All],[T]],MATCH(Table5[[#This Row],[PID]],Table3[[#All],[PID]],0)))</f>
        <v>R</v>
      </c>
      <c r="J98" s="69" t="str">
        <f>IF($C98="B",INDEX(Batters[[#All],[WE]],MATCH(Table5[[#This Row],[PID]],Batters[[#All],[PID]],0)),INDEX(Table3[[#All],[WE]],MATCH(Table5[[#This Row],[PID]],Table3[[#All],[PID]],0)))</f>
        <v>Normal</v>
      </c>
      <c r="K98" s="52" t="str">
        <f>IF($C98="B",INDEX(Batters[[#All],[INT]],MATCH(Table5[[#This Row],[PID]],Batters[[#All],[PID]],0)),INDEX(Table3[[#All],[INT]],MATCH(Table5[[#This Row],[PID]],Table3[[#All],[PID]],0)))</f>
        <v>Normal</v>
      </c>
      <c r="L98" s="60">
        <f>IF($C98="B",INDEX(Batters[[#All],[CON P]],MATCH(Table5[[#This Row],[PID]],Batters[[#All],[PID]],0)),INDEX(Table3[[#All],[STU P]],MATCH(Table5[[#This Row],[PID]],Table3[[#All],[PID]],0)))</f>
        <v>5</v>
      </c>
      <c r="M98" s="70">
        <f>IF($C98="B",INDEX(Batters[[#All],[GAP P]],MATCH(Table5[[#This Row],[PID]],Batters[[#All],[PID]],0)),INDEX(Table3[[#All],[MOV P]],MATCH(Table5[[#This Row],[PID]],Table3[[#All],[PID]],0)))</f>
        <v>4</v>
      </c>
      <c r="N98" s="70">
        <f>IF($C98="B",INDEX(Batters[[#All],[POW P]],MATCH(Table5[[#This Row],[PID]],Batters[[#All],[PID]],0)),INDEX(Table3[[#All],[CON P]],MATCH(Table5[[#This Row],[PID]],Table3[[#All],[PID]],0)))</f>
        <v>6</v>
      </c>
      <c r="O98" s="70">
        <f>IF($C98="B",INDEX(Batters[[#All],[EYE P]],MATCH(Table5[[#This Row],[PID]],Batters[[#All],[PID]],0)),INDEX(Table3[[#All],[VELO]],MATCH(Table5[[#This Row],[PID]],Table3[[#All],[PID]],0)))</f>
        <v>4</v>
      </c>
      <c r="P98" s="56">
        <f>IF($C98="B",INDEX(Batters[[#All],[K P]],MATCH(Table5[[#This Row],[PID]],Batters[[#All],[PID]],0)),INDEX(Table3[[#All],[STM]],MATCH(Table5[[#This Row],[PID]],Table3[[#All],[PID]],0)))</f>
        <v>5</v>
      </c>
      <c r="Q98" s="61">
        <f>IF($C98="B",INDEX(Batters[[#All],[Tot]],MATCH(Table5[[#This Row],[PID]],Batters[[#All],[PID]],0)),INDEX(Table3[[#All],[Tot]],MATCH(Table5[[#This Row],[PID]],Table3[[#All],[PID]],0)))</f>
        <v>52.422683977520421</v>
      </c>
      <c r="R98" s="52">
        <f>IF($C98="B",INDEX(Batters[[#All],[zScore]],MATCH(Table5[[#This Row],[PID]],Batters[[#All],[PID]],0)),INDEX(Table3[[#All],[zScore]],MATCH(Table5[[#This Row],[PID]],Table3[[#All],[PID]],0)))</f>
        <v>1.3435187142084668</v>
      </c>
      <c r="S98" s="75" t="str">
        <f>IF($C98="B",INDEX(Batters[[#All],[DEM]],MATCH(Table5[[#This Row],[PID]],Batters[[#All],[PID]],0)),INDEX(Table3[[#All],[DEM]],MATCH(Table5[[#This Row],[PID]],Table3[[#All],[PID]],0)))</f>
        <v>$190k</v>
      </c>
      <c r="T98" s="72">
        <f>IF($C98="B",INDEX(Batters[[#All],[Rnk]],MATCH(Table5[[#This Row],[PID]],Batters[[#All],[PID]],0)),INDEX(Table3[[#All],[Rnk]],MATCH(Table5[[#This Row],[PID]],Table3[[#All],[PID]],0)))</f>
        <v>6</v>
      </c>
      <c r="U98" s="67">
        <f>IF($C98="B",VLOOKUP($A98,Bat!$A$4:$BA$1314,47,FALSE),VLOOKUP($A98,Pit!$A$4:$BF$1214,56,FALSE))</f>
        <v>48</v>
      </c>
      <c r="V98" s="50">
        <f>IF($C98="B",VLOOKUP($A98,Bat!$A$4:$BA$1314,48,FALSE),VLOOKUP($A98,Pit!$A$4:$BF$1214,57,FALSE))</f>
        <v>48</v>
      </c>
      <c r="W98" s="68">
        <v>94</v>
      </c>
      <c r="X98" s="71">
        <f>RANK(Table5[[#This Row],[zScore]],Table5[[#All],[zScore]])</f>
        <v>91</v>
      </c>
      <c r="Y98" s="68">
        <f>IFERROR(INDEX(DraftResults[[#All],[OVR]],MATCH(Table5[[#This Row],[PID]],DraftResults[[#All],[Player ID]],0)),"")</f>
        <v>122</v>
      </c>
      <c r="Z98" s="7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4</v>
      </c>
      <c r="AA98" s="68">
        <f>IFERROR(INDEX(DraftResults[[#All],[Pick in Round]],MATCH(Table5[[#This Row],[PID]],DraftResults[[#All],[Player ID]],0)),"")</f>
        <v>17</v>
      </c>
      <c r="AB98" s="68" t="str">
        <f>IFERROR(INDEX(DraftResults[[#All],[Team Name]],MATCH(Table5[[#This Row],[PID]],DraftResults[[#All],[Player ID]],0)),"")</f>
        <v>Duluth Warriors</v>
      </c>
      <c r="AC98" s="68">
        <f>IF(Table5[[#This Row],[Ovr]]="","",IF(Table5[[#This Row],[cmbList]]="","",Table5[[#This Row],[cmbList]]-Table5[[#This Row],[Ovr]]))</f>
        <v>-28</v>
      </c>
      <c r="AD98" s="74" t="str">
        <f>IF(ISERROR(VLOOKUP($AB98&amp;"-"&amp;$E98&amp;" "&amp;F98,Bonuses!$B$1:$G$1006,4,FALSE)),"",INT(VLOOKUP($AB98&amp;"-"&amp;$E98&amp;" "&amp;$F98,Bonuses!$B$1:$G$1006,4,FALSE)))</f>
        <v/>
      </c>
      <c r="AE98" s="68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4.17 (122) - LF Ricardo Rowland</v>
      </c>
    </row>
    <row r="99" spans="1:31" s="50" customFormat="1" x14ac:dyDescent="0.3">
      <c r="A99" s="50">
        <v>11068</v>
      </c>
      <c r="B99" s="55">
        <f>COUNTIF(Table5[PID],A99)</f>
        <v>1</v>
      </c>
      <c r="C99" s="55" t="str">
        <f>IF(COUNTIF(Table3[[#All],[PID]],A99)&gt;0,"P","B")</f>
        <v>B</v>
      </c>
      <c r="D99" s="59" t="str">
        <f>IF($C99="B",INDEX(Batters[[#All],[POS]],MATCH(Table5[[#This Row],[PID]],Batters[[#All],[PID]],0)),INDEX(Table3[[#All],[POS]],MATCH(Table5[[#This Row],[PID]],Table3[[#All],[PID]],0)))</f>
        <v>1B</v>
      </c>
      <c r="E99" s="52" t="str">
        <f>IF($C99="B",INDEX(Batters[[#All],[First]],MATCH(Table5[[#This Row],[PID]],Batters[[#All],[PID]],0)),INDEX(Table3[[#All],[First]],MATCH(Table5[[#This Row],[PID]],Table3[[#All],[PID]],0)))</f>
        <v>Eric</v>
      </c>
      <c r="F99" s="50" t="str">
        <f>IF($C99="B",INDEX(Batters[[#All],[Last]],MATCH(A99,Batters[[#All],[PID]],0)),INDEX(Table3[[#All],[Last]],MATCH(A99,Table3[[#All],[PID]],0)))</f>
        <v>Wallace</v>
      </c>
      <c r="G99" s="56">
        <f>IF($C99="B",INDEX(Batters[[#All],[Age]],MATCH(Table5[[#This Row],[PID]],Batters[[#All],[PID]],0)),INDEX(Table3[[#All],[Age]],MATCH(Table5[[#This Row],[PID]],Table3[[#All],[PID]],0)))</f>
        <v>17</v>
      </c>
      <c r="H99" s="52" t="str">
        <f>IF($C99="B",INDEX(Batters[[#All],[B]],MATCH(Table5[[#This Row],[PID]],Batters[[#All],[PID]],0)),INDEX(Table3[[#All],[B]],MATCH(Table5[[#This Row],[PID]],Table3[[#All],[PID]],0)))</f>
        <v>R</v>
      </c>
      <c r="I99" s="52" t="str">
        <f>IF($C99="B",INDEX(Batters[[#All],[T]],MATCH(Table5[[#This Row],[PID]],Batters[[#All],[PID]],0)),INDEX(Table3[[#All],[T]],MATCH(Table5[[#This Row],[PID]],Table3[[#All],[PID]],0)))</f>
        <v>R</v>
      </c>
      <c r="J99" s="52" t="str">
        <f>IF($C99="B",INDEX(Batters[[#All],[WE]],MATCH(Table5[[#This Row],[PID]],Batters[[#All],[PID]],0)),INDEX(Table3[[#All],[WE]],MATCH(Table5[[#This Row],[PID]],Table3[[#All],[PID]],0)))</f>
        <v>Normal</v>
      </c>
      <c r="K99" s="52" t="str">
        <f>IF($C99="B",INDEX(Batters[[#All],[INT]],MATCH(Table5[[#This Row],[PID]],Batters[[#All],[PID]],0)),INDEX(Table3[[#All],[INT]],MATCH(Table5[[#This Row],[PID]],Table3[[#All],[PID]],0)))</f>
        <v>High</v>
      </c>
      <c r="L99" s="60">
        <f>IF($C99="B",INDEX(Batters[[#All],[CON P]],MATCH(Table5[[#This Row],[PID]],Batters[[#All],[PID]],0)),INDEX(Table3[[#All],[STU P]],MATCH(Table5[[#This Row],[PID]],Table3[[#All],[PID]],0)))</f>
        <v>5</v>
      </c>
      <c r="M99" s="56">
        <f>IF($C99="B",INDEX(Batters[[#All],[GAP P]],MATCH(Table5[[#This Row],[PID]],Batters[[#All],[PID]],0)),INDEX(Table3[[#All],[MOV P]],MATCH(Table5[[#This Row],[PID]],Table3[[#All],[PID]],0)))</f>
        <v>7</v>
      </c>
      <c r="N99" s="56">
        <f>IF($C99="B",INDEX(Batters[[#All],[POW P]],MATCH(Table5[[#This Row],[PID]],Batters[[#All],[PID]],0)),INDEX(Table3[[#All],[CON P]],MATCH(Table5[[#This Row],[PID]],Table3[[#All],[PID]],0)))</f>
        <v>3</v>
      </c>
      <c r="O99" s="56">
        <f>IF($C99="B",INDEX(Batters[[#All],[EYE P]],MATCH(Table5[[#This Row],[PID]],Batters[[#All],[PID]],0)),INDEX(Table3[[#All],[VELO]],MATCH(Table5[[#This Row],[PID]],Table3[[#All],[PID]],0)))</f>
        <v>4</v>
      </c>
      <c r="P99" s="56">
        <f>IF($C99="B",INDEX(Batters[[#All],[K P]],MATCH(Table5[[#This Row],[PID]],Batters[[#All],[PID]],0)),INDEX(Table3[[#All],[STM]],MATCH(Table5[[#This Row],[PID]],Table3[[#All],[PID]],0)))</f>
        <v>6</v>
      </c>
      <c r="Q99" s="61">
        <f>IF($C99="B",INDEX(Batters[[#All],[Tot]],MATCH(Table5[[#This Row],[PID]],Batters[[#All],[PID]],0)),INDEX(Table3[[#All],[Tot]],MATCH(Table5[[#This Row],[PID]],Table3[[#All],[PID]],0)))</f>
        <v>51.908141307519223</v>
      </c>
      <c r="R99" s="52">
        <f>IF($C99="B",INDEX(Batters[[#All],[zScore]],MATCH(Table5[[#This Row],[PID]],Batters[[#All],[PID]],0)),INDEX(Table3[[#All],[zScore]],MATCH(Table5[[#This Row],[PID]],Table3[[#All],[PID]],0)))</f>
        <v>1.2684118933355935</v>
      </c>
      <c r="S99" s="58" t="str">
        <f>IF($C99="B",INDEX(Batters[[#All],[DEM]],MATCH(Table5[[#This Row],[PID]],Batters[[#All],[PID]],0)),INDEX(Table3[[#All],[DEM]],MATCH(Table5[[#This Row],[PID]],Table3[[#All],[PID]],0)))</f>
        <v>$600k</v>
      </c>
      <c r="T99" s="62">
        <f>IF($C99="B",INDEX(Batters[[#All],[Rnk]],MATCH(Table5[[#This Row],[PID]],Batters[[#All],[PID]],0)),INDEX(Table3[[#All],[Rnk]],MATCH(Table5[[#This Row],[PID]],Table3[[#All],[PID]],0)))</f>
        <v>6</v>
      </c>
      <c r="U99" s="67">
        <f>IF($C99="B",VLOOKUP($A99,Bat!$A$4:$BA$1314,47,FALSE),VLOOKUP($A99,Pit!$A$4:$BF$1214,56,FALSE))</f>
        <v>49</v>
      </c>
      <c r="V99" s="50">
        <f>IF($C99="B",VLOOKUP($A99,Bat!$A$4:$BA$1314,48,FALSE),VLOOKUP($A99,Pit!$A$4:$BF$1214,57,FALSE))</f>
        <v>49</v>
      </c>
      <c r="W99" s="50">
        <v>95</v>
      </c>
      <c r="X99" s="51">
        <f>RANK(Table5[[#This Row],[zScore]],Table5[[#All],[zScore]])</f>
        <v>104</v>
      </c>
      <c r="Y99" s="50">
        <f>IFERROR(INDEX(DraftResults[[#All],[OVR]],MATCH(Table5[[#This Row],[PID]],DraftResults[[#All],[Player ID]],0)),"")</f>
        <v>173</v>
      </c>
      <c r="Z99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6</v>
      </c>
      <c r="AA99" s="50">
        <f>IFERROR(INDEX(DraftResults[[#All],[Pick in Round]],MATCH(Table5[[#This Row],[PID]],DraftResults[[#All],[Player ID]],0)),"")</f>
        <v>4</v>
      </c>
      <c r="AB99" s="50" t="str">
        <f>IFERROR(INDEX(DraftResults[[#All],[Team Name]],MATCH(Table5[[#This Row],[PID]],DraftResults[[#All],[Player ID]],0)),"")</f>
        <v>Palm Springs Codgers</v>
      </c>
      <c r="AC99" s="50">
        <f>IF(Table5[[#This Row],[Ovr]]="","",IF(Table5[[#This Row],[cmbList]]="","",Table5[[#This Row],[cmbList]]-Table5[[#This Row],[Ovr]]))</f>
        <v>-78</v>
      </c>
      <c r="AD99" s="54" t="str">
        <f>IF(ISERROR(VLOOKUP($AB99&amp;"-"&amp;$E99&amp;" "&amp;F99,Bonuses!$B$1:$G$1006,4,FALSE)),"",INT(VLOOKUP($AB99&amp;"-"&amp;$E99&amp;" "&amp;$F99,Bonuses!$B$1:$G$1006,4,FALSE)))</f>
        <v/>
      </c>
      <c r="AE99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6.4 (173) - 1B Eric Wallace</v>
      </c>
    </row>
    <row r="100" spans="1:31" s="50" customFormat="1" x14ac:dyDescent="0.3">
      <c r="A100" s="50">
        <v>10368</v>
      </c>
      <c r="B100" s="55">
        <f>COUNTIF(Table5[PID],A100)</f>
        <v>1</v>
      </c>
      <c r="C100" s="55" t="str">
        <f>IF(COUNTIF(Table3[[#All],[PID]],A100)&gt;0,"P","B")</f>
        <v>B</v>
      </c>
      <c r="D100" s="59" t="str">
        <f>IF($C100="B",INDEX(Batters[[#All],[POS]],MATCH(Table5[[#This Row],[PID]],Batters[[#All],[PID]],0)),INDEX(Table3[[#All],[POS]],MATCH(Table5[[#This Row],[PID]],Table3[[#All],[PID]],0)))</f>
        <v>C</v>
      </c>
      <c r="E100" s="52" t="str">
        <f>IF($C100="B",INDEX(Batters[[#All],[First]],MATCH(Table5[[#This Row],[PID]],Batters[[#All],[PID]],0)),INDEX(Table3[[#All],[First]],MATCH(Table5[[#This Row],[PID]],Table3[[#All],[PID]],0)))</f>
        <v>Dave</v>
      </c>
      <c r="F100" s="50" t="str">
        <f>IF($C100="B",INDEX(Batters[[#All],[Last]],MATCH(A100,Batters[[#All],[PID]],0)),INDEX(Table3[[#All],[Last]],MATCH(A100,Table3[[#All],[PID]],0)))</f>
        <v>Wilson</v>
      </c>
      <c r="G100" s="56">
        <f>IF($C100="B",INDEX(Batters[[#All],[Age]],MATCH(Table5[[#This Row],[PID]],Batters[[#All],[PID]],0)),INDEX(Table3[[#All],[Age]],MATCH(Table5[[#This Row],[PID]],Table3[[#All],[PID]],0)))</f>
        <v>17</v>
      </c>
      <c r="H100" s="52" t="str">
        <f>IF($C100="B",INDEX(Batters[[#All],[B]],MATCH(Table5[[#This Row],[PID]],Batters[[#All],[PID]],0)),INDEX(Table3[[#All],[B]],MATCH(Table5[[#This Row],[PID]],Table3[[#All],[PID]],0)))</f>
        <v>R</v>
      </c>
      <c r="I100" s="52" t="str">
        <f>IF($C100="B",INDEX(Batters[[#All],[T]],MATCH(Table5[[#This Row],[PID]],Batters[[#All],[PID]],0)),INDEX(Table3[[#All],[T]],MATCH(Table5[[#This Row],[PID]],Table3[[#All],[PID]],0)))</f>
        <v>R</v>
      </c>
      <c r="J100" s="52" t="str">
        <f>IF($C100="B",INDEX(Batters[[#All],[WE]],MATCH(Table5[[#This Row],[PID]],Batters[[#All],[PID]],0)),INDEX(Table3[[#All],[WE]],MATCH(Table5[[#This Row],[PID]],Table3[[#All],[PID]],0)))</f>
        <v>Normal</v>
      </c>
      <c r="K100" s="52" t="str">
        <f>IF($C100="B",INDEX(Batters[[#All],[INT]],MATCH(Table5[[#This Row],[PID]],Batters[[#All],[PID]],0)),INDEX(Table3[[#All],[INT]],MATCH(Table5[[#This Row],[PID]],Table3[[#All],[PID]],0)))</f>
        <v>Normal</v>
      </c>
      <c r="L100" s="60">
        <f>IF($C100="B",INDEX(Batters[[#All],[CON P]],MATCH(Table5[[#This Row],[PID]],Batters[[#All],[PID]],0)),INDEX(Table3[[#All],[STU P]],MATCH(Table5[[#This Row],[PID]],Table3[[#All],[PID]],0)))</f>
        <v>4</v>
      </c>
      <c r="M100" s="56">
        <f>IF($C100="B",INDEX(Batters[[#All],[GAP P]],MATCH(Table5[[#This Row],[PID]],Batters[[#All],[PID]],0)),INDEX(Table3[[#All],[MOV P]],MATCH(Table5[[#This Row],[PID]],Table3[[#All],[PID]],0)))</f>
        <v>8</v>
      </c>
      <c r="N100" s="56">
        <f>IF($C100="B",INDEX(Batters[[#All],[POW P]],MATCH(Table5[[#This Row],[PID]],Batters[[#All],[PID]],0)),INDEX(Table3[[#All],[CON P]],MATCH(Table5[[#This Row],[PID]],Table3[[#All],[PID]],0)))</f>
        <v>4</v>
      </c>
      <c r="O100" s="56">
        <f>IF($C100="B",INDEX(Batters[[#All],[EYE P]],MATCH(Table5[[#This Row],[PID]],Batters[[#All],[PID]],0)),INDEX(Table3[[#All],[VELO]],MATCH(Table5[[#This Row],[PID]],Table3[[#All],[PID]],0)))</f>
        <v>6</v>
      </c>
      <c r="P100" s="56">
        <f>IF($C100="B",INDEX(Batters[[#All],[K P]],MATCH(Table5[[#This Row],[PID]],Batters[[#All],[PID]],0)),INDEX(Table3[[#All],[STM]],MATCH(Table5[[#This Row],[PID]],Table3[[#All],[PID]],0)))</f>
        <v>5</v>
      </c>
      <c r="Q100" s="61">
        <f>IF($C100="B",INDEX(Batters[[#All],[Tot]],MATCH(Table5[[#This Row],[PID]],Batters[[#All],[PID]],0)),INDEX(Table3[[#All],[Tot]],MATCH(Table5[[#This Row],[PID]],Table3[[#All],[PID]],0)))</f>
        <v>50.869624212280712</v>
      </c>
      <c r="R100" s="52">
        <f>IF($C100="B",INDEX(Batters[[#All],[zScore]],MATCH(Table5[[#This Row],[PID]],Batters[[#All],[PID]],0)),INDEX(Table3[[#All],[zScore]],MATCH(Table5[[#This Row],[PID]],Table3[[#All],[PID]],0)))</f>
        <v>1.1168215161073769</v>
      </c>
      <c r="S100" s="58" t="str">
        <f>IF($C100="B",INDEX(Batters[[#All],[DEM]],MATCH(Table5[[#This Row],[PID]],Batters[[#All],[PID]],0)),INDEX(Table3[[#All],[DEM]],MATCH(Table5[[#This Row],[PID]],Table3[[#All],[PID]],0)))</f>
        <v>$330k</v>
      </c>
      <c r="T100" s="62">
        <f>IF($C100="B",INDEX(Batters[[#All],[Rnk]],MATCH(Table5[[#This Row],[PID]],Batters[[#All],[PID]],0)),INDEX(Table3[[#All],[Rnk]],MATCH(Table5[[#This Row],[PID]],Table3[[#All],[PID]],0)))</f>
        <v>6</v>
      </c>
      <c r="U100" s="67">
        <f>IF($C100="B",VLOOKUP($A100,Bat!$A$4:$BA$1314,47,FALSE),VLOOKUP($A100,Pit!$A$4:$BF$1214,56,FALSE))</f>
        <v>50</v>
      </c>
      <c r="V100" s="50">
        <f>IF($C100="B",VLOOKUP($A100,Bat!$A$4:$BA$1314,48,FALSE),VLOOKUP($A100,Pit!$A$4:$BF$1214,57,FALSE))</f>
        <v>50</v>
      </c>
      <c r="W100" s="68">
        <v>96</v>
      </c>
      <c r="X100" s="51">
        <f>RANK(Table5[[#This Row],[zScore]],Table5[[#All],[zScore]])</f>
        <v>131</v>
      </c>
      <c r="Y100" s="50">
        <f>IFERROR(INDEX(DraftResults[[#All],[OVR]],MATCH(Table5[[#This Row],[PID]],DraftResults[[#All],[Player ID]],0)),"")</f>
        <v>256</v>
      </c>
      <c r="Z100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8</v>
      </c>
      <c r="AA100" s="50">
        <f>IFERROR(INDEX(DraftResults[[#All],[Pick in Round]],MATCH(Table5[[#This Row],[PID]],DraftResults[[#All],[Player ID]],0)),"")</f>
        <v>23</v>
      </c>
      <c r="AB100" s="50" t="str">
        <f>IFERROR(INDEX(DraftResults[[#All],[Team Name]],MATCH(Table5[[#This Row],[PID]],DraftResults[[#All],[Player ID]],0)),"")</f>
        <v>Kentucky Thoroughbreds</v>
      </c>
      <c r="AC100" s="50">
        <f>IF(Table5[[#This Row],[Ovr]]="","",IF(Table5[[#This Row],[cmbList]]="","",Table5[[#This Row],[cmbList]]-Table5[[#This Row],[Ovr]]))</f>
        <v>-160</v>
      </c>
      <c r="AD100" s="54" t="str">
        <f>IF(ISERROR(VLOOKUP($AB100&amp;"-"&amp;$E100&amp;" "&amp;F100,Bonuses!$B$1:$G$1006,4,FALSE)),"",INT(VLOOKUP($AB100&amp;"-"&amp;$E100&amp;" "&amp;$F100,Bonuses!$B$1:$G$1006,4,FALSE)))</f>
        <v/>
      </c>
      <c r="AE100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8.23 (256) - C Dave Wilson</v>
      </c>
    </row>
    <row r="101" spans="1:31" s="50" customFormat="1" x14ac:dyDescent="0.3">
      <c r="A101" s="50">
        <v>20467</v>
      </c>
      <c r="B101" s="50">
        <f>COUNTIF(Table5[PID],A101)</f>
        <v>1</v>
      </c>
      <c r="C101" s="50" t="str">
        <f>IF(COUNTIF(Table3[[#All],[PID]],A101)&gt;0,"P","B")</f>
        <v>B</v>
      </c>
      <c r="D101" s="59" t="str">
        <f>IF($C101="B",INDEX(Batters[[#All],[POS]],MATCH(Table5[[#This Row],[PID]],Batters[[#All],[PID]],0)),INDEX(Table3[[#All],[POS]],MATCH(Table5[[#This Row],[PID]],Table3[[#All],[PID]],0)))</f>
        <v>3B</v>
      </c>
      <c r="E101" s="52" t="str">
        <f>IF($C101="B",INDEX(Batters[[#All],[First]],MATCH(Table5[[#This Row],[PID]],Batters[[#All],[PID]],0)),INDEX(Table3[[#All],[First]],MATCH(Table5[[#This Row],[PID]],Table3[[#All],[PID]],0)))</f>
        <v>Eka</v>
      </c>
      <c r="F101" s="50" t="str">
        <f>IF($C101="B",INDEX(Batters[[#All],[Last]],MATCH(A101,Batters[[#All],[PID]],0)),INDEX(Table3[[#All],[Last]],MATCH(A101,Table3[[#All],[PID]],0)))</f>
        <v>Layar</v>
      </c>
      <c r="G101" s="56">
        <f>IF($C101="B",INDEX(Batters[[#All],[Age]],MATCH(Table5[[#This Row],[PID]],Batters[[#All],[PID]],0)),INDEX(Table3[[#All],[Age]],MATCH(Table5[[#This Row],[PID]],Table3[[#All],[PID]],0)))</f>
        <v>17</v>
      </c>
      <c r="H101" s="52" t="str">
        <f>IF($C101="B",INDEX(Batters[[#All],[B]],MATCH(Table5[[#This Row],[PID]],Batters[[#All],[PID]],0)),INDEX(Table3[[#All],[B]],MATCH(Table5[[#This Row],[PID]],Table3[[#All],[PID]],0)))</f>
        <v>R</v>
      </c>
      <c r="I101" s="52" t="str">
        <f>IF($C101="B",INDEX(Batters[[#All],[T]],MATCH(Table5[[#This Row],[PID]],Batters[[#All],[PID]],0)),INDEX(Table3[[#All],[T]],MATCH(Table5[[#This Row],[PID]],Table3[[#All],[PID]],0)))</f>
        <v>R</v>
      </c>
      <c r="J101" s="52" t="str">
        <f>IF($C101="B",INDEX(Batters[[#All],[WE]],MATCH(Table5[[#This Row],[PID]],Batters[[#All],[PID]],0)),INDEX(Table3[[#All],[WE]],MATCH(Table5[[#This Row],[PID]],Table3[[#All],[PID]],0)))</f>
        <v>Normal</v>
      </c>
      <c r="K101" s="52" t="str">
        <f>IF($C101="B",INDEX(Batters[[#All],[INT]],MATCH(Table5[[#This Row],[PID]],Batters[[#All],[PID]],0)),INDEX(Table3[[#All],[INT]],MATCH(Table5[[#This Row],[PID]],Table3[[#All],[PID]],0)))</f>
        <v>Normal</v>
      </c>
      <c r="L101" s="60">
        <f>IF($C101="B",INDEX(Batters[[#All],[CON P]],MATCH(Table5[[#This Row],[PID]],Batters[[#All],[PID]],0)),INDEX(Table3[[#All],[STU P]],MATCH(Table5[[#This Row],[PID]],Table3[[#All],[PID]],0)))</f>
        <v>4</v>
      </c>
      <c r="M101" s="56">
        <f>IF($C101="B",INDEX(Batters[[#All],[GAP P]],MATCH(Table5[[#This Row],[PID]],Batters[[#All],[PID]],0)),INDEX(Table3[[#All],[MOV P]],MATCH(Table5[[#This Row],[PID]],Table3[[#All],[PID]],0)))</f>
        <v>3</v>
      </c>
      <c r="N101" s="56">
        <f>IF($C101="B",INDEX(Batters[[#All],[POW P]],MATCH(Table5[[#This Row],[PID]],Batters[[#All],[PID]],0)),INDEX(Table3[[#All],[CON P]],MATCH(Table5[[#This Row],[PID]],Table3[[#All],[PID]],0)))</f>
        <v>6</v>
      </c>
      <c r="O101" s="56">
        <f>IF($C101="B",INDEX(Batters[[#All],[EYE P]],MATCH(Table5[[#This Row],[PID]],Batters[[#All],[PID]],0)),INDEX(Table3[[#All],[VELO]],MATCH(Table5[[#This Row],[PID]],Table3[[#All],[PID]],0)))</f>
        <v>6</v>
      </c>
      <c r="P101" s="56">
        <f>IF($C101="B",INDEX(Batters[[#All],[K P]],MATCH(Table5[[#This Row],[PID]],Batters[[#All],[PID]],0)),INDEX(Table3[[#All],[STM]],MATCH(Table5[[#This Row],[PID]],Table3[[#All],[PID]],0)))</f>
        <v>4</v>
      </c>
      <c r="Q101" s="61">
        <f>IF($C101="B",INDEX(Batters[[#All],[Tot]],MATCH(Table5[[#This Row],[PID]],Batters[[#All],[PID]],0)),INDEX(Table3[[#All],[Tot]],MATCH(Table5[[#This Row],[PID]],Table3[[#All],[PID]],0)))</f>
        <v>49.503965486446731</v>
      </c>
      <c r="R101" s="52">
        <f>IF($C101="B",INDEX(Batters[[#All],[zScore]],MATCH(Table5[[#This Row],[PID]],Batters[[#All],[PID]],0)),INDEX(Table3[[#All],[zScore]],MATCH(Table5[[#This Row],[PID]],Table3[[#All],[PID]],0)))</f>
        <v>0.91747889347425238</v>
      </c>
      <c r="S101" s="58" t="str">
        <f>IF($C101="B",INDEX(Batters[[#All],[DEM]],MATCH(Table5[[#This Row],[PID]],Batters[[#All],[PID]],0)),INDEX(Table3[[#All],[DEM]],MATCH(Table5[[#This Row],[PID]],Table3[[#All],[PID]],0)))</f>
        <v>$70k</v>
      </c>
      <c r="T101" s="62">
        <f>IF($C101="B",INDEX(Batters[[#All],[Rnk]],MATCH(Table5[[#This Row],[PID]],Batters[[#All],[PID]],0)),INDEX(Table3[[#All],[Rnk]],MATCH(Table5[[#This Row],[PID]],Table3[[#All],[PID]],0)))</f>
        <v>6</v>
      </c>
      <c r="U101" s="67">
        <f>IF($C101="B",VLOOKUP($A101,Bat!$A$4:$BA$1314,47,FALSE),VLOOKUP($A101,Pit!$A$4:$BF$1214,56,FALSE))</f>
        <v>51</v>
      </c>
      <c r="V101" s="50">
        <f>IF($C101="B",VLOOKUP($A101,Bat!$A$4:$BA$1314,48,FALSE),VLOOKUP($A101,Pit!$A$4:$BF$1214,57,FALSE))</f>
        <v>51</v>
      </c>
      <c r="W101" s="50">
        <v>97</v>
      </c>
      <c r="X101" s="51">
        <f>RANK(Table5[[#This Row],[zScore]],Table5[[#All],[zScore]])</f>
        <v>156</v>
      </c>
      <c r="Y101" s="50">
        <f>IFERROR(INDEX(DraftResults[[#All],[OVR]],MATCH(Table5[[#This Row],[PID]],DraftResults[[#All],[Player ID]],0)),"")</f>
        <v>293</v>
      </c>
      <c r="Z101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9</v>
      </c>
      <c r="AA101" s="50">
        <f>IFERROR(INDEX(DraftResults[[#All],[Pick in Round]],MATCH(Table5[[#This Row],[PID]],DraftResults[[#All],[Player ID]],0)),"")</f>
        <v>28</v>
      </c>
      <c r="AB101" s="50" t="str">
        <f>IFERROR(INDEX(DraftResults[[#All],[Team Name]],MATCH(Table5[[#This Row],[PID]],DraftResults[[#All],[Player ID]],0)),"")</f>
        <v>Amsterdam Lions</v>
      </c>
      <c r="AC101" s="50">
        <f>IF(Table5[[#This Row],[Ovr]]="","",IF(Table5[[#This Row],[cmbList]]="","",Table5[[#This Row],[cmbList]]-Table5[[#This Row],[Ovr]]))</f>
        <v>-196</v>
      </c>
      <c r="AD101" s="54" t="str">
        <f>IF(ISERROR(VLOOKUP($AB101&amp;"-"&amp;$E101&amp;" "&amp;F101,Bonuses!$B$1:$G$1006,4,FALSE)),"",INT(VLOOKUP($AB101&amp;"-"&amp;$E101&amp;" "&amp;$F101,Bonuses!$B$1:$G$1006,4,FALSE)))</f>
        <v/>
      </c>
      <c r="AE101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9.28 (293) - 3B Eka Layar</v>
      </c>
    </row>
    <row r="102" spans="1:31" s="50" customFormat="1" x14ac:dyDescent="0.3">
      <c r="A102" s="50">
        <v>20420</v>
      </c>
      <c r="B102" s="50">
        <f>COUNTIF(Table5[PID],A102)</f>
        <v>1</v>
      </c>
      <c r="C102" s="50" t="str">
        <f>IF(COUNTIF(Table3[[#All],[PID]],A102)&gt;0,"P","B")</f>
        <v>B</v>
      </c>
      <c r="D102" s="59" t="str">
        <f>IF($C102="B",INDEX(Batters[[#All],[POS]],MATCH(Table5[[#This Row],[PID]],Batters[[#All],[PID]],0)),INDEX(Table3[[#All],[POS]],MATCH(Table5[[#This Row],[PID]],Table3[[#All],[PID]],0)))</f>
        <v>CF</v>
      </c>
      <c r="E102" s="52" t="str">
        <f>IF($C102="B",INDEX(Batters[[#All],[First]],MATCH(Table5[[#This Row],[PID]],Batters[[#All],[PID]],0)),INDEX(Table3[[#All],[First]],MATCH(Table5[[#This Row],[PID]],Table3[[#All],[PID]],0)))</f>
        <v>Edward</v>
      </c>
      <c r="F102" s="50" t="str">
        <f>IF($C102="B",INDEX(Batters[[#All],[Last]],MATCH(A102,Batters[[#All],[PID]],0)),INDEX(Table3[[#All],[Last]],MATCH(A102,Table3[[#All],[PID]],0)))</f>
        <v>Frawley</v>
      </c>
      <c r="G102" s="56">
        <f>IF($C102="B",INDEX(Batters[[#All],[Age]],MATCH(Table5[[#This Row],[PID]],Batters[[#All],[PID]],0)),INDEX(Table3[[#All],[Age]],MATCH(Table5[[#This Row],[PID]],Table3[[#All],[PID]],0)))</f>
        <v>17</v>
      </c>
      <c r="H102" s="52" t="str">
        <f>IF($C102="B",INDEX(Batters[[#All],[B]],MATCH(Table5[[#This Row],[PID]],Batters[[#All],[PID]],0)),INDEX(Table3[[#All],[B]],MATCH(Table5[[#This Row],[PID]],Table3[[#All],[PID]],0)))</f>
        <v>L</v>
      </c>
      <c r="I102" s="52" t="str">
        <f>IF($C102="B",INDEX(Batters[[#All],[T]],MATCH(Table5[[#This Row],[PID]],Batters[[#All],[PID]],0)),INDEX(Table3[[#All],[T]],MATCH(Table5[[#This Row],[PID]],Table3[[#All],[PID]],0)))</f>
        <v>L</v>
      </c>
      <c r="J102" s="52" t="str">
        <f>IF($C102="B",INDEX(Batters[[#All],[WE]],MATCH(Table5[[#This Row],[PID]],Batters[[#All],[PID]],0)),INDEX(Table3[[#All],[WE]],MATCH(Table5[[#This Row],[PID]],Table3[[#All],[PID]],0)))</f>
        <v>Normal</v>
      </c>
      <c r="K102" s="52" t="str">
        <f>IF($C102="B",INDEX(Batters[[#All],[INT]],MATCH(Table5[[#This Row],[PID]],Batters[[#All],[PID]],0)),INDEX(Table3[[#All],[INT]],MATCH(Table5[[#This Row],[PID]],Table3[[#All],[PID]],0)))</f>
        <v>Normal</v>
      </c>
      <c r="L102" s="60">
        <f>IF($C102="B",INDEX(Batters[[#All],[CON P]],MATCH(Table5[[#This Row],[PID]],Batters[[#All],[PID]],0)),INDEX(Table3[[#All],[STU P]],MATCH(Table5[[#This Row],[PID]],Table3[[#All],[PID]],0)))</f>
        <v>4</v>
      </c>
      <c r="M102" s="56">
        <f>IF($C102="B",INDEX(Batters[[#All],[GAP P]],MATCH(Table5[[#This Row],[PID]],Batters[[#All],[PID]],0)),INDEX(Table3[[#All],[MOV P]],MATCH(Table5[[#This Row],[PID]],Table3[[#All],[PID]],0)))</f>
        <v>5</v>
      </c>
      <c r="N102" s="56">
        <f>IF($C102="B",INDEX(Batters[[#All],[POW P]],MATCH(Table5[[#This Row],[PID]],Batters[[#All],[PID]],0)),INDEX(Table3[[#All],[CON P]],MATCH(Table5[[#This Row],[PID]],Table3[[#All],[PID]],0)))</f>
        <v>4</v>
      </c>
      <c r="O102" s="56">
        <f>IF($C102="B",INDEX(Batters[[#All],[EYE P]],MATCH(Table5[[#This Row],[PID]],Batters[[#All],[PID]],0)),INDEX(Table3[[#All],[VELO]],MATCH(Table5[[#This Row],[PID]],Table3[[#All],[PID]],0)))</f>
        <v>5</v>
      </c>
      <c r="P102" s="56">
        <f>IF($C102="B",INDEX(Batters[[#All],[K P]],MATCH(Table5[[#This Row],[PID]],Batters[[#All],[PID]],0)),INDEX(Table3[[#All],[STM]],MATCH(Table5[[#This Row],[PID]],Table3[[#All],[PID]],0)))</f>
        <v>5</v>
      </c>
      <c r="Q102" s="61">
        <f>IF($C102="B",INDEX(Batters[[#All],[Tot]],MATCH(Table5[[#This Row],[PID]],Batters[[#All],[PID]],0)),INDEX(Table3[[#All],[Tot]],MATCH(Table5[[#This Row],[PID]],Table3[[#All],[PID]],0)))</f>
        <v>48.442591794646425</v>
      </c>
      <c r="R102" s="52">
        <f>IF($C102="B",INDEX(Batters[[#All],[zScore]],MATCH(Table5[[#This Row],[PID]],Batters[[#All],[PID]],0)),INDEX(Table3[[#All],[zScore]],MATCH(Table5[[#This Row],[PID]],Table3[[#All],[PID]],0)))</f>
        <v>0.76255218205294295</v>
      </c>
      <c r="S102" s="58" t="str">
        <f>IF($C102="B",INDEX(Batters[[#All],[DEM]],MATCH(Table5[[#This Row],[PID]],Batters[[#All],[PID]],0)),INDEX(Table3[[#All],[DEM]],MATCH(Table5[[#This Row],[PID]],Table3[[#All],[PID]],0)))</f>
        <v>$200k</v>
      </c>
      <c r="T102" s="62">
        <f>IF($C102="B",INDEX(Batters[[#All],[Rnk]],MATCH(Table5[[#This Row],[PID]],Batters[[#All],[PID]],0)),INDEX(Table3[[#All],[Rnk]],MATCH(Table5[[#This Row],[PID]],Table3[[#All],[PID]],0)))</f>
        <v>5</v>
      </c>
      <c r="U102" s="67">
        <f>IF($C102="B",VLOOKUP($A102,Bat!$A$4:$BA$1314,47,FALSE),VLOOKUP($A102,Pit!$A$4:$BF$1214,56,FALSE))</f>
        <v>52</v>
      </c>
      <c r="V102" s="50">
        <f>IF($C102="B",VLOOKUP($A102,Bat!$A$4:$BA$1314,48,FALSE),VLOOKUP($A102,Pit!$A$4:$BF$1214,57,FALSE))</f>
        <v>52</v>
      </c>
      <c r="W102" s="68">
        <v>98</v>
      </c>
      <c r="X102" s="51">
        <f>RANK(Table5[[#This Row],[zScore]],Table5[[#All],[zScore]])</f>
        <v>175</v>
      </c>
      <c r="Y102" s="50">
        <f>IFERROR(INDEX(DraftResults[[#All],[OVR]],MATCH(Table5[[#This Row],[PID]],DraftResults[[#All],[Player ID]],0)),"")</f>
        <v>264</v>
      </c>
      <c r="Z102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8</v>
      </c>
      <c r="AA102" s="50">
        <f>IFERROR(INDEX(DraftResults[[#All],[Pick in Round]],MATCH(Table5[[#This Row],[PID]],DraftResults[[#All],[Player ID]],0)),"")</f>
        <v>31</v>
      </c>
      <c r="AB102" s="50" t="str">
        <f>IFERROR(INDEX(DraftResults[[#All],[Team Name]],MATCH(Table5[[#This Row],[PID]],DraftResults[[#All],[Player ID]],0)),"")</f>
        <v>West Virginia Alleghenies</v>
      </c>
      <c r="AC102" s="50">
        <f>IF(Table5[[#This Row],[Ovr]]="","",IF(Table5[[#This Row],[cmbList]]="","",Table5[[#This Row],[cmbList]]-Table5[[#This Row],[Ovr]]))</f>
        <v>-166</v>
      </c>
      <c r="AD102" s="54" t="str">
        <f>IF(ISERROR(VLOOKUP($AB102&amp;"-"&amp;$E102&amp;" "&amp;F102,Bonuses!$B$1:$G$1006,4,FALSE)),"",INT(VLOOKUP($AB102&amp;"-"&amp;$E102&amp;" "&amp;$F102,Bonuses!$B$1:$G$1006,4,FALSE)))</f>
        <v/>
      </c>
      <c r="AE102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8.31 (264) - CF Edward Frawley</v>
      </c>
    </row>
    <row r="103" spans="1:31" s="50" customFormat="1" x14ac:dyDescent="0.3">
      <c r="A103" s="67">
        <v>20319</v>
      </c>
      <c r="B103" s="68">
        <f>COUNTIF(Table5[PID],A103)</f>
        <v>1</v>
      </c>
      <c r="C103" s="68" t="str">
        <f>IF(COUNTIF(Table3[[#All],[PID]],A103)&gt;0,"P","B")</f>
        <v>B</v>
      </c>
      <c r="D103" s="59" t="str">
        <f>IF($C103="B",INDEX(Batters[[#All],[POS]],MATCH(Table5[[#This Row],[PID]],Batters[[#All],[PID]],0)),INDEX(Table3[[#All],[POS]],MATCH(Table5[[#This Row],[PID]],Table3[[#All],[PID]],0)))</f>
        <v>LF</v>
      </c>
      <c r="E103" s="52" t="str">
        <f>IF($C103="B",INDEX(Batters[[#All],[First]],MATCH(Table5[[#This Row],[PID]],Batters[[#All],[PID]],0)),INDEX(Table3[[#All],[First]],MATCH(Table5[[#This Row],[PID]],Table3[[#All],[PID]],0)))</f>
        <v>Young-pil</v>
      </c>
      <c r="F103" s="55" t="str">
        <f>IF($C103="B",INDEX(Batters[[#All],[Last]],MATCH(A103,Batters[[#All],[PID]],0)),INDEX(Table3[[#All],[Last]],MATCH(A103,Table3[[#All],[PID]],0)))</f>
        <v>Yi</v>
      </c>
      <c r="G103" s="56">
        <f>IF($C103="B",INDEX(Batters[[#All],[Age]],MATCH(Table5[[#This Row],[PID]],Batters[[#All],[PID]],0)),INDEX(Table3[[#All],[Age]],MATCH(Table5[[#This Row],[PID]],Table3[[#All],[PID]],0)))</f>
        <v>16</v>
      </c>
      <c r="H103" s="52" t="str">
        <f>IF($C103="B",INDEX(Batters[[#All],[B]],MATCH(Table5[[#This Row],[PID]],Batters[[#All],[PID]],0)),INDEX(Table3[[#All],[B]],MATCH(Table5[[#This Row],[PID]],Table3[[#All],[PID]],0)))</f>
        <v>L</v>
      </c>
      <c r="I103" s="52" t="str">
        <f>IF($C103="B",INDEX(Batters[[#All],[T]],MATCH(Table5[[#This Row],[PID]],Batters[[#All],[PID]],0)),INDEX(Table3[[#All],[T]],MATCH(Table5[[#This Row],[PID]],Table3[[#All],[PID]],0)))</f>
        <v>L</v>
      </c>
      <c r="J103" s="69" t="str">
        <f>IF($C103="B",INDEX(Batters[[#All],[WE]],MATCH(Table5[[#This Row],[PID]],Batters[[#All],[PID]],0)),INDEX(Table3[[#All],[WE]],MATCH(Table5[[#This Row],[PID]],Table3[[#All],[PID]],0)))</f>
        <v>Low</v>
      </c>
      <c r="K103" s="52" t="str">
        <f>IF($C103="B",INDEX(Batters[[#All],[INT]],MATCH(Table5[[#This Row],[PID]],Batters[[#All],[PID]],0)),INDEX(Table3[[#All],[INT]],MATCH(Table5[[#This Row],[PID]],Table3[[#All],[PID]],0)))</f>
        <v>Normal</v>
      </c>
      <c r="L103" s="60">
        <f>IF($C103="B",INDEX(Batters[[#All],[CON P]],MATCH(Table5[[#This Row],[PID]],Batters[[#All],[PID]],0)),INDEX(Table3[[#All],[STU P]],MATCH(Table5[[#This Row],[PID]],Table3[[#All],[PID]],0)))</f>
        <v>4</v>
      </c>
      <c r="M103" s="70">
        <f>IF($C103="B",INDEX(Batters[[#All],[GAP P]],MATCH(Table5[[#This Row],[PID]],Batters[[#All],[PID]],0)),INDEX(Table3[[#All],[MOV P]],MATCH(Table5[[#This Row],[PID]],Table3[[#All],[PID]],0)))</f>
        <v>9</v>
      </c>
      <c r="N103" s="70">
        <f>IF($C103="B",INDEX(Batters[[#All],[POW P]],MATCH(Table5[[#This Row],[PID]],Batters[[#All],[PID]],0)),INDEX(Table3[[#All],[CON P]],MATCH(Table5[[#This Row],[PID]],Table3[[#All],[PID]],0)))</f>
        <v>8</v>
      </c>
      <c r="O103" s="70">
        <f>IF($C103="B",INDEX(Batters[[#All],[EYE P]],MATCH(Table5[[#This Row],[PID]],Batters[[#All],[PID]],0)),INDEX(Table3[[#All],[VELO]],MATCH(Table5[[#This Row],[PID]],Table3[[#All],[PID]],0)))</f>
        <v>6</v>
      </c>
      <c r="P103" s="56">
        <f>IF($C103="B",INDEX(Batters[[#All],[K P]],MATCH(Table5[[#This Row],[PID]],Batters[[#All],[PID]],0)),INDEX(Table3[[#All],[STM]],MATCH(Table5[[#This Row],[PID]],Table3[[#All],[PID]],0)))</f>
        <v>3</v>
      </c>
      <c r="Q103" s="61">
        <f>IF($C103="B",INDEX(Batters[[#All],[Tot]],MATCH(Table5[[#This Row],[PID]],Batters[[#All],[PID]],0)),INDEX(Table3[[#All],[Tot]],MATCH(Table5[[#This Row],[PID]],Table3[[#All],[PID]],0)))</f>
        <v>54.754108058354447</v>
      </c>
      <c r="R103" s="52">
        <f>IF($C103="B",INDEX(Batters[[#All],[zScore]],MATCH(Table5[[#This Row],[PID]],Batters[[#All],[PID]],0)),INDEX(Table3[[#All],[zScore]],MATCH(Table5[[#This Row],[PID]],Table3[[#All],[PID]],0)))</f>
        <v>1.6838322800736583</v>
      </c>
      <c r="S103" s="75" t="str">
        <f>IF($C103="B",INDEX(Batters[[#All],[DEM]],MATCH(Table5[[#This Row],[PID]],Batters[[#All],[PID]],0)),INDEX(Table3[[#All],[DEM]],MATCH(Table5[[#This Row],[PID]],Table3[[#All],[PID]],0)))</f>
        <v>$850k</v>
      </c>
      <c r="T103" s="72">
        <f>IF($C103="B",INDEX(Batters[[#All],[Rnk]],MATCH(Table5[[#This Row],[PID]],Batters[[#All],[PID]],0)),INDEX(Table3[[#All],[Rnk]],MATCH(Table5[[#This Row],[PID]],Table3[[#All],[PID]],0)))</f>
        <v>7</v>
      </c>
      <c r="U103" s="67">
        <f>IF($C103="B",VLOOKUP($A103,Bat!$A$4:$BA$1314,47,FALSE),VLOOKUP($A103,Pit!$A$4:$BF$1214,56,FALSE))</f>
        <v>53</v>
      </c>
      <c r="V103" s="50">
        <f>IF($C103="B",VLOOKUP($A103,Bat!$A$4:$BA$1314,48,FALSE),VLOOKUP($A103,Pit!$A$4:$BF$1214,57,FALSE))</f>
        <v>53</v>
      </c>
      <c r="W103" s="50">
        <v>99</v>
      </c>
      <c r="X103" s="71">
        <f>RANK(Table5[[#This Row],[zScore]],Table5[[#All],[zScore]])</f>
        <v>60</v>
      </c>
      <c r="Y103" s="68">
        <f>IFERROR(INDEX(DraftResults[[#All],[OVR]],MATCH(Table5[[#This Row],[PID]],DraftResults[[#All],[Player ID]],0)),"")</f>
        <v>7</v>
      </c>
      <c r="Z103" s="7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1</v>
      </c>
      <c r="AA103" s="68">
        <f>IFERROR(INDEX(DraftResults[[#All],[Pick in Round]],MATCH(Table5[[#This Row],[PID]],DraftResults[[#All],[Player ID]],0)),"")</f>
        <v>7</v>
      </c>
      <c r="AB103" s="68" t="str">
        <f>IFERROR(INDEX(DraftResults[[#All],[Team Name]],MATCH(Table5[[#This Row],[PID]],DraftResults[[#All],[Player ID]],0)),"")</f>
        <v>Hartford Harpoon</v>
      </c>
      <c r="AC103" s="68">
        <f>IF(Table5[[#This Row],[Ovr]]="","",IF(Table5[[#This Row],[cmbList]]="","",Table5[[#This Row],[cmbList]]-Table5[[#This Row],[Ovr]]))</f>
        <v>92</v>
      </c>
      <c r="AD103" s="74" t="str">
        <f>IF(ISERROR(VLOOKUP($AB103&amp;"-"&amp;$E103&amp;" "&amp;F103,Bonuses!$B$1:$G$1006,4,FALSE)),"",INT(VLOOKUP($AB103&amp;"-"&amp;$E103&amp;" "&amp;$F103,Bonuses!$B$1:$G$1006,4,FALSE)))</f>
        <v/>
      </c>
      <c r="AE103" s="68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1.7 (7) - LF Young-pil Yi</v>
      </c>
    </row>
    <row r="104" spans="1:31" s="50" customFormat="1" x14ac:dyDescent="0.3">
      <c r="A104" s="50">
        <v>11861</v>
      </c>
      <c r="B104" s="50">
        <f>COUNTIF(Table5[PID],A104)</f>
        <v>1</v>
      </c>
      <c r="C104" s="50" t="str">
        <f>IF(COUNTIF(Table3[[#All],[PID]],A104)&gt;0,"P","B")</f>
        <v>B</v>
      </c>
      <c r="D104" s="59" t="str">
        <f>IF($C104="B",INDEX(Batters[[#All],[POS]],MATCH(Table5[[#This Row],[PID]],Batters[[#All],[PID]],0)),INDEX(Table3[[#All],[POS]],MATCH(Table5[[#This Row],[PID]],Table3[[#All],[PID]],0)))</f>
        <v>3B</v>
      </c>
      <c r="E104" s="52" t="str">
        <f>IF($C104="B",INDEX(Batters[[#All],[First]],MATCH(Table5[[#This Row],[PID]],Batters[[#All],[PID]],0)),INDEX(Table3[[#All],[First]],MATCH(Table5[[#This Row],[PID]],Table3[[#All],[PID]],0)))</f>
        <v>Manuel</v>
      </c>
      <c r="F104" s="50" t="str">
        <f>IF($C104="B",INDEX(Batters[[#All],[Last]],MATCH(A104,Batters[[#All],[PID]],0)),INDEX(Table3[[#All],[Last]],MATCH(A104,Table3[[#All],[PID]],0)))</f>
        <v>Márquez</v>
      </c>
      <c r="G104" s="56">
        <f>IF($C104="B",INDEX(Batters[[#All],[Age]],MATCH(Table5[[#This Row],[PID]],Batters[[#All],[PID]],0)),INDEX(Table3[[#All],[Age]],MATCH(Table5[[#This Row],[PID]],Table3[[#All],[PID]],0)))</f>
        <v>18</v>
      </c>
      <c r="H104" s="52" t="str">
        <f>IF($C104="B",INDEX(Batters[[#All],[B]],MATCH(Table5[[#This Row],[PID]],Batters[[#All],[PID]],0)),INDEX(Table3[[#All],[B]],MATCH(Table5[[#This Row],[PID]],Table3[[#All],[PID]],0)))</f>
        <v>R</v>
      </c>
      <c r="I104" s="52" t="str">
        <f>IF($C104="B",INDEX(Batters[[#All],[T]],MATCH(Table5[[#This Row],[PID]],Batters[[#All],[PID]],0)),INDEX(Table3[[#All],[T]],MATCH(Table5[[#This Row],[PID]],Table3[[#All],[PID]],0)))</f>
        <v>R</v>
      </c>
      <c r="J104" s="52" t="str">
        <f>IF($C104="B",INDEX(Batters[[#All],[WE]],MATCH(Table5[[#This Row],[PID]],Batters[[#All],[PID]],0)),INDEX(Table3[[#All],[WE]],MATCH(Table5[[#This Row],[PID]],Table3[[#All],[PID]],0)))</f>
        <v>Low</v>
      </c>
      <c r="K104" s="52" t="str">
        <f>IF($C104="B",INDEX(Batters[[#All],[INT]],MATCH(Table5[[#This Row],[PID]],Batters[[#All],[PID]],0)),INDEX(Table3[[#All],[INT]],MATCH(Table5[[#This Row],[PID]],Table3[[#All],[PID]],0)))</f>
        <v>Low</v>
      </c>
      <c r="L104" s="60">
        <f>IF($C104="B",INDEX(Batters[[#All],[CON P]],MATCH(Table5[[#This Row],[PID]],Batters[[#All],[PID]],0)),INDEX(Table3[[#All],[STU P]],MATCH(Table5[[#This Row],[PID]],Table3[[#All],[PID]],0)))</f>
        <v>6</v>
      </c>
      <c r="M104" s="56">
        <f>IF($C104="B",INDEX(Batters[[#All],[GAP P]],MATCH(Table5[[#This Row],[PID]],Batters[[#All],[PID]],0)),INDEX(Table3[[#All],[MOV P]],MATCH(Table5[[#This Row],[PID]],Table3[[#All],[PID]],0)))</f>
        <v>7</v>
      </c>
      <c r="N104" s="56">
        <f>IF($C104="B",INDEX(Batters[[#All],[POW P]],MATCH(Table5[[#This Row],[PID]],Batters[[#All],[PID]],0)),INDEX(Table3[[#All],[CON P]],MATCH(Table5[[#This Row],[PID]],Table3[[#All],[PID]],0)))</f>
        <v>2</v>
      </c>
      <c r="O104" s="56">
        <f>IF($C104="B",INDEX(Batters[[#All],[EYE P]],MATCH(Table5[[#This Row],[PID]],Batters[[#All],[PID]],0)),INDEX(Table3[[#All],[VELO]],MATCH(Table5[[#This Row],[PID]],Table3[[#All],[PID]],0)))</f>
        <v>4</v>
      </c>
      <c r="P104" s="56">
        <f>IF($C104="B",INDEX(Batters[[#All],[K P]],MATCH(Table5[[#This Row],[PID]],Batters[[#All],[PID]],0)),INDEX(Table3[[#All],[STM]],MATCH(Table5[[#This Row],[PID]],Table3[[#All],[PID]],0)))</f>
        <v>8</v>
      </c>
      <c r="Q104" s="61">
        <f>IF($C104="B",INDEX(Batters[[#All],[Tot]],MATCH(Table5[[#This Row],[PID]],Batters[[#All],[PID]],0)),INDEX(Table3[[#All],[Tot]],MATCH(Table5[[#This Row],[PID]],Table3[[#All],[PID]],0)))</f>
        <v>55.070059388173235</v>
      </c>
      <c r="R104" s="52">
        <f>IF($C104="B",INDEX(Batters[[#All],[zScore]],MATCH(Table5[[#This Row],[PID]],Batters[[#All],[PID]],0)),INDEX(Table3[[#All],[zScore]],MATCH(Table5[[#This Row],[PID]],Table3[[#All],[PID]],0)))</f>
        <v>1.7299510984278106</v>
      </c>
      <c r="S104" s="58" t="str">
        <f>IF($C104="B",INDEX(Batters[[#All],[DEM]],MATCH(Table5[[#This Row],[PID]],Batters[[#All],[PID]],0)),INDEX(Table3[[#All],[DEM]],MATCH(Table5[[#This Row],[PID]],Table3[[#All],[PID]],0)))</f>
        <v>$500k</v>
      </c>
      <c r="T104" s="62">
        <f>IF($C104="B",INDEX(Batters[[#All],[Rnk]],MATCH(Table5[[#This Row],[PID]],Batters[[#All],[PID]],0)),INDEX(Table3[[#All],[Rnk]],MATCH(Table5[[#This Row],[PID]],Table3[[#All],[PID]],0)))</f>
        <v>7</v>
      </c>
      <c r="U104" s="67">
        <f>IF($C104="B",VLOOKUP($A104,Bat!$A$4:$BA$1314,47,FALSE),VLOOKUP($A104,Pit!$A$4:$BF$1214,56,FALSE))</f>
        <v>54</v>
      </c>
      <c r="V104" s="50">
        <f>IF($C104="B",VLOOKUP($A104,Bat!$A$4:$BA$1314,48,FALSE),VLOOKUP($A104,Pit!$A$4:$BF$1214,57,FALSE))</f>
        <v>54</v>
      </c>
      <c r="W104" s="68">
        <v>100</v>
      </c>
      <c r="X104" s="51">
        <f>RANK(Table5[[#This Row],[zScore]],Table5[[#All],[zScore]])</f>
        <v>57</v>
      </c>
      <c r="Y104" s="50">
        <f>IFERROR(INDEX(DraftResults[[#All],[OVR]],MATCH(Table5[[#This Row],[PID]],DraftResults[[#All],[Player ID]],0)),"")</f>
        <v>55</v>
      </c>
      <c r="Z104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2</v>
      </c>
      <c r="AA104" s="50">
        <f>IFERROR(INDEX(DraftResults[[#All],[Pick in Round]],MATCH(Table5[[#This Row],[PID]],DraftResults[[#All],[Player ID]],0)),"")</f>
        <v>19</v>
      </c>
      <c r="AB104" s="50" t="str">
        <f>IFERROR(INDEX(DraftResults[[#All],[Team Name]],MATCH(Table5[[#This Row],[PID]],DraftResults[[#All],[Player ID]],0)),"")</f>
        <v>Madison Malts</v>
      </c>
      <c r="AC104" s="50">
        <f>IF(Table5[[#This Row],[Ovr]]="","",IF(Table5[[#This Row],[cmbList]]="","",Table5[[#This Row],[cmbList]]-Table5[[#This Row],[Ovr]]))</f>
        <v>45</v>
      </c>
      <c r="AD104" s="54" t="str">
        <f>IF(ISERROR(VLOOKUP($AB104&amp;"-"&amp;$E104&amp;" "&amp;F104,Bonuses!$B$1:$G$1006,4,FALSE)),"",INT(VLOOKUP($AB104&amp;"-"&amp;$E104&amp;" "&amp;$F104,Bonuses!$B$1:$G$1006,4,FALSE)))</f>
        <v/>
      </c>
      <c r="AE104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2.19 (55) - 3B Manuel Márquez</v>
      </c>
    </row>
    <row r="105" spans="1:31" s="50" customFormat="1" x14ac:dyDescent="0.3">
      <c r="A105" s="50">
        <v>20521</v>
      </c>
      <c r="B105" s="55">
        <f>COUNTIF(Table5[PID],A105)</f>
        <v>1</v>
      </c>
      <c r="C105" s="55" t="str">
        <f>IF(COUNTIF(Table3[[#All],[PID]],A105)&gt;0,"P","B")</f>
        <v>B</v>
      </c>
      <c r="D105" s="59" t="str">
        <f>IF($C105="B",INDEX(Batters[[#All],[POS]],MATCH(Table5[[#This Row],[PID]],Batters[[#All],[PID]],0)),INDEX(Table3[[#All],[POS]],MATCH(Table5[[#This Row],[PID]],Table3[[#All],[PID]],0)))</f>
        <v>RF</v>
      </c>
      <c r="E105" s="52" t="str">
        <f>IF($C105="B",INDEX(Batters[[#All],[First]],MATCH(Table5[[#This Row],[PID]],Batters[[#All],[PID]],0)),INDEX(Table3[[#All],[First]],MATCH(Table5[[#This Row],[PID]],Table3[[#All],[PID]],0)))</f>
        <v>Paterno</v>
      </c>
      <c r="F105" s="50" t="str">
        <f>IF($C105="B",INDEX(Batters[[#All],[Last]],MATCH(A105,Batters[[#All],[PID]],0)),INDEX(Table3[[#All],[Last]],MATCH(A105,Table3[[#All],[PID]],0)))</f>
        <v>Olaires</v>
      </c>
      <c r="G105" s="56">
        <f>IF($C105="B",INDEX(Batters[[#All],[Age]],MATCH(Table5[[#This Row],[PID]],Batters[[#All],[PID]],0)),INDEX(Table3[[#All],[Age]],MATCH(Table5[[#This Row],[PID]],Table3[[#All],[PID]],0)))</f>
        <v>17</v>
      </c>
      <c r="H105" s="52" t="str">
        <f>IF($C105="B",INDEX(Batters[[#All],[B]],MATCH(Table5[[#This Row],[PID]],Batters[[#All],[PID]],0)),INDEX(Table3[[#All],[B]],MATCH(Table5[[#This Row],[PID]],Table3[[#All],[PID]],0)))</f>
        <v>L</v>
      </c>
      <c r="I105" s="52" t="str">
        <f>IF($C105="B",INDEX(Batters[[#All],[T]],MATCH(Table5[[#This Row],[PID]],Batters[[#All],[PID]],0)),INDEX(Table3[[#All],[T]],MATCH(Table5[[#This Row],[PID]],Table3[[#All],[PID]],0)))</f>
        <v>L</v>
      </c>
      <c r="J105" s="52" t="str">
        <f>IF($C105="B",INDEX(Batters[[#All],[WE]],MATCH(Table5[[#This Row],[PID]],Batters[[#All],[PID]],0)),INDEX(Table3[[#All],[WE]],MATCH(Table5[[#This Row],[PID]],Table3[[#All],[PID]],0)))</f>
        <v>Normal</v>
      </c>
      <c r="K105" s="52" t="str">
        <f>IF($C105="B",INDEX(Batters[[#All],[INT]],MATCH(Table5[[#This Row],[PID]],Batters[[#All],[PID]],0)),INDEX(Table3[[#All],[INT]],MATCH(Table5[[#This Row],[PID]],Table3[[#All],[PID]],0)))</f>
        <v>Normal</v>
      </c>
      <c r="L105" s="60">
        <f>IF($C105="B",INDEX(Batters[[#All],[CON P]],MATCH(Table5[[#This Row],[PID]],Batters[[#All],[PID]],0)),INDEX(Table3[[#All],[STU P]],MATCH(Table5[[#This Row],[PID]],Table3[[#All],[PID]],0)))</f>
        <v>4</v>
      </c>
      <c r="M105" s="56">
        <f>IF($C105="B",INDEX(Batters[[#All],[GAP P]],MATCH(Table5[[#This Row],[PID]],Batters[[#All],[PID]],0)),INDEX(Table3[[#All],[MOV P]],MATCH(Table5[[#This Row],[PID]],Table3[[#All],[PID]],0)))</f>
        <v>5</v>
      </c>
      <c r="N105" s="56">
        <f>IF($C105="B",INDEX(Batters[[#All],[POW P]],MATCH(Table5[[#This Row],[PID]],Batters[[#All],[PID]],0)),INDEX(Table3[[#All],[CON P]],MATCH(Table5[[#This Row],[PID]],Table3[[#All],[PID]],0)))</f>
        <v>8</v>
      </c>
      <c r="O105" s="56">
        <f>IF($C105="B",INDEX(Batters[[#All],[EYE P]],MATCH(Table5[[#This Row],[PID]],Batters[[#All],[PID]],0)),INDEX(Table3[[#All],[VELO]],MATCH(Table5[[#This Row],[PID]],Table3[[#All],[PID]],0)))</f>
        <v>6</v>
      </c>
      <c r="P105" s="56">
        <f>IF($C105="B",INDEX(Batters[[#All],[K P]],MATCH(Table5[[#This Row],[PID]],Batters[[#All],[PID]],0)),INDEX(Table3[[#All],[STM]],MATCH(Table5[[#This Row],[PID]],Table3[[#All],[PID]],0)))</f>
        <v>2</v>
      </c>
      <c r="Q105" s="61">
        <f>IF($C105="B",INDEX(Batters[[#All],[Tot]],MATCH(Table5[[#This Row],[PID]],Batters[[#All],[PID]],0)),INDEX(Table3[[#All],[Tot]],MATCH(Table5[[#This Row],[PID]],Table3[[#All],[PID]],0)))</f>
        <v>51.593642852003242</v>
      </c>
      <c r="R105" s="52">
        <f>IF($C105="B",INDEX(Batters[[#All],[zScore]],MATCH(Table5[[#This Row],[PID]],Batters[[#All],[PID]],0)),INDEX(Table3[[#All],[zScore]],MATCH(Table5[[#This Row],[PID]],Table3[[#All],[PID]],0)))</f>
        <v>1.2225051482969769</v>
      </c>
      <c r="S105" s="58" t="str">
        <f>IF($C105="B",INDEX(Batters[[#All],[DEM]],MATCH(Table5[[#This Row],[PID]],Batters[[#All],[PID]],0)),INDEX(Table3[[#All],[DEM]],MATCH(Table5[[#This Row],[PID]],Table3[[#All],[PID]],0)))</f>
        <v>$200k</v>
      </c>
      <c r="T105" s="62">
        <f>IF($C105="B",INDEX(Batters[[#All],[Rnk]],MATCH(Table5[[#This Row],[PID]],Batters[[#All],[PID]],0)),INDEX(Table3[[#All],[Rnk]],MATCH(Table5[[#This Row],[PID]],Table3[[#All],[PID]],0)))</f>
        <v>7</v>
      </c>
      <c r="U105" s="67">
        <f>IF($C105="B",VLOOKUP($A105,Bat!$A$4:$BA$1314,47,FALSE),VLOOKUP($A105,Pit!$A$4:$BF$1214,56,FALSE))</f>
        <v>55</v>
      </c>
      <c r="V105" s="50">
        <f>IF($C105="B",VLOOKUP($A105,Bat!$A$4:$BA$1314,48,FALSE),VLOOKUP($A105,Pit!$A$4:$BF$1214,57,FALSE))</f>
        <v>55</v>
      </c>
      <c r="W105" s="50">
        <v>101</v>
      </c>
      <c r="X105" s="51">
        <f>RANK(Table5[[#This Row],[zScore]],Table5[[#All],[zScore]])</f>
        <v>116</v>
      </c>
      <c r="Y105" s="50">
        <f>IFERROR(INDEX(DraftResults[[#All],[OVR]],MATCH(Table5[[#This Row],[PID]],DraftResults[[#All],[Player ID]],0)),"")</f>
        <v>25</v>
      </c>
      <c r="Z105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1</v>
      </c>
      <c r="AA105" s="50">
        <f>IFERROR(INDEX(DraftResults[[#All],[Pick in Round]],MATCH(Table5[[#This Row],[PID]],DraftResults[[#All],[Player ID]],0)),"")</f>
        <v>25</v>
      </c>
      <c r="AB105" s="50" t="str">
        <f>IFERROR(INDEX(DraftResults[[#All],[Team Name]],MATCH(Table5[[#This Row],[PID]],DraftResults[[#All],[Player ID]],0)),"")</f>
        <v>Yuma Arroyos</v>
      </c>
      <c r="AC105" s="50">
        <f>IF(Table5[[#This Row],[Ovr]]="","",IF(Table5[[#This Row],[cmbList]]="","",Table5[[#This Row],[cmbList]]-Table5[[#This Row],[Ovr]]))</f>
        <v>76</v>
      </c>
      <c r="AD105" s="54" t="str">
        <f>IF(ISERROR(VLOOKUP($AB105&amp;"-"&amp;$E105&amp;" "&amp;F105,Bonuses!$B$1:$G$1006,4,FALSE)),"",INT(VLOOKUP($AB105&amp;"-"&amp;$E105&amp;" "&amp;$F105,Bonuses!$B$1:$G$1006,4,FALSE)))</f>
        <v/>
      </c>
      <c r="AE105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1.25 (25) - RF Paterno Olaires</v>
      </c>
    </row>
    <row r="106" spans="1:31" s="50" customFormat="1" x14ac:dyDescent="0.3">
      <c r="A106" s="50">
        <v>12128</v>
      </c>
      <c r="B106" s="50">
        <f>COUNTIF(Table5[PID],A106)</f>
        <v>1</v>
      </c>
      <c r="C106" s="50" t="str">
        <f>IF(COUNTIF(Table3[[#All],[PID]],A106)&gt;0,"P","B")</f>
        <v>B</v>
      </c>
      <c r="D106" s="59" t="str">
        <f>IF($C106="B",INDEX(Batters[[#All],[POS]],MATCH(Table5[[#This Row],[PID]],Batters[[#All],[PID]],0)),INDEX(Table3[[#All],[POS]],MATCH(Table5[[#This Row],[PID]],Table3[[#All],[PID]],0)))</f>
        <v>1B</v>
      </c>
      <c r="E106" s="52" t="str">
        <f>IF($C106="B",INDEX(Batters[[#All],[First]],MATCH(Table5[[#This Row],[PID]],Batters[[#All],[PID]],0)),INDEX(Table3[[#All],[First]],MATCH(Table5[[#This Row],[PID]],Table3[[#All],[PID]],0)))</f>
        <v>Jonathan</v>
      </c>
      <c r="F106" s="50" t="str">
        <f>IF($C106="B",INDEX(Batters[[#All],[Last]],MATCH(A106,Batters[[#All],[PID]],0)),INDEX(Table3[[#All],[Last]],MATCH(A106,Table3[[#All],[PID]],0)))</f>
        <v>Poskitt</v>
      </c>
      <c r="G106" s="56">
        <f>IF($C106="B",INDEX(Batters[[#All],[Age]],MATCH(Table5[[#This Row],[PID]],Batters[[#All],[PID]],0)),INDEX(Table3[[#All],[Age]],MATCH(Table5[[#This Row],[PID]],Table3[[#All],[PID]],0)))</f>
        <v>17</v>
      </c>
      <c r="H106" s="52" t="str">
        <f>IF($C106="B",INDEX(Batters[[#All],[B]],MATCH(Table5[[#This Row],[PID]],Batters[[#All],[PID]],0)),INDEX(Table3[[#All],[B]],MATCH(Table5[[#This Row],[PID]],Table3[[#All],[PID]],0)))</f>
        <v>L</v>
      </c>
      <c r="I106" s="52" t="str">
        <f>IF($C106="B",INDEX(Batters[[#All],[T]],MATCH(Table5[[#This Row],[PID]],Batters[[#All],[PID]],0)),INDEX(Table3[[#All],[T]],MATCH(Table5[[#This Row],[PID]],Table3[[#All],[PID]],0)))</f>
        <v>L</v>
      </c>
      <c r="J106" s="52" t="str">
        <f>IF($C106="B",INDEX(Batters[[#All],[WE]],MATCH(Table5[[#This Row],[PID]],Batters[[#All],[PID]],0)),INDEX(Table3[[#All],[WE]],MATCH(Table5[[#This Row],[PID]],Table3[[#All],[PID]],0)))</f>
        <v>Normal</v>
      </c>
      <c r="K106" s="52" t="str">
        <f>IF($C106="B",INDEX(Batters[[#All],[INT]],MATCH(Table5[[#This Row],[PID]],Batters[[#All],[PID]],0)),INDEX(Table3[[#All],[INT]],MATCH(Table5[[#This Row],[PID]],Table3[[#All],[PID]],0)))</f>
        <v>Normal</v>
      </c>
      <c r="L106" s="60">
        <f>IF($C106="B",INDEX(Batters[[#All],[CON P]],MATCH(Table5[[#This Row],[PID]],Batters[[#All],[PID]],0)),INDEX(Table3[[#All],[STU P]],MATCH(Table5[[#This Row],[PID]],Table3[[#All],[PID]],0)))</f>
        <v>3</v>
      </c>
      <c r="M106" s="56">
        <f>IF($C106="B",INDEX(Batters[[#All],[GAP P]],MATCH(Table5[[#This Row],[PID]],Batters[[#All],[PID]],0)),INDEX(Table3[[#All],[MOV P]],MATCH(Table5[[#This Row],[PID]],Table3[[#All],[PID]],0)))</f>
        <v>8</v>
      </c>
      <c r="N106" s="56">
        <f>IF($C106="B",INDEX(Batters[[#All],[POW P]],MATCH(Table5[[#This Row],[PID]],Batters[[#All],[PID]],0)),INDEX(Table3[[#All],[CON P]],MATCH(Table5[[#This Row],[PID]],Table3[[#All],[PID]],0)))</f>
        <v>8</v>
      </c>
      <c r="O106" s="56">
        <f>IF($C106="B",INDEX(Batters[[#All],[EYE P]],MATCH(Table5[[#This Row],[PID]],Batters[[#All],[PID]],0)),INDEX(Table3[[#All],[VELO]],MATCH(Table5[[#This Row],[PID]],Table3[[#All],[PID]],0)))</f>
        <v>6</v>
      </c>
      <c r="P106" s="56">
        <f>IF($C106="B",INDEX(Batters[[#All],[K P]],MATCH(Table5[[#This Row],[PID]],Batters[[#All],[PID]],0)),INDEX(Table3[[#All],[STM]],MATCH(Table5[[#This Row],[PID]],Table3[[#All],[PID]],0)))</f>
        <v>2</v>
      </c>
      <c r="Q106" s="61">
        <f>IF($C106="B",INDEX(Batters[[#All],[Tot]],MATCH(Table5[[#This Row],[PID]],Batters[[#All],[PID]],0)),INDEX(Table3[[#All],[Tot]],MATCH(Table5[[#This Row],[PID]],Table3[[#All],[PID]],0)))</f>
        <v>49.725205426807307</v>
      </c>
      <c r="R106" s="52">
        <f>IF($C106="B",INDEX(Batters[[#All],[zScore]],MATCH(Table5[[#This Row],[PID]],Batters[[#All],[PID]],0)),INDEX(Table3[[#All],[zScore]],MATCH(Table5[[#This Row],[PID]],Table3[[#All],[PID]],0)))</f>
        <v>0.94977286934713423</v>
      </c>
      <c r="S106" s="58" t="str">
        <f>IF($C106="B",INDEX(Batters[[#All],[DEM]],MATCH(Table5[[#This Row],[PID]],Batters[[#All],[PID]],0)),INDEX(Table3[[#All],[DEM]],MATCH(Table5[[#This Row],[PID]],Table3[[#All],[PID]],0)))</f>
        <v>$190k</v>
      </c>
      <c r="T106" s="62">
        <f>IF($C106="B",INDEX(Batters[[#All],[Rnk]],MATCH(Table5[[#This Row],[PID]],Batters[[#All],[PID]],0)),INDEX(Table3[[#All],[Rnk]],MATCH(Table5[[#This Row],[PID]],Table3[[#All],[PID]],0)))</f>
        <v>7</v>
      </c>
      <c r="U106" s="67">
        <f>IF($C106="B",VLOOKUP($A106,Bat!$A$4:$BA$1314,47,FALSE),VLOOKUP($A106,Pit!$A$4:$BF$1214,56,FALSE))</f>
        <v>56</v>
      </c>
      <c r="V106" s="50">
        <f>IF($C106="B",VLOOKUP($A106,Bat!$A$4:$BA$1314,48,FALSE),VLOOKUP($A106,Pit!$A$4:$BF$1214,57,FALSE))</f>
        <v>56</v>
      </c>
      <c r="W106" s="68">
        <v>102</v>
      </c>
      <c r="X106" s="51">
        <f>RANK(Table5[[#This Row],[zScore]],Table5[[#All],[zScore]])</f>
        <v>153</v>
      </c>
      <c r="Y106" s="50">
        <f>IFERROR(INDEX(DraftResults[[#All],[OVR]],MATCH(Table5[[#This Row],[PID]],DraftResults[[#All],[Player ID]],0)),"")</f>
        <v>170</v>
      </c>
      <c r="Z106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6</v>
      </c>
      <c r="AA106" s="50">
        <f>IFERROR(INDEX(DraftResults[[#All],[Pick in Round]],MATCH(Table5[[#This Row],[PID]],DraftResults[[#All],[Player ID]],0)),"")</f>
        <v>1</v>
      </c>
      <c r="AB106" s="50" t="str">
        <f>IFERROR(INDEX(DraftResults[[#All],[Team Name]],MATCH(Table5[[#This Row],[PID]],DraftResults[[#All],[Player ID]],0)),"")</f>
        <v>Niihama-shi Ghosts</v>
      </c>
      <c r="AC106" s="50">
        <f>IF(Table5[[#This Row],[Ovr]]="","",IF(Table5[[#This Row],[cmbList]]="","",Table5[[#This Row],[cmbList]]-Table5[[#This Row],[Ovr]]))</f>
        <v>-68</v>
      </c>
      <c r="AD106" s="54" t="str">
        <f>IF(ISERROR(VLOOKUP($AB106&amp;"-"&amp;$E106&amp;" "&amp;F106,Bonuses!$B$1:$G$1006,4,FALSE)),"",INT(VLOOKUP($AB106&amp;"-"&amp;$E106&amp;" "&amp;$F106,Bonuses!$B$1:$G$1006,4,FALSE)))</f>
        <v/>
      </c>
      <c r="AE106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6.1 (170) - 1B Jonathan Poskitt</v>
      </c>
    </row>
    <row r="107" spans="1:31" s="50" customFormat="1" x14ac:dyDescent="0.3">
      <c r="A107" s="50">
        <v>13516</v>
      </c>
      <c r="B107" s="50">
        <f>COUNTIF(Table5[PID],A107)</f>
        <v>1</v>
      </c>
      <c r="C107" s="50" t="str">
        <f>IF(COUNTIF(Table3[[#All],[PID]],A107)&gt;0,"P","B")</f>
        <v>P</v>
      </c>
      <c r="D107" s="59" t="str">
        <f>IF($C107="B",INDEX(Batters[[#All],[POS]],MATCH(Table5[[#This Row],[PID]],Batters[[#All],[PID]],0)),INDEX(Table3[[#All],[POS]],MATCH(Table5[[#This Row],[PID]],Table3[[#All],[PID]],0)))</f>
        <v>RP</v>
      </c>
      <c r="E107" s="52" t="str">
        <f>IF($C107="B",INDEX(Batters[[#All],[First]],MATCH(Table5[[#This Row],[PID]],Batters[[#All],[PID]],0)),INDEX(Table3[[#All],[First]],MATCH(Table5[[#This Row],[PID]],Table3[[#All],[PID]],0)))</f>
        <v>Tsumemasa</v>
      </c>
      <c r="F107" s="50" t="str">
        <f>IF($C107="B",INDEX(Batters[[#All],[Last]],MATCH(A107,Batters[[#All],[PID]],0)),INDEX(Table3[[#All],[Last]],MATCH(A107,Table3[[#All],[PID]],0)))</f>
        <v>Yamada</v>
      </c>
      <c r="G107" s="56">
        <f>IF($C107="B",INDEX(Batters[[#All],[Age]],MATCH(Table5[[#This Row],[PID]],Batters[[#All],[PID]],0)),INDEX(Table3[[#All],[Age]],MATCH(Table5[[#This Row],[PID]],Table3[[#All],[PID]],0)))</f>
        <v>17</v>
      </c>
      <c r="H107" s="52" t="str">
        <f>IF($C107="B",INDEX(Batters[[#All],[B]],MATCH(Table5[[#This Row],[PID]],Batters[[#All],[PID]],0)),INDEX(Table3[[#All],[B]],MATCH(Table5[[#This Row],[PID]],Table3[[#All],[PID]],0)))</f>
        <v>S</v>
      </c>
      <c r="I107" s="52" t="str">
        <f>IF($C107="B",INDEX(Batters[[#All],[T]],MATCH(Table5[[#This Row],[PID]],Batters[[#All],[PID]],0)),INDEX(Table3[[#All],[T]],MATCH(Table5[[#This Row],[PID]],Table3[[#All],[PID]],0)))</f>
        <v>R</v>
      </c>
      <c r="J107" s="52" t="str">
        <f>IF($C107="B",INDEX(Batters[[#All],[WE]],MATCH(Table5[[#This Row],[PID]],Batters[[#All],[PID]],0)),INDEX(Table3[[#All],[WE]],MATCH(Table5[[#This Row],[PID]],Table3[[#All],[PID]],0)))</f>
        <v>High</v>
      </c>
      <c r="K107" s="52" t="str">
        <f>IF($C107="B",INDEX(Batters[[#All],[INT]],MATCH(Table5[[#This Row],[PID]],Batters[[#All],[PID]],0)),INDEX(Table3[[#All],[INT]],MATCH(Table5[[#This Row],[PID]],Table3[[#All],[PID]],0)))</f>
        <v>Normal</v>
      </c>
      <c r="L107" s="60">
        <f>IF($C107="B",INDEX(Batters[[#All],[CON P]],MATCH(Table5[[#This Row],[PID]],Batters[[#All],[PID]],0)),INDEX(Table3[[#All],[STU P]],MATCH(Table5[[#This Row],[PID]],Table3[[#All],[PID]],0)))</f>
        <v>6</v>
      </c>
      <c r="M107" s="56">
        <f>IF($C107="B",INDEX(Batters[[#All],[GAP P]],MATCH(Table5[[#This Row],[PID]],Batters[[#All],[PID]],0)),INDEX(Table3[[#All],[MOV P]],MATCH(Table5[[#This Row],[PID]],Table3[[#All],[PID]],0)))</f>
        <v>3</v>
      </c>
      <c r="N107" s="56">
        <f>IF($C107="B",INDEX(Batters[[#All],[POW P]],MATCH(Table5[[#This Row],[PID]],Batters[[#All],[PID]],0)),INDEX(Table3[[#All],[CON P]],MATCH(Table5[[#This Row],[PID]],Table3[[#All],[PID]],0)))</f>
        <v>4</v>
      </c>
      <c r="O107" s="56" t="str">
        <f>IF($C107="B",INDEX(Batters[[#All],[EYE P]],MATCH(Table5[[#This Row],[PID]],Batters[[#All],[PID]],0)),INDEX(Table3[[#All],[VELO]],MATCH(Table5[[#This Row],[PID]],Table3[[#All],[PID]],0)))</f>
        <v>93-95 Mph</v>
      </c>
      <c r="P107" s="56">
        <f>IF($C107="B",INDEX(Batters[[#All],[K P]],MATCH(Table5[[#This Row],[PID]],Batters[[#All],[PID]],0)),INDEX(Table3[[#All],[STM]],MATCH(Table5[[#This Row],[PID]],Table3[[#All],[PID]],0)))</f>
        <v>3</v>
      </c>
      <c r="Q107" s="61">
        <f>IF($C107="B",INDEX(Batters[[#All],[Tot]],MATCH(Table5[[#This Row],[PID]],Batters[[#All],[PID]],0)),INDEX(Table3[[#All],[Tot]],MATCH(Table5[[#This Row],[PID]],Table3[[#All],[PID]],0)))</f>
        <v>52.775164532719501</v>
      </c>
      <c r="R107" s="52">
        <f>IF($C107="B",INDEX(Batters[[#All],[zScore]],MATCH(Table5[[#This Row],[PID]],Batters[[#All],[PID]],0)),INDEX(Table3[[#All],[zScore]],MATCH(Table5[[#This Row],[PID]],Table3[[#All],[PID]],0)))</f>
        <v>1.0661531345683812</v>
      </c>
      <c r="S107" s="58" t="str">
        <f>IF($C107="B",INDEX(Batters[[#All],[DEM]],MATCH(Table5[[#This Row],[PID]],Batters[[#All],[PID]],0)),INDEX(Table3[[#All],[DEM]],MATCH(Table5[[#This Row],[PID]],Table3[[#All],[PID]],0)))</f>
        <v>$65k</v>
      </c>
      <c r="T107" s="62">
        <f>IF($C107="B",INDEX(Batters[[#All],[Rnk]],MATCH(Table5[[#This Row],[PID]],Batters[[#All],[PID]],0)),INDEX(Table3[[#All],[Rnk]],MATCH(Table5[[#This Row],[PID]],Table3[[#All],[PID]],0)))</f>
        <v>16</v>
      </c>
      <c r="U107" s="67">
        <f>IF($C107="B",VLOOKUP($A107,Bat!$A$4:$BA$1314,47,FALSE),VLOOKUP($A107,Pit!$A$4:$BF$1214,56,FALSE))</f>
        <v>46</v>
      </c>
      <c r="V107" s="50">
        <f>IF($C107="B",VLOOKUP($A107,Bat!$A$4:$BA$1314,48,FALSE),VLOOKUP($A107,Pit!$A$4:$BF$1214,57,FALSE))</f>
        <v>0</v>
      </c>
      <c r="W107" s="50">
        <v>103</v>
      </c>
      <c r="X107" s="51">
        <f>RANK(Table5[[#This Row],[zScore]],Table5[[#All],[zScore]])</f>
        <v>137</v>
      </c>
      <c r="Y107" s="50">
        <f>IFERROR(INDEX(DraftResults[[#All],[OVR]],MATCH(Table5[[#This Row],[PID]],DraftResults[[#All],[Player ID]],0)),"")</f>
        <v>236</v>
      </c>
      <c r="Z107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8</v>
      </c>
      <c r="AA107" s="50">
        <f>IFERROR(INDEX(DraftResults[[#All],[Pick in Round]],MATCH(Table5[[#This Row],[PID]],DraftResults[[#All],[Player ID]],0)),"")</f>
        <v>3</v>
      </c>
      <c r="AB107" s="50" t="str">
        <f>IFERROR(INDEX(DraftResults[[#All],[Team Name]],MATCH(Table5[[#This Row],[PID]],DraftResults[[#All],[Player ID]],0)),"")</f>
        <v>Okinawa Shisa</v>
      </c>
      <c r="AC107" s="50">
        <f>IF(Table5[[#This Row],[Ovr]]="","",IF(Table5[[#This Row],[cmbList]]="","",Table5[[#This Row],[cmbList]]-Table5[[#This Row],[Ovr]]))</f>
        <v>-133</v>
      </c>
      <c r="AD107" s="54" t="str">
        <f>IF(ISERROR(VLOOKUP($AB107&amp;"-"&amp;$E107&amp;" "&amp;F107,Bonuses!$B$1:$G$1006,4,FALSE)),"",INT(VLOOKUP($AB107&amp;"-"&amp;$E107&amp;" "&amp;$F107,Bonuses!$B$1:$G$1006,4,FALSE)))</f>
        <v/>
      </c>
      <c r="AE107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8.3 (236) - RP Tsumemasa Yamada</v>
      </c>
    </row>
    <row r="108" spans="1:31" s="50" customFormat="1" x14ac:dyDescent="0.3">
      <c r="A108" s="67">
        <v>13155</v>
      </c>
      <c r="B108" s="68">
        <f>COUNTIF(Table5[PID],A108)</f>
        <v>1</v>
      </c>
      <c r="C108" s="68" t="str">
        <f>IF(COUNTIF(Table3[[#All],[PID]],A108)&gt;0,"P","B")</f>
        <v>P</v>
      </c>
      <c r="D108" s="59" t="str">
        <f>IF($C108="B",INDEX(Batters[[#All],[POS]],MATCH(Table5[[#This Row],[PID]],Batters[[#All],[PID]],0)),INDEX(Table3[[#All],[POS]],MATCH(Table5[[#This Row],[PID]],Table3[[#All],[PID]],0)))</f>
        <v>SP</v>
      </c>
      <c r="E108" s="52" t="str">
        <f>IF($C108="B",INDEX(Batters[[#All],[First]],MATCH(Table5[[#This Row],[PID]],Batters[[#All],[PID]],0)),INDEX(Table3[[#All],[First]],MATCH(Table5[[#This Row],[PID]],Table3[[#All],[PID]],0)))</f>
        <v>Scott</v>
      </c>
      <c r="F108" s="55" t="str">
        <f>IF($C108="B",INDEX(Batters[[#All],[Last]],MATCH(A108,Batters[[#All],[PID]],0)),INDEX(Table3[[#All],[Last]],MATCH(A108,Table3[[#All],[PID]],0)))</f>
        <v>Fitter</v>
      </c>
      <c r="G108" s="56">
        <f>IF($C108="B",INDEX(Batters[[#All],[Age]],MATCH(Table5[[#This Row],[PID]],Batters[[#All],[PID]],0)),INDEX(Table3[[#All],[Age]],MATCH(Table5[[#This Row],[PID]],Table3[[#All],[PID]],0)))</f>
        <v>17</v>
      </c>
      <c r="H108" s="52" t="str">
        <f>IF($C108="B",INDEX(Batters[[#All],[B]],MATCH(Table5[[#This Row],[PID]],Batters[[#All],[PID]],0)),INDEX(Table3[[#All],[B]],MATCH(Table5[[#This Row],[PID]],Table3[[#All],[PID]],0)))</f>
        <v>S</v>
      </c>
      <c r="I108" s="52" t="str">
        <f>IF($C108="B",INDEX(Batters[[#All],[T]],MATCH(Table5[[#This Row],[PID]],Batters[[#All],[PID]],0)),INDEX(Table3[[#All],[T]],MATCH(Table5[[#This Row],[PID]],Table3[[#All],[PID]],0)))</f>
        <v>R</v>
      </c>
      <c r="J108" s="69" t="str">
        <f>IF($C108="B",INDEX(Batters[[#All],[WE]],MATCH(Table5[[#This Row],[PID]],Batters[[#All],[PID]],0)),INDEX(Table3[[#All],[WE]],MATCH(Table5[[#This Row],[PID]],Table3[[#All],[PID]],0)))</f>
        <v>Normal</v>
      </c>
      <c r="K108" s="52" t="str">
        <f>IF($C108="B",INDEX(Batters[[#All],[INT]],MATCH(Table5[[#This Row],[PID]],Batters[[#All],[PID]],0)),INDEX(Table3[[#All],[INT]],MATCH(Table5[[#This Row],[PID]],Table3[[#All],[PID]],0)))</f>
        <v>Normal</v>
      </c>
      <c r="L108" s="60">
        <f>IF($C108="B",INDEX(Batters[[#All],[CON P]],MATCH(Table5[[#This Row],[PID]],Batters[[#All],[PID]],0)),INDEX(Table3[[#All],[STU P]],MATCH(Table5[[#This Row],[PID]],Table3[[#All],[PID]],0)))</f>
        <v>4</v>
      </c>
      <c r="M108" s="70">
        <f>IF($C108="B",INDEX(Batters[[#All],[GAP P]],MATCH(Table5[[#This Row],[PID]],Batters[[#All],[PID]],0)),INDEX(Table3[[#All],[MOV P]],MATCH(Table5[[#This Row],[PID]],Table3[[#All],[PID]],0)))</f>
        <v>6</v>
      </c>
      <c r="N108" s="70">
        <f>IF($C108="B",INDEX(Batters[[#All],[POW P]],MATCH(Table5[[#This Row],[PID]],Batters[[#All],[PID]],0)),INDEX(Table3[[#All],[CON P]],MATCH(Table5[[#This Row],[PID]],Table3[[#All],[PID]],0)))</f>
        <v>4</v>
      </c>
      <c r="O108" s="70" t="str">
        <f>IF($C108="B",INDEX(Batters[[#All],[EYE P]],MATCH(Table5[[#This Row],[PID]],Batters[[#All],[PID]],0)),INDEX(Table3[[#All],[VELO]],MATCH(Table5[[#This Row],[PID]],Table3[[#All],[PID]],0)))</f>
        <v>91-93 Mph</v>
      </c>
      <c r="P108" s="56">
        <f>IF($C108="B",INDEX(Batters[[#All],[K P]],MATCH(Table5[[#This Row],[PID]],Batters[[#All],[PID]],0)),INDEX(Table3[[#All],[STM]],MATCH(Table5[[#This Row],[PID]],Table3[[#All],[PID]],0)))</f>
        <v>4</v>
      </c>
      <c r="Q108" s="61">
        <f>IF($C108="B",INDEX(Batters[[#All],[Tot]],MATCH(Table5[[#This Row],[PID]],Batters[[#All],[PID]],0)),INDEX(Table3[[#All],[Tot]],MATCH(Table5[[#This Row],[PID]],Table3[[#All],[PID]],0)))</f>
        <v>55.206272845697335</v>
      </c>
      <c r="R108" s="52">
        <f>IF($C108="B",INDEX(Batters[[#All],[zScore]],MATCH(Table5[[#This Row],[PID]],Batters[[#All],[PID]],0)),INDEX(Table3[[#All],[zScore]],MATCH(Table5[[#This Row],[PID]],Table3[[#All],[PID]],0)))</f>
        <v>1.239265144128358</v>
      </c>
      <c r="S108" s="75" t="str">
        <f>IF($C108="B",INDEX(Batters[[#All],[DEM]],MATCH(Table5[[#This Row],[PID]],Batters[[#All],[PID]],0)),INDEX(Table3[[#All],[DEM]],MATCH(Table5[[#This Row],[PID]],Table3[[#All],[PID]],0)))</f>
        <v>$250k</v>
      </c>
      <c r="T108" s="72">
        <f>IF($C108="B",INDEX(Batters[[#All],[Rnk]],MATCH(Table5[[#This Row],[PID]],Batters[[#All],[PID]],0)),INDEX(Table3[[#All],[Rnk]],MATCH(Table5[[#This Row],[PID]],Table3[[#All],[PID]],0)))</f>
        <v>17</v>
      </c>
      <c r="U108" s="67">
        <f>IF($C108="B",VLOOKUP($A108,Bat!$A$4:$BA$1314,47,FALSE),VLOOKUP($A108,Pit!$A$4:$BF$1214,56,FALSE))</f>
        <v>47</v>
      </c>
      <c r="V108" s="50">
        <f>IF($C108="B",VLOOKUP($A108,Bat!$A$4:$BA$1314,48,FALSE),VLOOKUP($A108,Pit!$A$4:$BF$1214,57,FALSE))</f>
        <v>0</v>
      </c>
      <c r="W108" s="68">
        <v>104</v>
      </c>
      <c r="X108" s="71">
        <f>RANK(Table5[[#This Row],[zScore]],Table5[[#All],[zScore]])</f>
        <v>111</v>
      </c>
      <c r="Y108" s="68">
        <f>IFERROR(INDEX(DraftResults[[#All],[OVR]],MATCH(Table5[[#This Row],[PID]],DraftResults[[#All],[Player ID]],0)),"")</f>
        <v>166</v>
      </c>
      <c r="Z108" s="7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5</v>
      </c>
      <c r="AA108" s="68">
        <f>IFERROR(INDEX(DraftResults[[#All],[Pick in Round]],MATCH(Table5[[#This Row],[PID]],DraftResults[[#All],[Player ID]],0)),"")</f>
        <v>29</v>
      </c>
      <c r="AB108" s="68" t="str">
        <f>IFERROR(INDEX(DraftResults[[#All],[Team Name]],MATCH(Table5[[#This Row],[PID]],DraftResults[[#All],[Player ID]],0)),"")</f>
        <v>Charleston Statesmen</v>
      </c>
      <c r="AC108" s="68">
        <f>IF(Table5[[#This Row],[Ovr]]="","",IF(Table5[[#This Row],[cmbList]]="","",Table5[[#This Row],[cmbList]]-Table5[[#This Row],[Ovr]]))</f>
        <v>-62</v>
      </c>
      <c r="AD108" s="74" t="str">
        <f>IF(ISERROR(VLOOKUP($AB108&amp;"-"&amp;$E108&amp;" "&amp;F108,Bonuses!$B$1:$G$1006,4,FALSE)),"",INT(VLOOKUP($AB108&amp;"-"&amp;$E108&amp;" "&amp;$F108,Bonuses!$B$1:$G$1006,4,FALSE)))</f>
        <v/>
      </c>
      <c r="AE108" s="68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5.29 (166) - SP Scott Fitter</v>
      </c>
    </row>
    <row r="109" spans="1:31" s="50" customFormat="1" x14ac:dyDescent="0.3">
      <c r="A109" s="50">
        <v>20833</v>
      </c>
      <c r="B109" s="50">
        <f>COUNTIF(Table5[PID],A109)</f>
        <v>1</v>
      </c>
      <c r="C109" s="50" t="str">
        <f>IF(COUNTIF(Table3[[#All],[PID]],A109)&gt;0,"P","B")</f>
        <v>P</v>
      </c>
      <c r="D109" s="59" t="str">
        <f>IF($C109="B",INDEX(Batters[[#All],[POS]],MATCH(Table5[[#This Row],[PID]],Batters[[#All],[PID]],0)),INDEX(Table3[[#All],[POS]],MATCH(Table5[[#This Row],[PID]],Table3[[#All],[PID]],0)))</f>
        <v>SP</v>
      </c>
      <c r="E109" s="52" t="str">
        <f>IF($C109="B",INDEX(Batters[[#All],[First]],MATCH(Table5[[#This Row],[PID]],Batters[[#All],[PID]],0)),INDEX(Table3[[#All],[First]],MATCH(Table5[[#This Row],[PID]],Table3[[#All],[PID]],0)))</f>
        <v>Jude</v>
      </c>
      <c r="F109" s="50" t="str">
        <f>IF($C109="B",INDEX(Batters[[#All],[Last]],MATCH(A109,Batters[[#All],[PID]],0)),INDEX(Table3[[#All],[Last]],MATCH(A109,Table3[[#All],[PID]],0)))</f>
        <v>Everett</v>
      </c>
      <c r="G109" s="56">
        <f>IF($C109="B",INDEX(Batters[[#All],[Age]],MATCH(Table5[[#This Row],[PID]],Batters[[#All],[PID]],0)),INDEX(Table3[[#All],[Age]],MATCH(Table5[[#This Row],[PID]],Table3[[#All],[PID]],0)))</f>
        <v>17</v>
      </c>
      <c r="H109" s="52" t="str">
        <f>IF($C109="B",INDEX(Batters[[#All],[B]],MATCH(Table5[[#This Row],[PID]],Batters[[#All],[PID]],0)),INDEX(Table3[[#All],[B]],MATCH(Table5[[#This Row],[PID]],Table3[[#All],[PID]],0)))</f>
        <v>L</v>
      </c>
      <c r="I109" s="52" t="str">
        <f>IF($C109="B",INDEX(Batters[[#All],[T]],MATCH(Table5[[#This Row],[PID]],Batters[[#All],[PID]],0)),INDEX(Table3[[#All],[T]],MATCH(Table5[[#This Row],[PID]],Table3[[#All],[PID]],0)))</f>
        <v>R</v>
      </c>
      <c r="J109" s="52" t="str">
        <f>IF($C109="B",INDEX(Batters[[#All],[WE]],MATCH(Table5[[#This Row],[PID]],Batters[[#All],[PID]],0)),INDEX(Table3[[#All],[WE]],MATCH(Table5[[#This Row],[PID]],Table3[[#All],[PID]],0)))</f>
        <v>Normal</v>
      </c>
      <c r="K109" s="52" t="str">
        <f>IF($C109="B",INDEX(Batters[[#All],[INT]],MATCH(Table5[[#This Row],[PID]],Batters[[#All],[PID]],0)),INDEX(Table3[[#All],[INT]],MATCH(Table5[[#This Row],[PID]],Table3[[#All],[PID]],0)))</f>
        <v>Normal</v>
      </c>
      <c r="L109" s="60">
        <f>IF($C109="B",INDEX(Batters[[#All],[CON P]],MATCH(Table5[[#This Row],[PID]],Batters[[#All],[PID]],0)),INDEX(Table3[[#All],[STU P]],MATCH(Table5[[#This Row],[PID]],Table3[[#All],[PID]],0)))</f>
        <v>6</v>
      </c>
      <c r="M109" s="56">
        <f>IF($C109="B",INDEX(Batters[[#All],[GAP P]],MATCH(Table5[[#This Row],[PID]],Batters[[#All],[PID]],0)),INDEX(Table3[[#All],[MOV P]],MATCH(Table5[[#This Row],[PID]],Table3[[#All],[PID]],0)))</f>
        <v>2</v>
      </c>
      <c r="N109" s="56">
        <f>IF($C109="B",INDEX(Batters[[#All],[POW P]],MATCH(Table5[[#This Row],[PID]],Batters[[#All],[PID]],0)),INDEX(Table3[[#All],[CON P]],MATCH(Table5[[#This Row],[PID]],Table3[[#All],[PID]],0)))</f>
        <v>4</v>
      </c>
      <c r="O109" s="56" t="str">
        <f>IF($C109="B",INDEX(Batters[[#All],[EYE P]],MATCH(Table5[[#This Row],[PID]],Batters[[#All],[PID]],0)),INDEX(Table3[[#All],[VELO]],MATCH(Table5[[#This Row],[PID]],Table3[[#All],[PID]],0)))</f>
        <v>95-97 Mph</v>
      </c>
      <c r="P109" s="56">
        <f>IF($C109="B",INDEX(Batters[[#All],[K P]],MATCH(Table5[[#This Row],[PID]],Batters[[#All],[PID]],0)),INDEX(Table3[[#All],[STM]],MATCH(Table5[[#This Row],[PID]],Table3[[#All],[PID]],0)))</f>
        <v>7</v>
      </c>
      <c r="Q109" s="61">
        <f>IF($C109="B",INDEX(Batters[[#All],[Tot]],MATCH(Table5[[#This Row],[PID]],Batters[[#All],[PID]],0)),INDEX(Table3[[#All],[Tot]],MATCH(Table5[[#This Row],[PID]],Table3[[#All],[PID]],0)))</f>
        <v>48.151685696686329</v>
      </c>
      <c r="R109" s="52">
        <f>IF($C109="B",INDEX(Batters[[#All],[zScore]],MATCH(Table5[[#This Row],[PID]],Batters[[#All],[PID]],0)),INDEX(Table3[[#All],[zScore]],MATCH(Table5[[#This Row],[PID]],Table3[[#All],[PID]],0)))</f>
        <v>0.73692892510346064</v>
      </c>
      <c r="S109" s="58" t="str">
        <f>IF($C109="B",INDEX(Batters[[#All],[DEM]],MATCH(Table5[[#This Row],[PID]],Batters[[#All],[PID]],0)),INDEX(Table3[[#All],[DEM]],MATCH(Table5[[#This Row],[PID]],Table3[[#All],[PID]],0)))</f>
        <v>$190k</v>
      </c>
      <c r="T109" s="62">
        <f>IF($C109="B",INDEX(Batters[[#All],[Rnk]],MATCH(Table5[[#This Row],[PID]],Batters[[#All],[PID]],0)),INDEX(Table3[[#All],[Rnk]],MATCH(Table5[[#This Row],[PID]],Table3[[#All],[PID]],0)))</f>
        <v>32</v>
      </c>
      <c r="U109" s="67">
        <f>IF($C109="B",VLOOKUP($A109,Bat!$A$4:$BA$1314,47,FALSE),VLOOKUP($A109,Pit!$A$4:$BF$1214,56,FALSE))</f>
        <v>48</v>
      </c>
      <c r="V109" s="50">
        <f>IF($C109="B",VLOOKUP($A109,Bat!$A$4:$BA$1314,48,FALSE),VLOOKUP($A109,Pit!$A$4:$BF$1214,57,FALSE))</f>
        <v>0</v>
      </c>
      <c r="W109" s="50">
        <v>105</v>
      </c>
      <c r="X109" s="51">
        <f>RANK(Table5[[#This Row],[zScore]],Table5[[#All],[zScore]])</f>
        <v>179</v>
      </c>
      <c r="Y109" s="50">
        <f>IFERROR(INDEX(DraftResults[[#All],[OVR]],MATCH(Table5[[#This Row],[PID]],DraftResults[[#All],[Player ID]],0)),"")</f>
        <v>181</v>
      </c>
      <c r="Z109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6</v>
      </c>
      <c r="AA109" s="50">
        <f>IFERROR(INDEX(DraftResults[[#All],[Pick in Round]],MATCH(Table5[[#This Row],[PID]],DraftResults[[#All],[Player ID]],0)),"")</f>
        <v>12</v>
      </c>
      <c r="AB109" s="50" t="str">
        <f>IFERROR(INDEX(DraftResults[[#All],[Team Name]],MATCH(Table5[[#This Row],[PID]],DraftResults[[#All],[Player ID]],0)),"")</f>
        <v>Manchester Maulers</v>
      </c>
      <c r="AC109" s="50">
        <f>IF(Table5[[#This Row],[Ovr]]="","",IF(Table5[[#This Row],[cmbList]]="","",Table5[[#This Row],[cmbList]]-Table5[[#This Row],[Ovr]]))</f>
        <v>-76</v>
      </c>
      <c r="AD109" s="54" t="str">
        <f>IF(ISERROR(VLOOKUP($AB109&amp;"-"&amp;$E109&amp;" "&amp;F109,Bonuses!$B$1:$G$1006,4,FALSE)),"",INT(VLOOKUP($AB109&amp;"-"&amp;$E109&amp;" "&amp;$F109,Bonuses!$B$1:$G$1006,4,FALSE)))</f>
        <v/>
      </c>
      <c r="AE109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6.12 (181) - SP Jude Everett</v>
      </c>
    </row>
    <row r="110" spans="1:31" s="50" customFormat="1" x14ac:dyDescent="0.3">
      <c r="A110" s="50">
        <v>9126</v>
      </c>
      <c r="B110" s="50">
        <f>COUNTIF(Table5[PID],A110)</f>
        <v>1</v>
      </c>
      <c r="C110" s="50" t="str">
        <f>IF(COUNTIF(Table3[[#All],[PID]],A110)&gt;0,"P","B")</f>
        <v>P</v>
      </c>
      <c r="D110" s="59" t="str">
        <f>IF($C110="B",INDEX(Batters[[#All],[POS]],MATCH(Table5[[#This Row],[PID]],Batters[[#All],[PID]],0)),INDEX(Table3[[#All],[POS]],MATCH(Table5[[#This Row],[PID]],Table3[[#All],[PID]],0)))</f>
        <v>SP</v>
      </c>
      <c r="E110" s="52" t="str">
        <f>IF($C110="B",INDEX(Batters[[#All],[First]],MATCH(Table5[[#This Row],[PID]],Batters[[#All],[PID]],0)),INDEX(Table3[[#All],[First]],MATCH(Table5[[#This Row],[PID]],Table3[[#All],[PID]],0)))</f>
        <v>Jake</v>
      </c>
      <c r="F110" s="50" t="str">
        <f>IF($C110="B",INDEX(Batters[[#All],[Last]],MATCH(A110,Batters[[#All],[PID]],0)),INDEX(Table3[[#All],[Last]],MATCH(A110,Table3[[#All],[PID]],0)))</f>
        <v>Souder</v>
      </c>
      <c r="G110" s="56">
        <f>IF($C110="B",INDEX(Batters[[#All],[Age]],MATCH(Table5[[#This Row],[PID]],Batters[[#All],[PID]],0)),INDEX(Table3[[#All],[Age]],MATCH(Table5[[#This Row],[PID]],Table3[[#All],[PID]],0)))</f>
        <v>17</v>
      </c>
      <c r="H110" s="52" t="str">
        <f>IF($C110="B",INDEX(Batters[[#All],[B]],MATCH(Table5[[#This Row],[PID]],Batters[[#All],[PID]],0)),INDEX(Table3[[#All],[B]],MATCH(Table5[[#This Row],[PID]],Table3[[#All],[PID]],0)))</f>
        <v>L</v>
      </c>
      <c r="I110" s="52" t="str">
        <f>IF($C110="B",INDEX(Batters[[#All],[T]],MATCH(Table5[[#This Row],[PID]],Batters[[#All],[PID]],0)),INDEX(Table3[[#All],[T]],MATCH(Table5[[#This Row],[PID]],Table3[[#All],[PID]],0)))</f>
        <v>R</v>
      </c>
      <c r="J110" s="52" t="str">
        <f>IF($C110="B",INDEX(Batters[[#All],[WE]],MATCH(Table5[[#This Row],[PID]],Batters[[#All],[PID]],0)),INDEX(Table3[[#All],[WE]],MATCH(Table5[[#This Row],[PID]],Table3[[#All],[PID]],0)))</f>
        <v>Normal</v>
      </c>
      <c r="K110" s="52" t="str">
        <f>IF($C110="B",INDEX(Batters[[#All],[INT]],MATCH(Table5[[#This Row],[PID]],Batters[[#All],[PID]],0)),INDEX(Table3[[#All],[INT]],MATCH(Table5[[#This Row],[PID]],Table3[[#All],[PID]],0)))</f>
        <v>Normal</v>
      </c>
      <c r="L110" s="60">
        <f>IF($C110="B",INDEX(Batters[[#All],[CON P]],MATCH(Table5[[#This Row],[PID]],Batters[[#All],[PID]],0)),INDEX(Table3[[#All],[STU P]],MATCH(Table5[[#This Row],[PID]],Table3[[#All],[PID]],0)))</f>
        <v>5</v>
      </c>
      <c r="M110" s="56">
        <f>IF($C110="B",INDEX(Batters[[#All],[GAP P]],MATCH(Table5[[#This Row],[PID]],Batters[[#All],[PID]],0)),INDEX(Table3[[#All],[MOV P]],MATCH(Table5[[#This Row],[PID]],Table3[[#All],[PID]],0)))</f>
        <v>4</v>
      </c>
      <c r="N110" s="56">
        <f>IF($C110="B",INDEX(Batters[[#All],[POW P]],MATCH(Table5[[#This Row],[PID]],Batters[[#All],[PID]],0)),INDEX(Table3[[#All],[CON P]],MATCH(Table5[[#This Row],[PID]],Table3[[#All],[PID]],0)))</f>
        <v>4</v>
      </c>
      <c r="O110" s="56" t="str">
        <f>IF($C110="B",INDEX(Batters[[#All],[EYE P]],MATCH(Table5[[#This Row],[PID]],Batters[[#All],[PID]],0)),INDEX(Table3[[#All],[VELO]],MATCH(Table5[[#This Row],[PID]],Table3[[#All],[PID]],0)))</f>
        <v>96-98 Mph</v>
      </c>
      <c r="P110" s="56">
        <f>IF($C110="B",INDEX(Batters[[#All],[K P]],MATCH(Table5[[#This Row],[PID]],Batters[[#All],[PID]],0)),INDEX(Table3[[#All],[STM]],MATCH(Table5[[#This Row],[PID]],Table3[[#All],[PID]],0)))</f>
        <v>6</v>
      </c>
      <c r="Q110" s="61">
        <f>IF($C110="B",INDEX(Batters[[#All],[Tot]],MATCH(Table5[[#This Row],[PID]],Batters[[#All],[PID]],0)),INDEX(Table3[[#All],[Tot]],MATCH(Table5[[#This Row],[PID]],Table3[[#All],[PID]],0)))</f>
        <v>52.154380521447862</v>
      </c>
      <c r="R110" s="52">
        <f>IF($C110="B",INDEX(Batters[[#All],[zScore]],MATCH(Table5[[#This Row],[PID]],Batters[[#All],[PID]],0)),INDEX(Table3[[#All],[zScore]],MATCH(Table5[[#This Row],[PID]],Table3[[#All],[PID]],0)))</f>
        <v>1.0219489470707441</v>
      </c>
      <c r="S110" s="58" t="str">
        <f>IF($C110="B",INDEX(Batters[[#All],[DEM]],MATCH(Table5[[#This Row],[PID]],Batters[[#All],[PID]],0)),INDEX(Table3[[#All],[DEM]],MATCH(Table5[[#This Row],[PID]],Table3[[#All],[PID]],0)))</f>
        <v>$600k</v>
      </c>
      <c r="T110" s="62">
        <f>IF($C110="B",INDEX(Batters[[#All],[Rnk]],MATCH(Table5[[#This Row],[PID]],Batters[[#All],[PID]],0)),INDEX(Table3[[#All],[Rnk]],MATCH(Table5[[#This Row],[PID]],Table3[[#All],[PID]],0)))</f>
        <v>33</v>
      </c>
      <c r="U110" s="67">
        <f>IF($C110="B",VLOOKUP($A110,Bat!$A$4:$BA$1314,47,FALSE),VLOOKUP($A110,Pit!$A$4:$BF$1214,56,FALSE))</f>
        <v>49</v>
      </c>
      <c r="V110" s="50">
        <f>IF($C110="B",VLOOKUP($A110,Bat!$A$4:$BA$1314,48,FALSE),VLOOKUP($A110,Pit!$A$4:$BF$1214,57,FALSE))</f>
        <v>0</v>
      </c>
      <c r="W110" s="68">
        <v>106</v>
      </c>
      <c r="X110" s="51">
        <f>RANK(Table5[[#This Row],[zScore]],Table5[[#All],[zScore]])</f>
        <v>146</v>
      </c>
      <c r="Y110" s="50">
        <f>IFERROR(INDEX(DraftResults[[#All],[OVR]],MATCH(Table5[[#This Row],[PID]],DraftResults[[#All],[Player ID]],0)),"")</f>
        <v>257</v>
      </c>
      <c r="Z110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8</v>
      </c>
      <c r="AA110" s="50">
        <f>IFERROR(INDEX(DraftResults[[#All],[Pick in Round]],MATCH(Table5[[#This Row],[PID]],DraftResults[[#All],[Player ID]],0)),"")</f>
        <v>24</v>
      </c>
      <c r="AB110" s="50" t="str">
        <f>IFERROR(INDEX(DraftResults[[#All],[Team Name]],MATCH(Table5[[#This Row],[PID]],DraftResults[[#All],[Player ID]],0)),"")</f>
        <v>Reno Zephyrs</v>
      </c>
      <c r="AC110" s="50">
        <f>IF(Table5[[#This Row],[Ovr]]="","",IF(Table5[[#This Row],[cmbList]]="","",Table5[[#This Row],[cmbList]]-Table5[[#This Row],[Ovr]]))</f>
        <v>-151</v>
      </c>
      <c r="AD110" s="54" t="str">
        <f>IF(ISERROR(VLOOKUP($AB110&amp;"-"&amp;$E110&amp;" "&amp;F110,Bonuses!$B$1:$G$1006,4,FALSE)),"",INT(VLOOKUP($AB110&amp;"-"&amp;$E110&amp;" "&amp;$F110,Bonuses!$B$1:$G$1006,4,FALSE)))</f>
        <v/>
      </c>
      <c r="AE110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8.24 (257) - SP Jake Souder</v>
      </c>
    </row>
    <row r="111" spans="1:31" s="50" customFormat="1" x14ac:dyDescent="0.3">
      <c r="A111" s="50">
        <v>12752</v>
      </c>
      <c r="B111" s="55">
        <f>COUNTIF(Table5[PID],A111)</f>
        <v>1</v>
      </c>
      <c r="C111" s="55" t="str">
        <f>IF(COUNTIF(Table3[[#All],[PID]],A111)&gt;0,"P","B")</f>
        <v>P</v>
      </c>
      <c r="D111" s="59" t="str">
        <f>IF($C111="B",INDEX(Batters[[#All],[POS]],MATCH(Table5[[#This Row],[PID]],Batters[[#All],[PID]],0)),INDEX(Table3[[#All],[POS]],MATCH(Table5[[#This Row],[PID]],Table3[[#All],[PID]],0)))</f>
        <v>RP</v>
      </c>
      <c r="E111" s="52" t="str">
        <f>IF($C111="B",INDEX(Batters[[#All],[First]],MATCH(Table5[[#This Row],[PID]],Batters[[#All],[PID]],0)),INDEX(Table3[[#All],[First]],MATCH(Table5[[#This Row],[PID]],Table3[[#All],[PID]],0)))</f>
        <v>Bill</v>
      </c>
      <c r="F111" s="50" t="str">
        <f>IF($C111="B",INDEX(Batters[[#All],[Last]],MATCH(A111,Batters[[#All],[PID]],0)),INDEX(Table3[[#All],[Last]],MATCH(A111,Table3[[#All],[PID]],0)))</f>
        <v>Livingston</v>
      </c>
      <c r="G111" s="56">
        <f>IF($C111="B",INDEX(Batters[[#All],[Age]],MATCH(Table5[[#This Row],[PID]],Batters[[#All],[PID]],0)),INDEX(Table3[[#All],[Age]],MATCH(Table5[[#This Row],[PID]],Table3[[#All],[PID]],0)))</f>
        <v>18</v>
      </c>
      <c r="H111" s="52" t="str">
        <f>IF($C111="B",INDEX(Batters[[#All],[B]],MATCH(Table5[[#This Row],[PID]],Batters[[#All],[PID]],0)),INDEX(Table3[[#All],[B]],MATCH(Table5[[#This Row],[PID]],Table3[[#All],[PID]],0)))</f>
        <v>R</v>
      </c>
      <c r="I111" s="52" t="str">
        <f>IF($C111="B",INDEX(Batters[[#All],[T]],MATCH(Table5[[#This Row],[PID]],Batters[[#All],[PID]],0)),INDEX(Table3[[#All],[T]],MATCH(Table5[[#This Row],[PID]],Table3[[#All],[PID]],0)))</f>
        <v>R</v>
      </c>
      <c r="J111" s="52" t="str">
        <f>IF($C111="B",INDEX(Batters[[#All],[WE]],MATCH(Table5[[#This Row],[PID]],Batters[[#All],[PID]],0)),INDEX(Table3[[#All],[WE]],MATCH(Table5[[#This Row],[PID]],Table3[[#All],[PID]],0)))</f>
        <v>High</v>
      </c>
      <c r="K111" s="52" t="str">
        <f>IF($C111="B",INDEX(Batters[[#All],[INT]],MATCH(Table5[[#This Row],[PID]],Batters[[#All],[PID]],0)),INDEX(Table3[[#All],[INT]],MATCH(Table5[[#This Row],[PID]],Table3[[#All],[PID]],0)))</f>
        <v>Normal</v>
      </c>
      <c r="L111" s="60">
        <f>IF($C111="B",INDEX(Batters[[#All],[CON P]],MATCH(Table5[[#This Row],[PID]],Batters[[#All],[PID]],0)),INDEX(Table3[[#All],[STU P]],MATCH(Table5[[#This Row],[PID]],Table3[[#All],[PID]],0)))</f>
        <v>7</v>
      </c>
      <c r="M111" s="56">
        <f>IF($C111="B",INDEX(Batters[[#All],[GAP P]],MATCH(Table5[[#This Row],[PID]],Batters[[#All],[PID]],0)),INDEX(Table3[[#All],[MOV P]],MATCH(Table5[[#This Row],[PID]],Table3[[#All],[PID]],0)))</f>
        <v>3</v>
      </c>
      <c r="N111" s="56">
        <f>IF($C111="B",INDEX(Batters[[#All],[POW P]],MATCH(Table5[[#This Row],[PID]],Batters[[#All],[PID]],0)),INDEX(Table3[[#All],[CON P]],MATCH(Table5[[#This Row],[PID]],Table3[[#All],[PID]],0)))</f>
        <v>4</v>
      </c>
      <c r="O111" s="56" t="str">
        <f>IF($C111="B",INDEX(Batters[[#All],[EYE P]],MATCH(Table5[[#This Row],[PID]],Batters[[#All],[PID]],0)),INDEX(Table3[[#All],[VELO]],MATCH(Table5[[#This Row],[PID]],Table3[[#All],[PID]],0)))</f>
        <v>96-98 Mph</v>
      </c>
      <c r="P111" s="56">
        <f>IF($C111="B",INDEX(Batters[[#All],[K P]],MATCH(Table5[[#This Row],[PID]],Batters[[#All],[PID]],0)),INDEX(Table3[[#All],[STM]],MATCH(Table5[[#This Row],[PID]],Table3[[#All],[PID]],0)))</f>
        <v>7</v>
      </c>
      <c r="Q111" s="61">
        <f>IF($C111="B",INDEX(Batters[[#All],[Tot]],MATCH(Table5[[#This Row],[PID]],Batters[[#All],[PID]],0)),INDEX(Table3[[#All],[Tot]],MATCH(Table5[[#This Row],[PID]],Table3[[#All],[PID]],0)))</f>
        <v>56.951039912703983</v>
      </c>
      <c r="R111" s="52">
        <f>IF($C111="B",INDEX(Batters[[#All],[zScore]],MATCH(Table5[[#This Row],[PID]],Batters[[#All],[PID]],0)),INDEX(Table3[[#All],[zScore]],MATCH(Table5[[#This Row],[PID]],Table3[[#All],[PID]],0)))</f>
        <v>1.3685204589143336</v>
      </c>
      <c r="S111" s="58" t="str">
        <f>IF($C111="B",INDEX(Batters[[#All],[DEM]],MATCH(Table5[[#This Row],[PID]],Batters[[#All],[PID]],0)),INDEX(Table3[[#All],[DEM]],MATCH(Table5[[#This Row],[PID]],Table3[[#All],[PID]],0)))</f>
        <v>$1.4m</v>
      </c>
      <c r="T111" s="62">
        <f>IF($C111="B",INDEX(Batters[[#All],[Rnk]],MATCH(Table5[[#This Row],[PID]],Batters[[#All],[PID]],0)),INDEX(Table3[[#All],[Rnk]],MATCH(Table5[[#This Row],[PID]],Table3[[#All],[PID]],0)))</f>
        <v>34</v>
      </c>
      <c r="U111" s="67">
        <f>IF($C111="B",VLOOKUP($A111,Bat!$A$4:$BA$1314,47,FALSE),VLOOKUP($A111,Pit!$A$4:$BF$1214,56,FALSE))</f>
        <v>50</v>
      </c>
      <c r="V111" s="50">
        <f>IF($C111="B",VLOOKUP($A111,Bat!$A$4:$BA$1314,48,FALSE),VLOOKUP($A111,Pit!$A$4:$BF$1214,57,FALSE))</f>
        <v>0</v>
      </c>
      <c r="W111" s="50">
        <v>107</v>
      </c>
      <c r="X111" s="51">
        <f>RANK(Table5[[#This Row],[zScore]],Table5[[#All],[zScore]])</f>
        <v>89</v>
      </c>
      <c r="Y111" s="50">
        <f>IFERROR(INDEX(DraftResults[[#All],[OVR]],MATCH(Table5[[#This Row],[PID]],DraftResults[[#All],[Player ID]],0)),"")</f>
        <v>77</v>
      </c>
      <c r="Z111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3</v>
      </c>
      <c r="AA111" s="50">
        <f>IFERROR(INDEX(DraftResults[[#All],[Pick in Round]],MATCH(Table5[[#This Row],[PID]],DraftResults[[#All],[Player ID]],0)),"")</f>
        <v>5</v>
      </c>
      <c r="AB111" s="50" t="str">
        <f>IFERROR(INDEX(DraftResults[[#All],[Team Name]],MATCH(Table5[[#This Row],[PID]],DraftResults[[#All],[Player ID]],0)),"")</f>
        <v>Tempe Knights</v>
      </c>
      <c r="AC111" s="50">
        <f>IF(Table5[[#This Row],[Ovr]]="","",IF(Table5[[#This Row],[cmbList]]="","",Table5[[#This Row],[cmbList]]-Table5[[#This Row],[Ovr]]))</f>
        <v>30</v>
      </c>
      <c r="AD111" s="54" t="str">
        <f>IF(ISERROR(VLOOKUP($AB111&amp;"-"&amp;$E111&amp;" "&amp;F111,Bonuses!$B$1:$G$1006,4,FALSE)),"",INT(VLOOKUP($AB111&amp;"-"&amp;$E111&amp;" "&amp;$F111,Bonuses!$B$1:$G$1006,4,FALSE)))</f>
        <v/>
      </c>
      <c r="AE111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3.5 (77) - RP Bill Livingston</v>
      </c>
    </row>
    <row r="112" spans="1:31" s="50" customFormat="1" x14ac:dyDescent="0.3">
      <c r="A112" s="67">
        <v>20988</v>
      </c>
      <c r="B112" s="68">
        <f>COUNTIF(Table5[PID],A112)</f>
        <v>1</v>
      </c>
      <c r="C112" s="68" t="str">
        <f>IF(COUNTIF(Table3[[#All],[PID]],A112)&gt;0,"P","B")</f>
        <v>B</v>
      </c>
      <c r="D112" s="59" t="str">
        <f>IF($C112="B",INDEX(Batters[[#All],[POS]],MATCH(Table5[[#This Row],[PID]],Batters[[#All],[PID]],0)),INDEX(Table3[[#All],[POS]],MATCH(Table5[[#This Row],[PID]],Table3[[#All],[PID]],0)))</f>
        <v>C</v>
      </c>
      <c r="E112" s="52" t="str">
        <f>IF($C112="B",INDEX(Batters[[#All],[First]],MATCH(Table5[[#This Row],[PID]],Batters[[#All],[PID]],0)),INDEX(Table3[[#All],[First]],MATCH(Table5[[#This Row],[PID]],Table3[[#All],[PID]],0)))</f>
        <v>Juan</v>
      </c>
      <c r="F112" s="55" t="str">
        <f>IF($C112="B",INDEX(Batters[[#All],[Last]],MATCH(A112,Batters[[#All],[PID]],0)),INDEX(Table3[[#All],[Last]],MATCH(A112,Table3[[#All],[PID]],0)))</f>
        <v>Mojica</v>
      </c>
      <c r="G112" s="56">
        <f>IF($C112="B",INDEX(Batters[[#All],[Age]],MATCH(Table5[[#This Row],[PID]],Batters[[#All],[PID]],0)),INDEX(Table3[[#All],[Age]],MATCH(Table5[[#This Row],[PID]],Table3[[#All],[PID]],0)))</f>
        <v>17</v>
      </c>
      <c r="H112" s="52" t="str">
        <f>IF($C112="B",INDEX(Batters[[#All],[B]],MATCH(Table5[[#This Row],[PID]],Batters[[#All],[PID]],0)),INDEX(Table3[[#All],[B]],MATCH(Table5[[#This Row],[PID]],Table3[[#All],[PID]],0)))</f>
        <v>R</v>
      </c>
      <c r="I112" s="52" t="str">
        <f>IF($C112="B",INDEX(Batters[[#All],[T]],MATCH(Table5[[#This Row],[PID]],Batters[[#All],[PID]],0)),INDEX(Table3[[#All],[T]],MATCH(Table5[[#This Row],[PID]],Table3[[#All],[PID]],0)))</f>
        <v>R</v>
      </c>
      <c r="J112" s="69" t="str">
        <f>IF($C112="B",INDEX(Batters[[#All],[WE]],MATCH(Table5[[#This Row],[PID]],Batters[[#All],[PID]],0)),INDEX(Table3[[#All],[WE]],MATCH(Table5[[#This Row],[PID]],Table3[[#All],[PID]],0)))</f>
        <v>Low</v>
      </c>
      <c r="K112" s="52" t="str">
        <f>IF($C112="B",INDEX(Batters[[#All],[INT]],MATCH(Table5[[#This Row],[PID]],Batters[[#All],[PID]],0)),INDEX(Table3[[#All],[INT]],MATCH(Table5[[#This Row],[PID]],Table3[[#All],[PID]],0)))</f>
        <v>Normal</v>
      </c>
      <c r="L112" s="60">
        <f>IF($C112="B",INDEX(Batters[[#All],[CON P]],MATCH(Table5[[#This Row],[PID]],Batters[[#All],[PID]],0)),INDEX(Table3[[#All],[STU P]],MATCH(Table5[[#This Row],[PID]],Table3[[#All],[PID]],0)))</f>
        <v>5</v>
      </c>
      <c r="M112" s="70">
        <f>IF($C112="B",INDEX(Batters[[#All],[GAP P]],MATCH(Table5[[#This Row],[PID]],Batters[[#All],[PID]],0)),INDEX(Table3[[#All],[MOV P]],MATCH(Table5[[#This Row],[PID]],Table3[[#All],[PID]],0)))</f>
        <v>6</v>
      </c>
      <c r="N112" s="70">
        <f>IF($C112="B",INDEX(Batters[[#All],[POW P]],MATCH(Table5[[#This Row],[PID]],Batters[[#All],[PID]],0)),INDEX(Table3[[#All],[CON P]],MATCH(Table5[[#This Row],[PID]],Table3[[#All],[PID]],0)))</f>
        <v>3</v>
      </c>
      <c r="O112" s="70">
        <f>IF($C112="B",INDEX(Batters[[#All],[EYE P]],MATCH(Table5[[#This Row],[PID]],Batters[[#All],[PID]],0)),INDEX(Table3[[#All],[VELO]],MATCH(Table5[[#This Row],[PID]],Table3[[#All],[PID]],0)))</f>
        <v>6</v>
      </c>
      <c r="P112" s="56">
        <f>IF($C112="B",INDEX(Batters[[#All],[K P]],MATCH(Table5[[#This Row],[PID]],Batters[[#All],[PID]],0)),INDEX(Table3[[#All],[STM]],MATCH(Table5[[#This Row],[PID]],Table3[[#All],[PID]],0)))</f>
        <v>5</v>
      </c>
      <c r="Q112" s="61">
        <f>IF($C112="B",INDEX(Batters[[#All],[Tot]],MATCH(Table5[[#This Row],[PID]],Batters[[#All],[PID]],0)),INDEX(Table3[[#All],[Tot]],MATCH(Table5[[#This Row],[PID]],Table3[[#All],[PID]],0)))</f>
        <v>52.354042264614279</v>
      </c>
      <c r="R112" s="52">
        <f>IF($C112="B",INDEX(Batters[[#All],[zScore]],MATCH(Table5[[#This Row],[PID]],Batters[[#All],[PID]],0)),INDEX(Table3[[#All],[zScore]],MATCH(Table5[[#This Row],[PID]],Table3[[#All],[PID]],0)))</f>
        <v>1.3334992131326147</v>
      </c>
      <c r="S112" s="75" t="str">
        <f>IF($C112="B",INDEX(Batters[[#All],[DEM]],MATCH(Table5[[#This Row],[PID]],Batters[[#All],[PID]],0)),INDEX(Table3[[#All],[DEM]],MATCH(Table5[[#This Row],[PID]],Table3[[#All],[PID]],0)))</f>
        <v>$300k</v>
      </c>
      <c r="T112" s="72">
        <f>IF($C112="B",INDEX(Batters[[#All],[Rnk]],MATCH(Table5[[#This Row],[PID]],Batters[[#All],[PID]],0)),INDEX(Table3[[#All],[Rnk]],MATCH(Table5[[#This Row],[PID]],Table3[[#All],[PID]],0)))</f>
        <v>7</v>
      </c>
      <c r="U112" s="67">
        <f>IF($C112="B",VLOOKUP($A112,Bat!$A$4:$BA$1314,47,FALSE),VLOOKUP($A112,Pit!$A$4:$BF$1214,56,FALSE))</f>
        <v>57</v>
      </c>
      <c r="V112" s="50">
        <f>IF($C112="B",VLOOKUP($A112,Bat!$A$4:$BA$1314,48,FALSE),VLOOKUP($A112,Pit!$A$4:$BF$1214,57,FALSE))</f>
        <v>57</v>
      </c>
      <c r="W112" s="68">
        <v>108</v>
      </c>
      <c r="X112" s="71">
        <f>RANK(Table5[[#This Row],[zScore]],Table5[[#All],[zScore]])</f>
        <v>92</v>
      </c>
      <c r="Y112" s="68">
        <f>IFERROR(INDEX(DraftResults[[#All],[OVR]],MATCH(Table5[[#This Row],[PID]],DraftResults[[#All],[Player ID]],0)),"")</f>
        <v>123</v>
      </c>
      <c r="Z112" s="7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4</v>
      </c>
      <c r="AA112" s="68">
        <f>IFERROR(INDEX(DraftResults[[#All],[Pick in Round]],MATCH(Table5[[#This Row],[PID]],DraftResults[[#All],[Player ID]],0)),"")</f>
        <v>18</v>
      </c>
      <c r="AB112" s="68" t="str">
        <f>IFERROR(INDEX(DraftResults[[#All],[Team Name]],MATCH(Table5[[#This Row],[PID]],DraftResults[[#All],[Player ID]],0)),"")</f>
        <v>San Juan Coqui</v>
      </c>
      <c r="AC112" s="68">
        <f>IF(Table5[[#This Row],[Ovr]]="","",IF(Table5[[#This Row],[cmbList]]="","",Table5[[#This Row],[cmbList]]-Table5[[#This Row],[Ovr]]))</f>
        <v>-15</v>
      </c>
      <c r="AD112" s="74" t="str">
        <f>IF(ISERROR(VLOOKUP($AB112&amp;"-"&amp;$E112&amp;" "&amp;F112,Bonuses!$B$1:$G$1006,4,FALSE)),"",INT(VLOOKUP($AB112&amp;"-"&amp;$E112&amp;" "&amp;$F112,Bonuses!$B$1:$G$1006,4,FALSE)))</f>
        <v/>
      </c>
      <c r="AE112" s="68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4.18 (123) - C Juan Mojica</v>
      </c>
    </row>
    <row r="113" spans="1:31" s="50" customFormat="1" x14ac:dyDescent="0.3">
      <c r="A113" s="50">
        <v>12985</v>
      </c>
      <c r="B113" s="50">
        <f>COUNTIF(Table5[PID],A113)</f>
        <v>1</v>
      </c>
      <c r="C113" s="50" t="str">
        <f>IF(COUNTIF(Table3[[#All],[PID]],A113)&gt;0,"P","B")</f>
        <v>B</v>
      </c>
      <c r="D113" s="59" t="str">
        <f>IF($C113="B",INDEX(Batters[[#All],[POS]],MATCH(Table5[[#This Row],[PID]],Batters[[#All],[PID]],0)),INDEX(Table3[[#All],[POS]],MATCH(Table5[[#This Row],[PID]],Table3[[#All],[PID]],0)))</f>
        <v>SS</v>
      </c>
      <c r="E113" s="52" t="str">
        <f>IF($C113="B",INDEX(Batters[[#All],[First]],MATCH(Table5[[#This Row],[PID]],Batters[[#All],[PID]],0)),INDEX(Table3[[#All],[First]],MATCH(Table5[[#This Row],[PID]],Table3[[#All],[PID]],0)))</f>
        <v>Jesús</v>
      </c>
      <c r="F113" s="50" t="str">
        <f>IF($C113="B",INDEX(Batters[[#All],[Last]],MATCH(A113,Batters[[#All],[PID]],0)),INDEX(Table3[[#All],[Last]],MATCH(A113,Table3[[#All],[PID]],0)))</f>
        <v>Morales</v>
      </c>
      <c r="G113" s="56">
        <f>IF($C113="B",INDEX(Batters[[#All],[Age]],MATCH(Table5[[#This Row],[PID]],Batters[[#All],[PID]],0)),INDEX(Table3[[#All],[Age]],MATCH(Table5[[#This Row],[PID]],Table3[[#All],[PID]],0)))</f>
        <v>18</v>
      </c>
      <c r="H113" s="52" t="str">
        <f>IF($C113="B",INDEX(Batters[[#All],[B]],MATCH(Table5[[#This Row],[PID]],Batters[[#All],[PID]],0)),INDEX(Table3[[#All],[B]],MATCH(Table5[[#This Row],[PID]],Table3[[#All],[PID]],0)))</f>
        <v>R</v>
      </c>
      <c r="I113" s="52" t="str">
        <f>IF($C113="B",INDEX(Batters[[#All],[T]],MATCH(Table5[[#This Row],[PID]],Batters[[#All],[PID]],0)),INDEX(Table3[[#All],[T]],MATCH(Table5[[#This Row],[PID]],Table3[[#All],[PID]],0)))</f>
        <v>R</v>
      </c>
      <c r="J113" s="52" t="str">
        <f>IF($C113="B",INDEX(Batters[[#All],[WE]],MATCH(Table5[[#This Row],[PID]],Batters[[#All],[PID]],0)),INDEX(Table3[[#All],[WE]],MATCH(Table5[[#This Row],[PID]],Table3[[#All],[PID]],0)))</f>
        <v>Normal</v>
      </c>
      <c r="K113" s="52" t="str">
        <f>IF($C113="B",INDEX(Batters[[#All],[INT]],MATCH(Table5[[#This Row],[PID]],Batters[[#All],[PID]],0)),INDEX(Table3[[#All],[INT]],MATCH(Table5[[#This Row],[PID]],Table3[[#All],[PID]],0)))</f>
        <v>Normal</v>
      </c>
      <c r="L113" s="60">
        <f>IF($C113="B",INDEX(Batters[[#All],[CON P]],MATCH(Table5[[#This Row],[PID]],Batters[[#All],[PID]],0)),INDEX(Table3[[#All],[STU P]],MATCH(Table5[[#This Row],[PID]],Table3[[#All],[PID]],0)))</f>
        <v>4</v>
      </c>
      <c r="M113" s="56">
        <f>IF($C113="B",INDEX(Batters[[#All],[GAP P]],MATCH(Table5[[#This Row],[PID]],Batters[[#All],[PID]],0)),INDEX(Table3[[#All],[MOV P]],MATCH(Table5[[#This Row],[PID]],Table3[[#All],[PID]],0)))</f>
        <v>5</v>
      </c>
      <c r="N113" s="56">
        <f>IF($C113="B",INDEX(Batters[[#All],[POW P]],MATCH(Table5[[#This Row],[PID]],Batters[[#All],[PID]],0)),INDEX(Table3[[#All],[CON P]],MATCH(Table5[[#This Row],[PID]],Table3[[#All],[PID]],0)))</f>
        <v>6</v>
      </c>
      <c r="O113" s="56">
        <f>IF($C113="B",INDEX(Batters[[#All],[EYE P]],MATCH(Table5[[#This Row],[PID]],Batters[[#All],[PID]],0)),INDEX(Table3[[#All],[VELO]],MATCH(Table5[[#This Row],[PID]],Table3[[#All],[PID]],0)))</f>
        <v>6</v>
      </c>
      <c r="P113" s="56">
        <f>IF($C113="B",INDEX(Batters[[#All],[K P]],MATCH(Table5[[#This Row],[PID]],Batters[[#All],[PID]],0)),INDEX(Table3[[#All],[STM]],MATCH(Table5[[#This Row],[PID]],Table3[[#All],[PID]],0)))</f>
        <v>5</v>
      </c>
      <c r="Q113" s="61">
        <f>IF($C113="B",INDEX(Batters[[#All],[Tot]],MATCH(Table5[[#This Row],[PID]],Batters[[#All],[PID]],0)),INDEX(Table3[[#All],[Tot]],MATCH(Table5[[#This Row],[PID]],Table3[[#All],[PID]],0)))</f>
        <v>51.740782412775552</v>
      </c>
      <c r="R113" s="52">
        <f>IF($C113="B",INDEX(Batters[[#All],[zScore]],MATCH(Table5[[#This Row],[PID]],Batters[[#All],[PID]],0)),INDEX(Table3[[#All],[zScore]],MATCH(Table5[[#This Row],[PID]],Table3[[#All],[PID]],0)))</f>
        <v>1.2439828318372232</v>
      </c>
      <c r="S113" s="58" t="str">
        <f>IF($C113="B",INDEX(Batters[[#All],[DEM]],MATCH(Table5[[#This Row],[PID]],Batters[[#All],[PID]],0)),INDEX(Table3[[#All],[DEM]],MATCH(Table5[[#This Row],[PID]],Table3[[#All],[PID]],0)))</f>
        <v>$800k</v>
      </c>
      <c r="T113" s="62">
        <f>IF($C113="B",INDEX(Batters[[#All],[Rnk]],MATCH(Table5[[#This Row],[PID]],Batters[[#All],[PID]],0)),INDEX(Table3[[#All],[Rnk]],MATCH(Table5[[#This Row],[PID]],Table3[[#All],[PID]],0)))</f>
        <v>7</v>
      </c>
      <c r="U113" s="67">
        <f>IF($C113="B",VLOOKUP($A113,Bat!$A$4:$BA$1314,47,FALSE),VLOOKUP($A113,Pit!$A$4:$BF$1214,56,FALSE))</f>
        <v>58</v>
      </c>
      <c r="V113" s="50">
        <f>IF($C113="B",VLOOKUP($A113,Bat!$A$4:$BA$1314,48,FALSE),VLOOKUP($A113,Pit!$A$4:$BF$1214,57,FALSE))</f>
        <v>58</v>
      </c>
      <c r="W113" s="50">
        <v>109</v>
      </c>
      <c r="X113" s="51">
        <f>RANK(Table5[[#This Row],[zScore]],Table5[[#All],[zScore]])</f>
        <v>109</v>
      </c>
      <c r="Y113" s="50">
        <f>IFERROR(INDEX(DraftResults[[#All],[OVR]],MATCH(Table5[[#This Row],[PID]],DraftResults[[#All],[Player ID]],0)),"")</f>
        <v>142</v>
      </c>
      <c r="Z113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5</v>
      </c>
      <c r="AA113" s="50">
        <f>IFERROR(INDEX(DraftResults[[#All],[Pick in Round]],MATCH(Table5[[#This Row],[PID]],DraftResults[[#All],[Player ID]],0)),"")</f>
        <v>5</v>
      </c>
      <c r="AB113" s="50" t="str">
        <f>IFERROR(INDEX(DraftResults[[#All],[Team Name]],MATCH(Table5[[#This Row],[PID]],DraftResults[[#All],[Player ID]],0)),"")</f>
        <v>Tempe Knights</v>
      </c>
      <c r="AC113" s="50">
        <f>IF(Table5[[#This Row],[Ovr]]="","",IF(Table5[[#This Row],[cmbList]]="","",Table5[[#This Row],[cmbList]]-Table5[[#This Row],[Ovr]]))</f>
        <v>-33</v>
      </c>
      <c r="AD113" s="54" t="str">
        <f>IF(ISERROR(VLOOKUP($AB113&amp;"-"&amp;$E113&amp;" "&amp;F113,Bonuses!$B$1:$G$1006,4,FALSE)),"",INT(VLOOKUP($AB113&amp;"-"&amp;$E113&amp;" "&amp;$F113,Bonuses!$B$1:$G$1006,4,FALSE)))</f>
        <v/>
      </c>
      <c r="AE113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5.5 (142) - SS Jesús Morales</v>
      </c>
    </row>
    <row r="114" spans="1:31" s="50" customFormat="1" x14ac:dyDescent="0.3">
      <c r="A114" s="67">
        <v>13282</v>
      </c>
      <c r="B114" s="68">
        <f>COUNTIF(Table5[PID],A114)</f>
        <v>1</v>
      </c>
      <c r="C114" s="68" t="str">
        <f>IF(COUNTIF(Table3[[#All],[PID]],A114)&gt;0,"P","B")</f>
        <v>B</v>
      </c>
      <c r="D114" s="59" t="str">
        <f>IF($C114="B",INDEX(Batters[[#All],[POS]],MATCH(Table5[[#This Row],[PID]],Batters[[#All],[PID]],0)),INDEX(Table3[[#All],[POS]],MATCH(Table5[[#This Row],[PID]],Table3[[#All],[PID]],0)))</f>
        <v>C</v>
      </c>
      <c r="E114" s="52" t="str">
        <f>IF($C114="B",INDEX(Batters[[#All],[First]],MATCH(Table5[[#This Row],[PID]],Batters[[#All],[PID]],0)),INDEX(Table3[[#All],[First]],MATCH(Table5[[#This Row],[PID]],Table3[[#All],[PID]],0)))</f>
        <v>Tadaaki</v>
      </c>
      <c r="F114" s="55" t="str">
        <f>IF($C114="B",INDEX(Batters[[#All],[Last]],MATCH(A114,Batters[[#All],[PID]],0)),INDEX(Table3[[#All],[Last]],MATCH(A114,Table3[[#All],[PID]],0)))</f>
        <v>Sakamoto</v>
      </c>
      <c r="G114" s="56">
        <f>IF($C114="B",INDEX(Batters[[#All],[Age]],MATCH(Table5[[#This Row],[PID]],Batters[[#All],[PID]],0)),INDEX(Table3[[#All],[Age]],MATCH(Table5[[#This Row],[PID]],Table3[[#All],[PID]],0)))</f>
        <v>18</v>
      </c>
      <c r="H114" s="52" t="str">
        <f>IF($C114="B",INDEX(Batters[[#All],[B]],MATCH(Table5[[#This Row],[PID]],Batters[[#All],[PID]],0)),INDEX(Table3[[#All],[B]],MATCH(Table5[[#This Row],[PID]],Table3[[#All],[PID]],0)))</f>
        <v>R</v>
      </c>
      <c r="I114" s="52" t="str">
        <f>IF($C114="B",INDEX(Batters[[#All],[T]],MATCH(Table5[[#This Row],[PID]],Batters[[#All],[PID]],0)),INDEX(Table3[[#All],[T]],MATCH(Table5[[#This Row],[PID]],Table3[[#All],[PID]],0)))</f>
        <v>R</v>
      </c>
      <c r="J114" s="69" t="str">
        <f>IF($C114="B",INDEX(Batters[[#All],[WE]],MATCH(Table5[[#This Row],[PID]],Batters[[#All],[PID]],0)),INDEX(Table3[[#All],[WE]],MATCH(Table5[[#This Row],[PID]],Table3[[#All],[PID]],0)))</f>
        <v>Normal</v>
      </c>
      <c r="K114" s="52" t="str">
        <f>IF($C114="B",INDEX(Batters[[#All],[INT]],MATCH(Table5[[#This Row],[PID]],Batters[[#All],[PID]],0)),INDEX(Table3[[#All],[INT]],MATCH(Table5[[#This Row],[PID]],Table3[[#All],[PID]],0)))</f>
        <v>Normal</v>
      </c>
      <c r="L114" s="60">
        <f>IF($C114="B",INDEX(Batters[[#All],[CON P]],MATCH(Table5[[#This Row],[PID]],Batters[[#All],[PID]],0)),INDEX(Table3[[#All],[STU P]],MATCH(Table5[[#This Row],[PID]],Table3[[#All],[PID]],0)))</f>
        <v>3</v>
      </c>
      <c r="M114" s="70">
        <f>IF($C114="B",INDEX(Batters[[#All],[GAP P]],MATCH(Table5[[#This Row],[PID]],Batters[[#All],[PID]],0)),INDEX(Table3[[#All],[MOV P]],MATCH(Table5[[#This Row],[PID]],Table3[[#All],[PID]],0)))</f>
        <v>6</v>
      </c>
      <c r="N114" s="70">
        <f>IF($C114="B",INDEX(Batters[[#All],[POW P]],MATCH(Table5[[#This Row],[PID]],Batters[[#All],[PID]],0)),INDEX(Table3[[#All],[CON P]],MATCH(Table5[[#This Row],[PID]],Table3[[#All],[PID]],0)))</f>
        <v>7</v>
      </c>
      <c r="O114" s="70">
        <f>IF($C114="B",INDEX(Batters[[#All],[EYE P]],MATCH(Table5[[#This Row],[PID]],Batters[[#All],[PID]],0)),INDEX(Table3[[#All],[VELO]],MATCH(Table5[[#This Row],[PID]],Table3[[#All],[PID]],0)))</f>
        <v>6</v>
      </c>
      <c r="P114" s="56">
        <f>IF($C114="B",INDEX(Batters[[#All],[K P]],MATCH(Table5[[#This Row],[PID]],Batters[[#All],[PID]],0)),INDEX(Table3[[#All],[STM]],MATCH(Table5[[#This Row],[PID]],Table3[[#All],[PID]],0)))</f>
        <v>3</v>
      </c>
      <c r="Q114" s="61">
        <f>IF($C114="B",INDEX(Batters[[#All],[Tot]],MATCH(Table5[[#This Row],[PID]],Batters[[#All],[PID]],0)),INDEX(Table3[[#All],[Tot]],MATCH(Table5[[#This Row],[PID]],Table3[[#All],[PID]],0)))</f>
        <v>49.069814328112344</v>
      </c>
      <c r="R114" s="52">
        <f>IF($C114="B",INDEX(Batters[[#All],[zScore]],MATCH(Table5[[#This Row],[PID]],Batters[[#All],[PID]],0)),INDEX(Table3[[#All],[zScore]],MATCH(Table5[[#This Row],[PID]],Table3[[#All],[PID]],0)))</f>
        <v>0.85925358279982944</v>
      </c>
      <c r="S114" s="75" t="str">
        <f>IF($C114="B",INDEX(Batters[[#All],[DEM]],MATCH(Table5[[#This Row],[PID]],Batters[[#All],[PID]],0)),INDEX(Table3[[#All],[DEM]],MATCH(Table5[[#This Row],[PID]],Table3[[#All],[PID]],0)))</f>
        <v>$750k</v>
      </c>
      <c r="T114" s="72">
        <f>IF($C114="B",INDEX(Batters[[#All],[Rnk]],MATCH(Table5[[#This Row],[PID]],Batters[[#All],[PID]],0)),INDEX(Table3[[#All],[Rnk]],MATCH(Table5[[#This Row],[PID]],Table3[[#All],[PID]],0)))</f>
        <v>6</v>
      </c>
      <c r="U114" s="67">
        <f>IF($C114="B",VLOOKUP($A114,Bat!$A$4:$BA$1314,47,FALSE),VLOOKUP($A114,Pit!$A$4:$BF$1214,56,FALSE))</f>
        <v>59</v>
      </c>
      <c r="V114" s="50">
        <f>IF($C114="B",VLOOKUP($A114,Bat!$A$4:$BA$1314,48,FALSE),VLOOKUP($A114,Pit!$A$4:$BF$1214,57,FALSE))</f>
        <v>59</v>
      </c>
      <c r="W114" s="68">
        <v>110</v>
      </c>
      <c r="X114" s="71">
        <f>RANK(Table5[[#This Row],[zScore]],Table5[[#All],[zScore]])</f>
        <v>163</v>
      </c>
      <c r="Y114" s="68">
        <f>IFERROR(INDEX(DraftResults[[#All],[OVR]],MATCH(Table5[[#This Row],[PID]],DraftResults[[#All],[Player ID]],0)),"")</f>
        <v>81</v>
      </c>
      <c r="Z114" s="7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3</v>
      </c>
      <c r="AA114" s="68">
        <f>IFERROR(INDEX(DraftResults[[#All],[Pick in Round]],MATCH(Table5[[#This Row],[PID]],DraftResults[[#All],[Player ID]],0)),"")</f>
        <v>9</v>
      </c>
      <c r="AB114" s="68" t="str">
        <f>IFERROR(INDEX(DraftResults[[#All],[Team Name]],MATCH(Table5[[#This Row],[PID]],DraftResults[[#All],[Player ID]],0)),"")</f>
        <v>Gloucester Fishermen</v>
      </c>
      <c r="AC114" s="68">
        <f>IF(Table5[[#This Row],[Ovr]]="","",IF(Table5[[#This Row],[cmbList]]="","",Table5[[#This Row],[cmbList]]-Table5[[#This Row],[Ovr]]))</f>
        <v>29</v>
      </c>
      <c r="AD114" s="74" t="str">
        <f>IF(ISERROR(VLOOKUP($AB114&amp;"-"&amp;$E114&amp;" "&amp;F114,Bonuses!$B$1:$G$1006,4,FALSE)),"",INT(VLOOKUP($AB114&amp;"-"&amp;$E114&amp;" "&amp;$F114,Bonuses!$B$1:$G$1006,4,FALSE)))</f>
        <v/>
      </c>
      <c r="AE114" s="68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3.9 (81) - C Tadaaki Sakamoto</v>
      </c>
    </row>
    <row r="115" spans="1:31" s="50" customFormat="1" x14ac:dyDescent="0.3">
      <c r="A115" s="50">
        <v>12710</v>
      </c>
      <c r="B115" s="50">
        <f>COUNTIF(Table5[PID],A115)</f>
        <v>1</v>
      </c>
      <c r="C115" s="50" t="str">
        <f>IF(COUNTIF(Table3[[#All],[PID]],A115)&gt;0,"P","B")</f>
        <v>P</v>
      </c>
      <c r="D115" s="59" t="str">
        <f>IF($C115="B",INDEX(Batters[[#All],[POS]],MATCH(Table5[[#This Row],[PID]],Batters[[#All],[PID]],0)),INDEX(Table3[[#All],[POS]],MATCH(Table5[[#This Row],[PID]],Table3[[#All],[PID]],0)))</f>
        <v>RP</v>
      </c>
      <c r="E115" s="52" t="str">
        <f>IF($C115="B",INDEX(Batters[[#All],[First]],MATCH(Table5[[#This Row],[PID]],Batters[[#All],[PID]],0)),INDEX(Table3[[#All],[First]],MATCH(Table5[[#This Row],[PID]],Table3[[#All],[PID]],0)))</f>
        <v>Maddox</v>
      </c>
      <c r="F115" s="50" t="str">
        <f>IF($C115="B",INDEX(Batters[[#All],[Last]],MATCH(A115,Batters[[#All],[PID]],0)),INDEX(Table3[[#All],[Last]],MATCH(A115,Table3[[#All],[PID]],0)))</f>
        <v>Garrett</v>
      </c>
      <c r="G115" s="56">
        <f>IF($C115="B",INDEX(Batters[[#All],[Age]],MATCH(Table5[[#This Row],[PID]],Batters[[#All],[PID]],0)),INDEX(Table3[[#All],[Age]],MATCH(Table5[[#This Row],[PID]],Table3[[#All],[PID]],0)))</f>
        <v>17</v>
      </c>
      <c r="H115" s="52" t="str">
        <f>IF($C115="B",INDEX(Batters[[#All],[B]],MATCH(Table5[[#This Row],[PID]],Batters[[#All],[PID]],0)),INDEX(Table3[[#All],[B]],MATCH(Table5[[#This Row],[PID]],Table3[[#All],[PID]],0)))</f>
        <v>R</v>
      </c>
      <c r="I115" s="52" t="str">
        <f>IF($C115="B",INDEX(Batters[[#All],[T]],MATCH(Table5[[#This Row],[PID]],Batters[[#All],[PID]],0)),INDEX(Table3[[#All],[T]],MATCH(Table5[[#This Row],[PID]],Table3[[#All],[PID]],0)))</f>
        <v>R</v>
      </c>
      <c r="J115" s="52" t="str">
        <f>IF($C115="B",INDEX(Batters[[#All],[WE]],MATCH(Table5[[#This Row],[PID]],Batters[[#All],[PID]],0)),INDEX(Table3[[#All],[WE]],MATCH(Table5[[#This Row],[PID]],Table3[[#All],[PID]],0)))</f>
        <v>Normal</v>
      </c>
      <c r="K115" s="52" t="str">
        <f>IF($C115="B",INDEX(Batters[[#All],[INT]],MATCH(Table5[[#This Row],[PID]],Batters[[#All],[PID]],0)),INDEX(Table3[[#All],[INT]],MATCH(Table5[[#This Row],[PID]],Table3[[#All],[PID]],0)))</f>
        <v>High</v>
      </c>
      <c r="L115" s="60">
        <f>IF($C115="B",INDEX(Batters[[#All],[CON P]],MATCH(Table5[[#This Row],[PID]],Batters[[#All],[PID]],0)),INDEX(Table3[[#All],[STU P]],MATCH(Table5[[#This Row],[PID]],Table3[[#All],[PID]],0)))</f>
        <v>6</v>
      </c>
      <c r="M115" s="56">
        <f>IF($C115="B",INDEX(Batters[[#All],[GAP P]],MATCH(Table5[[#This Row],[PID]],Batters[[#All],[PID]],0)),INDEX(Table3[[#All],[MOV P]],MATCH(Table5[[#This Row],[PID]],Table3[[#All],[PID]],0)))</f>
        <v>2</v>
      </c>
      <c r="N115" s="56">
        <f>IF($C115="B",INDEX(Batters[[#All],[POW P]],MATCH(Table5[[#This Row],[PID]],Batters[[#All],[PID]],0)),INDEX(Table3[[#All],[CON P]],MATCH(Table5[[#This Row],[PID]],Table3[[#All],[PID]],0)))</f>
        <v>4</v>
      </c>
      <c r="O115" s="56" t="str">
        <f>IF($C115="B",INDEX(Batters[[#All],[EYE P]],MATCH(Table5[[#This Row],[PID]],Batters[[#All],[PID]],0)),INDEX(Table3[[#All],[VELO]],MATCH(Table5[[#This Row],[PID]],Table3[[#All],[PID]],0)))</f>
        <v>94-96 Mph</v>
      </c>
      <c r="P115" s="56">
        <f>IF($C115="B",INDEX(Batters[[#All],[K P]],MATCH(Table5[[#This Row],[PID]],Batters[[#All],[PID]],0)),INDEX(Table3[[#All],[STM]],MATCH(Table5[[#This Row],[PID]],Table3[[#All],[PID]],0)))</f>
        <v>8</v>
      </c>
      <c r="Q115" s="61">
        <f>IF($C115="B",INDEX(Batters[[#All],[Tot]],MATCH(Table5[[#This Row],[PID]],Batters[[#All],[PID]],0)),INDEX(Table3[[#All],[Tot]],MATCH(Table5[[#This Row],[PID]],Table3[[#All],[PID]],0)))</f>
        <v>48.543160447373822</v>
      </c>
      <c r="R115" s="52">
        <f>IF($C115="B",INDEX(Batters[[#All],[zScore]],MATCH(Table5[[#This Row],[PID]],Batters[[#All],[PID]],0)),INDEX(Table3[[#All],[zScore]],MATCH(Table5[[#This Row],[PID]],Table3[[#All],[PID]],0)))</f>
        <v>0.77035335729793308</v>
      </c>
      <c r="S115" s="58" t="str">
        <f>IF($C115="B",INDEX(Batters[[#All],[DEM]],MATCH(Table5[[#This Row],[PID]],Batters[[#All],[PID]],0)),INDEX(Table3[[#All],[DEM]],MATCH(Table5[[#This Row],[PID]],Table3[[#All],[PID]],0)))</f>
        <v>$75k</v>
      </c>
      <c r="T115" s="62">
        <f>IF($C115="B",INDEX(Batters[[#All],[Rnk]],MATCH(Table5[[#This Row],[PID]],Batters[[#All],[PID]],0)),INDEX(Table3[[#All],[Rnk]],MATCH(Table5[[#This Row],[PID]],Table3[[#All],[PID]],0)))</f>
        <v>900</v>
      </c>
      <c r="U115" s="67">
        <f>IF($C115="B",VLOOKUP($A115,Bat!$A$4:$BA$1314,47,FALSE),VLOOKUP($A115,Pit!$A$4:$BF$1214,56,FALSE))</f>
        <v>51</v>
      </c>
      <c r="V115" s="50">
        <f>IF($C115="B",VLOOKUP($A115,Bat!$A$4:$BA$1314,48,FALSE),VLOOKUP($A115,Pit!$A$4:$BF$1214,57,FALSE))</f>
        <v>0</v>
      </c>
      <c r="W115" s="50">
        <v>111</v>
      </c>
      <c r="X115" s="51">
        <f>RANK(Table5[[#This Row],[zScore]],Table5[[#All],[zScore]])</f>
        <v>173</v>
      </c>
      <c r="Y115" s="50">
        <f>IFERROR(INDEX(DraftResults[[#All],[OVR]],MATCH(Table5[[#This Row],[PID]],DraftResults[[#All],[Player ID]],0)),"")</f>
        <v>206</v>
      </c>
      <c r="Z115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7</v>
      </c>
      <c r="AA115" s="50">
        <f>IFERROR(INDEX(DraftResults[[#All],[Pick in Round]],MATCH(Table5[[#This Row],[PID]],DraftResults[[#All],[Player ID]],0)),"")</f>
        <v>5</v>
      </c>
      <c r="AB115" s="50" t="str">
        <f>IFERROR(INDEX(DraftResults[[#All],[Team Name]],MATCH(Table5[[#This Row],[PID]],DraftResults[[#All],[Player ID]],0)),"")</f>
        <v>Tempe Knights</v>
      </c>
      <c r="AC115" s="50">
        <f>IF(Table5[[#This Row],[Ovr]]="","",IF(Table5[[#This Row],[cmbList]]="","",Table5[[#This Row],[cmbList]]-Table5[[#This Row],[Ovr]]))</f>
        <v>-95</v>
      </c>
      <c r="AD115" s="54" t="str">
        <f>IF(ISERROR(VLOOKUP($AB115&amp;"-"&amp;$E115&amp;" "&amp;F115,Bonuses!$B$1:$G$1006,4,FALSE)),"",INT(VLOOKUP($AB115&amp;"-"&amp;$E115&amp;" "&amp;$F115,Bonuses!$B$1:$G$1006,4,FALSE)))</f>
        <v/>
      </c>
      <c r="AE115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7.5 (206) - RP Maddox Garrett</v>
      </c>
    </row>
    <row r="116" spans="1:31" s="50" customFormat="1" x14ac:dyDescent="0.3">
      <c r="A116" s="50">
        <v>12127</v>
      </c>
      <c r="B116" s="50">
        <f>COUNTIF(Table5[PID],A116)</f>
        <v>1</v>
      </c>
      <c r="C116" s="50" t="str">
        <f>IF(COUNTIF(Table3[[#All],[PID]],A116)&gt;0,"P","B")</f>
        <v>P</v>
      </c>
      <c r="D116" s="59" t="str">
        <f>IF($C116="B",INDEX(Batters[[#All],[POS]],MATCH(Table5[[#This Row],[PID]],Batters[[#All],[PID]],0)),INDEX(Table3[[#All],[POS]],MATCH(Table5[[#This Row],[PID]],Table3[[#All],[PID]],0)))</f>
        <v>SP</v>
      </c>
      <c r="E116" s="52" t="str">
        <f>IF($C116="B",INDEX(Batters[[#All],[First]],MATCH(Table5[[#This Row],[PID]],Batters[[#All],[PID]],0)),INDEX(Table3[[#All],[First]],MATCH(Table5[[#This Row],[PID]],Table3[[#All],[PID]],0)))</f>
        <v>Adam</v>
      </c>
      <c r="F116" s="50" t="str">
        <f>IF($C116="B",INDEX(Batters[[#All],[Last]],MATCH(A116,Batters[[#All],[PID]],0)),INDEX(Table3[[#All],[Last]],MATCH(A116,Table3[[#All],[PID]],0)))</f>
        <v>MacKay</v>
      </c>
      <c r="G116" s="56">
        <f>IF($C116="B",INDEX(Batters[[#All],[Age]],MATCH(Table5[[#This Row],[PID]],Batters[[#All],[PID]],0)),INDEX(Table3[[#All],[Age]],MATCH(Table5[[#This Row],[PID]],Table3[[#All],[PID]],0)))</f>
        <v>17</v>
      </c>
      <c r="H116" s="52" t="str">
        <f>IF($C116="B",INDEX(Batters[[#All],[B]],MATCH(Table5[[#This Row],[PID]],Batters[[#All],[PID]],0)),INDEX(Table3[[#All],[B]],MATCH(Table5[[#This Row],[PID]],Table3[[#All],[PID]],0)))</f>
        <v>R</v>
      </c>
      <c r="I116" s="52" t="str">
        <f>IF($C116="B",INDEX(Batters[[#All],[T]],MATCH(Table5[[#This Row],[PID]],Batters[[#All],[PID]],0)),INDEX(Table3[[#All],[T]],MATCH(Table5[[#This Row],[PID]],Table3[[#All],[PID]],0)))</f>
        <v>R</v>
      </c>
      <c r="J116" s="52" t="str">
        <f>IF($C116="B",INDEX(Batters[[#All],[WE]],MATCH(Table5[[#This Row],[PID]],Batters[[#All],[PID]],0)),INDEX(Table3[[#All],[WE]],MATCH(Table5[[#This Row],[PID]],Table3[[#All],[PID]],0)))</f>
        <v>Normal</v>
      </c>
      <c r="K116" s="52" t="str">
        <f>IF($C116="B",INDEX(Batters[[#All],[INT]],MATCH(Table5[[#This Row],[PID]],Batters[[#All],[PID]],0)),INDEX(Table3[[#All],[INT]],MATCH(Table5[[#This Row],[PID]],Table3[[#All],[PID]],0)))</f>
        <v>High</v>
      </c>
      <c r="L116" s="60">
        <f>IF($C116="B",INDEX(Batters[[#All],[CON P]],MATCH(Table5[[#This Row],[PID]],Batters[[#All],[PID]],0)),INDEX(Table3[[#All],[STU P]],MATCH(Table5[[#This Row],[PID]],Table3[[#All],[PID]],0)))</f>
        <v>5</v>
      </c>
      <c r="M116" s="56">
        <f>IF($C116="B",INDEX(Batters[[#All],[GAP P]],MATCH(Table5[[#This Row],[PID]],Batters[[#All],[PID]],0)),INDEX(Table3[[#All],[MOV P]],MATCH(Table5[[#This Row],[PID]],Table3[[#All],[PID]],0)))</f>
        <v>2</v>
      </c>
      <c r="N116" s="56">
        <f>IF($C116="B",INDEX(Batters[[#All],[POW P]],MATCH(Table5[[#This Row],[PID]],Batters[[#All],[PID]],0)),INDEX(Table3[[#All],[CON P]],MATCH(Table5[[#This Row],[PID]],Table3[[#All],[PID]],0)))</f>
        <v>4</v>
      </c>
      <c r="O116" s="56" t="str">
        <f>IF($C116="B",INDEX(Batters[[#All],[EYE P]],MATCH(Table5[[#This Row],[PID]],Batters[[#All],[PID]],0)),INDEX(Table3[[#All],[VELO]],MATCH(Table5[[#This Row],[PID]],Table3[[#All],[PID]],0)))</f>
        <v>94-96 Mph</v>
      </c>
      <c r="P116" s="56">
        <f>IF($C116="B",INDEX(Batters[[#All],[K P]],MATCH(Table5[[#This Row],[PID]],Batters[[#All],[PID]],0)),INDEX(Table3[[#All],[STM]],MATCH(Table5[[#This Row],[PID]],Table3[[#All],[PID]],0)))</f>
        <v>7</v>
      </c>
      <c r="Q116" s="61">
        <f>IF($C116="B",INDEX(Batters[[#All],[Tot]],MATCH(Table5[[#This Row],[PID]],Batters[[#All],[PID]],0)),INDEX(Table3[[#All],[Tot]],MATCH(Table5[[#This Row],[PID]],Table3[[#All],[PID]],0)))</f>
        <v>44.491727512845017</v>
      </c>
      <c r="R116" s="52">
        <f>IF($C116="B",INDEX(Batters[[#All],[zScore]],MATCH(Table5[[#This Row],[PID]],Batters[[#All],[PID]],0)),INDEX(Table3[[#All],[zScore]],MATCH(Table5[[#This Row],[PID]],Table3[[#All],[PID]],0)))</f>
        <v>0.47631416239295654</v>
      </c>
      <c r="S116" s="58" t="str">
        <f>IF($C116="B",INDEX(Batters[[#All],[DEM]],MATCH(Table5[[#This Row],[PID]],Batters[[#All],[PID]],0)),INDEX(Table3[[#All],[DEM]],MATCH(Table5[[#This Row],[PID]],Table3[[#All],[PID]],0)))</f>
        <v>$65k</v>
      </c>
      <c r="T116" s="62">
        <f>IF($C116="B",INDEX(Batters[[#All],[Rnk]],MATCH(Table5[[#This Row],[PID]],Batters[[#All],[PID]],0)),INDEX(Table3[[#All],[Rnk]],MATCH(Table5[[#This Row],[PID]],Table3[[#All],[PID]],0)))</f>
        <v>900</v>
      </c>
      <c r="U116" s="67">
        <f>IF($C116="B",VLOOKUP($A116,Bat!$A$4:$BA$1314,47,FALSE),VLOOKUP($A116,Pit!$A$4:$BF$1214,56,FALSE))</f>
        <v>52</v>
      </c>
      <c r="V116" s="50">
        <f>IF($C116="B",VLOOKUP($A116,Bat!$A$4:$BA$1314,48,FALSE),VLOOKUP($A116,Pit!$A$4:$BF$1214,57,FALSE))</f>
        <v>0</v>
      </c>
      <c r="W116" s="68">
        <v>112</v>
      </c>
      <c r="X116" s="51">
        <f>RANK(Table5[[#This Row],[zScore]],Table5[[#All],[zScore]])</f>
        <v>232</v>
      </c>
      <c r="Y116" s="50">
        <f>IFERROR(INDEX(DraftResults[[#All],[OVR]],MATCH(Table5[[#This Row],[PID]],DraftResults[[#All],[Player ID]],0)),"")</f>
        <v>284</v>
      </c>
      <c r="Z116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9</v>
      </c>
      <c r="AA116" s="50">
        <f>IFERROR(INDEX(DraftResults[[#All],[Pick in Round]],MATCH(Table5[[#This Row],[PID]],DraftResults[[#All],[Player ID]],0)),"")</f>
        <v>19</v>
      </c>
      <c r="AB116" s="50" t="str">
        <f>IFERROR(INDEX(DraftResults[[#All],[Team Name]],MATCH(Table5[[#This Row],[PID]],DraftResults[[#All],[Player ID]],0)),"")</f>
        <v>Fargo Dinosaurs</v>
      </c>
      <c r="AC116" s="50">
        <f>IF(Table5[[#This Row],[Ovr]]="","",IF(Table5[[#This Row],[cmbList]]="","",Table5[[#This Row],[cmbList]]-Table5[[#This Row],[Ovr]]))</f>
        <v>-172</v>
      </c>
      <c r="AD116" s="54" t="str">
        <f>IF(ISERROR(VLOOKUP($AB116&amp;"-"&amp;$E116&amp;" "&amp;F116,Bonuses!$B$1:$G$1006,4,FALSE)),"",INT(VLOOKUP($AB116&amp;"-"&amp;$E116&amp;" "&amp;$F116,Bonuses!$B$1:$G$1006,4,FALSE)))</f>
        <v/>
      </c>
      <c r="AE116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9.19 (284) - SP Adam MacKay</v>
      </c>
    </row>
    <row r="117" spans="1:31" s="50" customFormat="1" x14ac:dyDescent="0.3">
      <c r="A117" s="50">
        <v>9260</v>
      </c>
      <c r="B117" s="50">
        <f>COUNTIF(Table5[PID],A117)</f>
        <v>1</v>
      </c>
      <c r="C117" s="50" t="str">
        <f>IF(COUNTIF(Table3[[#All],[PID]],A117)&gt;0,"P","B")</f>
        <v>P</v>
      </c>
      <c r="D117" s="59" t="str">
        <f>IF($C117="B",INDEX(Batters[[#All],[POS]],MATCH(Table5[[#This Row],[PID]],Batters[[#All],[PID]],0)),INDEX(Table3[[#All],[POS]],MATCH(Table5[[#This Row],[PID]],Table3[[#All],[PID]],0)))</f>
        <v>CL</v>
      </c>
      <c r="E117" s="52" t="str">
        <f>IF($C117="B",INDEX(Batters[[#All],[First]],MATCH(Table5[[#This Row],[PID]],Batters[[#All],[PID]],0)),INDEX(Table3[[#All],[First]],MATCH(Table5[[#This Row],[PID]],Table3[[#All],[PID]],0)))</f>
        <v>James</v>
      </c>
      <c r="F117" s="50" t="str">
        <f>IF($C117="B",INDEX(Batters[[#All],[Last]],MATCH(A117,Batters[[#All],[PID]],0)),INDEX(Table3[[#All],[Last]],MATCH(A117,Table3[[#All],[PID]],0)))</f>
        <v>Johnson</v>
      </c>
      <c r="G117" s="56">
        <f>IF($C117="B",INDEX(Batters[[#All],[Age]],MATCH(Table5[[#This Row],[PID]],Batters[[#All],[PID]],0)),INDEX(Table3[[#All],[Age]],MATCH(Table5[[#This Row],[PID]],Table3[[#All],[PID]],0)))</f>
        <v>17</v>
      </c>
      <c r="H117" s="52" t="str">
        <f>IF($C117="B",INDEX(Batters[[#All],[B]],MATCH(Table5[[#This Row],[PID]],Batters[[#All],[PID]],0)),INDEX(Table3[[#All],[B]],MATCH(Table5[[#This Row],[PID]],Table3[[#All],[PID]],0)))</f>
        <v>R</v>
      </c>
      <c r="I117" s="52" t="str">
        <f>IF($C117="B",INDEX(Batters[[#All],[T]],MATCH(Table5[[#This Row],[PID]],Batters[[#All],[PID]],0)),INDEX(Table3[[#All],[T]],MATCH(Table5[[#This Row],[PID]],Table3[[#All],[PID]],0)))</f>
        <v>R</v>
      </c>
      <c r="J117" s="52" t="str">
        <f>IF($C117="B",INDEX(Batters[[#All],[WE]],MATCH(Table5[[#This Row],[PID]],Batters[[#All],[PID]],0)),INDEX(Table3[[#All],[WE]],MATCH(Table5[[#This Row],[PID]],Table3[[#All],[PID]],0)))</f>
        <v>High</v>
      </c>
      <c r="K117" s="52" t="str">
        <f>IF($C117="B",INDEX(Batters[[#All],[INT]],MATCH(Table5[[#This Row],[PID]],Batters[[#All],[PID]],0)),INDEX(Table3[[#All],[INT]],MATCH(Table5[[#This Row],[PID]],Table3[[#All],[PID]],0)))</f>
        <v>Normal</v>
      </c>
      <c r="L117" s="60">
        <f>IF($C117="B",INDEX(Batters[[#All],[CON P]],MATCH(Table5[[#This Row],[PID]],Batters[[#All],[PID]],0)),INDEX(Table3[[#All],[STU P]],MATCH(Table5[[#This Row],[PID]],Table3[[#All],[PID]],0)))</f>
        <v>6</v>
      </c>
      <c r="M117" s="56">
        <f>IF($C117="B",INDEX(Batters[[#All],[GAP P]],MATCH(Table5[[#This Row],[PID]],Batters[[#All],[PID]],0)),INDEX(Table3[[#All],[MOV P]],MATCH(Table5[[#This Row],[PID]],Table3[[#All],[PID]],0)))</f>
        <v>4</v>
      </c>
      <c r="N117" s="56">
        <f>IF($C117="B",INDEX(Batters[[#All],[POW P]],MATCH(Table5[[#This Row],[PID]],Batters[[#All],[PID]],0)),INDEX(Table3[[#All],[CON P]],MATCH(Table5[[#This Row],[PID]],Table3[[#All],[PID]],0)))</f>
        <v>5</v>
      </c>
      <c r="O117" s="56" t="str">
        <f>IF($C117="B",INDEX(Batters[[#All],[EYE P]],MATCH(Table5[[#This Row],[PID]],Batters[[#All],[PID]],0)),INDEX(Table3[[#All],[VELO]],MATCH(Table5[[#This Row],[PID]],Table3[[#All],[PID]],0)))</f>
        <v>89-91 Mph</v>
      </c>
      <c r="P117" s="56">
        <f>IF($C117="B",INDEX(Batters[[#All],[K P]],MATCH(Table5[[#This Row],[PID]],Batters[[#All],[PID]],0)),INDEX(Table3[[#All],[STM]],MATCH(Table5[[#This Row],[PID]],Table3[[#All],[PID]],0)))</f>
        <v>9</v>
      </c>
      <c r="Q117" s="61">
        <f>IF($C117="B",INDEX(Batters[[#All],[Tot]],MATCH(Table5[[#This Row],[PID]],Batters[[#All],[PID]],0)),INDEX(Table3[[#All],[Tot]],MATCH(Table5[[#This Row],[PID]],Table3[[#All],[PID]],0)))</f>
        <v>61.298618737033308</v>
      </c>
      <c r="R117" s="52">
        <f>IF($C117="B",INDEX(Batters[[#All],[zScore]],MATCH(Table5[[#This Row],[PID]],Batters[[#All],[PID]],0)),INDEX(Table3[[#All],[zScore]],MATCH(Table5[[#This Row],[PID]],Table3[[#All],[PID]],0)))</f>
        <v>1.6778230167258936</v>
      </c>
      <c r="S117" s="58" t="str">
        <f>IF($C117="B",INDEX(Batters[[#All],[DEM]],MATCH(Table5[[#This Row],[PID]],Batters[[#All],[PID]],0)),INDEX(Table3[[#All],[DEM]],MATCH(Table5[[#This Row],[PID]],Table3[[#All],[PID]],0)))</f>
        <v>$65k</v>
      </c>
      <c r="T117" s="62">
        <f>IF($C117="B",INDEX(Batters[[#All],[Rnk]],MATCH(Table5[[#This Row],[PID]],Batters[[#All],[PID]],0)),INDEX(Table3[[#All],[Rnk]],MATCH(Table5[[#This Row],[PID]],Table3[[#All],[PID]],0)))</f>
        <v>900</v>
      </c>
      <c r="U117" s="67">
        <f>IF($C117="B",VLOOKUP($A117,Bat!$A$4:$BA$1314,47,FALSE),VLOOKUP($A117,Pit!$A$4:$BF$1214,56,FALSE))</f>
        <v>53</v>
      </c>
      <c r="V117" s="50">
        <f>IF($C117="B",VLOOKUP($A117,Bat!$A$4:$BA$1314,48,FALSE),VLOOKUP($A117,Pit!$A$4:$BF$1214,57,FALSE))</f>
        <v>0</v>
      </c>
      <c r="W117" s="50">
        <v>113</v>
      </c>
      <c r="X117" s="51">
        <f>RANK(Table5[[#This Row],[zScore]],Table5[[#All],[zScore]])</f>
        <v>61</v>
      </c>
      <c r="Y117" s="50">
        <f>IFERROR(INDEX(DraftResults[[#All],[OVR]],MATCH(Table5[[#This Row],[PID]],DraftResults[[#All],[Player ID]],0)),"")</f>
        <v>116</v>
      </c>
      <c r="Z117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4</v>
      </c>
      <c r="AA117" s="50">
        <f>IFERROR(INDEX(DraftResults[[#All],[Pick in Round]],MATCH(Table5[[#This Row],[PID]],DraftResults[[#All],[Player ID]],0)),"")</f>
        <v>11</v>
      </c>
      <c r="AB117" s="50" t="str">
        <f>IFERROR(INDEX(DraftResults[[#All],[Team Name]],MATCH(Table5[[#This Row],[PID]],DraftResults[[#All],[Player ID]],0)),"")</f>
        <v>London Underground</v>
      </c>
      <c r="AC117" s="50">
        <f>IF(Table5[[#This Row],[Ovr]]="","",IF(Table5[[#This Row],[cmbList]]="","",Table5[[#This Row],[cmbList]]-Table5[[#This Row],[Ovr]]))</f>
        <v>-3</v>
      </c>
      <c r="AD117" s="54" t="str">
        <f>IF(ISERROR(VLOOKUP($AB117&amp;"-"&amp;$E117&amp;" "&amp;F117,Bonuses!$B$1:$G$1006,4,FALSE)),"",INT(VLOOKUP($AB117&amp;"-"&amp;$E117&amp;" "&amp;$F117,Bonuses!$B$1:$G$1006,4,FALSE)))</f>
        <v/>
      </c>
      <c r="AE117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4.11 (116) - CL James Johnson</v>
      </c>
    </row>
    <row r="118" spans="1:31" s="50" customFormat="1" x14ac:dyDescent="0.3">
      <c r="A118" s="50">
        <v>20350</v>
      </c>
      <c r="B118" s="55">
        <f>COUNTIF(Table5[PID],A118)</f>
        <v>1</v>
      </c>
      <c r="C118" s="55" t="str">
        <f>IF(COUNTIF(Table3[[#All],[PID]],A118)&gt;0,"P","B")</f>
        <v>P</v>
      </c>
      <c r="D118" s="59" t="str">
        <f>IF($C118="B",INDEX(Batters[[#All],[POS]],MATCH(Table5[[#This Row],[PID]],Batters[[#All],[PID]],0)),INDEX(Table3[[#All],[POS]],MATCH(Table5[[#This Row],[PID]],Table3[[#All],[PID]],0)))</f>
        <v>SP</v>
      </c>
      <c r="E118" s="52" t="str">
        <f>IF($C118="B",INDEX(Batters[[#All],[First]],MATCH(Table5[[#This Row],[PID]],Batters[[#All],[PID]],0)),INDEX(Table3[[#All],[First]],MATCH(Table5[[#This Row],[PID]],Table3[[#All],[PID]],0)))</f>
        <v>Mitsuo</v>
      </c>
      <c r="F118" s="50" t="str">
        <f>IF($C118="B",INDEX(Batters[[#All],[Last]],MATCH(A118,Batters[[#All],[PID]],0)),INDEX(Table3[[#All],[Last]],MATCH(A118,Table3[[#All],[PID]],0)))</f>
        <v>Takuda</v>
      </c>
      <c r="G118" s="56">
        <f>IF($C118="B",INDEX(Batters[[#All],[Age]],MATCH(Table5[[#This Row],[PID]],Batters[[#All],[PID]],0)),INDEX(Table3[[#All],[Age]],MATCH(Table5[[#This Row],[PID]],Table3[[#All],[PID]],0)))</f>
        <v>17</v>
      </c>
      <c r="H118" s="52" t="str">
        <f>IF($C118="B",INDEX(Batters[[#All],[B]],MATCH(Table5[[#This Row],[PID]],Batters[[#All],[PID]],0)),INDEX(Table3[[#All],[B]],MATCH(Table5[[#This Row],[PID]],Table3[[#All],[PID]],0)))</f>
        <v>R</v>
      </c>
      <c r="I118" s="52" t="str">
        <f>IF($C118="B",INDEX(Batters[[#All],[T]],MATCH(Table5[[#This Row],[PID]],Batters[[#All],[PID]],0)),INDEX(Table3[[#All],[T]],MATCH(Table5[[#This Row],[PID]],Table3[[#All],[PID]],0)))</f>
        <v>R</v>
      </c>
      <c r="J118" s="52" t="str">
        <f>IF($C118="B",INDEX(Batters[[#All],[WE]],MATCH(Table5[[#This Row],[PID]],Batters[[#All],[PID]],0)),INDEX(Table3[[#All],[WE]],MATCH(Table5[[#This Row],[PID]],Table3[[#All],[PID]],0)))</f>
        <v>High</v>
      </c>
      <c r="K118" s="52" t="str">
        <f>IF($C118="B",INDEX(Batters[[#All],[INT]],MATCH(Table5[[#This Row],[PID]],Batters[[#All],[PID]],0)),INDEX(Table3[[#All],[INT]],MATCH(Table5[[#This Row],[PID]],Table3[[#All],[PID]],0)))</f>
        <v>Normal</v>
      </c>
      <c r="L118" s="60">
        <f>IF($C118="B",INDEX(Batters[[#All],[CON P]],MATCH(Table5[[#This Row],[PID]],Batters[[#All],[PID]],0)),INDEX(Table3[[#All],[STU P]],MATCH(Table5[[#This Row],[PID]],Table3[[#All],[PID]],0)))</f>
        <v>6</v>
      </c>
      <c r="M118" s="56">
        <f>IF($C118="B",INDEX(Batters[[#All],[GAP P]],MATCH(Table5[[#This Row],[PID]],Batters[[#All],[PID]],0)),INDEX(Table3[[#All],[MOV P]],MATCH(Table5[[#This Row],[PID]],Table3[[#All],[PID]],0)))</f>
        <v>3</v>
      </c>
      <c r="N118" s="56">
        <f>IF($C118="B",INDEX(Batters[[#All],[POW P]],MATCH(Table5[[#This Row],[PID]],Batters[[#All],[PID]],0)),INDEX(Table3[[#All],[CON P]],MATCH(Table5[[#This Row],[PID]],Table3[[#All],[PID]],0)))</f>
        <v>4</v>
      </c>
      <c r="O118" s="56" t="str">
        <f>IF($C118="B",INDEX(Batters[[#All],[EYE P]],MATCH(Table5[[#This Row],[PID]],Batters[[#All],[PID]],0)),INDEX(Table3[[#All],[VELO]],MATCH(Table5[[#This Row],[PID]],Table3[[#All],[PID]],0)))</f>
        <v>94-96 Mph</v>
      </c>
      <c r="P118" s="56">
        <f>IF($C118="B",INDEX(Batters[[#All],[K P]],MATCH(Table5[[#This Row],[PID]],Batters[[#All],[PID]],0)),INDEX(Table3[[#All],[STM]],MATCH(Table5[[#This Row],[PID]],Table3[[#All],[PID]],0)))</f>
        <v>7</v>
      </c>
      <c r="Q118" s="61">
        <f>IF($C118="B",INDEX(Batters[[#All],[Tot]],MATCH(Table5[[#This Row],[PID]],Batters[[#All],[PID]],0)),INDEX(Table3[[#All],[Tot]],MATCH(Table5[[#This Row],[PID]],Table3[[#All],[PID]],0)))</f>
        <v>58.195824136058121</v>
      </c>
      <c r="R118" s="52">
        <f>IF($C118="B",INDEX(Batters[[#All],[zScore]],MATCH(Table5[[#This Row],[PID]],Batters[[#All],[PID]],0)),INDEX(Table3[[#All],[zScore]],MATCH(Table5[[#This Row],[PID]],Table3[[#All],[PID]],0)))</f>
        <v>1.4521422211365249</v>
      </c>
      <c r="S118" s="58" t="str">
        <f>IF($C118="B",INDEX(Batters[[#All],[DEM]],MATCH(Table5[[#This Row],[PID]],Batters[[#All],[PID]],0)),INDEX(Table3[[#All],[DEM]],MATCH(Table5[[#This Row],[PID]],Table3[[#All],[PID]],0)))</f>
        <v>$380k</v>
      </c>
      <c r="T118" s="62">
        <f>IF($C118="B",INDEX(Batters[[#All],[Rnk]],MATCH(Table5[[#This Row],[PID]],Batters[[#All],[PID]],0)),INDEX(Table3[[#All],[Rnk]],MATCH(Table5[[#This Row],[PID]],Table3[[#All],[PID]],0)))</f>
        <v>900</v>
      </c>
      <c r="U118" s="67">
        <f>IF($C118="B",VLOOKUP($A118,Bat!$A$4:$BA$1314,47,FALSE),VLOOKUP($A118,Pit!$A$4:$BF$1214,56,FALSE))</f>
        <v>54</v>
      </c>
      <c r="V118" s="50">
        <f>IF($C118="B",VLOOKUP($A118,Bat!$A$4:$BA$1314,48,FALSE),VLOOKUP($A118,Pit!$A$4:$BF$1214,57,FALSE))</f>
        <v>0</v>
      </c>
      <c r="W118" s="68">
        <v>114</v>
      </c>
      <c r="X118" s="51">
        <f>RANK(Table5[[#This Row],[zScore]],Table5[[#All],[zScore]])</f>
        <v>80</v>
      </c>
      <c r="Y118" s="50">
        <f>IFERROR(INDEX(DraftResults[[#All],[OVR]],MATCH(Table5[[#This Row],[PID]],DraftResults[[#All],[Player ID]],0)),"")</f>
        <v>213</v>
      </c>
      <c r="Z118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7</v>
      </c>
      <c r="AA118" s="50">
        <f>IFERROR(INDEX(DraftResults[[#All],[Pick in Round]],MATCH(Table5[[#This Row],[PID]],DraftResults[[#All],[Player ID]],0)),"")</f>
        <v>12</v>
      </c>
      <c r="AB118" s="50" t="str">
        <f>IFERROR(INDEX(DraftResults[[#All],[Team Name]],MATCH(Table5[[#This Row],[PID]],DraftResults[[#All],[Player ID]],0)),"")</f>
        <v>Manchester Maulers</v>
      </c>
      <c r="AC118" s="50">
        <f>IF(Table5[[#This Row],[Ovr]]="","",IF(Table5[[#This Row],[cmbList]]="","",Table5[[#This Row],[cmbList]]-Table5[[#This Row],[Ovr]]))</f>
        <v>-99</v>
      </c>
      <c r="AD118" s="54" t="str">
        <f>IF(ISERROR(VLOOKUP($AB118&amp;"-"&amp;$E118&amp;" "&amp;F118,Bonuses!$B$1:$G$1006,4,FALSE)),"",INT(VLOOKUP($AB118&amp;"-"&amp;$E118&amp;" "&amp;$F118,Bonuses!$B$1:$G$1006,4,FALSE)))</f>
        <v/>
      </c>
      <c r="AE118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7.12 (213) - SP Mitsuo Takuda</v>
      </c>
    </row>
    <row r="119" spans="1:31" s="50" customFormat="1" x14ac:dyDescent="0.3">
      <c r="A119" s="50">
        <v>11831</v>
      </c>
      <c r="B119" s="50">
        <f>COUNTIF(Table5[PID],A119)</f>
        <v>1</v>
      </c>
      <c r="C119" s="50" t="str">
        <f>IF(COUNTIF(Table3[[#All],[PID]],A119)&gt;0,"P","B")</f>
        <v>P</v>
      </c>
      <c r="D119" s="59" t="str">
        <f>IF($C119="B",INDEX(Batters[[#All],[POS]],MATCH(Table5[[#This Row],[PID]],Batters[[#All],[PID]],0)),INDEX(Table3[[#All],[POS]],MATCH(Table5[[#This Row],[PID]],Table3[[#All],[PID]],0)))</f>
        <v>RP</v>
      </c>
      <c r="E119" s="52" t="str">
        <f>IF($C119="B",INDEX(Batters[[#All],[First]],MATCH(Table5[[#This Row],[PID]],Batters[[#All],[PID]],0)),INDEX(Table3[[#All],[First]],MATCH(Table5[[#This Row],[PID]],Table3[[#All],[PID]],0)))</f>
        <v>António</v>
      </c>
      <c r="F119" s="50" t="str">
        <f>IF($C119="B",INDEX(Batters[[#All],[Last]],MATCH(A119,Batters[[#All],[PID]],0)),INDEX(Table3[[#All],[Last]],MATCH(A119,Table3[[#All],[PID]],0)))</f>
        <v>Pineda</v>
      </c>
      <c r="G119" s="56">
        <f>IF($C119="B",INDEX(Batters[[#All],[Age]],MATCH(Table5[[#This Row],[PID]],Batters[[#All],[PID]],0)),INDEX(Table3[[#All],[Age]],MATCH(Table5[[#This Row],[PID]],Table3[[#All],[PID]],0)))</f>
        <v>17</v>
      </c>
      <c r="H119" s="52" t="str">
        <f>IF($C119="B",INDEX(Batters[[#All],[B]],MATCH(Table5[[#This Row],[PID]],Batters[[#All],[PID]],0)),INDEX(Table3[[#All],[B]],MATCH(Table5[[#This Row],[PID]],Table3[[#All],[PID]],0)))</f>
        <v>R</v>
      </c>
      <c r="I119" s="52" t="str">
        <f>IF($C119="B",INDEX(Batters[[#All],[T]],MATCH(Table5[[#This Row],[PID]],Batters[[#All],[PID]],0)),INDEX(Table3[[#All],[T]],MATCH(Table5[[#This Row],[PID]],Table3[[#All],[PID]],0)))</f>
        <v>R</v>
      </c>
      <c r="J119" s="52" t="str">
        <f>IF($C119="B",INDEX(Batters[[#All],[WE]],MATCH(Table5[[#This Row],[PID]],Batters[[#All],[PID]],0)),INDEX(Table3[[#All],[WE]],MATCH(Table5[[#This Row],[PID]],Table3[[#All],[PID]],0)))</f>
        <v>High</v>
      </c>
      <c r="K119" s="52" t="str">
        <f>IF($C119="B",INDEX(Batters[[#All],[INT]],MATCH(Table5[[#This Row],[PID]],Batters[[#All],[PID]],0)),INDEX(Table3[[#All],[INT]],MATCH(Table5[[#This Row],[PID]],Table3[[#All],[PID]],0)))</f>
        <v>Normal</v>
      </c>
      <c r="L119" s="60">
        <f>IF($C119="B",INDEX(Batters[[#All],[CON P]],MATCH(Table5[[#This Row],[PID]],Batters[[#All],[PID]],0)),INDEX(Table3[[#All],[STU P]],MATCH(Table5[[#This Row],[PID]],Table3[[#All],[PID]],0)))</f>
        <v>6</v>
      </c>
      <c r="M119" s="56">
        <f>IF($C119="B",INDEX(Batters[[#All],[GAP P]],MATCH(Table5[[#This Row],[PID]],Batters[[#All],[PID]],0)),INDEX(Table3[[#All],[MOV P]],MATCH(Table5[[#This Row],[PID]],Table3[[#All],[PID]],0)))</f>
        <v>2</v>
      </c>
      <c r="N119" s="56">
        <f>IF($C119="B",INDEX(Batters[[#All],[POW P]],MATCH(Table5[[#This Row],[PID]],Batters[[#All],[PID]],0)),INDEX(Table3[[#All],[CON P]],MATCH(Table5[[#This Row],[PID]],Table3[[#All],[PID]],0)))</f>
        <v>3</v>
      </c>
      <c r="O119" s="56" t="str">
        <f>IF($C119="B",INDEX(Batters[[#All],[EYE P]],MATCH(Table5[[#This Row],[PID]],Batters[[#All],[PID]],0)),INDEX(Table3[[#All],[VELO]],MATCH(Table5[[#This Row],[PID]],Table3[[#All],[PID]],0)))</f>
        <v>93-95 Mph</v>
      </c>
      <c r="P119" s="56">
        <f>IF($C119="B",INDEX(Batters[[#All],[K P]],MATCH(Table5[[#This Row],[PID]],Batters[[#All],[PID]],0)),INDEX(Table3[[#All],[STM]],MATCH(Table5[[#This Row],[PID]],Table3[[#All],[PID]],0)))</f>
        <v>6</v>
      </c>
      <c r="Q119" s="61">
        <f>IF($C119="B",INDEX(Batters[[#All],[Tot]],MATCH(Table5[[#This Row],[PID]],Batters[[#All],[PID]],0)),INDEX(Table3[[#All],[Tot]],MATCH(Table5[[#This Row],[PID]],Table3[[#All],[PID]],0)))</f>
        <v>44.057761036504402</v>
      </c>
      <c r="R119" s="52">
        <f>IF($C119="B",INDEX(Batters[[#All],[zScore]],MATCH(Table5[[#This Row],[PID]],Batters[[#All],[PID]],0)),INDEX(Table3[[#All],[zScore]],MATCH(Table5[[#This Row],[PID]],Table3[[#All],[PID]],0)))</f>
        <v>0.44541269724640103</v>
      </c>
      <c r="S119" s="58" t="str">
        <f>IF($C119="B",INDEX(Batters[[#All],[DEM]],MATCH(Table5[[#This Row],[PID]],Batters[[#All],[PID]],0)),INDEX(Table3[[#All],[DEM]],MATCH(Table5[[#This Row],[PID]],Table3[[#All],[PID]],0)))</f>
        <v>$65k</v>
      </c>
      <c r="T119" s="62">
        <f>IF($C119="B",INDEX(Batters[[#All],[Rnk]],MATCH(Table5[[#This Row],[PID]],Batters[[#All],[PID]],0)),INDEX(Table3[[#All],[Rnk]],MATCH(Table5[[#This Row],[PID]],Table3[[#All],[PID]],0)))</f>
        <v>900</v>
      </c>
      <c r="U119" s="67">
        <f>IF($C119="B",VLOOKUP($A119,Bat!$A$4:$BA$1314,47,FALSE),VLOOKUP($A119,Pit!$A$4:$BF$1214,56,FALSE))</f>
        <v>55</v>
      </c>
      <c r="V119" s="50">
        <f>IF($C119="B",VLOOKUP($A119,Bat!$A$4:$BA$1314,48,FALSE),VLOOKUP($A119,Pit!$A$4:$BF$1214,57,FALSE))</f>
        <v>0</v>
      </c>
      <c r="W119" s="50">
        <v>115</v>
      </c>
      <c r="X119" s="51">
        <f>RANK(Table5[[#This Row],[zScore]],Table5[[#All],[zScore]])</f>
        <v>241</v>
      </c>
      <c r="Y119" s="50">
        <f>IFERROR(INDEX(DraftResults[[#All],[OVR]],MATCH(Table5[[#This Row],[PID]],DraftResults[[#All],[Player ID]],0)),"")</f>
        <v>325</v>
      </c>
      <c r="Z119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10</v>
      </c>
      <c r="AA119" s="50">
        <f>IFERROR(INDEX(DraftResults[[#All],[Pick in Round]],MATCH(Table5[[#This Row],[PID]],DraftResults[[#All],[Player ID]],0)),"")</f>
        <v>28</v>
      </c>
      <c r="AB119" s="50" t="str">
        <f>IFERROR(INDEX(DraftResults[[#All],[Team Name]],MATCH(Table5[[#This Row],[PID]],DraftResults[[#All],[Player ID]],0)),"")</f>
        <v>Amsterdam Lions</v>
      </c>
      <c r="AC119" s="50">
        <f>IF(Table5[[#This Row],[Ovr]]="","",IF(Table5[[#This Row],[cmbList]]="","",Table5[[#This Row],[cmbList]]-Table5[[#This Row],[Ovr]]))</f>
        <v>-210</v>
      </c>
      <c r="AD119" s="54" t="str">
        <f>IF(ISERROR(VLOOKUP($AB119&amp;"-"&amp;$E119&amp;" "&amp;F119,Bonuses!$B$1:$G$1006,4,FALSE)),"",INT(VLOOKUP($AB119&amp;"-"&amp;$E119&amp;" "&amp;$F119,Bonuses!$B$1:$G$1006,4,FALSE)))</f>
        <v/>
      </c>
      <c r="AE119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10.28 (325) - RP António Pineda</v>
      </c>
    </row>
    <row r="120" spans="1:31" s="50" customFormat="1" x14ac:dyDescent="0.3">
      <c r="A120" s="50">
        <v>15046</v>
      </c>
      <c r="B120" s="50">
        <f>COUNTIF(Table5[PID],A120)</f>
        <v>1</v>
      </c>
      <c r="C120" s="50" t="str">
        <f>IF(COUNTIF(Table3[[#All],[PID]],A120)&gt;0,"P","B")</f>
        <v>P</v>
      </c>
      <c r="D120" s="59" t="str">
        <f>IF($C120="B",INDEX(Batters[[#All],[POS]],MATCH(Table5[[#This Row],[PID]],Batters[[#All],[PID]],0)),INDEX(Table3[[#All],[POS]],MATCH(Table5[[#This Row],[PID]],Table3[[#All],[PID]],0)))</f>
        <v>CL</v>
      </c>
      <c r="E120" s="52" t="str">
        <f>IF($C120="B",INDEX(Batters[[#All],[First]],MATCH(Table5[[#This Row],[PID]],Batters[[#All],[PID]],0)),INDEX(Table3[[#All],[First]],MATCH(Table5[[#This Row],[PID]],Table3[[#All],[PID]],0)))</f>
        <v>Daan</v>
      </c>
      <c r="F120" s="50" t="str">
        <f>IF($C120="B",INDEX(Batters[[#All],[Last]],MATCH(A120,Batters[[#All],[PID]],0)),INDEX(Table3[[#All],[Last]],MATCH(A120,Table3[[#All],[PID]],0)))</f>
        <v>Mastenbroek</v>
      </c>
      <c r="G120" s="56">
        <f>IF($C120="B",INDEX(Batters[[#All],[Age]],MATCH(Table5[[#This Row],[PID]],Batters[[#All],[PID]],0)),INDEX(Table3[[#All],[Age]],MATCH(Table5[[#This Row],[PID]],Table3[[#All],[PID]],0)))</f>
        <v>21</v>
      </c>
      <c r="H120" s="52" t="str">
        <f>IF($C120="B",INDEX(Batters[[#All],[B]],MATCH(Table5[[#This Row],[PID]],Batters[[#All],[PID]],0)),INDEX(Table3[[#All],[B]],MATCH(Table5[[#This Row],[PID]],Table3[[#All],[PID]],0)))</f>
        <v>R</v>
      </c>
      <c r="I120" s="52" t="str">
        <f>IF($C120="B",INDEX(Batters[[#All],[T]],MATCH(Table5[[#This Row],[PID]],Batters[[#All],[PID]],0)),INDEX(Table3[[#All],[T]],MATCH(Table5[[#This Row],[PID]],Table3[[#All],[PID]],0)))</f>
        <v>R</v>
      </c>
      <c r="J120" s="52" t="str">
        <f>IF($C120="B",INDEX(Batters[[#All],[WE]],MATCH(Table5[[#This Row],[PID]],Batters[[#All],[PID]],0)),INDEX(Table3[[#All],[WE]],MATCH(Table5[[#This Row],[PID]],Table3[[#All],[PID]],0)))</f>
        <v>Normal</v>
      </c>
      <c r="K120" s="52" t="str">
        <f>IF($C120="B",INDEX(Batters[[#All],[INT]],MATCH(Table5[[#This Row],[PID]],Batters[[#All],[PID]],0)),INDEX(Table3[[#All],[INT]],MATCH(Table5[[#This Row],[PID]],Table3[[#All],[PID]],0)))</f>
        <v>Normal</v>
      </c>
      <c r="L120" s="60">
        <f>IF($C120="B",INDEX(Batters[[#All],[CON P]],MATCH(Table5[[#This Row],[PID]],Batters[[#All],[PID]],0)),INDEX(Table3[[#All],[STU P]],MATCH(Table5[[#This Row],[PID]],Table3[[#All],[PID]],0)))</f>
        <v>5</v>
      </c>
      <c r="M120" s="56">
        <f>IF($C120="B",INDEX(Batters[[#All],[GAP P]],MATCH(Table5[[#This Row],[PID]],Batters[[#All],[PID]],0)),INDEX(Table3[[#All],[MOV P]],MATCH(Table5[[#This Row],[PID]],Table3[[#All],[PID]],0)))</f>
        <v>6</v>
      </c>
      <c r="N120" s="56">
        <f>IF($C120="B",INDEX(Batters[[#All],[POW P]],MATCH(Table5[[#This Row],[PID]],Batters[[#All],[PID]],0)),INDEX(Table3[[#All],[CON P]],MATCH(Table5[[#This Row],[PID]],Table3[[#All],[PID]],0)))</f>
        <v>6</v>
      </c>
      <c r="O120" s="56" t="str">
        <f>IF($C120="B",INDEX(Batters[[#All],[EYE P]],MATCH(Table5[[#This Row],[PID]],Batters[[#All],[PID]],0)),INDEX(Table3[[#All],[VELO]],MATCH(Table5[[#This Row],[PID]],Table3[[#All],[PID]],0)))</f>
        <v>94-96 Mph</v>
      </c>
      <c r="P120" s="56">
        <f>IF($C120="B",INDEX(Batters[[#All],[K P]],MATCH(Table5[[#This Row],[PID]],Batters[[#All],[PID]],0)),INDEX(Table3[[#All],[STM]],MATCH(Table5[[#This Row],[PID]],Table3[[#All],[PID]],0)))</f>
        <v>10</v>
      </c>
      <c r="Q120" s="61">
        <f>IF($C120="B",INDEX(Batters[[#All],[Tot]],MATCH(Table5[[#This Row],[PID]],Batters[[#All],[PID]],0)),INDEX(Table3[[#All],[Tot]],MATCH(Table5[[#This Row],[PID]],Table3[[#All],[PID]],0)))</f>
        <v>65.29168640227843</v>
      </c>
      <c r="R120" s="52">
        <f>IF($C120="B",INDEX(Batters[[#All],[zScore]],MATCH(Table5[[#This Row],[PID]],Batters[[#All],[PID]],0)),INDEX(Table3[[#All],[zScore]],MATCH(Table5[[#This Row],[PID]],Table3[[#All],[PID]],0)))</f>
        <v>1.957417518789381</v>
      </c>
      <c r="S120" s="58" t="str">
        <f>IF($C120="B",INDEX(Batters[[#All],[DEM]],MATCH(Table5[[#This Row],[PID]],Batters[[#All],[PID]],0)),INDEX(Table3[[#All],[DEM]],MATCH(Table5[[#This Row],[PID]],Table3[[#All],[PID]],0)))</f>
        <v>$120k</v>
      </c>
      <c r="T120" s="62">
        <f>IF($C120="B",INDEX(Batters[[#All],[Rnk]],MATCH(Table5[[#This Row],[PID]],Batters[[#All],[PID]],0)),INDEX(Table3[[#All],[Rnk]],MATCH(Table5[[#This Row],[PID]],Table3[[#All],[PID]],0)))</f>
        <v>900</v>
      </c>
      <c r="U120" s="67">
        <f>IF($C120="B",VLOOKUP($A120,Bat!$A$4:$BA$1314,47,FALSE),VLOOKUP($A120,Pit!$A$4:$BF$1214,56,FALSE))</f>
        <v>56</v>
      </c>
      <c r="V120" s="50">
        <f>IF($C120="B",VLOOKUP($A120,Bat!$A$4:$BA$1314,48,FALSE),VLOOKUP($A120,Pit!$A$4:$BF$1214,57,FALSE))</f>
        <v>0</v>
      </c>
      <c r="W120" s="68">
        <v>116</v>
      </c>
      <c r="X120" s="51">
        <f>RANK(Table5[[#This Row],[zScore]],Table5[[#All],[zScore]])</f>
        <v>41</v>
      </c>
      <c r="Y120" s="50">
        <f>IFERROR(INDEX(DraftResults[[#All],[OVR]],MATCH(Table5[[#This Row],[PID]],DraftResults[[#All],[Player ID]],0)),"")</f>
        <v>80</v>
      </c>
      <c r="Z120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3</v>
      </c>
      <c r="AA120" s="50">
        <f>IFERROR(INDEX(DraftResults[[#All],[Pick in Round]],MATCH(Table5[[#This Row],[PID]],DraftResults[[#All],[Player ID]],0)),"")</f>
        <v>8</v>
      </c>
      <c r="AB120" s="50" t="str">
        <f>IFERROR(INDEX(DraftResults[[#All],[Team Name]],MATCH(Table5[[#This Row],[PID]],DraftResults[[#All],[Player ID]],0)),"")</f>
        <v>Gloucester Fishermen</v>
      </c>
      <c r="AC120" s="50">
        <f>IF(Table5[[#This Row],[Ovr]]="","",IF(Table5[[#This Row],[cmbList]]="","",Table5[[#This Row],[cmbList]]-Table5[[#This Row],[Ovr]]))</f>
        <v>36</v>
      </c>
      <c r="AD120" s="54" t="str">
        <f>IF(ISERROR(VLOOKUP($AB120&amp;"-"&amp;$E120&amp;" "&amp;F120,Bonuses!$B$1:$G$1006,4,FALSE)),"",INT(VLOOKUP($AB120&amp;"-"&amp;$E120&amp;" "&amp;$F120,Bonuses!$B$1:$G$1006,4,FALSE)))</f>
        <v/>
      </c>
      <c r="AE120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3.8 (80) - CL Daan Mastenbroek</v>
      </c>
    </row>
    <row r="121" spans="1:31" s="50" customFormat="1" x14ac:dyDescent="0.3">
      <c r="A121" s="50">
        <v>20264</v>
      </c>
      <c r="B121" s="50">
        <f>COUNTIF(Table5[PID],A121)</f>
        <v>1</v>
      </c>
      <c r="C121" s="50" t="str">
        <f>IF(COUNTIF(Table3[[#All],[PID]],A121)&gt;0,"P","B")</f>
        <v>P</v>
      </c>
      <c r="D121" s="59" t="str">
        <f>IF($C121="B",INDEX(Batters[[#All],[POS]],MATCH(Table5[[#This Row],[PID]],Batters[[#All],[PID]],0)),INDEX(Table3[[#All],[POS]],MATCH(Table5[[#This Row],[PID]],Table3[[#All],[PID]],0)))</f>
        <v>SP</v>
      </c>
      <c r="E121" s="52" t="str">
        <f>IF($C121="B",INDEX(Batters[[#All],[First]],MATCH(Table5[[#This Row],[PID]],Batters[[#All],[PID]],0)),INDEX(Table3[[#All],[First]],MATCH(Table5[[#This Row],[PID]],Table3[[#All],[PID]],0)))</f>
        <v>Jim</v>
      </c>
      <c r="F121" s="50" t="str">
        <f>IF($C121="B",INDEX(Batters[[#All],[Last]],MATCH(A121,Batters[[#All],[PID]],0)),INDEX(Table3[[#All],[Last]],MATCH(A121,Table3[[#All],[PID]],0)))</f>
        <v>Xú</v>
      </c>
      <c r="G121" s="56">
        <f>IF($C121="B",INDEX(Batters[[#All],[Age]],MATCH(Table5[[#This Row],[PID]],Batters[[#All],[PID]],0)),INDEX(Table3[[#All],[Age]],MATCH(Table5[[#This Row],[PID]],Table3[[#All],[PID]],0)))</f>
        <v>21</v>
      </c>
      <c r="H121" s="52" t="str">
        <f>IF($C121="B",INDEX(Batters[[#All],[B]],MATCH(Table5[[#This Row],[PID]],Batters[[#All],[PID]],0)),INDEX(Table3[[#All],[B]],MATCH(Table5[[#This Row],[PID]],Table3[[#All],[PID]],0)))</f>
        <v>R</v>
      </c>
      <c r="I121" s="52" t="str">
        <f>IF($C121="B",INDEX(Batters[[#All],[T]],MATCH(Table5[[#This Row],[PID]],Batters[[#All],[PID]],0)),INDEX(Table3[[#All],[T]],MATCH(Table5[[#This Row],[PID]],Table3[[#All],[PID]],0)))</f>
        <v>R</v>
      </c>
      <c r="J121" s="52" t="str">
        <f>IF($C121="B",INDEX(Batters[[#All],[WE]],MATCH(Table5[[#This Row],[PID]],Batters[[#All],[PID]],0)),INDEX(Table3[[#All],[WE]],MATCH(Table5[[#This Row],[PID]],Table3[[#All],[PID]],0)))</f>
        <v>Normal</v>
      </c>
      <c r="K121" s="52" t="str">
        <f>IF($C121="B",INDEX(Batters[[#All],[INT]],MATCH(Table5[[#This Row],[PID]],Batters[[#All],[PID]],0)),INDEX(Table3[[#All],[INT]],MATCH(Table5[[#This Row],[PID]],Table3[[#All],[PID]],0)))</f>
        <v>Normal</v>
      </c>
      <c r="L121" s="60">
        <f>IF($C121="B",INDEX(Batters[[#All],[CON P]],MATCH(Table5[[#This Row],[PID]],Batters[[#All],[PID]],0)),INDEX(Table3[[#All],[STU P]],MATCH(Table5[[#This Row],[PID]],Table3[[#All],[PID]],0)))</f>
        <v>5</v>
      </c>
      <c r="M121" s="56">
        <f>IF($C121="B",INDEX(Batters[[#All],[GAP P]],MATCH(Table5[[#This Row],[PID]],Batters[[#All],[PID]],0)),INDEX(Table3[[#All],[MOV P]],MATCH(Table5[[#This Row],[PID]],Table3[[#All],[PID]],0)))</f>
        <v>5</v>
      </c>
      <c r="N121" s="56">
        <f>IF($C121="B",INDEX(Batters[[#All],[POW P]],MATCH(Table5[[#This Row],[PID]],Batters[[#All],[PID]],0)),INDEX(Table3[[#All],[CON P]],MATCH(Table5[[#This Row],[PID]],Table3[[#All],[PID]],0)))</f>
        <v>4</v>
      </c>
      <c r="O121" s="56" t="str">
        <f>IF($C121="B",INDEX(Batters[[#All],[EYE P]],MATCH(Table5[[#This Row],[PID]],Batters[[#All],[PID]],0)),INDEX(Table3[[#All],[VELO]],MATCH(Table5[[#This Row],[PID]],Table3[[#All],[PID]],0)))</f>
        <v>94-96 Mph</v>
      </c>
      <c r="P121" s="56">
        <f>IF($C121="B",INDEX(Batters[[#All],[K P]],MATCH(Table5[[#This Row],[PID]],Batters[[#All],[PID]],0)),INDEX(Table3[[#All],[STM]],MATCH(Table5[[#This Row],[PID]],Table3[[#All],[PID]],0)))</f>
        <v>8</v>
      </c>
      <c r="Q121" s="61">
        <f>IF($C121="B",INDEX(Batters[[#All],[Tot]],MATCH(Table5[[#This Row],[PID]],Batters[[#All],[PID]],0)),INDEX(Table3[[#All],[Tot]],MATCH(Table5[[#This Row],[PID]],Table3[[#All],[PID]],0)))</f>
        <v>51.803253296685966</v>
      </c>
      <c r="R121" s="52">
        <f>IF($C121="B",INDEX(Batters[[#All],[zScore]],MATCH(Table5[[#This Row],[PID]],Batters[[#All],[PID]],0)),INDEX(Table3[[#All],[zScore]],MATCH(Table5[[#This Row],[PID]],Table3[[#All],[PID]],0)))</f>
        <v>0.99694621923452709</v>
      </c>
      <c r="S121" s="58" t="str">
        <f>IF($C121="B",INDEX(Batters[[#All],[DEM]],MATCH(Table5[[#This Row],[PID]],Batters[[#All],[PID]],0)),INDEX(Table3[[#All],[DEM]],MATCH(Table5[[#This Row],[PID]],Table3[[#All],[PID]],0)))</f>
        <v>$85k</v>
      </c>
      <c r="T121" s="62">
        <f>IF($C121="B",INDEX(Batters[[#All],[Rnk]],MATCH(Table5[[#This Row],[PID]],Batters[[#All],[PID]],0)),INDEX(Table3[[#All],[Rnk]],MATCH(Table5[[#This Row],[PID]],Table3[[#All],[PID]],0)))</f>
        <v>900</v>
      </c>
      <c r="U121" s="67">
        <f>IF($C121="B",VLOOKUP($A121,Bat!$A$4:$BA$1314,47,FALSE),VLOOKUP($A121,Pit!$A$4:$BF$1214,56,FALSE))</f>
        <v>57</v>
      </c>
      <c r="V121" s="50">
        <f>IF($C121="B",VLOOKUP($A121,Bat!$A$4:$BA$1314,48,FALSE),VLOOKUP($A121,Pit!$A$4:$BF$1214,57,FALSE))</f>
        <v>0</v>
      </c>
      <c r="W121" s="50">
        <v>117</v>
      </c>
      <c r="X121" s="51">
        <f>RANK(Table5[[#This Row],[zScore]],Table5[[#All],[zScore]])</f>
        <v>148</v>
      </c>
      <c r="Y121" s="50">
        <f>IFERROR(INDEX(DraftResults[[#All],[OVR]],MATCH(Table5[[#This Row],[PID]],DraftResults[[#All],[Player ID]],0)),"")</f>
        <v>147</v>
      </c>
      <c r="Z121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5</v>
      </c>
      <c r="AA121" s="50">
        <f>IFERROR(INDEX(DraftResults[[#All],[Pick in Round]],MATCH(Table5[[#This Row],[PID]],DraftResults[[#All],[Player ID]],0)),"")</f>
        <v>10</v>
      </c>
      <c r="AB121" s="50" t="str">
        <f>IFERROR(INDEX(DraftResults[[#All],[Team Name]],MATCH(Table5[[#This Row],[PID]],DraftResults[[#All],[Player ID]],0)),"")</f>
        <v>London Underground</v>
      </c>
      <c r="AC121" s="50">
        <f>IF(Table5[[#This Row],[Ovr]]="","",IF(Table5[[#This Row],[cmbList]]="","",Table5[[#This Row],[cmbList]]-Table5[[#This Row],[Ovr]]))</f>
        <v>-30</v>
      </c>
      <c r="AD121" s="54" t="str">
        <f>IF(ISERROR(VLOOKUP($AB121&amp;"-"&amp;$E121&amp;" "&amp;F121,Bonuses!$B$1:$G$1006,4,FALSE)),"",INT(VLOOKUP($AB121&amp;"-"&amp;$E121&amp;" "&amp;$F121,Bonuses!$B$1:$G$1006,4,FALSE)))</f>
        <v/>
      </c>
      <c r="AE121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5.10 (147) - SP Jim Xú</v>
      </c>
    </row>
    <row r="122" spans="1:31" s="50" customFormat="1" x14ac:dyDescent="0.3">
      <c r="A122" s="67">
        <v>20703</v>
      </c>
      <c r="B122" s="68">
        <f>COUNTIF(Table5[PID],A122)</f>
        <v>1</v>
      </c>
      <c r="C122" s="68" t="str">
        <f>IF(COUNTIF(Table3[[#All],[PID]],A122)&gt;0,"P","B")</f>
        <v>P</v>
      </c>
      <c r="D122" s="59" t="str">
        <f>IF($C122="B",INDEX(Batters[[#All],[POS]],MATCH(Table5[[#This Row],[PID]],Batters[[#All],[PID]],0)),INDEX(Table3[[#All],[POS]],MATCH(Table5[[#This Row],[PID]],Table3[[#All],[PID]],0)))</f>
        <v>SP</v>
      </c>
      <c r="E122" s="52" t="str">
        <f>IF($C122="B",INDEX(Batters[[#All],[First]],MATCH(Table5[[#This Row],[PID]],Batters[[#All],[PID]],0)),INDEX(Table3[[#All],[First]],MATCH(Table5[[#This Row],[PID]],Table3[[#All],[PID]],0)))</f>
        <v>Bob</v>
      </c>
      <c r="F122" s="55" t="str">
        <f>IF($C122="B",INDEX(Batters[[#All],[Last]],MATCH(A122,Batters[[#All],[PID]],0)),INDEX(Table3[[#All],[Last]],MATCH(A122,Table3[[#All],[PID]],0)))</f>
        <v>Brewster</v>
      </c>
      <c r="G122" s="56">
        <f>IF($C122="B",INDEX(Batters[[#All],[Age]],MATCH(Table5[[#This Row],[PID]],Batters[[#All],[PID]],0)),INDEX(Table3[[#All],[Age]],MATCH(Table5[[#This Row],[PID]],Table3[[#All],[PID]],0)))</f>
        <v>17</v>
      </c>
      <c r="H122" s="52" t="str">
        <f>IF($C122="B",INDEX(Batters[[#All],[B]],MATCH(Table5[[#This Row],[PID]],Batters[[#All],[PID]],0)),INDEX(Table3[[#All],[B]],MATCH(Table5[[#This Row],[PID]],Table3[[#All],[PID]],0)))</f>
        <v>R</v>
      </c>
      <c r="I122" s="52" t="str">
        <f>IF($C122="B",INDEX(Batters[[#All],[T]],MATCH(Table5[[#This Row],[PID]],Batters[[#All],[PID]],0)),INDEX(Table3[[#All],[T]],MATCH(Table5[[#This Row],[PID]],Table3[[#All],[PID]],0)))</f>
        <v>R</v>
      </c>
      <c r="J122" s="69" t="str">
        <f>IF($C122="B",INDEX(Batters[[#All],[WE]],MATCH(Table5[[#This Row],[PID]],Batters[[#All],[PID]],0)),INDEX(Table3[[#All],[WE]],MATCH(Table5[[#This Row],[PID]],Table3[[#All],[PID]],0)))</f>
        <v>Normal</v>
      </c>
      <c r="K122" s="52" t="str">
        <f>IF($C122="B",INDEX(Batters[[#All],[INT]],MATCH(Table5[[#This Row],[PID]],Batters[[#All],[PID]],0)),INDEX(Table3[[#All],[INT]],MATCH(Table5[[#This Row],[PID]],Table3[[#All],[PID]],0)))</f>
        <v>Normal</v>
      </c>
      <c r="L122" s="60">
        <f>IF($C122="B",INDEX(Batters[[#All],[CON P]],MATCH(Table5[[#This Row],[PID]],Batters[[#All],[PID]],0)),INDEX(Table3[[#All],[STU P]],MATCH(Table5[[#This Row],[PID]],Table3[[#All],[PID]],0)))</f>
        <v>5</v>
      </c>
      <c r="M122" s="70">
        <f>IF($C122="B",INDEX(Batters[[#All],[GAP P]],MATCH(Table5[[#This Row],[PID]],Batters[[#All],[PID]],0)),INDEX(Table3[[#All],[MOV P]],MATCH(Table5[[#This Row],[PID]],Table3[[#All],[PID]],0)))</f>
        <v>5</v>
      </c>
      <c r="N122" s="70">
        <f>IF($C122="B",INDEX(Batters[[#All],[POW P]],MATCH(Table5[[#This Row],[PID]],Batters[[#All],[PID]],0)),INDEX(Table3[[#All],[CON P]],MATCH(Table5[[#This Row],[PID]],Table3[[#All],[PID]],0)))</f>
        <v>5</v>
      </c>
      <c r="O122" s="70" t="str">
        <f>IF($C122="B",INDEX(Batters[[#All],[EYE P]],MATCH(Table5[[#This Row],[PID]],Batters[[#All],[PID]],0)),INDEX(Table3[[#All],[VELO]],MATCH(Table5[[#This Row],[PID]],Table3[[#All],[PID]],0)))</f>
        <v>93-95 Mph</v>
      </c>
      <c r="P122" s="56">
        <f>IF($C122="B",INDEX(Batters[[#All],[K P]],MATCH(Table5[[#This Row],[PID]],Batters[[#All],[PID]],0)),INDEX(Table3[[#All],[STM]],MATCH(Table5[[#This Row],[PID]],Table3[[#All],[PID]],0)))</f>
        <v>8</v>
      </c>
      <c r="Q122" s="61">
        <f>IF($C122="B",INDEX(Batters[[#All],[Tot]],MATCH(Table5[[#This Row],[PID]],Batters[[#All],[PID]],0)),INDEX(Table3[[#All],[Tot]],MATCH(Table5[[#This Row],[PID]],Table3[[#All],[PID]],0)))</f>
        <v>61.278825741705376</v>
      </c>
      <c r="R122" s="52">
        <f>IF($C122="B",INDEX(Batters[[#All],[zScore]],MATCH(Table5[[#This Row],[PID]],Batters[[#All],[PID]],0)),INDEX(Table3[[#All],[zScore]],MATCH(Table5[[#This Row],[PID]],Table3[[#All],[PID]],0)))</f>
        <v>1.6716736178172853</v>
      </c>
      <c r="S122" s="75" t="str">
        <f>IF($C122="B",INDEX(Batters[[#All],[DEM]],MATCH(Table5[[#This Row],[PID]],Batters[[#All],[PID]],0)),INDEX(Table3[[#All],[DEM]],MATCH(Table5[[#This Row],[PID]],Table3[[#All],[PID]],0)))</f>
        <v>$430k</v>
      </c>
      <c r="T122" s="72">
        <f>IF($C122="B",INDEX(Batters[[#All],[Rnk]],MATCH(Table5[[#This Row],[PID]],Batters[[#All],[PID]],0)),INDEX(Table3[[#All],[Rnk]],MATCH(Table5[[#This Row],[PID]],Table3[[#All],[PID]],0)))</f>
        <v>900</v>
      </c>
      <c r="U122" s="67">
        <f>IF($C122="B",VLOOKUP($A122,Bat!$A$4:$BA$1314,47,FALSE),VLOOKUP($A122,Pit!$A$4:$BF$1214,56,FALSE))</f>
        <v>58</v>
      </c>
      <c r="V122" s="50">
        <f>IF($C122="B",VLOOKUP($A122,Bat!$A$4:$BA$1314,48,FALSE),VLOOKUP($A122,Pit!$A$4:$BF$1214,57,FALSE))</f>
        <v>0</v>
      </c>
      <c r="W122" s="68">
        <v>118</v>
      </c>
      <c r="X122" s="71">
        <f>RANK(Table5[[#This Row],[zScore]],Table5[[#All],[zScore]])</f>
        <v>62</v>
      </c>
      <c r="Y122" s="68">
        <f>IFERROR(INDEX(DraftResults[[#All],[OVR]],MATCH(Table5[[#This Row],[PID]],DraftResults[[#All],[Player ID]],0)),"")</f>
        <v>102</v>
      </c>
      <c r="Z122" s="7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3</v>
      </c>
      <c r="AA122" s="68">
        <f>IFERROR(INDEX(DraftResults[[#All],[Pick in Round]],MATCH(Table5[[#This Row],[PID]],DraftResults[[#All],[Player ID]],0)),"")</f>
        <v>30</v>
      </c>
      <c r="AB122" s="68" t="str">
        <f>IFERROR(INDEX(DraftResults[[#All],[Team Name]],MATCH(Table5[[#This Row],[PID]],DraftResults[[#All],[Player ID]],0)),"")</f>
        <v>Niihama-shi Ghosts</v>
      </c>
      <c r="AC122" s="68">
        <f>IF(Table5[[#This Row],[Ovr]]="","",IF(Table5[[#This Row],[cmbList]]="","",Table5[[#This Row],[cmbList]]-Table5[[#This Row],[Ovr]]))</f>
        <v>16</v>
      </c>
      <c r="AD122" s="74" t="str">
        <f>IF(ISERROR(VLOOKUP($AB122&amp;"-"&amp;$E122&amp;" "&amp;F122,Bonuses!$B$1:$G$1006,4,FALSE)),"",INT(VLOOKUP($AB122&amp;"-"&amp;$E122&amp;" "&amp;$F122,Bonuses!$B$1:$G$1006,4,FALSE)))</f>
        <v/>
      </c>
      <c r="AE122" s="68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3.30 (102) - SP Bob Brewster</v>
      </c>
    </row>
    <row r="123" spans="1:31" s="50" customFormat="1" x14ac:dyDescent="0.3">
      <c r="A123" s="50">
        <v>11334</v>
      </c>
      <c r="B123" s="50">
        <f>COUNTIF(Table5[PID],A123)</f>
        <v>1</v>
      </c>
      <c r="C123" s="50" t="str">
        <f>IF(COUNTIF(Table3[[#All],[PID]],A123)&gt;0,"P","B")</f>
        <v>P</v>
      </c>
      <c r="D123" s="59" t="str">
        <f>IF($C123="B",INDEX(Batters[[#All],[POS]],MATCH(Table5[[#This Row],[PID]],Batters[[#All],[PID]],0)),INDEX(Table3[[#All],[POS]],MATCH(Table5[[#This Row],[PID]],Table3[[#All],[PID]],0)))</f>
        <v>SP</v>
      </c>
      <c r="E123" s="52" t="str">
        <f>IF($C123="B",INDEX(Batters[[#All],[First]],MATCH(Table5[[#This Row],[PID]],Batters[[#All],[PID]],0)),INDEX(Table3[[#All],[First]],MATCH(Table5[[#This Row],[PID]],Table3[[#All],[PID]],0)))</f>
        <v>Leonard</v>
      </c>
      <c r="F123" s="50" t="str">
        <f>IF($C123="B",INDEX(Batters[[#All],[Last]],MATCH(A123,Batters[[#All],[PID]],0)),INDEX(Table3[[#All],[Last]],MATCH(A123,Table3[[#All],[PID]],0)))</f>
        <v>Bullard</v>
      </c>
      <c r="G123" s="56">
        <f>IF($C123="B",INDEX(Batters[[#All],[Age]],MATCH(Table5[[#This Row],[PID]],Batters[[#All],[PID]],0)),INDEX(Table3[[#All],[Age]],MATCH(Table5[[#This Row],[PID]],Table3[[#All],[PID]],0)))</f>
        <v>17</v>
      </c>
      <c r="H123" s="52" t="str">
        <f>IF($C123="B",INDEX(Batters[[#All],[B]],MATCH(Table5[[#This Row],[PID]],Batters[[#All],[PID]],0)),INDEX(Table3[[#All],[B]],MATCH(Table5[[#This Row],[PID]],Table3[[#All],[PID]],0)))</f>
        <v>R</v>
      </c>
      <c r="I123" s="52" t="str">
        <f>IF($C123="B",INDEX(Batters[[#All],[T]],MATCH(Table5[[#This Row],[PID]],Batters[[#All],[PID]],0)),INDEX(Table3[[#All],[T]],MATCH(Table5[[#This Row],[PID]],Table3[[#All],[PID]],0)))</f>
        <v>R</v>
      </c>
      <c r="J123" s="52" t="str">
        <f>IF($C123="B",INDEX(Batters[[#All],[WE]],MATCH(Table5[[#This Row],[PID]],Batters[[#All],[PID]],0)),INDEX(Table3[[#All],[WE]],MATCH(Table5[[#This Row],[PID]],Table3[[#All],[PID]],0)))</f>
        <v>Normal</v>
      </c>
      <c r="K123" s="52" t="str">
        <f>IF($C123="B",INDEX(Batters[[#All],[INT]],MATCH(Table5[[#This Row],[PID]],Batters[[#All],[PID]],0)),INDEX(Table3[[#All],[INT]],MATCH(Table5[[#This Row],[PID]],Table3[[#All],[PID]],0)))</f>
        <v>Normal</v>
      </c>
      <c r="L123" s="60">
        <f>IF($C123="B",INDEX(Batters[[#All],[CON P]],MATCH(Table5[[#This Row],[PID]],Batters[[#All],[PID]],0)),INDEX(Table3[[#All],[STU P]],MATCH(Table5[[#This Row],[PID]],Table3[[#All],[PID]],0)))</f>
        <v>6</v>
      </c>
      <c r="M123" s="56">
        <f>IF($C123="B",INDEX(Batters[[#All],[GAP P]],MATCH(Table5[[#This Row],[PID]],Batters[[#All],[PID]],0)),INDEX(Table3[[#All],[MOV P]],MATCH(Table5[[#This Row],[PID]],Table3[[#All],[PID]],0)))</f>
        <v>3</v>
      </c>
      <c r="N123" s="56">
        <f>IF($C123="B",INDEX(Batters[[#All],[POW P]],MATCH(Table5[[#This Row],[PID]],Batters[[#All],[PID]],0)),INDEX(Table3[[#All],[CON P]],MATCH(Table5[[#This Row],[PID]],Table3[[#All],[PID]],0)))</f>
        <v>4</v>
      </c>
      <c r="O123" s="56" t="str">
        <f>IF($C123="B",INDEX(Batters[[#All],[EYE P]],MATCH(Table5[[#This Row],[PID]],Batters[[#All],[PID]],0)),INDEX(Table3[[#All],[VELO]],MATCH(Table5[[#This Row],[PID]],Table3[[#All],[PID]],0)))</f>
        <v>93-95 Mph</v>
      </c>
      <c r="P123" s="56">
        <f>IF($C123="B",INDEX(Batters[[#All],[K P]],MATCH(Table5[[#This Row],[PID]],Batters[[#All],[PID]],0)),INDEX(Table3[[#All],[STM]],MATCH(Table5[[#This Row],[PID]],Table3[[#All],[PID]],0)))</f>
        <v>6</v>
      </c>
      <c r="Q123" s="61">
        <f>IF($C123="B",INDEX(Batters[[#All],[Tot]],MATCH(Table5[[#This Row],[PID]],Batters[[#All],[PID]],0)),INDEX(Table3[[#All],[Tot]],MATCH(Table5[[#This Row],[PID]],Table3[[#All],[PID]],0)))</f>
        <v>54.21717911833521</v>
      </c>
      <c r="R123" s="52">
        <f>IF($C123="B",INDEX(Batters[[#All],[zScore]],MATCH(Table5[[#This Row],[PID]],Batters[[#All],[PID]],0)),INDEX(Table3[[#All],[zScore]],MATCH(Table5[[#This Row],[PID]],Table3[[#All],[PID]],0)))</f>
        <v>1.1688347145696292</v>
      </c>
      <c r="S123" s="58" t="str">
        <f>IF($C123="B",INDEX(Batters[[#All],[DEM]],MATCH(Table5[[#This Row],[PID]],Batters[[#All],[PID]],0)),INDEX(Table3[[#All],[DEM]],MATCH(Table5[[#This Row],[PID]],Table3[[#All],[PID]],0)))</f>
        <v>$700k</v>
      </c>
      <c r="T123" s="62">
        <f>IF($C123="B",INDEX(Batters[[#All],[Rnk]],MATCH(Table5[[#This Row],[PID]],Batters[[#All],[PID]],0)),INDEX(Table3[[#All],[Rnk]],MATCH(Table5[[#This Row],[PID]],Table3[[#All],[PID]],0)))</f>
        <v>900</v>
      </c>
      <c r="U123" s="67">
        <f>IF($C123="B",VLOOKUP($A123,Bat!$A$4:$BA$1314,47,FALSE),VLOOKUP($A123,Pit!$A$4:$BF$1214,56,FALSE))</f>
        <v>59</v>
      </c>
      <c r="V123" s="50">
        <f>IF($C123="B",VLOOKUP($A123,Bat!$A$4:$BA$1314,48,FALSE),VLOOKUP($A123,Pit!$A$4:$BF$1214,57,FALSE))</f>
        <v>0</v>
      </c>
      <c r="W123" s="50">
        <v>119</v>
      </c>
      <c r="X123" s="51">
        <f>RANK(Table5[[#This Row],[zScore]],Table5[[#All],[zScore]])</f>
        <v>124</v>
      </c>
      <c r="Y123" s="50">
        <f>IFERROR(INDEX(DraftResults[[#All],[OVR]],MATCH(Table5[[#This Row],[PID]],DraftResults[[#All],[Player ID]],0)),"")</f>
        <v>126</v>
      </c>
      <c r="Z123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4</v>
      </c>
      <c r="AA123" s="50">
        <f>IFERROR(INDEX(DraftResults[[#All],[Pick in Round]],MATCH(Table5[[#This Row],[PID]],DraftResults[[#All],[Player ID]],0)),"")</f>
        <v>21</v>
      </c>
      <c r="AB123" s="50" t="str">
        <f>IFERROR(INDEX(DraftResults[[#All],[Team Name]],MATCH(Table5[[#This Row],[PID]],DraftResults[[#All],[Player ID]],0)),"")</f>
        <v>Neo-Tokyo Akira</v>
      </c>
      <c r="AC123" s="50">
        <f>IF(Table5[[#This Row],[Ovr]]="","",IF(Table5[[#This Row],[cmbList]]="","",Table5[[#This Row],[cmbList]]-Table5[[#This Row],[Ovr]]))</f>
        <v>-7</v>
      </c>
      <c r="AD123" s="54" t="str">
        <f>IF(ISERROR(VLOOKUP($AB123&amp;"-"&amp;$E123&amp;" "&amp;F123,Bonuses!$B$1:$G$1006,4,FALSE)),"",INT(VLOOKUP($AB123&amp;"-"&amp;$E123&amp;" "&amp;$F123,Bonuses!$B$1:$G$1006,4,FALSE)))</f>
        <v/>
      </c>
      <c r="AE123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4.21 (126) - SP Leonard Bullard</v>
      </c>
    </row>
    <row r="124" spans="1:31" s="50" customFormat="1" x14ac:dyDescent="0.3">
      <c r="A124" s="50">
        <v>13441</v>
      </c>
      <c r="B124" s="50">
        <f>COUNTIF(Table5[PID],A124)</f>
        <v>1</v>
      </c>
      <c r="C124" s="50" t="str">
        <f>IF(COUNTIF(Table3[[#All],[PID]],A124)&gt;0,"P","B")</f>
        <v>B</v>
      </c>
      <c r="D124" s="59" t="str">
        <f>IF($C124="B",INDEX(Batters[[#All],[POS]],MATCH(Table5[[#This Row],[PID]],Batters[[#All],[PID]],0)),INDEX(Table3[[#All],[POS]],MATCH(Table5[[#This Row],[PID]],Table3[[#All],[PID]],0)))</f>
        <v>1B</v>
      </c>
      <c r="E124" s="52" t="str">
        <f>IF($C124="B",INDEX(Batters[[#All],[First]],MATCH(Table5[[#This Row],[PID]],Batters[[#All],[PID]],0)),INDEX(Table3[[#All],[First]],MATCH(Table5[[#This Row],[PID]],Table3[[#All],[PID]],0)))</f>
        <v>Masafumi</v>
      </c>
      <c r="F124" s="50" t="str">
        <f>IF($C124="B",INDEX(Batters[[#All],[Last]],MATCH(A124,Batters[[#All],[PID]],0)),INDEX(Table3[[#All],[Last]],MATCH(A124,Table3[[#All],[PID]],0)))</f>
        <v>Sakai</v>
      </c>
      <c r="G124" s="56">
        <f>IF($C124="B",INDEX(Batters[[#All],[Age]],MATCH(Table5[[#This Row],[PID]],Batters[[#All],[PID]],0)),INDEX(Table3[[#All],[Age]],MATCH(Table5[[#This Row],[PID]],Table3[[#All],[PID]],0)))</f>
        <v>18</v>
      </c>
      <c r="H124" s="52" t="str">
        <f>IF($C124="B",INDEX(Batters[[#All],[B]],MATCH(Table5[[#This Row],[PID]],Batters[[#All],[PID]],0)),INDEX(Table3[[#All],[B]],MATCH(Table5[[#This Row],[PID]],Table3[[#All],[PID]],0)))</f>
        <v>R</v>
      </c>
      <c r="I124" s="52" t="str">
        <f>IF($C124="B",INDEX(Batters[[#All],[T]],MATCH(Table5[[#This Row],[PID]],Batters[[#All],[PID]],0)),INDEX(Table3[[#All],[T]],MATCH(Table5[[#This Row],[PID]],Table3[[#All],[PID]],0)))</f>
        <v>R</v>
      </c>
      <c r="J124" s="52" t="str">
        <f>IF($C124="B",INDEX(Batters[[#All],[WE]],MATCH(Table5[[#This Row],[PID]],Batters[[#All],[PID]],0)),INDEX(Table3[[#All],[WE]],MATCH(Table5[[#This Row],[PID]],Table3[[#All],[PID]],0)))</f>
        <v>High</v>
      </c>
      <c r="K124" s="52" t="str">
        <f>IF($C124="B",INDEX(Batters[[#All],[INT]],MATCH(Table5[[#This Row],[PID]],Batters[[#All],[PID]],0)),INDEX(Table3[[#All],[INT]],MATCH(Table5[[#This Row],[PID]],Table3[[#All],[PID]],0)))</f>
        <v>High</v>
      </c>
      <c r="L124" s="60">
        <f>IF($C124="B",INDEX(Batters[[#All],[CON P]],MATCH(Table5[[#This Row],[PID]],Batters[[#All],[PID]],0)),INDEX(Table3[[#All],[STU P]],MATCH(Table5[[#This Row],[PID]],Table3[[#All],[PID]],0)))</f>
        <v>4</v>
      </c>
      <c r="M124" s="56">
        <f>IF($C124="B",INDEX(Batters[[#All],[GAP P]],MATCH(Table5[[#This Row],[PID]],Batters[[#All],[PID]],0)),INDEX(Table3[[#All],[MOV P]],MATCH(Table5[[#This Row],[PID]],Table3[[#All],[PID]],0)))</f>
        <v>7</v>
      </c>
      <c r="N124" s="56">
        <f>IF($C124="B",INDEX(Batters[[#All],[POW P]],MATCH(Table5[[#This Row],[PID]],Batters[[#All],[PID]],0)),INDEX(Table3[[#All],[CON P]],MATCH(Table5[[#This Row],[PID]],Table3[[#All],[PID]],0)))</f>
        <v>6</v>
      </c>
      <c r="O124" s="56">
        <f>IF($C124="B",INDEX(Batters[[#All],[EYE P]],MATCH(Table5[[#This Row],[PID]],Batters[[#All],[PID]],0)),INDEX(Table3[[#All],[VELO]],MATCH(Table5[[#This Row],[PID]],Table3[[#All],[PID]],0)))</f>
        <v>4</v>
      </c>
      <c r="P124" s="56">
        <f>IF($C124="B",INDEX(Batters[[#All],[K P]],MATCH(Table5[[#This Row],[PID]],Batters[[#All],[PID]],0)),INDEX(Table3[[#All],[STM]],MATCH(Table5[[#This Row],[PID]],Table3[[#All],[PID]],0)))</f>
        <v>6</v>
      </c>
      <c r="Q124" s="61">
        <f>IF($C124="B",INDEX(Batters[[#All],[Tot]],MATCH(Table5[[#This Row],[PID]],Batters[[#All],[PID]],0)),INDEX(Table3[[#All],[Tot]],MATCH(Table5[[#This Row],[PID]],Table3[[#All],[PID]],0)))</f>
        <v>52.219795368190731</v>
      </c>
      <c r="R124" s="52">
        <f>IF($C124="B",INDEX(Batters[[#All],[zScore]],MATCH(Table5[[#This Row],[PID]],Batters[[#All],[PID]],0)),INDEX(Table3[[#All],[zScore]],MATCH(Table5[[#This Row],[PID]],Table3[[#All],[PID]],0)))</f>
        <v>1.3139034474356723</v>
      </c>
      <c r="S124" s="58" t="str">
        <f>IF($C124="B",INDEX(Batters[[#All],[DEM]],MATCH(Table5[[#This Row],[PID]],Batters[[#All],[PID]],0)),INDEX(Table3[[#All],[DEM]],MATCH(Table5[[#This Row],[PID]],Table3[[#All],[PID]],0)))</f>
        <v>$190k</v>
      </c>
      <c r="T124" s="62">
        <f>IF($C124="B",INDEX(Batters[[#All],[Rnk]],MATCH(Table5[[#This Row],[PID]],Batters[[#All],[PID]],0)),INDEX(Table3[[#All],[Rnk]],MATCH(Table5[[#This Row],[PID]],Table3[[#All],[PID]],0)))</f>
        <v>7</v>
      </c>
      <c r="U124" s="67">
        <f>IF($C124="B",VLOOKUP($A124,Bat!$A$4:$BA$1314,47,FALSE),VLOOKUP($A124,Pit!$A$4:$BF$1214,56,FALSE))</f>
        <v>60</v>
      </c>
      <c r="V124" s="50">
        <f>IF($C124="B",VLOOKUP($A124,Bat!$A$4:$BA$1314,48,FALSE),VLOOKUP($A124,Pit!$A$4:$BF$1214,57,FALSE))</f>
        <v>60</v>
      </c>
      <c r="W124" s="68">
        <v>120</v>
      </c>
      <c r="X124" s="51">
        <f>RANK(Table5[[#This Row],[zScore]],Table5[[#All],[zScore]])</f>
        <v>93</v>
      </c>
      <c r="Y124" s="50">
        <f>IFERROR(INDEX(DraftResults[[#All],[OVR]],MATCH(Table5[[#This Row],[PID]],DraftResults[[#All],[Player ID]],0)),"")</f>
        <v>67</v>
      </c>
      <c r="Z124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2</v>
      </c>
      <c r="AA124" s="50">
        <f>IFERROR(INDEX(DraftResults[[#All],[Pick in Round]],MATCH(Table5[[#This Row],[PID]],DraftResults[[#All],[Player ID]],0)),"")</f>
        <v>31</v>
      </c>
      <c r="AB124" s="50" t="str">
        <f>IFERROR(INDEX(DraftResults[[#All],[Team Name]],MATCH(Table5[[#This Row],[PID]],DraftResults[[#All],[Player ID]],0)),"")</f>
        <v>Havana Leones</v>
      </c>
      <c r="AC124" s="50">
        <f>IF(Table5[[#This Row],[Ovr]]="","",IF(Table5[[#This Row],[cmbList]]="","",Table5[[#This Row],[cmbList]]-Table5[[#This Row],[Ovr]]))</f>
        <v>53</v>
      </c>
      <c r="AD124" s="54" t="str">
        <f>IF(ISERROR(VLOOKUP($AB124&amp;"-"&amp;$E124&amp;" "&amp;F124,Bonuses!$B$1:$G$1006,4,FALSE)),"",INT(VLOOKUP($AB124&amp;"-"&amp;$E124&amp;" "&amp;$F124,Bonuses!$B$1:$G$1006,4,FALSE)))</f>
        <v/>
      </c>
      <c r="AE124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2.31 (67) - 1B Masafumi Sakai</v>
      </c>
    </row>
    <row r="125" spans="1:31" s="50" customFormat="1" x14ac:dyDescent="0.3">
      <c r="A125" s="67">
        <v>12982</v>
      </c>
      <c r="B125" s="68">
        <f>COUNTIF(Table5[PID],A125)</f>
        <v>1</v>
      </c>
      <c r="C125" s="68" t="str">
        <f>IF(COUNTIF(Table3[[#All],[PID]],A125)&gt;0,"P","B")</f>
        <v>B</v>
      </c>
      <c r="D125" s="59" t="str">
        <f>IF($C125="B",INDEX(Batters[[#All],[POS]],MATCH(Table5[[#This Row],[PID]],Batters[[#All],[PID]],0)),INDEX(Table3[[#All],[POS]],MATCH(Table5[[#This Row],[PID]],Table3[[#All],[PID]],0)))</f>
        <v>CF</v>
      </c>
      <c r="E125" s="52" t="str">
        <f>IF($C125="B",INDEX(Batters[[#All],[First]],MATCH(Table5[[#This Row],[PID]],Batters[[#All],[PID]],0)),INDEX(Table3[[#All],[First]],MATCH(Table5[[#This Row],[PID]],Table3[[#All],[PID]],0)))</f>
        <v>Vicente</v>
      </c>
      <c r="F125" s="55" t="str">
        <f>IF($C125="B",INDEX(Batters[[#All],[Last]],MATCH(A125,Batters[[#All],[PID]],0)),INDEX(Table3[[#All],[Last]],MATCH(A125,Table3[[#All],[PID]],0)))</f>
        <v>Cortés</v>
      </c>
      <c r="G125" s="56">
        <f>IF($C125="B",INDEX(Batters[[#All],[Age]],MATCH(Table5[[#This Row],[PID]],Batters[[#All],[PID]],0)),INDEX(Table3[[#All],[Age]],MATCH(Table5[[#This Row],[PID]],Table3[[#All],[PID]],0)))</f>
        <v>17</v>
      </c>
      <c r="H125" s="52" t="str">
        <f>IF($C125="B",INDEX(Batters[[#All],[B]],MATCH(Table5[[#This Row],[PID]],Batters[[#All],[PID]],0)),INDEX(Table3[[#All],[B]],MATCH(Table5[[#This Row],[PID]],Table3[[#All],[PID]],0)))</f>
        <v>R</v>
      </c>
      <c r="I125" s="52" t="str">
        <f>IF($C125="B",INDEX(Batters[[#All],[T]],MATCH(Table5[[#This Row],[PID]],Batters[[#All],[PID]],0)),INDEX(Table3[[#All],[T]],MATCH(Table5[[#This Row],[PID]],Table3[[#All],[PID]],0)))</f>
        <v>R</v>
      </c>
      <c r="J125" s="69" t="str">
        <f>IF($C125="B",INDEX(Batters[[#All],[WE]],MATCH(Table5[[#This Row],[PID]],Batters[[#All],[PID]],0)),INDEX(Table3[[#All],[WE]],MATCH(Table5[[#This Row],[PID]],Table3[[#All],[PID]],0)))</f>
        <v>Low</v>
      </c>
      <c r="K125" s="52" t="str">
        <f>IF($C125="B",INDEX(Batters[[#All],[INT]],MATCH(Table5[[#This Row],[PID]],Batters[[#All],[PID]],0)),INDEX(Table3[[#All],[INT]],MATCH(Table5[[#This Row],[PID]],Table3[[#All],[PID]],0)))</f>
        <v>Normal</v>
      </c>
      <c r="L125" s="60">
        <f>IF($C125="B",INDEX(Batters[[#All],[CON P]],MATCH(Table5[[#This Row],[PID]],Batters[[#All],[PID]],0)),INDEX(Table3[[#All],[STU P]],MATCH(Table5[[#This Row],[PID]],Table3[[#All],[PID]],0)))</f>
        <v>4</v>
      </c>
      <c r="M125" s="70">
        <f>IF($C125="B",INDEX(Batters[[#All],[GAP P]],MATCH(Table5[[#This Row],[PID]],Batters[[#All],[PID]],0)),INDEX(Table3[[#All],[MOV P]],MATCH(Table5[[#This Row],[PID]],Table3[[#All],[PID]],0)))</f>
        <v>6</v>
      </c>
      <c r="N125" s="70">
        <f>IF($C125="B",INDEX(Batters[[#All],[POW P]],MATCH(Table5[[#This Row],[PID]],Batters[[#All],[PID]],0)),INDEX(Table3[[#All],[CON P]],MATCH(Table5[[#This Row],[PID]],Table3[[#All],[PID]],0)))</f>
        <v>3</v>
      </c>
      <c r="O125" s="70">
        <f>IF($C125="B",INDEX(Batters[[#All],[EYE P]],MATCH(Table5[[#This Row],[PID]],Batters[[#All],[PID]],0)),INDEX(Table3[[#All],[VELO]],MATCH(Table5[[#This Row],[PID]],Table3[[#All],[PID]],0)))</f>
        <v>6</v>
      </c>
      <c r="P125" s="56">
        <f>IF($C125="B",INDEX(Batters[[#All],[K P]],MATCH(Table5[[#This Row],[PID]],Batters[[#All],[PID]],0)),INDEX(Table3[[#All],[STM]],MATCH(Table5[[#This Row],[PID]],Table3[[#All],[PID]],0)))</f>
        <v>5</v>
      </c>
      <c r="Q125" s="61">
        <f>IF($C125="B",INDEX(Batters[[#All],[Tot]],MATCH(Table5[[#This Row],[PID]],Batters[[#All],[PID]],0)),INDEX(Table3[[#All],[Tot]],MATCH(Table5[[#This Row],[PID]],Table3[[#All],[PID]],0)))</f>
        <v>48.542369789450234</v>
      </c>
      <c r="R125" s="52">
        <f>IF($C125="B",INDEX(Batters[[#All],[zScore]],MATCH(Table5[[#This Row],[PID]],Batters[[#All],[PID]],0)),INDEX(Table3[[#All],[zScore]],MATCH(Table5[[#This Row],[PID]],Table3[[#All],[PID]],0)))</f>
        <v>0.77711658733883826</v>
      </c>
      <c r="S125" s="75" t="str">
        <f>IF($C125="B",INDEX(Batters[[#All],[DEM]],MATCH(Table5[[#This Row],[PID]],Batters[[#All],[PID]],0)),INDEX(Table3[[#All],[DEM]],MATCH(Table5[[#This Row],[PID]],Table3[[#All],[PID]],0)))</f>
        <v>$240k</v>
      </c>
      <c r="T125" s="72">
        <f>IF($C125="B",INDEX(Batters[[#All],[Rnk]],MATCH(Table5[[#This Row],[PID]],Batters[[#All],[PID]],0)),INDEX(Table3[[#All],[Rnk]],MATCH(Table5[[#This Row],[PID]],Table3[[#All],[PID]],0)))</f>
        <v>6</v>
      </c>
      <c r="U125" s="67">
        <f>IF($C125="B",VLOOKUP($A125,Bat!$A$4:$BA$1314,47,FALSE),VLOOKUP($A125,Pit!$A$4:$BF$1214,56,FALSE))</f>
        <v>61</v>
      </c>
      <c r="V125" s="50">
        <f>IF($C125="B",VLOOKUP($A125,Bat!$A$4:$BA$1314,48,FALSE),VLOOKUP($A125,Pit!$A$4:$BF$1214,57,FALSE))</f>
        <v>61</v>
      </c>
      <c r="W125" s="50">
        <v>121</v>
      </c>
      <c r="X125" s="71">
        <f>RANK(Table5[[#This Row],[zScore]],Table5[[#All],[zScore]])</f>
        <v>172</v>
      </c>
      <c r="Y125" s="68">
        <f>IFERROR(INDEX(DraftResults[[#All],[OVR]],MATCH(Table5[[#This Row],[PID]],DraftResults[[#All],[Player ID]],0)),"")</f>
        <v>211</v>
      </c>
      <c r="Z125" s="7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7</v>
      </c>
      <c r="AA125" s="68">
        <f>IFERROR(INDEX(DraftResults[[#All],[Pick in Round]],MATCH(Table5[[#This Row],[PID]],DraftResults[[#All],[Player ID]],0)),"")</f>
        <v>10</v>
      </c>
      <c r="AB125" s="68" t="str">
        <f>IFERROR(INDEX(DraftResults[[#All],[Team Name]],MATCH(Table5[[#This Row],[PID]],DraftResults[[#All],[Player ID]],0)),"")</f>
        <v>London Underground</v>
      </c>
      <c r="AC125" s="68">
        <f>IF(Table5[[#This Row],[Ovr]]="","",IF(Table5[[#This Row],[cmbList]]="","",Table5[[#This Row],[cmbList]]-Table5[[#This Row],[Ovr]]))</f>
        <v>-90</v>
      </c>
      <c r="AD125" s="74" t="str">
        <f>IF(ISERROR(VLOOKUP($AB125&amp;"-"&amp;$E125&amp;" "&amp;F125,Bonuses!$B$1:$G$1006,4,FALSE)),"",INT(VLOOKUP($AB125&amp;"-"&amp;$E125&amp;" "&amp;$F125,Bonuses!$B$1:$G$1006,4,FALSE)))</f>
        <v/>
      </c>
      <c r="AE125" s="68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7.10 (211) - CF Vicente Cortés</v>
      </c>
    </row>
    <row r="126" spans="1:31" s="50" customFormat="1" x14ac:dyDescent="0.3">
      <c r="A126" s="50">
        <v>9776</v>
      </c>
      <c r="B126" s="50">
        <f>COUNTIF(Table5[PID],A126)</f>
        <v>1</v>
      </c>
      <c r="C126" s="50" t="str">
        <f>IF(COUNTIF(Table3[[#All],[PID]],A126)&gt;0,"P","B")</f>
        <v>B</v>
      </c>
      <c r="D126" s="59" t="str">
        <f>IF($C126="B",INDEX(Batters[[#All],[POS]],MATCH(Table5[[#This Row],[PID]],Batters[[#All],[PID]],0)),INDEX(Table3[[#All],[POS]],MATCH(Table5[[#This Row],[PID]],Table3[[#All],[PID]],0)))</f>
        <v>LF</v>
      </c>
      <c r="E126" s="52" t="str">
        <f>IF($C126="B",INDEX(Batters[[#All],[First]],MATCH(Table5[[#This Row],[PID]],Batters[[#All],[PID]],0)),INDEX(Table3[[#All],[First]],MATCH(Table5[[#This Row],[PID]],Table3[[#All],[PID]],0)))</f>
        <v>Michael</v>
      </c>
      <c r="F126" s="50" t="str">
        <f>IF($C126="B",INDEX(Batters[[#All],[Last]],MATCH(A126,Batters[[#All],[PID]],0)),INDEX(Table3[[#All],[Last]],MATCH(A126,Table3[[#All],[PID]],0)))</f>
        <v>Eubank</v>
      </c>
      <c r="G126" s="56">
        <f>IF($C126="B",INDEX(Batters[[#All],[Age]],MATCH(Table5[[#This Row],[PID]],Batters[[#All],[PID]],0)),INDEX(Table3[[#All],[Age]],MATCH(Table5[[#This Row],[PID]],Table3[[#All],[PID]],0)))</f>
        <v>17</v>
      </c>
      <c r="H126" s="52" t="str">
        <f>IF($C126="B",INDEX(Batters[[#All],[B]],MATCH(Table5[[#This Row],[PID]],Batters[[#All],[PID]],0)),INDEX(Table3[[#All],[B]],MATCH(Table5[[#This Row],[PID]],Table3[[#All],[PID]],0)))</f>
        <v>R</v>
      </c>
      <c r="I126" s="52" t="str">
        <f>IF($C126="B",INDEX(Batters[[#All],[T]],MATCH(Table5[[#This Row],[PID]],Batters[[#All],[PID]],0)),INDEX(Table3[[#All],[T]],MATCH(Table5[[#This Row],[PID]],Table3[[#All],[PID]],0)))</f>
        <v>R</v>
      </c>
      <c r="J126" s="52" t="str">
        <f>IF($C126="B",INDEX(Batters[[#All],[WE]],MATCH(Table5[[#This Row],[PID]],Batters[[#All],[PID]],0)),INDEX(Table3[[#All],[WE]],MATCH(Table5[[#This Row],[PID]],Table3[[#All],[PID]],0)))</f>
        <v>Normal</v>
      </c>
      <c r="K126" s="52" t="str">
        <f>IF($C126="B",INDEX(Batters[[#All],[INT]],MATCH(Table5[[#This Row],[PID]],Batters[[#All],[PID]],0)),INDEX(Table3[[#All],[INT]],MATCH(Table5[[#This Row],[PID]],Table3[[#All],[PID]],0)))</f>
        <v>Low</v>
      </c>
      <c r="L126" s="60">
        <f>IF($C126="B",INDEX(Batters[[#All],[CON P]],MATCH(Table5[[#This Row],[PID]],Batters[[#All],[PID]],0)),INDEX(Table3[[#All],[STU P]],MATCH(Table5[[#This Row],[PID]],Table3[[#All],[PID]],0)))</f>
        <v>4</v>
      </c>
      <c r="M126" s="56">
        <f>IF($C126="B",INDEX(Batters[[#All],[GAP P]],MATCH(Table5[[#This Row],[PID]],Batters[[#All],[PID]],0)),INDEX(Table3[[#All],[MOV P]],MATCH(Table5[[#This Row],[PID]],Table3[[#All],[PID]],0)))</f>
        <v>8</v>
      </c>
      <c r="N126" s="56">
        <f>IF($C126="B",INDEX(Batters[[#All],[POW P]],MATCH(Table5[[#This Row],[PID]],Batters[[#All],[PID]],0)),INDEX(Table3[[#All],[CON P]],MATCH(Table5[[#This Row],[PID]],Table3[[#All],[PID]],0)))</f>
        <v>9</v>
      </c>
      <c r="O126" s="56">
        <f>IF($C126="B",INDEX(Batters[[#All],[EYE P]],MATCH(Table5[[#This Row],[PID]],Batters[[#All],[PID]],0)),INDEX(Table3[[#All],[VELO]],MATCH(Table5[[#This Row],[PID]],Table3[[#All],[PID]],0)))</f>
        <v>6</v>
      </c>
      <c r="P126" s="56">
        <f>IF($C126="B",INDEX(Batters[[#All],[K P]],MATCH(Table5[[#This Row],[PID]],Batters[[#All],[PID]],0)),INDEX(Table3[[#All],[STM]],MATCH(Table5[[#This Row],[PID]],Table3[[#All],[PID]],0)))</f>
        <v>3</v>
      </c>
      <c r="Q126" s="61">
        <f>IF($C126="B",INDEX(Batters[[#All],[Tot]],MATCH(Table5[[#This Row],[PID]],Batters[[#All],[PID]],0)),INDEX(Table3[[#All],[Tot]],MATCH(Table5[[#This Row],[PID]],Table3[[#All],[PID]],0)))</f>
        <v>54.787787946548136</v>
      </c>
      <c r="R126" s="52">
        <f>IF($C126="B",INDEX(Batters[[#All],[zScore]],MATCH(Table5[[#This Row],[PID]],Batters[[#All],[PID]],0)),INDEX(Table3[[#All],[zScore]],MATCH(Table5[[#This Row],[PID]],Table3[[#All],[PID]],0)))</f>
        <v>1.6887484696864183</v>
      </c>
      <c r="S126" s="58" t="str">
        <f>IF($C126="B",INDEX(Batters[[#All],[DEM]],MATCH(Table5[[#This Row],[PID]],Batters[[#All],[PID]],0)),INDEX(Table3[[#All],[DEM]],MATCH(Table5[[#This Row],[PID]],Table3[[#All],[PID]],0)))</f>
        <v>$600k</v>
      </c>
      <c r="T126" s="62">
        <f>IF($C126="B",INDEX(Batters[[#All],[Rnk]],MATCH(Table5[[#This Row],[PID]],Batters[[#All],[PID]],0)),INDEX(Table3[[#All],[Rnk]],MATCH(Table5[[#This Row],[PID]],Table3[[#All],[PID]],0)))</f>
        <v>8</v>
      </c>
      <c r="U126" s="67">
        <f>IF($C126="B",VLOOKUP($A126,Bat!$A$4:$BA$1314,47,FALSE),VLOOKUP($A126,Pit!$A$4:$BF$1214,56,FALSE))</f>
        <v>62</v>
      </c>
      <c r="V126" s="50">
        <f>IF($C126="B",VLOOKUP($A126,Bat!$A$4:$BA$1314,48,FALSE),VLOOKUP($A126,Pit!$A$4:$BF$1214,57,FALSE))</f>
        <v>62</v>
      </c>
      <c r="W126" s="68">
        <v>122</v>
      </c>
      <c r="X126" s="51">
        <f>RANK(Table5[[#This Row],[zScore]],Table5[[#All],[zScore]])</f>
        <v>59</v>
      </c>
      <c r="Y126" s="50">
        <f>IFERROR(INDEX(DraftResults[[#All],[OVR]],MATCH(Table5[[#This Row],[PID]],DraftResults[[#All],[Player ID]],0)),"")</f>
        <v>103</v>
      </c>
      <c r="Z126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3</v>
      </c>
      <c r="AA126" s="50">
        <f>IFERROR(INDEX(DraftResults[[#All],[Pick in Round]],MATCH(Table5[[#This Row],[PID]],DraftResults[[#All],[Player ID]],0)),"")</f>
        <v>31</v>
      </c>
      <c r="AB126" s="50" t="str">
        <f>IFERROR(INDEX(DraftResults[[#All],[Team Name]],MATCH(Table5[[#This Row],[PID]],DraftResults[[#All],[Player ID]],0)),"")</f>
        <v>Toyama Wind Dancers</v>
      </c>
      <c r="AC126" s="50">
        <f>IF(Table5[[#This Row],[Ovr]]="","",IF(Table5[[#This Row],[cmbList]]="","",Table5[[#This Row],[cmbList]]-Table5[[#This Row],[Ovr]]))</f>
        <v>19</v>
      </c>
      <c r="AD126" s="54" t="str">
        <f>IF(ISERROR(VLOOKUP($AB126&amp;"-"&amp;$E126&amp;" "&amp;F126,Bonuses!$B$1:$G$1006,4,FALSE)),"",INT(VLOOKUP($AB126&amp;"-"&amp;$E126&amp;" "&amp;$F126,Bonuses!$B$1:$G$1006,4,FALSE)))</f>
        <v/>
      </c>
      <c r="AE126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3.31 (103) - LF Michael Eubank</v>
      </c>
    </row>
    <row r="127" spans="1:31" s="50" customFormat="1" x14ac:dyDescent="0.3">
      <c r="A127" s="50">
        <v>10222</v>
      </c>
      <c r="B127" s="50">
        <f>COUNTIF(Table5[PID],A127)</f>
        <v>1</v>
      </c>
      <c r="C127" s="50" t="str">
        <f>IF(COUNTIF(Table3[[#All],[PID]],A127)&gt;0,"P","B")</f>
        <v>B</v>
      </c>
      <c r="D127" s="59" t="str">
        <f>IF($C127="B",INDEX(Batters[[#All],[POS]],MATCH(Table5[[#This Row],[PID]],Batters[[#All],[PID]],0)),INDEX(Table3[[#All],[POS]],MATCH(Table5[[#This Row],[PID]],Table3[[#All],[PID]],0)))</f>
        <v>RF</v>
      </c>
      <c r="E127" s="52" t="str">
        <f>IF($C127="B",INDEX(Batters[[#All],[First]],MATCH(Table5[[#This Row],[PID]],Batters[[#All],[PID]],0)),INDEX(Table3[[#All],[First]],MATCH(Table5[[#This Row],[PID]],Table3[[#All],[PID]],0)))</f>
        <v>Shawn</v>
      </c>
      <c r="F127" s="50" t="str">
        <f>IF($C127="B",INDEX(Batters[[#All],[Last]],MATCH(A127,Batters[[#All],[PID]],0)),INDEX(Table3[[#All],[Last]],MATCH(A127,Table3[[#All],[PID]],0)))</f>
        <v>Bailey</v>
      </c>
      <c r="G127" s="56">
        <f>IF($C127="B",INDEX(Batters[[#All],[Age]],MATCH(Table5[[#This Row],[PID]],Batters[[#All],[PID]],0)),INDEX(Table3[[#All],[Age]],MATCH(Table5[[#This Row],[PID]],Table3[[#All],[PID]],0)))</f>
        <v>17</v>
      </c>
      <c r="H127" s="52" t="str">
        <f>IF($C127="B",INDEX(Batters[[#All],[B]],MATCH(Table5[[#This Row],[PID]],Batters[[#All],[PID]],0)),INDEX(Table3[[#All],[B]],MATCH(Table5[[#This Row],[PID]],Table3[[#All],[PID]],0)))</f>
        <v>R</v>
      </c>
      <c r="I127" s="52" t="str">
        <f>IF($C127="B",INDEX(Batters[[#All],[T]],MATCH(Table5[[#This Row],[PID]],Batters[[#All],[PID]],0)),INDEX(Table3[[#All],[T]],MATCH(Table5[[#This Row],[PID]],Table3[[#All],[PID]],0)))</f>
        <v>R</v>
      </c>
      <c r="J127" s="52" t="str">
        <f>IF($C127="B",INDEX(Batters[[#All],[WE]],MATCH(Table5[[#This Row],[PID]],Batters[[#All],[PID]],0)),INDEX(Table3[[#All],[WE]],MATCH(Table5[[#This Row],[PID]],Table3[[#All],[PID]],0)))</f>
        <v>Normal</v>
      </c>
      <c r="K127" s="52" t="str">
        <f>IF($C127="B",INDEX(Batters[[#All],[INT]],MATCH(Table5[[#This Row],[PID]],Batters[[#All],[PID]],0)),INDEX(Table3[[#All],[INT]],MATCH(Table5[[#This Row],[PID]],Table3[[#All],[PID]],0)))</f>
        <v>Normal</v>
      </c>
      <c r="L127" s="60">
        <f>IF($C127="B",INDEX(Batters[[#All],[CON P]],MATCH(Table5[[#This Row],[PID]],Batters[[#All],[PID]],0)),INDEX(Table3[[#All],[STU P]],MATCH(Table5[[#This Row],[PID]],Table3[[#All],[PID]],0)))</f>
        <v>4</v>
      </c>
      <c r="M127" s="56">
        <f>IF($C127="B",INDEX(Batters[[#All],[GAP P]],MATCH(Table5[[#This Row],[PID]],Batters[[#All],[PID]],0)),INDEX(Table3[[#All],[MOV P]],MATCH(Table5[[#This Row],[PID]],Table3[[#All],[PID]],0)))</f>
        <v>6</v>
      </c>
      <c r="N127" s="56">
        <f>IF($C127="B",INDEX(Batters[[#All],[POW P]],MATCH(Table5[[#This Row],[PID]],Batters[[#All],[PID]],0)),INDEX(Table3[[#All],[CON P]],MATCH(Table5[[#This Row],[PID]],Table3[[#All],[PID]],0)))</f>
        <v>6</v>
      </c>
      <c r="O127" s="56">
        <f>IF($C127="B",INDEX(Batters[[#All],[EYE P]],MATCH(Table5[[#This Row],[PID]],Batters[[#All],[PID]],0)),INDEX(Table3[[#All],[VELO]],MATCH(Table5[[#This Row],[PID]],Table3[[#All],[PID]],0)))</f>
        <v>6</v>
      </c>
      <c r="P127" s="56">
        <f>IF($C127="B",INDEX(Batters[[#All],[K P]],MATCH(Table5[[#This Row],[PID]],Batters[[#All],[PID]],0)),INDEX(Table3[[#All],[STM]],MATCH(Table5[[#This Row],[PID]],Table3[[#All],[PID]],0)))</f>
        <v>4</v>
      </c>
      <c r="Q127" s="61">
        <f>IF($C127="B",INDEX(Batters[[#All],[Tot]],MATCH(Table5[[#This Row],[PID]],Batters[[#All],[PID]],0)),INDEX(Table3[[#All],[Tot]],MATCH(Table5[[#This Row],[PID]],Table3[[#All],[PID]],0)))</f>
        <v>51.698332074325933</v>
      </c>
      <c r="R127" s="52">
        <f>IF($C127="B",INDEX(Batters[[#All],[zScore]],MATCH(Table5[[#This Row],[PID]],Batters[[#All],[PID]],0)),INDEX(Table3[[#All],[zScore]],MATCH(Table5[[#This Row],[PID]],Table3[[#All],[PID]],0)))</f>
        <v>1.2377864361798505</v>
      </c>
      <c r="S127" s="58" t="str">
        <f>IF($C127="B",INDEX(Batters[[#All],[DEM]],MATCH(Table5[[#This Row],[PID]],Batters[[#All],[PID]],0)),INDEX(Table3[[#All],[DEM]],MATCH(Table5[[#This Row],[PID]],Table3[[#All],[PID]],0)))</f>
        <v>$200k</v>
      </c>
      <c r="T127" s="62">
        <f>IF($C127="B",INDEX(Batters[[#All],[Rnk]],MATCH(Table5[[#This Row],[PID]],Batters[[#All],[PID]],0)),INDEX(Table3[[#All],[Rnk]],MATCH(Table5[[#This Row],[PID]],Table3[[#All],[PID]],0)))</f>
        <v>8</v>
      </c>
      <c r="U127" s="67">
        <f>IF($C127="B",VLOOKUP($A127,Bat!$A$4:$BA$1314,47,FALSE),VLOOKUP($A127,Pit!$A$4:$BF$1214,56,FALSE))</f>
        <v>63</v>
      </c>
      <c r="V127" s="50">
        <f>IF($C127="B",VLOOKUP($A127,Bat!$A$4:$BA$1314,48,FALSE),VLOOKUP($A127,Pit!$A$4:$BF$1214,57,FALSE))</f>
        <v>63</v>
      </c>
      <c r="W127" s="50">
        <v>123</v>
      </c>
      <c r="X127" s="51">
        <f>RANK(Table5[[#This Row],[zScore]],Table5[[#All],[zScore]])</f>
        <v>112</v>
      </c>
      <c r="Y127" s="50">
        <f>IFERROR(INDEX(DraftResults[[#All],[OVR]],MATCH(Table5[[#This Row],[PID]],DraftResults[[#All],[Player ID]],0)),"")</f>
        <v>118</v>
      </c>
      <c r="Z127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4</v>
      </c>
      <c r="AA127" s="50">
        <f>IFERROR(INDEX(DraftResults[[#All],[Pick in Round]],MATCH(Table5[[#This Row],[PID]],DraftResults[[#All],[Player ID]],0)),"")</f>
        <v>13</v>
      </c>
      <c r="AB127" s="50" t="str">
        <f>IFERROR(INDEX(DraftResults[[#All],[Team Name]],MATCH(Table5[[#This Row],[PID]],DraftResults[[#All],[Player ID]],0)),"")</f>
        <v>Scottish Claymores</v>
      </c>
      <c r="AC127" s="50">
        <f>IF(Table5[[#This Row],[Ovr]]="","",IF(Table5[[#This Row],[cmbList]]="","",Table5[[#This Row],[cmbList]]-Table5[[#This Row],[Ovr]]))</f>
        <v>5</v>
      </c>
      <c r="AD127" s="54" t="str">
        <f>IF(ISERROR(VLOOKUP($AB127&amp;"-"&amp;$E127&amp;" "&amp;F127,Bonuses!$B$1:$G$1006,4,FALSE)),"",INT(VLOOKUP($AB127&amp;"-"&amp;$E127&amp;" "&amp;$F127,Bonuses!$B$1:$G$1006,4,FALSE)))</f>
        <v/>
      </c>
      <c r="AE127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4.13 (118) - RF Shawn Bailey</v>
      </c>
    </row>
    <row r="128" spans="1:31" s="50" customFormat="1" x14ac:dyDescent="0.3">
      <c r="A128" s="67">
        <v>20394</v>
      </c>
      <c r="B128" s="68">
        <f>COUNTIF(Table5[PID],A128)</f>
        <v>1</v>
      </c>
      <c r="C128" s="68" t="str">
        <f>IF(COUNTIF(Table3[[#All],[PID]],A128)&gt;0,"P","B")</f>
        <v>B</v>
      </c>
      <c r="D128" s="59" t="str">
        <f>IF($C128="B",INDEX(Batters[[#All],[POS]],MATCH(Table5[[#This Row],[PID]],Batters[[#All],[PID]],0)),INDEX(Table3[[#All],[POS]],MATCH(Table5[[#This Row],[PID]],Table3[[#All],[PID]],0)))</f>
        <v>1B</v>
      </c>
      <c r="E128" s="52" t="str">
        <f>IF($C128="B",INDEX(Batters[[#All],[First]],MATCH(Table5[[#This Row],[PID]],Batters[[#All],[PID]],0)),INDEX(Table3[[#All],[First]],MATCH(Table5[[#This Row],[PID]],Table3[[#All],[PID]],0)))</f>
        <v>Canice</v>
      </c>
      <c r="F128" s="55" t="str">
        <f>IF($C128="B",INDEX(Batters[[#All],[Last]],MATCH(A128,Batters[[#All],[PID]],0)),INDEX(Table3[[#All],[Last]],MATCH(A128,Table3[[#All],[PID]],0)))</f>
        <v>Empson</v>
      </c>
      <c r="G128" s="56">
        <f>IF($C128="B",INDEX(Batters[[#All],[Age]],MATCH(Table5[[#This Row],[PID]],Batters[[#All],[PID]],0)),INDEX(Table3[[#All],[Age]],MATCH(Table5[[#This Row],[PID]],Table3[[#All],[PID]],0)))</f>
        <v>16</v>
      </c>
      <c r="H128" s="52" t="str">
        <f>IF($C128="B",INDEX(Batters[[#All],[B]],MATCH(Table5[[#This Row],[PID]],Batters[[#All],[PID]],0)),INDEX(Table3[[#All],[B]],MATCH(Table5[[#This Row],[PID]],Table3[[#All],[PID]],0)))</f>
        <v>S</v>
      </c>
      <c r="I128" s="52" t="str">
        <f>IF($C128="B",INDEX(Batters[[#All],[T]],MATCH(Table5[[#This Row],[PID]],Batters[[#All],[PID]],0)),INDEX(Table3[[#All],[T]],MATCH(Table5[[#This Row],[PID]],Table3[[#All],[PID]],0)))</f>
        <v>R</v>
      </c>
      <c r="J128" s="69" t="str">
        <f>IF($C128="B",INDEX(Batters[[#All],[WE]],MATCH(Table5[[#This Row],[PID]],Batters[[#All],[PID]],0)),INDEX(Table3[[#All],[WE]],MATCH(Table5[[#This Row],[PID]],Table3[[#All],[PID]],0)))</f>
        <v>Normal</v>
      </c>
      <c r="K128" s="52" t="str">
        <f>IF($C128="B",INDEX(Batters[[#All],[INT]],MATCH(Table5[[#This Row],[PID]],Batters[[#All],[PID]],0)),INDEX(Table3[[#All],[INT]],MATCH(Table5[[#This Row],[PID]],Table3[[#All],[PID]],0)))</f>
        <v>Normal</v>
      </c>
      <c r="L128" s="60">
        <f>IF($C128="B",INDEX(Batters[[#All],[CON P]],MATCH(Table5[[#This Row],[PID]],Batters[[#All],[PID]],0)),INDEX(Table3[[#All],[STU P]],MATCH(Table5[[#This Row],[PID]],Table3[[#All],[PID]],0)))</f>
        <v>3</v>
      </c>
      <c r="M128" s="70">
        <f>IF($C128="B",INDEX(Batters[[#All],[GAP P]],MATCH(Table5[[#This Row],[PID]],Batters[[#All],[PID]],0)),INDEX(Table3[[#All],[MOV P]],MATCH(Table5[[#This Row],[PID]],Table3[[#All],[PID]],0)))</f>
        <v>8</v>
      </c>
      <c r="N128" s="70">
        <f>IF($C128="B",INDEX(Batters[[#All],[POW P]],MATCH(Table5[[#This Row],[PID]],Batters[[#All],[PID]],0)),INDEX(Table3[[#All],[CON P]],MATCH(Table5[[#This Row],[PID]],Table3[[#All],[PID]],0)))</f>
        <v>7</v>
      </c>
      <c r="O128" s="70">
        <f>IF($C128="B",INDEX(Batters[[#All],[EYE P]],MATCH(Table5[[#This Row],[PID]],Batters[[#All],[PID]],0)),INDEX(Table3[[#All],[VELO]],MATCH(Table5[[#This Row],[PID]],Table3[[#All],[PID]],0)))</f>
        <v>6</v>
      </c>
      <c r="P128" s="56">
        <f>IF($C128="B",INDEX(Batters[[#All],[K P]],MATCH(Table5[[#This Row],[PID]],Batters[[#All],[PID]],0)),INDEX(Table3[[#All],[STM]],MATCH(Table5[[#This Row],[PID]],Table3[[#All],[PID]],0)))</f>
        <v>3</v>
      </c>
      <c r="Q128" s="61">
        <f>IF($C128="B",INDEX(Batters[[#All],[Tot]],MATCH(Table5[[#This Row],[PID]],Batters[[#All],[PID]],0)),INDEX(Table3[[#All],[Tot]],MATCH(Table5[[#This Row],[PID]],Table3[[#All],[PID]],0)))</f>
        <v>49.21181042376962</v>
      </c>
      <c r="R128" s="52">
        <f>IF($C128="B",INDEX(Batters[[#All],[zScore]],MATCH(Table5[[#This Row],[PID]],Batters[[#All],[PID]],0)),INDEX(Table3[[#All],[zScore]],MATCH(Table5[[#This Row],[PID]],Table3[[#All],[PID]],0)))</f>
        <v>0.87483357125142935</v>
      </c>
      <c r="S128" s="75" t="str">
        <f>IF($C128="B",INDEX(Batters[[#All],[DEM]],MATCH(Table5[[#This Row],[PID]],Batters[[#All],[PID]],0)),INDEX(Table3[[#All],[DEM]],MATCH(Table5[[#This Row],[PID]],Table3[[#All],[PID]],0)))</f>
        <v>$200k</v>
      </c>
      <c r="T128" s="72">
        <f>IF($C128="B",INDEX(Batters[[#All],[Rnk]],MATCH(Table5[[#This Row],[PID]],Batters[[#All],[PID]],0)),INDEX(Table3[[#All],[Rnk]],MATCH(Table5[[#This Row],[PID]],Table3[[#All],[PID]],0)))</f>
        <v>8</v>
      </c>
      <c r="U128" s="67">
        <f>IF($C128="B",VLOOKUP($A128,Bat!$A$4:$BA$1314,47,FALSE),VLOOKUP($A128,Pit!$A$4:$BF$1214,56,FALSE))</f>
        <v>64</v>
      </c>
      <c r="V128" s="50">
        <f>IF($C128="B",VLOOKUP($A128,Bat!$A$4:$BA$1314,48,FALSE),VLOOKUP($A128,Pit!$A$4:$BF$1214,57,FALSE))</f>
        <v>64</v>
      </c>
      <c r="W128" s="68">
        <v>124</v>
      </c>
      <c r="X128" s="71">
        <f>RANK(Table5[[#This Row],[zScore]],Table5[[#All],[zScore]])</f>
        <v>160</v>
      </c>
      <c r="Y128" s="68">
        <f>IFERROR(INDEX(DraftResults[[#All],[OVR]],MATCH(Table5[[#This Row],[PID]],DraftResults[[#All],[Player ID]],0)),"")</f>
        <v>201</v>
      </c>
      <c r="Z128" s="7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6</v>
      </c>
      <c r="AA128" s="68">
        <f>IFERROR(INDEX(DraftResults[[#All],[Pick in Round]],MATCH(Table5[[#This Row],[PID]],DraftResults[[#All],[Player ID]],0)),"")</f>
        <v>32</v>
      </c>
      <c r="AB128" s="68" t="str">
        <f>IFERROR(INDEX(DraftResults[[#All],[Team Name]],MATCH(Table5[[#This Row],[PID]],DraftResults[[#All],[Player ID]],0)),"")</f>
        <v>Fargo Dinosaurs</v>
      </c>
      <c r="AC128" s="68">
        <f>IF(Table5[[#This Row],[Ovr]]="","",IF(Table5[[#This Row],[cmbList]]="","",Table5[[#This Row],[cmbList]]-Table5[[#This Row],[Ovr]]))</f>
        <v>-77</v>
      </c>
      <c r="AD128" s="74" t="str">
        <f>IF(ISERROR(VLOOKUP($AB128&amp;"-"&amp;$E128&amp;" "&amp;F128,Bonuses!$B$1:$G$1006,4,FALSE)),"",INT(VLOOKUP($AB128&amp;"-"&amp;$E128&amp;" "&amp;$F128,Bonuses!$B$1:$G$1006,4,FALSE)))</f>
        <v/>
      </c>
      <c r="AE128" s="68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6.32 (201) - 1B Canice Empson</v>
      </c>
    </row>
    <row r="129" spans="1:31" s="50" customFormat="1" x14ac:dyDescent="0.3">
      <c r="A129" s="50">
        <v>7728</v>
      </c>
      <c r="B129" s="50">
        <f>COUNTIF(Table5[PID],A129)</f>
        <v>1</v>
      </c>
      <c r="C129" s="50" t="str">
        <f>IF(COUNTIF(Table3[[#All],[PID]],A129)&gt;0,"P","B")</f>
        <v>P</v>
      </c>
      <c r="D129" s="59" t="str">
        <f>IF($C129="B",INDEX(Batters[[#All],[POS]],MATCH(Table5[[#This Row],[PID]],Batters[[#All],[PID]],0)),INDEX(Table3[[#All],[POS]],MATCH(Table5[[#This Row],[PID]],Table3[[#All],[PID]],0)))</f>
        <v>CL</v>
      </c>
      <c r="E129" s="52" t="str">
        <f>IF($C129="B",INDEX(Batters[[#All],[First]],MATCH(Table5[[#This Row],[PID]],Batters[[#All],[PID]],0)),INDEX(Table3[[#All],[First]],MATCH(Table5[[#This Row],[PID]],Table3[[#All],[PID]],0)))</f>
        <v>Greg</v>
      </c>
      <c r="F129" s="50" t="str">
        <f>IF($C129="B",INDEX(Batters[[#All],[Last]],MATCH(A129,Batters[[#All],[PID]],0)),INDEX(Table3[[#All],[Last]],MATCH(A129,Table3[[#All],[PID]],0)))</f>
        <v>MacDuffie</v>
      </c>
      <c r="G129" s="56">
        <f>IF($C129="B",INDEX(Batters[[#All],[Age]],MATCH(Table5[[#This Row],[PID]],Batters[[#All],[PID]],0)),INDEX(Table3[[#All],[Age]],MATCH(Table5[[#This Row],[PID]],Table3[[#All],[PID]],0)))</f>
        <v>21</v>
      </c>
      <c r="H129" s="52" t="str">
        <f>IF($C129="B",INDEX(Batters[[#All],[B]],MATCH(Table5[[#This Row],[PID]],Batters[[#All],[PID]],0)),INDEX(Table3[[#All],[B]],MATCH(Table5[[#This Row],[PID]],Table3[[#All],[PID]],0)))</f>
        <v>R</v>
      </c>
      <c r="I129" s="52" t="str">
        <f>IF($C129="B",INDEX(Batters[[#All],[T]],MATCH(Table5[[#This Row],[PID]],Batters[[#All],[PID]],0)),INDEX(Table3[[#All],[T]],MATCH(Table5[[#This Row],[PID]],Table3[[#All],[PID]],0)))</f>
        <v>L</v>
      </c>
      <c r="J129" s="52" t="str">
        <f>IF($C129="B",INDEX(Batters[[#All],[WE]],MATCH(Table5[[#This Row],[PID]],Batters[[#All],[PID]],0)),INDEX(Table3[[#All],[WE]],MATCH(Table5[[#This Row],[PID]],Table3[[#All],[PID]],0)))</f>
        <v>Normal</v>
      </c>
      <c r="K129" s="52" t="str">
        <f>IF($C129="B",INDEX(Batters[[#All],[INT]],MATCH(Table5[[#This Row],[PID]],Batters[[#All],[PID]],0)),INDEX(Table3[[#All],[INT]],MATCH(Table5[[#This Row],[PID]],Table3[[#All],[PID]],0)))</f>
        <v>Normal</v>
      </c>
      <c r="L129" s="60">
        <f>IF($C129="B",INDEX(Batters[[#All],[CON P]],MATCH(Table5[[#This Row],[PID]],Batters[[#All],[PID]],0)),INDEX(Table3[[#All],[STU P]],MATCH(Table5[[#This Row],[PID]],Table3[[#All],[PID]],0)))</f>
        <v>6</v>
      </c>
      <c r="M129" s="56">
        <f>IF($C129="B",INDEX(Batters[[#All],[GAP P]],MATCH(Table5[[#This Row],[PID]],Batters[[#All],[PID]],0)),INDEX(Table3[[#All],[MOV P]],MATCH(Table5[[#This Row],[PID]],Table3[[#All],[PID]],0)))</f>
        <v>5</v>
      </c>
      <c r="N129" s="56">
        <f>IF($C129="B",INDEX(Batters[[#All],[POW P]],MATCH(Table5[[#This Row],[PID]],Batters[[#All],[PID]],0)),INDEX(Table3[[#All],[CON P]],MATCH(Table5[[#This Row],[PID]],Table3[[#All],[PID]],0)))</f>
        <v>6</v>
      </c>
      <c r="O129" s="56" t="str">
        <f>IF($C129="B",INDEX(Batters[[#All],[EYE P]],MATCH(Table5[[#This Row],[PID]],Batters[[#All],[PID]],0)),INDEX(Table3[[#All],[VELO]],MATCH(Table5[[#This Row],[PID]],Table3[[#All],[PID]],0)))</f>
        <v>88-90 Mph</v>
      </c>
      <c r="P129" s="56">
        <f>IF($C129="B",INDEX(Batters[[#All],[K P]],MATCH(Table5[[#This Row],[PID]],Batters[[#All],[PID]],0)),INDEX(Table3[[#All],[STM]],MATCH(Table5[[#This Row],[PID]],Table3[[#All],[PID]],0)))</f>
        <v>8</v>
      </c>
      <c r="Q129" s="61">
        <f>IF($C129="B",INDEX(Batters[[#All],[Tot]],MATCH(Table5[[#This Row],[PID]],Batters[[#All],[PID]],0)),INDEX(Table3[[#All],[Tot]],MATCH(Table5[[#This Row],[PID]],Table3[[#All],[PID]],0)))</f>
        <v>64.899056726349087</v>
      </c>
      <c r="R129" s="52">
        <f>IF($C129="B",INDEX(Batters[[#All],[zScore]],MATCH(Table5[[#This Row],[PID]],Batters[[#All],[PID]],0)),INDEX(Table3[[#All],[zScore]],MATCH(Table5[[#This Row],[PID]],Table3[[#All],[PID]],0)))</f>
        <v>1.9294595245485746</v>
      </c>
      <c r="S129" s="58" t="str">
        <f>IF($C129="B",INDEX(Batters[[#All],[DEM]],MATCH(Table5[[#This Row],[PID]],Batters[[#All],[PID]],0)),INDEX(Table3[[#All],[DEM]],MATCH(Table5[[#This Row],[PID]],Table3[[#All],[PID]],0)))</f>
        <v>$100k</v>
      </c>
      <c r="T129" s="62">
        <f>IF($C129="B",INDEX(Batters[[#All],[Rnk]],MATCH(Table5[[#This Row],[PID]],Batters[[#All],[PID]],0)),INDEX(Table3[[#All],[Rnk]],MATCH(Table5[[#This Row],[PID]],Table3[[#All],[PID]],0)))</f>
        <v>900</v>
      </c>
      <c r="U129" s="67">
        <f>IF($C129="B",VLOOKUP($A129,Bat!$A$4:$BA$1314,47,FALSE),VLOOKUP($A129,Pit!$A$4:$BF$1214,56,FALSE))</f>
        <v>60</v>
      </c>
      <c r="V129" s="50">
        <f>IF($C129="B",VLOOKUP($A129,Bat!$A$4:$BA$1314,48,FALSE),VLOOKUP($A129,Pit!$A$4:$BF$1214,57,FALSE))</f>
        <v>0</v>
      </c>
      <c r="W129" s="50">
        <v>125</v>
      </c>
      <c r="X129" s="51">
        <f>RANK(Table5[[#This Row],[zScore]],Table5[[#All],[zScore]])</f>
        <v>44</v>
      </c>
      <c r="Y129" s="50">
        <f>IFERROR(INDEX(DraftResults[[#All],[OVR]],MATCH(Table5[[#This Row],[PID]],DraftResults[[#All],[Player ID]],0)),"")</f>
        <v>109</v>
      </c>
      <c r="Z129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4</v>
      </c>
      <c r="AA129" s="50">
        <f>IFERROR(INDEX(DraftResults[[#All],[Pick in Round]],MATCH(Table5[[#This Row],[PID]],DraftResults[[#All],[Player ID]],0)),"")</f>
        <v>4</v>
      </c>
      <c r="AB129" s="50" t="str">
        <f>IFERROR(INDEX(DraftResults[[#All],[Team Name]],MATCH(Table5[[#This Row],[PID]],DraftResults[[#All],[Player ID]],0)),"")</f>
        <v>Palm Springs Codgers</v>
      </c>
      <c r="AC129" s="50">
        <f>IF(Table5[[#This Row],[Ovr]]="","",IF(Table5[[#This Row],[cmbList]]="","",Table5[[#This Row],[cmbList]]-Table5[[#This Row],[Ovr]]))</f>
        <v>16</v>
      </c>
      <c r="AD129" s="54" t="str">
        <f>IF(ISERROR(VLOOKUP($AB129&amp;"-"&amp;$E129&amp;" "&amp;F129,Bonuses!$B$1:$G$1006,4,FALSE)),"",INT(VLOOKUP($AB129&amp;"-"&amp;$E129&amp;" "&amp;$F129,Bonuses!$B$1:$G$1006,4,FALSE)))</f>
        <v/>
      </c>
      <c r="AE129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4.4 (109) - CL Greg MacDuffie</v>
      </c>
    </row>
    <row r="130" spans="1:31" s="50" customFormat="1" x14ac:dyDescent="0.3">
      <c r="A130" s="50">
        <v>14331</v>
      </c>
      <c r="B130" s="50">
        <f>COUNTIF(Table5[PID],A130)</f>
        <v>1</v>
      </c>
      <c r="C130" s="50" t="str">
        <f>IF(COUNTIF(Table3[[#All],[PID]],A130)&gt;0,"P","B")</f>
        <v>P</v>
      </c>
      <c r="D130" s="59" t="str">
        <f>IF($C130="B",INDEX(Batters[[#All],[POS]],MATCH(Table5[[#This Row],[PID]],Batters[[#All],[PID]],0)),INDEX(Table3[[#All],[POS]],MATCH(Table5[[#This Row],[PID]],Table3[[#All],[PID]],0)))</f>
        <v>SP</v>
      </c>
      <c r="E130" s="52" t="str">
        <f>IF($C130="B",INDEX(Batters[[#All],[First]],MATCH(Table5[[#This Row],[PID]],Batters[[#All],[PID]],0)),INDEX(Table3[[#All],[First]],MATCH(Table5[[#This Row],[PID]],Table3[[#All],[PID]],0)))</f>
        <v>Ricky</v>
      </c>
      <c r="F130" s="50" t="str">
        <f>IF($C130="B",INDEX(Batters[[#All],[Last]],MATCH(A130,Batters[[#All],[PID]],0)),INDEX(Table3[[#All],[Last]],MATCH(A130,Table3[[#All],[PID]],0)))</f>
        <v>Chavez</v>
      </c>
      <c r="G130" s="56">
        <f>IF($C130="B",INDEX(Batters[[#All],[Age]],MATCH(Table5[[#This Row],[PID]],Batters[[#All],[PID]],0)),INDEX(Table3[[#All],[Age]],MATCH(Table5[[#This Row],[PID]],Table3[[#All],[PID]],0)))</f>
        <v>21</v>
      </c>
      <c r="H130" s="52" t="str">
        <f>IF($C130="B",INDEX(Batters[[#All],[B]],MATCH(Table5[[#This Row],[PID]],Batters[[#All],[PID]],0)),INDEX(Table3[[#All],[B]],MATCH(Table5[[#This Row],[PID]],Table3[[#All],[PID]],0)))</f>
        <v>L</v>
      </c>
      <c r="I130" s="52" t="str">
        <f>IF($C130="B",INDEX(Batters[[#All],[T]],MATCH(Table5[[#This Row],[PID]],Batters[[#All],[PID]],0)),INDEX(Table3[[#All],[T]],MATCH(Table5[[#This Row],[PID]],Table3[[#All],[PID]],0)))</f>
        <v>L</v>
      </c>
      <c r="J130" s="52" t="str">
        <f>IF($C130="B",INDEX(Batters[[#All],[WE]],MATCH(Table5[[#This Row],[PID]],Batters[[#All],[PID]],0)),INDEX(Table3[[#All],[WE]],MATCH(Table5[[#This Row],[PID]],Table3[[#All],[PID]],0)))</f>
        <v>Normal</v>
      </c>
      <c r="K130" s="52" t="str">
        <f>IF($C130="B",INDEX(Batters[[#All],[INT]],MATCH(Table5[[#This Row],[PID]],Batters[[#All],[PID]],0)),INDEX(Table3[[#All],[INT]],MATCH(Table5[[#This Row],[PID]],Table3[[#All],[PID]],0)))</f>
        <v>Normal</v>
      </c>
      <c r="L130" s="60">
        <f>IF($C130="B",INDEX(Batters[[#All],[CON P]],MATCH(Table5[[#This Row],[PID]],Batters[[#All],[PID]],0)),INDEX(Table3[[#All],[STU P]],MATCH(Table5[[#This Row],[PID]],Table3[[#All],[PID]],0)))</f>
        <v>5</v>
      </c>
      <c r="M130" s="56">
        <f>IF($C130="B",INDEX(Batters[[#All],[GAP P]],MATCH(Table5[[#This Row],[PID]],Batters[[#All],[PID]],0)),INDEX(Table3[[#All],[MOV P]],MATCH(Table5[[#This Row],[PID]],Table3[[#All],[PID]],0)))</f>
        <v>6</v>
      </c>
      <c r="N130" s="56">
        <f>IF($C130="B",INDEX(Batters[[#All],[POW P]],MATCH(Table5[[#This Row],[PID]],Batters[[#All],[PID]],0)),INDEX(Table3[[#All],[CON P]],MATCH(Table5[[#This Row],[PID]],Table3[[#All],[PID]],0)))</f>
        <v>5</v>
      </c>
      <c r="O130" s="56" t="str">
        <f>IF($C130="B",INDEX(Batters[[#All],[EYE P]],MATCH(Table5[[#This Row],[PID]],Batters[[#All],[PID]],0)),INDEX(Table3[[#All],[VELO]],MATCH(Table5[[#This Row],[PID]],Table3[[#All],[PID]],0)))</f>
        <v>90-92 Mph</v>
      </c>
      <c r="P130" s="56">
        <f>IF($C130="B",INDEX(Batters[[#All],[K P]],MATCH(Table5[[#This Row],[PID]],Batters[[#All],[PID]],0)),INDEX(Table3[[#All],[STM]],MATCH(Table5[[#This Row],[PID]],Table3[[#All],[PID]],0)))</f>
        <v>6</v>
      </c>
      <c r="Q130" s="61">
        <f>IF($C130="B",INDEX(Batters[[#All],[Tot]],MATCH(Table5[[#This Row],[PID]],Batters[[#All],[PID]],0)),INDEX(Table3[[#All],[Tot]],MATCH(Table5[[#This Row],[PID]],Table3[[#All],[PID]],0)))</f>
        <v>60.903121076535164</v>
      </c>
      <c r="R130" s="52">
        <f>IF($C130="B",INDEX(Batters[[#All],[zScore]],MATCH(Table5[[#This Row],[PID]],Batters[[#All],[PID]],0)),INDEX(Table3[[#All],[zScore]],MATCH(Table5[[#This Row],[PID]],Table3[[#All],[PID]],0)))</f>
        <v>1.6449208033739797</v>
      </c>
      <c r="S130" s="58" t="str">
        <f>IF($C130="B",INDEX(Batters[[#All],[DEM]],MATCH(Table5[[#This Row],[PID]],Batters[[#All],[PID]],0)),INDEX(Table3[[#All],[DEM]],MATCH(Table5[[#This Row],[PID]],Table3[[#All],[PID]],0)))</f>
        <v>$550k</v>
      </c>
      <c r="T130" s="62">
        <f>IF($C130="B",INDEX(Batters[[#All],[Rnk]],MATCH(Table5[[#This Row],[PID]],Batters[[#All],[PID]],0)),INDEX(Table3[[#All],[Rnk]],MATCH(Table5[[#This Row],[PID]],Table3[[#All],[PID]],0)))</f>
        <v>900</v>
      </c>
      <c r="U130" s="67">
        <f>IF($C130="B",VLOOKUP($A130,Bat!$A$4:$BA$1314,47,FALSE),VLOOKUP($A130,Pit!$A$4:$BF$1214,56,FALSE))</f>
        <v>61</v>
      </c>
      <c r="V130" s="50">
        <f>IF($C130="B",VLOOKUP($A130,Bat!$A$4:$BA$1314,48,FALSE),VLOOKUP($A130,Pit!$A$4:$BF$1214,57,FALSE))</f>
        <v>0</v>
      </c>
      <c r="W130" s="68">
        <v>126</v>
      </c>
      <c r="X130" s="51">
        <f>RANK(Table5[[#This Row],[zScore]],Table5[[#All],[zScore]])</f>
        <v>65</v>
      </c>
      <c r="Y130" s="50">
        <f>IFERROR(INDEX(DraftResults[[#All],[OVR]],MATCH(Table5[[#This Row],[PID]],DraftResults[[#All],[Player ID]],0)),"")</f>
        <v>87</v>
      </c>
      <c r="Z130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3</v>
      </c>
      <c r="AA130" s="50">
        <f>IFERROR(INDEX(DraftResults[[#All],[Pick in Round]],MATCH(Table5[[#This Row],[PID]],DraftResults[[#All],[Player ID]],0)),"")</f>
        <v>15</v>
      </c>
      <c r="AB130" s="50" t="str">
        <f>IFERROR(INDEX(DraftResults[[#All],[Team Name]],MATCH(Table5[[#This Row],[PID]],DraftResults[[#All],[Player ID]],0)),"")</f>
        <v>San Antonio Calzones of Laredo</v>
      </c>
      <c r="AC130" s="50">
        <f>IF(Table5[[#This Row],[Ovr]]="","",IF(Table5[[#This Row],[cmbList]]="","",Table5[[#This Row],[cmbList]]-Table5[[#This Row],[Ovr]]))</f>
        <v>39</v>
      </c>
      <c r="AD130" s="54" t="str">
        <f>IF(ISERROR(VLOOKUP($AB130&amp;"-"&amp;$E130&amp;" "&amp;F130,Bonuses!$B$1:$G$1006,4,FALSE)),"",INT(VLOOKUP($AB130&amp;"-"&amp;$E130&amp;" "&amp;$F130,Bonuses!$B$1:$G$1006,4,FALSE)))</f>
        <v/>
      </c>
      <c r="AE130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3.15 (87) - SP Ricky Chavez</v>
      </c>
    </row>
    <row r="131" spans="1:31" s="50" customFormat="1" x14ac:dyDescent="0.3">
      <c r="A131" s="67">
        <v>10801</v>
      </c>
      <c r="B131" s="68">
        <f>COUNTIF(Table5[PID],A131)</f>
        <v>1</v>
      </c>
      <c r="C131" s="68" t="str">
        <f>IF(COUNTIF(Table3[[#All],[PID]],A131)&gt;0,"P","B")</f>
        <v>P</v>
      </c>
      <c r="D131" s="59" t="str">
        <f>IF($C131="B",INDEX(Batters[[#All],[POS]],MATCH(Table5[[#This Row],[PID]],Batters[[#All],[PID]],0)),INDEX(Table3[[#All],[POS]],MATCH(Table5[[#This Row],[PID]],Table3[[#All],[PID]],0)))</f>
        <v>CL</v>
      </c>
      <c r="E131" s="52" t="str">
        <f>IF($C131="B",INDEX(Batters[[#All],[First]],MATCH(Table5[[#This Row],[PID]],Batters[[#All],[PID]],0)),INDEX(Table3[[#All],[First]],MATCH(Table5[[#This Row],[PID]],Table3[[#All],[PID]],0)))</f>
        <v>Kevin</v>
      </c>
      <c r="F131" s="55" t="str">
        <f>IF($C131="B",INDEX(Batters[[#All],[Last]],MATCH(A131,Batters[[#All],[PID]],0)),INDEX(Table3[[#All],[Last]],MATCH(A131,Table3[[#All],[PID]],0)))</f>
        <v>Brickey</v>
      </c>
      <c r="G131" s="56">
        <f>IF($C131="B",INDEX(Batters[[#All],[Age]],MATCH(Table5[[#This Row],[PID]],Batters[[#All],[PID]],0)),INDEX(Table3[[#All],[Age]],MATCH(Table5[[#This Row],[PID]],Table3[[#All],[PID]],0)))</f>
        <v>18</v>
      </c>
      <c r="H131" s="52" t="str">
        <f>IF($C131="B",INDEX(Batters[[#All],[B]],MATCH(Table5[[#This Row],[PID]],Batters[[#All],[PID]],0)),INDEX(Table3[[#All],[B]],MATCH(Table5[[#This Row],[PID]],Table3[[#All],[PID]],0)))</f>
        <v>L</v>
      </c>
      <c r="I131" s="52" t="str">
        <f>IF($C131="B",INDEX(Batters[[#All],[T]],MATCH(Table5[[#This Row],[PID]],Batters[[#All],[PID]],0)),INDEX(Table3[[#All],[T]],MATCH(Table5[[#This Row],[PID]],Table3[[#All],[PID]],0)))</f>
        <v>R</v>
      </c>
      <c r="J131" s="69" t="str">
        <f>IF($C131="B",INDEX(Batters[[#All],[WE]],MATCH(Table5[[#This Row],[PID]],Batters[[#All],[PID]],0)),INDEX(Table3[[#All],[WE]],MATCH(Table5[[#This Row],[PID]],Table3[[#All],[PID]],0)))</f>
        <v>Normal</v>
      </c>
      <c r="K131" s="52" t="str">
        <f>IF($C131="B",INDEX(Batters[[#All],[INT]],MATCH(Table5[[#This Row],[PID]],Batters[[#All],[PID]],0)),INDEX(Table3[[#All],[INT]],MATCH(Table5[[#This Row],[PID]],Table3[[#All],[PID]],0)))</f>
        <v>Normal</v>
      </c>
      <c r="L131" s="60">
        <f>IF($C131="B",INDEX(Batters[[#All],[CON P]],MATCH(Table5[[#This Row],[PID]],Batters[[#All],[PID]],0)),INDEX(Table3[[#All],[STU P]],MATCH(Table5[[#This Row],[PID]],Table3[[#All],[PID]],0)))</f>
        <v>5</v>
      </c>
      <c r="M131" s="70">
        <f>IF($C131="B",INDEX(Batters[[#All],[GAP P]],MATCH(Table5[[#This Row],[PID]],Batters[[#All],[PID]],0)),INDEX(Table3[[#All],[MOV P]],MATCH(Table5[[#This Row],[PID]],Table3[[#All],[PID]],0)))</f>
        <v>6</v>
      </c>
      <c r="N131" s="70">
        <f>IF($C131="B",INDEX(Batters[[#All],[POW P]],MATCH(Table5[[#This Row],[PID]],Batters[[#All],[PID]],0)),INDEX(Table3[[#All],[CON P]],MATCH(Table5[[#This Row],[PID]],Table3[[#All],[PID]],0)))</f>
        <v>4</v>
      </c>
      <c r="O131" s="70" t="str">
        <f>IF($C131="B",INDEX(Batters[[#All],[EYE P]],MATCH(Table5[[#This Row],[PID]],Batters[[#All],[PID]],0)),INDEX(Table3[[#All],[VELO]],MATCH(Table5[[#This Row],[PID]],Table3[[#All],[PID]],0)))</f>
        <v>86-88 Mph</v>
      </c>
      <c r="P131" s="56">
        <f>IF($C131="B",INDEX(Batters[[#All],[K P]],MATCH(Table5[[#This Row],[PID]],Batters[[#All],[PID]],0)),INDEX(Table3[[#All],[STM]],MATCH(Table5[[#This Row],[PID]],Table3[[#All],[PID]],0)))</f>
        <v>9</v>
      </c>
      <c r="Q131" s="61">
        <f>IF($C131="B",INDEX(Batters[[#All],[Tot]],MATCH(Table5[[#This Row],[PID]],Batters[[#All],[PID]],0)),INDEX(Table3[[#All],[Tot]],MATCH(Table5[[#This Row],[PID]],Table3[[#All],[PID]],0)))</f>
        <v>58.380548685836601</v>
      </c>
      <c r="R131" s="52">
        <f>IF($C131="B",INDEX(Batters[[#All],[zScore]],MATCH(Table5[[#This Row],[PID]],Batters[[#All],[PID]],0)),INDEX(Table3[[#All],[zScore]],MATCH(Table5[[#This Row],[PID]],Table3[[#All],[PID]],0)))</f>
        <v>1.4652959082250467</v>
      </c>
      <c r="S131" s="75" t="str">
        <f>IF($C131="B",INDEX(Batters[[#All],[DEM]],MATCH(Table5[[#This Row],[PID]],Batters[[#All],[PID]],0)),INDEX(Table3[[#All],[DEM]],MATCH(Table5[[#This Row],[PID]],Table3[[#All],[PID]],0)))</f>
        <v>$65k</v>
      </c>
      <c r="T131" s="72">
        <f>IF($C131="B",INDEX(Batters[[#All],[Rnk]],MATCH(Table5[[#This Row],[PID]],Batters[[#All],[PID]],0)),INDEX(Table3[[#All],[Rnk]],MATCH(Table5[[#This Row],[PID]],Table3[[#All],[PID]],0)))</f>
        <v>900</v>
      </c>
      <c r="U131" s="67">
        <f>IF($C131="B",VLOOKUP($A131,Bat!$A$4:$BA$1314,47,FALSE),VLOOKUP($A131,Pit!$A$4:$BF$1214,56,FALSE))</f>
        <v>62</v>
      </c>
      <c r="V131" s="50">
        <f>IF($C131="B",VLOOKUP($A131,Bat!$A$4:$BA$1314,48,FALSE),VLOOKUP($A131,Pit!$A$4:$BF$1214,57,FALSE))</f>
        <v>0</v>
      </c>
      <c r="W131" s="50">
        <v>127</v>
      </c>
      <c r="X131" s="71">
        <f>RANK(Table5[[#This Row],[zScore]],Table5[[#All],[zScore]])</f>
        <v>79</v>
      </c>
      <c r="Y131" s="68">
        <f>IFERROR(INDEX(DraftResults[[#All],[OVR]],MATCH(Table5[[#This Row],[PID]],DraftResults[[#All],[Player ID]],0)),"")</f>
        <v>108</v>
      </c>
      <c r="Z131" s="7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4</v>
      </c>
      <c r="AA131" s="68">
        <f>IFERROR(INDEX(DraftResults[[#All],[Pick in Round]],MATCH(Table5[[#This Row],[PID]],DraftResults[[#All],[Player ID]],0)),"")</f>
        <v>3</v>
      </c>
      <c r="AB131" s="68" t="str">
        <f>IFERROR(INDEX(DraftResults[[#All],[Team Name]],MATCH(Table5[[#This Row],[PID]],DraftResults[[#All],[Player ID]],0)),"")</f>
        <v>Okinawa Shisa</v>
      </c>
      <c r="AC131" s="68">
        <f>IF(Table5[[#This Row],[Ovr]]="","",IF(Table5[[#This Row],[cmbList]]="","",Table5[[#This Row],[cmbList]]-Table5[[#This Row],[Ovr]]))</f>
        <v>19</v>
      </c>
      <c r="AD131" s="74" t="str">
        <f>IF(ISERROR(VLOOKUP($AB131&amp;"-"&amp;$E131&amp;" "&amp;F131,Bonuses!$B$1:$G$1006,4,FALSE)),"",INT(VLOOKUP($AB131&amp;"-"&amp;$E131&amp;" "&amp;$F131,Bonuses!$B$1:$G$1006,4,FALSE)))</f>
        <v/>
      </c>
      <c r="AE131" s="68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4.3 (108) - CL Kevin Brickey</v>
      </c>
    </row>
    <row r="132" spans="1:31" s="50" customFormat="1" x14ac:dyDescent="0.3">
      <c r="A132" s="50">
        <v>20775</v>
      </c>
      <c r="B132" s="50">
        <f>COUNTIF(Table5[PID],A132)</f>
        <v>1</v>
      </c>
      <c r="C132" s="50" t="str">
        <f>IF(COUNTIF(Table3[[#All],[PID]],A132)&gt;0,"P","B")</f>
        <v>P</v>
      </c>
      <c r="D132" s="59" t="str">
        <f>IF($C132="B",INDEX(Batters[[#All],[POS]],MATCH(Table5[[#This Row],[PID]],Batters[[#All],[PID]],0)),INDEX(Table3[[#All],[POS]],MATCH(Table5[[#This Row],[PID]],Table3[[#All],[PID]],0)))</f>
        <v>SP</v>
      </c>
      <c r="E132" s="52" t="str">
        <f>IF($C132="B",INDEX(Batters[[#All],[First]],MATCH(Table5[[#This Row],[PID]],Batters[[#All],[PID]],0)),INDEX(Table3[[#All],[First]],MATCH(Table5[[#This Row],[PID]],Table3[[#All],[PID]],0)))</f>
        <v>Frank</v>
      </c>
      <c r="F132" s="50" t="str">
        <f>IF($C132="B",INDEX(Batters[[#All],[Last]],MATCH(A132,Batters[[#All],[PID]],0)),INDEX(Table3[[#All],[Last]],MATCH(A132,Table3[[#All],[PID]],0)))</f>
        <v>Riley</v>
      </c>
      <c r="G132" s="56">
        <f>IF($C132="B",INDEX(Batters[[#All],[Age]],MATCH(Table5[[#This Row],[PID]],Batters[[#All],[PID]],0)),INDEX(Table3[[#All],[Age]],MATCH(Table5[[#This Row],[PID]],Table3[[#All],[PID]],0)))</f>
        <v>17</v>
      </c>
      <c r="H132" s="52" t="str">
        <f>IF($C132="B",INDEX(Batters[[#All],[B]],MATCH(Table5[[#This Row],[PID]],Batters[[#All],[PID]],0)),INDEX(Table3[[#All],[B]],MATCH(Table5[[#This Row],[PID]],Table3[[#All],[PID]],0)))</f>
        <v>R</v>
      </c>
      <c r="I132" s="52" t="str">
        <f>IF($C132="B",INDEX(Batters[[#All],[T]],MATCH(Table5[[#This Row],[PID]],Batters[[#All],[PID]],0)),INDEX(Table3[[#All],[T]],MATCH(Table5[[#This Row],[PID]],Table3[[#All],[PID]],0)))</f>
        <v>R</v>
      </c>
      <c r="J132" s="52" t="str">
        <f>IF($C132="B",INDEX(Batters[[#All],[WE]],MATCH(Table5[[#This Row],[PID]],Batters[[#All],[PID]],0)),INDEX(Table3[[#All],[WE]],MATCH(Table5[[#This Row],[PID]],Table3[[#All],[PID]],0)))</f>
        <v>Normal</v>
      </c>
      <c r="K132" s="52" t="str">
        <f>IF($C132="B",INDEX(Batters[[#All],[INT]],MATCH(Table5[[#This Row],[PID]],Batters[[#All],[PID]],0)),INDEX(Table3[[#All],[INT]],MATCH(Table5[[#This Row],[PID]],Table3[[#All],[PID]],0)))</f>
        <v>Normal</v>
      </c>
      <c r="L132" s="60">
        <f>IF($C132="B",INDEX(Batters[[#All],[CON P]],MATCH(Table5[[#This Row],[PID]],Batters[[#All],[PID]],0)),INDEX(Table3[[#All],[STU P]],MATCH(Table5[[#This Row],[PID]],Table3[[#All],[PID]],0)))</f>
        <v>5</v>
      </c>
      <c r="M132" s="56">
        <f>IF($C132="B",INDEX(Batters[[#All],[GAP P]],MATCH(Table5[[#This Row],[PID]],Batters[[#All],[PID]],0)),INDEX(Table3[[#All],[MOV P]],MATCH(Table5[[#This Row],[PID]],Table3[[#All],[PID]],0)))</f>
        <v>2</v>
      </c>
      <c r="N132" s="56">
        <f>IF($C132="B",INDEX(Batters[[#All],[POW P]],MATCH(Table5[[#This Row],[PID]],Batters[[#All],[PID]],0)),INDEX(Table3[[#All],[CON P]],MATCH(Table5[[#This Row],[PID]],Table3[[#All],[PID]],0)))</f>
        <v>5</v>
      </c>
      <c r="O132" s="56" t="str">
        <f>IF($C132="B",INDEX(Batters[[#All],[EYE P]],MATCH(Table5[[#This Row],[PID]],Batters[[#All],[PID]],0)),INDEX(Table3[[#All],[VELO]],MATCH(Table5[[#This Row],[PID]],Table3[[#All],[PID]],0)))</f>
        <v>90-92 Mph</v>
      </c>
      <c r="P132" s="56">
        <f>IF($C132="B",INDEX(Batters[[#All],[K P]],MATCH(Table5[[#This Row],[PID]],Batters[[#All],[PID]],0)),INDEX(Table3[[#All],[STM]],MATCH(Table5[[#This Row],[PID]],Table3[[#All],[PID]],0)))</f>
        <v>9</v>
      </c>
      <c r="Q132" s="61">
        <f>IF($C132="B",INDEX(Batters[[#All],[Tot]],MATCH(Table5[[#This Row],[PID]],Batters[[#All],[PID]],0)),INDEX(Table3[[#All],[Tot]],MATCH(Table5[[#This Row],[PID]],Table3[[#All],[PID]],0)))</f>
        <v>52.296901359572431</v>
      </c>
      <c r="R132" s="52">
        <f>IF($C132="B",INDEX(Batters[[#All],[zScore]],MATCH(Table5[[#This Row],[PID]],Batters[[#All],[PID]],0)),INDEX(Table3[[#All],[zScore]],MATCH(Table5[[#This Row],[PID]],Table3[[#All],[PID]],0)))</f>
        <v>1.0320974330761643</v>
      </c>
      <c r="S132" s="58" t="str">
        <f>IF($C132="B",INDEX(Batters[[#All],[DEM]],MATCH(Table5[[#This Row],[PID]],Batters[[#All],[PID]],0)),INDEX(Table3[[#All],[DEM]],MATCH(Table5[[#This Row],[PID]],Table3[[#All],[PID]],0)))</f>
        <v>$190k</v>
      </c>
      <c r="T132" s="62">
        <f>IF($C132="B",INDEX(Batters[[#All],[Rnk]],MATCH(Table5[[#This Row],[PID]],Batters[[#All],[PID]],0)),INDEX(Table3[[#All],[Rnk]],MATCH(Table5[[#This Row],[PID]],Table3[[#All],[PID]],0)))</f>
        <v>900</v>
      </c>
      <c r="U132" s="67">
        <f>IF($C132="B",VLOOKUP($A132,Bat!$A$4:$BA$1314,47,FALSE),VLOOKUP($A132,Pit!$A$4:$BF$1214,56,FALSE))</f>
        <v>63</v>
      </c>
      <c r="V132" s="50">
        <f>IF($C132="B",VLOOKUP($A132,Bat!$A$4:$BA$1314,48,FALSE),VLOOKUP($A132,Pit!$A$4:$BF$1214,57,FALSE))</f>
        <v>0</v>
      </c>
      <c r="W132" s="68">
        <v>128</v>
      </c>
      <c r="X132" s="51">
        <f>RANK(Table5[[#This Row],[zScore]],Table5[[#All],[zScore]])</f>
        <v>142</v>
      </c>
      <c r="Y132" s="50">
        <f>IFERROR(INDEX(DraftResults[[#All],[OVR]],MATCH(Table5[[#This Row],[PID]],DraftResults[[#All],[Player ID]],0)),"")</f>
        <v>216</v>
      </c>
      <c r="Z132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7</v>
      </c>
      <c r="AA132" s="50">
        <f>IFERROR(INDEX(DraftResults[[#All],[Pick in Round]],MATCH(Table5[[#This Row],[PID]],DraftResults[[#All],[Player ID]],0)),"")</f>
        <v>15</v>
      </c>
      <c r="AB132" s="50" t="str">
        <f>IFERROR(INDEX(DraftResults[[#All],[Team Name]],MATCH(Table5[[#This Row],[PID]],DraftResults[[#All],[Player ID]],0)),"")</f>
        <v>Scottish Claymores</v>
      </c>
      <c r="AC132" s="50">
        <f>IF(Table5[[#This Row],[Ovr]]="","",IF(Table5[[#This Row],[cmbList]]="","",Table5[[#This Row],[cmbList]]-Table5[[#This Row],[Ovr]]))</f>
        <v>-88</v>
      </c>
      <c r="AD132" s="54" t="str">
        <f>IF(ISERROR(VLOOKUP($AB132&amp;"-"&amp;$E132&amp;" "&amp;F132,Bonuses!$B$1:$G$1006,4,FALSE)),"",INT(VLOOKUP($AB132&amp;"-"&amp;$E132&amp;" "&amp;$F132,Bonuses!$B$1:$G$1006,4,FALSE)))</f>
        <v/>
      </c>
      <c r="AE132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7.15 (216) - SP Frank Riley</v>
      </c>
    </row>
    <row r="133" spans="1:31" s="50" customFormat="1" x14ac:dyDescent="0.3">
      <c r="A133" s="67">
        <v>11075</v>
      </c>
      <c r="B133" s="68">
        <f>COUNTIF(Table5[PID],A133)</f>
        <v>1</v>
      </c>
      <c r="C133" s="68" t="str">
        <f>IF(COUNTIF(Table3[[#All],[PID]],A133)&gt;0,"P","B")</f>
        <v>P</v>
      </c>
      <c r="D133" s="59" t="str">
        <f>IF($C133="B",INDEX(Batters[[#All],[POS]],MATCH(Table5[[#This Row],[PID]],Batters[[#All],[PID]],0)),INDEX(Table3[[#All],[POS]],MATCH(Table5[[#This Row],[PID]],Table3[[#All],[PID]],0)))</f>
        <v>CL</v>
      </c>
      <c r="E133" s="52" t="str">
        <f>IF($C133="B",INDEX(Batters[[#All],[First]],MATCH(Table5[[#This Row],[PID]],Batters[[#All],[PID]],0)),INDEX(Table3[[#All],[First]],MATCH(Table5[[#This Row],[PID]],Table3[[#All],[PID]],0)))</f>
        <v>Lanny</v>
      </c>
      <c r="F133" s="55" t="str">
        <f>IF($C133="B",INDEX(Batters[[#All],[Last]],MATCH(A133,Batters[[#All],[PID]],0)),INDEX(Table3[[#All],[Last]],MATCH(A133,Table3[[#All],[PID]],0)))</f>
        <v>Donovan</v>
      </c>
      <c r="G133" s="56">
        <f>IF($C133="B",INDEX(Batters[[#All],[Age]],MATCH(Table5[[#This Row],[PID]],Batters[[#All],[PID]],0)),INDEX(Table3[[#All],[Age]],MATCH(Table5[[#This Row],[PID]],Table3[[#All],[PID]],0)))</f>
        <v>17</v>
      </c>
      <c r="H133" s="52" t="str">
        <f>IF($C133="B",INDEX(Batters[[#All],[B]],MATCH(Table5[[#This Row],[PID]],Batters[[#All],[PID]],0)),INDEX(Table3[[#All],[B]],MATCH(Table5[[#This Row],[PID]],Table3[[#All],[PID]],0)))</f>
        <v>R</v>
      </c>
      <c r="I133" s="52" t="str">
        <f>IF($C133="B",INDEX(Batters[[#All],[T]],MATCH(Table5[[#This Row],[PID]],Batters[[#All],[PID]],0)),INDEX(Table3[[#All],[T]],MATCH(Table5[[#This Row],[PID]],Table3[[#All],[PID]],0)))</f>
        <v>L</v>
      </c>
      <c r="J133" s="69" t="str">
        <f>IF($C133="B",INDEX(Batters[[#All],[WE]],MATCH(Table5[[#This Row],[PID]],Batters[[#All],[PID]],0)),INDEX(Table3[[#All],[WE]],MATCH(Table5[[#This Row],[PID]],Table3[[#All],[PID]],0)))</f>
        <v>Normal</v>
      </c>
      <c r="K133" s="52" t="str">
        <f>IF($C133="B",INDEX(Batters[[#All],[INT]],MATCH(Table5[[#This Row],[PID]],Batters[[#All],[PID]],0)),INDEX(Table3[[#All],[INT]],MATCH(Table5[[#This Row],[PID]],Table3[[#All],[PID]],0)))</f>
        <v>Normal</v>
      </c>
      <c r="L133" s="60">
        <f>IF($C133="B",INDEX(Batters[[#All],[CON P]],MATCH(Table5[[#This Row],[PID]],Batters[[#All],[PID]],0)),INDEX(Table3[[#All],[STU P]],MATCH(Table5[[#This Row],[PID]],Table3[[#All],[PID]],0)))</f>
        <v>6</v>
      </c>
      <c r="M133" s="70">
        <f>IF($C133="B",INDEX(Batters[[#All],[GAP P]],MATCH(Table5[[#This Row],[PID]],Batters[[#All],[PID]],0)),INDEX(Table3[[#All],[MOV P]],MATCH(Table5[[#This Row],[PID]],Table3[[#All],[PID]],0)))</f>
        <v>3</v>
      </c>
      <c r="N133" s="70">
        <f>IF($C133="B",INDEX(Batters[[#All],[POW P]],MATCH(Table5[[#This Row],[PID]],Batters[[#All],[PID]],0)),INDEX(Table3[[#All],[CON P]],MATCH(Table5[[#This Row],[PID]],Table3[[#All],[PID]],0)))</f>
        <v>4</v>
      </c>
      <c r="O133" s="70" t="str">
        <f>IF($C133="B",INDEX(Batters[[#All],[EYE P]],MATCH(Table5[[#This Row],[PID]],Batters[[#All],[PID]],0)),INDEX(Table3[[#All],[VELO]],MATCH(Table5[[#This Row],[PID]],Table3[[#All],[PID]],0)))</f>
        <v>88-90 Mph</v>
      </c>
      <c r="P133" s="56">
        <f>IF($C133="B",INDEX(Batters[[#All],[K P]],MATCH(Table5[[#This Row],[PID]],Batters[[#All],[PID]],0)),INDEX(Table3[[#All],[STM]],MATCH(Table5[[#This Row],[PID]],Table3[[#All],[PID]],0)))</f>
        <v>6</v>
      </c>
      <c r="Q133" s="61">
        <f>IF($C133="B",INDEX(Batters[[#All],[Tot]],MATCH(Table5[[#This Row],[PID]],Batters[[#All],[PID]],0)),INDEX(Table3[[#All],[Tot]],MATCH(Table5[[#This Row],[PID]],Table3[[#All],[PID]],0)))</f>
        <v>52.275592944870098</v>
      </c>
      <c r="R133" s="52">
        <f>IF($C133="B",INDEX(Batters[[#All],[zScore]],MATCH(Table5[[#This Row],[PID]],Batters[[#All],[PID]],0)),INDEX(Table3[[#All],[zScore]],MATCH(Table5[[#This Row],[PID]],Table3[[#All],[PID]],0)))</f>
        <v>1.0305801240899843</v>
      </c>
      <c r="S133" s="75" t="str">
        <f>IF($C133="B",INDEX(Batters[[#All],[DEM]],MATCH(Table5[[#This Row],[PID]],Batters[[#All],[PID]],0)),INDEX(Table3[[#All],[DEM]],MATCH(Table5[[#This Row],[PID]],Table3[[#All],[PID]],0)))</f>
        <v>$65k</v>
      </c>
      <c r="T133" s="72">
        <f>IF($C133="B",INDEX(Batters[[#All],[Rnk]],MATCH(Table5[[#This Row],[PID]],Batters[[#All],[PID]],0)),INDEX(Table3[[#All],[Rnk]],MATCH(Table5[[#This Row],[PID]],Table3[[#All],[PID]],0)))</f>
        <v>900</v>
      </c>
      <c r="U133" s="67">
        <f>IF($C133="B",VLOOKUP($A133,Bat!$A$4:$BA$1314,47,FALSE),VLOOKUP($A133,Pit!$A$4:$BF$1214,56,FALSE))</f>
        <v>64</v>
      </c>
      <c r="V133" s="50">
        <f>IF($C133="B",VLOOKUP($A133,Bat!$A$4:$BA$1314,48,FALSE),VLOOKUP($A133,Pit!$A$4:$BF$1214,57,FALSE))</f>
        <v>0</v>
      </c>
      <c r="W133" s="50">
        <v>129</v>
      </c>
      <c r="X133" s="71">
        <f>RANK(Table5[[#This Row],[zScore]],Table5[[#All],[zScore]])</f>
        <v>143</v>
      </c>
      <c r="Y133" s="68">
        <f>IFERROR(INDEX(DraftResults[[#All],[OVR]],MATCH(Table5[[#This Row],[PID]],DraftResults[[#All],[Player ID]],0)),"")</f>
        <v>172</v>
      </c>
      <c r="Z133" s="7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6</v>
      </c>
      <c r="AA133" s="68">
        <f>IFERROR(INDEX(DraftResults[[#All],[Pick in Round]],MATCH(Table5[[#This Row],[PID]],DraftResults[[#All],[Player ID]],0)),"")</f>
        <v>3</v>
      </c>
      <c r="AB133" s="68" t="str">
        <f>IFERROR(INDEX(DraftResults[[#All],[Team Name]],MATCH(Table5[[#This Row],[PID]],DraftResults[[#All],[Player ID]],0)),"")</f>
        <v>Okinawa Shisa</v>
      </c>
      <c r="AC133" s="68">
        <f>IF(Table5[[#This Row],[Ovr]]="","",IF(Table5[[#This Row],[cmbList]]="","",Table5[[#This Row],[cmbList]]-Table5[[#This Row],[Ovr]]))</f>
        <v>-43</v>
      </c>
      <c r="AD133" s="74" t="str">
        <f>IF(ISERROR(VLOOKUP($AB133&amp;"-"&amp;$E133&amp;" "&amp;F133,Bonuses!$B$1:$G$1006,4,FALSE)),"",INT(VLOOKUP($AB133&amp;"-"&amp;$E133&amp;" "&amp;$F133,Bonuses!$B$1:$G$1006,4,FALSE)))</f>
        <v/>
      </c>
      <c r="AE133" s="68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6.3 (172) - CL Lanny Donovan</v>
      </c>
    </row>
    <row r="134" spans="1:31" s="50" customFormat="1" x14ac:dyDescent="0.3">
      <c r="A134" s="50">
        <v>11895</v>
      </c>
      <c r="B134" s="50">
        <f>COUNTIF(Table5[PID],A134)</f>
        <v>1</v>
      </c>
      <c r="C134" s="50" t="str">
        <f>IF(COUNTIF(Table3[[#All],[PID]],A134)&gt;0,"P","B")</f>
        <v>B</v>
      </c>
      <c r="D134" s="59" t="str">
        <f>IF($C134="B",INDEX(Batters[[#All],[POS]],MATCH(Table5[[#This Row],[PID]],Batters[[#All],[PID]],0)),INDEX(Table3[[#All],[POS]],MATCH(Table5[[#This Row],[PID]],Table3[[#All],[PID]],0)))</f>
        <v>CF</v>
      </c>
      <c r="E134" s="52" t="str">
        <f>IF($C134="B",INDEX(Batters[[#All],[First]],MATCH(Table5[[#This Row],[PID]],Batters[[#All],[PID]],0)),INDEX(Table3[[#All],[First]],MATCH(Table5[[#This Row],[PID]],Table3[[#All],[PID]],0)))</f>
        <v>Carlos</v>
      </c>
      <c r="F134" s="50" t="str">
        <f>IF($C134="B",INDEX(Batters[[#All],[Last]],MATCH(A134,Batters[[#All],[PID]],0)),INDEX(Table3[[#All],[Last]],MATCH(A134,Table3[[#All],[PID]],0)))</f>
        <v>Martínez</v>
      </c>
      <c r="G134" s="56">
        <f>IF($C134="B",INDEX(Batters[[#All],[Age]],MATCH(Table5[[#This Row],[PID]],Batters[[#All],[PID]],0)),INDEX(Table3[[#All],[Age]],MATCH(Table5[[#This Row],[PID]],Table3[[#All],[PID]],0)))</f>
        <v>18</v>
      </c>
      <c r="H134" s="52" t="str">
        <f>IF($C134="B",INDEX(Batters[[#All],[B]],MATCH(Table5[[#This Row],[PID]],Batters[[#All],[PID]],0)),INDEX(Table3[[#All],[B]],MATCH(Table5[[#This Row],[PID]],Table3[[#All],[PID]],0)))</f>
        <v>R</v>
      </c>
      <c r="I134" s="52" t="str">
        <f>IF($C134="B",INDEX(Batters[[#All],[T]],MATCH(Table5[[#This Row],[PID]],Batters[[#All],[PID]],0)),INDEX(Table3[[#All],[T]],MATCH(Table5[[#This Row],[PID]],Table3[[#All],[PID]],0)))</f>
        <v>R</v>
      </c>
      <c r="J134" s="52" t="str">
        <f>IF($C134="B",INDEX(Batters[[#All],[WE]],MATCH(Table5[[#This Row],[PID]],Batters[[#All],[PID]],0)),INDEX(Table3[[#All],[WE]],MATCH(Table5[[#This Row],[PID]],Table3[[#All],[PID]],0)))</f>
        <v>Low</v>
      </c>
      <c r="K134" s="52" t="str">
        <f>IF($C134="B",INDEX(Batters[[#All],[INT]],MATCH(Table5[[#This Row],[PID]],Batters[[#All],[PID]],0)),INDEX(Table3[[#All],[INT]],MATCH(Table5[[#This Row],[PID]],Table3[[#All],[PID]],0)))</f>
        <v>Low</v>
      </c>
      <c r="L134" s="60">
        <f>IF($C134="B",INDEX(Batters[[#All],[CON P]],MATCH(Table5[[#This Row],[PID]],Batters[[#All],[PID]],0)),INDEX(Table3[[#All],[STU P]],MATCH(Table5[[#This Row],[PID]],Table3[[#All],[PID]],0)))</f>
        <v>5</v>
      </c>
      <c r="M134" s="56">
        <f>IF($C134="B",INDEX(Batters[[#All],[GAP P]],MATCH(Table5[[#This Row],[PID]],Batters[[#All],[PID]],0)),INDEX(Table3[[#All],[MOV P]],MATCH(Table5[[#This Row],[PID]],Table3[[#All],[PID]],0)))</f>
        <v>7</v>
      </c>
      <c r="N134" s="56">
        <f>IF($C134="B",INDEX(Batters[[#All],[POW P]],MATCH(Table5[[#This Row],[PID]],Batters[[#All],[PID]],0)),INDEX(Table3[[#All],[CON P]],MATCH(Table5[[#This Row],[PID]],Table3[[#All],[PID]],0)))</f>
        <v>5</v>
      </c>
      <c r="O134" s="56">
        <f>IF($C134="B",INDEX(Batters[[#All],[EYE P]],MATCH(Table5[[#This Row],[PID]],Batters[[#All],[PID]],0)),INDEX(Table3[[#All],[VELO]],MATCH(Table5[[#This Row],[PID]],Table3[[#All],[PID]],0)))</f>
        <v>2</v>
      </c>
      <c r="P134" s="56">
        <f>IF($C134="B",INDEX(Batters[[#All],[K P]],MATCH(Table5[[#This Row],[PID]],Batters[[#All],[PID]],0)),INDEX(Table3[[#All],[STM]],MATCH(Table5[[#This Row],[PID]],Table3[[#All],[PID]],0)))</f>
        <v>8</v>
      </c>
      <c r="Q134" s="61">
        <f>IF($C134="B",INDEX(Batters[[#All],[Tot]],MATCH(Table5[[#This Row],[PID]],Batters[[#All],[PID]],0)),INDEX(Table3[[#All],[Tot]],MATCH(Table5[[#This Row],[PID]],Table3[[#All],[PID]],0)))</f>
        <v>51.865548388422411</v>
      </c>
      <c r="R134" s="52">
        <f>IF($C134="B",INDEX(Batters[[#All],[zScore]],MATCH(Table5[[#This Row],[PID]],Batters[[#All],[PID]],0)),INDEX(Table3[[#All],[zScore]],MATCH(Table5[[#This Row],[PID]],Table3[[#All],[PID]],0)))</f>
        <v>1.2621946854506778</v>
      </c>
      <c r="S134" s="58" t="str">
        <f>IF($C134="B",INDEX(Batters[[#All],[DEM]],MATCH(Table5[[#This Row],[PID]],Batters[[#All],[PID]],0)),INDEX(Table3[[#All],[DEM]],MATCH(Table5[[#This Row],[PID]],Table3[[#All],[PID]],0)))</f>
        <v>$240k</v>
      </c>
      <c r="T134" s="62">
        <f>IF($C134="B",INDEX(Batters[[#All],[Rnk]],MATCH(Table5[[#This Row],[PID]],Batters[[#All],[PID]],0)),INDEX(Table3[[#All],[Rnk]],MATCH(Table5[[#This Row],[PID]],Table3[[#All],[PID]],0)))</f>
        <v>7</v>
      </c>
      <c r="U134" s="67">
        <f>IF($C134="B",VLOOKUP($A134,Bat!$A$4:$BA$1314,47,FALSE),VLOOKUP($A134,Pit!$A$4:$BF$1214,56,FALSE))</f>
        <v>65</v>
      </c>
      <c r="V134" s="50">
        <f>IF($C134="B",VLOOKUP($A134,Bat!$A$4:$BA$1314,48,FALSE),VLOOKUP($A134,Pit!$A$4:$BF$1214,57,FALSE))</f>
        <v>65</v>
      </c>
      <c r="W134" s="68">
        <v>130</v>
      </c>
      <c r="X134" s="51">
        <f>RANK(Table5[[#This Row],[zScore]],Table5[[#All],[zScore]])</f>
        <v>106</v>
      </c>
      <c r="Y134" s="50">
        <f>IFERROR(INDEX(DraftResults[[#All],[OVR]],MATCH(Table5[[#This Row],[PID]],DraftResults[[#All],[Player ID]],0)),"")</f>
        <v>120</v>
      </c>
      <c r="Z134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4</v>
      </c>
      <c r="AA134" s="50">
        <f>IFERROR(INDEX(DraftResults[[#All],[Pick in Round]],MATCH(Table5[[#This Row],[PID]],DraftResults[[#All],[Player ID]],0)),"")</f>
        <v>15</v>
      </c>
      <c r="AB134" s="50" t="str">
        <f>IFERROR(INDEX(DraftResults[[#All],[Team Name]],MATCH(Table5[[#This Row],[PID]],DraftResults[[#All],[Player ID]],0)),"")</f>
        <v>Aurora Borealis</v>
      </c>
      <c r="AC134" s="50">
        <f>IF(Table5[[#This Row],[Ovr]]="","",IF(Table5[[#This Row],[cmbList]]="","",Table5[[#This Row],[cmbList]]-Table5[[#This Row],[Ovr]]))</f>
        <v>10</v>
      </c>
      <c r="AD134" s="54" t="str">
        <f>IF(ISERROR(VLOOKUP($AB134&amp;"-"&amp;$E134&amp;" "&amp;F134,Bonuses!$B$1:$G$1006,4,FALSE)),"",INT(VLOOKUP($AB134&amp;"-"&amp;$E134&amp;" "&amp;$F134,Bonuses!$B$1:$G$1006,4,FALSE)))</f>
        <v/>
      </c>
      <c r="AE134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4.15 (120) - CF Carlos Martínez</v>
      </c>
    </row>
    <row r="135" spans="1:31" s="50" customFormat="1" x14ac:dyDescent="0.3">
      <c r="A135" s="50">
        <v>11980</v>
      </c>
      <c r="B135" s="50">
        <f>COUNTIF(Table5[PID],A135)</f>
        <v>1</v>
      </c>
      <c r="C135" s="50" t="str">
        <f>IF(COUNTIF(Table3[[#All],[PID]],A135)&gt;0,"P","B")</f>
        <v>B</v>
      </c>
      <c r="D135" s="59" t="str">
        <f>IF($C135="B",INDEX(Batters[[#All],[POS]],MATCH(Table5[[#This Row],[PID]],Batters[[#All],[PID]],0)),INDEX(Table3[[#All],[POS]],MATCH(Table5[[#This Row],[PID]],Table3[[#All],[PID]],0)))</f>
        <v>CF</v>
      </c>
      <c r="E135" s="52" t="str">
        <f>IF($C135="B",INDEX(Batters[[#All],[First]],MATCH(Table5[[#This Row],[PID]],Batters[[#All],[PID]],0)),INDEX(Table3[[#All],[First]],MATCH(Table5[[#This Row],[PID]],Table3[[#All],[PID]],0)))</f>
        <v>Alfredo</v>
      </c>
      <c r="F135" s="50" t="str">
        <f>IF($C135="B",INDEX(Batters[[#All],[Last]],MATCH(A135,Batters[[#All],[PID]],0)),INDEX(Table3[[#All],[Last]],MATCH(A135,Table3[[#All],[PID]],0)))</f>
        <v>Domínguez</v>
      </c>
      <c r="G135" s="56">
        <f>IF($C135="B",INDEX(Batters[[#All],[Age]],MATCH(Table5[[#This Row],[PID]],Batters[[#All],[PID]],0)),INDEX(Table3[[#All],[Age]],MATCH(Table5[[#This Row],[PID]],Table3[[#All],[PID]],0)))</f>
        <v>17</v>
      </c>
      <c r="H135" s="52" t="str">
        <f>IF($C135="B",INDEX(Batters[[#All],[B]],MATCH(Table5[[#This Row],[PID]],Batters[[#All],[PID]],0)),INDEX(Table3[[#All],[B]],MATCH(Table5[[#This Row],[PID]],Table3[[#All],[PID]],0)))</f>
        <v>R</v>
      </c>
      <c r="I135" s="52" t="str">
        <f>IF($C135="B",INDEX(Batters[[#All],[T]],MATCH(Table5[[#This Row],[PID]],Batters[[#All],[PID]],0)),INDEX(Table3[[#All],[T]],MATCH(Table5[[#This Row],[PID]],Table3[[#All],[PID]],0)))</f>
        <v>R</v>
      </c>
      <c r="J135" s="52" t="str">
        <f>IF($C135="B",INDEX(Batters[[#All],[WE]],MATCH(Table5[[#This Row],[PID]],Batters[[#All],[PID]],0)),INDEX(Table3[[#All],[WE]],MATCH(Table5[[#This Row],[PID]],Table3[[#All],[PID]],0)))</f>
        <v>High</v>
      </c>
      <c r="K135" s="52" t="str">
        <f>IF($C135="B",INDEX(Batters[[#All],[INT]],MATCH(Table5[[#This Row],[PID]],Batters[[#All],[PID]],0)),INDEX(Table3[[#All],[INT]],MATCH(Table5[[#This Row],[PID]],Table3[[#All],[PID]],0)))</f>
        <v>Normal</v>
      </c>
      <c r="L135" s="60">
        <f>IF($C135="B",INDEX(Batters[[#All],[CON P]],MATCH(Table5[[#This Row],[PID]],Batters[[#All],[PID]],0)),INDEX(Table3[[#All],[STU P]],MATCH(Table5[[#This Row],[PID]],Table3[[#All],[PID]],0)))</f>
        <v>3</v>
      </c>
      <c r="M135" s="56">
        <f>IF($C135="B",INDEX(Batters[[#All],[GAP P]],MATCH(Table5[[#This Row],[PID]],Batters[[#All],[PID]],0)),INDEX(Table3[[#All],[MOV P]],MATCH(Table5[[#This Row],[PID]],Table3[[#All],[PID]],0)))</f>
        <v>5</v>
      </c>
      <c r="N135" s="56">
        <f>IF($C135="B",INDEX(Batters[[#All],[POW P]],MATCH(Table5[[#This Row],[PID]],Batters[[#All],[PID]],0)),INDEX(Table3[[#All],[CON P]],MATCH(Table5[[#This Row],[PID]],Table3[[#All],[PID]],0)))</f>
        <v>7</v>
      </c>
      <c r="O135" s="56">
        <f>IF($C135="B",INDEX(Batters[[#All],[EYE P]],MATCH(Table5[[#This Row],[PID]],Batters[[#All],[PID]],0)),INDEX(Table3[[#All],[VELO]],MATCH(Table5[[#This Row],[PID]],Table3[[#All],[PID]],0)))</f>
        <v>6</v>
      </c>
      <c r="P135" s="56">
        <f>IF($C135="B",INDEX(Batters[[#All],[K P]],MATCH(Table5[[#This Row],[PID]],Batters[[#All],[PID]],0)),INDEX(Table3[[#All],[STM]],MATCH(Table5[[#This Row],[PID]],Table3[[#All],[PID]],0)))</f>
        <v>2</v>
      </c>
      <c r="Q135" s="61">
        <f>IF($C135="B",INDEX(Batters[[#All],[Tot]],MATCH(Table5[[#This Row],[PID]],Batters[[#All],[PID]],0)),INDEX(Table3[[#All],[Tot]],MATCH(Table5[[#This Row],[PID]],Table3[[#All],[PID]],0)))</f>
        <v>47.360233028216228</v>
      </c>
      <c r="R135" s="52">
        <f>IF($C135="B",INDEX(Batters[[#All],[zScore]],MATCH(Table5[[#This Row],[PID]],Batters[[#All],[PID]],0)),INDEX(Table3[[#All],[zScore]],MATCH(Table5[[#This Row],[PID]],Table3[[#All],[PID]],0)))</f>
        <v>0.60456231895710377</v>
      </c>
      <c r="S135" s="58" t="str">
        <f>IF($C135="B",INDEX(Batters[[#All],[DEM]],MATCH(Table5[[#This Row],[PID]],Batters[[#All],[PID]],0)),INDEX(Table3[[#All],[DEM]],MATCH(Table5[[#This Row],[PID]],Table3[[#All],[PID]],0)))</f>
        <v>$290k</v>
      </c>
      <c r="T135" s="62">
        <f>IF($C135="B",INDEX(Batters[[#All],[Rnk]],MATCH(Table5[[#This Row],[PID]],Batters[[#All],[PID]],0)),INDEX(Table3[[#All],[Rnk]],MATCH(Table5[[#This Row],[PID]],Table3[[#All],[PID]],0)))</f>
        <v>8</v>
      </c>
      <c r="U135" s="67">
        <f>IF($C135="B",VLOOKUP($A135,Bat!$A$4:$BA$1314,47,FALSE),VLOOKUP($A135,Pit!$A$4:$BF$1214,56,FALSE))</f>
        <v>66</v>
      </c>
      <c r="V135" s="50">
        <f>IF($C135="B",VLOOKUP($A135,Bat!$A$4:$BA$1314,48,FALSE),VLOOKUP($A135,Pit!$A$4:$BF$1214,57,FALSE))</f>
        <v>66</v>
      </c>
      <c r="W135" s="50">
        <v>131</v>
      </c>
      <c r="X135" s="51">
        <f>RANK(Table5[[#This Row],[zScore]],Table5[[#All],[zScore]])</f>
        <v>205</v>
      </c>
      <c r="Y135" s="50">
        <f>IFERROR(INDEX(DraftResults[[#All],[OVR]],MATCH(Table5[[#This Row],[PID]],DraftResults[[#All],[Player ID]],0)),"")</f>
        <v>145</v>
      </c>
      <c r="Z135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5</v>
      </c>
      <c r="AA135" s="50">
        <f>IFERROR(INDEX(DraftResults[[#All],[Pick in Round]],MATCH(Table5[[#This Row],[PID]],DraftResults[[#All],[Player ID]],0)),"")</f>
        <v>8</v>
      </c>
      <c r="AB135" s="50" t="str">
        <f>IFERROR(INDEX(DraftResults[[#All],[Team Name]],MATCH(Table5[[#This Row],[PID]],DraftResults[[#All],[Player ID]],0)),"")</f>
        <v>Gloucester Fishermen</v>
      </c>
      <c r="AC135" s="50">
        <f>IF(Table5[[#This Row],[Ovr]]="","",IF(Table5[[#This Row],[cmbList]]="","",Table5[[#This Row],[cmbList]]-Table5[[#This Row],[Ovr]]))</f>
        <v>-14</v>
      </c>
      <c r="AD135" s="54" t="str">
        <f>IF(ISERROR(VLOOKUP($AB135&amp;"-"&amp;$E135&amp;" "&amp;F135,Bonuses!$B$1:$G$1006,4,FALSE)),"",INT(VLOOKUP($AB135&amp;"-"&amp;$E135&amp;" "&amp;$F135,Bonuses!$B$1:$G$1006,4,FALSE)))</f>
        <v/>
      </c>
      <c r="AE135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5.8 (145) - CF Alfredo Domínguez</v>
      </c>
    </row>
    <row r="136" spans="1:31" s="50" customFormat="1" x14ac:dyDescent="0.3">
      <c r="A136" s="50">
        <v>21045</v>
      </c>
      <c r="B136" s="50">
        <f>COUNTIF(Table5[PID],A136)</f>
        <v>1</v>
      </c>
      <c r="C136" s="50" t="str">
        <f>IF(COUNTIF(Table3[[#All],[PID]],A136)&gt;0,"P","B")</f>
        <v>B</v>
      </c>
      <c r="D136" s="59" t="str">
        <f>IF($C136="B",INDEX(Batters[[#All],[POS]],MATCH(Table5[[#This Row],[PID]],Batters[[#All],[PID]],0)),INDEX(Table3[[#All],[POS]],MATCH(Table5[[#This Row],[PID]],Table3[[#All],[PID]],0)))</f>
        <v>CF</v>
      </c>
      <c r="E136" s="52" t="str">
        <f>IF($C136="B",INDEX(Batters[[#All],[First]],MATCH(Table5[[#This Row],[PID]],Batters[[#All],[PID]],0)),INDEX(Table3[[#All],[First]],MATCH(Table5[[#This Row],[PID]],Table3[[#All],[PID]],0)))</f>
        <v>Peter</v>
      </c>
      <c r="F136" s="50" t="str">
        <f>IF($C136="B",INDEX(Batters[[#All],[Last]],MATCH(A136,Batters[[#All],[PID]],0)),INDEX(Table3[[#All],[Last]],MATCH(A136,Table3[[#All],[PID]],0)))</f>
        <v>Barnes</v>
      </c>
      <c r="G136" s="56">
        <f>IF($C136="B",INDEX(Batters[[#All],[Age]],MATCH(Table5[[#This Row],[PID]],Batters[[#All],[PID]],0)),INDEX(Table3[[#All],[Age]],MATCH(Table5[[#This Row],[PID]],Table3[[#All],[PID]],0)))</f>
        <v>17</v>
      </c>
      <c r="H136" s="52" t="str">
        <f>IF($C136="B",INDEX(Batters[[#All],[B]],MATCH(Table5[[#This Row],[PID]],Batters[[#All],[PID]],0)),INDEX(Table3[[#All],[B]],MATCH(Table5[[#This Row],[PID]],Table3[[#All],[PID]],0)))</f>
        <v>R</v>
      </c>
      <c r="I136" s="52" t="str">
        <f>IF($C136="B",INDEX(Batters[[#All],[T]],MATCH(Table5[[#This Row],[PID]],Batters[[#All],[PID]],0)),INDEX(Table3[[#All],[T]],MATCH(Table5[[#This Row],[PID]],Table3[[#All],[PID]],0)))</f>
        <v>R</v>
      </c>
      <c r="J136" s="52" t="str">
        <f>IF($C136="B",INDEX(Batters[[#All],[WE]],MATCH(Table5[[#This Row],[PID]],Batters[[#All],[PID]],0)),INDEX(Table3[[#All],[WE]],MATCH(Table5[[#This Row],[PID]],Table3[[#All],[PID]],0)))</f>
        <v>High</v>
      </c>
      <c r="K136" s="52" t="str">
        <f>IF($C136="B",INDEX(Batters[[#All],[INT]],MATCH(Table5[[#This Row],[PID]],Batters[[#All],[PID]],0)),INDEX(Table3[[#All],[INT]],MATCH(Table5[[#This Row],[PID]],Table3[[#All],[PID]],0)))</f>
        <v>Normal</v>
      </c>
      <c r="L136" s="60">
        <f>IF($C136="B",INDEX(Batters[[#All],[CON P]],MATCH(Table5[[#This Row],[PID]],Batters[[#All],[PID]],0)),INDEX(Table3[[#All],[STU P]],MATCH(Table5[[#This Row],[PID]],Table3[[#All],[PID]],0)))</f>
        <v>3</v>
      </c>
      <c r="M136" s="56">
        <f>IF($C136="B",INDEX(Batters[[#All],[GAP P]],MATCH(Table5[[#This Row],[PID]],Batters[[#All],[PID]],0)),INDEX(Table3[[#All],[MOV P]],MATCH(Table5[[#This Row],[PID]],Table3[[#All],[PID]],0)))</f>
        <v>5</v>
      </c>
      <c r="N136" s="56">
        <f>IF($C136="B",INDEX(Batters[[#All],[POW P]],MATCH(Table5[[#This Row],[PID]],Batters[[#All],[PID]],0)),INDEX(Table3[[#All],[CON P]],MATCH(Table5[[#This Row],[PID]],Table3[[#All],[PID]],0)))</f>
        <v>5</v>
      </c>
      <c r="O136" s="56">
        <f>IF($C136="B",INDEX(Batters[[#All],[EYE P]],MATCH(Table5[[#This Row],[PID]],Batters[[#All],[PID]],0)),INDEX(Table3[[#All],[VELO]],MATCH(Table5[[#This Row],[PID]],Table3[[#All],[PID]],0)))</f>
        <v>5</v>
      </c>
      <c r="P136" s="56">
        <f>IF($C136="B",INDEX(Batters[[#All],[K P]],MATCH(Table5[[#This Row],[PID]],Batters[[#All],[PID]],0)),INDEX(Table3[[#All],[STM]],MATCH(Table5[[#This Row],[PID]],Table3[[#All],[PID]],0)))</f>
        <v>3</v>
      </c>
      <c r="Q136" s="61">
        <f>IF($C136="B",INDEX(Batters[[#All],[Tot]],MATCH(Table5[[#This Row],[PID]],Batters[[#All],[PID]],0)),INDEX(Table3[[#All],[Tot]],MATCH(Table5[[#This Row],[PID]],Table3[[#All],[PID]],0)))</f>
        <v>44.880778452564059</v>
      </c>
      <c r="R136" s="52">
        <f>IF($C136="B",INDEX(Batters[[#All],[zScore]],MATCH(Table5[[#This Row],[PID]],Batters[[#All],[PID]],0)),INDEX(Table3[[#All],[zScore]],MATCH(Table5[[#This Row],[PID]],Table3[[#All],[PID]],0)))</f>
        <v>0.24264102159317524</v>
      </c>
      <c r="S136" s="58" t="str">
        <f>IF($C136="B",INDEX(Batters[[#All],[DEM]],MATCH(Table5[[#This Row],[PID]],Batters[[#All],[PID]],0)),INDEX(Table3[[#All],[DEM]],MATCH(Table5[[#This Row],[PID]],Table3[[#All],[PID]],0)))</f>
        <v>$200k</v>
      </c>
      <c r="T136" s="62">
        <f>IF($C136="B",INDEX(Batters[[#All],[Rnk]],MATCH(Table5[[#This Row],[PID]],Batters[[#All],[PID]],0)),INDEX(Table3[[#All],[Rnk]],MATCH(Table5[[#This Row],[PID]],Table3[[#All],[PID]],0)))</f>
        <v>8</v>
      </c>
      <c r="U136" s="67">
        <f>IF($C136="B",VLOOKUP($A136,Bat!$A$4:$BA$1314,47,FALSE),VLOOKUP($A136,Pit!$A$4:$BF$1214,56,FALSE))</f>
        <v>67</v>
      </c>
      <c r="V136" s="50">
        <f>IF($C136="B",VLOOKUP($A136,Bat!$A$4:$BA$1314,48,FALSE),VLOOKUP($A136,Pit!$A$4:$BF$1214,57,FALSE))</f>
        <v>67</v>
      </c>
      <c r="W136" s="68">
        <v>132</v>
      </c>
      <c r="X136" s="51">
        <f>RANK(Table5[[#This Row],[zScore]],Table5[[#All],[zScore]])</f>
        <v>297</v>
      </c>
      <c r="Y136" s="50">
        <f>IFERROR(INDEX(DraftResults[[#All],[OVR]],MATCH(Table5[[#This Row],[PID]],DraftResults[[#All],[Player ID]],0)),"")</f>
        <v>359</v>
      </c>
      <c r="Z136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11</v>
      </c>
      <c r="AA136" s="50">
        <f>IFERROR(INDEX(DraftResults[[#All],[Pick in Round]],MATCH(Table5[[#This Row],[PID]],DraftResults[[#All],[Player ID]],0)),"")</f>
        <v>28</v>
      </c>
      <c r="AB136" s="50" t="str">
        <f>IFERROR(INDEX(DraftResults[[#All],[Team Name]],MATCH(Table5[[#This Row],[PID]],DraftResults[[#All],[Player ID]],0)),"")</f>
        <v>Amsterdam Lions</v>
      </c>
      <c r="AC136" s="50">
        <f>IF(Table5[[#This Row],[Ovr]]="","",IF(Table5[[#This Row],[cmbList]]="","",Table5[[#This Row],[cmbList]]-Table5[[#This Row],[Ovr]]))</f>
        <v>-227</v>
      </c>
      <c r="AD136" s="54" t="str">
        <f>IF(ISERROR(VLOOKUP($AB136&amp;"-"&amp;$E136&amp;" "&amp;F136,Bonuses!$B$1:$G$1006,4,FALSE)),"",INT(VLOOKUP($AB136&amp;"-"&amp;$E136&amp;" "&amp;$F136,Bonuses!$B$1:$G$1006,4,FALSE)))</f>
        <v/>
      </c>
      <c r="AE136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11.28 (359) - CF Peter Barnes</v>
      </c>
    </row>
    <row r="137" spans="1:31" s="50" customFormat="1" x14ac:dyDescent="0.3">
      <c r="A137" s="50">
        <v>20774</v>
      </c>
      <c r="B137" s="50">
        <f>COUNTIF(Table5[PID],A137)</f>
        <v>1</v>
      </c>
      <c r="C137" s="50" t="str">
        <f>IF(COUNTIF(Table3[[#All],[PID]],A137)&gt;0,"P","B")</f>
        <v>B</v>
      </c>
      <c r="D137" s="59" t="str">
        <f>IF($C137="B",INDEX(Batters[[#All],[POS]],MATCH(Table5[[#This Row],[PID]],Batters[[#All],[PID]],0)),INDEX(Table3[[#All],[POS]],MATCH(Table5[[#This Row],[PID]],Table3[[#All],[PID]],0)))</f>
        <v>LF</v>
      </c>
      <c r="E137" s="52" t="str">
        <f>IF($C137="B",INDEX(Batters[[#All],[First]],MATCH(Table5[[#This Row],[PID]],Batters[[#All],[PID]],0)),INDEX(Table3[[#All],[First]],MATCH(Table5[[#This Row],[PID]],Table3[[#All],[PID]],0)))</f>
        <v>Edward</v>
      </c>
      <c r="F137" s="50" t="str">
        <f>IF($C137="B",INDEX(Batters[[#All],[Last]],MATCH(A137,Batters[[#All],[PID]],0)),INDEX(Table3[[#All],[Last]],MATCH(A137,Table3[[#All],[PID]],0)))</f>
        <v>Allen</v>
      </c>
      <c r="G137" s="56">
        <f>IF($C137="B",INDEX(Batters[[#All],[Age]],MATCH(Table5[[#This Row],[PID]],Batters[[#All],[PID]],0)),INDEX(Table3[[#All],[Age]],MATCH(Table5[[#This Row],[PID]],Table3[[#All],[PID]],0)))</f>
        <v>17</v>
      </c>
      <c r="H137" s="52" t="str">
        <f>IF($C137="B",INDEX(Batters[[#All],[B]],MATCH(Table5[[#This Row],[PID]],Batters[[#All],[PID]],0)),INDEX(Table3[[#All],[B]],MATCH(Table5[[#This Row],[PID]],Table3[[#All],[PID]],0)))</f>
        <v>L</v>
      </c>
      <c r="I137" s="52" t="str">
        <f>IF($C137="B",INDEX(Batters[[#All],[T]],MATCH(Table5[[#This Row],[PID]],Batters[[#All],[PID]],0)),INDEX(Table3[[#All],[T]],MATCH(Table5[[#This Row],[PID]],Table3[[#All],[PID]],0)))</f>
        <v>R</v>
      </c>
      <c r="J137" s="52" t="str">
        <f>IF($C137="B",INDEX(Batters[[#All],[WE]],MATCH(Table5[[#This Row],[PID]],Batters[[#All],[PID]],0)),INDEX(Table3[[#All],[WE]],MATCH(Table5[[#This Row],[PID]],Table3[[#All],[PID]],0)))</f>
        <v>Normal</v>
      </c>
      <c r="K137" s="52" t="str">
        <f>IF($C137="B",INDEX(Batters[[#All],[INT]],MATCH(Table5[[#This Row],[PID]],Batters[[#All],[PID]],0)),INDEX(Table3[[#All],[INT]],MATCH(Table5[[#This Row],[PID]],Table3[[#All],[PID]],0)))</f>
        <v>Normal</v>
      </c>
      <c r="L137" s="60">
        <f>IF($C137="B",INDEX(Batters[[#All],[CON P]],MATCH(Table5[[#This Row],[PID]],Batters[[#All],[PID]],0)),INDEX(Table3[[#All],[STU P]],MATCH(Table5[[#This Row],[PID]],Table3[[#All],[PID]],0)))</f>
        <v>5</v>
      </c>
      <c r="M137" s="56">
        <f>IF($C137="B",INDEX(Batters[[#All],[GAP P]],MATCH(Table5[[#This Row],[PID]],Batters[[#All],[PID]],0)),INDEX(Table3[[#All],[MOV P]],MATCH(Table5[[#This Row],[PID]],Table3[[#All],[PID]],0)))</f>
        <v>5</v>
      </c>
      <c r="N137" s="56">
        <f>IF($C137="B",INDEX(Batters[[#All],[POW P]],MATCH(Table5[[#This Row],[PID]],Batters[[#All],[PID]],0)),INDEX(Table3[[#All],[CON P]],MATCH(Table5[[#This Row],[PID]],Table3[[#All],[PID]],0)))</f>
        <v>7</v>
      </c>
      <c r="O137" s="56">
        <f>IF($C137="B",INDEX(Batters[[#All],[EYE P]],MATCH(Table5[[#This Row],[PID]],Batters[[#All],[PID]],0)),INDEX(Table3[[#All],[VELO]],MATCH(Table5[[#This Row],[PID]],Table3[[#All],[PID]],0)))</f>
        <v>5</v>
      </c>
      <c r="P137" s="56">
        <f>IF($C137="B",INDEX(Batters[[#All],[K P]],MATCH(Table5[[#This Row],[PID]],Batters[[#All],[PID]],0)),INDEX(Table3[[#All],[STM]],MATCH(Table5[[#This Row],[PID]],Table3[[#All],[PID]],0)))</f>
        <v>4</v>
      </c>
      <c r="Q137" s="61">
        <f>IF($C137="B",INDEX(Batters[[#All],[Tot]],MATCH(Table5[[#This Row],[PID]],Batters[[#All],[PID]],0)),INDEX(Table3[[#All],[Tot]],MATCH(Table5[[#This Row],[PID]],Table3[[#All],[PID]],0)))</f>
        <v>54.324764905857649</v>
      </c>
      <c r="R137" s="52">
        <f>IF($C137="B",INDEX(Batters[[#All],[zScore]],MATCH(Table5[[#This Row],[PID]],Batters[[#All],[PID]],0)),INDEX(Table3[[#All],[zScore]],MATCH(Table5[[#This Row],[PID]],Table3[[#All],[PID]],0)))</f>
        <v>1.6211618717137517</v>
      </c>
      <c r="S137" s="58" t="str">
        <f>IF($C137="B",INDEX(Batters[[#All],[DEM]],MATCH(Table5[[#This Row],[PID]],Batters[[#All],[PID]],0)),INDEX(Table3[[#All],[DEM]],MATCH(Table5[[#This Row],[PID]],Table3[[#All],[PID]],0)))</f>
        <v>$420k</v>
      </c>
      <c r="T137" s="62">
        <f>IF($C137="B",INDEX(Batters[[#All],[Rnk]],MATCH(Table5[[#This Row],[PID]],Batters[[#All],[PID]],0)),INDEX(Table3[[#All],[Rnk]],MATCH(Table5[[#This Row],[PID]],Table3[[#All],[PID]],0)))</f>
        <v>9</v>
      </c>
      <c r="U137" s="67">
        <f>IF($C137="B",VLOOKUP($A137,Bat!$A$4:$BA$1314,47,FALSE),VLOOKUP($A137,Pit!$A$4:$BF$1214,56,FALSE))</f>
        <v>68</v>
      </c>
      <c r="V137" s="50">
        <f>IF($C137="B",VLOOKUP($A137,Bat!$A$4:$BA$1314,48,FALSE),VLOOKUP($A137,Pit!$A$4:$BF$1214,57,FALSE))</f>
        <v>68</v>
      </c>
      <c r="W137" s="50">
        <v>133</v>
      </c>
      <c r="X137" s="51">
        <f>RANK(Table5[[#This Row],[zScore]],Table5[[#All],[zScore]])</f>
        <v>70</v>
      </c>
      <c r="Y137" s="50">
        <f>IFERROR(INDEX(DraftResults[[#All],[OVR]],MATCH(Table5[[#This Row],[PID]],DraftResults[[#All],[Player ID]],0)),"")</f>
        <v>84</v>
      </c>
      <c r="Z137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3</v>
      </c>
      <c r="AA137" s="50">
        <f>IFERROR(INDEX(DraftResults[[#All],[Pick in Round]],MATCH(Table5[[#This Row],[PID]],DraftResults[[#All],[Player ID]],0)),"")</f>
        <v>12</v>
      </c>
      <c r="AB137" s="50" t="str">
        <f>IFERROR(INDEX(DraftResults[[#All],[Team Name]],MATCH(Table5[[#This Row],[PID]],DraftResults[[#All],[Player ID]],0)),"")</f>
        <v>Manchester Maulers</v>
      </c>
      <c r="AC137" s="50">
        <f>IF(Table5[[#This Row],[Ovr]]="","",IF(Table5[[#This Row],[cmbList]]="","",Table5[[#This Row],[cmbList]]-Table5[[#This Row],[Ovr]]))</f>
        <v>49</v>
      </c>
      <c r="AD137" s="54" t="str">
        <f>IF(ISERROR(VLOOKUP($AB137&amp;"-"&amp;$E137&amp;" "&amp;F137,Bonuses!$B$1:$G$1006,4,FALSE)),"",INT(VLOOKUP($AB137&amp;"-"&amp;$E137&amp;" "&amp;$F137,Bonuses!$B$1:$G$1006,4,FALSE)))</f>
        <v/>
      </c>
      <c r="AE137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3.12 (84) - LF Edward Allen</v>
      </c>
    </row>
    <row r="138" spans="1:31" s="50" customFormat="1" x14ac:dyDescent="0.3">
      <c r="A138" s="67">
        <v>12423</v>
      </c>
      <c r="B138" s="68">
        <f>COUNTIF(Table5[PID],A138)</f>
        <v>1</v>
      </c>
      <c r="C138" s="68" t="str">
        <f>IF(COUNTIF(Table3[[#All],[PID]],A138)&gt;0,"P","B")</f>
        <v>B</v>
      </c>
      <c r="D138" s="59" t="str">
        <f>IF($C138="B",INDEX(Batters[[#All],[POS]],MATCH(Table5[[#This Row],[PID]],Batters[[#All],[PID]],0)),INDEX(Table3[[#All],[POS]],MATCH(Table5[[#This Row],[PID]],Table3[[#All],[PID]],0)))</f>
        <v>RF</v>
      </c>
      <c r="E138" s="52" t="str">
        <f>IF($C138="B",INDEX(Batters[[#All],[First]],MATCH(Table5[[#This Row],[PID]],Batters[[#All],[PID]],0)),INDEX(Table3[[#All],[First]],MATCH(Table5[[#This Row],[PID]],Table3[[#All],[PID]],0)))</f>
        <v>José</v>
      </c>
      <c r="F138" s="55" t="str">
        <f>IF($C138="B",INDEX(Batters[[#All],[Last]],MATCH(A138,Batters[[#All],[PID]],0)),INDEX(Table3[[#All],[Last]],MATCH(A138,Table3[[#All],[PID]],0)))</f>
        <v>Ramos</v>
      </c>
      <c r="G138" s="56">
        <f>IF($C138="B",INDEX(Batters[[#All],[Age]],MATCH(Table5[[#This Row],[PID]],Batters[[#All],[PID]],0)),INDEX(Table3[[#All],[Age]],MATCH(Table5[[#This Row],[PID]],Table3[[#All],[PID]],0)))</f>
        <v>17</v>
      </c>
      <c r="H138" s="52" t="str">
        <f>IF($C138="B",INDEX(Batters[[#All],[B]],MATCH(Table5[[#This Row],[PID]],Batters[[#All],[PID]],0)),INDEX(Table3[[#All],[B]],MATCH(Table5[[#This Row],[PID]],Table3[[#All],[PID]],0)))</f>
        <v>L</v>
      </c>
      <c r="I138" s="52" t="str">
        <f>IF($C138="B",INDEX(Batters[[#All],[T]],MATCH(Table5[[#This Row],[PID]],Batters[[#All],[PID]],0)),INDEX(Table3[[#All],[T]],MATCH(Table5[[#This Row],[PID]],Table3[[#All],[PID]],0)))</f>
        <v>L</v>
      </c>
      <c r="J138" s="69" t="str">
        <f>IF($C138="B",INDEX(Batters[[#All],[WE]],MATCH(Table5[[#This Row],[PID]],Batters[[#All],[PID]],0)),INDEX(Table3[[#All],[WE]],MATCH(Table5[[#This Row],[PID]],Table3[[#All],[PID]],0)))</f>
        <v>Normal</v>
      </c>
      <c r="K138" s="52" t="str">
        <f>IF($C138="B",INDEX(Batters[[#All],[INT]],MATCH(Table5[[#This Row],[PID]],Batters[[#All],[PID]],0)),INDEX(Table3[[#All],[INT]],MATCH(Table5[[#This Row],[PID]],Table3[[#All],[PID]],0)))</f>
        <v>Normal</v>
      </c>
      <c r="L138" s="60">
        <f>IF($C138="B",INDEX(Batters[[#All],[CON P]],MATCH(Table5[[#This Row],[PID]],Batters[[#All],[PID]],0)),INDEX(Table3[[#All],[STU P]],MATCH(Table5[[#This Row],[PID]],Table3[[#All],[PID]],0)))</f>
        <v>4</v>
      </c>
      <c r="M138" s="70">
        <f>IF($C138="B",INDEX(Batters[[#All],[GAP P]],MATCH(Table5[[#This Row],[PID]],Batters[[#All],[PID]],0)),INDEX(Table3[[#All],[MOV P]],MATCH(Table5[[#This Row],[PID]],Table3[[#All],[PID]],0)))</f>
        <v>6</v>
      </c>
      <c r="N138" s="70">
        <f>IF($C138="B",INDEX(Batters[[#All],[POW P]],MATCH(Table5[[#This Row],[PID]],Batters[[#All],[PID]],0)),INDEX(Table3[[#All],[CON P]],MATCH(Table5[[#This Row],[PID]],Table3[[#All],[PID]],0)))</f>
        <v>7</v>
      </c>
      <c r="O138" s="70">
        <f>IF($C138="B",INDEX(Batters[[#All],[EYE P]],MATCH(Table5[[#This Row],[PID]],Batters[[#All],[PID]],0)),INDEX(Table3[[#All],[VELO]],MATCH(Table5[[#This Row],[PID]],Table3[[#All],[PID]],0)))</f>
        <v>6</v>
      </c>
      <c r="P138" s="56">
        <f>IF($C138="B",INDEX(Batters[[#All],[K P]],MATCH(Table5[[#This Row],[PID]],Batters[[#All],[PID]],0)),INDEX(Table3[[#All],[STM]],MATCH(Table5[[#This Row],[PID]],Table3[[#All],[PID]],0)))</f>
        <v>3</v>
      </c>
      <c r="Q138" s="61">
        <f>IF($C138="B",INDEX(Batters[[#All],[Tot]],MATCH(Table5[[#This Row],[PID]],Batters[[#All],[PID]],0)),INDEX(Table3[[#All],[Tot]],MATCH(Table5[[#This Row],[PID]],Table3[[#All],[PID]],0)))</f>
        <v>51.898953783156543</v>
      </c>
      <c r="R138" s="52">
        <f>IF($C138="B",INDEX(Batters[[#All],[zScore]],MATCH(Table5[[#This Row],[PID]],Batters[[#All],[PID]],0)),INDEX(Table3[[#All],[zScore]],MATCH(Table5[[#This Row],[PID]],Table3[[#All],[PID]],0)))</f>
        <v>1.2670708077720358</v>
      </c>
      <c r="S138" s="75" t="str">
        <f>IF($C138="B",INDEX(Batters[[#All],[DEM]],MATCH(Table5[[#This Row],[PID]],Batters[[#All],[PID]],0)),INDEX(Table3[[#All],[DEM]],MATCH(Table5[[#This Row],[PID]],Table3[[#All],[PID]],0)))</f>
        <v>$420k</v>
      </c>
      <c r="T138" s="72">
        <f>IF($C138="B",INDEX(Batters[[#All],[Rnk]],MATCH(Table5[[#This Row],[PID]],Batters[[#All],[PID]],0)),INDEX(Table3[[#All],[Rnk]],MATCH(Table5[[#This Row],[PID]],Table3[[#All],[PID]],0)))</f>
        <v>9</v>
      </c>
      <c r="U138" s="67">
        <f>IF($C138="B",VLOOKUP($A138,Bat!$A$4:$BA$1314,47,FALSE),VLOOKUP($A138,Pit!$A$4:$BF$1214,56,FALSE))</f>
        <v>69</v>
      </c>
      <c r="V138" s="50">
        <f>IF($C138="B",VLOOKUP($A138,Bat!$A$4:$BA$1314,48,FALSE),VLOOKUP($A138,Pit!$A$4:$BF$1214,57,FALSE))</f>
        <v>69</v>
      </c>
      <c r="W138" s="68">
        <v>134</v>
      </c>
      <c r="X138" s="71">
        <f>RANK(Table5[[#This Row],[zScore]],Table5[[#All],[zScore]])</f>
        <v>105</v>
      </c>
      <c r="Y138" s="68">
        <f>IFERROR(INDEX(DraftResults[[#All],[OVR]],MATCH(Table5[[#This Row],[PID]],DraftResults[[#All],[Player ID]],0)),"")</f>
        <v>24</v>
      </c>
      <c r="Z138" s="7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1</v>
      </c>
      <c r="AA138" s="68">
        <f>IFERROR(INDEX(DraftResults[[#All],[Pick in Round]],MATCH(Table5[[#This Row],[PID]],DraftResults[[#All],[Player ID]],0)),"")</f>
        <v>24</v>
      </c>
      <c r="AB138" s="68" t="str">
        <f>IFERROR(INDEX(DraftResults[[#All],[Team Name]],MATCH(Table5[[#This Row],[PID]],DraftResults[[#All],[Player ID]],0)),"")</f>
        <v>West Virginia Alleghenies</v>
      </c>
      <c r="AC138" s="68">
        <f>IF(Table5[[#This Row],[Ovr]]="","",IF(Table5[[#This Row],[cmbList]]="","",Table5[[#This Row],[cmbList]]-Table5[[#This Row],[Ovr]]))</f>
        <v>110</v>
      </c>
      <c r="AD138" s="74" t="str">
        <f>IF(ISERROR(VLOOKUP($AB138&amp;"-"&amp;$E138&amp;" "&amp;F138,Bonuses!$B$1:$G$1006,4,FALSE)),"",INT(VLOOKUP($AB138&amp;"-"&amp;$E138&amp;" "&amp;$F138,Bonuses!$B$1:$G$1006,4,FALSE)))</f>
        <v/>
      </c>
      <c r="AE138" s="68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1.24 (24) - RF José Ramos</v>
      </c>
    </row>
    <row r="139" spans="1:31" s="50" customFormat="1" x14ac:dyDescent="0.3">
      <c r="A139" s="50">
        <v>12973</v>
      </c>
      <c r="B139" s="50">
        <f>COUNTIF(Table5[PID],A139)</f>
        <v>1</v>
      </c>
      <c r="C139" s="50" t="str">
        <f>IF(COUNTIF(Table3[[#All],[PID]],A139)&gt;0,"P","B")</f>
        <v>B</v>
      </c>
      <c r="D139" s="59" t="str">
        <f>IF($C139="B",INDEX(Batters[[#All],[POS]],MATCH(Table5[[#This Row],[PID]],Batters[[#All],[PID]],0)),INDEX(Table3[[#All],[POS]],MATCH(Table5[[#This Row],[PID]],Table3[[#All],[PID]],0)))</f>
        <v>1B</v>
      </c>
      <c r="E139" s="52" t="str">
        <f>IF($C139="B",INDEX(Batters[[#All],[First]],MATCH(Table5[[#This Row],[PID]],Batters[[#All],[PID]],0)),INDEX(Table3[[#All],[First]],MATCH(Table5[[#This Row],[PID]],Table3[[#All],[PID]],0)))</f>
        <v>Jorge</v>
      </c>
      <c r="F139" s="50" t="str">
        <f>IF($C139="B",INDEX(Batters[[#All],[Last]],MATCH(A139,Batters[[#All],[PID]],0)),INDEX(Table3[[#All],[Last]],MATCH(A139,Table3[[#All],[PID]],0)))</f>
        <v>Delgado</v>
      </c>
      <c r="G139" s="56">
        <f>IF($C139="B",INDEX(Batters[[#All],[Age]],MATCH(Table5[[#This Row],[PID]],Batters[[#All],[PID]],0)),INDEX(Table3[[#All],[Age]],MATCH(Table5[[#This Row],[PID]],Table3[[#All],[PID]],0)))</f>
        <v>18</v>
      </c>
      <c r="H139" s="52" t="str">
        <f>IF($C139="B",INDEX(Batters[[#All],[B]],MATCH(Table5[[#This Row],[PID]],Batters[[#All],[PID]],0)),INDEX(Table3[[#All],[B]],MATCH(Table5[[#This Row],[PID]],Table3[[#All],[PID]],0)))</f>
        <v>R</v>
      </c>
      <c r="I139" s="52" t="str">
        <f>IF($C139="B",INDEX(Batters[[#All],[T]],MATCH(Table5[[#This Row],[PID]],Batters[[#All],[PID]],0)),INDEX(Table3[[#All],[T]],MATCH(Table5[[#This Row],[PID]],Table3[[#All],[PID]],0)))</f>
        <v>R</v>
      </c>
      <c r="J139" s="52" t="str">
        <f>IF($C139="B",INDEX(Batters[[#All],[WE]],MATCH(Table5[[#This Row],[PID]],Batters[[#All],[PID]],0)),INDEX(Table3[[#All],[WE]],MATCH(Table5[[#This Row],[PID]],Table3[[#All],[PID]],0)))</f>
        <v>Normal</v>
      </c>
      <c r="K139" s="52" t="str">
        <f>IF($C139="B",INDEX(Batters[[#All],[INT]],MATCH(Table5[[#This Row],[PID]],Batters[[#All],[PID]],0)),INDEX(Table3[[#All],[INT]],MATCH(Table5[[#This Row],[PID]],Table3[[#All],[PID]],0)))</f>
        <v>Normal</v>
      </c>
      <c r="L139" s="60">
        <f>IF($C139="B",INDEX(Batters[[#All],[CON P]],MATCH(Table5[[#This Row],[PID]],Batters[[#All],[PID]],0)),INDEX(Table3[[#All],[STU P]],MATCH(Table5[[#This Row],[PID]],Table3[[#All],[PID]],0)))</f>
        <v>5</v>
      </c>
      <c r="M139" s="56">
        <f>IF($C139="B",INDEX(Batters[[#All],[GAP P]],MATCH(Table5[[#This Row],[PID]],Batters[[#All],[PID]],0)),INDEX(Table3[[#All],[MOV P]],MATCH(Table5[[#This Row],[PID]],Table3[[#All],[PID]],0)))</f>
        <v>5</v>
      </c>
      <c r="N139" s="56">
        <f>IF($C139="B",INDEX(Batters[[#All],[POW P]],MATCH(Table5[[#This Row],[PID]],Batters[[#All],[PID]],0)),INDEX(Table3[[#All],[CON P]],MATCH(Table5[[#This Row],[PID]],Table3[[#All],[PID]],0)))</f>
        <v>2</v>
      </c>
      <c r="O139" s="56">
        <f>IF($C139="B",INDEX(Batters[[#All],[EYE P]],MATCH(Table5[[#This Row],[PID]],Batters[[#All],[PID]],0)),INDEX(Table3[[#All],[VELO]],MATCH(Table5[[#This Row],[PID]],Table3[[#All],[PID]],0)))</f>
        <v>6</v>
      </c>
      <c r="P139" s="56">
        <f>IF($C139="B",INDEX(Batters[[#All],[K P]],MATCH(Table5[[#This Row],[PID]],Batters[[#All],[PID]],0)),INDEX(Table3[[#All],[STM]],MATCH(Table5[[#This Row],[PID]],Table3[[#All],[PID]],0)))</f>
        <v>5</v>
      </c>
      <c r="Q139" s="61">
        <f>IF($C139="B",INDEX(Batters[[#All],[Tot]],MATCH(Table5[[#This Row],[PID]],Batters[[#All],[PID]],0)),INDEX(Table3[[#All],[Tot]],MATCH(Table5[[#This Row],[PID]],Table3[[#All],[PID]],0)))</f>
        <v>51.062527690904929</v>
      </c>
      <c r="R139" s="52">
        <f>IF($C139="B",INDEX(Batters[[#All],[zScore]],MATCH(Table5[[#This Row],[PID]],Batters[[#All],[PID]],0)),INDEX(Table3[[#All],[zScore]],MATCH(Table5[[#This Row],[PID]],Table3[[#All],[PID]],0)))</f>
        <v>1.1449792722265135</v>
      </c>
      <c r="S139" s="58" t="str">
        <f>IF($C139="B",INDEX(Batters[[#All],[DEM]],MATCH(Table5[[#This Row],[PID]],Batters[[#All],[PID]],0)),INDEX(Table3[[#All],[DEM]],MATCH(Table5[[#This Row],[PID]],Table3[[#All],[PID]],0)))</f>
        <v>$70k</v>
      </c>
      <c r="T139" s="62">
        <f>IF($C139="B",INDEX(Batters[[#All],[Rnk]],MATCH(Table5[[#This Row],[PID]],Batters[[#All],[PID]],0)),INDEX(Table3[[#All],[Rnk]],MATCH(Table5[[#This Row],[PID]],Table3[[#All],[PID]],0)))</f>
        <v>9</v>
      </c>
      <c r="U139" s="67">
        <f>IF($C139="B",VLOOKUP($A139,Bat!$A$4:$BA$1314,47,FALSE),VLOOKUP($A139,Pit!$A$4:$BF$1214,56,FALSE))</f>
        <v>70</v>
      </c>
      <c r="V139" s="50">
        <f>IF($C139="B",VLOOKUP($A139,Bat!$A$4:$BA$1314,48,FALSE),VLOOKUP($A139,Pit!$A$4:$BF$1214,57,FALSE))</f>
        <v>70</v>
      </c>
      <c r="W139" s="50">
        <v>135</v>
      </c>
      <c r="X139" s="51">
        <f>RANK(Table5[[#This Row],[zScore]],Table5[[#All],[zScore]])</f>
        <v>128</v>
      </c>
      <c r="Y139" s="50">
        <f>IFERROR(INDEX(DraftResults[[#All],[OVR]],MATCH(Table5[[#This Row],[PID]],DraftResults[[#All],[Player ID]],0)),"")</f>
        <v>376</v>
      </c>
      <c r="Z139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12</v>
      </c>
      <c r="AA139" s="50">
        <f>IFERROR(INDEX(DraftResults[[#All],[Pick in Round]],MATCH(Table5[[#This Row],[PID]],DraftResults[[#All],[Player ID]],0)),"")</f>
        <v>11</v>
      </c>
      <c r="AB139" s="50" t="str">
        <f>IFERROR(INDEX(DraftResults[[#All],[Team Name]],MATCH(Table5[[#This Row],[PID]],DraftResults[[#All],[Player ID]],0)),"")</f>
        <v>Arlington Bureaucrats</v>
      </c>
      <c r="AC139" s="50">
        <f>IF(Table5[[#This Row],[Ovr]]="","",IF(Table5[[#This Row],[cmbList]]="","",Table5[[#This Row],[cmbList]]-Table5[[#This Row],[Ovr]]))</f>
        <v>-241</v>
      </c>
      <c r="AD139" s="54" t="str">
        <f>IF(ISERROR(VLOOKUP($AB139&amp;"-"&amp;$E139&amp;" "&amp;F139,Bonuses!$B$1:$G$1006,4,FALSE)),"",INT(VLOOKUP($AB139&amp;"-"&amp;$E139&amp;" "&amp;$F139,Bonuses!$B$1:$G$1006,4,FALSE)))</f>
        <v/>
      </c>
      <c r="AE139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12.11 (376) - 1B Jorge Delgado</v>
      </c>
    </row>
    <row r="140" spans="1:31" s="50" customFormat="1" x14ac:dyDescent="0.3">
      <c r="A140" s="50">
        <v>13474</v>
      </c>
      <c r="B140" s="50">
        <f>COUNTIF(Table5[PID],A140)</f>
        <v>1</v>
      </c>
      <c r="C140" s="50" t="str">
        <f>IF(COUNTIF(Table3[[#All],[PID]],A140)&gt;0,"P","B")</f>
        <v>B</v>
      </c>
      <c r="D140" s="59" t="str">
        <f>IF($C140="B",INDEX(Batters[[#All],[POS]],MATCH(Table5[[#This Row],[PID]],Batters[[#All],[PID]],0)),INDEX(Table3[[#All],[POS]],MATCH(Table5[[#This Row],[PID]],Table3[[#All],[PID]],0)))</f>
        <v>C</v>
      </c>
      <c r="E140" s="52" t="str">
        <f>IF($C140="B",INDEX(Batters[[#All],[First]],MATCH(Table5[[#This Row],[PID]],Batters[[#All],[PID]],0)),INDEX(Table3[[#All],[First]],MATCH(Table5[[#This Row],[PID]],Table3[[#All],[PID]],0)))</f>
        <v>Hirotada</v>
      </c>
      <c r="F140" s="50" t="str">
        <f>IF($C140="B",INDEX(Batters[[#All],[Last]],MATCH(A140,Batters[[#All],[PID]],0)),INDEX(Table3[[#All],[Last]],MATCH(A140,Table3[[#All],[PID]],0)))</f>
        <v>Hirano</v>
      </c>
      <c r="G140" s="56">
        <f>IF($C140="B",INDEX(Batters[[#All],[Age]],MATCH(Table5[[#This Row],[PID]],Batters[[#All],[PID]],0)),INDEX(Table3[[#All],[Age]],MATCH(Table5[[#This Row],[PID]],Table3[[#All],[PID]],0)))</f>
        <v>18</v>
      </c>
      <c r="H140" s="52" t="str">
        <f>IF($C140="B",INDEX(Batters[[#All],[B]],MATCH(Table5[[#This Row],[PID]],Batters[[#All],[PID]],0)),INDEX(Table3[[#All],[B]],MATCH(Table5[[#This Row],[PID]],Table3[[#All],[PID]],0)))</f>
        <v>R</v>
      </c>
      <c r="I140" s="52" t="str">
        <f>IF($C140="B",INDEX(Batters[[#All],[T]],MATCH(Table5[[#This Row],[PID]],Batters[[#All],[PID]],0)),INDEX(Table3[[#All],[T]],MATCH(Table5[[#This Row],[PID]],Table3[[#All],[PID]],0)))</f>
        <v>R</v>
      </c>
      <c r="J140" s="52" t="str">
        <f>IF($C140="B",INDEX(Batters[[#All],[WE]],MATCH(Table5[[#This Row],[PID]],Batters[[#All],[PID]],0)),INDEX(Table3[[#All],[WE]],MATCH(Table5[[#This Row],[PID]],Table3[[#All],[PID]],0)))</f>
        <v>Normal</v>
      </c>
      <c r="K140" s="52" t="str">
        <f>IF($C140="B",INDEX(Batters[[#All],[INT]],MATCH(Table5[[#This Row],[PID]],Batters[[#All],[PID]],0)),INDEX(Table3[[#All],[INT]],MATCH(Table5[[#This Row],[PID]],Table3[[#All],[PID]],0)))</f>
        <v>Normal</v>
      </c>
      <c r="L140" s="60">
        <f>IF($C140="B",INDEX(Batters[[#All],[CON P]],MATCH(Table5[[#This Row],[PID]],Batters[[#All],[PID]],0)),INDEX(Table3[[#All],[STU P]],MATCH(Table5[[#This Row],[PID]],Table3[[#All],[PID]],0)))</f>
        <v>3</v>
      </c>
      <c r="M140" s="56">
        <f>IF($C140="B",INDEX(Batters[[#All],[GAP P]],MATCH(Table5[[#This Row],[PID]],Batters[[#All],[PID]],0)),INDEX(Table3[[#All],[MOV P]],MATCH(Table5[[#This Row],[PID]],Table3[[#All],[PID]],0)))</f>
        <v>7</v>
      </c>
      <c r="N140" s="56">
        <f>IF($C140="B",INDEX(Batters[[#All],[POW P]],MATCH(Table5[[#This Row],[PID]],Batters[[#All],[PID]],0)),INDEX(Table3[[#All],[CON P]],MATCH(Table5[[#This Row],[PID]],Table3[[#All],[PID]],0)))</f>
        <v>7</v>
      </c>
      <c r="O140" s="56">
        <f>IF($C140="B",INDEX(Batters[[#All],[EYE P]],MATCH(Table5[[#This Row],[PID]],Batters[[#All],[PID]],0)),INDEX(Table3[[#All],[VELO]],MATCH(Table5[[#This Row],[PID]],Table3[[#All],[PID]],0)))</f>
        <v>5</v>
      </c>
      <c r="P140" s="56">
        <f>IF($C140="B",INDEX(Batters[[#All],[K P]],MATCH(Table5[[#This Row],[PID]],Batters[[#All],[PID]],0)),INDEX(Table3[[#All],[STM]],MATCH(Table5[[#This Row],[PID]],Table3[[#All],[PID]],0)))</f>
        <v>2</v>
      </c>
      <c r="Q140" s="61">
        <f>IF($C140="B",INDEX(Batters[[#All],[Tot]],MATCH(Table5[[#This Row],[PID]],Batters[[#All],[PID]],0)),INDEX(Table3[[#All],[Tot]],MATCH(Table5[[#This Row],[PID]],Table3[[#All],[PID]],0)))</f>
        <v>47.255263387980108</v>
      </c>
      <c r="R140" s="52">
        <f>IF($C140="B",INDEX(Batters[[#All],[zScore]],MATCH(Table5[[#This Row],[PID]],Batters[[#All],[PID]],0)),INDEX(Table3[[#All],[zScore]],MATCH(Table5[[#This Row],[PID]],Table3[[#All],[PID]],0)))</f>
        <v>0.58924009900149565</v>
      </c>
      <c r="S140" s="58" t="str">
        <f>IF($C140="B",INDEX(Batters[[#All],[DEM]],MATCH(Table5[[#This Row],[PID]],Batters[[#All],[PID]],0)),INDEX(Table3[[#All],[DEM]],MATCH(Table5[[#This Row],[PID]],Table3[[#All],[PID]],0)))</f>
        <v>$330k</v>
      </c>
      <c r="T140" s="62">
        <f>IF($C140="B",INDEX(Batters[[#All],[Rnk]],MATCH(Table5[[#This Row],[PID]],Batters[[#All],[PID]],0)),INDEX(Table3[[#All],[Rnk]],MATCH(Table5[[#This Row],[PID]],Table3[[#All],[PID]],0)))</f>
        <v>7</v>
      </c>
      <c r="U140" s="67">
        <f>IF($C140="B",VLOOKUP($A140,Bat!$A$4:$BA$1314,47,FALSE),VLOOKUP($A140,Pit!$A$4:$BF$1214,56,FALSE))</f>
        <v>71</v>
      </c>
      <c r="V140" s="50">
        <f>IF($C140="B",VLOOKUP($A140,Bat!$A$4:$BA$1314,48,FALSE),VLOOKUP($A140,Pit!$A$4:$BF$1214,57,FALSE))</f>
        <v>71</v>
      </c>
      <c r="W140" s="68">
        <v>136</v>
      </c>
      <c r="X140" s="51">
        <f>RANK(Table5[[#This Row],[zScore]],Table5[[#All],[zScore]])</f>
        <v>207</v>
      </c>
      <c r="Y140" s="50">
        <f>IFERROR(INDEX(DraftResults[[#All],[OVR]],MATCH(Table5[[#This Row],[PID]],DraftResults[[#All],[Player ID]],0)),"")</f>
        <v>112</v>
      </c>
      <c r="Z140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4</v>
      </c>
      <c r="AA140" s="50">
        <f>IFERROR(INDEX(DraftResults[[#All],[Pick in Round]],MATCH(Table5[[#This Row],[PID]],DraftResults[[#All],[Player ID]],0)),"")</f>
        <v>7</v>
      </c>
      <c r="AB140" s="50" t="str">
        <f>IFERROR(INDEX(DraftResults[[#All],[Team Name]],MATCH(Table5[[#This Row],[PID]],DraftResults[[#All],[Player ID]],0)),"")</f>
        <v>Hartford Harpoon</v>
      </c>
      <c r="AC140" s="50">
        <f>IF(Table5[[#This Row],[Ovr]]="","",IF(Table5[[#This Row],[cmbList]]="","",Table5[[#This Row],[cmbList]]-Table5[[#This Row],[Ovr]]))</f>
        <v>24</v>
      </c>
      <c r="AD140" s="54" t="str">
        <f>IF(ISERROR(VLOOKUP($AB140&amp;"-"&amp;$E140&amp;" "&amp;F140,Bonuses!$B$1:$G$1006,4,FALSE)),"",INT(VLOOKUP($AB140&amp;"-"&amp;$E140&amp;" "&amp;$F140,Bonuses!$B$1:$G$1006,4,FALSE)))</f>
        <v/>
      </c>
      <c r="AE140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4.7 (112) - C Hirotada Hirano</v>
      </c>
    </row>
    <row r="141" spans="1:31" s="50" customFormat="1" x14ac:dyDescent="0.3">
      <c r="A141" s="50">
        <v>11398</v>
      </c>
      <c r="B141" s="55">
        <f>COUNTIF(Table5[PID],A141)</f>
        <v>1</v>
      </c>
      <c r="C141" s="55" t="str">
        <f>IF(COUNTIF(Table3[[#All],[PID]],A141)&gt;0,"P","B")</f>
        <v>B</v>
      </c>
      <c r="D141" s="59" t="str">
        <f>IF($C141="B",INDEX(Batters[[#All],[POS]],MATCH(Table5[[#This Row],[PID]],Batters[[#All],[PID]],0)),INDEX(Table3[[#All],[POS]],MATCH(Table5[[#This Row],[PID]],Table3[[#All],[PID]],0)))</f>
        <v>C</v>
      </c>
      <c r="E141" s="52" t="str">
        <f>IF($C141="B",INDEX(Batters[[#All],[First]],MATCH(Table5[[#This Row],[PID]],Batters[[#All],[PID]],0)),INDEX(Table3[[#All],[First]],MATCH(Table5[[#This Row],[PID]],Table3[[#All],[PID]],0)))</f>
        <v>James</v>
      </c>
      <c r="F141" s="50" t="str">
        <f>IF($C141="B",INDEX(Batters[[#All],[Last]],MATCH(A141,Batters[[#All],[PID]],0)),INDEX(Table3[[#All],[Last]],MATCH(A141,Table3[[#All],[PID]],0)))</f>
        <v>Verney</v>
      </c>
      <c r="G141" s="56">
        <f>IF($C141="B",INDEX(Batters[[#All],[Age]],MATCH(Table5[[#This Row],[PID]],Batters[[#All],[PID]],0)),INDEX(Table3[[#All],[Age]],MATCH(Table5[[#This Row],[PID]],Table3[[#All],[PID]],0)))</f>
        <v>18</v>
      </c>
      <c r="H141" s="52" t="str">
        <f>IF($C141="B",INDEX(Batters[[#All],[B]],MATCH(Table5[[#This Row],[PID]],Batters[[#All],[PID]],0)),INDEX(Table3[[#All],[B]],MATCH(Table5[[#This Row],[PID]],Table3[[#All],[PID]],0)))</f>
        <v>L</v>
      </c>
      <c r="I141" s="52" t="str">
        <f>IF($C141="B",INDEX(Batters[[#All],[T]],MATCH(Table5[[#This Row],[PID]],Batters[[#All],[PID]],0)),INDEX(Table3[[#All],[T]],MATCH(Table5[[#This Row],[PID]],Table3[[#All],[PID]],0)))</f>
        <v>R</v>
      </c>
      <c r="J141" s="52" t="str">
        <f>IF($C141="B",INDEX(Batters[[#All],[WE]],MATCH(Table5[[#This Row],[PID]],Batters[[#All],[PID]],0)),INDEX(Table3[[#All],[WE]],MATCH(Table5[[#This Row],[PID]],Table3[[#All],[PID]],0)))</f>
        <v>Normal</v>
      </c>
      <c r="K141" s="52" t="str">
        <f>IF($C141="B",INDEX(Batters[[#All],[INT]],MATCH(Table5[[#This Row],[PID]],Batters[[#All],[PID]],0)),INDEX(Table3[[#All],[INT]],MATCH(Table5[[#This Row],[PID]],Table3[[#All],[PID]],0)))</f>
        <v>Normal</v>
      </c>
      <c r="L141" s="60">
        <f>IF($C141="B",INDEX(Batters[[#All],[CON P]],MATCH(Table5[[#This Row],[PID]],Batters[[#All],[PID]],0)),INDEX(Table3[[#All],[STU P]],MATCH(Table5[[#This Row],[PID]],Table3[[#All],[PID]],0)))</f>
        <v>4</v>
      </c>
      <c r="M141" s="56">
        <f>IF($C141="B",INDEX(Batters[[#All],[GAP P]],MATCH(Table5[[#This Row],[PID]],Batters[[#All],[PID]],0)),INDEX(Table3[[#All],[MOV P]],MATCH(Table5[[#This Row],[PID]],Table3[[#All],[PID]],0)))</f>
        <v>5</v>
      </c>
      <c r="N141" s="56">
        <f>IF($C141="B",INDEX(Batters[[#All],[POW P]],MATCH(Table5[[#This Row],[PID]],Batters[[#All],[PID]],0)),INDEX(Table3[[#All],[CON P]],MATCH(Table5[[#This Row],[PID]],Table3[[#All],[PID]],0)))</f>
        <v>4</v>
      </c>
      <c r="O141" s="56">
        <f>IF($C141="B",INDEX(Batters[[#All],[EYE P]],MATCH(Table5[[#This Row],[PID]],Batters[[#All],[PID]],0)),INDEX(Table3[[#All],[VELO]],MATCH(Table5[[#This Row],[PID]],Table3[[#All],[PID]],0)))</f>
        <v>5</v>
      </c>
      <c r="P141" s="56">
        <f>IF($C141="B",INDEX(Batters[[#All],[K P]],MATCH(Table5[[#This Row],[PID]],Batters[[#All],[PID]],0)),INDEX(Table3[[#All],[STM]],MATCH(Table5[[#This Row],[PID]],Table3[[#All],[PID]],0)))</f>
        <v>4</v>
      </c>
      <c r="Q141" s="61">
        <f>IF($C141="B",INDEX(Batters[[#All],[Tot]],MATCH(Table5[[#This Row],[PID]],Batters[[#All],[PID]],0)),INDEX(Table3[[#All],[Tot]],MATCH(Table5[[#This Row],[PID]],Table3[[#All],[PID]],0)))</f>
        <v>47.869040862725008</v>
      </c>
      <c r="R141" s="52">
        <f>IF($C141="B",INDEX(Batters[[#All],[zScore]],MATCH(Table5[[#This Row],[PID]],Batters[[#All],[PID]],0)),INDEX(Table3[[#All],[zScore]],MATCH(Table5[[#This Row],[PID]],Table3[[#All],[PID]],0)))</f>
        <v>0.67883203673401127</v>
      </c>
      <c r="S141" s="58" t="str">
        <f>IF($C141="B",INDEX(Batters[[#All],[DEM]],MATCH(Table5[[#This Row],[PID]],Batters[[#All],[PID]],0)),INDEX(Table3[[#All],[DEM]],MATCH(Table5[[#This Row],[PID]],Table3[[#All],[PID]],0)))</f>
        <v>$200k</v>
      </c>
      <c r="T141" s="62">
        <f>IF($C141="B",INDEX(Batters[[#All],[Rnk]],MATCH(Table5[[#This Row],[PID]],Batters[[#All],[PID]],0)),INDEX(Table3[[#All],[Rnk]],MATCH(Table5[[#This Row],[PID]],Table3[[#All],[PID]],0)))</f>
        <v>8</v>
      </c>
      <c r="U141" s="67">
        <f>IF($C141="B",VLOOKUP($A141,Bat!$A$4:$BA$1314,47,FALSE),VLOOKUP($A141,Pit!$A$4:$BF$1214,56,FALSE))</f>
        <v>72</v>
      </c>
      <c r="V141" s="50">
        <f>IF($C141="B",VLOOKUP($A141,Bat!$A$4:$BA$1314,48,FALSE),VLOOKUP($A141,Pit!$A$4:$BF$1214,57,FALSE))</f>
        <v>72</v>
      </c>
      <c r="W141" s="50">
        <v>137</v>
      </c>
      <c r="X141" s="51">
        <f>RANK(Table5[[#This Row],[zScore]],Table5[[#All],[zScore]])</f>
        <v>190</v>
      </c>
      <c r="Y141" s="50">
        <f>IFERROR(INDEX(DraftResults[[#All],[OVR]],MATCH(Table5[[#This Row],[PID]],DraftResults[[#All],[Player ID]],0)),"")</f>
        <v>621</v>
      </c>
      <c r="Z141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19</v>
      </c>
      <c r="AA141" s="50">
        <f>IFERROR(INDEX(DraftResults[[#All],[Pick in Round]],MATCH(Table5[[#This Row],[PID]],DraftResults[[#All],[Player ID]],0)),"")</f>
        <v>18</v>
      </c>
      <c r="AB141" s="50" t="str">
        <f>IFERROR(INDEX(DraftResults[[#All],[Team Name]],MATCH(Table5[[#This Row],[PID]],DraftResults[[#All],[Player ID]],0)),"")</f>
        <v>San Juan Coqui</v>
      </c>
      <c r="AC141" s="50">
        <f>IF(Table5[[#This Row],[Ovr]]="","",IF(Table5[[#This Row],[cmbList]]="","",Table5[[#This Row],[cmbList]]-Table5[[#This Row],[Ovr]]))</f>
        <v>-484</v>
      </c>
      <c r="AD141" s="54" t="str">
        <f>IF(ISERROR(VLOOKUP($AB141&amp;"-"&amp;$E141&amp;" "&amp;F141,Bonuses!$B$1:$G$1006,4,FALSE)),"",INT(VLOOKUP($AB141&amp;"-"&amp;$E141&amp;" "&amp;$F141,Bonuses!$B$1:$G$1006,4,FALSE)))</f>
        <v/>
      </c>
      <c r="AE141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19.18 (621) - C James Verney</v>
      </c>
    </row>
    <row r="142" spans="1:31" s="50" customFormat="1" x14ac:dyDescent="0.3">
      <c r="A142" s="67">
        <v>20917</v>
      </c>
      <c r="B142" s="68">
        <f>COUNTIF(Table5[PID],A142)</f>
        <v>1</v>
      </c>
      <c r="C142" s="68" t="str">
        <f>IF(COUNTIF(Table3[[#All],[PID]],A142)&gt;0,"P","B")</f>
        <v>B</v>
      </c>
      <c r="D142" s="59" t="str">
        <f>IF($C142="B",INDEX(Batters[[#All],[POS]],MATCH(Table5[[#This Row],[PID]],Batters[[#All],[PID]],0)),INDEX(Table3[[#All],[POS]],MATCH(Table5[[#This Row],[PID]],Table3[[#All],[PID]],0)))</f>
        <v>3B</v>
      </c>
      <c r="E142" s="52" t="str">
        <f>IF($C142="B",INDEX(Batters[[#All],[First]],MATCH(Table5[[#This Row],[PID]],Batters[[#All],[PID]],0)),INDEX(Table3[[#All],[First]],MATCH(Table5[[#This Row],[PID]],Table3[[#All],[PID]],0)))</f>
        <v>Chris</v>
      </c>
      <c r="F142" s="55" t="str">
        <f>IF($C142="B",INDEX(Batters[[#All],[Last]],MATCH(A142,Batters[[#All],[PID]],0)),INDEX(Table3[[#All],[Last]],MATCH(A142,Table3[[#All],[PID]],0)))</f>
        <v>Wright</v>
      </c>
      <c r="G142" s="56">
        <f>IF($C142="B",INDEX(Batters[[#All],[Age]],MATCH(Table5[[#This Row],[PID]],Batters[[#All],[PID]],0)),INDEX(Table3[[#All],[Age]],MATCH(Table5[[#This Row],[PID]],Table3[[#All],[PID]],0)))</f>
        <v>17</v>
      </c>
      <c r="H142" s="52" t="str">
        <f>IF($C142="B",INDEX(Batters[[#All],[B]],MATCH(Table5[[#This Row],[PID]],Batters[[#All],[PID]],0)),INDEX(Table3[[#All],[B]],MATCH(Table5[[#This Row],[PID]],Table3[[#All],[PID]],0)))</f>
        <v>L</v>
      </c>
      <c r="I142" s="52" t="str">
        <f>IF($C142="B",INDEX(Batters[[#All],[T]],MATCH(Table5[[#This Row],[PID]],Batters[[#All],[PID]],0)),INDEX(Table3[[#All],[T]],MATCH(Table5[[#This Row],[PID]],Table3[[#All],[PID]],0)))</f>
        <v>R</v>
      </c>
      <c r="J142" s="69" t="str">
        <f>IF($C142="B",INDEX(Batters[[#All],[WE]],MATCH(Table5[[#This Row],[PID]],Batters[[#All],[PID]],0)),INDEX(Table3[[#All],[WE]],MATCH(Table5[[#This Row],[PID]],Table3[[#All],[PID]],0)))</f>
        <v>Low</v>
      </c>
      <c r="K142" s="52" t="str">
        <f>IF($C142="B",INDEX(Batters[[#All],[INT]],MATCH(Table5[[#This Row],[PID]],Batters[[#All],[PID]],0)),INDEX(Table3[[#All],[INT]],MATCH(Table5[[#This Row],[PID]],Table3[[#All],[PID]],0)))</f>
        <v>Normal</v>
      </c>
      <c r="L142" s="60">
        <f>IF($C142="B",INDEX(Batters[[#All],[CON P]],MATCH(Table5[[#This Row],[PID]],Batters[[#All],[PID]],0)),INDEX(Table3[[#All],[STU P]],MATCH(Table5[[#This Row],[PID]],Table3[[#All],[PID]],0)))</f>
        <v>3</v>
      </c>
      <c r="M142" s="70">
        <f>IF($C142="B",INDEX(Batters[[#All],[GAP P]],MATCH(Table5[[#This Row],[PID]],Batters[[#All],[PID]],0)),INDEX(Table3[[#All],[MOV P]],MATCH(Table5[[#This Row],[PID]],Table3[[#All],[PID]],0)))</f>
        <v>6</v>
      </c>
      <c r="N142" s="70">
        <f>IF($C142="B",INDEX(Batters[[#All],[POW P]],MATCH(Table5[[#This Row],[PID]],Batters[[#All],[PID]],0)),INDEX(Table3[[#All],[CON P]],MATCH(Table5[[#This Row],[PID]],Table3[[#All],[PID]],0)))</f>
        <v>7</v>
      </c>
      <c r="O142" s="70">
        <f>IF($C142="B",INDEX(Batters[[#All],[EYE P]],MATCH(Table5[[#This Row],[PID]],Batters[[#All],[PID]],0)),INDEX(Table3[[#All],[VELO]],MATCH(Table5[[#This Row],[PID]],Table3[[#All],[PID]],0)))</f>
        <v>6</v>
      </c>
      <c r="P142" s="56">
        <f>IF($C142="B",INDEX(Batters[[#All],[K P]],MATCH(Table5[[#This Row],[PID]],Batters[[#All],[PID]],0)),INDEX(Table3[[#All],[STM]],MATCH(Table5[[#This Row],[PID]],Table3[[#All],[PID]],0)))</f>
        <v>3</v>
      </c>
      <c r="Q142" s="61">
        <f>IF($C142="B",INDEX(Batters[[#All],[Tot]],MATCH(Table5[[#This Row],[PID]],Batters[[#All],[PID]],0)),INDEX(Table3[[#All],[Tot]],MATCH(Table5[[#This Row],[PID]],Table3[[#All],[PID]],0)))</f>
        <v>47.643566268708035</v>
      </c>
      <c r="R142" s="52">
        <f>IF($C142="B",INDEX(Batters[[#All],[zScore]],MATCH(Table5[[#This Row],[PID]],Batters[[#All],[PID]],0)),INDEX(Table3[[#All],[zScore]],MATCH(Table5[[#This Row],[PID]],Table3[[#All],[PID]],0)))</f>
        <v>0.64591993647189472</v>
      </c>
      <c r="S142" s="75" t="str">
        <f>IF($C142="B",INDEX(Batters[[#All],[DEM]],MATCH(Table5[[#This Row],[PID]],Batters[[#All],[PID]],0)),INDEX(Table3[[#All],[DEM]],MATCH(Table5[[#This Row],[PID]],Table3[[#All],[PID]],0)))</f>
        <v>$280k</v>
      </c>
      <c r="T142" s="72">
        <f>IF($C142="B",INDEX(Batters[[#All],[Rnk]],MATCH(Table5[[#This Row],[PID]],Batters[[#All],[PID]],0)),INDEX(Table3[[#All],[Rnk]],MATCH(Table5[[#This Row],[PID]],Table3[[#All],[PID]],0)))</f>
        <v>8</v>
      </c>
      <c r="U142" s="67">
        <f>IF($C142="B",VLOOKUP($A142,Bat!$A$4:$BA$1314,47,FALSE),VLOOKUP($A142,Pit!$A$4:$BF$1214,56,FALSE))</f>
        <v>73</v>
      </c>
      <c r="V142" s="50">
        <f>IF($C142="B",VLOOKUP($A142,Bat!$A$4:$BA$1314,48,FALSE),VLOOKUP($A142,Pit!$A$4:$BF$1214,57,FALSE))</f>
        <v>73</v>
      </c>
      <c r="W142" s="68">
        <v>138</v>
      </c>
      <c r="X142" s="71">
        <f>RANK(Table5[[#This Row],[zScore]],Table5[[#All],[zScore]])</f>
        <v>193</v>
      </c>
      <c r="Y142" s="68">
        <f>IFERROR(INDEX(DraftResults[[#All],[OVR]],MATCH(Table5[[#This Row],[PID]],DraftResults[[#All],[Player ID]],0)),"")</f>
        <v>179</v>
      </c>
      <c r="Z142" s="7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6</v>
      </c>
      <c r="AA142" s="68">
        <f>IFERROR(INDEX(DraftResults[[#All],[Pick in Round]],MATCH(Table5[[#This Row],[PID]],DraftResults[[#All],[Player ID]],0)),"")</f>
        <v>10</v>
      </c>
      <c r="AB142" s="68" t="str">
        <f>IFERROR(INDEX(DraftResults[[#All],[Team Name]],MATCH(Table5[[#This Row],[PID]],DraftResults[[#All],[Player ID]],0)),"")</f>
        <v>London Underground</v>
      </c>
      <c r="AC142" s="68">
        <f>IF(Table5[[#This Row],[Ovr]]="","",IF(Table5[[#This Row],[cmbList]]="","",Table5[[#This Row],[cmbList]]-Table5[[#This Row],[Ovr]]))</f>
        <v>-41</v>
      </c>
      <c r="AD142" s="74" t="str">
        <f>IF(ISERROR(VLOOKUP($AB142&amp;"-"&amp;$E142&amp;" "&amp;F142,Bonuses!$B$1:$G$1006,4,FALSE)),"",INT(VLOOKUP($AB142&amp;"-"&amp;$E142&amp;" "&amp;$F142,Bonuses!$B$1:$G$1006,4,FALSE)))</f>
        <v/>
      </c>
      <c r="AE142" s="68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6.10 (179) - 3B Chris Wright</v>
      </c>
    </row>
    <row r="143" spans="1:31" s="50" customFormat="1" x14ac:dyDescent="0.3">
      <c r="A143" s="50">
        <v>7817</v>
      </c>
      <c r="B143" s="50">
        <f>COUNTIF(Table5[PID],A143)</f>
        <v>1</v>
      </c>
      <c r="C143" s="50" t="str">
        <f>IF(COUNTIF(Table3[[#All],[PID]],A143)&gt;0,"P","B")</f>
        <v>B</v>
      </c>
      <c r="D143" s="59" t="str">
        <f>IF($C143="B",INDEX(Batters[[#All],[POS]],MATCH(Table5[[#This Row],[PID]],Batters[[#All],[PID]],0)),INDEX(Table3[[#All],[POS]],MATCH(Table5[[#This Row],[PID]],Table3[[#All],[PID]],0)))</f>
        <v>C</v>
      </c>
      <c r="E143" s="52" t="str">
        <f>IF($C143="B",INDEX(Batters[[#All],[First]],MATCH(Table5[[#This Row],[PID]],Batters[[#All],[PID]],0)),INDEX(Table3[[#All],[First]],MATCH(Table5[[#This Row],[PID]],Table3[[#All],[PID]],0)))</f>
        <v>Joshua</v>
      </c>
      <c r="F143" s="50" t="str">
        <f>IF($C143="B",INDEX(Batters[[#All],[Last]],MATCH(A143,Batters[[#All],[PID]],0)),INDEX(Table3[[#All],[Last]],MATCH(A143,Table3[[#All],[PID]],0)))</f>
        <v>Lemercier</v>
      </c>
      <c r="G143" s="56">
        <f>IF($C143="B",INDEX(Batters[[#All],[Age]],MATCH(Table5[[#This Row],[PID]],Batters[[#All],[PID]],0)),INDEX(Table3[[#All],[Age]],MATCH(Table5[[#This Row],[PID]],Table3[[#All],[PID]],0)))</f>
        <v>21</v>
      </c>
      <c r="H143" s="52" t="str">
        <f>IF($C143="B",INDEX(Batters[[#All],[B]],MATCH(Table5[[#This Row],[PID]],Batters[[#All],[PID]],0)),INDEX(Table3[[#All],[B]],MATCH(Table5[[#This Row],[PID]],Table3[[#All],[PID]],0)))</f>
        <v>R</v>
      </c>
      <c r="I143" s="52" t="str">
        <f>IF($C143="B",INDEX(Batters[[#All],[T]],MATCH(Table5[[#This Row],[PID]],Batters[[#All],[PID]],0)),INDEX(Table3[[#All],[T]],MATCH(Table5[[#This Row],[PID]],Table3[[#All],[PID]],0)))</f>
        <v>R</v>
      </c>
      <c r="J143" s="52" t="str">
        <f>IF($C143="B",INDEX(Batters[[#All],[WE]],MATCH(Table5[[#This Row],[PID]],Batters[[#All],[PID]],0)),INDEX(Table3[[#All],[WE]],MATCH(Table5[[#This Row],[PID]],Table3[[#All],[PID]],0)))</f>
        <v>Normal</v>
      </c>
      <c r="K143" s="52" t="str">
        <f>IF($C143="B",INDEX(Batters[[#All],[INT]],MATCH(Table5[[#This Row],[PID]],Batters[[#All],[PID]],0)),INDEX(Table3[[#All],[INT]],MATCH(Table5[[#This Row],[PID]],Table3[[#All],[PID]],0)))</f>
        <v>Normal</v>
      </c>
      <c r="L143" s="60">
        <f>IF($C143="B",INDEX(Batters[[#All],[CON P]],MATCH(Table5[[#This Row],[PID]],Batters[[#All],[PID]],0)),INDEX(Table3[[#All],[STU P]],MATCH(Table5[[#This Row],[PID]],Table3[[#All],[PID]],0)))</f>
        <v>4</v>
      </c>
      <c r="M143" s="56">
        <f>IF($C143="B",INDEX(Batters[[#All],[GAP P]],MATCH(Table5[[#This Row],[PID]],Batters[[#All],[PID]],0)),INDEX(Table3[[#All],[MOV P]],MATCH(Table5[[#This Row],[PID]],Table3[[#All],[PID]],0)))</f>
        <v>5</v>
      </c>
      <c r="N143" s="56">
        <f>IF($C143="B",INDEX(Batters[[#All],[POW P]],MATCH(Table5[[#This Row],[PID]],Batters[[#All],[PID]],0)),INDEX(Table3[[#All],[CON P]],MATCH(Table5[[#This Row],[PID]],Table3[[#All],[PID]],0)))</f>
        <v>4</v>
      </c>
      <c r="O143" s="56">
        <f>IF($C143="B",INDEX(Batters[[#All],[EYE P]],MATCH(Table5[[#This Row],[PID]],Batters[[#All],[PID]],0)),INDEX(Table3[[#All],[VELO]],MATCH(Table5[[#This Row],[PID]],Table3[[#All],[PID]],0)))</f>
        <v>6</v>
      </c>
      <c r="P143" s="56">
        <f>IF($C143="B",INDEX(Batters[[#All],[K P]],MATCH(Table5[[#This Row],[PID]],Batters[[#All],[PID]],0)),INDEX(Table3[[#All],[STM]],MATCH(Table5[[#This Row],[PID]],Table3[[#All],[PID]],0)))</f>
        <v>4</v>
      </c>
      <c r="Q143" s="61">
        <f>IF($C143="B",INDEX(Batters[[#All],[Tot]],MATCH(Table5[[#This Row],[PID]],Batters[[#All],[PID]],0)),INDEX(Table3[[#All],[Tot]],MATCH(Table5[[#This Row],[PID]],Table3[[#All],[PID]],0)))</f>
        <v>45.089080626647636</v>
      </c>
      <c r="R143" s="52">
        <f>IF($C143="B",INDEX(Batters[[#All],[zScore]],MATCH(Table5[[#This Row],[PID]],Batters[[#All],[PID]],0)),INDEX(Table3[[#All],[zScore]],MATCH(Table5[[#This Row],[PID]],Table3[[#All],[PID]],0)))</f>
        <v>0.27304649617954702</v>
      </c>
      <c r="S143" s="58" t="str">
        <f>IF($C143="B",INDEX(Batters[[#All],[DEM]],MATCH(Table5[[#This Row],[PID]],Batters[[#All],[PID]],0)),INDEX(Table3[[#All],[DEM]],MATCH(Table5[[#This Row],[PID]],Table3[[#All],[PID]],0)))</f>
        <v>$26k</v>
      </c>
      <c r="T143" s="62">
        <f>IF($C143="B",INDEX(Batters[[#All],[Rnk]],MATCH(Table5[[#This Row],[PID]],Batters[[#All],[PID]],0)),INDEX(Table3[[#All],[Rnk]],MATCH(Table5[[#This Row],[PID]],Table3[[#All],[PID]],0)))</f>
        <v>8</v>
      </c>
      <c r="U143" s="67">
        <f>IF($C143="B",VLOOKUP($A143,Bat!$A$4:$BA$1314,47,FALSE),VLOOKUP($A143,Pit!$A$4:$BF$1214,56,FALSE))</f>
        <v>74</v>
      </c>
      <c r="V143" s="50">
        <f>IF($C143="B",VLOOKUP($A143,Bat!$A$4:$BA$1314,48,FALSE),VLOOKUP($A143,Pit!$A$4:$BF$1214,57,FALSE))</f>
        <v>74</v>
      </c>
      <c r="W143" s="50">
        <v>139</v>
      </c>
      <c r="X143" s="51">
        <f>RANK(Table5[[#This Row],[zScore]],Table5[[#All],[zScore]])</f>
        <v>287</v>
      </c>
      <c r="Y143" s="50">
        <f>IFERROR(INDEX(DraftResults[[#All],[OVR]],MATCH(Table5[[#This Row],[PID]],DraftResults[[#All],[Player ID]],0)),"")</f>
        <v>93</v>
      </c>
      <c r="Z143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3</v>
      </c>
      <c r="AA143" s="50">
        <f>IFERROR(INDEX(DraftResults[[#All],[Pick in Round]],MATCH(Table5[[#This Row],[PID]],DraftResults[[#All],[Player ID]],0)),"")</f>
        <v>21</v>
      </c>
      <c r="AB143" s="50" t="str">
        <f>IFERROR(INDEX(DraftResults[[#All],[Team Name]],MATCH(Table5[[#This Row],[PID]],DraftResults[[#All],[Player ID]],0)),"")</f>
        <v>Aurora Borealis</v>
      </c>
      <c r="AC143" s="50">
        <f>IF(Table5[[#This Row],[Ovr]]="","",IF(Table5[[#This Row],[cmbList]]="","",Table5[[#This Row],[cmbList]]-Table5[[#This Row],[Ovr]]))</f>
        <v>46</v>
      </c>
      <c r="AD143" s="54" t="str">
        <f>IF(ISERROR(VLOOKUP($AB143&amp;"-"&amp;$E143&amp;" "&amp;F143,Bonuses!$B$1:$G$1006,4,FALSE)),"",INT(VLOOKUP($AB143&amp;"-"&amp;$E143&amp;" "&amp;$F143,Bonuses!$B$1:$G$1006,4,FALSE)))</f>
        <v/>
      </c>
      <c r="AE143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3.21 (93) - C Joshua Lemercier</v>
      </c>
    </row>
    <row r="144" spans="1:31" s="50" customFormat="1" x14ac:dyDescent="0.3">
      <c r="A144" s="50">
        <v>11747</v>
      </c>
      <c r="B144" s="50">
        <f>COUNTIF(Table5[PID],A144)</f>
        <v>1</v>
      </c>
      <c r="C144" s="50" t="str">
        <f>IF(COUNTIF(Table3[[#All],[PID]],A144)&gt;0,"P","B")</f>
        <v>B</v>
      </c>
      <c r="D144" s="59" t="str">
        <f>IF($C144="B",INDEX(Batters[[#All],[POS]],MATCH(Table5[[#This Row],[PID]],Batters[[#All],[PID]],0)),INDEX(Table3[[#All],[POS]],MATCH(Table5[[#This Row],[PID]],Table3[[#All],[PID]],0)))</f>
        <v>SS</v>
      </c>
      <c r="E144" s="52" t="str">
        <f>IF($C144="B",INDEX(Batters[[#All],[First]],MATCH(Table5[[#This Row],[PID]],Batters[[#All],[PID]],0)),INDEX(Table3[[#All],[First]],MATCH(Table5[[#This Row],[PID]],Table3[[#All],[PID]],0)))</f>
        <v>Matt</v>
      </c>
      <c r="F144" s="50" t="str">
        <f>IF($C144="B",INDEX(Batters[[#All],[Last]],MATCH(A144,Batters[[#All],[PID]],0)),INDEX(Table3[[#All],[Last]],MATCH(A144,Table3[[#All],[PID]],0)))</f>
        <v>Williams</v>
      </c>
      <c r="G144" s="56">
        <f>IF($C144="B",INDEX(Batters[[#All],[Age]],MATCH(Table5[[#This Row],[PID]],Batters[[#All],[PID]],0)),INDEX(Table3[[#All],[Age]],MATCH(Table5[[#This Row],[PID]],Table3[[#All],[PID]],0)))</f>
        <v>17</v>
      </c>
      <c r="H144" s="52" t="str">
        <f>IF($C144="B",INDEX(Batters[[#All],[B]],MATCH(Table5[[#This Row],[PID]],Batters[[#All],[PID]],0)),INDEX(Table3[[#All],[B]],MATCH(Table5[[#This Row],[PID]],Table3[[#All],[PID]],0)))</f>
        <v>R</v>
      </c>
      <c r="I144" s="52" t="str">
        <f>IF($C144="B",INDEX(Batters[[#All],[T]],MATCH(Table5[[#This Row],[PID]],Batters[[#All],[PID]],0)),INDEX(Table3[[#All],[T]],MATCH(Table5[[#This Row],[PID]],Table3[[#All],[PID]],0)))</f>
        <v>R</v>
      </c>
      <c r="J144" s="52" t="str">
        <f>IF($C144="B",INDEX(Batters[[#All],[WE]],MATCH(Table5[[#This Row],[PID]],Batters[[#All],[PID]],0)),INDEX(Table3[[#All],[WE]],MATCH(Table5[[#This Row],[PID]],Table3[[#All],[PID]],0)))</f>
        <v>Normal</v>
      </c>
      <c r="K144" s="52" t="str">
        <f>IF($C144="B",INDEX(Batters[[#All],[INT]],MATCH(Table5[[#This Row],[PID]],Batters[[#All],[PID]],0)),INDEX(Table3[[#All],[INT]],MATCH(Table5[[#This Row],[PID]],Table3[[#All],[PID]],0)))</f>
        <v>Low</v>
      </c>
      <c r="L144" s="60">
        <f>IF($C144="B",INDEX(Batters[[#All],[CON P]],MATCH(Table5[[#This Row],[PID]],Batters[[#All],[PID]],0)),INDEX(Table3[[#All],[STU P]],MATCH(Table5[[#This Row],[PID]],Table3[[#All],[PID]],0)))</f>
        <v>5</v>
      </c>
      <c r="M144" s="56">
        <f>IF($C144="B",INDEX(Batters[[#All],[GAP P]],MATCH(Table5[[#This Row],[PID]],Batters[[#All],[PID]],0)),INDEX(Table3[[#All],[MOV P]],MATCH(Table5[[#This Row],[PID]],Table3[[#All],[PID]],0)))</f>
        <v>4</v>
      </c>
      <c r="N144" s="56">
        <f>IF($C144="B",INDEX(Batters[[#All],[POW P]],MATCH(Table5[[#This Row],[PID]],Batters[[#All],[PID]],0)),INDEX(Table3[[#All],[CON P]],MATCH(Table5[[#This Row],[PID]],Table3[[#All],[PID]],0)))</f>
        <v>3</v>
      </c>
      <c r="O144" s="56">
        <f>IF($C144="B",INDEX(Batters[[#All],[EYE P]],MATCH(Table5[[#This Row],[PID]],Batters[[#All],[PID]],0)),INDEX(Table3[[#All],[VELO]],MATCH(Table5[[#This Row],[PID]],Table3[[#All],[PID]],0)))</f>
        <v>4</v>
      </c>
      <c r="P144" s="56">
        <f>IF($C144="B",INDEX(Batters[[#All],[K P]],MATCH(Table5[[#This Row],[PID]],Batters[[#All],[PID]],0)),INDEX(Table3[[#All],[STM]],MATCH(Table5[[#This Row],[PID]],Table3[[#All],[PID]],0)))</f>
        <v>5</v>
      </c>
      <c r="Q144" s="61">
        <f>IF($C144="B",INDEX(Batters[[#All],[Tot]],MATCH(Table5[[#This Row],[PID]],Batters[[#All],[PID]],0)),INDEX(Table3[[#All],[Tot]],MATCH(Table5[[#This Row],[PID]],Table3[[#All],[PID]],0)))</f>
        <v>49.336058882527176</v>
      </c>
      <c r="R144" s="52">
        <f>IF($C144="B",INDEX(Batters[[#All],[zScore]],MATCH(Table5[[#This Row],[PID]],Batters[[#All],[PID]],0)),INDEX(Table3[[#All],[zScore]],MATCH(Table5[[#This Row],[PID]],Table3[[#All],[PID]],0)))</f>
        <v>0.89296988390284193</v>
      </c>
      <c r="S144" s="58" t="str">
        <f>IF($C144="B",INDEX(Batters[[#All],[DEM]],MATCH(Table5[[#This Row],[PID]],Batters[[#All],[PID]],0)),INDEX(Table3[[#All],[DEM]],MATCH(Table5[[#This Row],[PID]],Table3[[#All],[PID]],0)))</f>
        <v>$250k</v>
      </c>
      <c r="T144" s="62">
        <f>IF($C144="B",INDEX(Batters[[#All],[Rnk]],MATCH(Table5[[#This Row],[PID]],Batters[[#All],[PID]],0)),INDEX(Table3[[#All],[Rnk]],MATCH(Table5[[#This Row],[PID]],Table3[[#All],[PID]],0)))</f>
        <v>8</v>
      </c>
      <c r="U144" s="67">
        <f>IF($C144="B",VLOOKUP($A144,Bat!$A$4:$BA$1314,47,FALSE),VLOOKUP($A144,Pit!$A$4:$BF$1214,56,FALSE))</f>
        <v>75</v>
      </c>
      <c r="V144" s="50">
        <f>IF($C144="B",VLOOKUP($A144,Bat!$A$4:$BA$1314,48,FALSE),VLOOKUP($A144,Pit!$A$4:$BF$1214,57,FALSE))</f>
        <v>75</v>
      </c>
      <c r="W144" s="68">
        <v>140</v>
      </c>
      <c r="X144" s="51">
        <f>RANK(Table5[[#This Row],[zScore]],Table5[[#All],[zScore]])</f>
        <v>158</v>
      </c>
      <c r="Y144" s="50">
        <f>IFERROR(INDEX(DraftResults[[#All],[OVR]],MATCH(Table5[[#This Row],[PID]],DraftResults[[#All],[Player ID]],0)),"")</f>
        <v>98</v>
      </c>
      <c r="Z144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3</v>
      </c>
      <c r="AA144" s="50">
        <f>IFERROR(INDEX(DraftResults[[#All],[Pick in Round]],MATCH(Table5[[#This Row],[PID]],DraftResults[[#All],[Player ID]],0)),"")</f>
        <v>26</v>
      </c>
      <c r="AB144" s="50" t="str">
        <f>IFERROR(INDEX(DraftResults[[#All],[Team Name]],MATCH(Table5[[#This Row],[PID]],DraftResults[[#All],[Player ID]],0)),"")</f>
        <v>Bakersfield Bears</v>
      </c>
      <c r="AC144" s="50">
        <f>IF(Table5[[#This Row],[Ovr]]="","",IF(Table5[[#This Row],[cmbList]]="","",Table5[[#This Row],[cmbList]]-Table5[[#This Row],[Ovr]]))</f>
        <v>42</v>
      </c>
      <c r="AD144" s="54" t="str">
        <f>IF(ISERROR(VLOOKUP($AB144&amp;"-"&amp;$E144&amp;" "&amp;F144,Bonuses!$B$1:$G$1006,4,FALSE)),"",INT(VLOOKUP($AB144&amp;"-"&amp;$E144&amp;" "&amp;$F144,Bonuses!$B$1:$G$1006,4,FALSE)))</f>
        <v/>
      </c>
      <c r="AE144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3.26 (98) - SS Matt Williams</v>
      </c>
    </row>
    <row r="145" spans="1:31" s="50" customFormat="1" x14ac:dyDescent="0.3">
      <c r="A145" s="67">
        <v>21022</v>
      </c>
      <c r="B145" s="68">
        <f>COUNTIF(Table5[PID],A145)</f>
        <v>1</v>
      </c>
      <c r="C145" s="68" t="str">
        <f>IF(COUNTIF(Table3[[#All],[PID]],A145)&gt;0,"P","B")</f>
        <v>B</v>
      </c>
      <c r="D145" s="59" t="str">
        <f>IF($C145="B",INDEX(Batters[[#All],[POS]],MATCH(Table5[[#This Row],[PID]],Batters[[#All],[PID]],0)),INDEX(Table3[[#All],[POS]],MATCH(Table5[[#This Row],[PID]],Table3[[#All],[PID]],0)))</f>
        <v>3B</v>
      </c>
      <c r="E145" s="52" t="str">
        <f>IF($C145="B",INDEX(Batters[[#All],[First]],MATCH(Table5[[#This Row],[PID]],Batters[[#All],[PID]],0)),INDEX(Table3[[#All],[First]],MATCH(Table5[[#This Row],[PID]],Table3[[#All],[PID]],0)))</f>
        <v>Jacob</v>
      </c>
      <c r="F145" s="55" t="str">
        <f>IF($C145="B",INDEX(Batters[[#All],[Last]],MATCH(A145,Batters[[#All],[PID]],0)),INDEX(Table3[[#All],[Last]],MATCH(A145,Table3[[#All],[PID]],0)))</f>
        <v>Little</v>
      </c>
      <c r="G145" s="56">
        <f>IF($C145="B",INDEX(Batters[[#All],[Age]],MATCH(Table5[[#This Row],[PID]],Batters[[#All],[PID]],0)),INDEX(Table3[[#All],[Age]],MATCH(Table5[[#This Row],[PID]],Table3[[#All],[PID]],0)))</f>
        <v>17</v>
      </c>
      <c r="H145" s="52" t="str">
        <f>IF($C145="B",INDEX(Batters[[#All],[B]],MATCH(Table5[[#This Row],[PID]],Batters[[#All],[PID]],0)),INDEX(Table3[[#All],[B]],MATCH(Table5[[#This Row],[PID]],Table3[[#All],[PID]],0)))</f>
        <v>R</v>
      </c>
      <c r="I145" s="52" t="str">
        <f>IF($C145="B",INDEX(Batters[[#All],[T]],MATCH(Table5[[#This Row],[PID]],Batters[[#All],[PID]],0)),INDEX(Table3[[#All],[T]],MATCH(Table5[[#This Row],[PID]],Table3[[#All],[PID]],0)))</f>
        <v>R</v>
      </c>
      <c r="J145" s="69" t="str">
        <f>IF($C145="B",INDEX(Batters[[#All],[WE]],MATCH(Table5[[#This Row],[PID]],Batters[[#All],[PID]],0)),INDEX(Table3[[#All],[WE]],MATCH(Table5[[#This Row],[PID]],Table3[[#All],[PID]],0)))</f>
        <v>Normal</v>
      </c>
      <c r="K145" s="52" t="str">
        <f>IF($C145="B",INDEX(Batters[[#All],[INT]],MATCH(Table5[[#This Row],[PID]],Batters[[#All],[PID]],0)),INDEX(Table3[[#All],[INT]],MATCH(Table5[[#This Row],[PID]],Table3[[#All],[PID]],0)))</f>
        <v>Normal</v>
      </c>
      <c r="L145" s="60">
        <f>IF($C145="B",INDEX(Batters[[#All],[CON P]],MATCH(Table5[[#This Row],[PID]],Batters[[#All],[PID]],0)),INDEX(Table3[[#All],[STU P]],MATCH(Table5[[#This Row],[PID]],Table3[[#All],[PID]],0)))</f>
        <v>4</v>
      </c>
      <c r="M145" s="70">
        <f>IF($C145="B",INDEX(Batters[[#All],[GAP P]],MATCH(Table5[[#This Row],[PID]],Batters[[#All],[PID]],0)),INDEX(Table3[[#All],[MOV P]],MATCH(Table5[[#This Row],[PID]],Table3[[#All],[PID]],0)))</f>
        <v>6</v>
      </c>
      <c r="N145" s="70">
        <f>IF($C145="B",INDEX(Batters[[#All],[POW P]],MATCH(Table5[[#This Row],[PID]],Batters[[#All],[PID]],0)),INDEX(Table3[[#All],[CON P]],MATCH(Table5[[#This Row],[PID]],Table3[[#All],[PID]],0)))</f>
        <v>5</v>
      </c>
      <c r="O145" s="70">
        <f>IF($C145="B",INDEX(Batters[[#All],[EYE P]],MATCH(Table5[[#This Row],[PID]],Batters[[#All],[PID]],0)),INDEX(Table3[[#All],[VELO]],MATCH(Table5[[#This Row],[PID]],Table3[[#All],[PID]],0)))</f>
        <v>5</v>
      </c>
      <c r="P145" s="56">
        <f>IF($C145="B",INDEX(Batters[[#All],[K P]],MATCH(Table5[[#This Row],[PID]],Batters[[#All],[PID]],0)),INDEX(Table3[[#All],[STM]],MATCH(Table5[[#This Row],[PID]],Table3[[#All],[PID]],0)))</f>
        <v>4</v>
      </c>
      <c r="Q145" s="61">
        <f>IF($C145="B",INDEX(Batters[[#All],[Tot]],MATCH(Table5[[#This Row],[PID]],Batters[[#All],[PID]],0)),INDEX(Table3[[#All],[Tot]],MATCH(Table5[[#This Row],[PID]],Table3[[#All],[PID]],0)))</f>
        <v>49.061029786892263</v>
      </c>
      <c r="R145" s="52">
        <f>IF($C145="B",INDEX(Batters[[#All],[zScore]],MATCH(Table5[[#This Row],[PID]],Batters[[#All],[PID]],0)),INDEX(Table3[[#All],[zScore]],MATCH(Table5[[#This Row],[PID]],Table3[[#All],[PID]],0)))</f>
        <v>0.85282440671504789</v>
      </c>
      <c r="S145" s="75" t="str">
        <f>IF($C145="B",INDEX(Batters[[#All],[DEM]],MATCH(Table5[[#This Row],[PID]],Batters[[#All],[PID]],0)),INDEX(Table3[[#All],[DEM]],MATCH(Table5[[#This Row],[PID]],Table3[[#All],[PID]],0)))</f>
        <v>$200k</v>
      </c>
      <c r="T145" s="72">
        <f>IF($C145="B",INDEX(Batters[[#All],[Rnk]],MATCH(Table5[[#This Row],[PID]],Batters[[#All],[PID]],0)),INDEX(Table3[[#All],[Rnk]],MATCH(Table5[[#This Row],[PID]],Table3[[#All],[PID]],0)))</f>
        <v>9</v>
      </c>
      <c r="U145" s="67">
        <f>IF($C145="B",VLOOKUP($A145,Bat!$A$4:$BA$1314,47,FALSE),VLOOKUP($A145,Pit!$A$4:$BF$1214,56,FALSE))</f>
        <v>76</v>
      </c>
      <c r="V145" s="50">
        <f>IF($C145="B",VLOOKUP($A145,Bat!$A$4:$BA$1314,48,FALSE),VLOOKUP($A145,Pit!$A$4:$BF$1214,57,FALSE))</f>
        <v>76</v>
      </c>
      <c r="W145" s="50">
        <v>141</v>
      </c>
      <c r="X145" s="71">
        <f>RANK(Table5[[#This Row],[zScore]],Table5[[#All],[zScore]])</f>
        <v>165</v>
      </c>
      <c r="Y145" s="68">
        <f>IFERROR(INDEX(DraftResults[[#All],[OVR]],MATCH(Table5[[#This Row],[PID]],DraftResults[[#All],[Player ID]],0)),"")</f>
        <v>387</v>
      </c>
      <c r="Z145" s="7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12</v>
      </c>
      <c r="AA145" s="68">
        <f>IFERROR(INDEX(DraftResults[[#All],[Pick in Round]],MATCH(Table5[[#This Row],[PID]],DraftResults[[#All],[Player ID]],0)),"")</f>
        <v>22</v>
      </c>
      <c r="AB145" s="68" t="str">
        <f>IFERROR(INDEX(DraftResults[[#All],[Team Name]],MATCH(Table5[[#This Row],[PID]],DraftResults[[#All],[Player ID]],0)),"")</f>
        <v>Bakersfield Bears</v>
      </c>
      <c r="AC145" s="68">
        <f>IF(Table5[[#This Row],[Ovr]]="","",IF(Table5[[#This Row],[cmbList]]="","",Table5[[#This Row],[cmbList]]-Table5[[#This Row],[Ovr]]))</f>
        <v>-246</v>
      </c>
      <c r="AD145" s="74" t="str">
        <f>IF(ISERROR(VLOOKUP($AB145&amp;"-"&amp;$E145&amp;" "&amp;F145,Bonuses!$B$1:$G$1006,4,FALSE)),"",INT(VLOOKUP($AB145&amp;"-"&amp;$E145&amp;" "&amp;$F145,Bonuses!$B$1:$G$1006,4,FALSE)))</f>
        <v/>
      </c>
      <c r="AE145" s="68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12.22 (387) - 3B Jacob Little</v>
      </c>
    </row>
    <row r="146" spans="1:31" s="50" customFormat="1" x14ac:dyDescent="0.3">
      <c r="A146" s="50">
        <v>14511</v>
      </c>
      <c r="B146" s="55">
        <f>COUNTIF(Table5[PID],A146)</f>
        <v>1</v>
      </c>
      <c r="C146" s="55" t="str">
        <f>IF(COUNTIF(Table3[[#All],[PID]],A146)&gt;0,"P","B")</f>
        <v>B</v>
      </c>
      <c r="D146" s="59" t="str">
        <f>IF($C146="B",INDEX(Batters[[#All],[POS]],MATCH(Table5[[#This Row],[PID]],Batters[[#All],[PID]],0)),INDEX(Table3[[#All],[POS]],MATCH(Table5[[#This Row],[PID]],Table3[[#All],[PID]],0)))</f>
        <v>1B</v>
      </c>
      <c r="E146" s="52" t="str">
        <f>IF($C146="B",INDEX(Batters[[#All],[First]],MATCH(Table5[[#This Row],[PID]],Batters[[#All],[PID]],0)),INDEX(Table3[[#All],[First]],MATCH(Table5[[#This Row],[PID]],Table3[[#All],[PID]],0)))</f>
        <v>Don</v>
      </c>
      <c r="F146" s="50" t="str">
        <f>IF($C146="B",INDEX(Batters[[#All],[Last]],MATCH(A146,Batters[[#All],[PID]],0)),INDEX(Table3[[#All],[Last]],MATCH(A146,Table3[[#All],[PID]],0)))</f>
        <v>Anderson</v>
      </c>
      <c r="G146" s="56">
        <f>IF($C146="B",INDEX(Batters[[#All],[Age]],MATCH(Table5[[#This Row],[PID]],Batters[[#All],[PID]],0)),INDEX(Table3[[#All],[Age]],MATCH(Table5[[#This Row],[PID]],Table3[[#All],[PID]],0)))</f>
        <v>21</v>
      </c>
      <c r="H146" s="52" t="str">
        <f>IF($C146="B",INDEX(Batters[[#All],[B]],MATCH(Table5[[#This Row],[PID]],Batters[[#All],[PID]],0)),INDEX(Table3[[#All],[B]],MATCH(Table5[[#This Row],[PID]],Table3[[#All],[PID]],0)))</f>
        <v>R</v>
      </c>
      <c r="I146" s="52" t="str">
        <f>IF($C146="B",INDEX(Batters[[#All],[T]],MATCH(Table5[[#This Row],[PID]],Batters[[#All],[PID]],0)),INDEX(Table3[[#All],[T]],MATCH(Table5[[#This Row],[PID]],Table3[[#All],[PID]],0)))</f>
        <v>R</v>
      </c>
      <c r="J146" s="52" t="str">
        <f>IF($C146="B",INDEX(Batters[[#All],[WE]],MATCH(Table5[[#This Row],[PID]],Batters[[#All],[PID]],0)),INDEX(Table3[[#All],[WE]],MATCH(Table5[[#This Row],[PID]],Table3[[#All],[PID]],0)))</f>
        <v>Normal</v>
      </c>
      <c r="K146" s="52" t="str">
        <f>IF($C146="B",INDEX(Batters[[#All],[INT]],MATCH(Table5[[#This Row],[PID]],Batters[[#All],[PID]],0)),INDEX(Table3[[#All],[INT]],MATCH(Table5[[#This Row],[PID]],Table3[[#All],[PID]],0)))</f>
        <v>Normal</v>
      </c>
      <c r="L146" s="60">
        <f>IF($C146="B",INDEX(Batters[[#All],[CON P]],MATCH(Table5[[#This Row],[PID]],Batters[[#All],[PID]],0)),INDEX(Table3[[#All],[STU P]],MATCH(Table5[[#This Row],[PID]],Table3[[#All],[PID]],0)))</f>
        <v>4</v>
      </c>
      <c r="M146" s="56">
        <f>IF($C146="B",INDEX(Batters[[#All],[GAP P]],MATCH(Table5[[#This Row],[PID]],Batters[[#All],[PID]],0)),INDEX(Table3[[#All],[MOV P]],MATCH(Table5[[#This Row],[PID]],Table3[[#All],[PID]],0)))</f>
        <v>7</v>
      </c>
      <c r="N146" s="56">
        <f>IF($C146="B",INDEX(Batters[[#All],[POW P]],MATCH(Table5[[#This Row],[PID]],Batters[[#All],[PID]],0)),INDEX(Table3[[#All],[CON P]],MATCH(Table5[[#This Row],[PID]],Table3[[#All],[PID]],0)))</f>
        <v>6</v>
      </c>
      <c r="O146" s="56">
        <f>IF($C146="B",INDEX(Batters[[#All],[EYE P]],MATCH(Table5[[#This Row],[PID]],Batters[[#All],[PID]],0)),INDEX(Table3[[#All],[VELO]],MATCH(Table5[[#This Row],[PID]],Table3[[#All],[PID]],0)))</f>
        <v>6</v>
      </c>
      <c r="P146" s="56">
        <f>IF($C146="B",INDEX(Batters[[#All],[K P]],MATCH(Table5[[#This Row],[PID]],Batters[[#All],[PID]],0)),INDEX(Table3[[#All],[STM]],MATCH(Table5[[#This Row],[PID]],Table3[[#All],[PID]],0)))</f>
        <v>5</v>
      </c>
      <c r="Q146" s="61">
        <f>IF($C146="B",INDEX(Batters[[#All],[Tot]],MATCH(Table5[[#This Row],[PID]],Batters[[#All],[PID]],0)),INDEX(Table3[[#All],[Tot]],MATCH(Table5[[#This Row],[PID]],Table3[[#All],[PID]],0)))</f>
        <v>47.45822035085591</v>
      </c>
      <c r="R146" s="52">
        <f>IF($C146="B",INDEX(Batters[[#All],[zScore]],MATCH(Table5[[#This Row],[PID]],Batters[[#All],[PID]],0)),INDEX(Table3[[#All],[zScore]],MATCH(Table5[[#This Row],[PID]],Table3[[#All],[PID]],0)))</f>
        <v>0.61886534321220377</v>
      </c>
      <c r="S146" s="58" t="str">
        <f>IF($C146="B",INDEX(Batters[[#All],[DEM]],MATCH(Table5[[#This Row],[PID]],Batters[[#All],[PID]],0)),INDEX(Table3[[#All],[DEM]],MATCH(Table5[[#This Row],[PID]],Table3[[#All],[PID]],0)))</f>
        <v>$55k</v>
      </c>
      <c r="T146" s="62">
        <f>IF($C146="B",INDEX(Batters[[#All],[Rnk]],MATCH(Table5[[#This Row],[PID]],Batters[[#All],[PID]],0)),INDEX(Table3[[#All],[Rnk]],MATCH(Table5[[#This Row],[PID]],Table3[[#All],[PID]],0)))</f>
        <v>9</v>
      </c>
      <c r="U146" s="67">
        <f>IF($C146="B",VLOOKUP($A146,Bat!$A$4:$BA$1314,47,FALSE),VLOOKUP($A146,Pit!$A$4:$BF$1214,56,FALSE))</f>
        <v>77</v>
      </c>
      <c r="V146" s="50">
        <f>IF($C146="B",VLOOKUP($A146,Bat!$A$4:$BA$1314,48,FALSE),VLOOKUP($A146,Pit!$A$4:$BF$1214,57,FALSE))</f>
        <v>77</v>
      </c>
      <c r="W146" s="68">
        <v>142</v>
      </c>
      <c r="X146" s="51">
        <f>RANK(Table5[[#This Row],[zScore]],Table5[[#All],[zScore]])</f>
        <v>200</v>
      </c>
      <c r="Y146" s="50">
        <f>IFERROR(INDEX(DraftResults[[#All],[OVR]],MATCH(Table5[[#This Row],[PID]],DraftResults[[#All],[Player ID]],0)),"")</f>
        <v>60</v>
      </c>
      <c r="Z146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2</v>
      </c>
      <c r="AA146" s="50">
        <f>IFERROR(INDEX(DraftResults[[#All],[Pick in Round]],MATCH(Table5[[#This Row],[PID]],DraftResults[[#All],[Player ID]],0)),"")</f>
        <v>24</v>
      </c>
      <c r="AB146" s="50" t="str">
        <f>IFERROR(INDEX(DraftResults[[#All],[Team Name]],MATCH(Table5[[#This Row],[PID]],DraftResults[[#All],[Player ID]],0)),"")</f>
        <v>Florida Farstriders</v>
      </c>
      <c r="AC146" s="50">
        <f>IF(Table5[[#This Row],[Ovr]]="","",IF(Table5[[#This Row],[cmbList]]="","",Table5[[#This Row],[cmbList]]-Table5[[#This Row],[Ovr]]))</f>
        <v>82</v>
      </c>
      <c r="AD146" s="54" t="str">
        <f>IF(ISERROR(VLOOKUP($AB146&amp;"-"&amp;$E146&amp;" "&amp;F146,Bonuses!$B$1:$G$1006,4,FALSE)),"",INT(VLOOKUP($AB146&amp;"-"&amp;$E146&amp;" "&amp;$F146,Bonuses!$B$1:$G$1006,4,FALSE)))</f>
        <v/>
      </c>
      <c r="AE146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2.24 (60) - 1B Don Anderson</v>
      </c>
    </row>
    <row r="147" spans="1:31" s="50" customFormat="1" x14ac:dyDescent="0.3">
      <c r="A147" s="67">
        <v>13400</v>
      </c>
      <c r="B147" s="68">
        <f>COUNTIF(Table5[PID],A147)</f>
        <v>1</v>
      </c>
      <c r="C147" s="68" t="str">
        <f>IF(COUNTIF(Table3[[#All],[PID]],A147)&gt;0,"P","B")</f>
        <v>B</v>
      </c>
      <c r="D147" s="59" t="str">
        <f>IF($C147="B",INDEX(Batters[[#All],[POS]],MATCH(Table5[[#This Row],[PID]],Batters[[#All],[PID]],0)),INDEX(Table3[[#All],[POS]],MATCH(Table5[[#This Row],[PID]],Table3[[#All],[PID]],0)))</f>
        <v>C</v>
      </c>
      <c r="E147" s="52" t="str">
        <f>IF($C147="B",INDEX(Batters[[#All],[First]],MATCH(Table5[[#This Row],[PID]],Batters[[#All],[PID]],0)),INDEX(Table3[[#All],[First]],MATCH(Table5[[#This Row],[PID]],Table3[[#All],[PID]],0)))</f>
        <v>Natsume</v>
      </c>
      <c r="F147" s="55" t="str">
        <f>IF($C147="B",INDEX(Batters[[#All],[Last]],MATCH(A147,Batters[[#All],[PID]],0)),INDEX(Table3[[#All],[Last]],MATCH(A147,Table3[[#All],[PID]],0)))</f>
        <v>Yamamoto</v>
      </c>
      <c r="G147" s="56">
        <f>IF($C147="B",INDEX(Batters[[#All],[Age]],MATCH(Table5[[#This Row],[PID]],Batters[[#All],[PID]],0)),INDEX(Table3[[#All],[Age]],MATCH(Table5[[#This Row],[PID]],Table3[[#All],[PID]],0)))</f>
        <v>18</v>
      </c>
      <c r="H147" s="52" t="str">
        <f>IF($C147="B",INDEX(Batters[[#All],[B]],MATCH(Table5[[#This Row],[PID]],Batters[[#All],[PID]],0)),INDEX(Table3[[#All],[B]],MATCH(Table5[[#This Row],[PID]],Table3[[#All],[PID]],0)))</f>
        <v>R</v>
      </c>
      <c r="I147" s="52" t="str">
        <f>IF($C147="B",INDEX(Batters[[#All],[T]],MATCH(Table5[[#This Row],[PID]],Batters[[#All],[PID]],0)),INDEX(Table3[[#All],[T]],MATCH(Table5[[#This Row],[PID]],Table3[[#All],[PID]],0)))</f>
        <v>R</v>
      </c>
      <c r="J147" s="69" t="str">
        <f>IF($C147="B",INDEX(Batters[[#All],[WE]],MATCH(Table5[[#This Row],[PID]],Batters[[#All],[PID]],0)),INDEX(Table3[[#All],[WE]],MATCH(Table5[[#This Row],[PID]],Table3[[#All],[PID]],0)))</f>
        <v>Low</v>
      </c>
      <c r="K147" s="52" t="str">
        <f>IF($C147="B",INDEX(Batters[[#All],[INT]],MATCH(Table5[[#This Row],[PID]],Batters[[#All],[PID]],0)),INDEX(Table3[[#All],[INT]],MATCH(Table5[[#This Row],[PID]],Table3[[#All],[PID]],0)))</f>
        <v>Low</v>
      </c>
      <c r="L147" s="60">
        <f>IF($C147="B",INDEX(Batters[[#All],[CON P]],MATCH(Table5[[#This Row],[PID]],Batters[[#All],[PID]],0)),INDEX(Table3[[#All],[STU P]],MATCH(Table5[[#This Row],[PID]],Table3[[#All],[PID]],0)))</f>
        <v>3</v>
      </c>
      <c r="M147" s="70">
        <f>IF($C147="B",INDEX(Batters[[#All],[GAP P]],MATCH(Table5[[#This Row],[PID]],Batters[[#All],[PID]],0)),INDEX(Table3[[#All],[MOV P]],MATCH(Table5[[#This Row],[PID]],Table3[[#All],[PID]],0)))</f>
        <v>6</v>
      </c>
      <c r="N147" s="70">
        <f>IF($C147="B",INDEX(Batters[[#All],[POW P]],MATCH(Table5[[#This Row],[PID]],Batters[[#All],[PID]],0)),INDEX(Table3[[#All],[CON P]],MATCH(Table5[[#This Row],[PID]],Table3[[#All],[PID]],0)))</f>
        <v>8</v>
      </c>
      <c r="O147" s="70">
        <f>IF($C147="B",INDEX(Batters[[#All],[EYE P]],MATCH(Table5[[#This Row],[PID]],Batters[[#All],[PID]],0)),INDEX(Table3[[#All],[VELO]],MATCH(Table5[[#This Row],[PID]],Table3[[#All],[PID]],0)))</f>
        <v>7</v>
      </c>
      <c r="P147" s="56">
        <f>IF($C147="B",INDEX(Batters[[#All],[K P]],MATCH(Table5[[#This Row],[PID]],Batters[[#All],[PID]],0)),INDEX(Table3[[#All],[STM]],MATCH(Table5[[#This Row],[PID]],Table3[[#All],[PID]],0)))</f>
        <v>2</v>
      </c>
      <c r="Q147" s="61">
        <f>IF($C147="B",INDEX(Batters[[#All],[Tot]],MATCH(Table5[[#This Row],[PID]],Batters[[#All],[PID]],0)),INDEX(Table3[[#All],[Tot]],MATCH(Table5[[#This Row],[PID]],Table3[[#All],[PID]],0)))</f>
        <v>48.826282916073389</v>
      </c>
      <c r="R147" s="52">
        <f>IF($C147="B",INDEX(Batters[[#All],[zScore]],MATCH(Table5[[#This Row],[PID]],Batters[[#All],[PID]],0)),INDEX(Table3[[#All],[zScore]],MATCH(Table5[[#This Row],[PID]],Table3[[#All],[PID]],0)))</f>
        <v>0.81855884973603255</v>
      </c>
      <c r="S147" s="75" t="str">
        <f>IF($C147="B",INDEX(Batters[[#All],[DEM]],MATCH(Table5[[#This Row],[PID]],Batters[[#All],[PID]],0)),INDEX(Table3[[#All],[DEM]],MATCH(Table5[[#This Row],[PID]],Table3[[#All],[PID]],0)))</f>
        <v>$190k</v>
      </c>
      <c r="T147" s="72">
        <f>IF($C147="B",INDEX(Batters[[#All],[Rnk]],MATCH(Table5[[#This Row],[PID]],Batters[[#All],[PID]],0)),INDEX(Table3[[#All],[Rnk]],MATCH(Table5[[#This Row],[PID]],Table3[[#All],[PID]],0)))</f>
        <v>9</v>
      </c>
      <c r="U147" s="67">
        <f>IF($C147="B",VLOOKUP($A147,Bat!$A$4:$BA$1314,47,FALSE),VLOOKUP($A147,Pit!$A$4:$BF$1214,56,FALSE))</f>
        <v>78</v>
      </c>
      <c r="V147" s="50">
        <f>IF($C147="B",VLOOKUP($A147,Bat!$A$4:$BA$1314,48,FALSE),VLOOKUP($A147,Pit!$A$4:$BF$1214,57,FALSE))</f>
        <v>78</v>
      </c>
      <c r="W147" s="50">
        <v>143</v>
      </c>
      <c r="X147" s="71">
        <f>RANK(Table5[[#This Row],[zScore]],Table5[[#All],[zScore]])</f>
        <v>169</v>
      </c>
      <c r="Y147" s="68">
        <f>IFERROR(INDEX(DraftResults[[#All],[OVR]],MATCH(Table5[[#This Row],[PID]],DraftResults[[#All],[Player ID]],0)),"")</f>
        <v>174</v>
      </c>
      <c r="Z147" s="7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6</v>
      </c>
      <c r="AA147" s="68">
        <f>IFERROR(INDEX(DraftResults[[#All],[Pick in Round]],MATCH(Table5[[#This Row],[PID]],DraftResults[[#All],[Player ID]],0)),"")</f>
        <v>5</v>
      </c>
      <c r="AB147" s="68" t="str">
        <f>IFERROR(INDEX(DraftResults[[#All],[Team Name]],MATCH(Table5[[#This Row],[PID]],DraftResults[[#All],[Player ID]],0)),"")</f>
        <v>Tempe Knights</v>
      </c>
      <c r="AC147" s="68">
        <f>IF(Table5[[#This Row],[Ovr]]="","",IF(Table5[[#This Row],[cmbList]]="","",Table5[[#This Row],[cmbList]]-Table5[[#This Row],[Ovr]]))</f>
        <v>-31</v>
      </c>
      <c r="AD147" s="74" t="str">
        <f>IF(ISERROR(VLOOKUP($AB147&amp;"-"&amp;$E147&amp;" "&amp;F147,Bonuses!$B$1:$G$1006,4,FALSE)),"",INT(VLOOKUP($AB147&amp;"-"&amp;$E147&amp;" "&amp;$F147,Bonuses!$B$1:$G$1006,4,FALSE)))</f>
        <v/>
      </c>
      <c r="AE147" s="68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6.5 (174) - C Natsume Yamamoto</v>
      </c>
    </row>
    <row r="148" spans="1:31" s="50" customFormat="1" x14ac:dyDescent="0.3">
      <c r="A148" s="67">
        <v>20845</v>
      </c>
      <c r="B148" s="68">
        <f>COUNTIF(Table5[PID],A148)</f>
        <v>1</v>
      </c>
      <c r="C148" s="68" t="str">
        <f>IF(COUNTIF(Table3[[#All],[PID]],A148)&gt;0,"P","B")</f>
        <v>B</v>
      </c>
      <c r="D148" s="59" t="str">
        <f>IF($C148="B",INDEX(Batters[[#All],[POS]],MATCH(Table5[[#This Row],[PID]],Batters[[#All],[PID]],0)),INDEX(Table3[[#All],[POS]],MATCH(Table5[[#This Row],[PID]],Table3[[#All],[PID]],0)))</f>
        <v>CF</v>
      </c>
      <c r="E148" s="52" t="str">
        <f>IF($C148="B",INDEX(Batters[[#All],[First]],MATCH(Table5[[#This Row],[PID]],Batters[[#All],[PID]],0)),INDEX(Table3[[#All],[First]],MATCH(Table5[[#This Row],[PID]],Table3[[#All],[PID]],0)))</f>
        <v>Juan</v>
      </c>
      <c r="F148" s="55" t="str">
        <f>IF($C148="B",INDEX(Batters[[#All],[Last]],MATCH(A148,Batters[[#All],[PID]],0)),INDEX(Table3[[#All],[Last]],MATCH(A148,Table3[[#All],[PID]],0)))</f>
        <v>Sandoval</v>
      </c>
      <c r="G148" s="56">
        <f>IF($C148="B",INDEX(Batters[[#All],[Age]],MATCH(Table5[[#This Row],[PID]],Batters[[#All],[PID]],0)),INDEX(Table3[[#All],[Age]],MATCH(Table5[[#This Row],[PID]],Table3[[#All],[PID]],0)))</f>
        <v>17</v>
      </c>
      <c r="H148" s="52" t="str">
        <f>IF($C148="B",INDEX(Batters[[#All],[B]],MATCH(Table5[[#This Row],[PID]],Batters[[#All],[PID]],0)),INDEX(Table3[[#All],[B]],MATCH(Table5[[#This Row],[PID]],Table3[[#All],[PID]],0)))</f>
        <v>L</v>
      </c>
      <c r="I148" s="52" t="str">
        <f>IF($C148="B",INDEX(Batters[[#All],[T]],MATCH(Table5[[#This Row],[PID]],Batters[[#All],[PID]],0)),INDEX(Table3[[#All],[T]],MATCH(Table5[[#This Row],[PID]],Table3[[#All],[PID]],0)))</f>
        <v>R</v>
      </c>
      <c r="J148" s="69" t="str">
        <f>IF($C148="B",INDEX(Batters[[#All],[WE]],MATCH(Table5[[#This Row],[PID]],Batters[[#All],[PID]],0)),INDEX(Table3[[#All],[WE]],MATCH(Table5[[#This Row],[PID]],Table3[[#All],[PID]],0)))</f>
        <v>High</v>
      </c>
      <c r="K148" s="52" t="str">
        <f>IF($C148="B",INDEX(Batters[[#All],[INT]],MATCH(Table5[[#This Row],[PID]],Batters[[#All],[PID]],0)),INDEX(Table3[[#All],[INT]],MATCH(Table5[[#This Row],[PID]],Table3[[#All],[PID]],0)))</f>
        <v>Normal</v>
      </c>
      <c r="L148" s="60">
        <f>IF($C148="B",INDEX(Batters[[#All],[CON P]],MATCH(Table5[[#This Row],[PID]],Batters[[#All],[PID]],0)),INDEX(Table3[[#All],[STU P]],MATCH(Table5[[#This Row],[PID]],Table3[[#All],[PID]],0)))</f>
        <v>4</v>
      </c>
      <c r="M148" s="70">
        <f>IF($C148="B",INDEX(Batters[[#All],[GAP P]],MATCH(Table5[[#This Row],[PID]],Batters[[#All],[PID]],0)),INDEX(Table3[[#All],[MOV P]],MATCH(Table5[[#This Row],[PID]],Table3[[#All],[PID]],0)))</f>
        <v>4</v>
      </c>
      <c r="N148" s="70">
        <f>IF($C148="B",INDEX(Batters[[#All],[POW P]],MATCH(Table5[[#This Row],[PID]],Batters[[#All],[PID]],0)),INDEX(Table3[[#All],[CON P]],MATCH(Table5[[#This Row],[PID]],Table3[[#All],[PID]],0)))</f>
        <v>3</v>
      </c>
      <c r="O148" s="70">
        <f>IF($C148="B",INDEX(Batters[[#All],[EYE P]],MATCH(Table5[[#This Row],[PID]],Batters[[#All],[PID]],0)),INDEX(Table3[[#All],[VELO]],MATCH(Table5[[#This Row],[PID]],Table3[[#All],[PID]],0)))</f>
        <v>5</v>
      </c>
      <c r="P148" s="56">
        <f>IF($C148="B",INDEX(Batters[[#All],[K P]],MATCH(Table5[[#This Row],[PID]],Batters[[#All],[PID]],0)),INDEX(Table3[[#All],[STM]],MATCH(Table5[[#This Row],[PID]],Table3[[#All],[PID]],0)))</f>
        <v>5</v>
      </c>
      <c r="Q148" s="61">
        <f>IF($C148="B",INDEX(Batters[[#All],[Tot]],MATCH(Table5[[#This Row],[PID]],Batters[[#All],[PID]],0)),INDEX(Table3[[#All],[Tot]],MATCH(Table5[[#This Row],[PID]],Table3[[#All],[PID]],0)))</f>
        <v>47.442981197923118</v>
      </c>
      <c r="R148" s="52">
        <f>IF($C148="B",INDEX(Batters[[#All],[zScore]],MATCH(Table5[[#This Row],[PID]],Batters[[#All],[PID]],0)),INDEX(Table3[[#All],[zScore]],MATCH(Table5[[#This Row],[PID]],Table3[[#All],[PID]],0)))</f>
        <v>0.61664091286598011</v>
      </c>
      <c r="S148" s="75" t="str">
        <f>IF($C148="B",INDEX(Batters[[#All],[DEM]],MATCH(Table5[[#This Row],[PID]],Batters[[#All],[PID]],0)),INDEX(Table3[[#All],[DEM]],MATCH(Table5[[#This Row],[PID]],Table3[[#All],[PID]],0)))</f>
        <v>$190k</v>
      </c>
      <c r="T148" s="72">
        <f>IF($C148="B",INDEX(Batters[[#All],[Rnk]],MATCH(Table5[[#This Row],[PID]],Batters[[#All],[PID]],0)),INDEX(Table3[[#All],[Rnk]],MATCH(Table5[[#This Row],[PID]],Table3[[#All],[PID]],0)))</f>
        <v>9</v>
      </c>
      <c r="U148" s="67">
        <f>IF($C148="B",VLOOKUP($A148,Bat!$A$4:$BA$1314,47,FALSE),VLOOKUP($A148,Pit!$A$4:$BF$1214,56,FALSE))</f>
        <v>79</v>
      </c>
      <c r="V148" s="50">
        <f>IF($C148="B",VLOOKUP($A148,Bat!$A$4:$BA$1314,48,FALSE),VLOOKUP($A148,Pit!$A$4:$BF$1214,57,FALSE))</f>
        <v>79</v>
      </c>
      <c r="W148" s="68">
        <v>144</v>
      </c>
      <c r="X148" s="71">
        <f>RANK(Table5[[#This Row],[zScore]],Table5[[#All],[zScore]])</f>
        <v>201</v>
      </c>
      <c r="Y148" s="68">
        <f>IFERROR(INDEX(DraftResults[[#All],[OVR]],MATCH(Table5[[#This Row],[PID]],DraftResults[[#All],[Player ID]],0)),"")</f>
        <v>180</v>
      </c>
      <c r="Z148" s="7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6</v>
      </c>
      <c r="AA148" s="68">
        <f>IFERROR(INDEX(DraftResults[[#All],[Pick in Round]],MATCH(Table5[[#This Row],[PID]],DraftResults[[#All],[Player ID]],0)),"")</f>
        <v>11</v>
      </c>
      <c r="AB148" s="68" t="str">
        <f>IFERROR(INDEX(DraftResults[[#All],[Team Name]],MATCH(Table5[[#This Row],[PID]],DraftResults[[#All],[Player ID]],0)),"")</f>
        <v>Florida Farstriders</v>
      </c>
      <c r="AC148" s="68">
        <f>IF(Table5[[#This Row],[Ovr]]="","",IF(Table5[[#This Row],[cmbList]]="","",Table5[[#This Row],[cmbList]]-Table5[[#This Row],[Ovr]]))</f>
        <v>-36</v>
      </c>
      <c r="AD148" s="74" t="str">
        <f>IF(ISERROR(VLOOKUP($AB148&amp;"-"&amp;$E148&amp;" "&amp;F148,Bonuses!$B$1:$G$1006,4,FALSE)),"",INT(VLOOKUP($AB148&amp;"-"&amp;$E148&amp;" "&amp;$F148,Bonuses!$B$1:$G$1006,4,FALSE)))</f>
        <v/>
      </c>
      <c r="AE148" s="68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6.11 (180) - CF Juan Sandoval</v>
      </c>
    </row>
    <row r="149" spans="1:31" s="50" customFormat="1" x14ac:dyDescent="0.3">
      <c r="A149" s="50">
        <v>13933</v>
      </c>
      <c r="B149" s="50">
        <f>COUNTIF(Table5[PID],A149)</f>
        <v>1</v>
      </c>
      <c r="C149" s="50" t="str">
        <f>IF(COUNTIF(Table3[[#All],[PID]],A149)&gt;0,"P","B")</f>
        <v>B</v>
      </c>
      <c r="D149" s="59" t="str">
        <f>IF($C149="B",INDEX(Batters[[#All],[POS]],MATCH(Table5[[#This Row],[PID]],Batters[[#All],[PID]],0)),INDEX(Table3[[#All],[POS]],MATCH(Table5[[#This Row],[PID]],Table3[[#All],[PID]],0)))</f>
        <v>C</v>
      </c>
      <c r="E149" s="52" t="str">
        <f>IF($C149="B",INDEX(Batters[[#All],[First]],MATCH(Table5[[#This Row],[PID]],Batters[[#All],[PID]],0)),INDEX(Table3[[#All],[First]],MATCH(Table5[[#This Row],[PID]],Table3[[#All],[PID]],0)))</f>
        <v>Noel</v>
      </c>
      <c r="F149" s="50" t="str">
        <f>IF($C149="B",INDEX(Batters[[#All],[Last]],MATCH(A149,Batters[[#All],[PID]],0)),INDEX(Table3[[#All],[Last]],MATCH(A149,Table3[[#All],[PID]],0)))</f>
        <v>Hill</v>
      </c>
      <c r="G149" s="56">
        <f>IF($C149="B",INDEX(Batters[[#All],[Age]],MATCH(Table5[[#This Row],[PID]],Batters[[#All],[PID]],0)),INDEX(Table3[[#All],[Age]],MATCH(Table5[[#This Row],[PID]],Table3[[#All],[PID]],0)))</f>
        <v>21</v>
      </c>
      <c r="H149" s="52" t="str">
        <f>IF($C149="B",INDEX(Batters[[#All],[B]],MATCH(Table5[[#This Row],[PID]],Batters[[#All],[PID]],0)),INDEX(Table3[[#All],[B]],MATCH(Table5[[#This Row],[PID]],Table3[[#All],[PID]],0)))</f>
        <v>L</v>
      </c>
      <c r="I149" s="52" t="str">
        <f>IF($C149="B",INDEX(Batters[[#All],[T]],MATCH(Table5[[#This Row],[PID]],Batters[[#All],[PID]],0)),INDEX(Table3[[#All],[T]],MATCH(Table5[[#This Row],[PID]],Table3[[#All],[PID]],0)))</f>
        <v>R</v>
      </c>
      <c r="J149" s="52" t="str">
        <f>IF($C149="B",INDEX(Batters[[#All],[WE]],MATCH(Table5[[#This Row],[PID]],Batters[[#All],[PID]],0)),INDEX(Table3[[#All],[WE]],MATCH(Table5[[#This Row],[PID]],Table3[[#All],[PID]],0)))</f>
        <v>Normal</v>
      </c>
      <c r="K149" s="52" t="str">
        <f>IF($C149="B",INDEX(Batters[[#All],[INT]],MATCH(Table5[[#This Row],[PID]],Batters[[#All],[PID]],0)),INDEX(Table3[[#All],[INT]],MATCH(Table5[[#This Row],[PID]],Table3[[#All],[PID]],0)))</f>
        <v>Low</v>
      </c>
      <c r="L149" s="60">
        <f>IF($C149="B",INDEX(Batters[[#All],[CON P]],MATCH(Table5[[#This Row],[PID]],Batters[[#All],[PID]],0)),INDEX(Table3[[#All],[STU P]],MATCH(Table5[[#This Row],[PID]],Table3[[#All],[PID]],0)))</f>
        <v>4</v>
      </c>
      <c r="M149" s="56">
        <f>IF($C149="B",INDEX(Batters[[#All],[GAP P]],MATCH(Table5[[#This Row],[PID]],Batters[[#All],[PID]],0)),INDEX(Table3[[#All],[MOV P]],MATCH(Table5[[#This Row],[PID]],Table3[[#All],[PID]],0)))</f>
        <v>8</v>
      </c>
      <c r="N149" s="56">
        <f>IF($C149="B",INDEX(Batters[[#All],[POW P]],MATCH(Table5[[#This Row],[PID]],Batters[[#All],[PID]],0)),INDEX(Table3[[#All],[CON P]],MATCH(Table5[[#This Row],[PID]],Table3[[#All],[PID]],0)))</f>
        <v>5</v>
      </c>
      <c r="O149" s="56">
        <f>IF($C149="B",INDEX(Batters[[#All],[EYE P]],MATCH(Table5[[#This Row],[PID]],Batters[[#All],[PID]],0)),INDEX(Table3[[#All],[VELO]],MATCH(Table5[[#This Row],[PID]],Table3[[#All],[PID]],0)))</f>
        <v>5</v>
      </c>
      <c r="P149" s="56">
        <f>IF($C149="B",INDEX(Batters[[#All],[K P]],MATCH(Table5[[#This Row],[PID]],Batters[[#All],[PID]],0)),INDEX(Table3[[#All],[STM]],MATCH(Table5[[#This Row],[PID]],Table3[[#All],[PID]],0)))</f>
        <v>3</v>
      </c>
      <c r="Q149" s="61">
        <f>IF($C149="B",INDEX(Batters[[#All],[Tot]],MATCH(Table5[[#This Row],[PID]],Batters[[#All],[PID]],0)),INDEX(Table3[[#All],[Tot]],MATCH(Table5[[#This Row],[PID]],Table3[[#All],[PID]],0)))</f>
        <v>45.788865888225104</v>
      </c>
      <c r="R149" s="52">
        <f>IF($C149="B",INDEX(Batters[[#All],[zScore]],MATCH(Table5[[#This Row],[PID]],Batters[[#All],[PID]],0)),INDEX(Table3[[#All],[zScore]],MATCH(Table5[[#This Row],[PID]],Table3[[#All],[PID]],0)))</f>
        <v>0.37519282797094772</v>
      </c>
      <c r="S149" s="58" t="str">
        <f>IF($C149="B",INDEX(Batters[[#All],[DEM]],MATCH(Table5[[#This Row],[PID]],Batters[[#All],[PID]],0)),INDEX(Table3[[#All],[DEM]],MATCH(Table5[[#This Row],[PID]],Table3[[#All],[PID]],0)))</f>
        <v>$160k</v>
      </c>
      <c r="T149" s="62">
        <f>IF($C149="B",INDEX(Batters[[#All],[Rnk]],MATCH(Table5[[#This Row],[PID]],Batters[[#All],[PID]],0)),INDEX(Table3[[#All],[Rnk]],MATCH(Table5[[#This Row],[PID]],Table3[[#All],[PID]],0)))</f>
        <v>9</v>
      </c>
      <c r="U149" s="67">
        <f>IF($C149="B",VLOOKUP($A149,Bat!$A$4:$BA$1314,47,FALSE),VLOOKUP($A149,Pit!$A$4:$BF$1214,56,FALSE))</f>
        <v>80</v>
      </c>
      <c r="V149" s="50">
        <f>IF($C149="B",VLOOKUP($A149,Bat!$A$4:$BA$1314,48,FALSE),VLOOKUP($A149,Pit!$A$4:$BF$1214,57,FALSE))</f>
        <v>80</v>
      </c>
      <c r="W149" s="50">
        <v>145</v>
      </c>
      <c r="X149" s="51">
        <f>RANK(Table5[[#This Row],[zScore]],Table5[[#All],[zScore]])</f>
        <v>261</v>
      </c>
      <c r="Y149" s="50">
        <f>IFERROR(INDEX(DraftResults[[#All],[OVR]],MATCH(Table5[[#This Row],[PID]],DraftResults[[#All],[Player ID]],0)),"")</f>
        <v>158</v>
      </c>
      <c r="Z149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5</v>
      </c>
      <c r="AA149" s="50">
        <f>IFERROR(INDEX(DraftResults[[#All],[Pick in Round]],MATCH(Table5[[#This Row],[PID]],DraftResults[[#All],[Player ID]],0)),"")</f>
        <v>21</v>
      </c>
      <c r="AB149" s="50" t="str">
        <f>IFERROR(INDEX(DraftResults[[#All],[Team Name]],MATCH(Table5[[#This Row],[PID]],DraftResults[[#All],[Player ID]],0)),"")</f>
        <v>Neo-Tokyo Akira</v>
      </c>
      <c r="AC149" s="50">
        <f>IF(Table5[[#This Row],[Ovr]]="","",IF(Table5[[#This Row],[cmbList]]="","",Table5[[#This Row],[cmbList]]-Table5[[#This Row],[Ovr]]))</f>
        <v>-13</v>
      </c>
      <c r="AD149" s="54" t="str">
        <f>IF(ISERROR(VLOOKUP($AB149&amp;"-"&amp;$E149&amp;" "&amp;F149,Bonuses!$B$1:$G$1006,4,FALSE)),"",INT(VLOOKUP($AB149&amp;"-"&amp;$E149&amp;" "&amp;$F149,Bonuses!$B$1:$G$1006,4,FALSE)))</f>
        <v/>
      </c>
      <c r="AE149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5.21 (158) - C Noel Hill</v>
      </c>
    </row>
    <row r="150" spans="1:31" s="50" customFormat="1" x14ac:dyDescent="0.3">
      <c r="A150" s="67">
        <v>20595</v>
      </c>
      <c r="B150" s="68">
        <f>COUNTIF(Table5[PID],A150)</f>
        <v>1</v>
      </c>
      <c r="C150" s="68" t="str">
        <f>IF(COUNTIF(Table3[[#All],[PID]],A150)&gt;0,"P","B")</f>
        <v>B</v>
      </c>
      <c r="D150" s="59" t="str">
        <f>IF($C150="B",INDEX(Batters[[#All],[POS]],MATCH(Table5[[#This Row],[PID]],Batters[[#All],[PID]],0)),INDEX(Table3[[#All],[POS]],MATCH(Table5[[#This Row],[PID]],Table3[[#All],[PID]],0)))</f>
        <v>CF</v>
      </c>
      <c r="E150" s="52" t="str">
        <f>IF($C150="B",INDEX(Batters[[#All],[First]],MATCH(Table5[[#This Row],[PID]],Batters[[#All],[PID]],0)),INDEX(Table3[[#All],[First]],MATCH(Table5[[#This Row],[PID]],Table3[[#All],[PID]],0)))</f>
        <v>Li-xue</v>
      </c>
      <c r="F150" s="55" t="str">
        <f>IF($C150="B",INDEX(Batters[[#All],[Last]],MATCH(A150,Batters[[#All],[PID]],0)),INDEX(Table3[[#All],[Last]],MATCH(A150,Table3[[#All],[PID]],0)))</f>
        <v>Shao</v>
      </c>
      <c r="G150" s="56">
        <f>IF($C150="B",INDEX(Batters[[#All],[Age]],MATCH(Table5[[#This Row],[PID]],Batters[[#All],[PID]],0)),INDEX(Table3[[#All],[Age]],MATCH(Table5[[#This Row],[PID]],Table3[[#All],[PID]],0)))</f>
        <v>17</v>
      </c>
      <c r="H150" s="52" t="str">
        <f>IF($C150="B",INDEX(Batters[[#All],[B]],MATCH(Table5[[#This Row],[PID]],Batters[[#All],[PID]],0)),INDEX(Table3[[#All],[B]],MATCH(Table5[[#This Row],[PID]],Table3[[#All],[PID]],0)))</f>
        <v>S</v>
      </c>
      <c r="I150" s="52" t="str">
        <f>IF($C150="B",INDEX(Batters[[#All],[T]],MATCH(Table5[[#This Row],[PID]],Batters[[#All],[PID]],0)),INDEX(Table3[[#All],[T]],MATCH(Table5[[#This Row],[PID]],Table3[[#All],[PID]],0)))</f>
        <v>R</v>
      </c>
      <c r="J150" s="69" t="str">
        <f>IF($C150="B",INDEX(Batters[[#All],[WE]],MATCH(Table5[[#This Row],[PID]],Batters[[#All],[PID]],0)),INDEX(Table3[[#All],[WE]],MATCH(Table5[[#This Row],[PID]],Table3[[#All],[PID]],0)))</f>
        <v>Normal</v>
      </c>
      <c r="K150" s="52" t="str">
        <f>IF($C150="B",INDEX(Batters[[#All],[INT]],MATCH(Table5[[#This Row],[PID]],Batters[[#All],[PID]],0)),INDEX(Table3[[#All],[INT]],MATCH(Table5[[#This Row],[PID]],Table3[[#All],[PID]],0)))</f>
        <v>Normal</v>
      </c>
      <c r="L150" s="60">
        <f>IF($C150="B",INDEX(Batters[[#All],[CON P]],MATCH(Table5[[#This Row],[PID]],Batters[[#All],[PID]],0)),INDEX(Table3[[#All],[STU P]],MATCH(Table5[[#This Row],[PID]],Table3[[#All],[PID]],0)))</f>
        <v>3</v>
      </c>
      <c r="M150" s="70">
        <f>IF($C150="B",INDEX(Batters[[#All],[GAP P]],MATCH(Table5[[#This Row],[PID]],Batters[[#All],[PID]],0)),INDEX(Table3[[#All],[MOV P]],MATCH(Table5[[#This Row],[PID]],Table3[[#All],[PID]],0)))</f>
        <v>5</v>
      </c>
      <c r="N150" s="70">
        <f>IF($C150="B",INDEX(Batters[[#All],[POW P]],MATCH(Table5[[#This Row],[PID]],Batters[[#All],[PID]],0)),INDEX(Table3[[#All],[CON P]],MATCH(Table5[[#This Row],[PID]],Table3[[#All],[PID]],0)))</f>
        <v>4</v>
      </c>
      <c r="O150" s="70">
        <f>IF($C150="B",INDEX(Batters[[#All],[EYE P]],MATCH(Table5[[#This Row],[PID]],Batters[[#All],[PID]],0)),INDEX(Table3[[#All],[VELO]],MATCH(Table5[[#This Row],[PID]],Table3[[#All],[PID]],0)))</f>
        <v>5</v>
      </c>
      <c r="P150" s="56">
        <f>IF($C150="B",INDEX(Batters[[#All],[K P]],MATCH(Table5[[#This Row],[PID]],Batters[[#All],[PID]],0)),INDEX(Table3[[#All],[STM]],MATCH(Table5[[#This Row],[PID]],Table3[[#All],[PID]],0)))</f>
        <v>5</v>
      </c>
      <c r="Q150" s="61">
        <f>IF($C150="B",INDEX(Batters[[#All],[Tot]],MATCH(Table5[[#This Row],[PID]],Batters[[#All],[PID]],0)),INDEX(Table3[[#All],[Tot]],MATCH(Table5[[#This Row],[PID]],Table3[[#All],[PID]],0)))</f>
        <v>44.409256727529367</v>
      </c>
      <c r="R150" s="52">
        <f>IF($C150="B",INDEX(Batters[[#All],[zScore]],MATCH(Table5[[#This Row],[PID]],Batters[[#All],[PID]],0)),INDEX(Table3[[#All],[zScore]],MATCH(Table5[[#This Row],[PID]],Table3[[#All],[PID]],0)))</f>
        <v>0.17381388673229722</v>
      </c>
      <c r="S150" s="75" t="str">
        <f>IF($C150="B",INDEX(Batters[[#All],[DEM]],MATCH(Table5[[#This Row],[PID]],Batters[[#All],[PID]],0)),INDEX(Table3[[#All],[DEM]],MATCH(Table5[[#This Row],[PID]],Table3[[#All],[PID]],0)))</f>
        <v>$65k</v>
      </c>
      <c r="T150" s="72">
        <f>IF($C150="B",INDEX(Batters[[#All],[Rnk]],MATCH(Table5[[#This Row],[PID]],Batters[[#All],[PID]],0)),INDEX(Table3[[#All],[Rnk]],MATCH(Table5[[#This Row],[PID]],Table3[[#All],[PID]],0)))</f>
        <v>9</v>
      </c>
      <c r="U150" s="67">
        <f>IF($C150="B",VLOOKUP($A150,Bat!$A$4:$BA$1314,47,FALSE),VLOOKUP($A150,Pit!$A$4:$BF$1214,56,FALSE))</f>
        <v>81</v>
      </c>
      <c r="V150" s="50">
        <f>IF($C150="B",VLOOKUP($A150,Bat!$A$4:$BA$1314,48,FALSE),VLOOKUP($A150,Pit!$A$4:$BF$1214,57,FALSE))</f>
        <v>81</v>
      </c>
      <c r="W150" s="68">
        <v>146</v>
      </c>
      <c r="X150" s="71">
        <f>RANK(Table5[[#This Row],[zScore]],Table5[[#All],[zScore]])</f>
        <v>321</v>
      </c>
      <c r="Y150" s="68">
        <f>IFERROR(INDEX(DraftResults[[#All],[OVR]],MATCH(Table5[[#This Row],[PID]],DraftResults[[#All],[Player ID]],0)),"")</f>
        <v>393</v>
      </c>
      <c r="Z150" s="7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12</v>
      </c>
      <c r="AA150" s="68">
        <f>IFERROR(INDEX(DraftResults[[#All],[Pick in Round]],MATCH(Table5[[#This Row],[PID]],DraftResults[[#All],[Player ID]],0)),"")</f>
        <v>28</v>
      </c>
      <c r="AB150" s="68" t="str">
        <f>IFERROR(INDEX(DraftResults[[#All],[Team Name]],MATCH(Table5[[#This Row],[PID]],DraftResults[[#All],[Player ID]],0)),"")</f>
        <v>Amsterdam Lions</v>
      </c>
      <c r="AC150" s="68">
        <f>IF(Table5[[#This Row],[Ovr]]="","",IF(Table5[[#This Row],[cmbList]]="","",Table5[[#This Row],[cmbList]]-Table5[[#This Row],[Ovr]]))</f>
        <v>-247</v>
      </c>
      <c r="AD150" s="74" t="str">
        <f>IF(ISERROR(VLOOKUP($AB150&amp;"-"&amp;$E150&amp;" "&amp;F150,Bonuses!$B$1:$G$1006,4,FALSE)),"",INT(VLOOKUP($AB150&amp;"-"&amp;$E150&amp;" "&amp;$F150,Bonuses!$B$1:$G$1006,4,FALSE)))</f>
        <v/>
      </c>
      <c r="AE150" s="68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12.28 (393) - CF Li-xue Shao</v>
      </c>
    </row>
    <row r="151" spans="1:31" s="50" customFormat="1" x14ac:dyDescent="0.3">
      <c r="A151" s="50">
        <v>11172</v>
      </c>
      <c r="B151" s="50">
        <f>COUNTIF(Table5[PID],A151)</f>
        <v>1</v>
      </c>
      <c r="C151" s="50" t="str">
        <f>IF(COUNTIF(Table3[[#All],[PID]],A151)&gt;0,"P","B")</f>
        <v>B</v>
      </c>
      <c r="D151" s="59" t="str">
        <f>IF($C151="B",INDEX(Batters[[#All],[POS]],MATCH(Table5[[#This Row],[PID]],Batters[[#All],[PID]],0)),INDEX(Table3[[#All],[POS]],MATCH(Table5[[#This Row],[PID]],Table3[[#All],[PID]],0)))</f>
        <v>1B</v>
      </c>
      <c r="E151" s="52" t="str">
        <f>IF($C151="B",INDEX(Batters[[#All],[First]],MATCH(Table5[[#This Row],[PID]],Batters[[#All],[PID]],0)),INDEX(Table3[[#All],[First]],MATCH(Table5[[#This Row],[PID]],Table3[[#All],[PID]],0)))</f>
        <v>Leonard</v>
      </c>
      <c r="F151" s="50" t="str">
        <f>IF($C151="B",INDEX(Batters[[#All],[Last]],MATCH(A151,Batters[[#All],[PID]],0)),INDEX(Table3[[#All],[Last]],MATCH(A151,Table3[[#All],[PID]],0)))</f>
        <v>Ryan</v>
      </c>
      <c r="G151" s="56">
        <f>IF($C151="B",INDEX(Batters[[#All],[Age]],MATCH(Table5[[#This Row],[PID]],Batters[[#All],[PID]],0)),INDEX(Table3[[#All],[Age]],MATCH(Table5[[#This Row],[PID]],Table3[[#All],[PID]],0)))</f>
        <v>17</v>
      </c>
      <c r="H151" s="52" t="str">
        <f>IF($C151="B",INDEX(Batters[[#All],[B]],MATCH(Table5[[#This Row],[PID]],Batters[[#All],[PID]],0)),INDEX(Table3[[#All],[B]],MATCH(Table5[[#This Row],[PID]],Table3[[#All],[PID]],0)))</f>
        <v>R</v>
      </c>
      <c r="I151" s="52" t="str">
        <f>IF($C151="B",INDEX(Batters[[#All],[T]],MATCH(Table5[[#This Row],[PID]],Batters[[#All],[PID]],0)),INDEX(Table3[[#All],[T]],MATCH(Table5[[#This Row],[PID]],Table3[[#All],[PID]],0)))</f>
        <v>R</v>
      </c>
      <c r="J151" s="52" t="str">
        <f>IF($C151="B",INDEX(Batters[[#All],[WE]],MATCH(Table5[[#This Row],[PID]],Batters[[#All],[PID]],0)),INDEX(Table3[[#All],[WE]],MATCH(Table5[[#This Row],[PID]],Table3[[#All],[PID]],0)))</f>
        <v>Normal</v>
      </c>
      <c r="K151" s="52" t="str">
        <f>IF($C151="B",INDEX(Batters[[#All],[INT]],MATCH(Table5[[#This Row],[PID]],Batters[[#All],[PID]],0)),INDEX(Table3[[#All],[INT]],MATCH(Table5[[#This Row],[PID]],Table3[[#All],[PID]],0)))</f>
        <v>Normal</v>
      </c>
      <c r="L151" s="60">
        <f>IF($C151="B",INDEX(Batters[[#All],[CON P]],MATCH(Table5[[#This Row],[PID]],Batters[[#All],[PID]],0)),INDEX(Table3[[#All],[STU P]],MATCH(Table5[[#This Row],[PID]],Table3[[#All],[PID]],0)))</f>
        <v>5</v>
      </c>
      <c r="M151" s="56">
        <f>IF($C151="B",INDEX(Batters[[#All],[GAP P]],MATCH(Table5[[#This Row],[PID]],Batters[[#All],[PID]],0)),INDEX(Table3[[#All],[MOV P]],MATCH(Table5[[#This Row],[PID]],Table3[[#All],[PID]],0)))</f>
        <v>6</v>
      </c>
      <c r="N151" s="56">
        <f>IF($C151="B",INDEX(Batters[[#All],[POW P]],MATCH(Table5[[#This Row],[PID]],Batters[[#All],[PID]],0)),INDEX(Table3[[#All],[CON P]],MATCH(Table5[[#This Row],[PID]],Table3[[#All],[PID]],0)))</f>
        <v>4</v>
      </c>
      <c r="O151" s="56">
        <f>IF($C151="B",INDEX(Batters[[#All],[EYE P]],MATCH(Table5[[#This Row],[PID]],Batters[[#All],[PID]],0)),INDEX(Table3[[#All],[VELO]],MATCH(Table5[[#This Row],[PID]],Table3[[#All],[PID]],0)))</f>
        <v>5</v>
      </c>
      <c r="P151" s="56">
        <f>IF($C151="B",INDEX(Batters[[#All],[K P]],MATCH(Table5[[#This Row],[PID]],Batters[[#All],[PID]],0)),INDEX(Table3[[#All],[STM]],MATCH(Table5[[#This Row],[PID]],Table3[[#All],[PID]],0)))</f>
        <v>5</v>
      </c>
      <c r="Q151" s="61">
        <f>IF($C151="B",INDEX(Batters[[#All],[Tot]],MATCH(Table5[[#This Row],[PID]],Batters[[#All],[PID]],0)),INDEX(Table3[[#All],[Tot]],MATCH(Table5[[#This Row],[PID]],Table3[[#All],[PID]],0)))</f>
        <v>53.079371580747988</v>
      </c>
      <c r="R151" s="52">
        <f>IF($C151="B",INDEX(Batters[[#All],[zScore]],MATCH(Table5[[#This Row],[PID]],Batters[[#All],[PID]],0)),INDEX(Table3[[#All],[zScore]],MATCH(Table5[[#This Row],[PID]],Table3[[#All],[PID]],0)))</f>
        <v>1.4393741622803138</v>
      </c>
      <c r="S151" s="58" t="str">
        <f>IF($C151="B",INDEX(Batters[[#All],[DEM]],MATCH(Table5[[#This Row],[PID]],Batters[[#All],[PID]],0)),INDEX(Table3[[#All],[DEM]],MATCH(Table5[[#This Row],[PID]],Table3[[#All],[PID]],0)))</f>
        <v>$240k</v>
      </c>
      <c r="T151" s="62">
        <f>IF($C151="B",INDEX(Batters[[#All],[Rnk]],MATCH(Table5[[#This Row],[PID]],Batters[[#All],[PID]],0)),INDEX(Table3[[#All],[Rnk]],MATCH(Table5[[#This Row],[PID]],Table3[[#All],[PID]],0)))</f>
        <v>10</v>
      </c>
      <c r="U151" s="67">
        <f>IF($C151="B",VLOOKUP($A151,Bat!$A$4:$BA$1314,47,FALSE),VLOOKUP($A151,Pit!$A$4:$BF$1214,56,FALSE))</f>
        <v>82</v>
      </c>
      <c r="V151" s="50">
        <f>IF($C151="B",VLOOKUP($A151,Bat!$A$4:$BA$1314,48,FALSE),VLOOKUP($A151,Pit!$A$4:$BF$1214,57,FALSE))</f>
        <v>82</v>
      </c>
      <c r="W151" s="50">
        <v>147</v>
      </c>
      <c r="X151" s="51">
        <f>RANK(Table5[[#This Row],[zScore]],Table5[[#All],[zScore]])</f>
        <v>81</v>
      </c>
      <c r="Y151" s="50">
        <f>IFERROR(INDEX(DraftResults[[#All],[OVR]],MATCH(Table5[[#This Row],[PID]],DraftResults[[#All],[Player ID]],0)),"")</f>
        <v>119</v>
      </c>
      <c r="Z151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4</v>
      </c>
      <c r="AA151" s="50">
        <f>IFERROR(INDEX(DraftResults[[#All],[Pick in Round]],MATCH(Table5[[#This Row],[PID]],DraftResults[[#All],[Player ID]],0)),"")</f>
        <v>14</v>
      </c>
      <c r="AB151" s="50" t="str">
        <f>IFERROR(INDEX(DraftResults[[#All],[Team Name]],MATCH(Table5[[#This Row],[PID]],DraftResults[[#All],[Player ID]],0)),"")</f>
        <v>San Antonio Calzones of Laredo</v>
      </c>
      <c r="AC151" s="50">
        <f>IF(Table5[[#This Row],[Ovr]]="","",IF(Table5[[#This Row],[cmbList]]="","",Table5[[#This Row],[cmbList]]-Table5[[#This Row],[Ovr]]))</f>
        <v>28</v>
      </c>
      <c r="AD151" s="54" t="str">
        <f>IF(ISERROR(VLOOKUP($AB151&amp;"-"&amp;$E151&amp;" "&amp;F151,Bonuses!$B$1:$G$1006,4,FALSE)),"",INT(VLOOKUP($AB151&amp;"-"&amp;$E151&amp;" "&amp;$F151,Bonuses!$B$1:$G$1006,4,FALSE)))</f>
        <v/>
      </c>
      <c r="AE151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4.14 (119) - 1B Leonard Ryan</v>
      </c>
    </row>
    <row r="152" spans="1:31" s="50" customFormat="1" x14ac:dyDescent="0.3">
      <c r="A152" s="50">
        <v>9783</v>
      </c>
      <c r="B152" s="50">
        <f>COUNTIF(Table5[PID],A152)</f>
        <v>1</v>
      </c>
      <c r="C152" s="50" t="str">
        <f>IF(COUNTIF(Table3[[#All],[PID]],A152)&gt;0,"P","B")</f>
        <v>B</v>
      </c>
      <c r="D152" s="59" t="str">
        <f>IF($C152="B",INDEX(Batters[[#All],[POS]],MATCH(Table5[[#This Row],[PID]],Batters[[#All],[PID]],0)),INDEX(Table3[[#All],[POS]],MATCH(Table5[[#This Row],[PID]],Table3[[#All],[PID]],0)))</f>
        <v>RF</v>
      </c>
      <c r="E152" s="52" t="str">
        <f>IF($C152="B",INDEX(Batters[[#All],[First]],MATCH(Table5[[#This Row],[PID]],Batters[[#All],[PID]],0)),INDEX(Table3[[#All],[First]],MATCH(Table5[[#This Row],[PID]],Table3[[#All],[PID]],0)))</f>
        <v>Jesús</v>
      </c>
      <c r="F152" s="50" t="str">
        <f>IF($C152="B",INDEX(Batters[[#All],[Last]],MATCH(A152,Batters[[#All],[PID]],0)),INDEX(Table3[[#All],[Last]],MATCH(A152,Table3[[#All],[PID]],0)))</f>
        <v>Chávez</v>
      </c>
      <c r="G152" s="56">
        <f>IF($C152="B",INDEX(Batters[[#All],[Age]],MATCH(Table5[[#This Row],[PID]],Batters[[#All],[PID]],0)),INDEX(Table3[[#All],[Age]],MATCH(Table5[[#This Row],[PID]],Table3[[#All],[PID]],0)))</f>
        <v>17</v>
      </c>
      <c r="H152" s="52" t="str">
        <f>IF($C152="B",INDEX(Batters[[#All],[B]],MATCH(Table5[[#This Row],[PID]],Batters[[#All],[PID]],0)),INDEX(Table3[[#All],[B]],MATCH(Table5[[#This Row],[PID]],Table3[[#All],[PID]],0)))</f>
        <v>L</v>
      </c>
      <c r="I152" s="52" t="str">
        <f>IF($C152="B",INDEX(Batters[[#All],[T]],MATCH(Table5[[#This Row],[PID]],Batters[[#All],[PID]],0)),INDEX(Table3[[#All],[T]],MATCH(Table5[[#This Row],[PID]],Table3[[#All],[PID]],0)))</f>
        <v>L</v>
      </c>
      <c r="J152" s="52" t="str">
        <f>IF($C152="B",INDEX(Batters[[#All],[WE]],MATCH(Table5[[#This Row],[PID]],Batters[[#All],[PID]],0)),INDEX(Table3[[#All],[WE]],MATCH(Table5[[#This Row],[PID]],Table3[[#All],[PID]],0)))</f>
        <v>High</v>
      </c>
      <c r="K152" s="52" t="str">
        <f>IF($C152="B",INDEX(Batters[[#All],[INT]],MATCH(Table5[[#This Row],[PID]],Batters[[#All],[PID]],0)),INDEX(Table3[[#All],[INT]],MATCH(Table5[[#This Row],[PID]],Table3[[#All],[PID]],0)))</f>
        <v>Normal</v>
      </c>
      <c r="L152" s="60">
        <f>IF($C152="B",INDEX(Batters[[#All],[CON P]],MATCH(Table5[[#This Row],[PID]],Batters[[#All],[PID]],0)),INDEX(Table3[[#All],[STU P]],MATCH(Table5[[#This Row],[PID]],Table3[[#All],[PID]],0)))</f>
        <v>3</v>
      </c>
      <c r="M152" s="56">
        <f>IF($C152="B",INDEX(Batters[[#All],[GAP P]],MATCH(Table5[[#This Row],[PID]],Batters[[#All],[PID]],0)),INDEX(Table3[[#All],[MOV P]],MATCH(Table5[[#This Row],[PID]],Table3[[#All],[PID]],0)))</f>
        <v>6</v>
      </c>
      <c r="N152" s="56">
        <f>IF($C152="B",INDEX(Batters[[#All],[POW P]],MATCH(Table5[[#This Row],[PID]],Batters[[#All],[PID]],0)),INDEX(Table3[[#All],[CON P]],MATCH(Table5[[#This Row],[PID]],Table3[[#All],[PID]],0)))</f>
        <v>8</v>
      </c>
      <c r="O152" s="56">
        <f>IF($C152="B",INDEX(Batters[[#All],[EYE P]],MATCH(Table5[[#This Row],[PID]],Batters[[#All],[PID]],0)),INDEX(Table3[[#All],[VELO]],MATCH(Table5[[#This Row],[PID]],Table3[[#All],[PID]],0)))</f>
        <v>7</v>
      </c>
      <c r="P152" s="56">
        <f>IF($C152="B",INDEX(Batters[[#All],[K P]],MATCH(Table5[[#This Row],[PID]],Batters[[#All],[PID]],0)),INDEX(Table3[[#All],[STM]],MATCH(Table5[[#This Row],[PID]],Table3[[#All],[PID]],0)))</f>
        <v>2</v>
      </c>
      <c r="Q152" s="61">
        <f>IF($C152="B",INDEX(Batters[[#All],[Tot]],MATCH(Table5[[#This Row],[PID]],Batters[[#All],[PID]],0)),INDEX(Table3[[#All],[Tot]],MATCH(Table5[[#This Row],[PID]],Table3[[#All],[PID]],0)))</f>
        <v>49.845593674305782</v>
      </c>
      <c r="R152" s="52">
        <f>IF($C152="B",INDEX(Batters[[#All],[zScore]],MATCH(Table5[[#This Row],[PID]],Batters[[#All],[PID]],0)),INDEX(Table3[[#All],[zScore]],MATCH(Table5[[#This Row],[PID]],Table3[[#All],[PID]],0)))</f>
        <v>0.96734571425822014</v>
      </c>
      <c r="S152" s="58" t="str">
        <f>IF($C152="B",INDEX(Batters[[#All],[DEM]],MATCH(Table5[[#This Row],[PID]],Batters[[#All],[PID]],0)),INDEX(Table3[[#All],[DEM]],MATCH(Table5[[#This Row],[PID]],Table3[[#All],[PID]],0)))</f>
        <v>$270k</v>
      </c>
      <c r="T152" s="62">
        <f>IF($C152="B",INDEX(Batters[[#All],[Rnk]],MATCH(Table5[[#This Row],[PID]],Batters[[#All],[PID]],0)),INDEX(Table3[[#All],[Rnk]],MATCH(Table5[[#This Row],[PID]],Table3[[#All],[PID]],0)))</f>
        <v>10</v>
      </c>
      <c r="U152" s="67">
        <f>IF($C152="B",VLOOKUP($A152,Bat!$A$4:$BA$1314,47,FALSE),VLOOKUP($A152,Pit!$A$4:$BF$1214,56,FALSE))</f>
        <v>83</v>
      </c>
      <c r="V152" s="50">
        <f>IF($C152="B",VLOOKUP($A152,Bat!$A$4:$BA$1314,48,FALSE),VLOOKUP($A152,Pit!$A$4:$BF$1214,57,FALSE))</f>
        <v>83</v>
      </c>
      <c r="W152" s="68">
        <v>148</v>
      </c>
      <c r="X152" s="51">
        <f>RANK(Table5[[#This Row],[zScore]],Table5[[#All],[zScore]])</f>
        <v>150</v>
      </c>
      <c r="Y152" s="50">
        <f>IFERROR(INDEX(DraftResults[[#All],[OVR]],MATCH(Table5[[#This Row],[PID]],DraftResults[[#All],[Player ID]],0)),"")</f>
        <v>117</v>
      </c>
      <c r="Z152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4</v>
      </c>
      <c r="AA152" s="50">
        <f>IFERROR(INDEX(DraftResults[[#All],[Pick in Round]],MATCH(Table5[[#This Row],[PID]],DraftResults[[#All],[Player ID]],0)),"")</f>
        <v>12</v>
      </c>
      <c r="AB152" s="50" t="str">
        <f>IFERROR(INDEX(DraftResults[[#All],[Team Name]],MATCH(Table5[[#This Row],[PID]],DraftResults[[#All],[Player ID]],0)),"")</f>
        <v>Manchester Maulers</v>
      </c>
      <c r="AC152" s="50">
        <f>IF(Table5[[#This Row],[Ovr]]="","",IF(Table5[[#This Row],[cmbList]]="","",Table5[[#This Row],[cmbList]]-Table5[[#This Row],[Ovr]]))</f>
        <v>31</v>
      </c>
      <c r="AD152" s="54" t="str">
        <f>IF(ISERROR(VLOOKUP($AB152&amp;"-"&amp;$E152&amp;" "&amp;F152,Bonuses!$B$1:$G$1006,4,FALSE)),"",INT(VLOOKUP($AB152&amp;"-"&amp;$E152&amp;" "&amp;$F152,Bonuses!$B$1:$G$1006,4,FALSE)))</f>
        <v/>
      </c>
      <c r="AE152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4.12 (117) - RF Jesús Chávez</v>
      </c>
    </row>
    <row r="153" spans="1:31" s="50" customFormat="1" x14ac:dyDescent="0.3">
      <c r="A153" s="67">
        <v>10137</v>
      </c>
      <c r="B153" s="68">
        <f>COUNTIF(Table5[PID],A153)</f>
        <v>1</v>
      </c>
      <c r="C153" s="68" t="str">
        <f>IF(COUNTIF(Table3[[#All],[PID]],A153)&gt;0,"P","B")</f>
        <v>B</v>
      </c>
      <c r="D153" s="59" t="str">
        <f>IF($C153="B",INDEX(Batters[[#All],[POS]],MATCH(Table5[[#This Row],[PID]],Batters[[#All],[PID]],0)),INDEX(Table3[[#All],[POS]],MATCH(Table5[[#This Row],[PID]],Table3[[#All],[PID]],0)))</f>
        <v>LF</v>
      </c>
      <c r="E153" s="52" t="str">
        <f>IF($C153="B",INDEX(Batters[[#All],[First]],MATCH(Table5[[#This Row],[PID]],Batters[[#All],[PID]],0)),INDEX(Table3[[#All],[First]],MATCH(Table5[[#This Row],[PID]],Table3[[#All],[PID]],0)))</f>
        <v>Pete</v>
      </c>
      <c r="F153" s="55" t="str">
        <f>IF($C153="B",INDEX(Batters[[#All],[Last]],MATCH(A153,Batters[[#All],[PID]],0)),INDEX(Table3[[#All],[Last]],MATCH(A153,Table3[[#All],[PID]],0)))</f>
        <v>Bell</v>
      </c>
      <c r="G153" s="56">
        <f>IF($C153="B",INDEX(Batters[[#All],[Age]],MATCH(Table5[[#This Row],[PID]],Batters[[#All],[PID]],0)),INDEX(Table3[[#All],[Age]],MATCH(Table5[[#This Row],[PID]],Table3[[#All],[PID]],0)))</f>
        <v>17</v>
      </c>
      <c r="H153" s="52" t="str">
        <f>IF($C153="B",INDEX(Batters[[#All],[B]],MATCH(Table5[[#This Row],[PID]],Batters[[#All],[PID]],0)),INDEX(Table3[[#All],[B]],MATCH(Table5[[#This Row],[PID]],Table3[[#All],[PID]],0)))</f>
        <v>S</v>
      </c>
      <c r="I153" s="52" t="str">
        <f>IF($C153="B",INDEX(Batters[[#All],[T]],MATCH(Table5[[#This Row],[PID]],Batters[[#All],[PID]],0)),INDEX(Table3[[#All],[T]],MATCH(Table5[[#This Row],[PID]],Table3[[#All],[PID]],0)))</f>
        <v>L</v>
      </c>
      <c r="J153" s="69" t="str">
        <f>IF($C153="B",INDEX(Batters[[#All],[WE]],MATCH(Table5[[#This Row],[PID]],Batters[[#All],[PID]],0)),INDEX(Table3[[#All],[WE]],MATCH(Table5[[#This Row],[PID]],Table3[[#All],[PID]],0)))</f>
        <v>High</v>
      </c>
      <c r="K153" s="52" t="str">
        <f>IF($C153="B",INDEX(Batters[[#All],[INT]],MATCH(Table5[[#This Row],[PID]],Batters[[#All],[PID]],0)),INDEX(Table3[[#All],[INT]],MATCH(Table5[[#This Row],[PID]],Table3[[#All],[PID]],0)))</f>
        <v>Normal</v>
      </c>
      <c r="L153" s="60">
        <f>IF($C153="B",INDEX(Batters[[#All],[CON P]],MATCH(Table5[[#This Row],[PID]],Batters[[#All],[PID]],0)),INDEX(Table3[[#All],[STU P]],MATCH(Table5[[#This Row],[PID]],Table3[[#All],[PID]],0)))</f>
        <v>4</v>
      </c>
      <c r="M153" s="70">
        <f>IF($C153="B",INDEX(Batters[[#All],[GAP P]],MATCH(Table5[[#This Row],[PID]],Batters[[#All],[PID]],0)),INDEX(Table3[[#All],[MOV P]],MATCH(Table5[[#This Row],[PID]],Table3[[#All],[PID]],0)))</f>
        <v>7</v>
      </c>
      <c r="N153" s="70">
        <f>IF($C153="B",INDEX(Batters[[#All],[POW P]],MATCH(Table5[[#This Row],[PID]],Batters[[#All],[PID]],0)),INDEX(Table3[[#All],[CON P]],MATCH(Table5[[#This Row],[PID]],Table3[[#All],[PID]],0)))</f>
        <v>7</v>
      </c>
      <c r="O153" s="70">
        <f>IF($C153="B",INDEX(Batters[[#All],[EYE P]],MATCH(Table5[[#This Row],[PID]],Batters[[#All],[PID]],0)),INDEX(Table3[[#All],[VELO]],MATCH(Table5[[#This Row],[PID]],Table3[[#All],[PID]],0)))</f>
        <v>5</v>
      </c>
      <c r="P153" s="56">
        <f>IF($C153="B",INDEX(Batters[[#All],[K P]],MATCH(Table5[[#This Row],[PID]],Batters[[#All],[PID]],0)),INDEX(Table3[[#All],[STM]],MATCH(Table5[[#This Row],[PID]],Table3[[#All],[PID]],0)))</f>
        <v>3</v>
      </c>
      <c r="Q153" s="61">
        <f>IF($C153="B",INDEX(Batters[[#All],[Tot]],MATCH(Table5[[#This Row],[PID]],Batters[[#All],[PID]],0)),INDEX(Table3[[#All],[Tot]],MATCH(Table5[[#This Row],[PID]],Table3[[#All],[PID]],0)))</f>
        <v>52.047212913078141</v>
      </c>
      <c r="R153" s="52">
        <f>IF($C153="B",INDEX(Batters[[#All],[zScore]],MATCH(Table5[[#This Row],[PID]],Batters[[#All],[PID]],0)),INDEX(Table3[[#All],[zScore]],MATCH(Table5[[#This Row],[PID]],Table3[[#All],[PID]],0)))</f>
        <v>1.2887119127046232</v>
      </c>
      <c r="S153" s="75" t="str">
        <f>IF($C153="B",INDEX(Batters[[#All],[DEM]],MATCH(Table5[[#This Row],[PID]],Batters[[#All],[PID]],0)),INDEX(Table3[[#All],[DEM]],MATCH(Table5[[#This Row],[PID]],Table3[[#All],[PID]],0)))</f>
        <v>$380k</v>
      </c>
      <c r="T153" s="72">
        <f>IF($C153="B",INDEX(Batters[[#All],[Rnk]],MATCH(Table5[[#This Row],[PID]],Batters[[#All],[PID]],0)),INDEX(Table3[[#All],[Rnk]],MATCH(Table5[[#This Row],[PID]],Table3[[#All],[PID]],0)))</f>
        <v>10</v>
      </c>
      <c r="U153" s="67">
        <f>IF($C153="B",VLOOKUP($A153,Bat!$A$4:$BA$1314,47,FALSE),VLOOKUP($A153,Pit!$A$4:$BF$1214,56,FALSE))</f>
        <v>84</v>
      </c>
      <c r="V153" s="50">
        <f>IF($C153="B",VLOOKUP($A153,Bat!$A$4:$BA$1314,48,FALSE),VLOOKUP($A153,Pit!$A$4:$BF$1214,57,FALSE))</f>
        <v>84</v>
      </c>
      <c r="W153" s="50">
        <v>149</v>
      </c>
      <c r="X153" s="71">
        <f>RANK(Table5[[#This Row],[zScore]],Table5[[#All],[zScore]])</f>
        <v>97</v>
      </c>
      <c r="Y153" s="68">
        <f>IFERROR(INDEX(DraftResults[[#All],[OVR]],MATCH(Table5[[#This Row],[PID]],DraftResults[[#All],[Player ID]],0)),"")</f>
        <v>94</v>
      </c>
      <c r="Z153" s="7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3</v>
      </c>
      <c r="AA153" s="68">
        <f>IFERROR(INDEX(DraftResults[[#All],[Pick in Round]],MATCH(Table5[[#This Row],[PID]],DraftResults[[#All],[Player ID]],0)),"")</f>
        <v>22</v>
      </c>
      <c r="AB153" s="68" t="str">
        <f>IFERROR(INDEX(DraftResults[[#All],[Team Name]],MATCH(Table5[[#This Row],[PID]],DraftResults[[#All],[Player ID]],0)),"")</f>
        <v>Neo-Tokyo Akira</v>
      </c>
      <c r="AC153" s="68">
        <f>IF(Table5[[#This Row],[Ovr]]="","",IF(Table5[[#This Row],[cmbList]]="","",Table5[[#This Row],[cmbList]]-Table5[[#This Row],[Ovr]]))</f>
        <v>55</v>
      </c>
      <c r="AD153" s="74" t="str">
        <f>IF(ISERROR(VLOOKUP($AB153&amp;"-"&amp;$E153&amp;" "&amp;F153,Bonuses!$B$1:$G$1006,4,FALSE)),"",INT(VLOOKUP($AB153&amp;"-"&amp;$E153&amp;" "&amp;$F153,Bonuses!$B$1:$G$1006,4,FALSE)))</f>
        <v/>
      </c>
      <c r="AE153" s="68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3.22 (94) - LF Pete Bell</v>
      </c>
    </row>
    <row r="154" spans="1:31" s="50" customFormat="1" x14ac:dyDescent="0.3">
      <c r="A154" s="50">
        <v>20840</v>
      </c>
      <c r="B154" s="50">
        <f>COUNTIF(Table5[PID],A154)</f>
        <v>1</v>
      </c>
      <c r="C154" s="50" t="str">
        <f>IF(COUNTIF(Table3[[#All],[PID]],A154)&gt;0,"P","B")</f>
        <v>B</v>
      </c>
      <c r="D154" s="59" t="str">
        <f>IF($C154="B",INDEX(Batters[[#All],[POS]],MATCH(Table5[[#This Row],[PID]],Batters[[#All],[PID]],0)),INDEX(Table3[[#All],[POS]],MATCH(Table5[[#This Row],[PID]],Table3[[#All],[PID]],0)))</f>
        <v>1B</v>
      </c>
      <c r="E154" s="52" t="str">
        <f>IF($C154="B",INDEX(Batters[[#All],[First]],MATCH(Table5[[#This Row],[PID]],Batters[[#All],[PID]],0)),INDEX(Table3[[#All],[First]],MATCH(Table5[[#This Row],[PID]],Table3[[#All],[PID]],0)))</f>
        <v>Armando</v>
      </c>
      <c r="F154" s="50" t="str">
        <f>IF($C154="B",INDEX(Batters[[#All],[Last]],MATCH(A154,Batters[[#All],[PID]],0)),INDEX(Table3[[#All],[Last]],MATCH(A154,Table3[[#All],[PID]],0)))</f>
        <v>Hernández</v>
      </c>
      <c r="G154" s="56">
        <f>IF($C154="B",INDEX(Batters[[#All],[Age]],MATCH(Table5[[#This Row],[PID]],Batters[[#All],[PID]],0)),INDEX(Table3[[#All],[Age]],MATCH(Table5[[#This Row],[PID]],Table3[[#All],[PID]],0)))</f>
        <v>17</v>
      </c>
      <c r="H154" s="52" t="str">
        <f>IF($C154="B",INDEX(Batters[[#All],[B]],MATCH(Table5[[#This Row],[PID]],Batters[[#All],[PID]],0)),INDEX(Table3[[#All],[B]],MATCH(Table5[[#This Row],[PID]],Table3[[#All],[PID]],0)))</f>
        <v>L</v>
      </c>
      <c r="I154" s="52" t="str">
        <f>IF($C154="B",INDEX(Batters[[#All],[T]],MATCH(Table5[[#This Row],[PID]],Batters[[#All],[PID]],0)),INDEX(Table3[[#All],[T]],MATCH(Table5[[#This Row],[PID]],Table3[[#All],[PID]],0)))</f>
        <v>L</v>
      </c>
      <c r="J154" s="52" t="str">
        <f>IF($C154="B",INDEX(Batters[[#All],[WE]],MATCH(Table5[[#This Row],[PID]],Batters[[#All],[PID]],0)),INDEX(Table3[[#All],[WE]],MATCH(Table5[[#This Row],[PID]],Table3[[#All],[PID]],0)))</f>
        <v>Low</v>
      </c>
      <c r="K154" s="52" t="str">
        <f>IF($C154="B",INDEX(Batters[[#All],[INT]],MATCH(Table5[[#This Row],[PID]],Batters[[#All],[PID]],0)),INDEX(Table3[[#All],[INT]],MATCH(Table5[[#This Row],[PID]],Table3[[#All],[PID]],0)))</f>
        <v>Normal</v>
      </c>
      <c r="L154" s="60">
        <f>IF($C154="B",INDEX(Batters[[#All],[CON P]],MATCH(Table5[[#This Row],[PID]],Batters[[#All],[PID]],0)),INDEX(Table3[[#All],[STU P]],MATCH(Table5[[#This Row],[PID]],Table3[[#All],[PID]],0)))</f>
        <v>5</v>
      </c>
      <c r="M154" s="56">
        <f>IF($C154="B",INDEX(Batters[[#All],[GAP P]],MATCH(Table5[[#This Row],[PID]],Batters[[#All],[PID]],0)),INDEX(Table3[[#All],[MOV P]],MATCH(Table5[[#This Row],[PID]],Table3[[#All],[PID]],0)))</f>
        <v>6</v>
      </c>
      <c r="N154" s="56">
        <f>IF($C154="B",INDEX(Batters[[#All],[POW P]],MATCH(Table5[[#This Row],[PID]],Batters[[#All],[PID]],0)),INDEX(Table3[[#All],[CON P]],MATCH(Table5[[#This Row],[PID]],Table3[[#All],[PID]],0)))</f>
        <v>5</v>
      </c>
      <c r="O154" s="56">
        <f>IF($C154="B",INDEX(Batters[[#All],[EYE P]],MATCH(Table5[[#This Row],[PID]],Batters[[#All],[PID]],0)),INDEX(Table3[[#All],[VELO]],MATCH(Table5[[#This Row],[PID]],Table3[[#All],[PID]],0)))</f>
        <v>5</v>
      </c>
      <c r="P154" s="56">
        <f>IF($C154="B",INDEX(Batters[[#All],[K P]],MATCH(Table5[[#This Row],[PID]],Batters[[#All],[PID]],0)),INDEX(Table3[[#All],[STM]],MATCH(Table5[[#This Row],[PID]],Table3[[#All],[PID]],0)))</f>
        <v>4</v>
      </c>
      <c r="Q154" s="61">
        <f>IF($C154="B",INDEX(Batters[[#All],[Tot]],MATCH(Table5[[#This Row],[PID]],Batters[[#All],[PID]],0)),INDEX(Table3[[#All],[Tot]],MATCH(Table5[[#This Row],[PID]],Table3[[#All],[PID]],0)))</f>
        <v>52.790005970726753</v>
      </c>
      <c r="R154" s="52">
        <f>IF($C154="B",INDEX(Batters[[#All],[zScore]],MATCH(Table5[[#This Row],[PID]],Batters[[#All],[PID]],0)),INDEX(Table3[[#All],[zScore]],MATCH(Table5[[#This Row],[PID]],Table3[[#All],[PID]],0)))</f>
        <v>1.3978581829299661</v>
      </c>
      <c r="S154" s="59" t="str">
        <f>IF($C154="B",INDEX(Batters[[#All],[DEM]],MATCH(Table5[[#This Row],[PID]],Batters[[#All],[PID]],0)),INDEX(Table3[[#All],[DEM]],MATCH(Table5[[#This Row],[PID]],Table3[[#All],[PID]],0)))</f>
        <v>$190k</v>
      </c>
      <c r="T154" s="62">
        <f>IF($C154="B",INDEX(Batters[[#All],[Rnk]],MATCH(Table5[[#This Row],[PID]],Batters[[#All],[PID]],0)),INDEX(Table3[[#All],[Rnk]],MATCH(Table5[[#This Row],[PID]],Table3[[#All],[PID]],0)))</f>
        <v>10</v>
      </c>
      <c r="U154" s="67">
        <f>IF($C154="B",VLOOKUP($A154,Bat!$A$4:$BA$1314,47,FALSE),VLOOKUP($A154,Pit!$A$4:$BF$1214,56,FALSE))</f>
        <v>85</v>
      </c>
      <c r="V154" s="50">
        <f>IF($C154="B",VLOOKUP($A154,Bat!$A$4:$BA$1314,48,FALSE),VLOOKUP($A154,Pit!$A$4:$BF$1214,57,FALSE))</f>
        <v>85</v>
      </c>
      <c r="W154" s="68">
        <v>150</v>
      </c>
      <c r="X154" s="51">
        <f>RANK(Table5[[#This Row],[zScore]],Table5[[#All],[zScore]])</f>
        <v>84</v>
      </c>
      <c r="Y154" s="50">
        <f>IFERROR(INDEX(DraftResults[[#All],[OVR]],MATCH(Table5[[#This Row],[PID]],DraftResults[[#All],[Player ID]],0)),"")</f>
        <v>214</v>
      </c>
      <c r="Z154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7</v>
      </c>
      <c r="AA154" s="50">
        <f>IFERROR(INDEX(DraftResults[[#All],[Pick in Round]],MATCH(Table5[[#This Row],[PID]],DraftResults[[#All],[Player ID]],0)),"")</f>
        <v>13</v>
      </c>
      <c r="AB154" s="50" t="str">
        <f>IFERROR(INDEX(DraftResults[[#All],[Team Name]],MATCH(Table5[[#This Row],[PID]],DraftResults[[#All],[Player ID]],0)),"")</f>
        <v>Scottish Claymores</v>
      </c>
      <c r="AC154" s="50">
        <f>IF(Table5[[#This Row],[Ovr]]="","",IF(Table5[[#This Row],[cmbList]]="","",Table5[[#This Row],[cmbList]]-Table5[[#This Row],[Ovr]]))</f>
        <v>-64</v>
      </c>
      <c r="AD154" s="54" t="str">
        <f>IF(ISERROR(VLOOKUP($AB154&amp;"-"&amp;$E154&amp;" "&amp;F154,Bonuses!$B$1:$G$1006,4,FALSE)),"",INT(VLOOKUP($AB154&amp;"-"&amp;$E154&amp;" "&amp;$F154,Bonuses!$B$1:$G$1006,4,FALSE)))</f>
        <v/>
      </c>
      <c r="AE154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7.13 (214) - 1B Armando Hernández</v>
      </c>
    </row>
    <row r="155" spans="1:31" s="50" customFormat="1" x14ac:dyDescent="0.3">
      <c r="A155" s="50">
        <v>11164</v>
      </c>
      <c r="B155" s="50">
        <f>COUNTIF(Table5[PID],A155)</f>
        <v>1</v>
      </c>
      <c r="C155" s="50" t="str">
        <f>IF(COUNTIF(Table3[[#All],[PID]],A155)&gt;0,"P","B")</f>
        <v>B</v>
      </c>
      <c r="D155" s="59" t="str">
        <f>IF($C155="B",INDEX(Batters[[#All],[POS]],MATCH(Table5[[#This Row],[PID]],Batters[[#All],[PID]],0)),INDEX(Table3[[#All],[POS]],MATCH(Table5[[#This Row],[PID]],Table3[[#All],[PID]],0)))</f>
        <v>SS</v>
      </c>
      <c r="E155" s="52" t="str">
        <f>IF($C155="B",INDEX(Batters[[#All],[First]],MATCH(Table5[[#This Row],[PID]],Batters[[#All],[PID]],0)),INDEX(Table3[[#All],[First]],MATCH(Table5[[#This Row],[PID]],Table3[[#All],[PID]],0)))</f>
        <v>Bob</v>
      </c>
      <c r="F155" s="50" t="str">
        <f>IF($C155="B",INDEX(Batters[[#All],[Last]],MATCH(A155,Batters[[#All],[PID]],0)),INDEX(Table3[[#All],[Last]],MATCH(A155,Table3[[#All],[PID]],0)))</f>
        <v>Jones</v>
      </c>
      <c r="G155" s="56">
        <f>IF($C155="B",INDEX(Batters[[#All],[Age]],MATCH(Table5[[#This Row],[PID]],Batters[[#All],[PID]],0)),INDEX(Table3[[#All],[Age]],MATCH(Table5[[#This Row],[PID]],Table3[[#All],[PID]],0)))</f>
        <v>17</v>
      </c>
      <c r="H155" s="52" t="str">
        <f>IF($C155="B",INDEX(Batters[[#All],[B]],MATCH(Table5[[#This Row],[PID]],Batters[[#All],[PID]],0)),INDEX(Table3[[#All],[B]],MATCH(Table5[[#This Row],[PID]],Table3[[#All],[PID]],0)))</f>
        <v>R</v>
      </c>
      <c r="I155" s="52" t="str">
        <f>IF($C155="B",INDEX(Batters[[#All],[T]],MATCH(Table5[[#This Row],[PID]],Batters[[#All],[PID]],0)),INDEX(Table3[[#All],[T]],MATCH(Table5[[#This Row],[PID]],Table3[[#All],[PID]],0)))</f>
        <v>R</v>
      </c>
      <c r="J155" s="52" t="str">
        <f>IF($C155="B",INDEX(Batters[[#All],[WE]],MATCH(Table5[[#This Row],[PID]],Batters[[#All],[PID]],0)),INDEX(Table3[[#All],[WE]],MATCH(Table5[[#This Row],[PID]],Table3[[#All],[PID]],0)))</f>
        <v>High</v>
      </c>
      <c r="K155" s="52" t="str">
        <f>IF($C155="B",INDEX(Batters[[#All],[INT]],MATCH(Table5[[#This Row],[PID]],Batters[[#All],[PID]],0)),INDEX(Table3[[#All],[INT]],MATCH(Table5[[#This Row],[PID]],Table3[[#All],[PID]],0)))</f>
        <v>Normal</v>
      </c>
      <c r="L155" s="60">
        <f>IF($C155="B",INDEX(Batters[[#All],[CON P]],MATCH(Table5[[#This Row],[PID]],Batters[[#All],[PID]],0)),INDEX(Table3[[#All],[STU P]],MATCH(Table5[[#This Row],[PID]],Table3[[#All],[PID]],0)))</f>
        <v>4</v>
      </c>
      <c r="M155" s="56">
        <f>IF($C155="B",INDEX(Batters[[#All],[GAP P]],MATCH(Table5[[#This Row],[PID]],Batters[[#All],[PID]],0)),INDEX(Table3[[#All],[MOV P]],MATCH(Table5[[#This Row],[PID]],Table3[[#All],[PID]],0)))</f>
        <v>5</v>
      </c>
      <c r="N155" s="56">
        <f>IF($C155="B",INDEX(Batters[[#All],[POW P]],MATCH(Table5[[#This Row],[PID]],Batters[[#All],[PID]],0)),INDEX(Table3[[#All],[CON P]],MATCH(Table5[[#This Row],[PID]],Table3[[#All],[PID]],0)))</f>
        <v>2</v>
      </c>
      <c r="O155" s="56">
        <f>IF($C155="B",INDEX(Batters[[#All],[EYE P]],MATCH(Table5[[#This Row],[PID]],Batters[[#All],[PID]],0)),INDEX(Table3[[#All],[VELO]],MATCH(Table5[[#This Row],[PID]],Table3[[#All],[PID]],0)))</f>
        <v>5</v>
      </c>
      <c r="P155" s="56">
        <f>IF($C155="B",INDEX(Batters[[#All],[K P]],MATCH(Table5[[#This Row],[PID]],Batters[[#All],[PID]],0)),INDEX(Table3[[#All],[STM]],MATCH(Table5[[#This Row],[PID]],Table3[[#All],[PID]],0)))</f>
        <v>5</v>
      </c>
      <c r="Q155" s="61">
        <f>IF($C155="B",INDEX(Batters[[#All],[Tot]],MATCH(Table5[[#This Row],[PID]],Batters[[#All],[PID]],0)),INDEX(Table3[[#All],[Tot]],MATCH(Table5[[#This Row],[PID]],Table3[[#All],[PID]],0)))</f>
        <v>46.783961825060743</v>
      </c>
      <c r="R155" s="52">
        <f>IF($C155="B",INDEX(Batters[[#All],[zScore]],MATCH(Table5[[#This Row],[PID]],Batters[[#All],[PID]],0)),INDEX(Table3[[#All],[zScore]],MATCH(Table5[[#This Row],[PID]],Table3[[#All],[PID]],0)))</f>
        <v>0.52044510078840778</v>
      </c>
      <c r="S155" s="58" t="str">
        <f>IF($C155="B",INDEX(Batters[[#All],[DEM]],MATCH(Table5[[#This Row],[PID]],Batters[[#All],[PID]],0)),INDEX(Table3[[#All],[DEM]],MATCH(Table5[[#This Row],[PID]],Table3[[#All],[PID]],0)))</f>
        <v>$200k</v>
      </c>
      <c r="T155" s="62">
        <f>IF($C155="B",INDEX(Batters[[#All],[Rnk]],MATCH(Table5[[#This Row],[PID]],Batters[[#All],[PID]],0)),INDEX(Table3[[#All],[Rnk]],MATCH(Table5[[#This Row],[PID]],Table3[[#All],[PID]],0)))</f>
        <v>10</v>
      </c>
      <c r="U155" s="67">
        <f>IF($C155="B",VLOOKUP($A155,Bat!$A$4:$BA$1314,47,FALSE),VLOOKUP($A155,Pit!$A$4:$BF$1214,56,FALSE))</f>
        <v>86</v>
      </c>
      <c r="V155" s="50">
        <f>IF($C155="B",VLOOKUP($A155,Bat!$A$4:$BA$1314,48,FALSE),VLOOKUP($A155,Pit!$A$4:$BF$1214,57,FALSE))</f>
        <v>86</v>
      </c>
      <c r="W155" s="50">
        <v>151</v>
      </c>
      <c r="X155" s="51">
        <f>RANK(Table5[[#This Row],[zScore]],Table5[[#All],[zScore]])</f>
        <v>221</v>
      </c>
      <c r="Y155" s="50">
        <f>IFERROR(INDEX(DraftResults[[#All],[OVR]],MATCH(Table5[[#This Row],[PID]],DraftResults[[#All],[Player ID]],0)),"")</f>
        <v>244</v>
      </c>
      <c r="Z155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8</v>
      </c>
      <c r="AA155" s="50">
        <f>IFERROR(INDEX(DraftResults[[#All],[Pick in Round]],MATCH(Table5[[#This Row],[PID]],DraftResults[[#All],[Player ID]],0)),"")</f>
        <v>11</v>
      </c>
      <c r="AB155" s="50" t="str">
        <f>IFERROR(INDEX(DraftResults[[#All],[Team Name]],MATCH(Table5[[#This Row],[PID]],DraftResults[[#All],[Player ID]],0)),"")</f>
        <v>West Virginia Alleghenies</v>
      </c>
      <c r="AC155" s="50">
        <f>IF(Table5[[#This Row],[Ovr]]="","",IF(Table5[[#This Row],[cmbList]]="","",Table5[[#This Row],[cmbList]]-Table5[[#This Row],[Ovr]]))</f>
        <v>-93</v>
      </c>
      <c r="AD155" s="54" t="str">
        <f>IF(ISERROR(VLOOKUP($AB155&amp;"-"&amp;$E155&amp;" "&amp;F155,Bonuses!$B$1:$G$1006,4,FALSE)),"",INT(VLOOKUP($AB155&amp;"-"&amp;$E155&amp;" "&amp;$F155,Bonuses!$B$1:$G$1006,4,FALSE)))</f>
        <v/>
      </c>
      <c r="AE155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8.11 (244) - SS Bob Jones</v>
      </c>
    </row>
    <row r="156" spans="1:31" s="50" customFormat="1" x14ac:dyDescent="0.3">
      <c r="A156" s="67">
        <v>20495</v>
      </c>
      <c r="B156" s="68">
        <f>COUNTIF(Table5[PID],A156)</f>
        <v>1</v>
      </c>
      <c r="C156" s="68" t="str">
        <f>IF(COUNTIF(Table3[[#All],[PID]],A156)&gt;0,"P","B")</f>
        <v>B</v>
      </c>
      <c r="D156" s="59" t="str">
        <f>IF($C156="B",INDEX(Batters[[#All],[POS]],MATCH(Table5[[#This Row],[PID]],Batters[[#All],[PID]],0)),INDEX(Table3[[#All],[POS]],MATCH(Table5[[#This Row],[PID]],Table3[[#All],[PID]],0)))</f>
        <v>CF</v>
      </c>
      <c r="E156" s="52" t="str">
        <f>IF($C156="B",INDEX(Batters[[#All],[First]],MATCH(Table5[[#This Row],[PID]],Batters[[#All],[PID]],0)),INDEX(Table3[[#All],[First]],MATCH(Table5[[#This Row],[PID]],Table3[[#All],[PID]],0)))</f>
        <v>Minoru</v>
      </c>
      <c r="F156" s="55" t="str">
        <f>IF($C156="B",INDEX(Batters[[#All],[Last]],MATCH(A156,Batters[[#All],[PID]],0)),INDEX(Table3[[#All],[Last]],MATCH(A156,Table3[[#All],[PID]],0)))</f>
        <v>Kogo</v>
      </c>
      <c r="G156" s="56">
        <f>IF($C156="B",INDEX(Batters[[#All],[Age]],MATCH(Table5[[#This Row],[PID]],Batters[[#All],[PID]],0)),INDEX(Table3[[#All],[Age]],MATCH(Table5[[#This Row],[PID]],Table3[[#All],[PID]],0)))</f>
        <v>17</v>
      </c>
      <c r="H156" s="52" t="str">
        <f>IF($C156="B",INDEX(Batters[[#All],[B]],MATCH(Table5[[#This Row],[PID]],Batters[[#All],[PID]],0)),INDEX(Table3[[#All],[B]],MATCH(Table5[[#This Row],[PID]],Table3[[#All],[PID]],0)))</f>
        <v>R</v>
      </c>
      <c r="I156" s="52" t="str">
        <f>IF($C156="B",INDEX(Batters[[#All],[T]],MATCH(Table5[[#This Row],[PID]],Batters[[#All],[PID]],0)),INDEX(Table3[[#All],[T]],MATCH(Table5[[#This Row],[PID]],Table3[[#All],[PID]],0)))</f>
        <v>R</v>
      </c>
      <c r="J156" s="69" t="str">
        <f>IF($C156="B",INDEX(Batters[[#All],[WE]],MATCH(Table5[[#This Row],[PID]],Batters[[#All],[PID]],0)),INDEX(Table3[[#All],[WE]],MATCH(Table5[[#This Row],[PID]],Table3[[#All],[PID]],0)))</f>
        <v>Low</v>
      </c>
      <c r="K156" s="52" t="str">
        <f>IF($C156="B",INDEX(Batters[[#All],[INT]],MATCH(Table5[[#This Row],[PID]],Batters[[#All],[PID]],0)),INDEX(Table3[[#All],[INT]],MATCH(Table5[[#This Row],[PID]],Table3[[#All],[PID]],0)))</f>
        <v>Normal</v>
      </c>
      <c r="L156" s="60">
        <f>IF($C156="B",INDEX(Batters[[#All],[CON P]],MATCH(Table5[[#This Row],[PID]],Batters[[#All],[PID]],0)),INDEX(Table3[[#All],[STU P]],MATCH(Table5[[#This Row],[PID]],Table3[[#All],[PID]],0)))</f>
        <v>4</v>
      </c>
      <c r="M156" s="70">
        <f>IF($C156="B",INDEX(Batters[[#All],[GAP P]],MATCH(Table5[[#This Row],[PID]],Batters[[#All],[PID]],0)),INDEX(Table3[[#All],[MOV P]],MATCH(Table5[[#This Row],[PID]],Table3[[#All],[PID]],0)))</f>
        <v>3</v>
      </c>
      <c r="N156" s="70">
        <f>IF($C156="B",INDEX(Batters[[#All],[POW P]],MATCH(Table5[[#This Row],[PID]],Batters[[#All],[PID]],0)),INDEX(Table3[[#All],[CON P]],MATCH(Table5[[#This Row],[PID]],Table3[[#All],[PID]],0)))</f>
        <v>4</v>
      </c>
      <c r="O156" s="70">
        <f>IF($C156="B",INDEX(Batters[[#All],[EYE P]],MATCH(Table5[[#This Row],[PID]],Batters[[#All],[PID]],0)),INDEX(Table3[[#All],[VELO]],MATCH(Table5[[#This Row],[PID]],Table3[[#All],[PID]],0)))</f>
        <v>6</v>
      </c>
      <c r="P156" s="56">
        <f>IF($C156="B",INDEX(Batters[[#All],[K P]],MATCH(Table5[[#This Row],[PID]],Batters[[#All],[PID]],0)),INDEX(Table3[[#All],[STM]],MATCH(Table5[[#This Row],[PID]],Table3[[#All],[PID]],0)))</f>
        <v>4</v>
      </c>
      <c r="Q156" s="61">
        <f>IF($C156="B",INDEX(Batters[[#All],[Tot]],MATCH(Table5[[#This Row],[PID]],Batters[[#All],[PID]],0)),INDEX(Table3[[#All],[Tot]],MATCH(Table5[[#This Row],[PID]],Table3[[#All],[PID]],0)))</f>
        <v>47.83659456351711</v>
      </c>
      <c r="R156" s="52">
        <f>IF($C156="B",INDEX(Batters[[#All],[zScore]],MATCH(Table5[[#This Row],[PID]],Batters[[#All],[PID]],0)),INDEX(Table3[[#All],[zScore]],MATCH(Table5[[#This Row],[PID]],Table3[[#All],[PID]],0)))</f>
        <v>0.67409591177358852</v>
      </c>
      <c r="S156" s="75" t="str">
        <f>IF($C156="B",INDEX(Batters[[#All],[DEM]],MATCH(Table5[[#This Row],[PID]],Batters[[#All],[PID]],0)),INDEX(Table3[[#All],[DEM]],MATCH(Table5[[#This Row],[PID]],Table3[[#All],[PID]],0)))</f>
        <v>$65k</v>
      </c>
      <c r="T156" s="72">
        <f>IF($C156="B",INDEX(Batters[[#All],[Rnk]],MATCH(Table5[[#This Row],[PID]],Batters[[#All],[PID]],0)),INDEX(Table3[[#All],[Rnk]],MATCH(Table5[[#This Row],[PID]],Table3[[#All],[PID]],0)))</f>
        <v>10</v>
      </c>
      <c r="U156" s="67">
        <f>IF($C156="B",VLOOKUP($A156,Bat!$A$4:$BA$1314,47,FALSE),VLOOKUP($A156,Pit!$A$4:$BF$1214,56,FALSE))</f>
        <v>87</v>
      </c>
      <c r="V156" s="50">
        <f>IF($C156="B",VLOOKUP($A156,Bat!$A$4:$BA$1314,48,FALSE),VLOOKUP($A156,Pit!$A$4:$BF$1214,57,FALSE))</f>
        <v>87</v>
      </c>
      <c r="W156" s="68">
        <v>152</v>
      </c>
      <c r="X156" s="71">
        <f>RANK(Table5[[#This Row],[zScore]],Table5[[#All],[zScore]])</f>
        <v>192</v>
      </c>
      <c r="Y156" s="68">
        <f>IFERROR(INDEX(DraftResults[[#All],[OVR]],MATCH(Table5[[#This Row],[PID]],DraftResults[[#All],[Player ID]],0)),"")</f>
        <v>331</v>
      </c>
      <c r="Z156" s="7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10</v>
      </c>
      <c r="AA156" s="68">
        <f>IFERROR(INDEX(DraftResults[[#All],[Pick in Round]],MATCH(Table5[[#This Row],[PID]],DraftResults[[#All],[Player ID]],0)),"")</f>
        <v>34</v>
      </c>
      <c r="AB156" s="68" t="str">
        <f>IFERROR(INDEX(DraftResults[[#All],[Team Name]],MATCH(Table5[[#This Row],[PID]],DraftResults[[#All],[Player ID]],0)),"")</f>
        <v>Gloucester Fishermen</v>
      </c>
      <c r="AC156" s="68">
        <f>IF(Table5[[#This Row],[Ovr]]="","",IF(Table5[[#This Row],[cmbList]]="","",Table5[[#This Row],[cmbList]]-Table5[[#This Row],[Ovr]]))</f>
        <v>-179</v>
      </c>
      <c r="AD156" s="74" t="str">
        <f>IF(ISERROR(VLOOKUP($AB156&amp;"-"&amp;$E156&amp;" "&amp;F156,Bonuses!$B$1:$G$1006,4,FALSE)),"",INT(VLOOKUP($AB156&amp;"-"&amp;$E156&amp;" "&amp;$F156,Bonuses!$B$1:$G$1006,4,FALSE)))</f>
        <v/>
      </c>
      <c r="AE156" s="68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10.34 (331) - CF Minoru Kogo</v>
      </c>
    </row>
    <row r="157" spans="1:31" s="50" customFormat="1" x14ac:dyDescent="0.3">
      <c r="A157" s="50">
        <v>13102</v>
      </c>
      <c r="B157" s="50">
        <f>COUNTIF(Table5[PID],A157)</f>
        <v>1</v>
      </c>
      <c r="C157" s="50" t="str">
        <f>IF(COUNTIF(Table3[[#All],[PID]],A157)&gt;0,"P","B")</f>
        <v>P</v>
      </c>
      <c r="D157" s="59" t="str">
        <f>IF($C157="B",INDEX(Batters[[#All],[POS]],MATCH(Table5[[#This Row],[PID]],Batters[[#All],[PID]],0)),INDEX(Table3[[#All],[POS]],MATCH(Table5[[#This Row],[PID]],Table3[[#All],[PID]],0)))</f>
        <v>SP</v>
      </c>
      <c r="E157" s="52" t="str">
        <f>IF($C157="B",INDEX(Batters[[#All],[First]],MATCH(Table5[[#This Row],[PID]],Batters[[#All],[PID]],0)),INDEX(Table3[[#All],[First]],MATCH(Table5[[#This Row],[PID]],Table3[[#All],[PID]],0)))</f>
        <v>Perry</v>
      </c>
      <c r="F157" s="50" t="str">
        <f>IF($C157="B",INDEX(Batters[[#All],[Last]],MATCH(A157,Batters[[#All],[PID]],0)),INDEX(Table3[[#All],[Last]],MATCH(A157,Table3[[#All],[PID]],0)))</f>
        <v>de Smet</v>
      </c>
      <c r="G157" s="56">
        <f>IF($C157="B",INDEX(Batters[[#All],[Age]],MATCH(Table5[[#This Row],[PID]],Batters[[#All],[PID]],0)),INDEX(Table3[[#All],[Age]],MATCH(Table5[[#This Row],[PID]],Table3[[#All],[PID]],0)))</f>
        <v>18</v>
      </c>
      <c r="H157" s="52" t="str">
        <f>IF($C157="B",INDEX(Batters[[#All],[B]],MATCH(Table5[[#This Row],[PID]],Batters[[#All],[PID]],0)),INDEX(Table3[[#All],[B]],MATCH(Table5[[#This Row],[PID]],Table3[[#All],[PID]],0)))</f>
        <v>S</v>
      </c>
      <c r="I157" s="52" t="str">
        <f>IF($C157="B",INDEX(Batters[[#All],[T]],MATCH(Table5[[#This Row],[PID]],Batters[[#All],[PID]],0)),INDEX(Table3[[#All],[T]],MATCH(Table5[[#This Row],[PID]],Table3[[#All],[PID]],0)))</f>
        <v>R</v>
      </c>
      <c r="J157" s="52" t="str">
        <f>IF($C157="B",INDEX(Batters[[#All],[WE]],MATCH(Table5[[#This Row],[PID]],Batters[[#All],[PID]],0)),INDEX(Table3[[#All],[WE]],MATCH(Table5[[#This Row],[PID]],Table3[[#All],[PID]],0)))</f>
        <v>Normal</v>
      </c>
      <c r="K157" s="52" t="str">
        <f>IF($C157="B",INDEX(Batters[[#All],[INT]],MATCH(Table5[[#This Row],[PID]],Batters[[#All],[PID]],0)),INDEX(Table3[[#All],[INT]],MATCH(Table5[[#This Row],[PID]],Table3[[#All],[PID]],0)))</f>
        <v>Normal</v>
      </c>
      <c r="L157" s="60">
        <f>IF($C157="B",INDEX(Batters[[#All],[CON P]],MATCH(Table5[[#This Row],[PID]],Batters[[#All],[PID]],0)),INDEX(Table3[[#All],[STU P]],MATCH(Table5[[#This Row],[PID]],Table3[[#All],[PID]],0)))</f>
        <v>5</v>
      </c>
      <c r="M157" s="56">
        <f>IF($C157="B",INDEX(Batters[[#All],[GAP P]],MATCH(Table5[[#This Row],[PID]],Batters[[#All],[PID]],0)),INDEX(Table3[[#All],[MOV P]],MATCH(Table5[[#This Row],[PID]],Table3[[#All],[PID]],0)))</f>
        <v>2</v>
      </c>
      <c r="N157" s="56">
        <f>IF($C157="B",INDEX(Batters[[#All],[POW P]],MATCH(Table5[[#This Row],[PID]],Batters[[#All],[PID]],0)),INDEX(Table3[[#All],[CON P]],MATCH(Table5[[#This Row],[PID]],Table3[[#All],[PID]],0)))</f>
        <v>5</v>
      </c>
      <c r="O157" s="56" t="str">
        <f>IF($C157="B",INDEX(Batters[[#All],[EYE P]],MATCH(Table5[[#This Row],[PID]],Batters[[#All],[PID]],0)),INDEX(Table3[[#All],[VELO]],MATCH(Table5[[#This Row],[PID]],Table3[[#All],[PID]],0)))</f>
        <v>91-93 Mph</v>
      </c>
      <c r="P157" s="56">
        <f>IF($C157="B",INDEX(Batters[[#All],[K P]],MATCH(Table5[[#This Row],[PID]],Batters[[#All],[PID]],0)),INDEX(Table3[[#All],[STM]],MATCH(Table5[[#This Row],[PID]],Table3[[#All],[PID]],0)))</f>
        <v>9</v>
      </c>
      <c r="Q157" s="61">
        <f>IF($C157="B",INDEX(Batters[[#All],[Tot]],MATCH(Table5[[#This Row],[PID]],Batters[[#All],[PID]],0)),INDEX(Table3[[#All],[Tot]],MATCH(Table5[[#This Row],[PID]],Table3[[#All],[PID]],0)))</f>
        <v>51.124925967760277</v>
      </c>
      <c r="R157" s="52">
        <f>IF($C157="B",INDEX(Batters[[#All],[zScore]],MATCH(Table5[[#This Row],[PID]],Batters[[#All],[PID]],0)),INDEX(Table3[[#All],[zScore]],MATCH(Table5[[#This Row],[PID]],Table3[[#All],[PID]],0)))</f>
        <v>0.95402953923545331</v>
      </c>
      <c r="S157" s="58" t="str">
        <f>IF($C157="B",INDEX(Batters[[#All],[DEM]],MATCH(Table5[[#This Row],[PID]],Batters[[#All],[PID]],0)),INDEX(Table3[[#All],[DEM]],MATCH(Table5[[#This Row],[PID]],Table3[[#All],[PID]],0)))</f>
        <v>$240k</v>
      </c>
      <c r="T157" s="62">
        <f>IF($C157="B",INDEX(Batters[[#All],[Rnk]],MATCH(Table5[[#This Row],[PID]],Batters[[#All],[PID]],0)),INDEX(Table3[[#All],[Rnk]],MATCH(Table5[[#This Row],[PID]],Table3[[#All],[PID]],0)))</f>
        <v>900</v>
      </c>
      <c r="U157" s="67">
        <f>IF($C157="B",VLOOKUP($A157,Bat!$A$4:$BA$1314,47,FALSE),VLOOKUP($A157,Pit!$A$4:$BF$1214,56,FALSE))</f>
        <v>65</v>
      </c>
      <c r="V157" s="50">
        <f>IF($C157="B",VLOOKUP($A157,Bat!$A$4:$BA$1314,48,FALSE),VLOOKUP($A157,Pit!$A$4:$BF$1214,57,FALSE))</f>
        <v>0</v>
      </c>
      <c r="W157" s="50">
        <v>153</v>
      </c>
      <c r="X157" s="51">
        <f>RANK(Table5[[#This Row],[zScore]],Table5[[#All],[zScore]])</f>
        <v>152</v>
      </c>
      <c r="Y157" s="50">
        <f>IFERROR(INDEX(DraftResults[[#All],[OVR]],MATCH(Table5[[#This Row],[PID]],DraftResults[[#All],[Player ID]],0)),"")</f>
        <v>231</v>
      </c>
      <c r="Z157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7</v>
      </c>
      <c r="AA157" s="50">
        <f>IFERROR(INDEX(DraftResults[[#All],[Pick in Round]],MATCH(Table5[[#This Row],[PID]],DraftResults[[#All],[Player ID]],0)),"")</f>
        <v>30</v>
      </c>
      <c r="AB157" s="50" t="str">
        <f>IFERROR(INDEX(DraftResults[[#All],[Team Name]],MATCH(Table5[[#This Row],[PID]],DraftResults[[#All],[Player ID]],0)),"")</f>
        <v>Toyama Wind Dancers</v>
      </c>
      <c r="AC157" s="50">
        <f>IF(Table5[[#This Row],[Ovr]]="","",IF(Table5[[#This Row],[cmbList]]="","",Table5[[#This Row],[cmbList]]-Table5[[#This Row],[Ovr]]))</f>
        <v>-78</v>
      </c>
      <c r="AD157" s="54" t="str">
        <f>IF(ISERROR(VLOOKUP($AB157&amp;"-"&amp;$E157&amp;" "&amp;F157,Bonuses!$B$1:$G$1006,4,FALSE)),"",INT(VLOOKUP($AB157&amp;"-"&amp;$E157&amp;" "&amp;$F157,Bonuses!$B$1:$G$1006,4,FALSE)))</f>
        <v/>
      </c>
      <c r="AE157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7.30 (231) - SP Perry de Smet</v>
      </c>
    </row>
    <row r="158" spans="1:31" s="50" customFormat="1" x14ac:dyDescent="0.3">
      <c r="A158" s="67">
        <v>9998</v>
      </c>
      <c r="B158" s="68">
        <f>COUNTIF(Table5[PID],A158)</f>
        <v>1</v>
      </c>
      <c r="C158" s="68" t="str">
        <f>IF(COUNTIF(Table3[[#All],[PID]],A158)&gt;0,"P","B")</f>
        <v>P</v>
      </c>
      <c r="D158" s="59" t="str">
        <f>IF($C158="B",INDEX(Batters[[#All],[POS]],MATCH(Table5[[#This Row],[PID]],Batters[[#All],[PID]],0)),INDEX(Table3[[#All],[POS]],MATCH(Table5[[#This Row],[PID]],Table3[[#All],[PID]],0)))</f>
        <v>SP</v>
      </c>
      <c r="E158" s="52" t="str">
        <f>IF($C158="B",INDEX(Batters[[#All],[First]],MATCH(Table5[[#This Row],[PID]],Batters[[#All],[PID]],0)),INDEX(Table3[[#All],[First]],MATCH(Table5[[#This Row],[PID]],Table3[[#All],[PID]],0)))</f>
        <v>Ian</v>
      </c>
      <c r="F158" s="55" t="str">
        <f>IF($C158="B",INDEX(Batters[[#All],[Last]],MATCH(A158,Batters[[#All],[PID]],0)),INDEX(Table3[[#All],[Last]],MATCH(A158,Table3[[#All],[PID]],0)))</f>
        <v>Nelson</v>
      </c>
      <c r="G158" s="56">
        <f>IF($C158="B",INDEX(Batters[[#All],[Age]],MATCH(Table5[[#This Row],[PID]],Batters[[#All],[PID]],0)),INDEX(Table3[[#All],[Age]],MATCH(Table5[[#This Row],[PID]],Table3[[#All],[PID]],0)))</f>
        <v>18</v>
      </c>
      <c r="H158" s="52" t="str">
        <f>IF($C158="B",INDEX(Batters[[#All],[B]],MATCH(Table5[[#This Row],[PID]],Batters[[#All],[PID]],0)),INDEX(Table3[[#All],[B]],MATCH(Table5[[#This Row],[PID]],Table3[[#All],[PID]],0)))</f>
        <v>L</v>
      </c>
      <c r="I158" s="52" t="str">
        <f>IF($C158="B",INDEX(Batters[[#All],[T]],MATCH(Table5[[#This Row],[PID]],Batters[[#All],[PID]],0)),INDEX(Table3[[#All],[T]],MATCH(Table5[[#This Row],[PID]],Table3[[#All],[PID]],0)))</f>
        <v>R</v>
      </c>
      <c r="J158" s="69" t="str">
        <f>IF($C158="B",INDEX(Batters[[#All],[WE]],MATCH(Table5[[#This Row],[PID]],Batters[[#All],[PID]],0)),INDEX(Table3[[#All],[WE]],MATCH(Table5[[#This Row],[PID]],Table3[[#All],[PID]],0)))</f>
        <v>Normal</v>
      </c>
      <c r="K158" s="52" t="str">
        <f>IF($C158="B",INDEX(Batters[[#All],[INT]],MATCH(Table5[[#This Row],[PID]],Batters[[#All],[PID]],0)),INDEX(Table3[[#All],[INT]],MATCH(Table5[[#This Row],[PID]],Table3[[#All],[PID]],0)))</f>
        <v>Normal</v>
      </c>
      <c r="L158" s="60">
        <f>IF($C158="B",INDEX(Batters[[#All],[CON P]],MATCH(Table5[[#This Row],[PID]],Batters[[#All],[PID]],0)),INDEX(Table3[[#All],[STU P]],MATCH(Table5[[#This Row],[PID]],Table3[[#All],[PID]],0)))</f>
        <v>5</v>
      </c>
      <c r="M158" s="70">
        <f>IF($C158="B",INDEX(Batters[[#All],[GAP P]],MATCH(Table5[[#This Row],[PID]],Batters[[#All],[PID]],0)),INDEX(Table3[[#All],[MOV P]],MATCH(Table5[[#This Row],[PID]],Table3[[#All],[PID]],0)))</f>
        <v>3</v>
      </c>
      <c r="N158" s="70">
        <f>IF($C158="B",INDEX(Batters[[#All],[POW P]],MATCH(Table5[[#This Row],[PID]],Batters[[#All],[PID]],0)),INDEX(Table3[[#All],[CON P]],MATCH(Table5[[#This Row],[PID]],Table3[[#All],[PID]],0)))</f>
        <v>4</v>
      </c>
      <c r="O158" s="70" t="str">
        <f>IF($C158="B",INDEX(Batters[[#All],[EYE P]],MATCH(Table5[[#This Row],[PID]],Batters[[#All],[PID]],0)),INDEX(Table3[[#All],[VELO]],MATCH(Table5[[#This Row],[PID]],Table3[[#All],[PID]],0)))</f>
        <v>92-94 Mph</v>
      </c>
      <c r="P158" s="56">
        <f>IF($C158="B",INDEX(Batters[[#All],[K P]],MATCH(Table5[[#This Row],[PID]],Batters[[#All],[PID]],0)),INDEX(Table3[[#All],[STM]],MATCH(Table5[[#This Row],[PID]],Table3[[#All],[PID]],0)))</f>
        <v>6</v>
      </c>
      <c r="Q158" s="61">
        <f>IF($C158="B",INDEX(Batters[[#All],[Tot]],MATCH(Table5[[#This Row],[PID]],Batters[[#All],[PID]],0)),INDEX(Table3[[#All],[Tot]],MATCH(Table5[[#This Row],[PID]],Table3[[#All],[PID]],0)))</f>
        <v>49.50136462732177</v>
      </c>
      <c r="R158" s="52">
        <f>IF($C158="B",INDEX(Batters[[#All],[zScore]],MATCH(Table5[[#This Row],[PID]],Batters[[#All],[PID]],0)),INDEX(Table3[[#All],[zScore]],MATCH(Table5[[#This Row],[PID]],Table3[[#All],[PID]],0)))</f>
        <v>0.83303555708518096</v>
      </c>
      <c r="S158" s="75" t="str">
        <f>IF($C158="B",INDEX(Batters[[#All],[DEM]],MATCH(Table5[[#This Row],[PID]],Batters[[#All],[PID]],0)),INDEX(Table3[[#All],[DEM]],MATCH(Table5[[#This Row],[PID]],Table3[[#All],[PID]],0)))</f>
        <v>$350k</v>
      </c>
      <c r="T158" s="72">
        <f>IF($C158="B",INDEX(Batters[[#All],[Rnk]],MATCH(Table5[[#This Row],[PID]],Batters[[#All],[PID]],0)),INDEX(Table3[[#All],[Rnk]],MATCH(Table5[[#This Row],[PID]],Table3[[#All],[PID]],0)))</f>
        <v>900</v>
      </c>
      <c r="U158" s="67">
        <f>IF($C158="B",VLOOKUP($A158,Bat!$A$4:$BA$1314,47,FALSE),VLOOKUP($A158,Pit!$A$4:$BF$1214,56,FALSE))</f>
        <v>66</v>
      </c>
      <c r="V158" s="50">
        <f>IF($C158="B",VLOOKUP($A158,Bat!$A$4:$BA$1314,48,FALSE),VLOOKUP($A158,Pit!$A$4:$BF$1214,57,FALSE))</f>
        <v>0</v>
      </c>
      <c r="W158" s="68">
        <v>154</v>
      </c>
      <c r="X158" s="71">
        <f>RANK(Table5[[#This Row],[zScore]],Table5[[#All],[zScore]])</f>
        <v>167</v>
      </c>
      <c r="Y158" s="68">
        <f>IFERROR(INDEX(DraftResults[[#All],[OVR]],MATCH(Table5[[#This Row],[PID]],DraftResults[[#All],[Player ID]],0)),"")</f>
        <v>262</v>
      </c>
      <c r="Z158" s="7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8</v>
      </c>
      <c r="AA158" s="68">
        <f>IFERROR(INDEX(DraftResults[[#All],[Pick in Round]],MATCH(Table5[[#This Row],[PID]],DraftResults[[#All],[Player ID]],0)),"")</f>
        <v>29</v>
      </c>
      <c r="AB158" s="68" t="str">
        <f>IFERROR(INDEX(DraftResults[[#All],[Team Name]],MATCH(Table5[[#This Row],[PID]],DraftResults[[#All],[Player ID]],0)),"")</f>
        <v>Charleston Statesmen</v>
      </c>
      <c r="AC158" s="68">
        <f>IF(Table5[[#This Row],[Ovr]]="","",IF(Table5[[#This Row],[cmbList]]="","",Table5[[#This Row],[cmbList]]-Table5[[#This Row],[Ovr]]))</f>
        <v>-108</v>
      </c>
      <c r="AD158" s="74" t="str">
        <f>IF(ISERROR(VLOOKUP($AB158&amp;"-"&amp;$E158&amp;" "&amp;F158,Bonuses!$B$1:$G$1006,4,FALSE)),"",INT(VLOOKUP($AB158&amp;"-"&amp;$E158&amp;" "&amp;$F158,Bonuses!$B$1:$G$1006,4,FALSE)))</f>
        <v/>
      </c>
      <c r="AE158" s="68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8.29 (262) - SP Ian Nelson</v>
      </c>
    </row>
    <row r="159" spans="1:31" s="50" customFormat="1" x14ac:dyDescent="0.3">
      <c r="A159" s="67">
        <v>10970</v>
      </c>
      <c r="B159" s="68">
        <f>COUNTIF(Table5[PID],A159)</f>
        <v>1</v>
      </c>
      <c r="C159" s="68" t="str">
        <f>IF(COUNTIF(Table3[[#All],[PID]],A159)&gt;0,"P","B")</f>
        <v>P</v>
      </c>
      <c r="D159" s="59" t="str">
        <f>IF($C159="B",INDEX(Batters[[#All],[POS]],MATCH(Table5[[#This Row],[PID]],Batters[[#All],[PID]],0)),INDEX(Table3[[#All],[POS]],MATCH(Table5[[#This Row],[PID]],Table3[[#All],[PID]],0)))</f>
        <v>RP</v>
      </c>
      <c r="E159" s="52" t="str">
        <f>IF($C159="B",INDEX(Batters[[#All],[First]],MATCH(Table5[[#This Row],[PID]],Batters[[#All],[PID]],0)),INDEX(Table3[[#All],[First]],MATCH(Table5[[#This Row],[PID]],Table3[[#All],[PID]],0)))</f>
        <v>Oscar</v>
      </c>
      <c r="F159" s="55" t="str">
        <f>IF($C159="B",INDEX(Batters[[#All],[Last]],MATCH(A159,Batters[[#All],[PID]],0)),INDEX(Table3[[#All],[Last]],MATCH(A159,Table3[[#All],[PID]],0)))</f>
        <v>Jarrold</v>
      </c>
      <c r="G159" s="56">
        <f>IF($C159="B",INDEX(Batters[[#All],[Age]],MATCH(Table5[[#This Row],[PID]],Batters[[#All],[PID]],0)),INDEX(Table3[[#All],[Age]],MATCH(Table5[[#This Row],[PID]],Table3[[#All],[PID]],0)))</f>
        <v>21</v>
      </c>
      <c r="H159" s="52" t="str">
        <f>IF($C159="B",INDEX(Batters[[#All],[B]],MATCH(Table5[[#This Row],[PID]],Batters[[#All],[PID]],0)),INDEX(Table3[[#All],[B]],MATCH(Table5[[#This Row],[PID]],Table3[[#All],[PID]],0)))</f>
        <v>R</v>
      </c>
      <c r="I159" s="52" t="str">
        <f>IF($C159="B",INDEX(Batters[[#All],[T]],MATCH(Table5[[#This Row],[PID]],Batters[[#All],[PID]],0)),INDEX(Table3[[#All],[T]],MATCH(Table5[[#This Row],[PID]],Table3[[#All],[PID]],0)))</f>
        <v>R</v>
      </c>
      <c r="J159" s="69" t="str">
        <f>IF($C159="B",INDEX(Batters[[#All],[WE]],MATCH(Table5[[#This Row],[PID]],Batters[[#All],[PID]],0)),INDEX(Table3[[#All],[WE]],MATCH(Table5[[#This Row],[PID]],Table3[[#All],[PID]],0)))</f>
        <v>Normal</v>
      </c>
      <c r="K159" s="52" t="str">
        <f>IF($C159="B",INDEX(Batters[[#All],[INT]],MATCH(Table5[[#This Row],[PID]],Batters[[#All],[PID]],0)),INDEX(Table3[[#All],[INT]],MATCH(Table5[[#This Row],[PID]],Table3[[#All],[PID]],0)))</f>
        <v>Normal</v>
      </c>
      <c r="L159" s="60">
        <f>IF($C159="B",INDEX(Batters[[#All],[CON P]],MATCH(Table5[[#This Row],[PID]],Batters[[#All],[PID]],0)),INDEX(Table3[[#All],[STU P]],MATCH(Table5[[#This Row],[PID]],Table3[[#All],[PID]],0)))</f>
        <v>5</v>
      </c>
      <c r="M159" s="70">
        <f>IF($C159="B",INDEX(Batters[[#All],[GAP P]],MATCH(Table5[[#This Row],[PID]],Batters[[#All],[PID]],0)),INDEX(Table3[[#All],[MOV P]],MATCH(Table5[[#This Row],[PID]],Table3[[#All],[PID]],0)))</f>
        <v>3</v>
      </c>
      <c r="N159" s="70">
        <f>IF($C159="B",INDEX(Batters[[#All],[POW P]],MATCH(Table5[[#This Row],[PID]],Batters[[#All],[PID]],0)),INDEX(Table3[[#All],[CON P]],MATCH(Table5[[#This Row],[PID]],Table3[[#All],[PID]],0)))</f>
        <v>5</v>
      </c>
      <c r="O159" s="70" t="str">
        <f>IF($C159="B",INDEX(Batters[[#All],[EYE P]],MATCH(Table5[[#This Row],[PID]],Batters[[#All],[PID]],0)),INDEX(Table3[[#All],[VELO]],MATCH(Table5[[#This Row],[PID]],Table3[[#All],[PID]],0)))</f>
        <v>93-95 Mph</v>
      </c>
      <c r="P159" s="56">
        <f>IF($C159="B",INDEX(Batters[[#All],[K P]],MATCH(Table5[[#This Row],[PID]],Batters[[#All],[PID]],0)),INDEX(Table3[[#All],[STM]],MATCH(Table5[[#This Row],[PID]],Table3[[#All],[PID]],0)))</f>
        <v>5</v>
      </c>
      <c r="Q159" s="61">
        <f>IF($C159="B",INDEX(Batters[[#All],[Tot]],MATCH(Table5[[#This Row],[PID]],Batters[[#All],[PID]],0)),INDEX(Table3[[#All],[Tot]],MATCH(Table5[[#This Row],[PID]],Table3[[#All],[PID]],0)))</f>
        <v>48.370105822802493</v>
      </c>
      <c r="R159" s="52">
        <f>IF($C159="B",INDEX(Batters[[#All],[zScore]],MATCH(Table5[[#This Row],[PID]],Batters[[#All],[PID]],0)),INDEX(Table3[[#All],[zScore]],MATCH(Table5[[#This Row],[PID]],Table3[[#All],[PID]],0)))</f>
        <v>0.75248197420393381</v>
      </c>
      <c r="S159" s="75" t="str">
        <f>IF($C159="B",INDEX(Batters[[#All],[DEM]],MATCH(Table5[[#This Row],[PID]],Batters[[#All],[PID]],0)),INDEX(Table3[[#All],[DEM]],MATCH(Table5[[#This Row],[PID]],Table3[[#All],[PID]],0)))</f>
        <v>$20k</v>
      </c>
      <c r="T159" s="72">
        <f>IF($C159="B",INDEX(Batters[[#All],[Rnk]],MATCH(Table5[[#This Row],[PID]],Batters[[#All],[PID]],0)),INDEX(Table3[[#All],[Rnk]],MATCH(Table5[[#This Row],[PID]],Table3[[#All],[PID]],0)))</f>
        <v>900</v>
      </c>
      <c r="U159" s="67">
        <f>IF($C159="B",VLOOKUP($A159,Bat!$A$4:$BA$1314,47,FALSE),VLOOKUP($A159,Pit!$A$4:$BF$1214,56,FALSE))</f>
        <v>67</v>
      </c>
      <c r="V159" s="50">
        <f>IF($C159="B",VLOOKUP($A159,Bat!$A$4:$BA$1314,48,FALSE),VLOOKUP($A159,Pit!$A$4:$BF$1214,57,FALSE))</f>
        <v>0</v>
      </c>
      <c r="W159" s="50">
        <v>155</v>
      </c>
      <c r="X159" s="71">
        <f>RANK(Table5[[#This Row],[zScore]],Table5[[#All],[zScore]])</f>
        <v>177</v>
      </c>
      <c r="Y159" s="68">
        <f>IFERROR(INDEX(DraftResults[[#All],[OVR]],MATCH(Table5[[#This Row],[PID]],DraftResults[[#All],[Player ID]],0)),"")</f>
        <v>220</v>
      </c>
      <c r="Z159" s="7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7</v>
      </c>
      <c r="AA159" s="68">
        <f>IFERROR(INDEX(DraftResults[[#All],[Pick in Round]],MATCH(Table5[[#This Row],[PID]],DraftResults[[#All],[Player ID]],0)),"")</f>
        <v>19</v>
      </c>
      <c r="AB159" s="68" t="str">
        <f>IFERROR(INDEX(DraftResults[[#All],[Team Name]],MATCH(Table5[[#This Row],[PID]],DraftResults[[#All],[Player ID]],0)),"")</f>
        <v>Fargo Dinosaurs</v>
      </c>
      <c r="AC159" s="68">
        <f>IF(Table5[[#This Row],[Ovr]]="","",IF(Table5[[#This Row],[cmbList]]="","",Table5[[#This Row],[cmbList]]-Table5[[#This Row],[Ovr]]))</f>
        <v>-65</v>
      </c>
      <c r="AD159" s="74" t="str">
        <f>IF(ISERROR(VLOOKUP($AB159&amp;"-"&amp;$E159&amp;" "&amp;F159,Bonuses!$B$1:$G$1006,4,FALSE)),"",INT(VLOOKUP($AB159&amp;"-"&amp;$E159&amp;" "&amp;$F159,Bonuses!$B$1:$G$1006,4,FALSE)))</f>
        <v/>
      </c>
      <c r="AE159" s="68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7.19 (220) - RP Oscar Jarrold</v>
      </c>
    </row>
    <row r="160" spans="1:31" s="50" customFormat="1" x14ac:dyDescent="0.3">
      <c r="A160" s="67">
        <v>13764</v>
      </c>
      <c r="B160" s="68">
        <f>COUNTIF(Table5[PID],A160)</f>
        <v>1</v>
      </c>
      <c r="C160" s="68" t="str">
        <f>IF(COUNTIF(Table3[[#All],[PID]],A160)&gt;0,"P","B")</f>
        <v>P</v>
      </c>
      <c r="D160" s="59" t="str">
        <f>IF($C160="B",INDEX(Batters[[#All],[POS]],MATCH(Table5[[#This Row],[PID]],Batters[[#All],[PID]],0)),INDEX(Table3[[#All],[POS]],MATCH(Table5[[#This Row],[PID]],Table3[[#All],[PID]],0)))</f>
        <v>SP</v>
      </c>
      <c r="E160" s="52" t="str">
        <f>IF($C160="B",INDEX(Batters[[#All],[First]],MATCH(Table5[[#This Row],[PID]],Batters[[#All],[PID]],0)),INDEX(Table3[[#All],[First]],MATCH(Table5[[#This Row],[PID]],Table3[[#All],[PID]],0)))</f>
        <v>Adam</v>
      </c>
      <c r="F160" s="55" t="str">
        <f>IF($C160="B",INDEX(Batters[[#All],[Last]],MATCH(A160,Batters[[#All],[PID]],0)),INDEX(Table3[[#All],[Last]],MATCH(A160,Table3[[#All],[PID]],0)))</f>
        <v>Marshall</v>
      </c>
      <c r="G160" s="56">
        <f>IF($C160="B",INDEX(Batters[[#All],[Age]],MATCH(Table5[[#This Row],[PID]],Batters[[#All],[PID]],0)),INDEX(Table3[[#All],[Age]],MATCH(Table5[[#This Row],[PID]],Table3[[#All],[PID]],0)))</f>
        <v>21</v>
      </c>
      <c r="H160" s="52" t="str">
        <f>IF($C160="B",INDEX(Batters[[#All],[B]],MATCH(Table5[[#This Row],[PID]],Batters[[#All],[PID]],0)),INDEX(Table3[[#All],[B]],MATCH(Table5[[#This Row],[PID]],Table3[[#All],[PID]],0)))</f>
        <v>R</v>
      </c>
      <c r="I160" s="52" t="str">
        <f>IF($C160="B",INDEX(Batters[[#All],[T]],MATCH(Table5[[#This Row],[PID]],Batters[[#All],[PID]],0)),INDEX(Table3[[#All],[T]],MATCH(Table5[[#This Row],[PID]],Table3[[#All],[PID]],0)))</f>
        <v>R</v>
      </c>
      <c r="J160" s="69" t="str">
        <f>IF($C160="B",INDEX(Batters[[#All],[WE]],MATCH(Table5[[#This Row],[PID]],Batters[[#All],[PID]],0)),INDEX(Table3[[#All],[WE]],MATCH(Table5[[#This Row],[PID]],Table3[[#All],[PID]],0)))</f>
        <v>High</v>
      </c>
      <c r="K160" s="52" t="str">
        <f>IF($C160="B",INDEX(Batters[[#All],[INT]],MATCH(Table5[[#This Row],[PID]],Batters[[#All],[PID]],0)),INDEX(Table3[[#All],[INT]],MATCH(Table5[[#This Row],[PID]],Table3[[#All],[PID]],0)))</f>
        <v>Normal</v>
      </c>
      <c r="L160" s="60">
        <f>IF($C160="B",INDEX(Batters[[#All],[CON P]],MATCH(Table5[[#This Row],[PID]],Batters[[#All],[PID]],0)),INDEX(Table3[[#All],[STU P]],MATCH(Table5[[#This Row],[PID]],Table3[[#All],[PID]],0)))</f>
        <v>5</v>
      </c>
      <c r="M160" s="70">
        <f>IF($C160="B",INDEX(Batters[[#All],[GAP P]],MATCH(Table5[[#This Row],[PID]],Batters[[#All],[PID]],0)),INDEX(Table3[[#All],[MOV P]],MATCH(Table5[[#This Row],[PID]],Table3[[#All],[PID]],0)))</f>
        <v>4</v>
      </c>
      <c r="N160" s="70">
        <f>IF($C160="B",INDEX(Batters[[#All],[POW P]],MATCH(Table5[[#This Row],[PID]],Batters[[#All],[PID]],0)),INDEX(Table3[[#All],[CON P]],MATCH(Table5[[#This Row],[PID]],Table3[[#All],[PID]],0)))</f>
        <v>4</v>
      </c>
      <c r="O160" s="70" t="str">
        <f>IF($C160="B",INDEX(Batters[[#All],[EYE P]],MATCH(Table5[[#This Row],[PID]],Batters[[#All],[PID]],0)),INDEX(Table3[[#All],[VELO]],MATCH(Table5[[#This Row],[PID]],Table3[[#All],[PID]],0)))</f>
        <v>91-93 Mph</v>
      </c>
      <c r="P160" s="56">
        <f>IF($C160="B",INDEX(Batters[[#All],[K P]],MATCH(Table5[[#This Row],[PID]],Batters[[#All],[PID]],0)),INDEX(Table3[[#All],[STM]],MATCH(Table5[[#This Row],[PID]],Table3[[#All],[PID]],0)))</f>
        <v>7</v>
      </c>
      <c r="Q160" s="61">
        <f>IF($C160="B",INDEX(Batters[[#All],[Tot]],MATCH(Table5[[#This Row],[PID]],Batters[[#All],[PID]],0)),INDEX(Table3[[#All],[Tot]],MATCH(Table5[[#This Row],[PID]],Table3[[#All],[PID]],0)))</f>
        <v>47.645931382264465</v>
      </c>
      <c r="R160" s="52">
        <f>IF($C160="B",INDEX(Batters[[#All],[zScore]],MATCH(Table5[[#This Row],[PID]],Batters[[#All],[PID]],0)),INDEX(Table3[[#All],[zScore]],MATCH(Table5[[#This Row],[PID]],Table3[[#All],[PID]],0)))</f>
        <v>0.70091566101077374</v>
      </c>
      <c r="S160" s="75" t="str">
        <f>IF($C160="B",INDEX(Batters[[#All],[DEM]],MATCH(Table5[[#This Row],[PID]],Batters[[#All],[PID]],0)),INDEX(Table3[[#All],[DEM]],MATCH(Table5[[#This Row],[PID]],Table3[[#All],[PID]],0)))</f>
        <v>$20k</v>
      </c>
      <c r="T160" s="72">
        <f>IF($C160="B",INDEX(Batters[[#All],[Rnk]],MATCH(Table5[[#This Row],[PID]],Batters[[#All],[PID]],0)),INDEX(Table3[[#All],[Rnk]],MATCH(Table5[[#This Row],[PID]],Table3[[#All],[PID]],0)))</f>
        <v>900</v>
      </c>
      <c r="U160" s="67">
        <f>IF($C160="B",VLOOKUP($A160,Bat!$A$4:$BA$1314,47,FALSE),VLOOKUP($A160,Pit!$A$4:$BF$1214,56,FALSE))</f>
        <v>68</v>
      </c>
      <c r="V160" s="50">
        <f>IF($C160="B",VLOOKUP($A160,Bat!$A$4:$BA$1314,48,FALSE),VLOOKUP($A160,Pit!$A$4:$BF$1214,57,FALSE))</f>
        <v>0</v>
      </c>
      <c r="W160" s="68">
        <v>156</v>
      </c>
      <c r="X160" s="71">
        <f>RANK(Table5[[#This Row],[zScore]],Table5[[#All],[zScore]])</f>
        <v>187</v>
      </c>
      <c r="Y160" s="68">
        <f>IFERROR(INDEX(DraftResults[[#All],[OVR]],MATCH(Table5[[#This Row],[PID]],DraftResults[[#All],[Player ID]],0)),"")</f>
        <v>111</v>
      </c>
      <c r="Z160" s="7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4</v>
      </c>
      <c r="AA160" s="68">
        <f>IFERROR(INDEX(DraftResults[[#All],[Pick in Round]],MATCH(Table5[[#This Row],[PID]],DraftResults[[#All],[Player ID]],0)),"")</f>
        <v>6</v>
      </c>
      <c r="AB160" s="68" t="str">
        <f>IFERROR(INDEX(DraftResults[[#All],[Team Name]],MATCH(Table5[[#This Row],[PID]],DraftResults[[#All],[Player ID]],0)),"")</f>
        <v>New Orleans Trendsetters</v>
      </c>
      <c r="AC160" s="68">
        <f>IF(Table5[[#This Row],[Ovr]]="","",IF(Table5[[#This Row],[cmbList]]="","",Table5[[#This Row],[cmbList]]-Table5[[#This Row],[Ovr]]))</f>
        <v>45</v>
      </c>
      <c r="AD160" s="74" t="str">
        <f>IF(ISERROR(VLOOKUP($AB160&amp;"-"&amp;$E160&amp;" "&amp;F160,Bonuses!$B$1:$G$1006,4,FALSE)),"",INT(VLOOKUP($AB160&amp;"-"&amp;$E160&amp;" "&amp;$F160,Bonuses!$B$1:$G$1006,4,FALSE)))</f>
        <v/>
      </c>
      <c r="AE160" s="68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4.6 (111) - SP Adam Marshall</v>
      </c>
    </row>
    <row r="161" spans="1:31" s="50" customFormat="1" x14ac:dyDescent="0.3">
      <c r="A161" s="50">
        <v>9607</v>
      </c>
      <c r="B161" s="50">
        <f>COUNTIF(Table5[PID],A161)</f>
        <v>1</v>
      </c>
      <c r="C161" s="50" t="str">
        <f>IF(COUNTIF(Table3[[#All],[PID]],A161)&gt;0,"P","B")</f>
        <v>P</v>
      </c>
      <c r="D161" s="59" t="str">
        <f>IF($C161="B",INDEX(Batters[[#All],[POS]],MATCH(Table5[[#This Row],[PID]],Batters[[#All],[PID]],0)),INDEX(Table3[[#All],[POS]],MATCH(Table5[[#This Row],[PID]],Table3[[#All],[PID]],0)))</f>
        <v>CL</v>
      </c>
      <c r="E161" s="52" t="str">
        <f>IF($C161="B",INDEX(Batters[[#All],[First]],MATCH(Table5[[#This Row],[PID]],Batters[[#All],[PID]],0)),INDEX(Table3[[#All],[First]],MATCH(Table5[[#This Row],[PID]],Table3[[#All],[PID]],0)))</f>
        <v>Steven</v>
      </c>
      <c r="F161" s="50" t="str">
        <f>IF($C161="B",INDEX(Batters[[#All],[Last]],MATCH(A161,Batters[[#All],[PID]],0)),INDEX(Table3[[#All],[Last]],MATCH(A161,Table3[[#All],[PID]],0)))</f>
        <v>Connor</v>
      </c>
      <c r="G161" s="56">
        <f>IF($C161="B",INDEX(Batters[[#All],[Age]],MATCH(Table5[[#This Row],[PID]],Batters[[#All],[PID]],0)),INDEX(Table3[[#All],[Age]],MATCH(Table5[[#This Row],[PID]],Table3[[#All],[PID]],0)))</f>
        <v>17</v>
      </c>
      <c r="H161" s="52" t="str">
        <f>IF($C161="B",INDEX(Batters[[#All],[B]],MATCH(Table5[[#This Row],[PID]],Batters[[#All],[PID]],0)),INDEX(Table3[[#All],[B]],MATCH(Table5[[#This Row],[PID]],Table3[[#All],[PID]],0)))</f>
        <v>S</v>
      </c>
      <c r="I161" s="52" t="str">
        <f>IF($C161="B",INDEX(Batters[[#All],[T]],MATCH(Table5[[#This Row],[PID]],Batters[[#All],[PID]],0)),INDEX(Table3[[#All],[T]],MATCH(Table5[[#This Row],[PID]],Table3[[#All],[PID]],0)))</f>
        <v>R</v>
      </c>
      <c r="J161" s="52" t="str">
        <f>IF($C161="B",INDEX(Batters[[#All],[WE]],MATCH(Table5[[#This Row],[PID]],Batters[[#All],[PID]],0)),INDEX(Table3[[#All],[WE]],MATCH(Table5[[#This Row],[PID]],Table3[[#All],[PID]],0)))</f>
        <v>Normal</v>
      </c>
      <c r="K161" s="52" t="str">
        <f>IF($C161="B",INDEX(Batters[[#All],[INT]],MATCH(Table5[[#This Row],[PID]],Batters[[#All],[PID]],0)),INDEX(Table3[[#All],[INT]],MATCH(Table5[[#This Row],[PID]],Table3[[#All],[PID]],0)))</f>
        <v>Normal</v>
      </c>
      <c r="L161" s="60">
        <f>IF($C161="B",INDEX(Batters[[#All],[CON P]],MATCH(Table5[[#This Row],[PID]],Batters[[#All],[PID]],0)),INDEX(Table3[[#All],[STU P]],MATCH(Table5[[#This Row],[PID]],Table3[[#All],[PID]],0)))</f>
        <v>6</v>
      </c>
      <c r="M161" s="56">
        <f>IF($C161="B",INDEX(Batters[[#All],[GAP P]],MATCH(Table5[[#This Row],[PID]],Batters[[#All],[PID]],0)),INDEX(Table3[[#All],[MOV P]],MATCH(Table5[[#This Row],[PID]],Table3[[#All],[PID]],0)))</f>
        <v>2</v>
      </c>
      <c r="N161" s="56">
        <f>IF($C161="B",INDEX(Batters[[#All],[POW P]],MATCH(Table5[[#This Row],[PID]],Batters[[#All],[PID]],0)),INDEX(Table3[[#All],[CON P]],MATCH(Table5[[#This Row],[PID]],Table3[[#All],[PID]],0)))</f>
        <v>4</v>
      </c>
      <c r="O161" s="56" t="str">
        <f>IF($C161="B",INDEX(Batters[[#All],[EYE P]],MATCH(Table5[[#This Row],[PID]],Batters[[#All],[PID]],0)),INDEX(Table3[[#All],[VELO]],MATCH(Table5[[#This Row],[PID]],Table3[[#All],[PID]],0)))</f>
        <v>94-96 Mph</v>
      </c>
      <c r="P161" s="56">
        <f>IF($C161="B",INDEX(Batters[[#All],[K P]],MATCH(Table5[[#This Row],[PID]],Batters[[#All],[PID]],0)),INDEX(Table3[[#All],[STM]],MATCH(Table5[[#This Row],[PID]],Table3[[#All],[PID]],0)))</f>
        <v>7</v>
      </c>
      <c r="Q161" s="61">
        <f>IF($C161="B",INDEX(Batters[[#All],[Tot]],MATCH(Table5[[#This Row],[PID]],Batters[[#All],[PID]],0)),INDEX(Table3[[#All],[Tot]],MATCH(Table5[[#This Row],[PID]],Table3[[#All],[PID]],0)))</f>
        <v>48.283223949241986</v>
      </c>
      <c r="R161" s="52">
        <f>IF($C161="B",INDEX(Batters[[#All],[zScore]],MATCH(Table5[[#This Row],[PID]],Batters[[#All],[PID]],0)),INDEX(Table3[[#All],[zScore]],MATCH(Table5[[#This Row],[PID]],Table3[[#All],[PID]],0)))</f>
        <v>0.74629537377724509</v>
      </c>
      <c r="S161" s="58" t="str">
        <f>IF($C161="B",INDEX(Batters[[#All],[DEM]],MATCH(Table5[[#This Row],[PID]],Batters[[#All],[PID]],0)),INDEX(Table3[[#All],[DEM]],MATCH(Table5[[#This Row],[PID]],Table3[[#All],[PID]],0)))</f>
        <v>$65k</v>
      </c>
      <c r="T161" s="62">
        <f>IF($C161="B",INDEX(Batters[[#All],[Rnk]],MATCH(Table5[[#This Row],[PID]],Batters[[#All],[PID]],0)),INDEX(Table3[[#All],[Rnk]],MATCH(Table5[[#This Row],[PID]],Table3[[#All],[PID]],0)))</f>
        <v>900</v>
      </c>
      <c r="U161" s="67">
        <f>IF($C161="B",VLOOKUP($A161,Bat!$A$4:$BA$1314,47,FALSE),VLOOKUP($A161,Pit!$A$4:$BF$1214,56,FALSE))</f>
        <v>69</v>
      </c>
      <c r="V161" s="50">
        <f>IF($C161="B",VLOOKUP($A161,Bat!$A$4:$BA$1314,48,FALSE),VLOOKUP($A161,Pit!$A$4:$BF$1214,57,FALSE))</f>
        <v>0</v>
      </c>
      <c r="W161" s="50">
        <v>157</v>
      </c>
      <c r="X161" s="51">
        <f>RANK(Table5[[#This Row],[zScore]],Table5[[#All],[zScore]])</f>
        <v>178</v>
      </c>
      <c r="Y161" s="50">
        <f>IFERROR(INDEX(DraftResults[[#All],[OVR]],MATCH(Table5[[#This Row],[PID]],DraftResults[[#All],[Player ID]],0)),"")</f>
        <v>204</v>
      </c>
      <c r="Z161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7</v>
      </c>
      <c r="AA161" s="50">
        <f>IFERROR(INDEX(DraftResults[[#All],[Pick in Round]],MATCH(Table5[[#This Row],[PID]],DraftResults[[#All],[Player ID]],0)),"")</f>
        <v>3</v>
      </c>
      <c r="AB161" s="50" t="str">
        <f>IFERROR(INDEX(DraftResults[[#All],[Team Name]],MATCH(Table5[[#This Row],[PID]],DraftResults[[#All],[Player ID]],0)),"")</f>
        <v>Okinawa Shisa</v>
      </c>
      <c r="AC161" s="50">
        <f>IF(Table5[[#This Row],[Ovr]]="","",IF(Table5[[#This Row],[cmbList]]="","",Table5[[#This Row],[cmbList]]-Table5[[#This Row],[Ovr]]))</f>
        <v>-47</v>
      </c>
      <c r="AD161" s="54" t="str">
        <f>IF(ISERROR(VLOOKUP($AB161&amp;"-"&amp;$E161&amp;" "&amp;F161,Bonuses!$B$1:$G$1006,4,FALSE)),"",INT(VLOOKUP($AB161&amp;"-"&amp;$E161&amp;" "&amp;$F161,Bonuses!$B$1:$G$1006,4,FALSE)))</f>
        <v/>
      </c>
      <c r="AE161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7.3 (204) - CL Steven Connor</v>
      </c>
    </row>
    <row r="162" spans="1:31" s="50" customFormat="1" x14ac:dyDescent="0.3">
      <c r="A162" s="50">
        <v>12648</v>
      </c>
      <c r="B162" s="50">
        <f>COUNTIF(Table5[PID],A162)</f>
        <v>1</v>
      </c>
      <c r="C162" s="50" t="str">
        <f>IF(COUNTIF(Table3[[#All],[PID]],A162)&gt;0,"P","B")</f>
        <v>B</v>
      </c>
      <c r="D162" s="59" t="str">
        <f>IF($C162="B",INDEX(Batters[[#All],[POS]],MATCH(Table5[[#This Row],[PID]],Batters[[#All],[PID]],0)),INDEX(Table3[[#All],[POS]],MATCH(Table5[[#This Row],[PID]],Table3[[#All],[PID]],0)))</f>
        <v>3B</v>
      </c>
      <c r="E162" s="52" t="str">
        <f>IF($C162="B",INDEX(Batters[[#All],[First]],MATCH(Table5[[#This Row],[PID]],Batters[[#All],[PID]],0)),INDEX(Table3[[#All],[First]],MATCH(Table5[[#This Row],[PID]],Table3[[#All],[PID]],0)))</f>
        <v>Charley</v>
      </c>
      <c r="F162" s="50" t="str">
        <f>IF($C162="B",INDEX(Batters[[#All],[Last]],MATCH(A162,Batters[[#All],[PID]],0)),INDEX(Table3[[#All],[Last]],MATCH(A162,Table3[[#All],[PID]],0)))</f>
        <v>Moore</v>
      </c>
      <c r="G162" s="56">
        <f>IF($C162="B",INDEX(Batters[[#All],[Age]],MATCH(Table5[[#This Row],[PID]],Batters[[#All],[PID]],0)),INDEX(Table3[[#All],[Age]],MATCH(Table5[[#This Row],[PID]],Table3[[#All],[PID]],0)))</f>
        <v>18</v>
      </c>
      <c r="H162" s="52" t="str">
        <f>IF($C162="B",INDEX(Batters[[#All],[B]],MATCH(Table5[[#This Row],[PID]],Batters[[#All],[PID]],0)),INDEX(Table3[[#All],[B]],MATCH(Table5[[#This Row],[PID]],Table3[[#All],[PID]],0)))</f>
        <v>L</v>
      </c>
      <c r="I162" s="52" t="str">
        <f>IF($C162="B",INDEX(Batters[[#All],[T]],MATCH(Table5[[#This Row],[PID]],Batters[[#All],[PID]],0)),INDEX(Table3[[#All],[T]],MATCH(Table5[[#This Row],[PID]],Table3[[#All],[PID]],0)))</f>
        <v>R</v>
      </c>
      <c r="J162" s="52" t="str">
        <f>IF($C162="B",INDEX(Batters[[#All],[WE]],MATCH(Table5[[#This Row],[PID]],Batters[[#All],[PID]],0)),INDEX(Table3[[#All],[WE]],MATCH(Table5[[#This Row],[PID]],Table3[[#All],[PID]],0)))</f>
        <v>Low</v>
      </c>
      <c r="K162" s="52" t="str">
        <f>IF($C162="B",INDEX(Batters[[#All],[INT]],MATCH(Table5[[#This Row],[PID]],Batters[[#All],[PID]],0)),INDEX(Table3[[#All],[INT]],MATCH(Table5[[#This Row],[PID]],Table3[[#All],[PID]],0)))</f>
        <v>Low</v>
      </c>
      <c r="L162" s="60">
        <f>IF($C162="B",INDEX(Batters[[#All],[CON P]],MATCH(Table5[[#This Row],[PID]],Batters[[#All],[PID]],0)),INDEX(Table3[[#All],[STU P]],MATCH(Table5[[#This Row],[PID]],Table3[[#All],[PID]],0)))</f>
        <v>4</v>
      </c>
      <c r="M162" s="56">
        <f>IF($C162="B",INDEX(Batters[[#All],[GAP P]],MATCH(Table5[[#This Row],[PID]],Batters[[#All],[PID]],0)),INDEX(Table3[[#All],[MOV P]],MATCH(Table5[[#This Row],[PID]],Table3[[#All],[PID]],0)))</f>
        <v>5</v>
      </c>
      <c r="N162" s="56">
        <f>IF($C162="B",INDEX(Batters[[#All],[POW P]],MATCH(Table5[[#This Row],[PID]],Batters[[#All],[PID]],0)),INDEX(Table3[[#All],[CON P]],MATCH(Table5[[#This Row],[PID]],Table3[[#All],[PID]],0)))</f>
        <v>5</v>
      </c>
      <c r="O162" s="56">
        <f>IF($C162="B",INDEX(Batters[[#All],[EYE P]],MATCH(Table5[[#This Row],[PID]],Batters[[#All],[PID]],0)),INDEX(Table3[[#All],[VELO]],MATCH(Table5[[#This Row],[PID]],Table3[[#All],[PID]],0)))</f>
        <v>5</v>
      </c>
      <c r="P162" s="56">
        <f>IF($C162="B",INDEX(Batters[[#All],[K P]],MATCH(Table5[[#This Row],[PID]],Batters[[#All],[PID]],0)),INDEX(Table3[[#All],[STM]],MATCH(Table5[[#This Row],[PID]],Table3[[#All],[PID]],0)))</f>
        <v>3</v>
      </c>
      <c r="Q162" s="61">
        <f>IF($C162="B",INDEX(Batters[[#All],[Tot]],MATCH(Table5[[#This Row],[PID]],Batters[[#All],[PID]],0)),INDEX(Table3[[#All],[Tot]],MATCH(Table5[[#This Row],[PID]],Table3[[#All],[PID]],0)))</f>
        <v>47.562881338393254</v>
      </c>
      <c r="R162" s="52">
        <f>IF($C162="B",INDEX(Batters[[#All],[zScore]],MATCH(Table5[[#This Row],[PID]],Batters[[#All],[PID]],0)),INDEX(Table3[[#All],[zScore]],MATCH(Table5[[#This Row],[PID]],Table3[[#All],[PID]],0)))</f>
        <v>0.63414250971683395</v>
      </c>
      <c r="S162" s="58" t="str">
        <f>IF($C162="B",INDEX(Batters[[#All],[DEM]],MATCH(Table5[[#This Row],[PID]],Batters[[#All],[PID]],0)),INDEX(Table3[[#All],[DEM]],MATCH(Table5[[#This Row],[PID]],Table3[[#All],[PID]],0)))</f>
        <v>$200k</v>
      </c>
      <c r="T162" s="62">
        <f>IF($C162="B",INDEX(Batters[[#All],[Rnk]],MATCH(Table5[[#This Row],[PID]],Batters[[#All],[PID]],0)),INDEX(Table3[[#All],[Rnk]],MATCH(Table5[[#This Row],[PID]],Table3[[#All],[PID]],0)))</f>
        <v>10</v>
      </c>
      <c r="U162" s="67">
        <f>IF($C162="B",VLOOKUP($A162,Bat!$A$4:$BA$1314,47,FALSE),VLOOKUP($A162,Pit!$A$4:$BF$1214,56,FALSE))</f>
        <v>88</v>
      </c>
      <c r="V162" s="50">
        <f>IF($C162="B",VLOOKUP($A162,Bat!$A$4:$BA$1314,48,FALSE),VLOOKUP($A162,Pit!$A$4:$BF$1214,57,FALSE))</f>
        <v>88</v>
      </c>
      <c r="W162" s="68">
        <v>158</v>
      </c>
      <c r="X162" s="51">
        <f>RANK(Table5[[#This Row],[zScore]],Table5[[#All],[zScore]])</f>
        <v>195</v>
      </c>
      <c r="Y162" s="50">
        <f>IFERROR(INDEX(DraftResults[[#All],[OVR]],MATCH(Table5[[#This Row],[PID]],DraftResults[[#All],[Player ID]],0)),"")</f>
        <v>161</v>
      </c>
      <c r="Z162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5</v>
      </c>
      <c r="AA162" s="50">
        <f>IFERROR(INDEX(DraftResults[[#All],[Pick in Round]],MATCH(Table5[[#This Row],[PID]],DraftResults[[#All],[Player ID]],0)),"")</f>
        <v>24</v>
      </c>
      <c r="AB162" s="50" t="str">
        <f>IFERROR(INDEX(DraftResults[[#All],[Team Name]],MATCH(Table5[[#This Row],[PID]],DraftResults[[#All],[Player ID]],0)),"")</f>
        <v>Reno Zephyrs</v>
      </c>
      <c r="AC162" s="50">
        <f>IF(Table5[[#This Row],[Ovr]]="","",IF(Table5[[#This Row],[cmbList]]="","",Table5[[#This Row],[cmbList]]-Table5[[#This Row],[Ovr]]))</f>
        <v>-3</v>
      </c>
      <c r="AD162" s="54" t="str">
        <f>IF(ISERROR(VLOOKUP($AB162&amp;"-"&amp;$E162&amp;" "&amp;F162,Bonuses!$B$1:$G$1006,4,FALSE)),"",INT(VLOOKUP($AB162&amp;"-"&amp;$E162&amp;" "&amp;$F162,Bonuses!$B$1:$G$1006,4,FALSE)))</f>
        <v/>
      </c>
      <c r="AE162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5.24 (161) - 3B Charley Moore</v>
      </c>
    </row>
    <row r="163" spans="1:31" s="50" customFormat="1" x14ac:dyDescent="0.3">
      <c r="A163" s="67">
        <v>9714</v>
      </c>
      <c r="B163" s="68">
        <f>COUNTIF(Table5[PID],A163)</f>
        <v>1</v>
      </c>
      <c r="C163" s="68" t="str">
        <f>IF(COUNTIF(Table3[[#All],[PID]],A163)&gt;0,"P","B")</f>
        <v>B</v>
      </c>
      <c r="D163" s="59" t="str">
        <f>IF($C163="B",INDEX(Batters[[#All],[POS]],MATCH(Table5[[#This Row],[PID]],Batters[[#All],[PID]],0)),INDEX(Table3[[#All],[POS]],MATCH(Table5[[#This Row],[PID]],Table3[[#All],[PID]],0)))</f>
        <v>C</v>
      </c>
      <c r="E163" s="52" t="str">
        <f>IF($C163="B",INDEX(Batters[[#All],[First]],MATCH(Table5[[#This Row],[PID]],Batters[[#All],[PID]],0)),INDEX(Table3[[#All],[First]],MATCH(Table5[[#This Row],[PID]],Table3[[#All],[PID]],0)))</f>
        <v>Todd</v>
      </c>
      <c r="F163" s="55" t="str">
        <f>IF($C163="B",INDEX(Batters[[#All],[Last]],MATCH(A163,Batters[[#All],[PID]],0)),INDEX(Table3[[#All],[Last]],MATCH(A163,Table3[[#All],[PID]],0)))</f>
        <v>Melton</v>
      </c>
      <c r="G163" s="56">
        <f>IF($C163="B",INDEX(Batters[[#All],[Age]],MATCH(Table5[[#This Row],[PID]],Batters[[#All],[PID]],0)),INDEX(Table3[[#All],[Age]],MATCH(Table5[[#This Row],[PID]],Table3[[#All],[PID]],0)))</f>
        <v>17</v>
      </c>
      <c r="H163" s="52" t="str">
        <f>IF($C163="B",INDEX(Batters[[#All],[B]],MATCH(Table5[[#This Row],[PID]],Batters[[#All],[PID]],0)),INDEX(Table3[[#All],[B]],MATCH(Table5[[#This Row],[PID]],Table3[[#All],[PID]],0)))</f>
        <v>R</v>
      </c>
      <c r="I163" s="52" t="str">
        <f>IF($C163="B",INDEX(Batters[[#All],[T]],MATCH(Table5[[#This Row],[PID]],Batters[[#All],[PID]],0)),INDEX(Table3[[#All],[T]],MATCH(Table5[[#This Row],[PID]],Table3[[#All],[PID]],0)))</f>
        <v>R</v>
      </c>
      <c r="J163" s="69" t="str">
        <f>IF($C163="B",INDEX(Batters[[#All],[WE]],MATCH(Table5[[#This Row],[PID]],Batters[[#All],[PID]],0)),INDEX(Table3[[#All],[WE]],MATCH(Table5[[#This Row],[PID]],Table3[[#All],[PID]],0)))</f>
        <v>Normal</v>
      </c>
      <c r="K163" s="52" t="str">
        <f>IF($C163="B",INDEX(Batters[[#All],[INT]],MATCH(Table5[[#This Row],[PID]],Batters[[#All],[PID]],0)),INDEX(Table3[[#All],[INT]],MATCH(Table5[[#This Row],[PID]],Table3[[#All],[PID]],0)))</f>
        <v>Normal</v>
      </c>
      <c r="L163" s="60">
        <f>IF($C163="B",INDEX(Batters[[#All],[CON P]],MATCH(Table5[[#This Row],[PID]],Batters[[#All],[PID]],0)),INDEX(Table3[[#All],[STU P]],MATCH(Table5[[#This Row],[PID]],Table3[[#All],[PID]],0)))</f>
        <v>4</v>
      </c>
      <c r="M163" s="70">
        <f>IF($C163="B",INDEX(Batters[[#All],[GAP P]],MATCH(Table5[[#This Row],[PID]],Batters[[#All],[PID]],0)),INDEX(Table3[[#All],[MOV P]],MATCH(Table5[[#This Row],[PID]],Table3[[#All],[PID]],0)))</f>
        <v>6</v>
      </c>
      <c r="N163" s="70">
        <f>IF($C163="B",INDEX(Batters[[#All],[POW P]],MATCH(Table5[[#This Row],[PID]],Batters[[#All],[PID]],0)),INDEX(Table3[[#All],[CON P]],MATCH(Table5[[#This Row],[PID]],Table3[[#All],[PID]],0)))</f>
        <v>2</v>
      </c>
      <c r="O163" s="70">
        <f>IF($C163="B",INDEX(Batters[[#All],[EYE P]],MATCH(Table5[[#This Row],[PID]],Batters[[#All],[PID]],0)),INDEX(Table3[[#All],[VELO]],MATCH(Table5[[#This Row],[PID]],Table3[[#All],[PID]],0)))</f>
        <v>3</v>
      </c>
      <c r="P163" s="56">
        <f>IF($C163="B",INDEX(Batters[[#All],[K P]],MATCH(Table5[[#This Row],[PID]],Batters[[#All],[PID]],0)),INDEX(Table3[[#All],[STM]],MATCH(Table5[[#This Row],[PID]],Table3[[#All],[PID]],0)))</f>
        <v>6</v>
      </c>
      <c r="Q163" s="61">
        <f>IF($C163="B",INDEX(Batters[[#All],[Tot]],MATCH(Table5[[#This Row],[PID]],Batters[[#All],[PID]],0)),INDEX(Table3[[#All],[Tot]],MATCH(Table5[[#This Row],[PID]],Table3[[#All],[PID]],0)))</f>
        <v>46.032317258336192</v>
      </c>
      <c r="R163" s="52">
        <f>IF($C163="B",INDEX(Batters[[#All],[zScore]],MATCH(Table5[[#This Row],[PID]],Batters[[#All],[PID]],0)),INDEX(Table3[[#All],[zScore]],MATCH(Table5[[#This Row],[PID]],Table3[[#All],[PID]],0)))</f>
        <v>0.4107289642570725</v>
      </c>
      <c r="S163" s="75" t="str">
        <f>IF($C163="B",INDEX(Batters[[#All],[DEM]],MATCH(Table5[[#This Row],[PID]],Batters[[#All],[PID]],0)),INDEX(Table3[[#All],[DEM]],MATCH(Table5[[#This Row],[PID]],Table3[[#All],[PID]],0)))</f>
        <v>$220k</v>
      </c>
      <c r="T163" s="72">
        <f>IF($C163="B",INDEX(Batters[[#All],[Rnk]],MATCH(Table5[[#This Row],[PID]],Batters[[#All],[PID]],0)),INDEX(Table3[[#All],[Rnk]],MATCH(Table5[[#This Row],[PID]],Table3[[#All],[PID]],0)))</f>
        <v>10</v>
      </c>
      <c r="U163" s="67">
        <f>IF($C163="B",VLOOKUP($A163,Bat!$A$4:$BA$1314,47,FALSE),VLOOKUP($A163,Pit!$A$4:$BF$1214,56,FALSE))</f>
        <v>89</v>
      </c>
      <c r="V163" s="50">
        <f>IF($C163="B",VLOOKUP($A163,Bat!$A$4:$BA$1314,48,FALSE),VLOOKUP($A163,Pit!$A$4:$BF$1214,57,FALSE))</f>
        <v>89</v>
      </c>
      <c r="W163" s="50">
        <v>159</v>
      </c>
      <c r="X163" s="71">
        <f>RANK(Table5[[#This Row],[zScore]],Table5[[#All],[zScore]])</f>
        <v>251</v>
      </c>
      <c r="Y163" s="68">
        <f>IFERROR(INDEX(DraftResults[[#All],[OVR]],MATCH(Table5[[#This Row],[PID]],DraftResults[[#All],[Player ID]],0)),"")</f>
        <v>195</v>
      </c>
      <c r="Z163" s="7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6</v>
      </c>
      <c r="AA163" s="68">
        <f>IFERROR(INDEX(DraftResults[[#All],[Pick in Round]],MATCH(Table5[[#This Row],[PID]],DraftResults[[#All],[Player ID]],0)),"")</f>
        <v>26</v>
      </c>
      <c r="AB163" s="68" t="str">
        <f>IFERROR(INDEX(DraftResults[[#All],[Team Name]],MATCH(Table5[[#This Row],[PID]],DraftResults[[#All],[Player ID]],0)),"")</f>
        <v>Aurora Borealis</v>
      </c>
      <c r="AC163" s="68">
        <f>IF(Table5[[#This Row],[Ovr]]="","",IF(Table5[[#This Row],[cmbList]]="","",Table5[[#This Row],[cmbList]]-Table5[[#This Row],[Ovr]]))</f>
        <v>-36</v>
      </c>
      <c r="AD163" s="74" t="str">
        <f>IF(ISERROR(VLOOKUP($AB163&amp;"-"&amp;$E163&amp;" "&amp;F163,Bonuses!$B$1:$G$1006,4,FALSE)),"",INT(VLOOKUP($AB163&amp;"-"&amp;$E163&amp;" "&amp;$F163,Bonuses!$B$1:$G$1006,4,FALSE)))</f>
        <v/>
      </c>
      <c r="AE163" s="68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6.26 (195) - C Todd Melton</v>
      </c>
    </row>
    <row r="164" spans="1:31" s="50" customFormat="1" x14ac:dyDescent="0.3">
      <c r="A164" s="50">
        <v>20763</v>
      </c>
      <c r="B164" s="50">
        <f>COUNTIF(Table5[PID],A164)</f>
        <v>1</v>
      </c>
      <c r="C164" s="50" t="str">
        <f>IF(COUNTIF(Table3[[#All],[PID]],A164)&gt;0,"P","B")</f>
        <v>B</v>
      </c>
      <c r="D164" s="59" t="str">
        <f>IF($C164="B",INDEX(Batters[[#All],[POS]],MATCH(Table5[[#This Row],[PID]],Batters[[#All],[PID]],0)),INDEX(Table3[[#All],[POS]],MATCH(Table5[[#This Row],[PID]],Table3[[#All],[PID]],0)))</f>
        <v>C</v>
      </c>
      <c r="E164" s="52" t="str">
        <f>IF($C164="B",INDEX(Batters[[#All],[First]],MATCH(Table5[[#This Row],[PID]],Batters[[#All],[PID]],0)),INDEX(Table3[[#All],[First]],MATCH(Table5[[#This Row],[PID]],Table3[[#All],[PID]],0)))</f>
        <v>Sergio</v>
      </c>
      <c r="F164" s="50" t="str">
        <f>IF($C164="B",INDEX(Batters[[#All],[Last]],MATCH(A164,Batters[[#All],[PID]],0)),INDEX(Table3[[#All],[Last]],MATCH(A164,Table3[[#All],[PID]],0)))</f>
        <v>Balderas</v>
      </c>
      <c r="G164" s="56">
        <f>IF($C164="B",INDEX(Batters[[#All],[Age]],MATCH(Table5[[#This Row],[PID]],Batters[[#All],[PID]],0)),INDEX(Table3[[#All],[Age]],MATCH(Table5[[#This Row],[PID]],Table3[[#All],[PID]],0)))</f>
        <v>17</v>
      </c>
      <c r="H164" s="52" t="str">
        <f>IF($C164="B",INDEX(Batters[[#All],[B]],MATCH(Table5[[#This Row],[PID]],Batters[[#All],[PID]],0)),INDEX(Table3[[#All],[B]],MATCH(Table5[[#This Row],[PID]],Table3[[#All],[PID]],0)))</f>
        <v>R</v>
      </c>
      <c r="I164" s="52" t="str">
        <f>IF($C164="B",INDEX(Batters[[#All],[T]],MATCH(Table5[[#This Row],[PID]],Batters[[#All],[PID]],0)),INDEX(Table3[[#All],[T]],MATCH(Table5[[#This Row],[PID]],Table3[[#All],[PID]],0)))</f>
        <v>R</v>
      </c>
      <c r="J164" s="52" t="str">
        <f>IF($C164="B",INDEX(Batters[[#All],[WE]],MATCH(Table5[[#This Row],[PID]],Batters[[#All],[PID]],0)),INDEX(Table3[[#All],[WE]],MATCH(Table5[[#This Row],[PID]],Table3[[#All],[PID]],0)))</f>
        <v>Normal</v>
      </c>
      <c r="K164" s="52" t="str">
        <f>IF($C164="B",INDEX(Batters[[#All],[INT]],MATCH(Table5[[#This Row],[PID]],Batters[[#All],[PID]],0)),INDEX(Table3[[#All],[INT]],MATCH(Table5[[#This Row],[PID]],Table3[[#All],[PID]],0)))</f>
        <v>Normal</v>
      </c>
      <c r="L164" s="60">
        <f>IF($C164="B",INDEX(Batters[[#All],[CON P]],MATCH(Table5[[#This Row],[PID]],Batters[[#All],[PID]],0)),INDEX(Table3[[#All],[STU P]],MATCH(Table5[[#This Row],[PID]],Table3[[#All],[PID]],0)))</f>
        <v>3</v>
      </c>
      <c r="M164" s="56">
        <f>IF($C164="B",INDEX(Batters[[#All],[GAP P]],MATCH(Table5[[#This Row],[PID]],Batters[[#All],[PID]],0)),INDEX(Table3[[#All],[MOV P]],MATCH(Table5[[#This Row],[PID]],Table3[[#All],[PID]],0)))</f>
        <v>5</v>
      </c>
      <c r="N164" s="56">
        <f>IF($C164="B",INDEX(Batters[[#All],[POW P]],MATCH(Table5[[#This Row],[PID]],Batters[[#All],[PID]],0)),INDEX(Table3[[#All],[CON P]],MATCH(Table5[[#This Row],[PID]],Table3[[#All],[PID]],0)))</f>
        <v>6</v>
      </c>
      <c r="O164" s="56">
        <f>IF($C164="B",INDEX(Batters[[#All],[EYE P]],MATCH(Table5[[#This Row],[PID]],Batters[[#All],[PID]],0)),INDEX(Table3[[#All],[VELO]],MATCH(Table5[[#This Row],[PID]],Table3[[#All],[PID]],0)))</f>
        <v>6</v>
      </c>
      <c r="P164" s="56">
        <f>IF($C164="B",INDEX(Batters[[#All],[K P]],MATCH(Table5[[#This Row],[PID]],Batters[[#All],[PID]],0)),INDEX(Table3[[#All],[STM]],MATCH(Table5[[#This Row],[PID]],Table3[[#All],[PID]],0)))</f>
        <v>1</v>
      </c>
      <c r="Q164" s="61">
        <f>IF($C164="B",INDEX(Batters[[#All],[Tot]],MATCH(Table5[[#This Row],[PID]],Batters[[#All],[PID]],0)),INDEX(Table3[[#All],[Tot]],MATCH(Table5[[#This Row],[PID]],Table3[[#All],[PID]],0)))</f>
        <v>45.373717629386775</v>
      </c>
      <c r="R164" s="52">
        <f>IF($C164="B",INDEX(Batters[[#All],[zScore]],MATCH(Table5[[#This Row],[PID]],Batters[[#All],[PID]],0)),INDEX(Table3[[#All],[zScore]],MATCH(Table5[[#This Row],[PID]],Table3[[#All],[PID]],0)))</f>
        <v>0.31459442140501032</v>
      </c>
      <c r="S164" s="58" t="str">
        <f>IF($C164="B",INDEX(Batters[[#All],[DEM]],MATCH(Table5[[#This Row],[PID]],Batters[[#All],[PID]],0)),INDEX(Table3[[#All],[DEM]],MATCH(Table5[[#This Row],[PID]],Table3[[#All],[PID]],0)))</f>
        <v>$220k</v>
      </c>
      <c r="T164" s="62">
        <f>IF($C164="B",INDEX(Batters[[#All],[Rnk]],MATCH(Table5[[#This Row],[PID]],Batters[[#All],[PID]],0)),INDEX(Table3[[#All],[Rnk]],MATCH(Table5[[#This Row],[PID]],Table3[[#All],[PID]],0)))</f>
        <v>10</v>
      </c>
      <c r="U164" s="67">
        <f>IF($C164="B",VLOOKUP($A164,Bat!$A$4:$BA$1314,47,FALSE),VLOOKUP($A164,Pit!$A$4:$BF$1214,56,FALSE))</f>
        <v>90</v>
      </c>
      <c r="V164" s="50">
        <f>IF($C164="B",VLOOKUP($A164,Bat!$A$4:$BA$1314,48,FALSE),VLOOKUP($A164,Pit!$A$4:$BF$1214,57,FALSE))</f>
        <v>90</v>
      </c>
      <c r="W164" s="68">
        <v>160</v>
      </c>
      <c r="X164" s="51">
        <f>RANK(Table5[[#This Row],[zScore]],Table5[[#All],[zScore]])</f>
        <v>277</v>
      </c>
      <c r="Y164" s="50">
        <f>IFERROR(INDEX(DraftResults[[#All],[OVR]],MATCH(Table5[[#This Row],[PID]],DraftResults[[#All],[Player ID]],0)),"")</f>
        <v>327</v>
      </c>
      <c r="Z164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10</v>
      </c>
      <c r="AA164" s="50">
        <f>IFERROR(INDEX(DraftResults[[#All],[Pick in Round]],MATCH(Table5[[#This Row],[PID]],DraftResults[[#All],[Player ID]],0)),"")</f>
        <v>30</v>
      </c>
      <c r="AB164" s="50" t="str">
        <f>IFERROR(INDEX(DraftResults[[#All],[Team Name]],MATCH(Table5[[#This Row],[PID]],DraftResults[[#All],[Player ID]],0)),"")</f>
        <v>Toyama Wind Dancers</v>
      </c>
      <c r="AC164" s="50">
        <f>IF(Table5[[#This Row],[Ovr]]="","",IF(Table5[[#This Row],[cmbList]]="","",Table5[[#This Row],[cmbList]]-Table5[[#This Row],[Ovr]]))</f>
        <v>-167</v>
      </c>
      <c r="AD164" s="54" t="str">
        <f>IF(ISERROR(VLOOKUP($AB164&amp;"-"&amp;$E164&amp;" "&amp;F164,Bonuses!$B$1:$G$1006,4,FALSE)),"",INT(VLOOKUP($AB164&amp;"-"&amp;$E164&amp;" "&amp;$F164,Bonuses!$B$1:$G$1006,4,FALSE)))</f>
        <v/>
      </c>
      <c r="AE164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10.30 (327) - C Sergio Balderas</v>
      </c>
    </row>
    <row r="165" spans="1:31" s="50" customFormat="1" x14ac:dyDescent="0.3">
      <c r="A165" s="50">
        <v>11142</v>
      </c>
      <c r="B165" s="50">
        <f>COUNTIF(Table5[PID],A165)</f>
        <v>1</v>
      </c>
      <c r="C165" s="50" t="str">
        <f>IF(COUNTIF(Table3[[#All],[PID]],A165)&gt;0,"P","B")</f>
        <v>B</v>
      </c>
      <c r="D165" s="59" t="str">
        <f>IF($C165="B",INDEX(Batters[[#All],[POS]],MATCH(Table5[[#This Row],[PID]],Batters[[#All],[PID]],0)),INDEX(Table3[[#All],[POS]],MATCH(Table5[[#This Row],[PID]],Table3[[#All],[PID]],0)))</f>
        <v>LF</v>
      </c>
      <c r="E165" s="52" t="str">
        <f>IF($C165="B",INDEX(Batters[[#All],[First]],MATCH(Table5[[#This Row],[PID]],Batters[[#All],[PID]],0)),INDEX(Table3[[#All],[First]],MATCH(Table5[[#This Row],[PID]],Table3[[#All],[PID]],0)))</f>
        <v>Jim</v>
      </c>
      <c r="F165" s="50" t="str">
        <f>IF($C165="B",INDEX(Batters[[#All],[Last]],MATCH(A165,Batters[[#All],[PID]],0)),INDEX(Table3[[#All],[Last]],MATCH(A165,Table3[[#All],[PID]],0)))</f>
        <v>Gilbuena</v>
      </c>
      <c r="G165" s="56">
        <f>IF($C165="B",INDEX(Batters[[#All],[Age]],MATCH(Table5[[#This Row],[PID]],Batters[[#All],[PID]],0)),INDEX(Table3[[#All],[Age]],MATCH(Table5[[#This Row],[PID]],Table3[[#All],[PID]],0)))</f>
        <v>17</v>
      </c>
      <c r="H165" s="52" t="str">
        <f>IF($C165="B",INDEX(Batters[[#All],[B]],MATCH(Table5[[#This Row],[PID]],Batters[[#All],[PID]],0)),INDEX(Table3[[#All],[B]],MATCH(Table5[[#This Row],[PID]],Table3[[#All],[PID]],0)))</f>
        <v>L</v>
      </c>
      <c r="I165" s="52" t="str">
        <f>IF($C165="B",INDEX(Batters[[#All],[T]],MATCH(Table5[[#This Row],[PID]],Batters[[#All],[PID]],0)),INDEX(Table3[[#All],[T]],MATCH(Table5[[#This Row],[PID]],Table3[[#All],[PID]],0)))</f>
        <v>L</v>
      </c>
      <c r="J165" s="52" t="str">
        <f>IF($C165="B",INDEX(Batters[[#All],[WE]],MATCH(Table5[[#This Row],[PID]],Batters[[#All],[PID]],0)),INDEX(Table3[[#All],[WE]],MATCH(Table5[[#This Row],[PID]],Table3[[#All],[PID]],0)))</f>
        <v>Normal</v>
      </c>
      <c r="K165" s="52" t="str">
        <f>IF($C165="B",INDEX(Batters[[#All],[INT]],MATCH(Table5[[#This Row],[PID]],Batters[[#All],[PID]],0)),INDEX(Table3[[#All],[INT]],MATCH(Table5[[#This Row],[PID]],Table3[[#All],[PID]],0)))</f>
        <v>Normal</v>
      </c>
      <c r="L165" s="60">
        <f>IF($C165="B",INDEX(Batters[[#All],[CON P]],MATCH(Table5[[#This Row],[PID]],Batters[[#All],[PID]],0)),INDEX(Table3[[#All],[STU P]],MATCH(Table5[[#This Row],[PID]],Table3[[#All],[PID]],0)))</f>
        <v>4</v>
      </c>
      <c r="M165" s="56">
        <f>IF($C165="B",INDEX(Batters[[#All],[GAP P]],MATCH(Table5[[#This Row],[PID]],Batters[[#All],[PID]],0)),INDEX(Table3[[#All],[MOV P]],MATCH(Table5[[#This Row],[PID]],Table3[[#All],[PID]],0)))</f>
        <v>7</v>
      </c>
      <c r="N165" s="56">
        <f>IF($C165="B",INDEX(Batters[[#All],[POW P]],MATCH(Table5[[#This Row],[PID]],Batters[[#All],[PID]],0)),INDEX(Table3[[#All],[CON P]],MATCH(Table5[[#This Row],[PID]],Table3[[#All],[PID]],0)))</f>
        <v>6</v>
      </c>
      <c r="O165" s="56">
        <f>IF($C165="B",INDEX(Batters[[#All],[EYE P]],MATCH(Table5[[#This Row],[PID]],Batters[[#All],[PID]],0)),INDEX(Table3[[#All],[VELO]],MATCH(Table5[[#This Row],[PID]],Table3[[#All],[PID]],0)))</f>
        <v>6</v>
      </c>
      <c r="P165" s="56">
        <f>IF($C165="B",INDEX(Batters[[#All],[K P]],MATCH(Table5[[#This Row],[PID]],Batters[[#All],[PID]],0)),INDEX(Table3[[#All],[STM]],MATCH(Table5[[#This Row],[PID]],Table3[[#All],[PID]],0)))</f>
        <v>4</v>
      </c>
      <c r="Q165" s="61">
        <f>IF($C165="B",INDEX(Batters[[#All],[Tot]],MATCH(Table5[[#This Row],[PID]],Batters[[#All],[PID]],0)),INDEX(Table3[[#All],[Tot]],MATCH(Table5[[#This Row],[PID]],Table3[[#All],[PID]],0)))</f>
        <v>51.95163954670398</v>
      </c>
      <c r="R165" s="52">
        <f>IF($C165="B",INDEX(Batters[[#All],[zScore]],MATCH(Table5[[#This Row],[PID]],Batters[[#All],[PID]],0)),INDEX(Table3[[#All],[zScore]],MATCH(Table5[[#This Row],[PID]],Table3[[#All],[PID]],0)))</f>
        <v>1.2747612490823721</v>
      </c>
      <c r="S165" s="58" t="str">
        <f>IF($C165="B",INDEX(Batters[[#All],[DEM]],MATCH(Table5[[#This Row],[PID]],Batters[[#All],[PID]],0)),INDEX(Table3[[#All],[DEM]],MATCH(Table5[[#This Row],[PID]],Table3[[#All],[PID]],0)))</f>
        <v>$330k</v>
      </c>
      <c r="T165" s="62">
        <f>IF($C165="B",INDEX(Batters[[#All],[Rnk]],MATCH(Table5[[#This Row],[PID]],Batters[[#All],[PID]],0)),INDEX(Table3[[#All],[Rnk]],MATCH(Table5[[#This Row],[PID]],Table3[[#All],[PID]],0)))</f>
        <v>11</v>
      </c>
      <c r="U165" s="67">
        <f>IF($C165="B",VLOOKUP($A165,Bat!$A$4:$BA$1314,47,FALSE),VLOOKUP($A165,Pit!$A$4:$BF$1214,56,FALSE))</f>
        <v>91</v>
      </c>
      <c r="V165" s="50">
        <f>IF($C165="B",VLOOKUP($A165,Bat!$A$4:$BA$1314,48,FALSE),VLOOKUP($A165,Pit!$A$4:$BF$1214,57,FALSE))</f>
        <v>91</v>
      </c>
      <c r="W165" s="50">
        <v>161</v>
      </c>
      <c r="X165" s="51">
        <f>RANK(Table5[[#This Row],[zScore]],Table5[[#All],[zScore]])</f>
        <v>103</v>
      </c>
      <c r="Y165" s="50">
        <f>IFERROR(INDEX(DraftResults[[#All],[OVR]],MATCH(Table5[[#This Row],[PID]],DraftResults[[#All],[Player ID]],0)),"")</f>
        <v>125</v>
      </c>
      <c r="Z165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4</v>
      </c>
      <c r="AA165" s="50">
        <f>IFERROR(INDEX(DraftResults[[#All],[Pick in Round]],MATCH(Table5[[#This Row],[PID]],DraftResults[[#All],[Player ID]],0)),"")</f>
        <v>20</v>
      </c>
      <c r="AB165" s="50" t="str">
        <f>IFERROR(INDEX(DraftResults[[#All],[Team Name]],MATCH(Table5[[#This Row],[PID]],DraftResults[[#All],[Player ID]],0)),"")</f>
        <v>Hartford Harpoon</v>
      </c>
      <c r="AC165" s="50">
        <f>IF(Table5[[#This Row],[Ovr]]="","",IF(Table5[[#This Row],[cmbList]]="","",Table5[[#This Row],[cmbList]]-Table5[[#This Row],[Ovr]]))</f>
        <v>36</v>
      </c>
      <c r="AD165" s="54" t="str">
        <f>IF(ISERROR(VLOOKUP($AB165&amp;"-"&amp;$E165&amp;" "&amp;F165,Bonuses!$B$1:$G$1006,4,FALSE)),"",INT(VLOOKUP($AB165&amp;"-"&amp;$E165&amp;" "&amp;$F165,Bonuses!$B$1:$G$1006,4,FALSE)))</f>
        <v/>
      </c>
      <c r="AE165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4.20 (125) - LF Jim Gilbuena</v>
      </c>
    </row>
    <row r="166" spans="1:31" s="50" customFormat="1" x14ac:dyDescent="0.3">
      <c r="A166" s="50">
        <v>21087</v>
      </c>
      <c r="B166" s="50">
        <f>COUNTIF(Table5[PID],A166)</f>
        <v>1</v>
      </c>
      <c r="C166" s="50" t="str">
        <f>IF(COUNTIF(Table3[[#All],[PID]],A166)&gt;0,"P","B")</f>
        <v>B</v>
      </c>
      <c r="D166" s="59" t="str">
        <f>IF($C166="B",INDEX(Batters[[#All],[POS]],MATCH(Table5[[#This Row],[PID]],Batters[[#All],[PID]],0)),INDEX(Table3[[#All],[POS]],MATCH(Table5[[#This Row],[PID]],Table3[[#All],[PID]],0)))</f>
        <v>C</v>
      </c>
      <c r="E166" s="52" t="str">
        <f>IF($C166="B",INDEX(Batters[[#All],[First]],MATCH(Table5[[#This Row],[PID]],Batters[[#All],[PID]],0)),INDEX(Table3[[#All],[First]],MATCH(Table5[[#This Row],[PID]],Table3[[#All],[PID]],0)))</f>
        <v>Max</v>
      </c>
      <c r="F166" s="50" t="str">
        <f>IF($C166="B",INDEX(Batters[[#All],[Last]],MATCH(A166,Batters[[#All],[PID]],0)),INDEX(Table3[[#All],[Last]],MATCH(A166,Table3[[#All],[PID]],0)))</f>
        <v>López</v>
      </c>
      <c r="G166" s="56">
        <f>IF($C166="B",INDEX(Batters[[#All],[Age]],MATCH(Table5[[#This Row],[PID]],Batters[[#All],[PID]],0)),INDEX(Table3[[#All],[Age]],MATCH(Table5[[#This Row],[PID]],Table3[[#All],[PID]],0)))</f>
        <v>17</v>
      </c>
      <c r="H166" s="52" t="str">
        <f>IF($C166="B",INDEX(Batters[[#All],[B]],MATCH(Table5[[#This Row],[PID]],Batters[[#All],[PID]],0)),INDEX(Table3[[#All],[B]],MATCH(Table5[[#This Row],[PID]],Table3[[#All],[PID]],0)))</f>
        <v>R</v>
      </c>
      <c r="I166" s="52" t="str">
        <f>IF($C166="B",INDEX(Batters[[#All],[T]],MATCH(Table5[[#This Row],[PID]],Batters[[#All],[PID]],0)),INDEX(Table3[[#All],[T]],MATCH(Table5[[#This Row],[PID]],Table3[[#All],[PID]],0)))</f>
        <v>R</v>
      </c>
      <c r="J166" s="52" t="str">
        <f>IF($C166="B",INDEX(Batters[[#All],[WE]],MATCH(Table5[[#This Row],[PID]],Batters[[#All],[PID]],0)),INDEX(Table3[[#All],[WE]],MATCH(Table5[[#This Row],[PID]],Table3[[#All],[PID]],0)))</f>
        <v>High</v>
      </c>
      <c r="K166" s="52" t="str">
        <f>IF($C166="B",INDEX(Batters[[#All],[INT]],MATCH(Table5[[#This Row],[PID]],Batters[[#All],[PID]],0)),INDEX(Table3[[#All],[INT]],MATCH(Table5[[#This Row],[PID]],Table3[[#All],[PID]],0)))</f>
        <v>Normal</v>
      </c>
      <c r="L166" s="60">
        <f>IF($C166="B",INDEX(Batters[[#All],[CON P]],MATCH(Table5[[#This Row],[PID]],Batters[[#All],[PID]],0)),INDEX(Table3[[#All],[STU P]],MATCH(Table5[[#This Row],[PID]],Table3[[#All],[PID]],0)))</f>
        <v>3</v>
      </c>
      <c r="M166" s="56">
        <f>IF($C166="B",INDEX(Batters[[#All],[GAP P]],MATCH(Table5[[#This Row],[PID]],Batters[[#All],[PID]],0)),INDEX(Table3[[#All],[MOV P]],MATCH(Table5[[#This Row],[PID]],Table3[[#All],[PID]],0)))</f>
        <v>6</v>
      </c>
      <c r="N166" s="56">
        <f>IF($C166="B",INDEX(Batters[[#All],[POW P]],MATCH(Table5[[#This Row],[PID]],Batters[[#All],[PID]],0)),INDEX(Table3[[#All],[CON P]],MATCH(Table5[[#This Row],[PID]],Table3[[#All],[PID]],0)))</f>
        <v>4</v>
      </c>
      <c r="O166" s="56">
        <f>IF($C166="B",INDEX(Batters[[#All],[EYE P]],MATCH(Table5[[#This Row],[PID]],Batters[[#All],[PID]],0)),INDEX(Table3[[#All],[VELO]],MATCH(Table5[[#This Row],[PID]],Table3[[#All],[PID]],0)))</f>
        <v>6</v>
      </c>
      <c r="P166" s="56">
        <f>IF($C166="B",INDEX(Batters[[#All],[K P]],MATCH(Table5[[#This Row],[PID]],Batters[[#All],[PID]],0)),INDEX(Table3[[#All],[STM]],MATCH(Table5[[#This Row],[PID]],Table3[[#All],[PID]],0)))</f>
        <v>3</v>
      </c>
      <c r="Q166" s="61">
        <f>IF($C166="B",INDEX(Batters[[#All],[Tot]],MATCH(Table5[[#This Row],[PID]],Batters[[#All],[PID]],0)),INDEX(Table3[[#All],[Tot]],MATCH(Table5[[#This Row],[PID]],Table3[[#All],[PID]],0)))</f>
        <v>46.19891130148428</v>
      </c>
      <c r="R166" s="52">
        <f>IF($C166="B",INDEX(Batters[[#All],[zScore]],MATCH(Table5[[#This Row],[PID]],Batters[[#All],[PID]],0)),INDEX(Table3[[#All],[zScore]],MATCH(Table5[[#This Row],[PID]],Table3[[#All],[PID]],0)))</f>
        <v>0.43504638181387489</v>
      </c>
      <c r="S166" s="58" t="str">
        <f>IF($C166="B",INDEX(Batters[[#All],[DEM]],MATCH(Table5[[#This Row],[PID]],Batters[[#All],[PID]],0)),INDEX(Table3[[#All],[DEM]],MATCH(Table5[[#This Row],[PID]],Table3[[#All],[PID]],0)))</f>
        <v>$200k</v>
      </c>
      <c r="T166" s="62">
        <f>IF($C166="B",INDEX(Batters[[#All],[Rnk]],MATCH(Table5[[#This Row],[PID]],Batters[[#All],[PID]],0)),INDEX(Table3[[#All],[Rnk]],MATCH(Table5[[#This Row],[PID]],Table3[[#All],[PID]],0)))</f>
        <v>11</v>
      </c>
      <c r="U166" s="67">
        <f>IF($C166="B",VLOOKUP($A166,Bat!$A$4:$BA$1314,47,FALSE),VLOOKUP($A166,Pit!$A$4:$BF$1214,56,FALSE))</f>
        <v>92</v>
      </c>
      <c r="V166" s="50">
        <f>IF($C166="B",VLOOKUP($A166,Bat!$A$4:$BA$1314,48,FALSE),VLOOKUP($A166,Pit!$A$4:$BF$1214,57,FALSE))</f>
        <v>92</v>
      </c>
      <c r="W166" s="68">
        <v>162</v>
      </c>
      <c r="X166" s="51">
        <f>RANK(Table5[[#This Row],[zScore]],Table5[[#All],[zScore]])</f>
        <v>244</v>
      </c>
      <c r="Y166" s="50">
        <f>IFERROR(INDEX(DraftResults[[#All],[OVR]],MATCH(Table5[[#This Row],[PID]],DraftResults[[#All],[Player ID]],0)),"")</f>
        <v>396</v>
      </c>
      <c r="Z166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12</v>
      </c>
      <c r="AA166" s="50">
        <f>IFERROR(INDEX(DraftResults[[#All],[Pick in Round]],MATCH(Table5[[#This Row],[PID]],DraftResults[[#All],[Player ID]],0)),"")</f>
        <v>31</v>
      </c>
      <c r="AB166" s="50" t="str">
        <f>IFERROR(INDEX(DraftResults[[#All],[Team Name]],MATCH(Table5[[#This Row],[PID]],DraftResults[[#All],[Player ID]],0)),"")</f>
        <v>West Virginia Alleghenies</v>
      </c>
      <c r="AC166" s="50">
        <f>IF(Table5[[#This Row],[Ovr]]="","",IF(Table5[[#This Row],[cmbList]]="","",Table5[[#This Row],[cmbList]]-Table5[[#This Row],[Ovr]]))</f>
        <v>-234</v>
      </c>
      <c r="AD166" s="54" t="str">
        <f>IF(ISERROR(VLOOKUP($AB166&amp;"-"&amp;$E166&amp;" "&amp;F166,Bonuses!$B$1:$G$1006,4,FALSE)),"",INT(VLOOKUP($AB166&amp;"-"&amp;$E166&amp;" "&amp;$F166,Bonuses!$B$1:$G$1006,4,FALSE)))</f>
        <v/>
      </c>
      <c r="AE166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12.31 (396) - C Max López</v>
      </c>
    </row>
    <row r="167" spans="1:31" s="50" customFormat="1" x14ac:dyDescent="0.3">
      <c r="A167" s="50">
        <v>20569</v>
      </c>
      <c r="B167" s="50">
        <f>COUNTIF(Table5[PID],A167)</f>
        <v>1</v>
      </c>
      <c r="C167" s="50" t="str">
        <f>IF(COUNTIF(Table3[[#All],[PID]],A167)&gt;0,"P","B")</f>
        <v>B</v>
      </c>
      <c r="D167" s="59" t="str">
        <f>IF($C167="B",INDEX(Batters[[#All],[POS]],MATCH(Table5[[#This Row],[PID]],Batters[[#All],[PID]],0)),INDEX(Table3[[#All],[POS]],MATCH(Table5[[#This Row],[PID]],Table3[[#All],[PID]],0)))</f>
        <v>1B</v>
      </c>
      <c r="E167" s="52" t="str">
        <f>IF($C167="B",INDEX(Batters[[#All],[First]],MATCH(Table5[[#This Row],[PID]],Batters[[#All],[PID]],0)),INDEX(Table3[[#All],[First]],MATCH(Table5[[#This Row],[PID]],Table3[[#All],[PID]],0)))</f>
        <v>Josh</v>
      </c>
      <c r="F167" s="50" t="str">
        <f>IF($C167="B",INDEX(Batters[[#All],[Last]],MATCH(A167,Batters[[#All],[PID]],0)),INDEX(Table3[[#All],[Last]],MATCH(A167,Table3[[#All],[PID]],0)))</f>
        <v>Whiskin</v>
      </c>
      <c r="G167" s="56">
        <f>IF($C167="B",INDEX(Batters[[#All],[Age]],MATCH(Table5[[#This Row],[PID]],Batters[[#All],[PID]],0)),INDEX(Table3[[#All],[Age]],MATCH(Table5[[#This Row],[PID]],Table3[[#All],[PID]],0)))</f>
        <v>17</v>
      </c>
      <c r="H167" s="52" t="str">
        <f>IF($C167="B",INDEX(Batters[[#All],[B]],MATCH(Table5[[#This Row],[PID]],Batters[[#All],[PID]],0)),INDEX(Table3[[#All],[B]],MATCH(Table5[[#This Row],[PID]],Table3[[#All],[PID]],0)))</f>
        <v>L</v>
      </c>
      <c r="I167" s="52" t="str">
        <f>IF($C167="B",INDEX(Batters[[#All],[T]],MATCH(Table5[[#This Row],[PID]],Batters[[#All],[PID]],0)),INDEX(Table3[[#All],[T]],MATCH(Table5[[#This Row],[PID]],Table3[[#All],[PID]],0)))</f>
        <v>R</v>
      </c>
      <c r="J167" s="52" t="str">
        <f>IF($C167="B",INDEX(Batters[[#All],[WE]],MATCH(Table5[[#This Row],[PID]],Batters[[#All],[PID]],0)),INDEX(Table3[[#All],[WE]],MATCH(Table5[[#This Row],[PID]],Table3[[#All],[PID]],0)))</f>
        <v>Low</v>
      </c>
      <c r="K167" s="52" t="str">
        <f>IF($C167="B",INDEX(Batters[[#All],[INT]],MATCH(Table5[[#This Row],[PID]],Batters[[#All],[PID]],0)),INDEX(Table3[[#All],[INT]],MATCH(Table5[[#This Row],[PID]],Table3[[#All],[PID]],0)))</f>
        <v>Normal</v>
      </c>
      <c r="L167" s="60">
        <f>IF($C167="B",INDEX(Batters[[#All],[CON P]],MATCH(Table5[[#This Row],[PID]],Batters[[#All],[PID]],0)),INDEX(Table3[[#All],[STU P]],MATCH(Table5[[#This Row],[PID]],Table3[[#All],[PID]],0)))</f>
        <v>4</v>
      </c>
      <c r="M167" s="56">
        <f>IF($C167="B",INDEX(Batters[[#All],[GAP P]],MATCH(Table5[[#This Row],[PID]],Batters[[#All],[PID]],0)),INDEX(Table3[[#All],[MOV P]],MATCH(Table5[[#This Row],[PID]],Table3[[#All],[PID]],0)))</f>
        <v>5</v>
      </c>
      <c r="N167" s="56">
        <f>IF($C167="B",INDEX(Batters[[#All],[POW P]],MATCH(Table5[[#This Row],[PID]],Batters[[#All],[PID]],0)),INDEX(Table3[[#All],[CON P]],MATCH(Table5[[#This Row],[PID]],Table3[[#All],[PID]],0)))</f>
        <v>7</v>
      </c>
      <c r="O167" s="56">
        <f>IF($C167="B",INDEX(Batters[[#All],[EYE P]],MATCH(Table5[[#This Row],[PID]],Batters[[#All],[PID]],0)),INDEX(Table3[[#All],[VELO]],MATCH(Table5[[#This Row],[PID]],Table3[[#All],[PID]],0)))</f>
        <v>7</v>
      </c>
      <c r="P167" s="56">
        <f>IF($C167="B",INDEX(Batters[[#All],[K P]],MATCH(Table5[[#This Row],[PID]],Batters[[#All],[PID]],0)),INDEX(Table3[[#All],[STM]],MATCH(Table5[[#This Row],[PID]],Table3[[#All],[PID]],0)))</f>
        <v>3</v>
      </c>
      <c r="Q167" s="61">
        <f>IF($C167="B",INDEX(Batters[[#All],[Tot]],MATCH(Table5[[#This Row],[PID]],Batters[[#All],[PID]],0)),INDEX(Table3[[#All],[Tot]],MATCH(Table5[[#This Row],[PID]],Table3[[#All],[PID]],0)))</f>
        <v>51.858721589598268</v>
      </c>
      <c r="R167" s="52">
        <f>IF($C167="B",INDEX(Batters[[#All],[zScore]],MATCH(Table5[[#This Row],[PID]],Batters[[#All],[PID]],0)),INDEX(Table3[[#All],[zScore]],MATCH(Table5[[#This Row],[PID]],Table3[[#All],[PID]],0)))</f>
        <v>1.2611981905313763</v>
      </c>
      <c r="S167" s="58" t="str">
        <f>IF($C167="B",INDEX(Batters[[#All],[DEM]],MATCH(Table5[[#This Row],[PID]],Batters[[#All],[PID]],0)),INDEX(Table3[[#All],[DEM]],MATCH(Table5[[#This Row],[PID]],Table3[[#All],[PID]],0)))</f>
        <v>$200k</v>
      </c>
      <c r="T167" s="62">
        <f>IF($C167="B",INDEX(Batters[[#All],[Rnk]],MATCH(Table5[[#This Row],[PID]],Batters[[#All],[PID]],0)),INDEX(Table3[[#All],[Rnk]],MATCH(Table5[[#This Row],[PID]],Table3[[#All],[PID]],0)))</f>
        <v>11</v>
      </c>
      <c r="U167" s="67">
        <f>IF($C167="B",VLOOKUP($A167,Bat!$A$4:$BA$1314,47,FALSE),VLOOKUP($A167,Pit!$A$4:$BF$1214,56,FALSE))</f>
        <v>93</v>
      </c>
      <c r="V167" s="50">
        <f>IF($C167="B",VLOOKUP($A167,Bat!$A$4:$BA$1314,48,FALSE),VLOOKUP($A167,Pit!$A$4:$BF$1214,57,FALSE))</f>
        <v>93</v>
      </c>
      <c r="W167" s="50">
        <v>163</v>
      </c>
      <c r="X167" s="51">
        <f>RANK(Table5[[#This Row],[zScore]],Table5[[#All],[zScore]])</f>
        <v>107</v>
      </c>
      <c r="Y167" s="50">
        <f>IFERROR(INDEX(DraftResults[[#All],[OVR]],MATCH(Table5[[#This Row],[PID]],DraftResults[[#All],[Player ID]],0)),"")</f>
        <v>99</v>
      </c>
      <c r="Z167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3</v>
      </c>
      <c r="AA167" s="50">
        <f>IFERROR(INDEX(DraftResults[[#All],[Pick in Round]],MATCH(Table5[[#This Row],[PID]],DraftResults[[#All],[Player ID]],0)),"")</f>
        <v>27</v>
      </c>
      <c r="AB167" s="50" t="str">
        <f>IFERROR(INDEX(DraftResults[[#All],[Team Name]],MATCH(Table5[[#This Row],[PID]],DraftResults[[#All],[Player ID]],0)),"")</f>
        <v>Aurora Borealis</v>
      </c>
      <c r="AC167" s="50">
        <f>IF(Table5[[#This Row],[Ovr]]="","",IF(Table5[[#This Row],[cmbList]]="","",Table5[[#This Row],[cmbList]]-Table5[[#This Row],[Ovr]]))</f>
        <v>64</v>
      </c>
      <c r="AD167" s="54" t="str">
        <f>IF(ISERROR(VLOOKUP($AB167&amp;"-"&amp;$E167&amp;" "&amp;F167,Bonuses!$B$1:$G$1006,4,FALSE)),"",INT(VLOOKUP($AB167&amp;"-"&amp;$E167&amp;" "&amp;$F167,Bonuses!$B$1:$G$1006,4,FALSE)))</f>
        <v/>
      </c>
      <c r="AE167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3.27 (99) - 1B Josh Whiskin</v>
      </c>
    </row>
    <row r="168" spans="1:31" s="50" customFormat="1" x14ac:dyDescent="0.3">
      <c r="A168" s="50">
        <v>9571</v>
      </c>
      <c r="B168" s="50">
        <f>COUNTIF(Table5[PID],A168)</f>
        <v>1</v>
      </c>
      <c r="C168" s="50" t="str">
        <f>IF(COUNTIF(Table3[[#All],[PID]],A168)&gt;0,"P","B")</f>
        <v>B</v>
      </c>
      <c r="D168" s="59" t="str">
        <f>IF($C168="B",INDEX(Batters[[#All],[POS]],MATCH(Table5[[#This Row],[PID]],Batters[[#All],[PID]],0)),INDEX(Table3[[#All],[POS]],MATCH(Table5[[#This Row],[PID]],Table3[[#All],[PID]],0)))</f>
        <v>LF</v>
      </c>
      <c r="E168" s="52" t="str">
        <f>IF($C168="B",INDEX(Batters[[#All],[First]],MATCH(Table5[[#This Row],[PID]],Batters[[#All],[PID]],0)),INDEX(Table3[[#All],[First]],MATCH(Table5[[#This Row],[PID]],Table3[[#All],[PID]],0)))</f>
        <v>António</v>
      </c>
      <c r="F168" s="50" t="str">
        <f>IF($C168="B",INDEX(Batters[[#All],[Last]],MATCH(A168,Batters[[#All],[PID]],0)),INDEX(Table3[[#All],[Last]],MATCH(A168,Table3[[#All],[PID]],0)))</f>
        <v>Fernández</v>
      </c>
      <c r="G168" s="56">
        <f>IF($C168="B",INDEX(Batters[[#All],[Age]],MATCH(Table5[[#This Row],[PID]],Batters[[#All],[PID]],0)),INDEX(Table3[[#All],[Age]],MATCH(Table5[[#This Row],[PID]],Table3[[#All],[PID]],0)))</f>
        <v>17</v>
      </c>
      <c r="H168" s="52" t="str">
        <f>IF($C168="B",INDEX(Batters[[#All],[B]],MATCH(Table5[[#This Row],[PID]],Batters[[#All],[PID]],0)),INDEX(Table3[[#All],[B]],MATCH(Table5[[#This Row],[PID]],Table3[[#All],[PID]],0)))</f>
        <v>L</v>
      </c>
      <c r="I168" s="52" t="str">
        <f>IF($C168="B",INDEX(Batters[[#All],[T]],MATCH(Table5[[#This Row],[PID]],Batters[[#All],[PID]],0)),INDEX(Table3[[#All],[T]],MATCH(Table5[[#This Row],[PID]],Table3[[#All],[PID]],0)))</f>
        <v>L</v>
      </c>
      <c r="J168" s="52" t="str">
        <f>IF($C168="B",INDEX(Batters[[#All],[WE]],MATCH(Table5[[#This Row],[PID]],Batters[[#All],[PID]],0)),INDEX(Table3[[#All],[WE]],MATCH(Table5[[#This Row],[PID]],Table3[[#All],[PID]],0)))</f>
        <v>Normal</v>
      </c>
      <c r="K168" s="52" t="str">
        <f>IF($C168="B",INDEX(Batters[[#All],[INT]],MATCH(Table5[[#This Row],[PID]],Batters[[#All],[PID]],0)),INDEX(Table3[[#All],[INT]],MATCH(Table5[[#This Row],[PID]],Table3[[#All],[PID]],0)))</f>
        <v>Normal</v>
      </c>
      <c r="L168" s="60">
        <f>IF($C168="B",INDEX(Batters[[#All],[CON P]],MATCH(Table5[[#This Row],[PID]],Batters[[#All],[PID]],0)),INDEX(Table3[[#All],[STU P]],MATCH(Table5[[#This Row],[PID]],Table3[[#All],[PID]],0)))</f>
        <v>6</v>
      </c>
      <c r="M168" s="56">
        <f>IF($C168="B",INDEX(Batters[[#All],[GAP P]],MATCH(Table5[[#This Row],[PID]],Batters[[#All],[PID]],0)),INDEX(Table3[[#All],[MOV P]],MATCH(Table5[[#This Row],[PID]],Table3[[#All],[PID]],0)))</f>
        <v>5</v>
      </c>
      <c r="N168" s="56">
        <f>IF($C168="B",INDEX(Batters[[#All],[POW P]],MATCH(Table5[[#This Row],[PID]],Batters[[#All],[PID]],0)),INDEX(Table3[[#All],[CON P]],MATCH(Table5[[#This Row],[PID]],Table3[[#All],[PID]],0)))</f>
        <v>2</v>
      </c>
      <c r="O168" s="56">
        <f>IF($C168="B",INDEX(Batters[[#All],[EYE P]],MATCH(Table5[[#This Row],[PID]],Batters[[#All],[PID]],0)),INDEX(Table3[[#All],[VELO]],MATCH(Table5[[#This Row],[PID]],Table3[[#All],[PID]],0)))</f>
        <v>4</v>
      </c>
      <c r="P168" s="56">
        <f>IF($C168="B",INDEX(Batters[[#All],[K P]],MATCH(Table5[[#This Row],[PID]],Batters[[#All],[PID]],0)),INDEX(Table3[[#All],[STM]],MATCH(Table5[[#This Row],[PID]],Table3[[#All],[PID]],0)))</f>
        <v>8</v>
      </c>
      <c r="Q168" s="61">
        <f>IF($C168="B",INDEX(Batters[[#All],[Tot]],MATCH(Table5[[#This Row],[PID]],Batters[[#All],[PID]],0)),INDEX(Table3[[#All],[Tot]],MATCH(Table5[[#This Row],[PID]],Table3[[#All],[PID]],0)))</f>
        <v>54.417743634733938</v>
      </c>
      <c r="R168" s="52">
        <f>IF($C168="B",INDEX(Batters[[#All],[zScore]],MATCH(Table5[[#This Row],[PID]],Batters[[#All],[PID]],0)),INDEX(Table3[[#All],[zScore]],MATCH(Table5[[#This Row],[PID]],Table3[[#All],[PID]],0)))</f>
        <v>1.6347338010052188</v>
      </c>
      <c r="S168" s="58" t="str">
        <f>IF($C168="B",INDEX(Batters[[#All],[DEM]],MATCH(Table5[[#This Row],[PID]],Batters[[#All],[PID]],0)),INDEX(Table3[[#All],[DEM]],MATCH(Table5[[#This Row],[PID]],Table3[[#All],[PID]],0)))</f>
        <v>$240k</v>
      </c>
      <c r="T168" s="62">
        <f>IF($C168="B",INDEX(Batters[[#All],[Rnk]],MATCH(Table5[[#This Row],[PID]],Batters[[#All],[PID]],0)),INDEX(Table3[[#All],[Rnk]],MATCH(Table5[[#This Row],[PID]],Table3[[#All],[PID]],0)))</f>
        <v>12</v>
      </c>
      <c r="U168" s="67">
        <f>IF($C168="B",VLOOKUP($A168,Bat!$A$4:$BA$1314,47,FALSE),VLOOKUP($A168,Pit!$A$4:$BF$1214,56,FALSE))</f>
        <v>94</v>
      </c>
      <c r="V168" s="50">
        <f>IF($C168="B",VLOOKUP($A168,Bat!$A$4:$BA$1314,48,FALSE),VLOOKUP($A168,Pit!$A$4:$BF$1214,57,FALSE))</f>
        <v>94</v>
      </c>
      <c r="W168" s="68">
        <v>164</v>
      </c>
      <c r="X168" s="51">
        <f>RANK(Table5[[#This Row],[zScore]],Table5[[#All],[zScore]])</f>
        <v>66</v>
      </c>
      <c r="Y168" s="50">
        <f>IFERROR(INDEX(DraftResults[[#All],[OVR]],MATCH(Table5[[#This Row],[PID]],DraftResults[[#All],[Player ID]],0)),"")</f>
        <v>107</v>
      </c>
      <c r="Z168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4</v>
      </c>
      <c r="AA168" s="50">
        <f>IFERROR(INDEX(DraftResults[[#All],[Pick in Round]],MATCH(Table5[[#This Row],[PID]],DraftResults[[#All],[Player ID]],0)),"")</f>
        <v>2</v>
      </c>
      <c r="AB168" s="50" t="str">
        <f>IFERROR(INDEX(DraftResults[[#All],[Team Name]],MATCH(Table5[[#This Row],[PID]],DraftResults[[#All],[Player ID]],0)),"")</f>
        <v>Charleston Statesmen</v>
      </c>
      <c r="AC168" s="50">
        <f>IF(Table5[[#This Row],[Ovr]]="","",IF(Table5[[#This Row],[cmbList]]="","",Table5[[#This Row],[cmbList]]-Table5[[#This Row],[Ovr]]))</f>
        <v>57</v>
      </c>
      <c r="AD168" s="54" t="str">
        <f>IF(ISERROR(VLOOKUP($AB168&amp;"-"&amp;$E168&amp;" "&amp;F168,Bonuses!$B$1:$G$1006,4,FALSE)),"",INT(VLOOKUP($AB168&amp;"-"&amp;$E168&amp;" "&amp;$F168,Bonuses!$B$1:$G$1006,4,FALSE)))</f>
        <v/>
      </c>
      <c r="AE168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4.2 (107) - LF António Fernández</v>
      </c>
    </row>
    <row r="169" spans="1:31" s="50" customFormat="1" x14ac:dyDescent="0.3">
      <c r="A169" s="50">
        <v>9156</v>
      </c>
      <c r="B169" s="50">
        <f>COUNTIF(Table5[PID],A169)</f>
        <v>1</v>
      </c>
      <c r="C169" s="50" t="str">
        <f>IF(COUNTIF(Table3[[#All],[PID]],A169)&gt;0,"P","B")</f>
        <v>B</v>
      </c>
      <c r="D169" s="59" t="str">
        <f>IF($C169="B",INDEX(Batters[[#All],[POS]],MATCH(Table5[[#This Row],[PID]],Batters[[#All],[PID]],0)),INDEX(Table3[[#All],[POS]],MATCH(Table5[[#This Row],[PID]],Table3[[#All],[PID]],0)))</f>
        <v>LF</v>
      </c>
      <c r="E169" s="52" t="str">
        <f>IF($C169="B",INDEX(Batters[[#All],[First]],MATCH(Table5[[#This Row],[PID]],Batters[[#All],[PID]],0)),INDEX(Table3[[#All],[First]],MATCH(Table5[[#This Row],[PID]],Table3[[#All],[PID]],0)))</f>
        <v>Scott</v>
      </c>
      <c r="F169" s="50" t="str">
        <f>IF($C169="B",INDEX(Batters[[#All],[Last]],MATCH(A169,Batters[[#All],[PID]],0)),INDEX(Table3[[#All],[Last]],MATCH(A169,Table3[[#All],[PID]],0)))</f>
        <v>Zimmerman</v>
      </c>
      <c r="G169" s="56">
        <f>IF($C169="B",INDEX(Batters[[#All],[Age]],MATCH(Table5[[#This Row],[PID]],Batters[[#All],[PID]],0)),INDEX(Table3[[#All],[Age]],MATCH(Table5[[#This Row],[PID]],Table3[[#All],[PID]],0)))</f>
        <v>17</v>
      </c>
      <c r="H169" s="52" t="str">
        <f>IF($C169="B",INDEX(Batters[[#All],[B]],MATCH(Table5[[#This Row],[PID]],Batters[[#All],[PID]],0)),INDEX(Table3[[#All],[B]],MATCH(Table5[[#This Row],[PID]],Table3[[#All],[PID]],0)))</f>
        <v>L</v>
      </c>
      <c r="I169" s="52" t="str">
        <f>IF($C169="B",INDEX(Batters[[#All],[T]],MATCH(Table5[[#This Row],[PID]],Batters[[#All],[PID]],0)),INDEX(Table3[[#All],[T]],MATCH(Table5[[#This Row],[PID]],Table3[[#All],[PID]],0)))</f>
        <v>R</v>
      </c>
      <c r="J169" s="52" t="str">
        <f>IF($C169="B",INDEX(Batters[[#All],[WE]],MATCH(Table5[[#This Row],[PID]],Batters[[#All],[PID]],0)),INDEX(Table3[[#All],[WE]],MATCH(Table5[[#This Row],[PID]],Table3[[#All],[PID]],0)))</f>
        <v>Low</v>
      </c>
      <c r="K169" s="52" t="str">
        <f>IF($C169="B",INDEX(Batters[[#All],[INT]],MATCH(Table5[[#This Row],[PID]],Batters[[#All],[PID]],0)),INDEX(Table3[[#All],[INT]],MATCH(Table5[[#This Row],[PID]],Table3[[#All],[PID]],0)))</f>
        <v>Normal</v>
      </c>
      <c r="L169" s="60">
        <f>IF($C169="B",INDEX(Batters[[#All],[CON P]],MATCH(Table5[[#This Row],[PID]],Batters[[#All],[PID]],0)),INDEX(Table3[[#All],[STU P]],MATCH(Table5[[#This Row],[PID]],Table3[[#All],[PID]],0)))</f>
        <v>4</v>
      </c>
      <c r="M169" s="56">
        <f>IF($C169="B",INDEX(Batters[[#All],[GAP P]],MATCH(Table5[[#This Row],[PID]],Batters[[#All],[PID]],0)),INDEX(Table3[[#All],[MOV P]],MATCH(Table5[[#This Row],[PID]],Table3[[#All],[PID]],0)))</f>
        <v>9</v>
      </c>
      <c r="N169" s="56">
        <f>IF($C169="B",INDEX(Batters[[#All],[POW P]],MATCH(Table5[[#This Row],[PID]],Batters[[#All],[PID]],0)),INDEX(Table3[[#All],[CON P]],MATCH(Table5[[#This Row],[PID]],Table3[[#All],[PID]],0)))</f>
        <v>7</v>
      </c>
      <c r="O169" s="56">
        <f>IF($C169="B",INDEX(Batters[[#All],[EYE P]],MATCH(Table5[[#This Row],[PID]],Batters[[#All],[PID]],0)),INDEX(Table3[[#All],[VELO]],MATCH(Table5[[#This Row],[PID]],Table3[[#All],[PID]],0)))</f>
        <v>6</v>
      </c>
      <c r="P169" s="56">
        <f>IF($C169="B",INDEX(Batters[[#All],[K P]],MATCH(Table5[[#This Row],[PID]],Batters[[#All],[PID]],0)),INDEX(Table3[[#All],[STM]],MATCH(Table5[[#This Row],[PID]],Table3[[#All],[PID]],0)))</f>
        <v>2</v>
      </c>
      <c r="Q169" s="61">
        <f>IF($C169="B",INDEX(Batters[[#All],[Tot]],MATCH(Table5[[#This Row],[PID]],Batters[[#All],[PID]],0)),INDEX(Table3[[#All],[Tot]],MATCH(Table5[[#This Row],[PID]],Table3[[#All],[PID]],0)))</f>
        <v>52.91500293582115</v>
      </c>
      <c r="R169" s="52">
        <f>IF($C169="B",INDEX(Batters[[#All],[zScore]],MATCH(Table5[[#This Row],[PID]],Batters[[#All],[PID]],0)),INDEX(Table3[[#All],[zScore]],MATCH(Table5[[#This Row],[PID]],Table3[[#All],[PID]],0)))</f>
        <v>1.415381581895079</v>
      </c>
      <c r="S169" s="58" t="str">
        <f>IF($C169="B",INDEX(Batters[[#All],[DEM]],MATCH(Table5[[#This Row],[PID]],Batters[[#All],[PID]],0)),INDEX(Table3[[#All],[DEM]],MATCH(Table5[[#This Row],[PID]],Table3[[#All],[PID]],0)))</f>
        <v>$900k</v>
      </c>
      <c r="T169" s="62">
        <f>IF($C169="B",INDEX(Batters[[#All],[Rnk]],MATCH(Table5[[#This Row],[PID]],Batters[[#All],[PID]],0)),INDEX(Table3[[#All],[Rnk]],MATCH(Table5[[#This Row],[PID]],Table3[[#All],[PID]],0)))</f>
        <v>13</v>
      </c>
      <c r="U169" s="67">
        <f>IF($C169="B",VLOOKUP($A169,Bat!$A$4:$BA$1314,47,FALSE),VLOOKUP($A169,Pit!$A$4:$BF$1214,56,FALSE))</f>
        <v>95</v>
      </c>
      <c r="V169" s="50">
        <f>IF($C169="B",VLOOKUP($A169,Bat!$A$4:$BA$1314,48,FALSE),VLOOKUP($A169,Pit!$A$4:$BF$1214,57,FALSE))</f>
        <v>95</v>
      </c>
      <c r="W169" s="50">
        <v>165</v>
      </c>
      <c r="X169" s="51">
        <f>RANK(Table5[[#This Row],[zScore]],Table5[[#All],[zScore]])</f>
        <v>82</v>
      </c>
      <c r="Y169" s="50">
        <f>IFERROR(INDEX(DraftResults[[#All],[OVR]],MATCH(Table5[[#This Row],[PID]],DraftResults[[#All],[Player ID]],0)),"")</f>
        <v>47</v>
      </c>
      <c r="Z169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2</v>
      </c>
      <c r="AA169" s="50">
        <f>IFERROR(INDEX(DraftResults[[#All],[Pick in Round]],MATCH(Table5[[#This Row],[PID]],DraftResults[[#All],[Player ID]],0)),"")</f>
        <v>11</v>
      </c>
      <c r="AB169" s="50" t="str">
        <f>IFERROR(INDEX(DraftResults[[#All],[Team Name]],MATCH(Table5[[#This Row],[PID]],DraftResults[[#All],[Player ID]],0)),"")</f>
        <v>Scottish Claymores</v>
      </c>
      <c r="AC169" s="50">
        <f>IF(Table5[[#This Row],[Ovr]]="","",IF(Table5[[#This Row],[cmbList]]="","",Table5[[#This Row],[cmbList]]-Table5[[#This Row],[Ovr]]))</f>
        <v>118</v>
      </c>
      <c r="AD169" s="54" t="str">
        <f>IF(ISERROR(VLOOKUP($AB169&amp;"-"&amp;$E169&amp;" "&amp;F169,Bonuses!$B$1:$G$1006,4,FALSE)),"",INT(VLOOKUP($AB169&amp;"-"&amp;$E169&amp;" "&amp;$F169,Bonuses!$B$1:$G$1006,4,FALSE)))</f>
        <v/>
      </c>
      <c r="AE169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2.11 (47) - LF Scott Zimmerman</v>
      </c>
    </row>
    <row r="170" spans="1:31" s="50" customFormat="1" x14ac:dyDescent="0.3">
      <c r="A170" s="50">
        <v>20900</v>
      </c>
      <c r="B170" s="50">
        <f>COUNTIF(Table5[PID],A170)</f>
        <v>1</v>
      </c>
      <c r="C170" s="50" t="str">
        <f>IF(COUNTIF(Table3[[#All],[PID]],A170)&gt;0,"P","B")</f>
        <v>P</v>
      </c>
      <c r="D170" s="59" t="str">
        <f>IF($C170="B",INDEX(Batters[[#All],[POS]],MATCH(Table5[[#This Row],[PID]],Batters[[#All],[PID]],0)),INDEX(Table3[[#All],[POS]],MATCH(Table5[[#This Row],[PID]],Table3[[#All],[PID]],0)))</f>
        <v>RP</v>
      </c>
      <c r="E170" s="52" t="str">
        <f>IF($C170="B",INDEX(Batters[[#All],[First]],MATCH(Table5[[#This Row],[PID]],Batters[[#All],[PID]],0)),INDEX(Table3[[#All],[First]],MATCH(Table5[[#This Row],[PID]],Table3[[#All],[PID]],0)))</f>
        <v>Bob</v>
      </c>
      <c r="F170" s="50" t="str">
        <f>IF($C170="B",INDEX(Batters[[#All],[Last]],MATCH(A170,Batters[[#All],[PID]],0)),INDEX(Table3[[#All],[Last]],MATCH(A170,Table3[[#All],[PID]],0)))</f>
        <v>Bates</v>
      </c>
      <c r="G170" s="56">
        <f>IF($C170="B",INDEX(Batters[[#All],[Age]],MATCH(Table5[[#This Row],[PID]],Batters[[#All],[PID]],0)),INDEX(Table3[[#All],[Age]],MATCH(Table5[[#This Row],[PID]],Table3[[#All],[PID]],0)))</f>
        <v>17</v>
      </c>
      <c r="H170" s="52" t="str">
        <f>IF($C170="B",INDEX(Batters[[#All],[B]],MATCH(Table5[[#This Row],[PID]],Batters[[#All],[PID]],0)),INDEX(Table3[[#All],[B]],MATCH(Table5[[#This Row],[PID]],Table3[[#All],[PID]],0)))</f>
        <v>L</v>
      </c>
      <c r="I170" s="52" t="str">
        <f>IF($C170="B",INDEX(Batters[[#All],[T]],MATCH(Table5[[#This Row],[PID]],Batters[[#All],[PID]],0)),INDEX(Table3[[#All],[T]],MATCH(Table5[[#This Row],[PID]],Table3[[#All],[PID]],0)))</f>
        <v>R</v>
      </c>
      <c r="J170" s="52" t="str">
        <f>IF($C170="B",INDEX(Batters[[#All],[WE]],MATCH(Table5[[#This Row],[PID]],Batters[[#All],[PID]],0)),INDEX(Table3[[#All],[WE]],MATCH(Table5[[#This Row],[PID]],Table3[[#All],[PID]],0)))</f>
        <v>Normal</v>
      </c>
      <c r="K170" s="52" t="str">
        <f>IF($C170="B",INDEX(Batters[[#All],[INT]],MATCH(Table5[[#This Row],[PID]],Batters[[#All],[PID]],0)),INDEX(Table3[[#All],[INT]],MATCH(Table5[[#This Row],[PID]],Table3[[#All],[PID]],0)))</f>
        <v>Normal</v>
      </c>
      <c r="L170" s="60">
        <f>IF($C170="B",INDEX(Batters[[#All],[CON P]],MATCH(Table5[[#This Row],[PID]],Batters[[#All],[PID]],0)),INDEX(Table3[[#All],[STU P]],MATCH(Table5[[#This Row],[PID]],Table3[[#All],[PID]],0)))</f>
        <v>6</v>
      </c>
      <c r="M170" s="56">
        <f>IF($C170="B",INDEX(Batters[[#All],[GAP P]],MATCH(Table5[[#This Row],[PID]],Batters[[#All],[PID]],0)),INDEX(Table3[[#All],[MOV P]],MATCH(Table5[[#This Row],[PID]],Table3[[#All],[PID]],0)))</f>
        <v>3</v>
      </c>
      <c r="N170" s="56">
        <f>IF($C170="B",INDEX(Batters[[#All],[POW P]],MATCH(Table5[[#This Row],[PID]],Batters[[#All],[PID]],0)),INDEX(Table3[[#All],[CON P]],MATCH(Table5[[#This Row],[PID]],Table3[[#All],[PID]],0)))</f>
        <v>3</v>
      </c>
      <c r="O170" s="56" t="str">
        <f>IF($C170="B",INDEX(Batters[[#All],[EYE P]],MATCH(Table5[[#This Row],[PID]],Batters[[#All],[PID]],0)),INDEX(Table3[[#All],[VELO]],MATCH(Table5[[#This Row],[PID]],Table3[[#All],[PID]],0)))</f>
        <v>94-96 Mph</v>
      </c>
      <c r="P170" s="56">
        <f>IF($C170="B",INDEX(Batters[[#All],[K P]],MATCH(Table5[[#This Row],[PID]],Batters[[#All],[PID]],0)),INDEX(Table3[[#All],[STM]],MATCH(Table5[[#This Row],[PID]],Table3[[#All],[PID]],0)))</f>
        <v>9</v>
      </c>
      <c r="Q170" s="61">
        <f>IF($C170="B",INDEX(Batters[[#All],[Tot]],MATCH(Table5[[#This Row],[PID]],Batters[[#All],[PID]],0)),INDEX(Table3[[#All],[Tot]],MATCH(Table5[[#This Row],[PID]],Table3[[#All],[PID]],0)))</f>
        <v>47.322002531948854</v>
      </c>
      <c r="R170" s="52">
        <f>IF($C170="B",INDEX(Batters[[#All],[zScore]],MATCH(Table5[[#This Row],[PID]],Batters[[#All],[PID]],0)),INDEX(Table3[[#All],[zScore]],MATCH(Table5[[#This Row],[PID]],Table3[[#All],[PID]],0)))</f>
        <v>0.67784964871784492</v>
      </c>
      <c r="S170" s="58" t="str">
        <f>IF($C170="B",INDEX(Batters[[#All],[DEM]],MATCH(Table5[[#This Row],[PID]],Batters[[#All],[PID]],0)),INDEX(Table3[[#All],[DEM]],MATCH(Table5[[#This Row],[PID]],Table3[[#All],[PID]],0)))</f>
        <v>$38k</v>
      </c>
      <c r="T170" s="62">
        <f>IF($C170="B",INDEX(Batters[[#All],[Rnk]],MATCH(Table5[[#This Row],[PID]],Batters[[#All],[PID]],0)),INDEX(Table3[[#All],[Rnk]],MATCH(Table5[[#This Row],[PID]],Table3[[#All],[PID]],0)))</f>
        <v>900</v>
      </c>
      <c r="U170" s="67">
        <f>IF($C170="B",VLOOKUP($A170,Bat!$A$4:$BA$1314,47,FALSE),VLOOKUP($A170,Pit!$A$4:$BF$1214,56,FALSE))</f>
        <v>70</v>
      </c>
      <c r="V170" s="50">
        <f>IF($C170="B",VLOOKUP($A170,Bat!$A$4:$BA$1314,48,FALSE),VLOOKUP($A170,Pit!$A$4:$BF$1214,57,FALSE))</f>
        <v>0</v>
      </c>
      <c r="W170" s="68">
        <v>166</v>
      </c>
      <c r="X170" s="51">
        <f>RANK(Table5[[#This Row],[zScore]],Table5[[#All],[zScore]])</f>
        <v>191</v>
      </c>
      <c r="Y170" s="50">
        <f>IFERROR(INDEX(DraftResults[[#All],[OVR]],MATCH(Table5[[#This Row],[PID]],DraftResults[[#All],[Player ID]],0)),"")</f>
        <v>168</v>
      </c>
      <c r="Z170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5</v>
      </c>
      <c r="AA170" s="50">
        <f>IFERROR(INDEX(DraftResults[[#All],[Pick in Round]],MATCH(Table5[[#This Row],[PID]],DraftResults[[#All],[Player ID]],0)),"")</f>
        <v>31</v>
      </c>
      <c r="AB170" s="50" t="str">
        <f>IFERROR(INDEX(DraftResults[[#All],[Team Name]],MATCH(Table5[[#This Row],[PID]],DraftResults[[#All],[Player ID]],0)),"")</f>
        <v>Kentucky Thoroughbreds</v>
      </c>
      <c r="AC170" s="50">
        <f>IF(Table5[[#This Row],[Ovr]]="","",IF(Table5[[#This Row],[cmbList]]="","",Table5[[#This Row],[cmbList]]-Table5[[#This Row],[Ovr]]))</f>
        <v>-2</v>
      </c>
      <c r="AD170" s="54" t="str">
        <f>IF(ISERROR(VLOOKUP($AB170&amp;"-"&amp;$E170&amp;" "&amp;F170,Bonuses!$B$1:$G$1006,4,FALSE)),"",INT(VLOOKUP($AB170&amp;"-"&amp;$E170&amp;" "&amp;$F170,Bonuses!$B$1:$G$1006,4,FALSE)))</f>
        <v/>
      </c>
      <c r="AE170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5.31 (168) - RP Bob Bates</v>
      </c>
    </row>
    <row r="171" spans="1:31" s="50" customFormat="1" x14ac:dyDescent="0.3">
      <c r="A171" s="50">
        <v>12479</v>
      </c>
      <c r="B171" s="55">
        <f>COUNTIF(Table5[PID],A171)</f>
        <v>1</v>
      </c>
      <c r="C171" s="55" t="str">
        <f>IF(COUNTIF(Table3[[#All],[PID]],A171)&gt;0,"P","B")</f>
        <v>P</v>
      </c>
      <c r="D171" s="59" t="str">
        <f>IF($C171="B",INDEX(Batters[[#All],[POS]],MATCH(Table5[[#This Row],[PID]],Batters[[#All],[PID]],0)),INDEX(Table3[[#All],[POS]],MATCH(Table5[[#This Row],[PID]],Table3[[#All],[PID]],0)))</f>
        <v>CL</v>
      </c>
      <c r="E171" s="52" t="str">
        <f>IF($C171="B",INDEX(Batters[[#All],[First]],MATCH(Table5[[#This Row],[PID]],Batters[[#All],[PID]],0)),INDEX(Table3[[#All],[First]],MATCH(Table5[[#This Row],[PID]],Table3[[#All],[PID]],0)))</f>
        <v>Robbie</v>
      </c>
      <c r="F171" s="50" t="str">
        <f>IF($C171="B",INDEX(Batters[[#All],[Last]],MATCH(A171,Batters[[#All],[PID]],0)),INDEX(Table3[[#All],[Last]],MATCH(A171,Table3[[#All],[PID]],0)))</f>
        <v>Williams</v>
      </c>
      <c r="G171" s="56">
        <f>IF($C171="B",INDEX(Batters[[#All],[Age]],MATCH(Table5[[#This Row],[PID]],Batters[[#All],[PID]],0)),INDEX(Table3[[#All],[Age]],MATCH(Table5[[#This Row],[PID]],Table3[[#All],[PID]],0)))</f>
        <v>18</v>
      </c>
      <c r="H171" s="52" t="str">
        <f>IF($C171="B",INDEX(Batters[[#All],[B]],MATCH(Table5[[#This Row],[PID]],Batters[[#All],[PID]],0)),INDEX(Table3[[#All],[B]],MATCH(Table5[[#This Row],[PID]],Table3[[#All],[PID]],0)))</f>
        <v>L</v>
      </c>
      <c r="I171" s="52" t="str">
        <f>IF($C171="B",INDEX(Batters[[#All],[T]],MATCH(Table5[[#This Row],[PID]],Batters[[#All],[PID]],0)),INDEX(Table3[[#All],[T]],MATCH(Table5[[#This Row],[PID]],Table3[[#All],[PID]],0)))</f>
        <v>L</v>
      </c>
      <c r="J171" s="52" t="str">
        <f>IF($C171="B",INDEX(Batters[[#All],[WE]],MATCH(Table5[[#This Row],[PID]],Batters[[#All],[PID]],0)),INDEX(Table3[[#All],[WE]],MATCH(Table5[[#This Row],[PID]],Table3[[#All],[PID]],0)))</f>
        <v>Normal</v>
      </c>
      <c r="K171" s="52" t="str">
        <f>IF($C171="B",INDEX(Batters[[#All],[INT]],MATCH(Table5[[#This Row],[PID]],Batters[[#All],[PID]],0)),INDEX(Table3[[#All],[INT]],MATCH(Table5[[#This Row],[PID]],Table3[[#All],[PID]],0)))</f>
        <v>High</v>
      </c>
      <c r="L171" s="60">
        <f>IF($C171="B",INDEX(Batters[[#All],[CON P]],MATCH(Table5[[#This Row],[PID]],Batters[[#All],[PID]],0)),INDEX(Table3[[#All],[STU P]],MATCH(Table5[[#This Row],[PID]],Table3[[#All],[PID]],0)))</f>
        <v>5</v>
      </c>
      <c r="M171" s="56">
        <f>IF($C171="B",INDEX(Batters[[#All],[GAP P]],MATCH(Table5[[#This Row],[PID]],Batters[[#All],[PID]],0)),INDEX(Table3[[#All],[MOV P]],MATCH(Table5[[#This Row],[PID]],Table3[[#All],[PID]],0)))</f>
        <v>3</v>
      </c>
      <c r="N171" s="56">
        <f>IF($C171="B",INDEX(Batters[[#All],[POW P]],MATCH(Table5[[#This Row],[PID]],Batters[[#All],[PID]],0)),INDEX(Table3[[#All],[CON P]],MATCH(Table5[[#This Row],[PID]],Table3[[#All],[PID]],0)))</f>
        <v>4</v>
      </c>
      <c r="O171" s="56" t="str">
        <f>IF($C171="B",INDEX(Batters[[#All],[EYE P]],MATCH(Table5[[#This Row],[PID]],Batters[[#All],[PID]],0)),INDEX(Table3[[#All],[VELO]],MATCH(Table5[[#This Row],[PID]],Table3[[#All],[PID]],0)))</f>
        <v>87-89 Mph</v>
      </c>
      <c r="P171" s="56">
        <f>IF($C171="B",INDEX(Batters[[#All],[K P]],MATCH(Table5[[#This Row],[PID]],Batters[[#All],[PID]],0)),INDEX(Table3[[#All],[STM]],MATCH(Table5[[#This Row],[PID]],Table3[[#All],[PID]],0)))</f>
        <v>8</v>
      </c>
      <c r="Q171" s="61">
        <f>IF($C171="B",INDEX(Batters[[#All],[Tot]],MATCH(Table5[[#This Row],[PID]],Batters[[#All],[PID]],0)),INDEX(Table3[[#All],[Tot]],MATCH(Table5[[#This Row],[PID]],Table3[[#All],[PID]],0)))</f>
        <v>46.149746597166526</v>
      </c>
      <c r="R171" s="52">
        <f>IF($C171="B",INDEX(Batters[[#All],[zScore]],MATCH(Table5[[#This Row],[PID]],Batters[[#All],[PID]],0)),INDEX(Table3[[#All],[zScore]],MATCH(Table5[[#This Row],[PID]],Table3[[#All],[PID]],0)))</f>
        <v>0.59437678183425902</v>
      </c>
      <c r="S171" s="58" t="str">
        <f>IF($C171="B",INDEX(Batters[[#All],[DEM]],MATCH(Table5[[#This Row],[PID]],Batters[[#All],[PID]],0)),INDEX(Table3[[#All],[DEM]],MATCH(Table5[[#This Row],[PID]],Table3[[#All],[PID]],0)))</f>
        <v>$95k</v>
      </c>
      <c r="T171" s="62">
        <f>IF($C171="B",INDEX(Batters[[#All],[Rnk]],MATCH(Table5[[#This Row],[PID]],Batters[[#All],[PID]],0)),INDEX(Table3[[#All],[Rnk]],MATCH(Table5[[#This Row],[PID]],Table3[[#All],[PID]],0)))</f>
        <v>900</v>
      </c>
      <c r="U171" s="67">
        <f>IF($C171="B",VLOOKUP($A171,Bat!$A$4:$BA$1314,47,FALSE),VLOOKUP($A171,Pit!$A$4:$BF$1214,56,FALSE))</f>
        <v>71</v>
      </c>
      <c r="V171" s="50">
        <f>IF($C171="B",VLOOKUP($A171,Bat!$A$4:$BA$1314,48,FALSE),VLOOKUP($A171,Pit!$A$4:$BF$1214,57,FALSE))</f>
        <v>0</v>
      </c>
      <c r="W171" s="50">
        <v>167</v>
      </c>
      <c r="X171" s="51">
        <f>RANK(Table5[[#This Row],[zScore]],Table5[[#All],[zScore]])</f>
        <v>206</v>
      </c>
      <c r="Y171" s="50">
        <f>IFERROR(INDEX(DraftResults[[#All],[OVR]],MATCH(Table5[[#This Row],[PID]],DraftResults[[#All],[Player ID]],0)),"")</f>
        <v>263</v>
      </c>
      <c r="Z171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8</v>
      </c>
      <c r="AA171" s="50">
        <f>IFERROR(INDEX(DraftResults[[#All],[Pick in Round]],MATCH(Table5[[#This Row],[PID]],DraftResults[[#All],[Player ID]],0)),"")</f>
        <v>30</v>
      </c>
      <c r="AB171" s="50" t="str">
        <f>IFERROR(INDEX(DraftResults[[#All],[Team Name]],MATCH(Table5[[#This Row],[PID]],DraftResults[[#All],[Player ID]],0)),"")</f>
        <v>Toyama Wind Dancers</v>
      </c>
      <c r="AC171" s="50">
        <f>IF(Table5[[#This Row],[Ovr]]="","",IF(Table5[[#This Row],[cmbList]]="","",Table5[[#This Row],[cmbList]]-Table5[[#This Row],[Ovr]]))</f>
        <v>-96</v>
      </c>
      <c r="AD171" s="54" t="str">
        <f>IF(ISERROR(VLOOKUP($AB171&amp;"-"&amp;$E171&amp;" "&amp;F171,Bonuses!$B$1:$G$1006,4,FALSE)),"",INT(VLOOKUP($AB171&amp;"-"&amp;$E171&amp;" "&amp;$F171,Bonuses!$B$1:$G$1006,4,FALSE)))</f>
        <v/>
      </c>
      <c r="AE171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8.30 (263) - CL Robbie Williams</v>
      </c>
    </row>
    <row r="172" spans="1:31" s="50" customFormat="1" x14ac:dyDescent="0.3">
      <c r="A172" s="67">
        <v>13266</v>
      </c>
      <c r="B172" s="68">
        <f>COUNTIF(Table5[PID],A172)</f>
        <v>1</v>
      </c>
      <c r="C172" s="68" t="str">
        <f>IF(COUNTIF(Table3[[#All],[PID]],A172)&gt;0,"P","B")</f>
        <v>B</v>
      </c>
      <c r="D172" s="59" t="str">
        <f>IF($C172="B",INDEX(Batters[[#All],[POS]],MATCH(Table5[[#This Row],[PID]],Batters[[#All],[PID]],0)),INDEX(Table3[[#All],[POS]],MATCH(Table5[[#This Row],[PID]],Table3[[#All],[PID]],0)))</f>
        <v>1B</v>
      </c>
      <c r="E172" s="52" t="str">
        <f>IF($C172="B",INDEX(Batters[[#All],[First]],MATCH(Table5[[#This Row],[PID]],Batters[[#All],[PID]],0)),INDEX(Table3[[#All],[First]],MATCH(Table5[[#This Row],[PID]],Table3[[#All],[PID]],0)))</f>
        <v>Gregor</v>
      </c>
      <c r="F172" s="55" t="str">
        <f>IF($C172="B",INDEX(Batters[[#All],[Last]],MATCH(A172,Batters[[#All],[PID]],0)),INDEX(Table3[[#All],[Last]],MATCH(A172,Table3[[#All],[PID]],0)))</f>
        <v>Angus</v>
      </c>
      <c r="G172" s="56">
        <f>IF($C172="B",INDEX(Batters[[#All],[Age]],MATCH(Table5[[#This Row],[PID]],Batters[[#All],[PID]],0)),INDEX(Table3[[#All],[Age]],MATCH(Table5[[#This Row],[PID]],Table3[[#All],[PID]],0)))</f>
        <v>17</v>
      </c>
      <c r="H172" s="52" t="str">
        <f>IF($C172="B",INDEX(Batters[[#All],[B]],MATCH(Table5[[#This Row],[PID]],Batters[[#All],[PID]],0)),INDEX(Table3[[#All],[B]],MATCH(Table5[[#This Row],[PID]],Table3[[#All],[PID]],0)))</f>
        <v>L</v>
      </c>
      <c r="I172" s="52" t="str">
        <f>IF($C172="B",INDEX(Batters[[#All],[T]],MATCH(Table5[[#This Row],[PID]],Batters[[#All],[PID]],0)),INDEX(Table3[[#All],[T]],MATCH(Table5[[#This Row],[PID]],Table3[[#All],[PID]],0)))</f>
        <v>L</v>
      </c>
      <c r="J172" s="69" t="str">
        <f>IF($C172="B",INDEX(Batters[[#All],[WE]],MATCH(Table5[[#This Row],[PID]],Batters[[#All],[PID]],0)),INDEX(Table3[[#All],[WE]],MATCH(Table5[[#This Row],[PID]],Table3[[#All],[PID]],0)))</f>
        <v>Normal</v>
      </c>
      <c r="K172" s="52" t="str">
        <f>IF($C172="B",INDEX(Batters[[#All],[INT]],MATCH(Table5[[#This Row],[PID]],Batters[[#All],[PID]],0)),INDEX(Table3[[#All],[INT]],MATCH(Table5[[#This Row],[PID]],Table3[[#All],[PID]],0)))</f>
        <v>Low</v>
      </c>
      <c r="L172" s="60">
        <f>IF($C172="B",INDEX(Batters[[#All],[CON P]],MATCH(Table5[[#This Row],[PID]],Batters[[#All],[PID]],0)),INDEX(Table3[[#All],[STU P]],MATCH(Table5[[#This Row],[PID]],Table3[[#All],[PID]],0)))</f>
        <v>4</v>
      </c>
      <c r="M172" s="70">
        <f>IF($C172="B",INDEX(Batters[[#All],[GAP P]],MATCH(Table5[[#This Row],[PID]],Batters[[#All],[PID]],0)),INDEX(Table3[[#All],[MOV P]],MATCH(Table5[[#This Row],[PID]],Table3[[#All],[PID]],0)))</f>
        <v>5</v>
      </c>
      <c r="N172" s="70">
        <f>IF($C172="B",INDEX(Batters[[#All],[POW P]],MATCH(Table5[[#This Row],[PID]],Batters[[#All],[PID]],0)),INDEX(Table3[[#All],[CON P]],MATCH(Table5[[#This Row],[PID]],Table3[[#All],[PID]],0)))</f>
        <v>7</v>
      </c>
      <c r="O172" s="70">
        <f>IF($C172="B",INDEX(Batters[[#All],[EYE P]],MATCH(Table5[[#This Row],[PID]],Batters[[#All],[PID]],0)),INDEX(Table3[[#All],[VELO]],MATCH(Table5[[#This Row],[PID]],Table3[[#All],[PID]],0)))</f>
        <v>7</v>
      </c>
      <c r="P172" s="56">
        <f>IF($C172="B",INDEX(Batters[[#All],[K P]],MATCH(Table5[[#This Row],[PID]],Batters[[#All],[PID]],0)),INDEX(Table3[[#All],[STM]],MATCH(Table5[[#This Row],[PID]],Table3[[#All],[PID]],0)))</f>
        <v>3</v>
      </c>
      <c r="Q172" s="61">
        <f>IF($C172="B",INDEX(Batters[[#All],[Tot]],MATCH(Table5[[#This Row],[PID]],Batters[[#All],[PID]],0)),INDEX(Table3[[#All],[Tot]],MATCH(Table5[[#This Row],[PID]],Table3[[#All],[PID]],0)))</f>
        <v>51.999174419273103</v>
      </c>
      <c r="R172" s="52">
        <f>IF($C172="B",INDEX(Batters[[#All],[zScore]],MATCH(Table5[[#This Row],[PID]],Batters[[#All],[PID]],0)),INDEX(Table3[[#All],[zScore]],MATCH(Table5[[#This Row],[PID]],Table3[[#All],[PID]],0)))</f>
        <v>1.2816998245736053</v>
      </c>
      <c r="S172" s="75" t="str">
        <f>IF($C172="B",INDEX(Batters[[#All],[DEM]],MATCH(Table5[[#This Row],[PID]],Batters[[#All],[PID]],0)),INDEX(Table3[[#All],[DEM]],MATCH(Table5[[#This Row],[PID]],Table3[[#All],[PID]],0)))</f>
        <v>$190k</v>
      </c>
      <c r="T172" s="72">
        <f>IF($C172="B",INDEX(Batters[[#All],[Rnk]],MATCH(Table5[[#This Row],[PID]],Batters[[#All],[PID]],0)),INDEX(Table3[[#All],[Rnk]],MATCH(Table5[[#This Row],[PID]],Table3[[#All],[PID]],0)))</f>
        <v>14</v>
      </c>
      <c r="U172" s="67">
        <f>IF($C172="B",VLOOKUP($A172,Bat!$A$4:$BA$1314,47,FALSE),VLOOKUP($A172,Pit!$A$4:$BF$1214,56,FALSE))</f>
        <v>96</v>
      </c>
      <c r="V172" s="50">
        <f>IF($C172="B",VLOOKUP($A172,Bat!$A$4:$BA$1314,48,FALSE),VLOOKUP($A172,Pit!$A$4:$BF$1214,57,FALSE))</f>
        <v>96</v>
      </c>
      <c r="W172" s="68">
        <v>168</v>
      </c>
      <c r="X172" s="71">
        <f>RANK(Table5[[#This Row],[zScore]],Table5[[#All],[zScore]])</f>
        <v>99</v>
      </c>
      <c r="Y172" s="68">
        <f>IFERROR(INDEX(DraftResults[[#All],[OVR]],MATCH(Table5[[#This Row],[PID]],DraftResults[[#All],[Player ID]],0)),"")</f>
        <v>132</v>
      </c>
      <c r="Z172" s="7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4</v>
      </c>
      <c r="AA172" s="68">
        <f>IFERROR(INDEX(DraftResults[[#All],[Pick in Round]],MATCH(Table5[[#This Row],[PID]],DraftResults[[#All],[Player ID]],0)),"")</f>
        <v>27</v>
      </c>
      <c r="AB172" s="68" t="str">
        <f>IFERROR(INDEX(DraftResults[[#All],[Team Name]],MATCH(Table5[[#This Row],[PID]],DraftResults[[#All],[Player ID]],0)),"")</f>
        <v>Havana Leones</v>
      </c>
      <c r="AC172" s="68">
        <f>IF(Table5[[#This Row],[Ovr]]="","",IF(Table5[[#This Row],[cmbList]]="","",Table5[[#This Row],[cmbList]]-Table5[[#This Row],[Ovr]]))</f>
        <v>36</v>
      </c>
      <c r="AD172" s="74" t="str">
        <f>IF(ISERROR(VLOOKUP($AB172&amp;"-"&amp;$E172&amp;" "&amp;F172,Bonuses!$B$1:$G$1006,4,FALSE)),"",INT(VLOOKUP($AB172&amp;"-"&amp;$E172&amp;" "&amp;$F172,Bonuses!$B$1:$G$1006,4,FALSE)))</f>
        <v/>
      </c>
      <c r="AE172" s="68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4.27 (132) - 1B Gregor Angus</v>
      </c>
    </row>
    <row r="173" spans="1:31" s="50" customFormat="1" x14ac:dyDescent="0.3">
      <c r="A173" s="50">
        <v>11179</v>
      </c>
      <c r="B173" s="50">
        <f>COUNTIF(Table5[PID],A173)</f>
        <v>1</v>
      </c>
      <c r="C173" s="50" t="str">
        <f>IF(COUNTIF(Table3[[#All],[PID]],A173)&gt;0,"P","B")</f>
        <v>P</v>
      </c>
      <c r="D173" s="59" t="str">
        <f>IF($C173="B",INDEX(Batters[[#All],[POS]],MATCH(Table5[[#This Row],[PID]],Batters[[#All],[PID]],0)),INDEX(Table3[[#All],[POS]],MATCH(Table5[[#This Row],[PID]],Table3[[#All],[PID]],0)))</f>
        <v>SP</v>
      </c>
      <c r="E173" s="52" t="str">
        <f>IF($C173="B",INDEX(Batters[[#All],[First]],MATCH(Table5[[#This Row],[PID]],Batters[[#All],[PID]],0)),INDEX(Table3[[#All],[First]],MATCH(Table5[[#This Row],[PID]],Table3[[#All],[PID]],0)))</f>
        <v>Jonathan</v>
      </c>
      <c r="F173" s="50" t="str">
        <f>IF($C173="B",INDEX(Batters[[#All],[Last]],MATCH(A173,Batters[[#All],[PID]],0)),INDEX(Table3[[#All],[Last]],MATCH(A173,Table3[[#All],[PID]],0)))</f>
        <v>Hollis</v>
      </c>
      <c r="G173" s="56">
        <f>IF($C173="B",INDEX(Batters[[#All],[Age]],MATCH(Table5[[#This Row],[PID]],Batters[[#All],[PID]],0)),INDEX(Table3[[#All],[Age]],MATCH(Table5[[#This Row],[PID]],Table3[[#All],[PID]],0)))</f>
        <v>18</v>
      </c>
      <c r="H173" s="52" t="str">
        <f>IF($C173="B",INDEX(Batters[[#All],[B]],MATCH(Table5[[#This Row],[PID]],Batters[[#All],[PID]],0)),INDEX(Table3[[#All],[B]],MATCH(Table5[[#This Row],[PID]],Table3[[#All],[PID]],0)))</f>
        <v>R</v>
      </c>
      <c r="I173" s="52" t="str">
        <f>IF($C173="B",INDEX(Batters[[#All],[T]],MATCH(Table5[[#This Row],[PID]],Batters[[#All],[PID]],0)),INDEX(Table3[[#All],[T]],MATCH(Table5[[#This Row],[PID]],Table3[[#All],[PID]],0)))</f>
        <v>R</v>
      </c>
      <c r="J173" s="52" t="str">
        <f>IF($C173="B",INDEX(Batters[[#All],[WE]],MATCH(Table5[[#This Row],[PID]],Batters[[#All],[PID]],0)),INDEX(Table3[[#All],[WE]],MATCH(Table5[[#This Row],[PID]],Table3[[#All],[PID]],0)))</f>
        <v>Normal</v>
      </c>
      <c r="K173" s="52" t="str">
        <f>IF($C173="B",INDEX(Batters[[#All],[INT]],MATCH(Table5[[#This Row],[PID]],Batters[[#All],[PID]],0)),INDEX(Table3[[#All],[INT]],MATCH(Table5[[#This Row],[PID]],Table3[[#All],[PID]],0)))</f>
        <v>Normal</v>
      </c>
      <c r="L173" s="60">
        <f>IF($C173="B",INDEX(Batters[[#All],[CON P]],MATCH(Table5[[#This Row],[PID]],Batters[[#All],[PID]],0)),INDEX(Table3[[#All],[STU P]],MATCH(Table5[[#This Row],[PID]],Table3[[#All],[PID]],0)))</f>
        <v>4</v>
      </c>
      <c r="M173" s="56">
        <f>IF($C173="B",INDEX(Batters[[#All],[GAP P]],MATCH(Table5[[#This Row],[PID]],Batters[[#All],[PID]],0)),INDEX(Table3[[#All],[MOV P]],MATCH(Table5[[#This Row],[PID]],Table3[[#All],[PID]],0)))</f>
        <v>2</v>
      </c>
      <c r="N173" s="56">
        <f>IF($C173="B",INDEX(Batters[[#All],[POW P]],MATCH(Table5[[#This Row],[PID]],Batters[[#All],[PID]],0)),INDEX(Table3[[#All],[CON P]],MATCH(Table5[[#This Row],[PID]],Table3[[#All],[PID]],0)))</f>
        <v>5</v>
      </c>
      <c r="O173" s="56" t="str">
        <f>IF($C173="B",INDEX(Batters[[#All],[EYE P]],MATCH(Table5[[#This Row],[PID]],Batters[[#All],[PID]],0)),INDEX(Table3[[#All],[VELO]],MATCH(Table5[[#This Row],[PID]],Table3[[#All],[PID]],0)))</f>
        <v>91-93 Mph</v>
      </c>
      <c r="P173" s="56">
        <f>IF($C173="B",INDEX(Batters[[#All],[K P]],MATCH(Table5[[#This Row],[PID]],Batters[[#All],[PID]],0)),INDEX(Table3[[#All],[STM]],MATCH(Table5[[#This Row],[PID]],Table3[[#All],[PID]],0)))</f>
        <v>9</v>
      </c>
      <c r="Q173" s="61">
        <f>IF($C173="B",INDEX(Batters[[#All],[Tot]],MATCH(Table5[[#This Row],[PID]],Batters[[#All],[PID]],0)),INDEX(Table3[[#All],[Tot]],MATCH(Table5[[#This Row],[PID]],Table3[[#All],[PID]],0)))</f>
        <v>46.542161212674969</v>
      </c>
      <c r="R173" s="52">
        <f>IF($C173="B",INDEX(Batters[[#All],[zScore]],MATCH(Table5[[#This Row],[PID]],Batters[[#All],[PID]],0)),INDEX(Table3[[#All],[zScore]],MATCH(Table5[[#This Row],[PID]],Table3[[#All],[PID]],0)))</f>
        <v>0.62231946226060475</v>
      </c>
      <c r="S173" s="58" t="str">
        <f>IF($C173="B",INDEX(Batters[[#All],[DEM]],MATCH(Table5[[#This Row],[PID]],Batters[[#All],[PID]],0)),INDEX(Table3[[#All],[DEM]],MATCH(Table5[[#This Row],[PID]],Table3[[#All],[PID]],0)))</f>
        <v>$80k</v>
      </c>
      <c r="T173" s="62">
        <f>IF($C173="B",INDEX(Batters[[#All],[Rnk]],MATCH(Table5[[#This Row],[PID]],Batters[[#All],[PID]],0)),INDEX(Table3[[#All],[Rnk]],MATCH(Table5[[#This Row],[PID]],Table3[[#All],[PID]],0)))</f>
        <v>900</v>
      </c>
      <c r="U173" s="67">
        <f>IF($C173="B",VLOOKUP($A173,Bat!$A$4:$BA$1314,47,FALSE),VLOOKUP($A173,Pit!$A$4:$BF$1214,56,FALSE))</f>
        <v>72</v>
      </c>
      <c r="V173" s="50">
        <f>IF($C173="B",VLOOKUP($A173,Bat!$A$4:$BA$1314,48,FALSE),VLOOKUP($A173,Pit!$A$4:$BF$1214,57,FALSE))</f>
        <v>0</v>
      </c>
      <c r="W173" s="50">
        <v>169</v>
      </c>
      <c r="X173" s="51">
        <f>RANK(Table5[[#This Row],[zScore]],Table5[[#All],[zScore]])</f>
        <v>199</v>
      </c>
      <c r="Y173" s="50">
        <f>IFERROR(INDEX(DraftResults[[#All],[OVR]],MATCH(Table5[[#This Row],[PID]],DraftResults[[#All],[Player ID]],0)),"")</f>
        <v>326</v>
      </c>
      <c r="Z173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10</v>
      </c>
      <c r="AA173" s="50">
        <f>IFERROR(INDEX(DraftResults[[#All],[Pick in Round]],MATCH(Table5[[#This Row],[PID]],DraftResults[[#All],[Player ID]],0)),"")</f>
        <v>29</v>
      </c>
      <c r="AB173" s="50" t="str">
        <f>IFERROR(INDEX(DraftResults[[#All],[Team Name]],MATCH(Table5[[#This Row],[PID]],DraftResults[[#All],[Player ID]],0)),"")</f>
        <v>Charleston Statesmen</v>
      </c>
      <c r="AC173" s="50">
        <f>IF(Table5[[#This Row],[Ovr]]="","",IF(Table5[[#This Row],[cmbList]]="","",Table5[[#This Row],[cmbList]]-Table5[[#This Row],[Ovr]]))</f>
        <v>-157</v>
      </c>
      <c r="AD173" s="54" t="str">
        <f>IF(ISERROR(VLOOKUP($AB173&amp;"-"&amp;$E173&amp;" "&amp;F173,Bonuses!$B$1:$G$1006,4,FALSE)),"",INT(VLOOKUP($AB173&amp;"-"&amp;$E173&amp;" "&amp;$F173,Bonuses!$B$1:$G$1006,4,FALSE)))</f>
        <v/>
      </c>
      <c r="AE173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10.29 (326) - SP Jonathan Hollis</v>
      </c>
    </row>
    <row r="174" spans="1:31" s="50" customFormat="1" x14ac:dyDescent="0.3">
      <c r="A174" s="50">
        <v>9507</v>
      </c>
      <c r="B174" s="55">
        <f>COUNTIF(Table5[PID],A174)</f>
        <v>1</v>
      </c>
      <c r="C174" s="55" t="str">
        <f>IF(COUNTIF(Table3[[#All],[PID]],A174)&gt;0,"P","B")</f>
        <v>P</v>
      </c>
      <c r="D174" s="59" t="str">
        <f>IF($C174="B",INDEX(Batters[[#All],[POS]],MATCH(Table5[[#This Row],[PID]],Batters[[#All],[PID]],0)),INDEX(Table3[[#All],[POS]],MATCH(Table5[[#This Row],[PID]],Table3[[#All],[PID]],0)))</f>
        <v>SP</v>
      </c>
      <c r="E174" s="52" t="str">
        <f>IF($C174="B",INDEX(Batters[[#All],[First]],MATCH(Table5[[#This Row],[PID]],Batters[[#All],[PID]],0)),INDEX(Table3[[#All],[First]],MATCH(Table5[[#This Row],[PID]],Table3[[#All],[PID]],0)))</f>
        <v>Steve</v>
      </c>
      <c r="F174" s="50" t="str">
        <f>IF($C174="B",INDEX(Batters[[#All],[Last]],MATCH(A174,Batters[[#All],[PID]],0)),INDEX(Table3[[#All],[Last]],MATCH(A174,Table3[[#All],[PID]],0)))</f>
        <v>Carver</v>
      </c>
      <c r="G174" s="56">
        <f>IF($C174="B",INDEX(Batters[[#All],[Age]],MATCH(Table5[[#This Row],[PID]],Batters[[#All],[PID]],0)),INDEX(Table3[[#All],[Age]],MATCH(Table5[[#This Row],[PID]],Table3[[#All],[PID]],0)))</f>
        <v>17</v>
      </c>
      <c r="H174" s="52" t="str">
        <f>IF($C174="B",INDEX(Batters[[#All],[B]],MATCH(Table5[[#This Row],[PID]],Batters[[#All],[PID]],0)),INDEX(Table3[[#All],[B]],MATCH(Table5[[#This Row],[PID]],Table3[[#All],[PID]],0)))</f>
        <v>R</v>
      </c>
      <c r="I174" s="52" t="str">
        <f>IF($C174="B",INDEX(Batters[[#All],[T]],MATCH(Table5[[#This Row],[PID]],Batters[[#All],[PID]],0)),INDEX(Table3[[#All],[T]],MATCH(Table5[[#This Row],[PID]],Table3[[#All],[PID]],0)))</f>
        <v>R</v>
      </c>
      <c r="J174" s="52" t="str">
        <f>IF($C174="B",INDEX(Batters[[#All],[WE]],MATCH(Table5[[#This Row],[PID]],Batters[[#All],[PID]],0)),INDEX(Table3[[#All],[WE]],MATCH(Table5[[#This Row],[PID]],Table3[[#All],[PID]],0)))</f>
        <v>Normal</v>
      </c>
      <c r="K174" s="52" t="str">
        <f>IF($C174="B",INDEX(Batters[[#All],[INT]],MATCH(Table5[[#This Row],[PID]],Batters[[#All],[PID]],0)),INDEX(Table3[[#All],[INT]],MATCH(Table5[[#This Row],[PID]],Table3[[#All],[PID]],0)))</f>
        <v>Normal</v>
      </c>
      <c r="L174" s="60">
        <f>IF($C174="B",INDEX(Batters[[#All],[CON P]],MATCH(Table5[[#This Row],[PID]],Batters[[#All],[PID]],0)),INDEX(Table3[[#All],[STU P]],MATCH(Table5[[#This Row],[PID]],Table3[[#All],[PID]],0)))</f>
        <v>5</v>
      </c>
      <c r="M174" s="56">
        <f>IF($C174="B",INDEX(Batters[[#All],[GAP P]],MATCH(Table5[[#This Row],[PID]],Batters[[#All],[PID]],0)),INDEX(Table3[[#All],[MOV P]],MATCH(Table5[[#This Row],[PID]],Table3[[#All],[PID]],0)))</f>
        <v>2</v>
      </c>
      <c r="N174" s="56">
        <f>IF($C174="B",INDEX(Batters[[#All],[POW P]],MATCH(Table5[[#This Row],[PID]],Batters[[#All],[PID]],0)),INDEX(Table3[[#All],[CON P]],MATCH(Table5[[#This Row],[PID]],Table3[[#All],[PID]],0)))</f>
        <v>4</v>
      </c>
      <c r="O174" s="56" t="str">
        <f>IF($C174="B",INDEX(Batters[[#All],[EYE P]],MATCH(Table5[[#This Row],[PID]],Batters[[#All],[PID]],0)),INDEX(Table3[[#All],[VELO]],MATCH(Table5[[#This Row],[PID]],Table3[[#All],[PID]],0)))</f>
        <v>94-96 Mph</v>
      </c>
      <c r="P174" s="56">
        <f>IF($C174="B",INDEX(Batters[[#All],[K P]],MATCH(Table5[[#This Row],[PID]],Batters[[#All],[PID]],0)),INDEX(Table3[[#All],[STM]],MATCH(Table5[[#This Row],[PID]],Table3[[#All],[PID]],0)))</f>
        <v>6</v>
      </c>
      <c r="Q174" s="61">
        <f>IF($C174="B",INDEX(Batters[[#All],[Tot]],MATCH(Table5[[#This Row],[PID]],Batters[[#All],[PID]],0)),INDEX(Table3[[#All],[Tot]],MATCH(Table5[[#This Row],[PID]],Table3[[#All],[PID]],0)))</f>
        <v>46.282090575023894</v>
      </c>
      <c r="R174" s="52">
        <f>IF($C174="B",INDEX(Batters[[#All],[zScore]],MATCH(Table5[[#This Row],[PID]],Batters[[#All],[PID]],0)),INDEX(Table3[[#All],[zScore]],MATCH(Table5[[#This Row],[PID]],Table3[[#All],[PID]],0)))</f>
        <v>0.60949262925434766</v>
      </c>
      <c r="S174" s="58" t="str">
        <f>IF($C174="B",INDEX(Batters[[#All],[DEM]],MATCH(Table5[[#This Row],[PID]],Batters[[#All],[PID]],0)),INDEX(Table3[[#All],[DEM]],MATCH(Table5[[#This Row],[PID]],Table3[[#All],[PID]],0)))</f>
        <v>$65k</v>
      </c>
      <c r="T174" s="62">
        <f>IF($C174="B",INDEX(Batters[[#All],[Rnk]],MATCH(Table5[[#This Row],[PID]],Batters[[#All],[PID]],0)),INDEX(Table3[[#All],[Rnk]],MATCH(Table5[[#This Row],[PID]],Table3[[#All],[PID]],0)))</f>
        <v>900</v>
      </c>
      <c r="U174" s="67">
        <f>IF($C174="B",VLOOKUP($A174,Bat!$A$4:$BA$1314,47,FALSE),VLOOKUP($A174,Pit!$A$4:$BF$1214,56,FALSE))</f>
        <v>73</v>
      </c>
      <c r="V174" s="50">
        <f>IF($C174="B",VLOOKUP($A174,Bat!$A$4:$BA$1314,48,FALSE),VLOOKUP($A174,Pit!$A$4:$BF$1214,57,FALSE))</f>
        <v>0</v>
      </c>
      <c r="W174" s="68">
        <v>170</v>
      </c>
      <c r="X174" s="51">
        <f>RANK(Table5[[#This Row],[zScore]],Table5[[#All],[zScore]])</f>
        <v>203</v>
      </c>
      <c r="Y174" s="50">
        <f>IFERROR(INDEX(DraftResults[[#All],[OVR]],MATCH(Table5[[#This Row],[PID]],DraftResults[[#All],[Player ID]],0)),"")</f>
        <v>335</v>
      </c>
      <c r="Z174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11</v>
      </c>
      <c r="AA174" s="50">
        <f>IFERROR(INDEX(DraftResults[[#All],[Pick in Round]],MATCH(Table5[[#This Row],[PID]],DraftResults[[#All],[Player ID]],0)),"")</f>
        <v>4</v>
      </c>
      <c r="AB174" s="50" t="str">
        <f>IFERROR(INDEX(DraftResults[[#All],[Team Name]],MATCH(Table5[[#This Row],[PID]],DraftResults[[#All],[Player ID]],0)),"")</f>
        <v>Palm Springs Codgers</v>
      </c>
      <c r="AC174" s="50">
        <f>IF(Table5[[#This Row],[Ovr]]="","",IF(Table5[[#This Row],[cmbList]]="","",Table5[[#This Row],[cmbList]]-Table5[[#This Row],[Ovr]]))</f>
        <v>-165</v>
      </c>
      <c r="AD174" s="54" t="str">
        <f>IF(ISERROR(VLOOKUP($AB174&amp;"-"&amp;$E174&amp;" "&amp;F174,Bonuses!$B$1:$G$1006,4,FALSE)),"",INT(VLOOKUP($AB174&amp;"-"&amp;$E174&amp;" "&amp;$F174,Bonuses!$B$1:$G$1006,4,FALSE)))</f>
        <v/>
      </c>
      <c r="AE174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11.4 (335) - SP Steve Carver</v>
      </c>
    </row>
    <row r="175" spans="1:31" s="50" customFormat="1" x14ac:dyDescent="0.3">
      <c r="A175" s="50">
        <v>9087</v>
      </c>
      <c r="B175" s="50">
        <f>COUNTIF(Table5[PID],A175)</f>
        <v>1</v>
      </c>
      <c r="C175" s="50" t="str">
        <f>IF(COUNTIF(Table3[[#All],[PID]],A175)&gt;0,"P","B")</f>
        <v>P</v>
      </c>
      <c r="D175" s="59" t="str">
        <f>IF($C175="B",INDEX(Batters[[#All],[POS]],MATCH(Table5[[#This Row],[PID]],Batters[[#All],[PID]],0)),INDEX(Table3[[#All],[POS]],MATCH(Table5[[#This Row],[PID]],Table3[[#All],[PID]],0)))</f>
        <v>SP</v>
      </c>
      <c r="E175" s="52" t="str">
        <f>IF($C175="B",INDEX(Batters[[#All],[First]],MATCH(Table5[[#This Row],[PID]],Batters[[#All],[PID]],0)),INDEX(Table3[[#All],[First]],MATCH(Table5[[#This Row],[PID]],Table3[[#All],[PID]],0)))</f>
        <v>Bob</v>
      </c>
      <c r="F175" s="50" t="str">
        <f>IF($C175="B",INDEX(Batters[[#All],[Last]],MATCH(A175,Batters[[#All],[PID]],0)),INDEX(Table3[[#All],[Last]],MATCH(A175,Table3[[#All],[PID]],0)))</f>
        <v>Flannery</v>
      </c>
      <c r="G175" s="56">
        <f>IF($C175="B",INDEX(Batters[[#All],[Age]],MATCH(Table5[[#This Row],[PID]],Batters[[#All],[PID]],0)),INDEX(Table3[[#All],[Age]],MATCH(Table5[[#This Row],[PID]],Table3[[#All],[PID]],0)))</f>
        <v>17</v>
      </c>
      <c r="H175" s="52" t="str">
        <f>IF($C175="B",INDEX(Batters[[#All],[B]],MATCH(Table5[[#This Row],[PID]],Batters[[#All],[PID]],0)),INDEX(Table3[[#All],[B]],MATCH(Table5[[#This Row],[PID]],Table3[[#All],[PID]],0)))</f>
        <v>L</v>
      </c>
      <c r="I175" s="52" t="str">
        <f>IF($C175="B",INDEX(Batters[[#All],[T]],MATCH(Table5[[#This Row],[PID]],Batters[[#All],[PID]],0)),INDEX(Table3[[#All],[T]],MATCH(Table5[[#This Row],[PID]],Table3[[#All],[PID]],0)))</f>
        <v>L</v>
      </c>
      <c r="J175" s="52" t="str">
        <f>IF($C175="B",INDEX(Batters[[#All],[WE]],MATCH(Table5[[#This Row],[PID]],Batters[[#All],[PID]],0)),INDEX(Table3[[#All],[WE]],MATCH(Table5[[#This Row],[PID]],Table3[[#All],[PID]],0)))</f>
        <v>Normal</v>
      </c>
      <c r="K175" s="52" t="str">
        <f>IF($C175="B",INDEX(Batters[[#All],[INT]],MATCH(Table5[[#This Row],[PID]],Batters[[#All],[PID]],0)),INDEX(Table3[[#All],[INT]],MATCH(Table5[[#This Row],[PID]],Table3[[#All],[PID]],0)))</f>
        <v>Normal</v>
      </c>
      <c r="L175" s="60">
        <f>IF($C175="B",INDEX(Batters[[#All],[CON P]],MATCH(Table5[[#This Row],[PID]],Batters[[#All],[PID]],0)),INDEX(Table3[[#All],[STU P]],MATCH(Table5[[#This Row],[PID]],Table3[[#All],[PID]],0)))</f>
        <v>4</v>
      </c>
      <c r="M175" s="56">
        <f>IF($C175="B",INDEX(Batters[[#All],[GAP P]],MATCH(Table5[[#This Row],[PID]],Batters[[#All],[PID]],0)),INDEX(Table3[[#All],[MOV P]],MATCH(Table5[[#This Row],[PID]],Table3[[#All],[PID]],0)))</f>
        <v>4</v>
      </c>
      <c r="N175" s="56">
        <f>IF($C175="B",INDEX(Batters[[#All],[POW P]],MATCH(Table5[[#This Row],[PID]],Batters[[#All],[PID]],0)),INDEX(Table3[[#All],[CON P]],MATCH(Table5[[#This Row],[PID]],Table3[[#All],[PID]],0)))</f>
        <v>4</v>
      </c>
      <c r="O175" s="56" t="str">
        <f>IF($C175="B",INDEX(Batters[[#All],[EYE P]],MATCH(Table5[[#This Row],[PID]],Batters[[#All],[PID]],0)),INDEX(Table3[[#All],[VELO]],MATCH(Table5[[#This Row],[PID]],Table3[[#All],[PID]],0)))</f>
        <v>87-89 Mph</v>
      </c>
      <c r="P175" s="56">
        <f>IF($C175="B",INDEX(Batters[[#All],[K P]],MATCH(Table5[[#This Row],[PID]],Batters[[#All],[PID]],0)),INDEX(Table3[[#All],[STM]],MATCH(Table5[[#This Row],[PID]],Table3[[#All],[PID]],0)))</f>
        <v>3</v>
      </c>
      <c r="Q175" s="61">
        <f>IF($C175="B",INDEX(Batters[[#All],[Tot]],MATCH(Table5[[#This Row],[PID]],Batters[[#All],[PID]],0)),INDEX(Table3[[#All],[Tot]],MATCH(Table5[[#This Row],[PID]],Table3[[#All],[PID]],0)))</f>
        <v>46.021835362148202</v>
      </c>
      <c r="R175" s="52">
        <f>IF($C175="B",INDEX(Batters[[#All],[zScore]],MATCH(Table5[[#This Row],[PID]],Batters[[#All],[PID]],0)),INDEX(Table3[[#All],[zScore]],MATCH(Table5[[#This Row],[PID]],Table3[[#All],[PID]],0)))</f>
        <v>0.58526860231748634</v>
      </c>
      <c r="S175" s="58" t="str">
        <f>IF($C175="B",INDEX(Batters[[#All],[DEM]],MATCH(Table5[[#This Row],[PID]],Batters[[#All],[PID]],0)),INDEX(Table3[[#All],[DEM]],MATCH(Table5[[#This Row],[PID]],Table3[[#All],[PID]],0)))</f>
        <v>$65k</v>
      </c>
      <c r="T175" s="62">
        <f>IF($C175="B",INDEX(Batters[[#All],[Rnk]],MATCH(Table5[[#This Row],[PID]],Batters[[#All],[PID]],0)),INDEX(Table3[[#All],[Rnk]],MATCH(Table5[[#This Row],[PID]],Table3[[#All],[PID]],0)))</f>
        <v>900</v>
      </c>
      <c r="U175" s="67">
        <f>IF($C175="B",VLOOKUP($A175,Bat!$A$4:$BA$1314,47,FALSE),VLOOKUP($A175,Pit!$A$4:$BF$1214,56,FALSE))</f>
        <v>74</v>
      </c>
      <c r="V175" s="50">
        <f>IF($C175="B",VLOOKUP($A175,Bat!$A$4:$BA$1314,48,FALSE),VLOOKUP($A175,Pit!$A$4:$BF$1214,57,FALSE))</f>
        <v>0</v>
      </c>
      <c r="W175" s="50">
        <v>171</v>
      </c>
      <c r="X175" s="51">
        <f>RANK(Table5[[#This Row],[zScore]],Table5[[#All],[zScore]])</f>
        <v>208</v>
      </c>
      <c r="Y175" s="50">
        <f>IFERROR(INDEX(DraftResults[[#All],[OVR]],MATCH(Table5[[#This Row],[PID]],DraftResults[[#All],[Player ID]],0)),"")</f>
        <v>305</v>
      </c>
      <c r="Z175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10</v>
      </c>
      <c r="AA175" s="50">
        <f>IFERROR(INDEX(DraftResults[[#All],[Pick in Round]],MATCH(Table5[[#This Row],[PID]],DraftResults[[#All],[Player ID]],0)),"")</f>
        <v>8</v>
      </c>
      <c r="AB175" s="50" t="str">
        <f>IFERROR(INDEX(DraftResults[[#All],[Team Name]],MATCH(Table5[[#This Row],[PID]],DraftResults[[#All],[Player ID]],0)),"")</f>
        <v>New Jersey Hitmen</v>
      </c>
      <c r="AC175" s="50">
        <f>IF(Table5[[#This Row],[Ovr]]="","",IF(Table5[[#This Row],[cmbList]]="","",Table5[[#This Row],[cmbList]]-Table5[[#This Row],[Ovr]]))</f>
        <v>-134</v>
      </c>
      <c r="AD175" s="54" t="str">
        <f>IF(ISERROR(VLOOKUP($AB175&amp;"-"&amp;$E175&amp;" "&amp;F175,Bonuses!$B$1:$G$1006,4,FALSE)),"",INT(VLOOKUP($AB175&amp;"-"&amp;$E175&amp;" "&amp;$F175,Bonuses!$B$1:$G$1006,4,FALSE)))</f>
        <v/>
      </c>
      <c r="AE175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10.8 (305) - SP Bob Flannery</v>
      </c>
    </row>
    <row r="176" spans="1:31" s="50" customFormat="1" x14ac:dyDescent="0.3">
      <c r="A176" s="67">
        <v>20975</v>
      </c>
      <c r="B176" s="68">
        <f>COUNTIF(Table5[PID],A176)</f>
        <v>1</v>
      </c>
      <c r="C176" s="68" t="str">
        <f>IF(COUNTIF(Table3[[#All],[PID]],A176)&gt;0,"P","B")</f>
        <v>P</v>
      </c>
      <c r="D176" s="59" t="str">
        <f>IF($C176="B",INDEX(Batters[[#All],[POS]],MATCH(Table5[[#This Row],[PID]],Batters[[#All],[PID]],0)),INDEX(Table3[[#All],[POS]],MATCH(Table5[[#This Row],[PID]],Table3[[#All],[PID]],0)))</f>
        <v>RP</v>
      </c>
      <c r="E176" s="52" t="str">
        <f>IF($C176="B",INDEX(Batters[[#All],[First]],MATCH(Table5[[#This Row],[PID]],Batters[[#All],[PID]],0)),INDEX(Table3[[#All],[First]],MATCH(Table5[[#This Row],[PID]],Table3[[#All],[PID]],0)))</f>
        <v>Dennis</v>
      </c>
      <c r="F176" s="55" t="str">
        <f>IF($C176="B",INDEX(Batters[[#All],[Last]],MATCH(A176,Batters[[#All],[PID]],0)),INDEX(Table3[[#All],[Last]],MATCH(A176,Table3[[#All],[PID]],0)))</f>
        <v>Morgan</v>
      </c>
      <c r="G176" s="56">
        <f>IF($C176="B",INDEX(Batters[[#All],[Age]],MATCH(Table5[[#This Row],[PID]],Batters[[#All],[PID]],0)),INDEX(Table3[[#All],[Age]],MATCH(Table5[[#This Row],[PID]],Table3[[#All],[PID]],0)))</f>
        <v>16</v>
      </c>
      <c r="H176" s="52" t="str">
        <f>IF($C176="B",INDEX(Batters[[#All],[B]],MATCH(Table5[[#This Row],[PID]],Batters[[#All],[PID]],0)),INDEX(Table3[[#All],[B]],MATCH(Table5[[#This Row],[PID]],Table3[[#All],[PID]],0)))</f>
        <v>R</v>
      </c>
      <c r="I176" s="52" t="str">
        <f>IF($C176="B",INDEX(Batters[[#All],[T]],MATCH(Table5[[#This Row],[PID]],Batters[[#All],[PID]],0)),INDEX(Table3[[#All],[T]],MATCH(Table5[[#This Row],[PID]],Table3[[#All],[PID]],0)))</f>
        <v>R</v>
      </c>
      <c r="J176" s="69" t="str">
        <f>IF($C176="B",INDEX(Batters[[#All],[WE]],MATCH(Table5[[#This Row],[PID]],Batters[[#All],[PID]],0)),INDEX(Table3[[#All],[WE]],MATCH(Table5[[#This Row],[PID]],Table3[[#All],[PID]],0)))</f>
        <v>Normal</v>
      </c>
      <c r="K176" s="52" t="str">
        <f>IF($C176="B",INDEX(Batters[[#All],[INT]],MATCH(Table5[[#This Row],[PID]],Batters[[#All],[PID]],0)),INDEX(Table3[[#All],[INT]],MATCH(Table5[[#This Row],[PID]],Table3[[#All],[PID]],0)))</f>
        <v>High</v>
      </c>
      <c r="L176" s="60">
        <f>IF($C176="B",INDEX(Batters[[#All],[CON P]],MATCH(Table5[[#This Row],[PID]],Batters[[#All],[PID]],0)),INDEX(Table3[[#All],[STU P]],MATCH(Table5[[#This Row],[PID]],Table3[[#All],[PID]],0)))</f>
        <v>5</v>
      </c>
      <c r="M176" s="70">
        <f>IF($C176="B",INDEX(Batters[[#All],[GAP P]],MATCH(Table5[[#This Row],[PID]],Batters[[#All],[PID]],0)),INDEX(Table3[[#All],[MOV P]],MATCH(Table5[[#This Row],[PID]],Table3[[#All],[PID]],0)))</f>
        <v>2</v>
      </c>
      <c r="N176" s="70">
        <f>IF($C176="B",INDEX(Batters[[#All],[POW P]],MATCH(Table5[[#This Row],[PID]],Batters[[#All],[PID]],0)),INDEX(Table3[[#All],[CON P]],MATCH(Table5[[#This Row],[PID]],Table3[[#All],[PID]],0)))</f>
        <v>4</v>
      </c>
      <c r="O176" s="70" t="str">
        <f>IF($C176="B",INDEX(Batters[[#All],[EYE P]],MATCH(Table5[[#This Row],[PID]],Batters[[#All],[PID]],0)),INDEX(Table3[[#All],[VELO]],MATCH(Table5[[#This Row],[PID]],Table3[[#All],[PID]],0)))</f>
        <v>90-92 Mph</v>
      </c>
      <c r="P176" s="56">
        <f>IF($C176="B",INDEX(Batters[[#All],[K P]],MATCH(Table5[[#This Row],[PID]],Batters[[#All],[PID]],0)),INDEX(Table3[[#All],[STM]],MATCH(Table5[[#This Row],[PID]],Table3[[#All],[PID]],0)))</f>
        <v>8</v>
      </c>
      <c r="Q176" s="61">
        <f>IF($C176="B",INDEX(Batters[[#All],[Tot]],MATCH(Table5[[#This Row],[PID]],Batters[[#All],[PID]],0)),INDEX(Table3[[#All],[Tot]],MATCH(Table5[[#This Row],[PID]],Table3[[#All],[PID]],0)))</f>
        <v>45.241112268565409</v>
      </c>
      <c r="R176" s="52">
        <f>IF($C176="B",INDEX(Batters[[#All],[zScore]],MATCH(Table5[[#This Row],[PID]],Batters[[#All],[PID]],0)),INDEX(Table3[[#All],[zScore]],MATCH(Table5[[#This Row],[PID]],Table3[[#All],[PID]],0)))</f>
        <v>0.52967562732804518</v>
      </c>
      <c r="S176" s="75" t="str">
        <f>IF($C176="B",INDEX(Batters[[#All],[DEM]],MATCH(Table5[[#This Row],[PID]],Batters[[#All],[PID]],0)),INDEX(Table3[[#All],[DEM]],MATCH(Table5[[#This Row],[PID]],Table3[[#All],[PID]],0)))</f>
        <v>$65k</v>
      </c>
      <c r="T176" s="72">
        <f>IF($C176="B",INDEX(Batters[[#All],[Rnk]],MATCH(Table5[[#This Row],[PID]],Batters[[#All],[PID]],0)),INDEX(Table3[[#All],[Rnk]],MATCH(Table5[[#This Row],[PID]],Table3[[#All],[PID]],0)))</f>
        <v>900</v>
      </c>
      <c r="U176" s="67">
        <f>IF($C176="B",VLOOKUP($A176,Bat!$A$4:$BA$1314,47,FALSE),VLOOKUP($A176,Pit!$A$4:$BF$1214,56,FALSE))</f>
        <v>75</v>
      </c>
      <c r="V176" s="50">
        <f>IF($C176="B",VLOOKUP($A176,Bat!$A$4:$BA$1314,48,FALSE),VLOOKUP($A176,Pit!$A$4:$BF$1214,57,FALSE))</f>
        <v>0</v>
      </c>
      <c r="W176" s="68">
        <v>172</v>
      </c>
      <c r="X176" s="71">
        <f>RANK(Table5[[#This Row],[zScore]],Table5[[#All],[zScore]])</f>
        <v>217</v>
      </c>
      <c r="Y176" s="68">
        <f>IFERROR(INDEX(DraftResults[[#All],[OVR]],MATCH(Table5[[#This Row],[PID]],DraftResults[[#All],[Player ID]],0)),"")</f>
        <v>348</v>
      </c>
      <c r="Z176" s="7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11</v>
      </c>
      <c r="AA176" s="68">
        <f>IFERROR(INDEX(DraftResults[[#All],[Pick in Round]],MATCH(Table5[[#This Row],[PID]],DraftResults[[#All],[Player ID]],0)),"")</f>
        <v>17</v>
      </c>
      <c r="AB176" s="68" t="str">
        <f>IFERROR(INDEX(DraftResults[[#All],[Team Name]],MATCH(Table5[[#This Row],[PID]],DraftResults[[#All],[Player ID]],0)),"")</f>
        <v>Duluth Warriors</v>
      </c>
      <c r="AC176" s="68">
        <f>IF(Table5[[#This Row],[Ovr]]="","",IF(Table5[[#This Row],[cmbList]]="","",Table5[[#This Row],[cmbList]]-Table5[[#This Row],[Ovr]]))</f>
        <v>-176</v>
      </c>
      <c r="AD176" s="74" t="str">
        <f>IF(ISERROR(VLOOKUP($AB176&amp;"-"&amp;$E176&amp;" "&amp;F176,Bonuses!$B$1:$G$1006,4,FALSE)),"",INT(VLOOKUP($AB176&amp;"-"&amp;$E176&amp;" "&amp;$F176,Bonuses!$B$1:$G$1006,4,FALSE)))</f>
        <v/>
      </c>
      <c r="AE176" s="68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11.17 (348) - RP Dennis Morgan</v>
      </c>
    </row>
    <row r="177" spans="1:31" s="50" customFormat="1" x14ac:dyDescent="0.3">
      <c r="A177" s="50">
        <v>14899</v>
      </c>
      <c r="B177" s="50">
        <f>COUNTIF(Table5[PID],A177)</f>
        <v>1</v>
      </c>
      <c r="C177" s="50" t="str">
        <f>IF(COUNTIF(Table3[[#All],[PID]],A177)&gt;0,"P","B")</f>
        <v>P</v>
      </c>
      <c r="D177" s="59" t="str">
        <f>IF($C177="B",INDEX(Batters[[#All],[POS]],MATCH(Table5[[#This Row],[PID]],Batters[[#All],[PID]],0)),INDEX(Table3[[#All],[POS]],MATCH(Table5[[#This Row],[PID]],Table3[[#All],[PID]],0)))</f>
        <v>CL</v>
      </c>
      <c r="E177" s="52" t="str">
        <f>IF($C177="B",INDEX(Batters[[#All],[First]],MATCH(Table5[[#This Row],[PID]],Batters[[#All],[PID]],0)),INDEX(Table3[[#All],[First]],MATCH(Table5[[#This Row],[PID]],Table3[[#All],[PID]],0)))</f>
        <v>Cordell</v>
      </c>
      <c r="F177" s="50" t="str">
        <f>IF($C177="B",INDEX(Batters[[#All],[Last]],MATCH(A177,Batters[[#All],[PID]],0)),INDEX(Table3[[#All],[Last]],MATCH(A177,Table3[[#All],[PID]],0)))</f>
        <v>Wallace</v>
      </c>
      <c r="G177" s="56">
        <f>IF($C177="B",INDEX(Batters[[#All],[Age]],MATCH(Table5[[#This Row],[PID]],Batters[[#All],[PID]],0)),INDEX(Table3[[#All],[Age]],MATCH(Table5[[#This Row],[PID]],Table3[[#All],[PID]],0)))</f>
        <v>21</v>
      </c>
      <c r="H177" s="52" t="str">
        <f>IF($C177="B",INDEX(Batters[[#All],[B]],MATCH(Table5[[#This Row],[PID]],Batters[[#All],[PID]],0)),INDEX(Table3[[#All],[B]],MATCH(Table5[[#This Row],[PID]],Table3[[#All],[PID]],0)))</f>
        <v>R</v>
      </c>
      <c r="I177" s="52" t="str">
        <f>IF($C177="B",INDEX(Batters[[#All],[T]],MATCH(Table5[[#This Row],[PID]],Batters[[#All],[PID]],0)),INDEX(Table3[[#All],[T]],MATCH(Table5[[#This Row],[PID]],Table3[[#All],[PID]],0)))</f>
        <v>R</v>
      </c>
      <c r="J177" s="52" t="str">
        <f>IF($C177="B",INDEX(Batters[[#All],[WE]],MATCH(Table5[[#This Row],[PID]],Batters[[#All],[PID]],0)),INDEX(Table3[[#All],[WE]],MATCH(Table5[[#This Row],[PID]],Table3[[#All],[PID]],0)))</f>
        <v>Normal</v>
      </c>
      <c r="K177" s="52" t="str">
        <f>IF($C177="B",INDEX(Batters[[#All],[INT]],MATCH(Table5[[#This Row],[PID]],Batters[[#All],[PID]],0)),INDEX(Table3[[#All],[INT]],MATCH(Table5[[#This Row],[PID]],Table3[[#All],[PID]],0)))</f>
        <v>Normal</v>
      </c>
      <c r="L177" s="60">
        <f>IF($C177="B",INDEX(Batters[[#All],[CON P]],MATCH(Table5[[#This Row],[PID]],Batters[[#All],[PID]],0)),INDEX(Table3[[#All],[STU P]],MATCH(Table5[[#This Row],[PID]],Table3[[#All],[PID]],0)))</f>
        <v>5</v>
      </c>
      <c r="M177" s="56">
        <f>IF($C177="B",INDEX(Batters[[#All],[GAP P]],MATCH(Table5[[#This Row],[PID]],Batters[[#All],[PID]],0)),INDEX(Table3[[#All],[MOV P]],MATCH(Table5[[#This Row],[PID]],Table3[[#All],[PID]],0)))</f>
        <v>4</v>
      </c>
      <c r="N177" s="56">
        <f>IF($C177="B",INDEX(Batters[[#All],[POW P]],MATCH(Table5[[#This Row],[PID]],Batters[[#All],[PID]],0)),INDEX(Table3[[#All],[CON P]],MATCH(Table5[[#This Row],[PID]],Table3[[#All],[PID]],0)))</f>
        <v>4</v>
      </c>
      <c r="O177" s="56" t="str">
        <f>IF($C177="B",INDEX(Batters[[#All],[EYE P]],MATCH(Table5[[#This Row],[PID]],Batters[[#All],[PID]],0)),INDEX(Table3[[#All],[VELO]],MATCH(Table5[[#This Row],[PID]],Table3[[#All],[PID]],0)))</f>
        <v>94-96 Mph</v>
      </c>
      <c r="P177" s="56">
        <f>IF($C177="B",INDEX(Batters[[#All],[K P]],MATCH(Table5[[#This Row],[PID]],Batters[[#All],[PID]],0)),INDEX(Table3[[#All],[STM]],MATCH(Table5[[#This Row],[PID]],Table3[[#All],[PID]],0)))</f>
        <v>1</v>
      </c>
      <c r="Q177" s="61">
        <f>IF($C177="B",INDEX(Batters[[#All],[Tot]],MATCH(Table5[[#This Row],[PID]],Batters[[#All],[PID]],0)),INDEX(Table3[[#All],[Tot]],MATCH(Table5[[#This Row],[PID]],Table3[[#All],[PID]],0)))</f>
        <v>45.861497627601587</v>
      </c>
      <c r="R177" s="52">
        <f>IF($C177="B",INDEX(Batters[[#All],[zScore]],MATCH(Table5[[#This Row],[PID]],Batters[[#All],[PID]],0)),INDEX(Table3[[#All],[zScore]],MATCH(Table5[[#This Row],[PID]],Table3[[#All],[PID]],0)))</f>
        <v>0.57385142798284705</v>
      </c>
      <c r="S177" s="58" t="str">
        <f>IF($C177="B",INDEX(Batters[[#All],[DEM]],MATCH(Table5[[#This Row],[PID]],Batters[[#All],[PID]],0)),INDEX(Table3[[#All],[DEM]],MATCH(Table5[[#This Row],[PID]],Table3[[#All],[PID]],0)))</f>
        <v>-</v>
      </c>
      <c r="T177" s="62">
        <f>IF($C177="B",INDEX(Batters[[#All],[Rnk]],MATCH(Table5[[#This Row],[PID]],Batters[[#All],[PID]],0)),INDEX(Table3[[#All],[Rnk]],MATCH(Table5[[#This Row],[PID]],Table3[[#All],[PID]],0)))</f>
        <v>900</v>
      </c>
      <c r="U177" s="67">
        <f>IF($C177="B",VLOOKUP($A177,Bat!$A$4:$BA$1314,47,FALSE),VLOOKUP($A177,Pit!$A$4:$BF$1214,56,FALSE))</f>
        <v>76</v>
      </c>
      <c r="V177" s="50">
        <f>IF($C177="B",VLOOKUP($A177,Bat!$A$4:$BA$1314,48,FALSE),VLOOKUP($A177,Pit!$A$4:$BF$1214,57,FALSE))</f>
        <v>0</v>
      </c>
      <c r="W177" s="50">
        <v>173</v>
      </c>
      <c r="X177" s="51">
        <f>RANK(Table5[[#This Row],[zScore]],Table5[[#All],[zScore]])</f>
        <v>211</v>
      </c>
      <c r="Y177" s="50">
        <f>IFERROR(INDEX(DraftResults[[#All],[OVR]],MATCH(Table5[[#This Row],[PID]],DraftResults[[#All],[Player ID]],0)),"")</f>
        <v>222</v>
      </c>
      <c r="Z177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7</v>
      </c>
      <c r="AA177" s="50">
        <f>IFERROR(INDEX(DraftResults[[#All],[Pick in Round]],MATCH(Table5[[#This Row],[PID]],DraftResults[[#All],[Player ID]],0)),"")</f>
        <v>21</v>
      </c>
      <c r="AB177" s="50" t="str">
        <f>IFERROR(INDEX(DraftResults[[#All],[Team Name]],MATCH(Table5[[#This Row],[PID]],DraftResults[[#All],[Player ID]],0)),"")</f>
        <v>Neo-Tokyo Akira</v>
      </c>
      <c r="AC177" s="50">
        <f>IF(Table5[[#This Row],[Ovr]]="","",IF(Table5[[#This Row],[cmbList]]="","",Table5[[#This Row],[cmbList]]-Table5[[#This Row],[Ovr]]))</f>
        <v>-49</v>
      </c>
      <c r="AD177" s="54" t="str">
        <f>IF(ISERROR(VLOOKUP($AB177&amp;"-"&amp;$E177&amp;" "&amp;F177,Bonuses!$B$1:$G$1006,4,FALSE)),"",INT(VLOOKUP($AB177&amp;"-"&amp;$E177&amp;" "&amp;$F177,Bonuses!$B$1:$G$1006,4,FALSE)))</f>
        <v/>
      </c>
      <c r="AE177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7.21 (222) - CL Cordell Wallace</v>
      </c>
    </row>
    <row r="178" spans="1:31" s="50" customFormat="1" x14ac:dyDescent="0.3">
      <c r="A178" s="50">
        <v>13618</v>
      </c>
      <c r="B178" s="50">
        <f>COUNTIF(Table5[PID],A178)</f>
        <v>1</v>
      </c>
      <c r="C178" s="50" t="str">
        <f>IF(COUNTIF(Table3[[#All],[PID]],A178)&gt;0,"P","B")</f>
        <v>P</v>
      </c>
      <c r="D178" s="59" t="str">
        <f>IF($C178="B",INDEX(Batters[[#All],[POS]],MATCH(Table5[[#This Row],[PID]],Batters[[#All],[PID]],0)),INDEX(Table3[[#All],[POS]],MATCH(Table5[[#This Row],[PID]],Table3[[#All],[PID]],0)))</f>
        <v>SP</v>
      </c>
      <c r="E178" s="52" t="str">
        <f>IF($C178="B",INDEX(Batters[[#All],[First]],MATCH(Table5[[#This Row],[PID]],Batters[[#All],[PID]],0)),INDEX(Table3[[#All],[First]],MATCH(Table5[[#This Row],[PID]],Table3[[#All],[PID]],0)))</f>
        <v>Ernest</v>
      </c>
      <c r="F178" s="50" t="str">
        <f>IF($C178="B",INDEX(Batters[[#All],[Last]],MATCH(A178,Batters[[#All],[PID]],0)),INDEX(Table3[[#All],[Last]],MATCH(A178,Table3[[#All],[PID]],0)))</f>
        <v>Foster</v>
      </c>
      <c r="G178" s="56">
        <f>IF($C178="B",INDEX(Batters[[#All],[Age]],MATCH(Table5[[#This Row],[PID]],Batters[[#All],[PID]],0)),INDEX(Table3[[#All],[Age]],MATCH(Table5[[#This Row],[PID]],Table3[[#All],[PID]],0)))</f>
        <v>21</v>
      </c>
      <c r="H178" s="52" t="str">
        <f>IF($C178="B",INDEX(Batters[[#All],[B]],MATCH(Table5[[#This Row],[PID]],Batters[[#All],[PID]],0)),INDEX(Table3[[#All],[B]],MATCH(Table5[[#This Row],[PID]],Table3[[#All],[PID]],0)))</f>
        <v>L</v>
      </c>
      <c r="I178" s="52" t="str">
        <f>IF($C178="B",INDEX(Batters[[#All],[T]],MATCH(Table5[[#This Row],[PID]],Batters[[#All],[PID]],0)),INDEX(Table3[[#All],[T]],MATCH(Table5[[#This Row],[PID]],Table3[[#All],[PID]],0)))</f>
        <v>R</v>
      </c>
      <c r="J178" s="52" t="str">
        <f>IF($C178="B",INDEX(Batters[[#All],[WE]],MATCH(Table5[[#This Row],[PID]],Batters[[#All],[PID]],0)),INDEX(Table3[[#All],[WE]],MATCH(Table5[[#This Row],[PID]],Table3[[#All],[PID]],0)))</f>
        <v>High</v>
      </c>
      <c r="K178" s="52" t="str">
        <f>IF($C178="B",INDEX(Batters[[#All],[INT]],MATCH(Table5[[#This Row],[PID]],Batters[[#All],[PID]],0)),INDEX(Table3[[#All],[INT]],MATCH(Table5[[#This Row],[PID]],Table3[[#All],[PID]],0)))</f>
        <v>Normal</v>
      </c>
      <c r="L178" s="60">
        <f>IF($C178="B",INDEX(Batters[[#All],[CON P]],MATCH(Table5[[#This Row],[PID]],Batters[[#All],[PID]],0)),INDEX(Table3[[#All],[STU P]],MATCH(Table5[[#This Row],[PID]],Table3[[#All],[PID]],0)))</f>
        <v>4</v>
      </c>
      <c r="M178" s="56">
        <f>IF($C178="B",INDEX(Batters[[#All],[GAP P]],MATCH(Table5[[#This Row],[PID]],Batters[[#All],[PID]],0)),INDEX(Table3[[#All],[MOV P]],MATCH(Table5[[#This Row],[PID]],Table3[[#All],[PID]],0)))</f>
        <v>3</v>
      </c>
      <c r="N178" s="56">
        <f>IF($C178="B",INDEX(Batters[[#All],[POW P]],MATCH(Table5[[#This Row],[PID]],Batters[[#All],[PID]],0)),INDEX(Table3[[#All],[CON P]],MATCH(Table5[[#This Row],[PID]],Table3[[#All],[PID]],0)))</f>
        <v>5</v>
      </c>
      <c r="O178" s="56" t="str">
        <f>IF($C178="B",INDEX(Batters[[#All],[EYE P]],MATCH(Table5[[#This Row],[PID]],Batters[[#All],[PID]],0)),INDEX(Table3[[#All],[VELO]],MATCH(Table5[[#This Row],[PID]],Table3[[#All],[PID]],0)))</f>
        <v>92-94 Mph</v>
      </c>
      <c r="P178" s="56">
        <f>IF($C178="B",INDEX(Batters[[#All],[K P]],MATCH(Table5[[#This Row],[PID]],Batters[[#All],[PID]],0)),INDEX(Table3[[#All],[STM]],MATCH(Table5[[#This Row],[PID]],Table3[[#All],[PID]],0)))</f>
        <v>5</v>
      </c>
      <c r="Q178" s="61">
        <f>IF($C178="B",INDEX(Batters[[#All],[Tot]],MATCH(Table5[[#This Row],[PID]],Batters[[#All],[PID]],0)),INDEX(Table3[[#All],[Tot]],MATCH(Table5[[#This Row],[PID]],Table3[[#All],[PID]],0)))</f>
        <v>45.054525652744175</v>
      </c>
      <c r="R178" s="52">
        <f>IF($C178="B",INDEX(Batters[[#All],[zScore]],MATCH(Table5[[#This Row],[PID]],Batters[[#All],[PID]],0)),INDEX(Table3[[#All],[zScore]],MATCH(Table5[[#This Row],[PID]],Table3[[#All],[PID]],0)))</f>
        <v>0.52215919938848709</v>
      </c>
      <c r="S178" s="58" t="str">
        <f>IF($C178="B",INDEX(Batters[[#All],[DEM]],MATCH(Table5[[#This Row],[PID]],Batters[[#All],[PID]],0)),INDEX(Table3[[#All],[DEM]],MATCH(Table5[[#This Row],[PID]],Table3[[#All],[PID]],0)))</f>
        <v>$60k</v>
      </c>
      <c r="T178" s="62">
        <f>IF($C178="B",INDEX(Batters[[#All],[Rnk]],MATCH(Table5[[#This Row],[PID]],Batters[[#All],[PID]],0)),INDEX(Table3[[#All],[Rnk]],MATCH(Table5[[#This Row],[PID]],Table3[[#All],[PID]],0)))</f>
        <v>900</v>
      </c>
      <c r="U178" s="67">
        <f>IF($C178="B",VLOOKUP($A178,Bat!$A$4:$BA$1314,47,FALSE),VLOOKUP($A178,Pit!$A$4:$BF$1214,56,FALSE))</f>
        <v>77</v>
      </c>
      <c r="V178" s="50">
        <f>IF($C178="B",VLOOKUP($A178,Bat!$A$4:$BA$1314,48,FALSE),VLOOKUP($A178,Pit!$A$4:$BF$1214,57,FALSE))</f>
        <v>0</v>
      </c>
      <c r="W178" s="68">
        <v>174</v>
      </c>
      <c r="X178" s="51">
        <f>RANK(Table5[[#This Row],[zScore]],Table5[[#All],[zScore]])</f>
        <v>220</v>
      </c>
      <c r="Y178" s="50">
        <f>IFERROR(INDEX(DraftResults[[#All],[OVR]],MATCH(Table5[[#This Row],[PID]],DraftResults[[#All],[Player ID]],0)),"")</f>
        <v>280</v>
      </c>
      <c r="Z178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9</v>
      </c>
      <c r="AA178" s="50">
        <f>IFERROR(INDEX(DraftResults[[#All],[Pick in Round]],MATCH(Table5[[#This Row],[PID]],DraftResults[[#All],[Player ID]],0)),"")</f>
        <v>15</v>
      </c>
      <c r="AB178" s="50" t="str">
        <f>IFERROR(INDEX(DraftResults[[#All],[Team Name]],MATCH(Table5[[#This Row],[PID]],DraftResults[[#All],[Player ID]],0)),"")</f>
        <v>Niihama-shi Ghosts</v>
      </c>
      <c r="AC178" s="50">
        <f>IF(Table5[[#This Row],[Ovr]]="","",IF(Table5[[#This Row],[cmbList]]="","",Table5[[#This Row],[cmbList]]-Table5[[#This Row],[Ovr]]))</f>
        <v>-106</v>
      </c>
      <c r="AD178" s="54" t="str">
        <f>IF(ISERROR(VLOOKUP($AB178&amp;"-"&amp;$E178&amp;" "&amp;F178,Bonuses!$B$1:$G$1006,4,FALSE)),"",INT(VLOOKUP($AB178&amp;"-"&amp;$E178&amp;" "&amp;$F178,Bonuses!$B$1:$G$1006,4,FALSE)))</f>
        <v/>
      </c>
      <c r="AE178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9.15 (280) - SP Ernest Foster</v>
      </c>
    </row>
    <row r="179" spans="1:31" s="50" customFormat="1" x14ac:dyDescent="0.3">
      <c r="A179" s="50">
        <v>20927</v>
      </c>
      <c r="B179" s="50">
        <f>COUNTIF(Table5[PID],A179)</f>
        <v>1</v>
      </c>
      <c r="C179" s="50" t="str">
        <f>IF(COUNTIF(Table3[[#All],[PID]],A179)&gt;0,"P","B")</f>
        <v>P</v>
      </c>
      <c r="D179" s="59" t="str">
        <f>IF($C179="B",INDEX(Batters[[#All],[POS]],MATCH(Table5[[#This Row],[PID]],Batters[[#All],[PID]],0)),INDEX(Table3[[#All],[POS]],MATCH(Table5[[#This Row],[PID]],Table3[[#All],[PID]],0)))</f>
        <v>SP</v>
      </c>
      <c r="E179" s="52" t="str">
        <f>IF($C179="B",INDEX(Batters[[#All],[First]],MATCH(Table5[[#This Row],[PID]],Batters[[#All],[PID]],0)),INDEX(Table3[[#All],[First]],MATCH(Table5[[#This Row],[PID]],Table3[[#All],[PID]],0)))</f>
        <v>Kevin</v>
      </c>
      <c r="F179" s="50" t="str">
        <f>IF($C179="B",INDEX(Batters[[#All],[Last]],MATCH(A179,Batters[[#All],[PID]],0)),INDEX(Table3[[#All],[Last]],MATCH(A179,Table3[[#All],[PID]],0)))</f>
        <v>Soto</v>
      </c>
      <c r="G179" s="56">
        <f>IF($C179="B",INDEX(Batters[[#All],[Age]],MATCH(Table5[[#This Row],[PID]],Batters[[#All],[PID]],0)),INDEX(Table3[[#All],[Age]],MATCH(Table5[[#This Row],[PID]],Table3[[#All],[PID]],0)))</f>
        <v>17</v>
      </c>
      <c r="H179" s="52" t="str">
        <f>IF($C179="B",INDEX(Batters[[#All],[B]],MATCH(Table5[[#This Row],[PID]],Batters[[#All],[PID]],0)),INDEX(Table3[[#All],[B]],MATCH(Table5[[#This Row],[PID]],Table3[[#All],[PID]],0)))</f>
        <v>L</v>
      </c>
      <c r="I179" s="52" t="str">
        <f>IF($C179="B",INDEX(Batters[[#All],[T]],MATCH(Table5[[#This Row],[PID]],Batters[[#All],[PID]],0)),INDEX(Table3[[#All],[T]],MATCH(Table5[[#This Row],[PID]],Table3[[#All],[PID]],0)))</f>
        <v>L</v>
      </c>
      <c r="J179" s="52" t="str">
        <f>IF($C179="B",INDEX(Batters[[#All],[WE]],MATCH(Table5[[#This Row],[PID]],Batters[[#All],[PID]],0)),INDEX(Table3[[#All],[WE]],MATCH(Table5[[#This Row],[PID]],Table3[[#All],[PID]],0)))</f>
        <v>Normal</v>
      </c>
      <c r="K179" s="52" t="str">
        <f>IF($C179="B",INDEX(Batters[[#All],[INT]],MATCH(Table5[[#This Row],[PID]],Batters[[#All],[PID]],0)),INDEX(Table3[[#All],[INT]],MATCH(Table5[[#This Row],[PID]],Table3[[#All],[PID]],0)))</f>
        <v>Normal</v>
      </c>
      <c r="L179" s="60">
        <f>IF($C179="B",INDEX(Batters[[#All],[CON P]],MATCH(Table5[[#This Row],[PID]],Batters[[#All],[PID]],0)),INDEX(Table3[[#All],[STU P]],MATCH(Table5[[#This Row],[PID]],Table3[[#All],[PID]],0)))</f>
        <v>4</v>
      </c>
      <c r="M179" s="56">
        <f>IF($C179="B",INDEX(Batters[[#All],[GAP P]],MATCH(Table5[[#This Row],[PID]],Batters[[#All],[PID]],0)),INDEX(Table3[[#All],[MOV P]],MATCH(Table5[[#This Row],[PID]],Table3[[#All],[PID]],0)))</f>
        <v>2</v>
      </c>
      <c r="N179" s="56">
        <f>IF($C179="B",INDEX(Batters[[#All],[POW P]],MATCH(Table5[[#This Row],[PID]],Batters[[#All],[PID]],0)),INDEX(Table3[[#All],[CON P]],MATCH(Table5[[#This Row],[PID]],Table3[[#All],[PID]],0)))</f>
        <v>5</v>
      </c>
      <c r="O179" s="56" t="str">
        <f>IF($C179="B",INDEX(Batters[[#All],[EYE P]],MATCH(Table5[[#This Row],[PID]],Batters[[#All],[PID]],0)),INDEX(Table3[[#All],[VELO]],MATCH(Table5[[#This Row],[PID]],Table3[[#All],[PID]],0)))</f>
        <v>87-89 Mph</v>
      </c>
      <c r="P179" s="56">
        <f>IF($C179="B",INDEX(Batters[[#All],[K P]],MATCH(Table5[[#This Row],[PID]],Batters[[#All],[PID]],0)),INDEX(Table3[[#All],[STM]],MATCH(Table5[[#This Row],[PID]],Table3[[#All],[PID]],0)))</f>
        <v>9</v>
      </c>
      <c r="Q179" s="61">
        <f>IF($C179="B",INDEX(Batters[[#All],[Tot]],MATCH(Table5[[#This Row],[PID]],Batters[[#All],[PID]],0)),INDEX(Table3[[#All],[Tot]],MATCH(Table5[[#This Row],[PID]],Table3[[#All],[PID]],0)))</f>
        <v>45.403222947773138</v>
      </c>
      <c r="R179" s="52">
        <f>IF($C179="B",INDEX(Batters[[#All],[zScore]],MATCH(Table5[[#This Row],[PID]],Batters[[#All],[PID]],0)),INDEX(Table3[[#All],[zScore]],MATCH(Table5[[#This Row],[PID]],Table3[[#All],[PID]],0)))</f>
        <v>0.54696679221483868</v>
      </c>
      <c r="S179" s="58" t="str">
        <f>IF($C179="B",INDEX(Batters[[#All],[DEM]],MATCH(Table5[[#This Row],[PID]],Batters[[#All],[PID]],0)),INDEX(Table3[[#All],[DEM]],MATCH(Table5[[#This Row],[PID]],Table3[[#All],[PID]],0)))</f>
        <v>$65k</v>
      </c>
      <c r="T179" s="62">
        <f>IF($C179="B",INDEX(Batters[[#All],[Rnk]],MATCH(Table5[[#This Row],[PID]],Batters[[#All],[PID]],0)),INDEX(Table3[[#All],[Rnk]],MATCH(Table5[[#This Row],[PID]],Table3[[#All],[PID]],0)))</f>
        <v>900</v>
      </c>
      <c r="U179" s="67">
        <f>IF($C179="B",VLOOKUP($A179,Bat!$A$4:$BA$1314,47,FALSE),VLOOKUP($A179,Pit!$A$4:$BF$1214,56,FALSE))</f>
        <v>78</v>
      </c>
      <c r="V179" s="50">
        <f>IF($C179="B",VLOOKUP($A179,Bat!$A$4:$BA$1314,48,FALSE),VLOOKUP($A179,Pit!$A$4:$BF$1214,57,FALSE))</f>
        <v>0</v>
      </c>
      <c r="W179" s="50">
        <v>175</v>
      </c>
      <c r="X179" s="51">
        <f>RANK(Table5[[#This Row],[zScore]],Table5[[#All],[zScore]])</f>
        <v>214</v>
      </c>
      <c r="Y179" s="50">
        <f>IFERROR(INDEX(DraftResults[[#All],[OVR]],MATCH(Table5[[#This Row],[PID]],DraftResults[[#All],[Player ID]],0)),"")</f>
        <v>235</v>
      </c>
      <c r="Z179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8</v>
      </c>
      <c r="AA179" s="50">
        <f>IFERROR(INDEX(DraftResults[[#All],[Pick in Round]],MATCH(Table5[[#This Row],[PID]],DraftResults[[#All],[Player ID]],0)),"")</f>
        <v>2</v>
      </c>
      <c r="AB179" s="50" t="str">
        <f>IFERROR(INDEX(DraftResults[[#All],[Team Name]],MATCH(Table5[[#This Row],[PID]],DraftResults[[#All],[Player ID]],0)),"")</f>
        <v>Charleston Statesmen</v>
      </c>
      <c r="AC179" s="50">
        <f>IF(Table5[[#This Row],[Ovr]]="","",IF(Table5[[#This Row],[cmbList]]="","",Table5[[#This Row],[cmbList]]-Table5[[#This Row],[Ovr]]))</f>
        <v>-60</v>
      </c>
      <c r="AD179" s="54" t="str">
        <f>IF(ISERROR(VLOOKUP($AB179&amp;"-"&amp;$E179&amp;" "&amp;F179,Bonuses!$B$1:$G$1006,4,FALSE)),"",INT(VLOOKUP($AB179&amp;"-"&amp;$E179&amp;" "&amp;$F179,Bonuses!$B$1:$G$1006,4,FALSE)))</f>
        <v/>
      </c>
      <c r="AE179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8.2 (235) - SP Kevin Soto</v>
      </c>
    </row>
    <row r="180" spans="1:31" s="50" customFormat="1" x14ac:dyDescent="0.3">
      <c r="A180" s="50">
        <v>11125</v>
      </c>
      <c r="B180" s="50">
        <f>COUNTIF(Table5[PID],A180)</f>
        <v>1</v>
      </c>
      <c r="C180" s="50" t="str">
        <f>IF(COUNTIF(Table3[[#All],[PID]],A180)&gt;0,"P","B")</f>
        <v>P</v>
      </c>
      <c r="D180" s="59" t="str">
        <f>IF($C180="B",INDEX(Batters[[#All],[POS]],MATCH(Table5[[#This Row],[PID]],Batters[[#All],[PID]],0)),INDEX(Table3[[#All],[POS]],MATCH(Table5[[#This Row],[PID]],Table3[[#All],[PID]],0)))</f>
        <v>RP</v>
      </c>
      <c r="E180" s="52" t="str">
        <f>IF($C180="B",INDEX(Batters[[#All],[First]],MATCH(Table5[[#This Row],[PID]],Batters[[#All],[PID]],0)),INDEX(Table3[[#All],[First]],MATCH(Table5[[#This Row],[PID]],Table3[[#All],[PID]],0)))</f>
        <v>Dave</v>
      </c>
      <c r="F180" s="50" t="str">
        <f>IF($C180="B",INDEX(Batters[[#All],[Last]],MATCH(A180,Batters[[#All],[PID]],0)),INDEX(Table3[[#All],[Last]],MATCH(A180,Table3[[#All],[PID]],0)))</f>
        <v>Crowhurst</v>
      </c>
      <c r="G180" s="56">
        <f>IF($C180="B",INDEX(Batters[[#All],[Age]],MATCH(Table5[[#This Row],[PID]],Batters[[#All],[PID]],0)),INDEX(Table3[[#All],[Age]],MATCH(Table5[[#This Row],[PID]],Table3[[#All],[PID]],0)))</f>
        <v>17</v>
      </c>
      <c r="H180" s="52" t="str">
        <f>IF($C180="B",INDEX(Batters[[#All],[B]],MATCH(Table5[[#This Row],[PID]],Batters[[#All],[PID]],0)),INDEX(Table3[[#All],[B]],MATCH(Table5[[#This Row],[PID]],Table3[[#All],[PID]],0)))</f>
        <v>R</v>
      </c>
      <c r="I180" s="52" t="str">
        <f>IF($C180="B",INDEX(Batters[[#All],[T]],MATCH(Table5[[#This Row],[PID]],Batters[[#All],[PID]],0)),INDEX(Table3[[#All],[T]],MATCH(Table5[[#This Row],[PID]],Table3[[#All],[PID]],0)))</f>
        <v>R</v>
      </c>
      <c r="J180" s="52" t="str">
        <f>IF($C180="B",INDEX(Batters[[#All],[WE]],MATCH(Table5[[#This Row],[PID]],Batters[[#All],[PID]],0)),INDEX(Table3[[#All],[WE]],MATCH(Table5[[#This Row],[PID]],Table3[[#All],[PID]],0)))</f>
        <v>Normal</v>
      </c>
      <c r="K180" s="52" t="str">
        <f>IF($C180="B",INDEX(Batters[[#All],[INT]],MATCH(Table5[[#This Row],[PID]],Batters[[#All],[PID]],0)),INDEX(Table3[[#All],[INT]],MATCH(Table5[[#This Row],[PID]],Table3[[#All],[PID]],0)))</f>
        <v>High</v>
      </c>
      <c r="L180" s="60">
        <f>IF($C180="B",INDEX(Batters[[#All],[CON P]],MATCH(Table5[[#This Row],[PID]],Batters[[#All],[PID]],0)),INDEX(Table3[[#All],[STU P]],MATCH(Table5[[#This Row],[PID]],Table3[[#All],[PID]],0)))</f>
        <v>5</v>
      </c>
      <c r="M180" s="56">
        <f>IF($C180="B",INDEX(Batters[[#All],[GAP P]],MATCH(Table5[[#This Row],[PID]],Batters[[#All],[PID]],0)),INDEX(Table3[[#All],[MOV P]],MATCH(Table5[[#This Row],[PID]],Table3[[#All],[PID]],0)))</f>
        <v>2</v>
      </c>
      <c r="N180" s="56">
        <f>IF($C180="B",INDEX(Batters[[#All],[POW P]],MATCH(Table5[[#This Row],[PID]],Batters[[#All],[PID]],0)),INDEX(Table3[[#All],[CON P]],MATCH(Table5[[#This Row],[PID]],Table3[[#All],[PID]],0)))</f>
        <v>4</v>
      </c>
      <c r="O180" s="56" t="str">
        <f>IF($C180="B",INDEX(Batters[[#All],[EYE P]],MATCH(Table5[[#This Row],[PID]],Batters[[#All],[PID]],0)),INDEX(Table3[[#All],[VELO]],MATCH(Table5[[#This Row],[PID]],Table3[[#All],[PID]],0)))</f>
        <v>89-91 Mph</v>
      </c>
      <c r="P180" s="56">
        <f>IF($C180="B",INDEX(Batters[[#All],[K P]],MATCH(Table5[[#This Row],[PID]],Batters[[#All],[PID]],0)),INDEX(Table3[[#All],[STM]],MATCH(Table5[[#This Row],[PID]],Table3[[#All],[PID]],0)))</f>
        <v>7</v>
      </c>
      <c r="Q180" s="61">
        <f>IF($C180="B",INDEX(Batters[[#All],[Tot]],MATCH(Table5[[#This Row],[PID]],Batters[[#All],[PID]],0)),INDEX(Table3[[#All],[Tot]],MATCH(Table5[[#This Row],[PID]],Table3[[#All],[PID]],0)))</f>
        <v>44.741112268565409</v>
      </c>
      <c r="R180" s="52">
        <f>IF($C180="B",INDEX(Batters[[#All],[zScore]],MATCH(Table5[[#This Row],[PID]],Batters[[#All],[PID]],0)),INDEX(Table3[[#All],[zScore]],MATCH(Table5[[#This Row],[PID]],Table3[[#All],[PID]],0)))</f>
        <v>0.49407211089155745</v>
      </c>
      <c r="S180" s="58" t="str">
        <f>IF($C180="B",INDEX(Batters[[#All],[DEM]],MATCH(Table5[[#This Row],[PID]],Batters[[#All],[PID]],0)),INDEX(Table3[[#All],[DEM]],MATCH(Table5[[#This Row],[PID]],Table3[[#All],[PID]],0)))</f>
        <v>$130k</v>
      </c>
      <c r="T180" s="62">
        <f>IF($C180="B",INDEX(Batters[[#All],[Rnk]],MATCH(Table5[[#This Row],[PID]],Batters[[#All],[PID]],0)),INDEX(Table3[[#All],[Rnk]],MATCH(Table5[[#This Row],[PID]],Table3[[#All],[PID]],0)))</f>
        <v>900</v>
      </c>
      <c r="U180" s="67">
        <f>IF($C180="B",VLOOKUP($A180,Bat!$A$4:$BA$1314,47,FALSE),VLOOKUP($A180,Pit!$A$4:$BF$1214,56,FALSE))</f>
        <v>79</v>
      </c>
      <c r="V180" s="50">
        <f>IF($C180="B",VLOOKUP($A180,Bat!$A$4:$BA$1314,48,FALSE),VLOOKUP($A180,Pit!$A$4:$BF$1214,57,FALSE))</f>
        <v>0</v>
      </c>
      <c r="W180" s="68">
        <v>176</v>
      </c>
      <c r="X180" s="51">
        <f>RANK(Table5[[#This Row],[zScore]],Table5[[#All],[zScore]])</f>
        <v>227</v>
      </c>
      <c r="Y180" s="50">
        <f>IFERROR(INDEX(DraftResults[[#All],[OVR]],MATCH(Table5[[#This Row],[PID]],DraftResults[[#All],[Player ID]],0)),"")</f>
        <v>254</v>
      </c>
      <c r="Z180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8</v>
      </c>
      <c r="AA180" s="50">
        <f>IFERROR(INDEX(DraftResults[[#All],[Pick in Round]],MATCH(Table5[[#This Row],[PID]],DraftResults[[#All],[Player ID]],0)),"")</f>
        <v>21</v>
      </c>
      <c r="AB180" s="50" t="str">
        <f>IFERROR(INDEX(DraftResults[[#All],[Team Name]],MATCH(Table5[[#This Row],[PID]],DraftResults[[#All],[Player ID]],0)),"")</f>
        <v>Neo-Tokyo Akira</v>
      </c>
      <c r="AC180" s="50">
        <f>IF(Table5[[#This Row],[Ovr]]="","",IF(Table5[[#This Row],[cmbList]]="","",Table5[[#This Row],[cmbList]]-Table5[[#This Row],[Ovr]]))</f>
        <v>-78</v>
      </c>
      <c r="AD180" s="54" t="str">
        <f>IF(ISERROR(VLOOKUP($AB180&amp;"-"&amp;$E180&amp;" "&amp;F180,Bonuses!$B$1:$G$1006,4,FALSE)),"",INT(VLOOKUP($AB180&amp;"-"&amp;$E180&amp;" "&amp;$F180,Bonuses!$B$1:$G$1006,4,FALSE)))</f>
        <v/>
      </c>
      <c r="AE180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8.21 (254) - RP Dave Crowhurst</v>
      </c>
    </row>
    <row r="181" spans="1:31" s="50" customFormat="1" x14ac:dyDescent="0.3">
      <c r="A181" s="67">
        <v>10297</v>
      </c>
      <c r="B181" s="68">
        <f>COUNTIF(Table5[PID],A181)</f>
        <v>1</v>
      </c>
      <c r="C181" s="68" t="str">
        <f>IF(COUNTIF(Table3[[#All],[PID]],A181)&gt;0,"P","B")</f>
        <v>P</v>
      </c>
      <c r="D181" s="59" t="str">
        <f>IF($C181="B",INDEX(Batters[[#All],[POS]],MATCH(Table5[[#This Row],[PID]],Batters[[#All],[PID]],0)),INDEX(Table3[[#All],[POS]],MATCH(Table5[[#This Row],[PID]],Table3[[#All],[PID]],0)))</f>
        <v>SP</v>
      </c>
      <c r="E181" s="52" t="str">
        <f>IF($C181="B",INDEX(Batters[[#All],[First]],MATCH(Table5[[#This Row],[PID]],Batters[[#All],[PID]],0)),INDEX(Table3[[#All],[First]],MATCH(Table5[[#This Row],[PID]],Table3[[#All],[PID]],0)))</f>
        <v>Jim</v>
      </c>
      <c r="F181" s="55" t="str">
        <f>IF($C181="B",INDEX(Batters[[#All],[Last]],MATCH(A181,Batters[[#All],[PID]],0)),INDEX(Table3[[#All],[Last]],MATCH(A181,Table3[[#All],[PID]],0)))</f>
        <v>Flores</v>
      </c>
      <c r="G181" s="56">
        <f>IF($C181="B",INDEX(Batters[[#All],[Age]],MATCH(Table5[[#This Row],[PID]],Batters[[#All],[PID]],0)),INDEX(Table3[[#All],[Age]],MATCH(Table5[[#This Row],[PID]],Table3[[#All],[PID]],0)))</f>
        <v>18</v>
      </c>
      <c r="H181" s="52" t="str">
        <f>IF($C181="B",INDEX(Batters[[#All],[B]],MATCH(Table5[[#This Row],[PID]],Batters[[#All],[PID]],0)),INDEX(Table3[[#All],[B]],MATCH(Table5[[#This Row],[PID]],Table3[[#All],[PID]],0)))</f>
        <v>L</v>
      </c>
      <c r="I181" s="52" t="str">
        <f>IF($C181="B",INDEX(Batters[[#All],[T]],MATCH(Table5[[#This Row],[PID]],Batters[[#All],[PID]],0)),INDEX(Table3[[#All],[T]],MATCH(Table5[[#This Row],[PID]],Table3[[#All],[PID]],0)))</f>
        <v>R</v>
      </c>
      <c r="J181" s="69" t="str">
        <f>IF($C181="B",INDEX(Batters[[#All],[WE]],MATCH(Table5[[#This Row],[PID]],Batters[[#All],[PID]],0)),INDEX(Table3[[#All],[WE]],MATCH(Table5[[#This Row],[PID]],Table3[[#All],[PID]],0)))</f>
        <v>Normal</v>
      </c>
      <c r="K181" s="52" t="str">
        <f>IF($C181="B",INDEX(Batters[[#All],[INT]],MATCH(Table5[[#This Row],[PID]],Batters[[#All],[PID]],0)),INDEX(Table3[[#All],[INT]],MATCH(Table5[[#This Row],[PID]],Table3[[#All],[PID]],0)))</f>
        <v>Normal</v>
      </c>
      <c r="L181" s="60">
        <f>IF($C181="B",INDEX(Batters[[#All],[CON P]],MATCH(Table5[[#This Row],[PID]],Batters[[#All],[PID]],0)),INDEX(Table3[[#All],[STU P]],MATCH(Table5[[#This Row],[PID]],Table3[[#All],[PID]],0)))</f>
        <v>5</v>
      </c>
      <c r="M181" s="70">
        <f>IF($C181="B",INDEX(Batters[[#All],[GAP P]],MATCH(Table5[[#This Row],[PID]],Batters[[#All],[PID]],0)),INDEX(Table3[[#All],[MOV P]],MATCH(Table5[[#This Row],[PID]],Table3[[#All],[PID]],0)))</f>
        <v>2</v>
      </c>
      <c r="N181" s="70">
        <f>IF($C181="B",INDEX(Batters[[#All],[POW P]],MATCH(Table5[[#This Row],[PID]],Batters[[#All],[PID]],0)),INDEX(Table3[[#All],[CON P]],MATCH(Table5[[#This Row],[PID]],Table3[[#All],[PID]],0)))</f>
        <v>4</v>
      </c>
      <c r="O181" s="70" t="str">
        <f>IF($C181="B",INDEX(Batters[[#All],[EYE P]],MATCH(Table5[[#This Row],[PID]],Batters[[#All],[PID]],0)),INDEX(Table3[[#All],[VELO]],MATCH(Table5[[#This Row],[PID]],Table3[[#All],[PID]],0)))</f>
        <v>96-98 Mph</v>
      </c>
      <c r="P181" s="56">
        <f>IF($C181="B",INDEX(Batters[[#All],[K P]],MATCH(Table5[[#This Row],[PID]],Batters[[#All],[PID]],0)),INDEX(Table3[[#All],[STM]],MATCH(Table5[[#This Row],[PID]],Table3[[#All],[PID]],0)))</f>
        <v>8</v>
      </c>
      <c r="Q181" s="61">
        <f>IF($C181="B",INDEX(Batters[[#All],[Tot]],MATCH(Table5[[#This Row],[PID]],Batters[[#All],[PID]],0)),INDEX(Table3[[#All],[Tot]],MATCH(Table5[[#This Row],[PID]],Table3[[#All],[PID]],0)))</f>
        <v>45.426399718561655</v>
      </c>
      <c r="R181" s="52">
        <f>IF($C181="B",INDEX(Batters[[#All],[zScore]],MATCH(Table5[[#This Row],[PID]],Batters[[#All],[PID]],0)),INDEX(Table3[[#All],[zScore]],MATCH(Table5[[#This Row],[PID]],Table3[[#All],[PID]],0)))</f>
        <v>0.54286939687087765</v>
      </c>
      <c r="S181" s="75" t="str">
        <f>IF($C181="B",INDEX(Batters[[#All],[DEM]],MATCH(Table5[[#This Row],[PID]],Batters[[#All],[PID]],0)),INDEX(Table3[[#All],[DEM]],MATCH(Table5[[#This Row],[PID]],Table3[[#All],[PID]],0)))</f>
        <v>$75k</v>
      </c>
      <c r="T181" s="72">
        <f>IF($C181="B",INDEX(Batters[[#All],[Rnk]],MATCH(Table5[[#This Row],[PID]],Batters[[#All],[PID]],0)),INDEX(Table3[[#All],[Rnk]],MATCH(Table5[[#This Row],[PID]],Table3[[#All],[PID]],0)))</f>
        <v>900</v>
      </c>
      <c r="U181" s="67">
        <f>IF($C181="B",VLOOKUP($A181,Bat!$A$4:$BA$1314,47,FALSE),VLOOKUP($A181,Pit!$A$4:$BF$1214,56,FALSE))</f>
        <v>80</v>
      </c>
      <c r="V181" s="50">
        <f>IF($C181="B",VLOOKUP($A181,Bat!$A$4:$BA$1314,48,FALSE),VLOOKUP($A181,Pit!$A$4:$BF$1214,57,FALSE))</f>
        <v>0</v>
      </c>
      <c r="W181" s="50">
        <v>177</v>
      </c>
      <c r="X181" s="71">
        <f>RANK(Table5[[#This Row],[zScore]],Table5[[#All],[zScore]])</f>
        <v>216</v>
      </c>
      <c r="Y181" s="68">
        <f>IFERROR(INDEX(DraftResults[[#All],[OVR]],MATCH(Table5[[#This Row],[PID]],DraftResults[[#All],[Player ID]],0)),"")</f>
        <v>384</v>
      </c>
      <c r="Z181" s="7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12</v>
      </c>
      <c r="AA181" s="68">
        <f>IFERROR(INDEX(DraftResults[[#All],[Pick in Round]],MATCH(Table5[[#This Row],[PID]],DraftResults[[#All],[Player ID]],0)),"")</f>
        <v>19</v>
      </c>
      <c r="AB181" s="68" t="str">
        <f>IFERROR(INDEX(DraftResults[[#All],[Team Name]],MATCH(Table5[[#This Row],[PID]],DraftResults[[#All],[Player ID]],0)),"")</f>
        <v>Fargo Dinosaurs</v>
      </c>
      <c r="AC181" s="68">
        <f>IF(Table5[[#This Row],[Ovr]]="","",IF(Table5[[#This Row],[cmbList]]="","",Table5[[#This Row],[cmbList]]-Table5[[#This Row],[Ovr]]))</f>
        <v>-207</v>
      </c>
      <c r="AD181" s="74" t="str">
        <f>IF(ISERROR(VLOOKUP($AB181&amp;"-"&amp;$E181&amp;" "&amp;F181,Bonuses!$B$1:$G$1006,4,FALSE)),"",INT(VLOOKUP($AB181&amp;"-"&amp;$E181&amp;" "&amp;$F181,Bonuses!$B$1:$G$1006,4,FALSE)))</f>
        <v/>
      </c>
      <c r="AE181" s="68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12.19 (384) - SP Jim Flores</v>
      </c>
    </row>
    <row r="182" spans="1:31" s="50" customFormat="1" x14ac:dyDescent="0.3">
      <c r="A182" s="67">
        <v>12767</v>
      </c>
      <c r="B182" s="68">
        <f>COUNTIF(Table5[PID],A182)</f>
        <v>1</v>
      </c>
      <c r="C182" s="68" t="str">
        <f>IF(COUNTIF(Table3[[#All],[PID]],A182)&gt;0,"P","B")</f>
        <v>P</v>
      </c>
      <c r="D182" s="59" t="str">
        <f>IF($C182="B",INDEX(Batters[[#All],[POS]],MATCH(Table5[[#This Row],[PID]],Batters[[#All],[PID]],0)),INDEX(Table3[[#All],[POS]],MATCH(Table5[[#This Row],[PID]],Table3[[#All],[PID]],0)))</f>
        <v>CL</v>
      </c>
      <c r="E182" s="52" t="str">
        <f>IF($C182="B",INDEX(Batters[[#All],[First]],MATCH(Table5[[#This Row],[PID]],Batters[[#All],[PID]],0)),INDEX(Table3[[#All],[First]],MATCH(Table5[[#This Row],[PID]],Table3[[#All],[PID]],0)))</f>
        <v>Pete</v>
      </c>
      <c r="F182" s="55" t="str">
        <f>IF($C182="B",INDEX(Batters[[#All],[Last]],MATCH(A182,Batters[[#All],[PID]],0)),INDEX(Table3[[#All],[Last]],MATCH(A182,Table3[[#All],[PID]],0)))</f>
        <v>Card</v>
      </c>
      <c r="G182" s="56">
        <f>IF($C182="B",INDEX(Batters[[#All],[Age]],MATCH(Table5[[#This Row],[PID]],Batters[[#All],[PID]],0)),INDEX(Table3[[#All],[Age]],MATCH(Table5[[#This Row],[PID]],Table3[[#All],[PID]],0)))</f>
        <v>18</v>
      </c>
      <c r="H182" s="52" t="str">
        <f>IF($C182="B",INDEX(Batters[[#All],[B]],MATCH(Table5[[#This Row],[PID]],Batters[[#All],[PID]],0)),INDEX(Table3[[#All],[B]],MATCH(Table5[[#This Row],[PID]],Table3[[#All],[PID]],0)))</f>
        <v>R</v>
      </c>
      <c r="I182" s="52" t="str">
        <f>IF($C182="B",INDEX(Batters[[#All],[T]],MATCH(Table5[[#This Row],[PID]],Batters[[#All],[PID]],0)),INDEX(Table3[[#All],[T]],MATCH(Table5[[#This Row],[PID]],Table3[[#All],[PID]],0)))</f>
        <v>R</v>
      </c>
      <c r="J182" s="69" t="str">
        <f>IF($C182="B",INDEX(Batters[[#All],[WE]],MATCH(Table5[[#This Row],[PID]],Batters[[#All],[PID]],0)),INDEX(Table3[[#All],[WE]],MATCH(Table5[[#This Row],[PID]],Table3[[#All],[PID]],0)))</f>
        <v>Low</v>
      </c>
      <c r="K182" s="52" t="str">
        <f>IF($C182="B",INDEX(Batters[[#All],[INT]],MATCH(Table5[[#This Row],[PID]],Batters[[#All],[PID]],0)),INDEX(Table3[[#All],[INT]],MATCH(Table5[[#This Row],[PID]],Table3[[#All],[PID]],0)))</f>
        <v>Low</v>
      </c>
      <c r="L182" s="60">
        <f>IF($C182="B",INDEX(Batters[[#All],[CON P]],MATCH(Table5[[#This Row],[PID]],Batters[[#All],[PID]],0)),INDEX(Table3[[#All],[STU P]],MATCH(Table5[[#This Row],[PID]],Table3[[#All],[PID]],0)))</f>
        <v>7</v>
      </c>
      <c r="M182" s="70">
        <f>IF($C182="B",INDEX(Batters[[#All],[GAP P]],MATCH(Table5[[#This Row],[PID]],Batters[[#All],[PID]],0)),INDEX(Table3[[#All],[MOV P]],MATCH(Table5[[#This Row],[PID]],Table3[[#All],[PID]],0)))</f>
        <v>7</v>
      </c>
      <c r="N182" s="70">
        <f>IF($C182="B",INDEX(Batters[[#All],[POW P]],MATCH(Table5[[#This Row],[PID]],Batters[[#All],[PID]],0)),INDEX(Table3[[#All],[CON P]],MATCH(Table5[[#This Row],[PID]],Table3[[#All],[PID]],0)))</f>
        <v>5</v>
      </c>
      <c r="O182" s="70" t="str">
        <f>IF($C182="B",INDEX(Batters[[#All],[EYE P]],MATCH(Table5[[#This Row],[PID]],Batters[[#All],[PID]],0)),INDEX(Table3[[#All],[VELO]],MATCH(Table5[[#This Row],[PID]],Table3[[#All],[PID]],0)))</f>
        <v>93-95 Mph</v>
      </c>
      <c r="P182" s="56">
        <f>IF($C182="B",INDEX(Batters[[#All],[K P]],MATCH(Table5[[#This Row],[PID]],Batters[[#All],[PID]],0)),INDEX(Table3[[#All],[STM]],MATCH(Table5[[#This Row],[PID]],Table3[[#All],[PID]],0)))</f>
        <v>6</v>
      </c>
      <c r="Q182" s="61">
        <f>IF($C182="B",INDEX(Batters[[#All],[Tot]],MATCH(Table5[[#This Row],[PID]],Batters[[#All],[PID]],0)),INDEX(Table3[[#All],[Tot]],MATCH(Table5[[#This Row],[PID]],Table3[[#All],[PID]],0)))</f>
        <v>76.177805234474832</v>
      </c>
      <c r="R182" s="52">
        <f>IF($C182="B",INDEX(Batters[[#All],[zScore]],MATCH(Table5[[#This Row],[PID]],Batters[[#All],[PID]],0)),INDEX(Table3[[#All],[zScore]],MATCH(Table5[[#This Row],[PID]],Table3[[#All],[PID]],0)))</f>
        <v>2.7325857403327078</v>
      </c>
      <c r="S182" s="75" t="str">
        <f>IF($C182="B",INDEX(Batters[[#All],[DEM]],MATCH(Table5[[#This Row],[PID]],Batters[[#All],[PID]],0)),INDEX(Table3[[#All],[DEM]],MATCH(Table5[[#This Row],[PID]],Table3[[#All],[PID]],0)))</f>
        <v>$270k</v>
      </c>
      <c r="T182" s="72">
        <f>IF($C182="B",INDEX(Batters[[#All],[Rnk]],MATCH(Table5[[#This Row],[PID]],Batters[[#All],[PID]],0)),INDEX(Table3[[#All],[Rnk]],MATCH(Table5[[#This Row],[PID]],Table3[[#All],[PID]],0)))</f>
        <v>950</v>
      </c>
      <c r="U182" s="67">
        <f>IF($C182="B",VLOOKUP($A182,Bat!$A$4:$BA$1314,47,FALSE),VLOOKUP($A182,Pit!$A$4:$BF$1214,56,FALSE))</f>
        <v>81</v>
      </c>
      <c r="V182" s="50">
        <f>IF($C182="B",VLOOKUP($A182,Bat!$A$4:$BA$1314,48,FALSE),VLOOKUP($A182,Pit!$A$4:$BF$1214,57,FALSE))</f>
        <v>0</v>
      </c>
      <c r="W182" s="68">
        <v>178</v>
      </c>
      <c r="X182" s="71">
        <f>RANK(Table5[[#This Row],[zScore]],Table5[[#All],[zScore]])</f>
        <v>12</v>
      </c>
      <c r="Y182" s="68">
        <f>IFERROR(INDEX(DraftResults[[#All],[OVR]],MATCH(Table5[[#This Row],[PID]],DraftResults[[#All],[Player ID]],0)),"")</f>
        <v>64</v>
      </c>
      <c r="Z182" s="7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2</v>
      </c>
      <c r="AA182" s="68">
        <f>IFERROR(INDEX(DraftResults[[#All],[Pick in Round]],MATCH(Table5[[#This Row],[PID]],DraftResults[[#All],[Player ID]],0)),"")</f>
        <v>28</v>
      </c>
      <c r="AB182" s="68" t="str">
        <f>IFERROR(INDEX(DraftResults[[#All],[Team Name]],MATCH(Table5[[#This Row],[PID]],DraftResults[[#All],[Player ID]],0)),"")</f>
        <v>West Virginia Alleghenies</v>
      </c>
      <c r="AC182" s="68">
        <f>IF(Table5[[#This Row],[Ovr]]="","",IF(Table5[[#This Row],[cmbList]]="","",Table5[[#This Row],[cmbList]]-Table5[[#This Row],[Ovr]]))</f>
        <v>114</v>
      </c>
      <c r="AD182" s="74" t="str">
        <f>IF(ISERROR(VLOOKUP($AB182&amp;"-"&amp;$E182&amp;" "&amp;F182,Bonuses!$B$1:$G$1006,4,FALSE)),"",INT(VLOOKUP($AB182&amp;"-"&amp;$E182&amp;" "&amp;$F182,Bonuses!$B$1:$G$1006,4,FALSE)))</f>
        <v/>
      </c>
      <c r="AE182" s="68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2.28 (64) - CL Pete Card</v>
      </c>
    </row>
    <row r="183" spans="1:31" s="50" customFormat="1" x14ac:dyDescent="0.3">
      <c r="A183" s="50">
        <v>10299</v>
      </c>
      <c r="B183" s="55">
        <f>COUNTIF(Table5[PID],A183)</f>
        <v>1</v>
      </c>
      <c r="C183" s="55" t="str">
        <f>IF(COUNTIF(Table3[[#All],[PID]],A183)&gt;0,"P","B")</f>
        <v>B</v>
      </c>
      <c r="D183" s="59" t="str">
        <f>IF($C183="B",INDEX(Batters[[#All],[POS]],MATCH(Table5[[#This Row],[PID]],Batters[[#All],[PID]],0)),INDEX(Table3[[#All],[POS]],MATCH(Table5[[#This Row],[PID]],Table3[[#All],[PID]],0)))</f>
        <v>SS</v>
      </c>
      <c r="E183" s="52" t="str">
        <f>IF($C183="B",INDEX(Batters[[#All],[First]],MATCH(Table5[[#This Row],[PID]],Batters[[#All],[PID]],0)),INDEX(Table3[[#All],[First]],MATCH(Table5[[#This Row],[PID]],Table3[[#All],[PID]],0)))</f>
        <v>António</v>
      </c>
      <c r="F183" s="50" t="str">
        <f>IF($C183="B",INDEX(Batters[[#All],[Last]],MATCH(A183,Batters[[#All],[PID]],0)),INDEX(Table3[[#All],[Last]],MATCH(A183,Table3[[#All],[PID]],0)))</f>
        <v>Negrete</v>
      </c>
      <c r="G183" s="56">
        <f>IF($C183="B",INDEX(Batters[[#All],[Age]],MATCH(Table5[[#This Row],[PID]],Batters[[#All],[PID]],0)),INDEX(Table3[[#All],[Age]],MATCH(Table5[[#This Row],[PID]],Table3[[#All],[PID]],0)))</f>
        <v>17</v>
      </c>
      <c r="H183" s="52" t="str">
        <f>IF($C183="B",INDEX(Batters[[#All],[B]],MATCH(Table5[[#This Row],[PID]],Batters[[#All],[PID]],0)),INDEX(Table3[[#All],[B]],MATCH(Table5[[#This Row],[PID]],Table3[[#All],[PID]],0)))</f>
        <v>S</v>
      </c>
      <c r="I183" s="52" t="str">
        <f>IF($C183="B",INDEX(Batters[[#All],[T]],MATCH(Table5[[#This Row],[PID]],Batters[[#All],[PID]],0)),INDEX(Table3[[#All],[T]],MATCH(Table5[[#This Row],[PID]],Table3[[#All],[PID]],0)))</f>
        <v>R</v>
      </c>
      <c r="J183" s="52" t="str">
        <f>IF($C183="B",INDEX(Batters[[#All],[WE]],MATCH(Table5[[#This Row],[PID]],Batters[[#All],[PID]],0)),INDEX(Table3[[#All],[WE]],MATCH(Table5[[#This Row],[PID]],Table3[[#All],[PID]],0)))</f>
        <v>Normal</v>
      </c>
      <c r="K183" s="52" t="str">
        <f>IF($C183="B",INDEX(Batters[[#All],[INT]],MATCH(Table5[[#This Row],[PID]],Batters[[#All],[PID]],0)),INDEX(Table3[[#All],[INT]],MATCH(Table5[[#This Row],[PID]],Table3[[#All],[PID]],0)))</f>
        <v>High</v>
      </c>
      <c r="L183" s="60">
        <f>IF($C183="B",INDEX(Batters[[#All],[CON P]],MATCH(Table5[[#This Row],[PID]],Batters[[#All],[PID]],0)),INDEX(Table3[[#All],[STU P]],MATCH(Table5[[#This Row],[PID]],Table3[[#All],[PID]],0)))</f>
        <v>4</v>
      </c>
      <c r="M183" s="56">
        <f>IF($C183="B",INDEX(Batters[[#All],[GAP P]],MATCH(Table5[[#This Row],[PID]],Batters[[#All],[PID]],0)),INDEX(Table3[[#All],[MOV P]],MATCH(Table5[[#This Row],[PID]],Table3[[#All],[PID]],0)))</f>
        <v>5</v>
      </c>
      <c r="N183" s="56">
        <f>IF($C183="B",INDEX(Batters[[#All],[POW P]],MATCH(Table5[[#This Row],[PID]],Batters[[#All],[PID]],0)),INDEX(Table3[[#All],[CON P]],MATCH(Table5[[#This Row],[PID]],Table3[[#All],[PID]],0)))</f>
        <v>3</v>
      </c>
      <c r="O183" s="56">
        <f>IF($C183="B",INDEX(Batters[[#All],[EYE P]],MATCH(Table5[[#This Row],[PID]],Batters[[#All],[PID]],0)),INDEX(Table3[[#All],[VELO]],MATCH(Table5[[#This Row],[PID]],Table3[[#All],[PID]],0)))</f>
        <v>5</v>
      </c>
      <c r="P183" s="56">
        <f>IF($C183="B",INDEX(Batters[[#All],[K P]],MATCH(Table5[[#This Row],[PID]],Batters[[#All],[PID]],0)),INDEX(Table3[[#All],[STM]],MATCH(Table5[[#This Row],[PID]],Table3[[#All],[PID]],0)))</f>
        <v>5</v>
      </c>
      <c r="Q183" s="61">
        <f>IF($C183="B",INDEX(Batters[[#All],[Tot]],MATCH(Table5[[#This Row],[PID]],Batters[[#All],[PID]],0)),INDEX(Table3[[#All],[Tot]],MATCH(Table5[[#This Row],[PID]],Table3[[#All],[PID]],0)))</f>
        <v>47.390137440661057</v>
      </c>
      <c r="R183" s="52">
        <f>IF($C183="B",INDEX(Batters[[#All],[zScore]],MATCH(Table5[[#This Row],[PID]],Batters[[#All],[PID]],0)),INDEX(Table3[[#All],[zScore]],MATCH(Table5[[#This Row],[PID]],Table3[[#All],[PID]],0)))</f>
        <v>0.60892740951178426</v>
      </c>
      <c r="S183" s="58" t="str">
        <f>IF($C183="B",INDEX(Batters[[#All],[DEM]],MATCH(Table5[[#This Row],[PID]],Batters[[#All],[PID]],0)),INDEX(Table3[[#All],[DEM]],MATCH(Table5[[#This Row],[PID]],Table3[[#All],[PID]],0)))</f>
        <v>$200k</v>
      </c>
      <c r="T183" s="62">
        <f>IF($C183="B",INDEX(Batters[[#All],[Rnk]],MATCH(Table5[[#This Row],[PID]],Batters[[#All],[PID]],0)),INDEX(Table3[[#All],[Rnk]],MATCH(Table5[[#This Row],[PID]],Table3[[#All],[PID]],0)))</f>
        <v>900</v>
      </c>
      <c r="U183" s="67">
        <f>IF($C183="B",VLOOKUP($A183,Bat!$A$4:$BA$1314,47,FALSE),VLOOKUP($A183,Pit!$A$4:$BF$1214,56,FALSE))</f>
        <v>97</v>
      </c>
      <c r="V183" s="50">
        <f>IF($C183="B",VLOOKUP($A183,Bat!$A$4:$BA$1314,48,FALSE),VLOOKUP($A183,Pit!$A$4:$BF$1214,57,FALSE))</f>
        <v>97</v>
      </c>
      <c r="W183" s="50">
        <v>179</v>
      </c>
      <c r="X183" s="51">
        <f>RANK(Table5[[#This Row],[zScore]],Table5[[#All],[zScore]])</f>
        <v>204</v>
      </c>
      <c r="Y183" s="50">
        <f>IFERROR(INDEX(DraftResults[[#All],[OVR]],MATCH(Table5[[#This Row],[PID]],DraftResults[[#All],[Player ID]],0)),"")</f>
        <v>343</v>
      </c>
      <c r="Z183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11</v>
      </c>
      <c r="AA183" s="50">
        <f>IFERROR(INDEX(DraftResults[[#All],[Pick in Round]],MATCH(Table5[[#This Row],[PID]],DraftResults[[#All],[Player ID]],0)),"")</f>
        <v>12</v>
      </c>
      <c r="AB183" s="50" t="str">
        <f>IFERROR(INDEX(DraftResults[[#All],[Team Name]],MATCH(Table5[[#This Row],[PID]],DraftResults[[#All],[Player ID]],0)),"")</f>
        <v>Manchester Maulers</v>
      </c>
      <c r="AC183" s="50">
        <f>IF(Table5[[#This Row],[Ovr]]="","",IF(Table5[[#This Row],[cmbList]]="","",Table5[[#This Row],[cmbList]]-Table5[[#This Row],[Ovr]]))</f>
        <v>-164</v>
      </c>
      <c r="AD183" s="54" t="str">
        <f>IF(ISERROR(VLOOKUP($AB183&amp;"-"&amp;$E183&amp;" "&amp;F183,Bonuses!$B$1:$G$1006,4,FALSE)),"",INT(VLOOKUP($AB183&amp;"-"&amp;$E183&amp;" "&amp;$F183,Bonuses!$B$1:$G$1006,4,FALSE)))</f>
        <v/>
      </c>
      <c r="AE183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11.12 (343) - SS António Negrete</v>
      </c>
    </row>
    <row r="184" spans="1:31" s="50" customFormat="1" x14ac:dyDescent="0.3">
      <c r="A184" s="67">
        <v>13982</v>
      </c>
      <c r="B184" s="68">
        <f>COUNTIF(Table5[PID],A184)</f>
        <v>1</v>
      </c>
      <c r="C184" s="68" t="str">
        <f>IF(COUNTIF(Table3[[#All],[PID]],A184)&gt;0,"P","B")</f>
        <v>B</v>
      </c>
      <c r="D184" s="59" t="str">
        <f>IF($C184="B",INDEX(Batters[[#All],[POS]],MATCH(Table5[[#This Row],[PID]],Batters[[#All],[PID]],0)),INDEX(Table3[[#All],[POS]],MATCH(Table5[[#This Row],[PID]],Table3[[#All],[PID]],0)))</f>
        <v>LF</v>
      </c>
      <c r="E184" s="52" t="str">
        <f>IF($C184="B",INDEX(Batters[[#All],[First]],MATCH(Table5[[#This Row],[PID]],Batters[[#All],[PID]],0)),INDEX(Table3[[#All],[First]],MATCH(Table5[[#This Row],[PID]],Table3[[#All],[PID]],0)))</f>
        <v>Scott</v>
      </c>
      <c r="F184" s="55" t="str">
        <f>IF($C184="B",INDEX(Batters[[#All],[Last]],MATCH(A184,Batters[[#All],[PID]],0)),INDEX(Table3[[#All],[Last]],MATCH(A184,Table3[[#All],[PID]],0)))</f>
        <v>García</v>
      </c>
      <c r="G184" s="56">
        <f>IF($C184="B",INDEX(Batters[[#All],[Age]],MATCH(Table5[[#This Row],[PID]],Batters[[#All],[PID]],0)),INDEX(Table3[[#All],[Age]],MATCH(Table5[[#This Row],[PID]],Table3[[#All],[PID]],0)))</f>
        <v>21</v>
      </c>
      <c r="H184" s="52" t="str">
        <f>IF($C184="B",INDEX(Batters[[#All],[B]],MATCH(Table5[[#This Row],[PID]],Batters[[#All],[PID]],0)),INDEX(Table3[[#All],[B]],MATCH(Table5[[#This Row],[PID]],Table3[[#All],[PID]],0)))</f>
        <v>S</v>
      </c>
      <c r="I184" s="52" t="str">
        <f>IF($C184="B",INDEX(Batters[[#All],[T]],MATCH(Table5[[#This Row],[PID]],Batters[[#All],[PID]],0)),INDEX(Table3[[#All],[T]],MATCH(Table5[[#This Row],[PID]],Table3[[#All],[PID]],0)))</f>
        <v>R</v>
      </c>
      <c r="J184" s="69" t="str">
        <f>IF($C184="B",INDEX(Batters[[#All],[WE]],MATCH(Table5[[#This Row],[PID]],Batters[[#All],[PID]],0)),INDEX(Table3[[#All],[WE]],MATCH(Table5[[#This Row],[PID]],Table3[[#All],[PID]],0)))</f>
        <v>High</v>
      </c>
      <c r="K184" s="52" t="str">
        <f>IF($C184="B",INDEX(Batters[[#All],[INT]],MATCH(Table5[[#This Row],[PID]],Batters[[#All],[PID]],0)),INDEX(Table3[[#All],[INT]],MATCH(Table5[[#This Row],[PID]],Table3[[#All],[PID]],0)))</f>
        <v>High</v>
      </c>
      <c r="L184" s="60">
        <f>IF($C184="B",INDEX(Batters[[#All],[CON P]],MATCH(Table5[[#This Row],[PID]],Batters[[#All],[PID]],0)),INDEX(Table3[[#All],[STU P]],MATCH(Table5[[#This Row],[PID]],Table3[[#All],[PID]],0)))</f>
        <v>5</v>
      </c>
      <c r="M184" s="70">
        <f>IF($C184="B",INDEX(Batters[[#All],[GAP P]],MATCH(Table5[[#This Row],[PID]],Batters[[#All],[PID]],0)),INDEX(Table3[[#All],[MOV P]],MATCH(Table5[[#This Row],[PID]],Table3[[#All],[PID]],0)))</f>
        <v>6</v>
      </c>
      <c r="N184" s="70">
        <f>IF($C184="B",INDEX(Batters[[#All],[POW P]],MATCH(Table5[[#This Row],[PID]],Batters[[#All],[PID]],0)),INDEX(Table3[[#All],[CON P]],MATCH(Table5[[#This Row],[PID]],Table3[[#All],[PID]],0)))</f>
        <v>3</v>
      </c>
      <c r="O184" s="70">
        <f>IF($C184="B",INDEX(Batters[[#All],[EYE P]],MATCH(Table5[[#This Row],[PID]],Batters[[#All],[PID]],0)),INDEX(Table3[[#All],[VELO]],MATCH(Table5[[#This Row],[PID]],Table3[[#All],[PID]],0)))</f>
        <v>4</v>
      </c>
      <c r="P184" s="56">
        <f>IF($C184="B",INDEX(Batters[[#All],[K P]],MATCH(Table5[[#This Row],[PID]],Batters[[#All],[PID]],0)),INDEX(Table3[[#All],[STM]],MATCH(Table5[[#This Row],[PID]],Table3[[#All],[PID]],0)))</f>
        <v>7</v>
      </c>
      <c r="Q184" s="61">
        <f>IF($C184="B",INDEX(Batters[[#All],[Tot]],MATCH(Table5[[#This Row],[PID]],Batters[[#All],[PID]],0)),INDEX(Table3[[#All],[Tot]],MATCH(Table5[[#This Row],[PID]],Table3[[#All],[PID]],0)))</f>
        <v>47.155999866124532</v>
      </c>
      <c r="R184" s="52">
        <f>IF($C184="B",INDEX(Batters[[#All],[zScore]],MATCH(Table5[[#This Row],[PID]],Batters[[#All],[PID]],0)),INDEX(Table3[[#All],[zScore]],MATCH(Table5[[#This Row],[PID]],Table3[[#All],[PID]],0)))</f>
        <v>0.57475079035931842</v>
      </c>
      <c r="S184" s="75" t="str">
        <f>IF($C184="B",INDEX(Batters[[#All],[DEM]],MATCH(Table5[[#This Row],[PID]],Batters[[#All],[PID]],0)),INDEX(Table3[[#All],[DEM]],MATCH(Table5[[#This Row],[PID]],Table3[[#All],[PID]],0)))</f>
        <v>$20k</v>
      </c>
      <c r="T184" s="72">
        <f>IF($C184="B",INDEX(Batters[[#All],[Rnk]],MATCH(Table5[[#This Row],[PID]],Batters[[#All],[PID]],0)),INDEX(Table3[[#All],[Rnk]],MATCH(Table5[[#This Row],[PID]],Table3[[#All],[PID]],0)))</f>
        <v>900</v>
      </c>
      <c r="U184" s="67">
        <f>IF($C184="B",VLOOKUP($A184,Bat!$A$4:$BA$1314,47,FALSE),VLOOKUP($A184,Pit!$A$4:$BF$1214,56,FALSE))</f>
        <v>98</v>
      </c>
      <c r="V184" s="50">
        <f>IF($C184="B",VLOOKUP($A184,Bat!$A$4:$BA$1314,48,FALSE),VLOOKUP($A184,Pit!$A$4:$BF$1214,57,FALSE))</f>
        <v>98</v>
      </c>
      <c r="W184" s="68">
        <v>180</v>
      </c>
      <c r="X184" s="71">
        <f>RANK(Table5[[#This Row],[zScore]],Table5[[#All],[zScore]])</f>
        <v>210</v>
      </c>
      <c r="Y184" s="68">
        <f>IFERROR(INDEX(DraftResults[[#All],[OVR]],MATCH(Table5[[#This Row],[PID]],DraftResults[[#All],[Player ID]],0)),"")</f>
        <v>162</v>
      </c>
      <c r="Z184" s="7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5</v>
      </c>
      <c r="AA184" s="68">
        <f>IFERROR(INDEX(DraftResults[[#All],[Pick in Round]],MATCH(Table5[[#This Row],[PID]],DraftResults[[#All],[Player ID]],0)),"")</f>
        <v>25</v>
      </c>
      <c r="AB184" s="68" t="str">
        <f>IFERROR(INDEX(DraftResults[[#All],[Team Name]],MATCH(Table5[[#This Row],[PID]],DraftResults[[#All],[Player ID]],0)),"")</f>
        <v>London Underground</v>
      </c>
      <c r="AC184" s="68">
        <f>IF(Table5[[#This Row],[Ovr]]="","",IF(Table5[[#This Row],[cmbList]]="","",Table5[[#This Row],[cmbList]]-Table5[[#This Row],[Ovr]]))</f>
        <v>18</v>
      </c>
      <c r="AD184" s="74" t="str">
        <f>IF(ISERROR(VLOOKUP($AB184&amp;"-"&amp;$E184&amp;" "&amp;F184,Bonuses!$B$1:$G$1006,4,FALSE)),"",INT(VLOOKUP($AB184&amp;"-"&amp;$E184&amp;" "&amp;$F184,Bonuses!$B$1:$G$1006,4,FALSE)))</f>
        <v/>
      </c>
      <c r="AE184" s="68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5.25 (162) - LF Scott García</v>
      </c>
    </row>
    <row r="185" spans="1:31" s="50" customFormat="1" x14ac:dyDescent="0.3">
      <c r="A185" s="50">
        <v>13273</v>
      </c>
      <c r="B185" s="50">
        <f>COUNTIF(Table5[PID],A185)</f>
        <v>1</v>
      </c>
      <c r="C185" s="50" t="str">
        <f>IF(COUNTIF(Table3[[#All],[PID]],A185)&gt;0,"P","B")</f>
        <v>B</v>
      </c>
      <c r="D185" s="59" t="str">
        <f>IF($C185="B",INDEX(Batters[[#All],[POS]],MATCH(Table5[[#This Row],[PID]],Batters[[#All],[PID]],0)),INDEX(Table3[[#All],[POS]],MATCH(Table5[[#This Row],[PID]],Table3[[#All],[PID]],0)))</f>
        <v>2B</v>
      </c>
      <c r="E185" s="52" t="str">
        <f>IF($C185="B",INDEX(Batters[[#All],[First]],MATCH(Table5[[#This Row],[PID]],Batters[[#All],[PID]],0)),INDEX(Table3[[#All],[First]],MATCH(Table5[[#This Row],[PID]],Table3[[#All],[PID]],0)))</f>
        <v>Yoshitora</v>
      </c>
      <c r="F185" s="50" t="str">
        <f>IF($C185="B",INDEX(Batters[[#All],[Last]],MATCH(A185,Batters[[#All],[PID]],0)),INDEX(Table3[[#All],[Last]],MATCH(A185,Table3[[#All],[PID]],0)))</f>
        <v>Ando</v>
      </c>
      <c r="G185" s="56">
        <f>IF($C185="B",INDEX(Batters[[#All],[Age]],MATCH(Table5[[#This Row],[PID]],Batters[[#All],[PID]],0)),INDEX(Table3[[#All],[Age]],MATCH(Table5[[#This Row],[PID]],Table3[[#All],[PID]],0)))</f>
        <v>17</v>
      </c>
      <c r="H185" s="52" t="str">
        <f>IF($C185="B",INDEX(Batters[[#All],[B]],MATCH(Table5[[#This Row],[PID]],Batters[[#All],[PID]],0)),INDEX(Table3[[#All],[B]],MATCH(Table5[[#This Row],[PID]],Table3[[#All],[PID]],0)))</f>
        <v>R</v>
      </c>
      <c r="I185" s="52" t="str">
        <f>IF($C185="B",INDEX(Batters[[#All],[T]],MATCH(Table5[[#This Row],[PID]],Batters[[#All],[PID]],0)),INDEX(Table3[[#All],[T]],MATCH(Table5[[#This Row],[PID]],Table3[[#All],[PID]],0)))</f>
        <v>R</v>
      </c>
      <c r="J185" s="52" t="str">
        <f>IF($C185="B",INDEX(Batters[[#All],[WE]],MATCH(Table5[[#This Row],[PID]],Batters[[#All],[PID]],0)),INDEX(Table3[[#All],[WE]],MATCH(Table5[[#This Row],[PID]],Table3[[#All],[PID]],0)))</f>
        <v>High</v>
      </c>
      <c r="K185" s="52" t="str">
        <f>IF($C185="B",INDEX(Batters[[#All],[INT]],MATCH(Table5[[#This Row],[PID]],Batters[[#All],[PID]],0)),INDEX(Table3[[#All],[INT]],MATCH(Table5[[#This Row],[PID]],Table3[[#All],[PID]],0)))</f>
        <v>Normal</v>
      </c>
      <c r="L185" s="60">
        <f>IF($C185="B",INDEX(Batters[[#All],[CON P]],MATCH(Table5[[#This Row],[PID]],Batters[[#All],[PID]],0)),INDEX(Table3[[#All],[STU P]],MATCH(Table5[[#This Row],[PID]],Table3[[#All],[PID]],0)))</f>
        <v>4</v>
      </c>
      <c r="M185" s="56">
        <f>IF($C185="B",INDEX(Batters[[#All],[GAP P]],MATCH(Table5[[#This Row],[PID]],Batters[[#All],[PID]],0)),INDEX(Table3[[#All],[MOV P]],MATCH(Table5[[#This Row],[PID]],Table3[[#All],[PID]],0)))</f>
        <v>6</v>
      </c>
      <c r="N185" s="56">
        <f>IF($C185="B",INDEX(Batters[[#All],[POW P]],MATCH(Table5[[#This Row],[PID]],Batters[[#All],[PID]],0)),INDEX(Table3[[#All],[CON P]],MATCH(Table5[[#This Row],[PID]],Table3[[#All],[PID]],0)))</f>
        <v>6</v>
      </c>
      <c r="O185" s="56">
        <f>IF($C185="B",INDEX(Batters[[#All],[EYE P]],MATCH(Table5[[#This Row],[PID]],Batters[[#All],[PID]],0)),INDEX(Table3[[#All],[VELO]],MATCH(Table5[[#This Row],[PID]],Table3[[#All],[PID]],0)))</f>
        <v>5</v>
      </c>
      <c r="P185" s="56">
        <f>IF($C185="B",INDEX(Batters[[#All],[K P]],MATCH(Table5[[#This Row],[PID]],Batters[[#All],[PID]],0)),INDEX(Table3[[#All],[STM]],MATCH(Table5[[#This Row],[PID]],Table3[[#All],[PID]],0)))</f>
        <v>4</v>
      </c>
      <c r="Q185" s="61">
        <f>IF($C185="B",INDEX(Batters[[#All],[Tot]],MATCH(Table5[[#This Row],[PID]],Batters[[#All],[PID]],0)),INDEX(Table3[[#All],[Tot]],MATCH(Table5[[#This Row],[PID]],Table3[[#All],[PID]],0)))</f>
        <v>50.544364417449749</v>
      </c>
      <c r="R185" s="52">
        <f>IF($C185="B",INDEX(Batters[[#All],[zScore]],MATCH(Table5[[#This Row],[PID]],Batters[[#All],[PID]],0)),INDEX(Table3[[#All],[zScore]],MATCH(Table5[[#This Row],[PID]],Table3[[#All],[PID]],0)))</f>
        <v>1.0693439587116806</v>
      </c>
      <c r="S185" s="58" t="str">
        <f>IF($C185="B",INDEX(Batters[[#All],[DEM]],MATCH(Table5[[#This Row],[PID]],Batters[[#All],[PID]],0)),INDEX(Table3[[#All],[DEM]],MATCH(Table5[[#This Row],[PID]],Table3[[#All],[PID]],0)))</f>
        <v>$270k</v>
      </c>
      <c r="T185" s="62">
        <f>IF($C185="B",INDEX(Batters[[#All],[Rnk]],MATCH(Table5[[#This Row],[PID]],Batters[[#All],[PID]],0)),INDEX(Table3[[#All],[Rnk]],MATCH(Table5[[#This Row],[PID]],Table3[[#All],[PID]],0)))</f>
        <v>900</v>
      </c>
      <c r="U185" s="67">
        <f>IF($C185="B",VLOOKUP($A185,Bat!$A$4:$BA$1314,47,FALSE),VLOOKUP($A185,Pit!$A$4:$BF$1214,56,FALSE))</f>
        <v>99</v>
      </c>
      <c r="V185" s="50">
        <f>IF($C185="B",VLOOKUP($A185,Bat!$A$4:$BA$1314,48,FALSE),VLOOKUP($A185,Pit!$A$4:$BF$1214,57,FALSE))</f>
        <v>99</v>
      </c>
      <c r="W185" s="50">
        <v>181</v>
      </c>
      <c r="X185" s="51">
        <f>RANK(Table5[[#This Row],[zScore]],Table5[[#All],[zScore]])</f>
        <v>136</v>
      </c>
      <c r="Y185" s="50">
        <f>IFERROR(INDEX(DraftResults[[#All],[OVR]],MATCH(Table5[[#This Row],[PID]],DraftResults[[#All],[Player ID]],0)),"")</f>
        <v>114</v>
      </c>
      <c r="Z185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4</v>
      </c>
      <c r="AA185" s="50">
        <f>IFERROR(INDEX(DraftResults[[#All],[Pick in Round]],MATCH(Table5[[#This Row],[PID]],DraftResults[[#All],[Player ID]],0)),"")</f>
        <v>9</v>
      </c>
      <c r="AB185" s="50" t="str">
        <f>IFERROR(INDEX(DraftResults[[#All],[Team Name]],MATCH(Table5[[#This Row],[PID]],DraftResults[[#All],[Player ID]],0)),"")</f>
        <v>Tempe Knights</v>
      </c>
      <c r="AC185" s="50">
        <f>IF(Table5[[#This Row],[Ovr]]="","",IF(Table5[[#This Row],[cmbList]]="","",Table5[[#This Row],[cmbList]]-Table5[[#This Row],[Ovr]]))</f>
        <v>67</v>
      </c>
      <c r="AD185" s="54" t="str">
        <f>IF(ISERROR(VLOOKUP($AB185&amp;"-"&amp;$E185&amp;" "&amp;F185,Bonuses!$B$1:$G$1006,4,FALSE)),"",INT(VLOOKUP($AB185&amp;"-"&amp;$E185&amp;" "&amp;$F185,Bonuses!$B$1:$G$1006,4,FALSE)))</f>
        <v/>
      </c>
      <c r="AE185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4.9 (114) - 2B Yoshitora Ando</v>
      </c>
    </row>
    <row r="186" spans="1:31" s="50" customFormat="1" x14ac:dyDescent="0.3">
      <c r="A186" s="50">
        <v>12332</v>
      </c>
      <c r="B186" s="50">
        <f>COUNTIF(Table5[PID],A186)</f>
        <v>1</v>
      </c>
      <c r="C186" s="50" t="str">
        <f>IF(COUNTIF(Table3[[#All],[PID]],A186)&gt;0,"P","B")</f>
        <v>B</v>
      </c>
      <c r="D186" s="59" t="str">
        <f>IF($C186="B",INDEX(Batters[[#All],[POS]],MATCH(Table5[[#This Row],[PID]],Batters[[#All],[PID]],0)),INDEX(Table3[[#All],[POS]],MATCH(Table5[[#This Row],[PID]],Table3[[#All],[PID]],0)))</f>
        <v>LF</v>
      </c>
      <c r="E186" s="52" t="str">
        <f>IF($C186="B",INDEX(Batters[[#All],[First]],MATCH(Table5[[#This Row],[PID]],Batters[[#All],[PID]],0)),INDEX(Table3[[#All],[First]],MATCH(Table5[[#This Row],[PID]],Table3[[#All],[PID]],0)))</f>
        <v>Pedro</v>
      </c>
      <c r="F186" s="50" t="str">
        <f>IF($C186="B",INDEX(Batters[[#All],[Last]],MATCH(A186,Batters[[#All],[PID]],0)),INDEX(Table3[[#All],[Last]],MATCH(A186,Table3[[#All],[PID]],0)))</f>
        <v>Hernández</v>
      </c>
      <c r="G186" s="56">
        <f>IF($C186="B",INDEX(Batters[[#All],[Age]],MATCH(Table5[[#This Row],[PID]],Batters[[#All],[PID]],0)),INDEX(Table3[[#All],[Age]],MATCH(Table5[[#This Row],[PID]],Table3[[#All],[PID]],0)))</f>
        <v>17</v>
      </c>
      <c r="H186" s="52" t="str">
        <f>IF($C186="B",INDEX(Batters[[#All],[B]],MATCH(Table5[[#This Row],[PID]],Batters[[#All],[PID]],0)),INDEX(Table3[[#All],[B]],MATCH(Table5[[#This Row],[PID]],Table3[[#All],[PID]],0)))</f>
        <v>S</v>
      </c>
      <c r="I186" s="52" t="str">
        <f>IF($C186="B",INDEX(Batters[[#All],[T]],MATCH(Table5[[#This Row],[PID]],Batters[[#All],[PID]],0)),INDEX(Table3[[#All],[T]],MATCH(Table5[[#This Row],[PID]],Table3[[#All],[PID]],0)))</f>
        <v>L</v>
      </c>
      <c r="J186" s="52" t="str">
        <f>IF($C186="B",INDEX(Batters[[#All],[WE]],MATCH(Table5[[#This Row],[PID]],Batters[[#All],[PID]],0)),INDEX(Table3[[#All],[WE]],MATCH(Table5[[#This Row],[PID]],Table3[[#All],[PID]],0)))</f>
        <v>High</v>
      </c>
      <c r="K186" s="52" t="str">
        <f>IF($C186="B",INDEX(Batters[[#All],[INT]],MATCH(Table5[[#This Row],[PID]],Batters[[#All],[PID]],0)),INDEX(Table3[[#All],[INT]],MATCH(Table5[[#This Row],[PID]],Table3[[#All],[PID]],0)))</f>
        <v>Normal</v>
      </c>
      <c r="L186" s="60">
        <f>IF($C186="B",INDEX(Batters[[#All],[CON P]],MATCH(Table5[[#This Row],[PID]],Batters[[#All],[PID]],0)),INDEX(Table3[[#All],[STU P]],MATCH(Table5[[#This Row],[PID]],Table3[[#All],[PID]],0)))</f>
        <v>3</v>
      </c>
      <c r="M186" s="56">
        <f>IF($C186="B",INDEX(Batters[[#All],[GAP P]],MATCH(Table5[[#This Row],[PID]],Batters[[#All],[PID]],0)),INDEX(Table3[[#All],[MOV P]],MATCH(Table5[[#This Row],[PID]],Table3[[#All],[PID]],0)))</f>
        <v>3</v>
      </c>
      <c r="N186" s="56">
        <f>IF($C186="B",INDEX(Batters[[#All],[POW P]],MATCH(Table5[[#This Row],[PID]],Batters[[#All],[PID]],0)),INDEX(Table3[[#All],[CON P]],MATCH(Table5[[#This Row],[PID]],Table3[[#All],[PID]],0)))</f>
        <v>8</v>
      </c>
      <c r="O186" s="56">
        <f>IF($C186="B",INDEX(Batters[[#All],[EYE P]],MATCH(Table5[[#This Row],[PID]],Batters[[#All],[PID]],0)),INDEX(Table3[[#All],[VELO]],MATCH(Table5[[#This Row],[PID]],Table3[[#All],[PID]],0)))</f>
        <v>7</v>
      </c>
      <c r="P186" s="56">
        <f>IF($C186="B",INDEX(Batters[[#All],[K P]],MATCH(Table5[[#This Row],[PID]],Batters[[#All],[PID]],0)),INDEX(Table3[[#All],[STM]],MATCH(Table5[[#This Row],[PID]],Table3[[#All],[PID]],0)))</f>
        <v>1</v>
      </c>
      <c r="Q186" s="61">
        <f>IF($C186="B",INDEX(Batters[[#All],[Tot]],MATCH(Table5[[#This Row],[PID]],Batters[[#All],[PID]],0)),INDEX(Table3[[#All],[Tot]],MATCH(Table5[[#This Row],[PID]],Table3[[#All],[PID]],0)))</f>
        <v>47.547719196071327</v>
      </c>
      <c r="R186" s="52">
        <f>IF($C186="B",INDEX(Batters[[#All],[zScore]],MATCH(Table5[[#This Row],[PID]],Batters[[#All],[PID]],0)),INDEX(Table3[[#All],[zScore]],MATCH(Table5[[#This Row],[PID]],Table3[[#All],[PID]],0)))</f>
        <v>0.63192932046390116</v>
      </c>
      <c r="S186" s="58" t="str">
        <f>IF($C186="B",INDEX(Batters[[#All],[DEM]],MATCH(Table5[[#This Row],[PID]],Batters[[#All],[PID]],0)),INDEX(Table3[[#All],[DEM]],MATCH(Table5[[#This Row],[PID]],Table3[[#All],[PID]],0)))</f>
        <v>$330k</v>
      </c>
      <c r="T186" s="62">
        <f>IF($C186="B",INDEX(Batters[[#All],[Rnk]],MATCH(Table5[[#This Row],[PID]],Batters[[#All],[PID]],0)),INDEX(Table3[[#All],[Rnk]],MATCH(Table5[[#This Row],[PID]],Table3[[#All],[PID]],0)))</f>
        <v>900</v>
      </c>
      <c r="U186" s="67">
        <f>IF($C186="B",VLOOKUP($A186,Bat!$A$4:$BA$1314,47,FALSE),VLOOKUP($A186,Pit!$A$4:$BF$1214,56,FALSE))</f>
        <v>100</v>
      </c>
      <c r="V186" s="50">
        <f>IF($C186="B",VLOOKUP($A186,Bat!$A$4:$BA$1314,48,FALSE),VLOOKUP($A186,Pit!$A$4:$BF$1214,57,FALSE))</f>
        <v>100</v>
      </c>
      <c r="W186" s="50">
        <v>182</v>
      </c>
      <c r="X186" s="51">
        <f>RANK(Table5[[#This Row],[zScore]],Table5[[#All],[zScore]])</f>
        <v>196</v>
      </c>
      <c r="Y186" s="50">
        <f>IFERROR(INDEX(DraftResults[[#All],[OVR]],MATCH(Table5[[#This Row],[PID]],DraftResults[[#All],[Player ID]],0)),"")</f>
        <v>154</v>
      </c>
      <c r="Z186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5</v>
      </c>
      <c r="AA186" s="50">
        <f>IFERROR(INDEX(DraftResults[[#All],[Pick in Round]],MATCH(Table5[[#This Row],[PID]],DraftResults[[#All],[Player ID]],0)),"")</f>
        <v>17</v>
      </c>
      <c r="AB186" s="50" t="str">
        <f>IFERROR(INDEX(DraftResults[[#All],[Team Name]],MATCH(Table5[[#This Row],[PID]],DraftResults[[#All],[Player ID]],0)),"")</f>
        <v>Niihama-shi Ghosts</v>
      </c>
      <c r="AC186" s="50">
        <f>IF(Table5[[#This Row],[Ovr]]="","",IF(Table5[[#This Row],[cmbList]]="","",Table5[[#This Row],[cmbList]]-Table5[[#This Row],[Ovr]]))</f>
        <v>28</v>
      </c>
      <c r="AD186" s="54" t="str">
        <f>IF(ISERROR(VLOOKUP($AB186&amp;"-"&amp;$E186&amp;" "&amp;F186,Bonuses!$B$1:$G$1006,4,FALSE)),"",INT(VLOOKUP($AB186&amp;"-"&amp;$E186&amp;" "&amp;$F186,Bonuses!$B$1:$G$1006,4,FALSE)))</f>
        <v/>
      </c>
      <c r="AE186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5.17 (154) - LF Pedro Hernández</v>
      </c>
    </row>
    <row r="187" spans="1:31" s="50" customFormat="1" x14ac:dyDescent="0.3">
      <c r="A187" s="50">
        <v>13171</v>
      </c>
      <c r="B187" s="50">
        <f>COUNTIF(Table5[PID],A187)</f>
        <v>1</v>
      </c>
      <c r="C187" s="50" t="str">
        <f>IF(COUNTIF(Table3[[#All],[PID]],A187)&gt;0,"P","B")</f>
        <v>B</v>
      </c>
      <c r="D187" s="59" t="str">
        <f>IF($C187="B",INDEX(Batters[[#All],[POS]],MATCH(Table5[[#This Row],[PID]],Batters[[#All],[PID]],0)),INDEX(Table3[[#All],[POS]],MATCH(Table5[[#This Row],[PID]],Table3[[#All],[PID]],0)))</f>
        <v>1B</v>
      </c>
      <c r="E187" s="52" t="str">
        <f>IF($C187="B",INDEX(Batters[[#All],[First]],MATCH(Table5[[#This Row],[PID]],Batters[[#All],[PID]],0)),INDEX(Table3[[#All],[First]],MATCH(Table5[[#This Row],[PID]],Table3[[#All],[PID]],0)))</f>
        <v>Yoshi</v>
      </c>
      <c r="F187" s="50" t="str">
        <f>IF($C187="B",INDEX(Batters[[#All],[Last]],MATCH(A187,Batters[[#All],[PID]],0)),INDEX(Table3[[#All],[Last]],MATCH(A187,Table3[[#All],[PID]],0)))</f>
        <v>Ishikawa</v>
      </c>
      <c r="G187" s="56">
        <f>IF($C187="B",INDEX(Batters[[#All],[Age]],MATCH(Table5[[#This Row],[PID]],Batters[[#All],[PID]],0)),INDEX(Table3[[#All],[Age]],MATCH(Table5[[#This Row],[PID]],Table3[[#All],[PID]],0)))</f>
        <v>17</v>
      </c>
      <c r="H187" s="52" t="str">
        <f>IF($C187="B",INDEX(Batters[[#All],[B]],MATCH(Table5[[#This Row],[PID]],Batters[[#All],[PID]],0)),INDEX(Table3[[#All],[B]],MATCH(Table5[[#This Row],[PID]],Table3[[#All],[PID]],0)))</f>
        <v>R</v>
      </c>
      <c r="I187" s="52" t="str">
        <f>IF($C187="B",INDEX(Batters[[#All],[T]],MATCH(Table5[[#This Row],[PID]],Batters[[#All],[PID]],0)),INDEX(Table3[[#All],[T]],MATCH(Table5[[#This Row],[PID]],Table3[[#All],[PID]],0)))</f>
        <v>R</v>
      </c>
      <c r="J187" s="52" t="str">
        <f>IF($C187="B",INDEX(Batters[[#All],[WE]],MATCH(Table5[[#This Row],[PID]],Batters[[#All],[PID]],0)),INDEX(Table3[[#All],[WE]],MATCH(Table5[[#This Row],[PID]],Table3[[#All],[PID]],0)))</f>
        <v>Low</v>
      </c>
      <c r="K187" s="52" t="str">
        <f>IF($C187="B",INDEX(Batters[[#All],[INT]],MATCH(Table5[[#This Row],[PID]],Batters[[#All],[PID]],0)),INDEX(Table3[[#All],[INT]],MATCH(Table5[[#This Row],[PID]],Table3[[#All],[PID]],0)))</f>
        <v>High</v>
      </c>
      <c r="L187" s="60">
        <f>IF($C187="B",INDEX(Batters[[#All],[CON P]],MATCH(Table5[[#This Row],[PID]],Batters[[#All],[PID]],0)),INDEX(Table3[[#All],[STU P]],MATCH(Table5[[#This Row],[PID]],Table3[[#All],[PID]],0)))</f>
        <v>4</v>
      </c>
      <c r="M187" s="56">
        <f>IF($C187="B",INDEX(Batters[[#All],[GAP P]],MATCH(Table5[[#This Row],[PID]],Batters[[#All],[PID]],0)),INDEX(Table3[[#All],[MOV P]],MATCH(Table5[[#This Row],[PID]],Table3[[#All],[PID]],0)))</f>
        <v>7</v>
      </c>
      <c r="N187" s="56">
        <f>IF($C187="B",INDEX(Batters[[#All],[POW P]],MATCH(Table5[[#This Row],[PID]],Batters[[#All],[PID]],0)),INDEX(Table3[[#All],[CON P]],MATCH(Table5[[#This Row],[PID]],Table3[[#All],[PID]],0)))</f>
        <v>8</v>
      </c>
      <c r="O187" s="56">
        <f>IF($C187="B",INDEX(Batters[[#All],[EYE P]],MATCH(Table5[[#This Row],[PID]],Batters[[#All],[PID]],0)),INDEX(Table3[[#All],[VELO]],MATCH(Table5[[#This Row],[PID]],Table3[[#All],[PID]],0)))</f>
        <v>7</v>
      </c>
      <c r="P187" s="56">
        <f>IF($C187="B",INDEX(Batters[[#All],[K P]],MATCH(Table5[[#This Row],[PID]],Batters[[#All],[PID]],0)),INDEX(Table3[[#All],[STM]],MATCH(Table5[[#This Row],[PID]],Table3[[#All],[PID]],0)))</f>
        <v>3</v>
      </c>
      <c r="Q187" s="61">
        <f>IF($C187="B",INDEX(Batters[[#All],[Tot]],MATCH(Table5[[#This Row],[PID]],Batters[[#All],[PID]],0)),INDEX(Table3[[#All],[Tot]],MATCH(Table5[[#This Row],[PID]],Table3[[#All],[PID]],0)))</f>
        <v>54.394973571696795</v>
      </c>
      <c r="R187" s="52">
        <f>IF($C187="B",INDEX(Batters[[#All],[zScore]],MATCH(Table5[[#This Row],[PID]],Batters[[#All],[PID]],0)),INDEX(Table3[[#All],[zScore]],MATCH(Table5[[#This Row],[PID]],Table3[[#All],[PID]],0)))</f>
        <v>1.6302233447243721</v>
      </c>
      <c r="S187" s="58" t="str">
        <f>IF($C187="B",INDEX(Batters[[#All],[DEM]],MATCH(Table5[[#This Row],[PID]],Batters[[#All],[PID]],0)),INDEX(Table3[[#All],[DEM]],MATCH(Table5[[#This Row],[PID]],Table3[[#All],[PID]],0)))</f>
        <v>$420k</v>
      </c>
      <c r="T187" s="62">
        <f>IF($C187="B",INDEX(Batters[[#All],[Rnk]],MATCH(Table5[[#This Row],[PID]],Batters[[#All],[PID]],0)),INDEX(Table3[[#All],[Rnk]],MATCH(Table5[[#This Row],[PID]],Table3[[#All],[PID]],0)))</f>
        <v>930</v>
      </c>
      <c r="U187" s="67">
        <f>IF($C187="B",VLOOKUP($A187,Bat!$A$4:$BA$1314,47,FALSE),VLOOKUP($A187,Pit!$A$4:$BF$1214,56,FALSE))</f>
        <v>101</v>
      </c>
      <c r="V187" s="50">
        <f>IF($C187="B",VLOOKUP($A187,Bat!$A$4:$BA$1314,48,FALSE),VLOOKUP($A187,Pit!$A$4:$BF$1214,57,FALSE))</f>
        <v>101</v>
      </c>
      <c r="W187" s="50">
        <v>183</v>
      </c>
      <c r="X187" s="51">
        <f>RANK(Table5[[#This Row],[zScore]],Table5[[#All],[zScore]])</f>
        <v>68</v>
      </c>
      <c r="Y187" s="50">
        <f>IFERROR(INDEX(DraftResults[[#All],[OVR]],MATCH(Table5[[#This Row],[PID]],DraftResults[[#All],[Player ID]],0)),"")</f>
        <v>51</v>
      </c>
      <c r="Z187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2</v>
      </c>
      <c r="AA187" s="50">
        <f>IFERROR(INDEX(DraftResults[[#All],[Pick in Round]],MATCH(Table5[[#This Row],[PID]],DraftResults[[#All],[Player ID]],0)),"")</f>
        <v>15</v>
      </c>
      <c r="AB187" s="50" t="str">
        <f>IFERROR(INDEX(DraftResults[[#All],[Team Name]],MATCH(Table5[[#This Row],[PID]],DraftResults[[#All],[Player ID]],0)),"")</f>
        <v>Scottish Claymores</v>
      </c>
      <c r="AC187" s="50">
        <f>IF(Table5[[#This Row],[Ovr]]="","",IF(Table5[[#This Row],[cmbList]]="","",Table5[[#This Row],[cmbList]]-Table5[[#This Row],[Ovr]]))</f>
        <v>132</v>
      </c>
      <c r="AD187" s="54" t="str">
        <f>IF(ISERROR(VLOOKUP($AB187&amp;"-"&amp;$E187&amp;" "&amp;F187,Bonuses!$B$1:$G$1006,4,FALSE)),"",INT(VLOOKUP($AB187&amp;"-"&amp;$E187&amp;" "&amp;$F187,Bonuses!$B$1:$G$1006,4,FALSE)))</f>
        <v/>
      </c>
      <c r="AE187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2.15 (51) - 1B Yoshi Ishikawa</v>
      </c>
    </row>
    <row r="188" spans="1:31" s="50" customFormat="1" x14ac:dyDescent="0.3">
      <c r="A188" s="50">
        <v>20741</v>
      </c>
      <c r="B188" s="50">
        <f>COUNTIF(Table5[PID],A188)</f>
        <v>1</v>
      </c>
      <c r="C188" s="50" t="str">
        <f>IF(COUNTIF(Table3[[#All],[PID]],A188)&gt;0,"P","B")</f>
        <v>B</v>
      </c>
      <c r="D188" s="59" t="str">
        <f>IF($C188="B",INDEX(Batters[[#All],[POS]],MATCH(Table5[[#This Row],[PID]],Batters[[#All],[PID]],0)),INDEX(Table3[[#All],[POS]],MATCH(Table5[[#This Row],[PID]],Table3[[#All],[PID]],0)))</f>
        <v>2B</v>
      </c>
      <c r="E188" s="52" t="str">
        <f>IF($C188="B",INDEX(Batters[[#All],[First]],MATCH(Table5[[#This Row],[PID]],Batters[[#All],[PID]],0)),INDEX(Table3[[#All],[First]],MATCH(Table5[[#This Row],[PID]],Table3[[#All],[PID]],0)))</f>
        <v>Claudio</v>
      </c>
      <c r="F188" s="50" t="str">
        <f>IF($C188="B",INDEX(Batters[[#All],[Last]],MATCH(A188,Batters[[#All],[PID]],0)),INDEX(Table3[[#All],[Last]],MATCH(A188,Table3[[#All],[PID]],0)))</f>
        <v>López</v>
      </c>
      <c r="G188" s="56">
        <f>IF($C188="B",INDEX(Batters[[#All],[Age]],MATCH(Table5[[#This Row],[PID]],Batters[[#All],[PID]],0)),INDEX(Table3[[#All],[Age]],MATCH(Table5[[#This Row],[PID]],Table3[[#All],[PID]],0)))</f>
        <v>17</v>
      </c>
      <c r="H188" s="52" t="str">
        <f>IF($C188="B",INDEX(Batters[[#All],[B]],MATCH(Table5[[#This Row],[PID]],Batters[[#All],[PID]],0)),INDEX(Table3[[#All],[B]],MATCH(Table5[[#This Row],[PID]],Table3[[#All],[PID]],0)))</f>
        <v>R</v>
      </c>
      <c r="I188" s="52" t="str">
        <f>IF($C188="B",INDEX(Batters[[#All],[T]],MATCH(Table5[[#This Row],[PID]],Batters[[#All],[PID]],0)),INDEX(Table3[[#All],[T]],MATCH(Table5[[#This Row],[PID]],Table3[[#All],[PID]],0)))</f>
        <v>R</v>
      </c>
      <c r="J188" s="52" t="str">
        <f>IF($C188="B",INDEX(Batters[[#All],[WE]],MATCH(Table5[[#This Row],[PID]],Batters[[#All],[PID]],0)),INDEX(Table3[[#All],[WE]],MATCH(Table5[[#This Row],[PID]],Table3[[#All],[PID]],0)))</f>
        <v>Low</v>
      </c>
      <c r="K188" s="52" t="str">
        <f>IF($C188="B",INDEX(Batters[[#All],[INT]],MATCH(Table5[[#This Row],[PID]],Batters[[#All],[PID]],0)),INDEX(Table3[[#All],[INT]],MATCH(Table5[[#This Row],[PID]],Table3[[#All],[PID]],0)))</f>
        <v>Normal</v>
      </c>
      <c r="L188" s="60">
        <f>IF($C188="B",INDEX(Batters[[#All],[CON P]],MATCH(Table5[[#This Row],[PID]],Batters[[#All],[PID]],0)),INDEX(Table3[[#All],[STU P]],MATCH(Table5[[#This Row],[PID]],Table3[[#All],[PID]],0)))</f>
        <v>5</v>
      </c>
      <c r="M188" s="56">
        <f>IF($C188="B",INDEX(Batters[[#All],[GAP P]],MATCH(Table5[[#This Row],[PID]],Batters[[#All],[PID]],0)),INDEX(Table3[[#All],[MOV P]],MATCH(Table5[[#This Row],[PID]],Table3[[#All],[PID]],0)))</f>
        <v>4</v>
      </c>
      <c r="N188" s="56">
        <f>IF($C188="B",INDEX(Batters[[#All],[POW P]],MATCH(Table5[[#This Row],[PID]],Batters[[#All],[PID]],0)),INDEX(Table3[[#All],[CON P]],MATCH(Table5[[#This Row],[PID]],Table3[[#All],[PID]],0)))</f>
        <v>3</v>
      </c>
      <c r="O188" s="56">
        <f>IF($C188="B",INDEX(Batters[[#All],[EYE P]],MATCH(Table5[[#This Row],[PID]],Batters[[#All],[PID]],0)),INDEX(Table3[[#All],[VELO]],MATCH(Table5[[#This Row],[PID]],Table3[[#All],[PID]],0)))</f>
        <v>6</v>
      </c>
      <c r="P188" s="56">
        <f>IF($C188="B",INDEX(Batters[[#All],[K P]],MATCH(Table5[[#This Row],[PID]],Batters[[#All],[PID]],0)),INDEX(Table3[[#All],[STM]],MATCH(Table5[[#This Row],[PID]],Table3[[#All],[PID]],0)))</f>
        <v>5</v>
      </c>
      <c r="Q188" s="61">
        <f>IF($C188="B",INDEX(Batters[[#All],[Tot]],MATCH(Table5[[#This Row],[PID]],Batters[[#All],[PID]],0)),INDEX(Table3[[#All],[Tot]],MATCH(Table5[[#This Row],[PID]],Table3[[#All],[PID]],0)))</f>
        <v>51.128468486822769</v>
      </c>
      <c r="R188" s="52">
        <f>IF($C188="B",INDEX(Batters[[#All],[zScore]],MATCH(Table5[[#This Row],[PID]],Batters[[#All],[PID]],0)),INDEX(Table3[[#All],[zScore]],MATCH(Table5[[#This Row],[PID]],Table3[[#All],[PID]],0)))</f>
        <v>1.1546045255552693</v>
      </c>
      <c r="S188" s="58" t="str">
        <f>IF($C188="B",INDEX(Batters[[#All],[DEM]],MATCH(Table5[[#This Row],[PID]],Batters[[#All],[PID]],0)),INDEX(Table3[[#All],[DEM]],MATCH(Table5[[#This Row],[PID]],Table3[[#All],[PID]],0)))</f>
        <v>$75k</v>
      </c>
      <c r="T188" s="62">
        <f>IF($C188="B",INDEX(Batters[[#All],[Rnk]],MATCH(Table5[[#This Row],[PID]],Batters[[#All],[PID]],0)),INDEX(Table3[[#All],[Rnk]],MATCH(Table5[[#This Row],[PID]],Table3[[#All],[PID]],0)))</f>
        <v>930</v>
      </c>
      <c r="U188" s="67">
        <f>IF($C188="B",VLOOKUP($A188,Bat!$A$4:$BA$1314,47,FALSE),VLOOKUP($A188,Pit!$A$4:$BF$1214,56,FALSE))</f>
        <v>102</v>
      </c>
      <c r="V188" s="50">
        <f>IF($C188="B",VLOOKUP($A188,Bat!$A$4:$BA$1314,48,FALSE),VLOOKUP($A188,Pit!$A$4:$BF$1214,57,FALSE))</f>
        <v>102</v>
      </c>
      <c r="W188" s="50">
        <v>184</v>
      </c>
      <c r="X188" s="51">
        <f>RANK(Table5[[#This Row],[zScore]],Table5[[#All],[zScore]])</f>
        <v>126</v>
      </c>
      <c r="Y188" s="50">
        <f>IFERROR(INDEX(DraftResults[[#All],[OVR]],MATCH(Table5[[#This Row],[PID]],DraftResults[[#All],[Player ID]],0)),"")</f>
        <v>342</v>
      </c>
      <c r="Z188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11</v>
      </c>
      <c r="AA188" s="50">
        <f>IFERROR(INDEX(DraftResults[[#All],[Pick in Round]],MATCH(Table5[[#This Row],[PID]],DraftResults[[#All],[Player ID]],0)),"")</f>
        <v>11</v>
      </c>
      <c r="AB188" s="50" t="str">
        <f>IFERROR(INDEX(DraftResults[[#All],[Team Name]],MATCH(Table5[[#This Row],[PID]],DraftResults[[#All],[Player ID]],0)),"")</f>
        <v>Arlington Bureaucrats</v>
      </c>
      <c r="AC188" s="50">
        <f>IF(Table5[[#This Row],[Ovr]]="","",IF(Table5[[#This Row],[cmbList]]="","",Table5[[#This Row],[cmbList]]-Table5[[#This Row],[Ovr]]))</f>
        <v>-158</v>
      </c>
      <c r="AD188" s="54" t="str">
        <f>IF(ISERROR(VLOOKUP($AB188&amp;"-"&amp;$E188&amp;" "&amp;F188,Bonuses!$B$1:$G$1006,4,FALSE)),"",INT(VLOOKUP($AB188&amp;"-"&amp;$E188&amp;" "&amp;$F188,Bonuses!$B$1:$G$1006,4,FALSE)))</f>
        <v/>
      </c>
      <c r="AE188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11.11 (342) - 2B Claudio López</v>
      </c>
    </row>
    <row r="189" spans="1:31" s="50" customFormat="1" x14ac:dyDescent="0.3">
      <c r="A189" s="67">
        <v>20721</v>
      </c>
      <c r="B189" s="68">
        <f>COUNTIF(Table5[PID],A189)</f>
        <v>1</v>
      </c>
      <c r="C189" s="68" t="str">
        <f>IF(COUNTIF(Table3[[#All],[PID]],A189)&gt;0,"P","B")</f>
        <v>B</v>
      </c>
      <c r="D189" s="59" t="str">
        <f>IF($C189="B",INDEX(Batters[[#All],[POS]],MATCH(Table5[[#This Row],[PID]],Batters[[#All],[PID]],0)),INDEX(Table3[[#All],[POS]],MATCH(Table5[[#This Row],[PID]],Table3[[#All],[PID]],0)))</f>
        <v>RF</v>
      </c>
      <c r="E189" s="52" t="str">
        <f>IF($C189="B",INDEX(Batters[[#All],[First]],MATCH(Table5[[#This Row],[PID]],Batters[[#All],[PID]],0)),INDEX(Table3[[#All],[First]],MATCH(Table5[[#This Row],[PID]],Table3[[#All],[PID]],0)))</f>
        <v>António</v>
      </c>
      <c r="F189" s="55" t="str">
        <f>IF($C189="B",INDEX(Batters[[#All],[Last]],MATCH(A189,Batters[[#All],[PID]],0)),INDEX(Table3[[#All],[Last]],MATCH(A189,Table3[[#All],[PID]],0)))</f>
        <v>Castillo</v>
      </c>
      <c r="G189" s="56">
        <f>IF($C189="B",INDEX(Batters[[#All],[Age]],MATCH(Table5[[#This Row],[PID]],Batters[[#All],[PID]],0)),INDEX(Table3[[#All],[Age]],MATCH(Table5[[#This Row],[PID]],Table3[[#All],[PID]],0)))</f>
        <v>17</v>
      </c>
      <c r="H189" s="52" t="str">
        <f>IF($C189="B",INDEX(Batters[[#All],[B]],MATCH(Table5[[#This Row],[PID]],Batters[[#All],[PID]],0)),INDEX(Table3[[#All],[B]],MATCH(Table5[[#This Row],[PID]],Table3[[#All],[PID]],0)))</f>
        <v>R</v>
      </c>
      <c r="I189" s="52" t="str">
        <f>IF($C189="B",INDEX(Batters[[#All],[T]],MATCH(Table5[[#This Row],[PID]],Batters[[#All],[PID]],0)),INDEX(Table3[[#All],[T]],MATCH(Table5[[#This Row],[PID]],Table3[[#All],[PID]],0)))</f>
        <v>R</v>
      </c>
      <c r="J189" s="69" t="str">
        <f>IF($C189="B",INDEX(Batters[[#All],[WE]],MATCH(Table5[[#This Row],[PID]],Batters[[#All],[PID]],0)),INDEX(Table3[[#All],[WE]],MATCH(Table5[[#This Row],[PID]],Table3[[#All],[PID]],0)))</f>
        <v>Low</v>
      </c>
      <c r="K189" s="52" t="str">
        <f>IF($C189="B",INDEX(Batters[[#All],[INT]],MATCH(Table5[[#This Row],[PID]],Batters[[#All],[PID]],0)),INDEX(Table3[[#All],[INT]],MATCH(Table5[[#This Row],[PID]],Table3[[#All],[PID]],0)))</f>
        <v>Normal</v>
      </c>
      <c r="L189" s="60">
        <f>IF($C189="B",INDEX(Batters[[#All],[CON P]],MATCH(Table5[[#This Row],[PID]],Batters[[#All],[PID]],0)),INDEX(Table3[[#All],[STU P]],MATCH(Table5[[#This Row],[PID]],Table3[[#All],[PID]],0)))</f>
        <v>4</v>
      </c>
      <c r="M189" s="70">
        <f>IF($C189="B",INDEX(Batters[[#All],[GAP P]],MATCH(Table5[[#This Row],[PID]],Batters[[#All],[PID]],0)),INDEX(Table3[[#All],[MOV P]],MATCH(Table5[[#This Row],[PID]],Table3[[#All],[PID]],0)))</f>
        <v>8</v>
      </c>
      <c r="N189" s="70">
        <f>IF($C189="B",INDEX(Batters[[#All],[POW P]],MATCH(Table5[[#This Row],[PID]],Batters[[#All],[PID]],0)),INDEX(Table3[[#All],[CON P]],MATCH(Table5[[#This Row],[PID]],Table3[[#All],[PID]],0)))</f>
        <v>4</v>
      </c>
      <c r="O189" s="70">
        <f>IF($C189="B",INDEX(Batters[[#All],[EYE P]],MATCH(Table5[[#This Row],[PID]],Batters[[#All],[PID]],0)),INDEX(Table3[[#All],[VELO]],MATCH(Table5[[#This Row],[PID]],Table3[[#All],[PID]],0)))</f>
        <v>5</v>
      </c>
      <c r="P189" s="56">
        <f>IF($C189="B",INDEX(Batters[[#All],[K P]],MATCH(Table5[[#This Row],[PID]],Batters[[#All],[PID]],0)),INDEX(Table3[[#All],[STM]],MATCH(Table5[[#This Row],[PID]],Table3[[#All],[PID]],0)))</f>
        <v>5</v>
      </c>
      <c r="Q189" s="61">
        <f>IF($C189="B",INDEX(Batters[[#All],[Tot]],MATCH(Table5[[#This Row],[PID]],Batters[[#All],[PID]],0)),INDEX(Table3[[#All],[Tot]],MATCH(Table5[[#This Row],[PID]],Table3[[#All],[PID]],0)))</f>
        <v>49.809111473233834</v>
      </c>
      <c r="R189" s="52">
        <f>IF($C189="B",INDEX(Batters[[#All],[zScore]],MATCH(Table5[[#This Row],[PID]],Batters[[#All],[PID]],0)),INDEX(Table3[[#All],[zScore]],MATCH(Table5[[#This Row],[PID]],Table3[[#All],[PID]],0)))</f>
        <v>0.96202047633198062</v>
      </c>
      <c r="S189" s="75" t="str">
        <f>IF($C189="B",INDEX(Batters[[#All],[DEM]],MATCH(Table5[[#This Row],[PID]],Batters[[#All],[PID]],0)),INDEX(Table3[[#All],[DEM]],MATCH(Table5[[#This Row],[PID]],Table3[[#All],[PID]],0)))</f>
        <v>$190k</v>
      </c>
      <c r="T189" s="72">
        <f>IF($C189="B",INDEX(Batters[[#All],[Rnk]],MATCH(Table5[[#This Row],[PID]],Batters[[#All],[PID]],0)),INDEX(Table3[[#All],[Rnk]],MATCH(Table5[[#This Row],[PID]],Table3[[#All],[PID]],0)))</f>
        <v>930</v>
      </c>
      <c r="U189" s="67">
        <f>IF($C189="B",VLOOKUP($A189,Bat!$A$4:$BA$1314,47,FALSE),VLOOKUP($A189,Pit!$A$4:$BF$1214,56,FALSE))</f>
        <v>103</v>
      </c>
      <c r="V189" s="50">
        <f>IF($C189="B",VLOOKUP($A189,Bat!$A$4:$BA$1314,48,FALSE),VLOOKUP($A189,Pit!$A$4:$BF$1214,57,FALSE))</f>
        <v>103</v>
      </c>
      <c r="W189" s="68">
        <v>185</v>
      </c>
      <c r="X189" s="71">
        <f>RANK(Table5[[#This Row],[zScore]],Table5[[#All],[zScore]])</f>
        <v>151</v>
      </c>
      <c r="Y189" s="68">
        <f>IFERROR(INDEX(DraftResults[[#All],[OVR]],MATCH(Table5[[#This Row],[PID]],DraftResults[[#All],[Player ID]],0)),"")</f>
        <v>186</v>
      </c>
      <c r="Z189" s="7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6</v>
      </c>
      <c r="AA189" s="68">
        <f>IFERROR(INDEX(DraftResults[[#All],[Pick in Round]],MATCH(Table5[[#This Row],[PID]],DraftResults[[#All],[Player ID]],0)),"")</f>
        <v>17</v>
      </c>
      <c r="AB189" s="68" t="str">
        <f>IFERROR(INDEX(DraftResults[[#All],[Team Name]],MATCH(Table5[[#This Row],[PID]],DraftResults[[#All],[Player ID]],0)),"")</f>
        <v>Duluth Warriors</v>
      </c>
      <c r="AC189" s="68">
        <f>IF(Table5[[#This Row],[Ovr]]="","",IF(Table5[[#This Row],[cmbList]]="","",Table5[[#This Row],[cmbList]]-Table5[[#This Row],[Ovr]]))</f>
        <v>-1</v>
      </c>
      <c r="AD189" s="74" t="str">
        <f>IF(ISERROR(VLOOKUP($AB189&amp;"-"&amp;$E189&amp;" "&amp;F189,Bonuses!$B$1:$G$1006,4,FALSE)),"",INT(VLOOKUP($AB189&amp;"-"&amp;$E189&amp;" "&amp;$F189,Bonuses!$B$1:$G$1006,4,FALSE)))</f>
        <v/>
      </c>
      <c r="AE189" s="68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6.17 (186) - RF António Castillo</v>
      </c>
    </row>
    <row r="190" spans="1:31" s="50" customFormat="1" x14ac:dyDescent="0.3">
      <c r="A190" s="50">
        <v>21021</v>
      </c>
      <c r="B190" s="50">
        <f>COUNTIF(Table5[PID],A190)</f>
        <v>1</v>
      </c>
      <c r="C190" s="50" t="str">
        <f>IF(COUNTIF(Table3[[#All],[PID]],A190)&gt;0,"P","B")</f>
        <v>B</v>
      </c>
      <c r="D190" s="59" t="str">
        <f>IF($C190="B",INDEX(Batters[[#All],[POS]],MATCH(Table5[[#This Row],[PID]],Batters[[#All],[PID]],0)),INDEX(Table3[[#All],[POS]],MATCH(Table5[[#This Row],[PID]],Table3[[#All],[PID]],0)))</f>
        <v>RF</v>
      </c>
      <c r="E190" s="52" t="str">
        <f>IF($C190="B",INDEX(Batters[[#All],[First]],MATCH(Table5[[#This Row],[PID]],Batters[[#All],[PID]],0)),INDEX(Table3[[#All],[First]],MATCH(Table5[[#This Row],[PID]],Table3[[#All],[PID]],0)))</f>
        <v>Reese</v>
      </c>
      <c r="F190" s="50" t="str">
        <f>IF($C190="B",INDEX(Batters[[#All],[Last]],MATCH(A190,Batters[[#All],[PID]],0)),INDEX(Table3[[#All],[Last]],MATCH(A190,Table3[[#All],[PID]],0)))</f>
        <v>Paredes</v>
      </c>
      <c r="G190" s="56">
        <f>IF($C190="B",INDEX(Batters[[#All],[Age]],MATCH(Table5[[#This Row],[PID]],Batters[[#All],[PID]],0)),INDEX(Table3[[#All],[Age]],MATCH(Table5[[#This Row],[PID]],Table3[[#All],[PID]],0)))</f>
        <v>18</v>
      </c>
      <c r="H190" s="52" t="str">
        <f>IF($C190="B",INDEX(Batters[[#All],[B]],MATCH(Table5[[#This Row],[PID]],Batters[[#All],[PID]],0)),INDEX(Table3[[#All],[B]],MATCH(Table5[[#This Row],[PID]],Table3[[#All],[PID]],0)))</f>
        <v>R</v>
      </c>
      <c r="I190" s="52" t="str">
        <f>IF($C190="B",INDEX(Batters[[#All],[T]],MATCH(Table5[[#This Row],[PID]],Batters[[#All],[PID]],0)),INDEX(Table3[[#All],[T]],MATCH(Table5[[#This Row],[PID]],Table3[[#All],[PID]],0)))</f>
        <v>R</v>
      </c>
      <c r="J190" s="52" t="str">
        <f>IF($C190="B",INDEX(Batters[[#All],[WE]],MATCH(Table5[[#This Row],[PID]],Batters[[#All],[PID]],0)),INDEX(Table3[[#All],[WE]],MATCH(Table5[[#This Row],[PID]],Table3[[#All],[PID]],0)))</f>
        <v>Low</v>
      </c>
      <c r="K190" s="52" t="str">
        <f>IF($C190="B",INDEX(Batters[[#All],[INT]],MATCH(Table5[[#This Row],[PID]],Batters[[#All],[PID]],0)),INDEX(Table3[[#All],[INT]],MATCH(Table5[[#This Row],[PID]],Table3[[#All],[PID]],0)))</f>
        <v>Normal</v>
      </c>
      <c r="L190" s="60">
        <f>IF($C190="B",INDEX(Batters[[#All],[CON P]],MATCH(Table5[[#This Row],[PID]],Batters[[#All],[PID]],0)),INDEX(Table3[[#All],[STU P]],MATCH(Table5[[#This Row],[PID]],Table3[[#All],[PID]],0)))</f>
        <v>4</v>
      </c>
      <c r="M190" s="56">
        <f>IF($C190="B",INDEX(Batters[[#All],[GAP P]],MATCH(Table5[[#This Row],[PID]],Batters[[#All],[PID]],0)),INDEX(Table3[[#All],[MOV P]],MATCH(Table5[[#This Row],[PID]],Table3[[#All],[PID]],0)))</f>
        <v>4</v>
      </c>
      <c r="N190" s="56">
        <f>IF($C190="B",INDEX(Batters[[#All],[POW P]],MATCH(Table5[[#This Row],[PID]],Batters[[#All],[PID]],0)),INDEX(Table3[[#All],[CON P]],MATCH(Table5[[#This Row],[PID]],Table3[[#All],[PID]],0)))</f>
        <v>6</v>
      </c>
      <c r="O190" s="56">
        <f>IF($C190="B",INDEX(Batters[[#All],[EYE P]],MATCH(Table5[[#This Row],[PID]],Batters[[#All],[PID]],0)),INDEX(Table3[[#All],[VELO]],MATCH(Table5[[#This Row],[PID]],Table3[[#All],[PID]],0)))</f>
        <v>6</v>
      </c>
      <c r="P190" s="56">
        <f>IF($C190="B",INDEX(Batters[[#All],[K P]],MATCH(Table5[[#This Row],[PID]],Batters[[#All],[PID]],0)),INDEX(Table3[[#All],[STM]],MATCH(Table5[[#This Row],[PID]],Table3[[#All],[PID]],0)))</f>
        <v>3</v>
      </c>
      <c r="Q190" s="61">
        <f>IF($C190="B",INDEX(Batters[[#All],[Tot]],MATCH(Table5[[#This Row],[PID]],Batters[[#All],[PID]],0)),INDEX(Table3[[#All],[Tot]],MATCH(Table5[[#This Row],[PID]],Table3[[#All],[PID]],0)))</f>
        <v>49.151032219005387</v>
      </c>
      <c r="R190" s="52">
        <f>IF($C190="B",INDEX(Batters[[#All],[zScore]],MATCH(Table5[[#This Row],[PID]],Batters[[#All],[PID]],0)),INDEX(Table3[[#All],[zScore]],MATCH(Table5[[#This Row],[PID]],Table3[[#All],[PID]],0)))</f>
        <v>0.86596189159424675</v>
      </c>
      <c r="S190" s="58" t="str">
        <f>IF($C190="B",INDEX(Batters[[#All],[DEM]],MATCH(Table5[[#This Row],[PID]],Batters[[#All],[PID]],0)),INDEX(Table3[[#All],[DEM]],MATCH(Table5[[#This Row],[PID]],Table3[[#All],[PID]],0)))</f>
        <v>$20k</v>
      </c>
      <c r="T190" s="62">
        <f>IF($C190="B",INDEX(Batters[[#All],[Rnk]],MATCH(Table5[[#This Row],[PID]],Batters[[#All],[PID]],0)),INDEX(Table3[[#All],[Rnk]],MATCH(Table5[[#This Row],[PID]],Table3[[#All],[PID]],0)))</f>
        <v>930</v>
      </c>
      <c r="U190" s="67">
        <f>IF($C190="B",VLOOKUP($A190,Bat!$A$4:$BA$1314,47,FALSE),VLOOKUP($A190,Pit!$A$4:$BF$1214,56,FALSE))</f>
        <v>104</v>
      </c>
      <c r="V190" s="50">
        <f>IF($C190="B",VLOOKUP($A190,Bat!$A$4:$BA$1314,48,FALSE),VLOOKUP($A190,Pit!$A$4:$BF$1214,57,FALSE))</f>
        <v>104</v>
      </c>
      <c r="W190" s="50">
        <v>186</v>
      </c>
      <c r="X190" s="51">
        <f>RANK(Table5[[#This Row],[zScore]],Table5[[#All],[zScore]])</f>
        <v>161</v>
      </c>
      <c r="Y190" s="50">
        <f>IFERROR(INDEX(DraftResults[[#All],[OVR]],MATCH(Table5[[#This Row],[PID]],DraftResults[[#All],[Player ID]],0)),"")</f>
        <v>155</v>
      </c>
      <c r="Z190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5</v>
      </c>
      <c r="AA190" s="50">
        <f>IFERROR(INDEX(DraftResults[[#All],[Pick in Round]],MATCH(Table5[[#This Row],[PID]],DraftResults[[#All],[Player ID]],0)),"")</f>
        <v>18</v>
      </c>
      <c r="AB190" s="50" t="str">
        <f>IFERROR(INDEX(DraftResults[[#All],[Team Name]],MATCH(Table5[[#This Row],[PID]],DraftResults[[#All],[Player ID]],0)),"")</f>
        <v>San Juan Coqui</v>
      </c>
      <c r="AC190" s="50">
        <f>IF(Table5[[#This Row],[Ovr]]="","",IF(Table5[[#This Row],[cmbList]]="","",Table5[[#This Row],[cmbList]]-Table5[[#This Row],[Ovr]]))</f>
        <v>31</v>
      </c>
      <c r="AD190" s="54" t="str">
        <f>IF(ISERROR(VLOOKUP($AB190&amp;"-"&amp;$E190&amp;" "&amp;F190,Bonuses!$B$1:$G$1006,4,FALSE)),"",INT(VLOOKUP($AB190&amp;"-"&amp;$E190&amp;" "&amp;$F190,Bonuses!$B$1:$G$1006,4,FALSE)))</f>
        <v/>
      </c>
      <c r="AE190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5.18 (155) - RF Reese Paredes</v>
      </c>
    </row>
    <row r="191" spans="1:31" s="50" customFormat="1" x14ac:dyDescent="0.3">
      <c r="A191" s="50">
        <v>20868</v>
      </c>
      <c r="B191" s="50">
        <f>COUNTIF(Table5[PID],A191)</f>
        <v>1</v>
      </c>
      <c r="C191" s="50" t="str">
        <f>IF(COUNTIF(Table3[[#All],[PID]],A191)&gt;0,"P","B")</f>
        <v>B</v>
      </c>
      <c r="D191" s="59" t="str">
        <f>IF($C191="B",INDEX(Batters[[#All],[POS]],MATCH(Table5[[#This Row],[PID]],Batters[[#All],[PID]],0)),INDEX(Table3[[#All],[POS]],MATCH(Table5[[#This Row],[PID]],Table3[[#All],[PID]],0)))</f>
        <v>SS</v>
      </c>
      <c r="E191" s="52" t="str">
        <f>IF($C191="B",INDEX(Batters[[#All],[First]],MATCH(Table5[[#This Row],[PID]],Batters[[#All],[PID]],0)),INDEX(Table3[[#All],[First]],MATCH(Table5[[#This Row],[PID]],Table3[[#All],[PID]],0)))</f>
        <v>Chad</v>
      </c>
      <c r="F191" s="50" t="str">
        <f>IF($C191="B",INDEX(Batters[[#All],[Last]],MATCH(A191,Batters[[#All],[PID]],0)),INDEX(Table3[[#All],[Last]],MATCH(A191,Table3[[#All],[PID]],0)))</f>
        <v>Miles</v>
      </c>
      <c r="G191" s="56">
        <f>IF($C191="B",INDEX(Batters[[#All],[Age]],MATCH(Table5[[#This Row],[PID]],Batters[[#All],[PID]],0)),INDEX(Table3[[#All],[Age]],MATCH(Table5[[#This Row],[PID]],Table3[[#All],[PID]],0)))</f>
        <v>17</v>
      </c>
      <c r="H191" s="52" t="str">
        <f>IF($C191="B",INDEX(Batters[[#All],[B]],MATCH(Table5[[#This Row],[PID]],Batters[[#All],[PID]],0)),INDEX(Table3[[#All],[B]],MATCH(Table5[[#This Row],[PID]],Table3[[#All],[PID]],0)))</f>
        <v>R</v>
      </c>
      <c r="I191" s="52" t="str">
        <f>IF($C191="B",INDEX(Batters[[#All],[T]],MATCH(Table5[[#This Row],[PID]],Batters[[#All],[PID]],0)),INDEX(Table3[[#All],[T]],MATCH(Table5[[#This Row],[PID]],Table3[[#All],[PID]],0)))</f>
        <v>R</v>
      </c>
      <c r="J191" s="52" t="str">
        <f>IF($C191="B",INDEX(Batters[[#All],[WE]],MATCH(Table5[[#This Row],[PID]],Batters[[#All],[PID]],0)),INDEX(Table3[[#All],[WE]],MATCH(Table5[[#This Row],[PID]],Table3[[#All],[PID]],0)))</f>
        <v>Low</v>
      </c>
      <c r="K191" s="52" t="str">
        <f>IF($C191="B",INDEX(Batters[[#All],[INT]],MATCH(Table5[[#This Row],[PID]],Batters[[#All],[PID]],0)),INDEX(Table3[[#All],[INT]],MATCH(Table5[[#This Row],[PID]],Table3[[#All],[PID]],0)))</f>
        <v>High</v>
      </c>
      <c r="L191" s="60">
        <f>IF($C191="B",INDEX(Batters[[#All],[CON P]],MATCH(Table5[[#This Row],[PID]],Batters[[#All],[PID]],0)),INDEX(Table3[[#All],[STU P]],MATCH(Table5[[#This Row],[PID]],Table3[[#All],[PID]],0)))</f>
        <v>4</v>
      </c>
      <c r="M191" s="56">
        <f>IF($C191="B",INDEX(Batters[[#All],[GAP P]],MATCH(Table5[[#This Row],[PID]],Batters[[#All],[PID]],0)),INDEX(Table3[[#All],[MOV P]],MATCH(Table5[[#This Row],[PID]],Table3[[#All],[PID]],0)))</f>
        <v>4</v>
      </c>
      <c r="N191" s="56">
        <f>IF($C191="B",INDEX(Batters[[#All],[POW P]],MATCH(Table5[[#This Row],[PID]],Batters[[#All],[PID]],0)),INDEX(Table3[[#All],[CON P]],MATCH(Table5[[#This Row],[PID]],Table3[[#All],[PID]],0)))</f>
        <v>3</v>
      </c>
      <c r="O191" s="56">
        <f>IF($C191="B",INDEX(Batters[[#All],[EYE P]],MATCH(Table5[[#This Row],[PID]],Batters[[#All],[PID]],0)),INDEX(Table3[[#All],[VELO]],MATCH(Table5[[#This Row],[PID]],Table3[[#All],[PID]],0)))</f>
        <v>7</v>
      </c>
      <c r="P191" s="56">
        <f>IF($C191="B",INDEX(Batters[[#All],[K P]],MATCH(Table5[[#This Row],[PID]],Batters[[#All],[PID]],0)),INDEX(Table3[[#All],[STM]],MATCH(Table5[[#This Row],[PID]],Table3[[#All],[PID]],0)))</f>
        <v>4</v>
      </c>
      <c r="Q191" s="61">
        <f>IF($C191="B",INDEX(Batters[[#All],[Tot]],MATCH(Table5[[#This Row],[PID]],Batters[[#All],[PID]],0)),INDEX(Table3[[#All],[Tot]],MATCH(Table5[[#This Row],[PID]],Table3[[#All],[PID]],0)))</f>
        <v>48.154116974700642</v>
      </c>
      <c r="R191" s="52">
        <f>IF($C191="B",INDEX(Batters[[#All],[zScore]],MATCH(Table5[[#This Row],[PID]],Batters[[#All],[PID]],0)),INDEX(Table3[[#All],[zScore]],MATCH(Table5[[#This Row],[PID]],Table3[[#All],[PID]],0)))</f>
        <v>0.72044405790465438</v>
      </c>
      <c r="S191" s="58" t="str">
        <f>IF($C191="B",INDEX(Batters[[#All],[DEM]],MATCH(Table5[[#This Row],[PID]],Batters[[#All],[PID]],0)),INDEX(Table3[[#All],[DEM]],MATCH(Table5[[#This Row],[PID]],Table3[[#All],[PID]],0)))</f>
        <v>$65k</v>
      </c>
      <c r="T191" s="62">
        <f>IF($C191="B",INDEX(Batters[[#All],[Rnk]],MATCH(Table5[[#This Row],[PID]],Batters[[#All],[PID]],0)),INDEX(Table3[[#All],[Rnk]],MATCH(Table5[[#This Row],[PID]],Table3[[#All],[PID]],0)))</f>
        <v>930</v>
      </c>
      <c r="U191" s="67">
        <f>IF($C191="B",VLOOKUP($A191,Bat!$A$4:$BA$1314,47,FALSE),VLOOKUP($A191,Pit!$A$4:$BF$1214,56,FALSE))</f>
        <v>105</v>
      </c>
      <c r="V191" s="50">
        <f>IF($C191="B",VLOOKUP($A191,Bat!$A$4:$BA$1314,48,FALSE),VLOOKUP($A191,Pit!$A$4:$BF$1214,57,FALSE))</f>
        <v>105</v>
      </c>
      <c r="W191" s="50">
        <v>187</v>
      </c>
      <c r="X191" s="51">
        <f>RANK(Table5[[#This Row],[zScore]],Table5[[#All],[zScore]])</f>
        <v>181</v>
      </c>
      <c r="Y191" s="50">
        <f>IFERROR(INDEX(DraftResults[[#All],[OVR]],MATCH(Table5[[#This Row],[PID]],DraftResults[[#All],[Player ID]],0)),"")</f>
        <v>225</v>
      </c>
      <c r="Z191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7</v>
      </c>
      <c r="AA191" s="50">
        <f>IFERROR(INDEX(DraftResults[[#All],[Pick in Round]],MATCH(Table5[[#This Row],[PID]],DraftResults[[#All],[Player ID]],0)),"")</f>
        <v>24</v>
      </c>
      <c r="AB191" s="50" t="str">
        <f>IFERROR(INDEX(DraftResults[[#All],[Team Name]],MATCH(Table5[[#This Row],[PID]],DraftResults[[#All],[Player ID]],0)),"")</f>
        <v>Reno Zephyrs</v>
      </c>
      <c r="AC191" s="50">
        <f>IF(Table5[[#This Row],[Ovr]]="","",IF(Table5[[#This Row],[cmbList]]="","",Table5[[#This Row],[cmbList]]-Table5[[#This Row],[Ovr]]))</f>
        <v>-38</v>
      </c>
      <c r="AD191" s="54" t="str">
        <f>IF(ISERROR(VLOOKUP($AB191&amp;"-"&amp;$E191&amp;" "&amp;F191,Bonuses!$B$1:$G$1006,4,FALSE)),"",INT(VLOOKUP($AB191&amp;"-"&amp;$E191&amp;" "&amp;$F191,Bonuses!$B$1:$G$1006,4,FALSE)))</f>
        <v/>
      </c>
      <c r="AE191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7.24 (225) - SS Chad Miles</v>
      </c>
    </row>
    <row r="192" spans="1:31" s="50" customFormat="1" x14ac:dyDescent="0.3">
      <c r="A192" s="67">
        <v>11804</v>
      </c>
      <c r="B192" s="68">
        <f>COUNTIF(Table5[PID],A192)</f>
        <v>1</v>
      </c>
      <c r="C192" s="68" t="str">
        <f>IF(COUNTIF(Table3[[#All],[PID]],A192)&gt;0,"P","B")</f>
        <v>P</v>
      </c>
      <c r="D192" s="59" t="str">
        <f>IF($C192="B",INDEX(Batters[[#All],[POS]],MATCH(Table5[[#This Row],[PID]],Batters[[#All],[PID]],0)),INDEX(Table3[[#All],[POS]],MATCH(Table5[[#This Row],[PID]],Table3[[#All],[PID]],0)))</f>
        <v>RP</v>
      </c>
      <c r="E192" s="52" t="str">
        <f>IF($C192="B",INDEX(Batters[[#All],[First]],MATCH(Table5[[#This Row],[PID]],Batters[[#All],[PID]],0)),INDEX(Table3[[#All],[First]],MATCH(Table5[[#This Row],[PID]],Table3[[#All],[PID]],0)))</f>
        <v>Junior</v>
      </c>
      <c r="F192" s="55" t="str">
        <f>IF($C192="B",INDEX(Batters[[#All],[Last]],MATCH(A192,Batters[[#All],[PID]],0)),INDEX(Table3[[#All],[Last]],MATCH(A192,Table3[[#All],[PID]],0)))</f>
        <v>Houck</v>
      </c>
      <c r="G192" s="56">
        <f>IF($C192="B",INDEX(Batters[[#All],[Age]],MATCH(Table5[[#This Row],[PID]],Batters[[#All],[PID]],0)),INDEX(Table3[[#All],[Age]],MATCH(Table5[[#This Row],[PID]],Table3[[#All],[PID]],0)))</f>
        <v>17</v>
      </c>
      <c r="H192" s="52" t="str">
        <f>IF($C192="B",INDEX(Batters[[#All],[B]],MATCH(Table5[[#This Row],[PID]],Batters[[#All],[PID]],0)),INDEX(Table3[[#All],[B]],MATCH(Table5[[#This Row],[PID]],Table3[[#All],[PID]],0)))</f>
        <v>L</v>
      </c>
      <c r="I192" s="52" t="str">
        <f>IF($C192="B",INDEX(Batters[[#All],[T]],MATCH(Table5[[#This Row],[PID]],Batters[[#All],[PID]],0)),INDEX(Table3[[#All],[T]],MATCH(Table5[[#This Row],[PID]],Table3[[#All],[PID]],0)))</f>
        <v>L</v>
      </c>
      <c r="J192" s="69" t="str">
        <f>IF($C192="B",INDEX(Batters[[#All],[WE]],MATCH(Table5[[#This Row],[PID]],Batters[[#All],[PID]],0)),INDEX(Table3[[#All],[WE]],MATCH(Table5[[#This Row],[PID]],Table3[[#All],[PID]],0)))</f>
        <v>Normal</v>
      </c>
      <c r="K192" s="52" t="str">
        <f>IF($C192="B",INDEX(Batters[[#All],[INT]],MATCH(Table5[[#This Row],[PID]],Batters[[#All],[PID]],0)),INDEX(Table3[[#All],[INT]],MATCH(Table5[[#This Row],[PID]],Table3[[#All],[PID]],0)))</f>
        <v>Low</v>
      </c>
      <c r="L192" s="60">
        <f>IF($C192="B",INDEX(Batters[[#All],[CON P]],MATCH(Table5[[#This Row],[PID]],Batters[[#All],[PID]],0)),INDEX(Table3[[#All],[STU P]],MATCH(Table5[[#This Row],[PID]],Table3[[#All],[PID]],0)))</f>
        <v>3</v>
      </c>
      <c r="M192" s="70">
        <f>IF($C192="B",INDEX(Batters[[#All],[GAP P]],MATCH(Table5[[#This Row],[PID]],Batters[[#All],[PID]],0)),INDEX(Table3[[#All],[MOV P]],MATCH(Table5[[#This Row],[PID]],Table3[[#All],[PID]],0)))</f>
        <v>6</v>
      </c>
      <c r="N192" s="70">
        <f>IF($C192="B",INDEX(Batters[[#All],[POW P]],MATCH(Table5[[#This Row],[PID]],Batters[[#All],[PID]],0)),INDEX(Table3[[#All],[CON P]],MATCH(Table5[[#This Row],[PID]],Table3[[#All],[PID]],0)))</f>
        <v>6</v>
      </c>
      <c r="O192" s="70" t="str">
        <f>IF($C192="B",INDEX(Batters[[#All],[EYE P]],MATCH(Table5[[#This Row],[PID]],Batters[[#All],[PID]],0)),INDEX(Table3[[#All],[VELO]],MATCH(Table5[[#This Row],[PID]],Table3[[#All],[PID]],0)))</f>
        <v>91-93 Mph</v>
      </c>
      <c r="P192" s="56">
        <f>IF($C192="B",INDEX(Batters[[#All],[K P]],MATCH(Table5[[#This Row],[PID]],Batters[[#All],[PID]],0)),INDEX(Table3[[#All],[STM]],MATCH(Table5[[#This Row],[PID]],Table3[[#All],[PID]],0)))</f>
        <v>7</v>
      </c>
      <c r="Q192" s="61">
        <f>IF($C192="B",INDEX(Batters[[#All],[Tot]],MATCH(Table5[[#This Row],[PID]],Batters[[#All],[PID]],0)),INDEX(Table3[[#All],[Tot]],MATCH(Table5[[#This Row],[PID]],Table3[[#All],[PID]],0)))</f>
        <v>59.180819244767321</v>
      </c>
      <c r="R192" s="52">
        <f>IF($C192="B",INDEX(Batters[[#All],[zScore]],MATCH(Table5[[#This Row],[PID]],Batters[[#All],[PID]],0)),INDEX(Table3[[#All],[zScore]],MATCH(Table5[[#This Row],[PID]],Table3[[#All],[PID]],0)))</f>
        <v>1.5222808002221009</v>
      </c>
      <c r="S192" s="75" t="str">
        <f>IF($C192="B",INDEX(Batters[[#All],[DEM]],MATCH(Table5[[#This Row],[PID]],Batters[[#All],[PID]],0)),INDEX(Table3[[#All],[DEM]],MATCH(Table5[[#This Row],[PID]],Table3[[#All],[PID]],0)))</f>
        <v>$70k</v>
      </c>
      <c r="T192" s="72">
        <f>IF($C192="B",INDEX(Batters[[#All],[Rnk]],MATCH(Table5[[#This Row],[PID]],Batters[[#All],[PID]],0)),INDEX(Table3[[#All],[Rnk]],MATCH(Table5[[#This Row],[PID]],Table3[[#All],[PID]],0)))</f>
        <v>940</v>
      </c>
      <c r="U192" s="67">
        <f>IF($C192="B",VLOOKUP($A192,Bat!$A$4:$BA$1314,47,FALSE),VLOOKUP($A192,Pit!$A$4:$BF$1214,56,FALSE))</f>
        <v>385</v>
      </c>
      <c r="V192" s="50">
        <f>IF($C192="B",VLOOKUP($A192,Bat!$A$4:$BA$1314,48,FALSE),VLOOKUP($A192,Pit!$A$4:$BF$1214,57,FALSE))</f>
        <v>0</v>
      </c>
      <c r="W192" s="68">
        <f>IF(Table5[[#This Row],[posRnk]]=999,9999,Table5[[#This Row],[posRnk]]+Table5[[#This Row],[zRnk]]+IF($W$3&lt;&gt;Table5[[#This Row],[Type]],50,0))</f>
        <v>1015</v>
      </c>
      <c r="X192" s="71">
        <f>RANK(Table5[[#This Row],[zScore]],Table5[[#All],[zScore]])</f>
        <v>75</v>
      </c>
      <c r="Y192" s="68">
        <f>IFERROR(INDEX(DraftResults[[#All],[OVR]],MATCH(Table5[[#This Row],[PID]],DraftResults[[#All],[Player ID]],0)),"")</f>
        <v>165</v>
      </c>
      <c r="Z192" s="7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5</v>
      </c>
      <c r="AA192" s="68">
        <f>IFERROR(INDEX(DraftResults[[#All],[Pick in Round]],MATCH(Table5[[#This Row],[PID]],DraftResults[[#All],[Player ID]],0)),"")</f>
        <v>28</v>
      </c>
      <c r="AB192" s="68" t="str">
        <f>IFERROR(INDEX(DraftResults[[#All],[Team Name]],MATCH(Table5[[#This Row],[PID]],DraftResults[[#All],[Player ID]],0)),"")</f>
        <v>Gloucester Fishermen</v>
      </c>
      <c r="AC192" s="68">
        <f>IF(Table5[[#This Row],[Ovr]]="","",IF(Table5[[#This Row],[cmbList]]="","",Table5[[#This Row],[cmbList]]-Table5[[#This Row],[Ovr]]))</f>
        <v>850</v>
      </c>
      <c r="AD192" s="74" t="str">
        <f>IF(ISERROR(VLOOKUP($AB192&amp;"-"&amp;$E192&amp;" "&amp;F192,Bonuses!$B$1:$G$1006,4,FALSE)),"",INT(VLOOKUP($AB192&amp;"-"&amp;$E192&amp;" "&amp;$F192,Bonuses!$B$1:$G$1006,4,FALSE)))</f>
        <v/>
      </c>
      <c r="AE192" s="68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5.28 (165) - RP Junior Houck</v>
      </c>
    </row>
    <row r="193" spans="1:31" s="50" customFormat="1" x14ac:dyDescent="0.3">
      <c r="A193" s="67">
        <v>12502</v>
      </c>
      <c r="B193" s="68">
        <f>COUNTIF(Table5[PID],A193)</f>
        <v>1</v>
      </c>
      <c r="C193" s="68" t="str">
        <f>IF(COUNTIF(Table3[[#All],[PID]],A193)&gt;0,"P","B")</f>
        <v>B</v>
      </c>
      <c r="D193" s="59" t="str">
        <f>IF($C193="B",INDEX(Batters[[#All],[POS]],MATCH(Table5[[#This Row],[PID]],Batters[[#All],[PID]],0)),INDEX(Table3[[#All],[POS]],MATCH(Table5[[#This Row],[PID]],Table3[[#All],[PID]],0)))</f>
        <v>LF</v>
      </c>
      <c r="E193" s="52" t="str">
        <f>IF($C193="B",INDEX(Batters[[#All],[First]],MATCH(Table5[[#This Row],[PID]],Batters[[#All],[PID]],0)),INDEX(Table3[[#All],[First]],MATCH(Table5[[#This Row],[PID]],Table3[[#All],[PID]],0)))</f>
        <v>Norris</v>
      </c>
      <c r="F193" s="55" t="str">
        <f>IF($C193="B",INDEX(Batters[[#All],[Last]],MATCH(A193,Batters[[#All],[PID]],0)),INDEX(Table3[[#All],[Last]],MATCH(A193,Table3[[#All],[PID]],0)))</f>
        <v>Hopkins</v>
      </c>
      <c r="G193" s="56">
        <f>IF($C193="B",INDEX(Batters[[#All],[Age]],MATCH(Table5[[#This Row],[PID]],Batters[[#All],[PID]],0)),INDEX(Table3[[#All],[Age]],MATCH(Table5[[#This Row],[PID]],Table3[[#All],[PID]],0)))</f>
        <v>17</v>
      </c>
      <c r="H193" s="52" t="str">
        <f>IF($C193="B",INDEX(Batters[[#All],[B]],MATCH(Table5[[#This Row],[PID]],Batters[[#All],[PID]],0)),INDEX(Table3[[#All],[B]],MATCH(Table5[[#This Row],[PID]],Table3[[#All],[PID]],0)))</f>
        <v>L</v>
      </c>
      <c r="I193" s="52" t="str">
        <f>IF($C193="B",INDEX(Batters[[#All],[T]],MATCH(Table5[[#This Row],[PID]],Batters[[#All],[PID]],0)),INDEX(Table3[[#All],[T]],MATCH(Table5[[#This Row],[PID]],Table3[[#All],[PID]],0)))</f>
        <v>L</v>
      </c>
      <c r="J193" s="69" t="str">
        <f>IF($C193="B",INDEX(Batters[[#All],[WE]],MATCH(Table5[[#This Row],[PID]],Batters[[#All],[PID]],0)),INDEX(Table3[[#All],[WE]],MATCH(Table5[[#This Row],[PID]],Table3[[#All],[PID]],0)))</f>
        <v>Normal</v>
      </c>
      <c r="K193" s="52" t="str">
        <f>IF($C193="B",INDEX(Batters[[#All],[INT]],MATCH(Table5[[#This Row],[PID]],Batters[[#All],[PID]],0)),INDEX(Table3[[#All],[INT]],MATCH(Table5[[#This Row],[PID]],Table3[[#All],[PID]],0)))</f>
        <v>Normal</v>
      </c>
      <c r="L193" s="60">
        <f>IF($C193="B",INDEX(Batters[[#All],[CON P]],MATCH(Table5[[#This Row],[PID]],Batters[[#All],[PID]],0)),INDEX(Table3[[#All],[STU P]],MATCH(Table5[[#This Row],[PID]],Table3[[#All],[PID]],0)))</f>
        <v>5</v>
      </c>
      <c r="M193" s="70">
        <f>IF($C193="B",INDEX(Batters[[#All],[GAP P]],MATCH(Table5[[#This Row],[PID]],Batters[[#All],[PID]],0)),INDEX(Table3[[#All],[MOV P]],MATCH(Table5[[#This Row],[PID]],Table3[[#All],[PID]],0)))</f>
        <v>5</v>
      </c>
      <c r="N193" s="70">
        <f>IF($C193="B",INDEX(Batters[[#All],[POW P]],MATCH(Table5[[#This Row],[PID]],Batters[[#All],[PID]],0)),INDEX(Table3[[#All],[CON P]],MATCH(Table5[[#This Row],[PID]],Table3[[#All],[PID]],0)))</f>
        <v>4</v>
      </c>
      <c r="O193" s="70">
        <f>IF($C193="B",INDEX(Batters[[#All],[EYE P]],MATCH(Table5[[#This Row],[PID]],Batters[[#All],[PID]],0)),INDEX(Table3[[#All],[VELO]],MATCH(Table5[[#This Row],[PID]],Table3[[#All],[PID]],0)))</f>
        <v>4</v>
      </c>
      <c r="P193" s="56">
        <f>IF($C193="B",INDEX(Batters[[#All],[K P]],MATCH(Table5[[#This Row],[PID]],Batters[[#All],[PID]],0)),INDEX(Table3[[#All],[STM]],MATCH(Table5[[#This Row],[PID]],Table3[[#All],[PID]],0)))</f>
        <v>6</v>
      </c>
      <c r="Q193" s="61">
        <f>IF($C193="B",INDEX(Batters[[#All],[Tot]],MATCH(Table5[[#This Row],[PID]],Batters[[#All],[PID]],0)),INDEX(Table3[[#All],[Tot]],MATCH(Table5[[#This Row],[PID]],Table3[[#All],[PID]],0)))</f>
        <v>51.268899503999648</v>
      </c>
      <c r="R193" s="52">
        <f>IF($C193="B",INDEX(Batters[[#All],[zScore]],MATCH(Table5[[#This Row],[PID]],Batters[[#All],[PID]],0)),INDEX(Table3[[#All],[zScore]],MATCH(Table5[[#This Row],[PID]],Table3[[#All],[PID]],0)))</f>
        <v>1.175102975668405</v>
      </c>
      <c r="S193" s="75" t="str">
        <f>IF($C193="B",INDEX(Batters[[#All],[DEM]],MATCH(Table5[[#This Row],[PID]],Batters[[#All],[PID]],0)),INDEX(Table3[[#All],[DEM]],MATCH(Table5[[#This Row],[PID]],Table3[[#All],[PID]],0)))</f>
        <v>$100k</v>
      </c>
      <c r="T193" s="72">
        <f>IF($C193="B",INDEX(Batters[[#All],[Rnk]],MATCH(Table5[[#This Row],[PID]],Batters[[#All],[PID]],0)),INDEX(Table3[[#All],[Rnk]],MATCH(Table5[[#This Row],[PID]],Table3[[#All],[PID]],0)))</f>
        <v>900</v>
      </c>
      <c r="U193" s="67">
        <f>IF($C193="B",VLOOKUP($A193,Bat!$A$4:$BA$1314,47,FALSE),VLOOKUP($A193,Pit!$A$4:$BF$1214,56,FALSE))</f>
        <v>108</v>
      </c>
      <c r="V193" s="50">
        <f>IF($C193="B",VLOOKUP($A193,Bat!$A$4:$BA$1314,48,FALSE),VLOOKUP($A193,Pit!$A$4:$BF$1214,57,FALSE))</f>
        <v>0</v>
      </c>
      <c r="W193" s="68">
        <f>IF(Table5[[#This Row],[posRnk]]=999,9999,Table5[[#This Row],[posRnk]]+Table5[[#This Row],[zRnk]]+IF($W$3&lt;&gt;Table5[[#This Row],[Type]],50,0))</f>
        <v>1071</v>
      </c>
      <c r="X193" s="71">
        <f>RANK(Table5[[#This Row],[zScore]],Table5[[#All],[zScore]])</f>
        <v>121</v>
      </c>
      <c r="Y193" s="68">
        <f>IFERROR(INDEX(DraftResults[[#All],[OVR]],MATCH(Table5[[#This Row],[PID]],DraftResults[[#All],[Player ID]],0)),"")</f>
        <v>291</v>
      </c>
      <c r="Z193" s="7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9</v>
      </c>
      <c r="AA193" s="68">
        <f>IFERROR(INDEX(DraftResults[[#All],[Pick in Round]],MATCH(Table5[[#This Row],[PID]],DraftResults[[#All],[Player ID]],0)),"")</f>
        <v>26</v>
      </c>
      <c r="AB193" s="68" t="str">
        <f>IFERROR(INDEX(DraftResults[[#All],[Team Name]],MATCH(Table5[[#This Row],[PID]],DraftResults[[#All],[Player ID]],0)),"")</f>
        <v>Aurora Borealis</v>
      </c>
      <c r="AC193" s="68">
        <f>IF(Table5[[#This Row],[Ovr]]="","",IF(Table5[[#This Row],[cmbList]]="","",Table5[[#This Row],[cmbList]]-Table5[[#This Row],[Ovr]]))</f>
        <v>780</v>
      </c>
      <c r="AD193" s="74" t="str">
        <f>IF(ISERROR(VLOOKUP($AB193&amp;"-"&amp;$E193&amp;" "&amp;F193,Bonuses!$B$1:$G$1006,4,FALSE)),"",INT(VLOOKUP($AB193&amp;"-"&amp;$E193&amp;" "&amp;$F193,Bonuses!$B$1:$G$1006,4,FALSE)))</f>
        <v/>
      </c>
      <c r="AE193" s="68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9.26 (291) - LF Norris Hopkins</v>
      </c>
    </row>
    <row r="194" spans="1:31" s="50" customFormat="1" x14ac:dyDescent="0.3">
      <c r="A194" s="50">
        <v>9138</v>
      </c>
      <c r="B194" s="50">
        <f>COUNTIF(Table5[PID],A194)</f>
        <v>1</v>
      </c>
      <c r="C194" s="50" t="str">
        <f>IF(COUNTIF(Table3[[#All],[PID]],A194)&gt;0,"P","B")</f>
        <v>B</v>
      </c>
      <c r="D194" s="59" t="str">
        <f>IF($C194="B",INDEX(Batters[[#All],[POS]],MATCH(Table5[[#This Row],[PID]],Batters[[#All],[PID]],0)),INDEX(Table3[[#All],[POS]],MATCH(Table5[[#This Row],[PID]],Table3[[#All],[PID]],0)))</f>
        <v>RF</v>
      </c>
      <c r="E194" s="52" t="str">
        <f>IF($C194="B",INDEX(Batters[[#All],[First]],MATCH(Table5[[#This Row],[PID]],Batters[[#All],[PID]],0)),INDEX(Table3[[#All],[First]],MATCH(Table5[[#This Row],[PID]],Table3[[#All],[PID]],0)))</f>
        <v>Jesús</v>
      </c>
      <c r="F194" s="50" t="str">
        <f>IF($C194="B",INDEX(Batters[[#All],[Last]],MATCH(A194,Batters[[#All],[PID]],0)),INDEX(Table3[[#All],[Last]],MATCH(A194,Table3[[#All],[PID]],0)))</f>
        <v>Molina</v>
      </c>
      <c r="G194" s="56">
        <f>IF($C194="B",INDEX(Batters[[#All],[Age]],MATCH(Table5[[#This Row],[PID]],Batters[[#All],[PID]],0)),INDEX(Table3[[#All],[Age]],MATCH(Table5[[#This Row],[PID]],Table3[[#All],[PID]],0)))</f>
        <v>17</v>
      </c>
      <c r="H194" s="52" t="str">
        <f>IF($C194="B",INDEX(Batters[[#All],[B]],MATCH(Table5[[#This Row],[PID]],Batters[[#All],[PID]],0)),INDEX(Table3[[#All],[B]],MATCH(Table5[[#This Row],[PID]],Table3[[#All],[PID]],0)))</f>
        <v>R</v>
      </c>
      <c r="I194" s="52" t="str">
        <f>IF($C194="B",INDEX(Batters[[#All],[T]],MATCH(Table5[[#This Row],[PID]],Batters[[#All],[PID]],0)),INDEX(Table3[[#All],[T]],MATCH(Table5[[#This Row],[PID]],Table3[[#All],[PID]],0)))</f>
        <v>R</v>
      </c>
      <c r="J194" s="52" t="str">
        <f>IF($C194="B",INDEX(Batters[[#All],[WE]],MATCH(Table5[[#This Row],[PID]],Batters[[#All],[PID]],0)),INDEX(Table3[[#All],[WE]],MATCH(Table5[[#This Row],[PID]],Table3[[#All],[PID]],0)))</f>
        <v>Normal</v>
      </c>
      <c r="K194" s="52" t="str">
        <f>IF($C194="B",INDEX(Batters[[#All],[INT]],MATCH(Table5[[#This Row],[PID]],Batters[[#All],[PID]],0)),INDEX(Table3[[#All],[INT]],MATCH(Table5[[#This Row],[PID]],Table3[[#All],[PID]],0)))</f>
        <v>Normal</v>
      </c>
      <c r="L194" s="60">
        <f>IF($C194="B",INDEX(Batters[[#All],[CON P]],MATCH(Table5[[#This Row],[PID]],Batters[[#All],[PID]],0)),INDEX(Table3[[#All],[STU P]],MATCH(Table5[[#This Row],[PID]],Table3[[#All],[PID]],0)))</f>
        <v>4</v>
      </c>
      <c r="M194" s="56">
        <f>IF($C194="B",INDEX(Batters[[#All],[GAP P]],MATCH(Table5[[#This Row],[PID]],Batters[[#All],[PID]],0)),INDEX(Table3[[#All],[MOV P]],MATCH(Table5[[#This Row],[PID]],Table3[[#All],[PID]],0)))</f>
        <v>5</v>
      </c>
      <c r="N194" s="56">
        <f>IF($C194="B",INDEX(Batters[[#All],[POW P]],MATCH(Table5[[#This Row],[PID]],Batters[[#All],[PID]],0)),INDEX(Table3[[#All],[CON P]],MATCH(Table5[[#This Row],[PID]],Table3[[#All],[PID]],0)))</f>
        <v>6</v>
      </c>
      <c r="O194" s="56">
        <f>IF($C194="B",INDEX(Batters[[#All],[EYE P]],MATCH(Table5[[#This Row],[PID]],Batters[[#All],[PID]],0)),INDEX(Table3[[#All],[VELO]],MATCH(Table5[[#This Row],[PID]],Table3[[#All],[PID]],0)))</f>
        <v>6</v>
      </c>
      <c r="P194" s="56">
        <f>IF($C194="B",INDEX(Batters[[#All],[K P]],MATCH(Table5[[#This Row],[PID]],Batters[[#All],[PID]],0)),INDEX(Table3[[#All],[STM]],MATCH(Table5[[#This Row],[PID]],Table3[[#All],[PID]],0)))</f>
        <v>3</v>
      </c>
      <c r="Q194" s="61">
        <f>IF($C194="B",INDEX(Batters[[#All],[Tot]],MATCH(Table5[[#This Row],[PID]],Batters[[#All],[PID]],0)),INDEX(Table3[[#All],[Tot]],MATCH(Table5[[#This Row],[PID]],Table3[[#All],[PID]],0)))</f>
        <v>51.208644786467957</v>
      </c>
      <c r="R194" s="52">
        <f>IF($C194="B",INDEX(Batters[[#All],[zScore]],MATCH(Table5[[#This Row],[PID]],Batters[[#All],[PID]],0)),INDEX(Table3[[#All],[zScore]],MATCH(Table5[[#This Row],[PID]],Table3[[#All],[PID]],0)))</f>
        <v>1.1663077084529809</v>
      </c>
      <c r="S194" s="58" t="str">
        <f>IF($C194="B",INDEX(Batters[[#All],[DEM]],MATCH(Table5[[#This Row],[PID]],Batters[[#All],[PID]],0)),INDEX(Table3[[#All],[DEM]],MATCH(Table5[[#This Row],[PID]],Table3[[#All],[PID]],0)))</f>
        <v>$290k</v>
      </c>
      <c r="T194" s="62">
        <f>IF($C194="B",INDEX(Batters[[#All],[Rnk]],MATCH(Table5[[#This Row],[PID]],Batters[[#All],[PID]],0)),INDEX(Table3[[#All],[Rnk]],MATCH(Table5[[#This Row],[PID]],Table3[[#All],[PID]],0)))</f>
        <v>900</v>
      </c>
      <c r="U194" s="67">
        <f>IF($C194="B",VLOOKUP($A194,Bat!$A$4:$BA$1314,47,FALSE),VLOOKUP($A194,Pit!$A$4:$BF$1214,56,FALSE))</f>
        <v>109</v>
      </c>
      <c r="V194" s="50">
        <f>IF($C194="B",VLOOKUP($A194,Bat!$A$4:$BA$1314,48,FALSE),VLOOKUP($A194,Pit!$A$4:$BF$1214,57,FALSE))</f>
        <v>0</v>
      </c>
      <c r="W194" s="68">
        <f>IF(Table5[[#This Row],[posRnk]]=999,9999,Table5[[#This Row],[posRnk]]+Table5[[#This Row],[zRnk]]+IF($W$3&lt;&gt;Table5[[#This Row],[Type]],50,0))</f>
        <v>1075</v>
      </c>
      <c r="X194" s="51">
        <f>RANK(Table5[[#This Row],[zScore]],Table5[[#All],[zScore]])</f>
        <v>125</v>
      </c>
      <c r="Y194" s="50">
        <f>IFERROR(INDEX(DraftResults[[#All],[OVR]],MATCH(Table5[[#This Row],[PID]],DraftResults[[#All],[Player ID]],0)),"")</f>
        <v>169</v>
      </c>
      <c r="Z194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5</v>
      </c>
      <c r="AA194" s="50">
        <f>IFERROR(INDEX(DraftResults[[#All],[Pick in Round]],MATCH(Table5[[#This Row],[PID]],DraftResults[[#All],[Player ID]],0)),"")</f>
        <v>32</v>
      </c>
      <c r="AB194" s="50" t="str">
        <f>IFERROR(INDEX(DraftResults[[#All],[Team Name]],MATCH(Table5[[#This Row],[PID]],DraftResults[[#All],[Player ID]],0)),"")</f>
        <v>Florida Farstriders</v>
      </c>
      <c r="AC194" s="50">
        <f>IF(Table5[[#This Row],[Ovr]]="","",IF(Table5[[#This Row],[cmbList]]="","",Table5[[#This Row],[cmbList]]-Table5[[#This Row],[Ovr]]))</f>
        <v>906</v>
      </c>
      <c r="AD194" s="54" t="str">
        <f>IF(ISERROR(VLOOKUP($AB194&amp;"-"&amp;$E194&amp;" "&amp;F194,Bonuses!$B$1:$G$1006,4,FALSE)),"",INT(VLOOKUP($AB194&amp;"-"&amp;$E194&amp;" "&amp;$F194,Bonuses!$B$1:$G$1006,4,FALSE)))</f>
        <v/>
      </c>
      <c r="AE194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5.32 (169) - RF Jesús Molina</v>
      </c>
    </row>
    <row r="195" spans="1:31" s="50" customFormat="1" x14ac:dyDescent="0.3">
      <c r="A195" s="50">
        <v>20671</v>
      </c>
      <c r="B195" s="50">
        <f>COUNTIF(Table5[PID],A195)</f>
        <v>1</v>
      </c>
      <c r="C195" s="50" t="str">
        <f>IF(COUNTIF(Table3[[#All],[PID]],A195)&gt;0,"P","B")</f>
        <v>B</v>
      </c>
      <c r="D195" s="59" t="str">
        <f>IF($C195="B",INDEX(Batters[[#All],[POS]],MATCH(Table5[[#This Row],[PID]],Batters[[#All],[PID]],0)),INDEX(Table3[[#All],[POS]],MATCH(Table5[[#This Row],[PID]],Table3[[#All],[PID]],0)))</f>
        <v>LF</v>
      </c>
      <c r="E195" s="52" t="str">
        <f>IF($C195="B",INDEX(Batters[[#All],[First]],MATCH(Table5[[#This Row],[PID]],Batters[[#All],[PID]],0)),INDEX(Table3[[#All],[First]],MATCH(Table5[[#This Row],[PID]],Table3[[#All],[PID]],0)))</f>
        <v>Won-sik</v>
      </c>
      <c r="F195" s="50" t="str">
        <f>IF($C195="B",INDEX(Batters[[#All],[Last]],MATCH(A195,Batters[[#All],[PID]],0)),INDEX(Table3[[#All],[Last]],MATCH(A195,Table3[[#All],[PID]],0)))</f>
        <v>Kim</v>
      </c>
      <c r="G195" s="56">
        <f>IF($C195="B",INDEX(Batters[[#All],[Age]],MATCH(Table5[[#This Row],[PID]],Batters[[#All],[PID]],0)),INDEX(Table3[[#All],[Age]],MATCH(Table5[[#This Row],[PID]],Table3[[#All],[PID]],0)))</f>
        <v>17</v>
      </c>
      <c r="H195" s="52" t="str">
        <f>IF($C195="B",INDEX(Batters[[#All],[B]],MATCH(Table5[[#This Row],[PID]],Batters[[#All],[PID]],0)),INDEX(Table3[[#All],[B]],MATCH(Table5[[#This Row],[PID]],Table3[[#All],[PID]],0)))</f>
        <v>R</v>
      </c>
      <c r="I195" s="52" t="str">
        <f>IF($C195="B",INDEX(Batters[[#All],[T]],MATCH(Table5[[#This Row],[PID]],Batters[[#All],[PID]],0)),INDEX(Table3[[#All],[T]],MATCH(Table5[[#This Row],[PID]],Table3[[#All],[PID]],0)))</f>
        <v>R</v>
      </c>
      <c r="J195" s="52" t="str">
        <f>IF($C195="B",INDEX(Batters[[#All],[WE]],MATCH(Table5[[#This Row],[PID]],Batters[[#All],[PID]],0)),INDEX(Table3[[#All],[WE]],MATCH(Table5[[#This Row],[PID]],Table3[[#All],[PID]],0)))</f>
        <v>High</v>
      </c>
      <c r="K195" s="52" t="str">
        <f>IF($C195="B",INDEX(Batters[[#All],[INT]],MATCH(Table5[[#This Row],[PID]],Batters[[#All],[PID]],0)),INDEX(Table3[[#All],[INT]],MATCH(Table5[[#This Row],[PID]],Table3[[#All],[PID]],0)))</f>
        <v>Normal</v>
      </c>
      <c r="L195" s="60">
        <f>IF($C195="B",INDEX(Batters[[#All],[CON P]],MATCH(Table5[[#This Row],[PID]],Batters[[#All],[PID]],0)),INDEX(Table3[[#All],[STU P]],MATCH(Table5[[#This Row],[PID]],Table3[[#All],[PID]],0)))</f>
        <v>4</v>
      </c>
      <c r="M195" s="56">
        <f>IF($C195="B",INDEX(Batters[[#All],[GAP P]],MATCH(Table5[[#This Row],[PID]],Batters[[#All],[PID]],0)),INDEX(Table3[[#All],[MOV P]],MATCH(Table5[[#This Row],[PID]],Table3[[#All],[PID]],0)))</f>
        <v>5</v>
      </c>
      <c r="N195" s="56">
        <f>IF($C195="B",INDEX(Batters[[#All],[POW P]],MATCH(Table5[[#This Row],[PID]],Batters[[#All],[PID]],0)),INDEX(Table3[[#All],[CON P]],MATCH(Table5[[#This Row],[PID]],Table3[[#All],[PID]],0)))</f>
        <v>6</v>
      </c>
      <c r="O195" s="56">
        <f>IF($C195="B",INDEX(Batters[[#All],[EYE P]],MATCH(Table5[[#This Row],[PID]],Batters[[#All],[PID]],0)),INDEX(Table3[[#All],[VELO]],MATCH(Table5[[#This Row],[PID]],Table3[[#All],[PID]],0)))</f>
        <v>6</v>
      </c>
      <c r="P195" s="56">
        <f>IF($C195="B",INDEX(Batters[[#All],[K P]],MATCH(Table5[[#This Row],[PID]],Batters[[#All],[PID]],0)),INDEX(Table3[[#All],[STM]],MATCH(Table5[[#This Row],[PID]],Table3[[#All],[PID]],0)))</f>
        <v>3</v>
      </c>
      <c r="Q195" s="61">
        <f>IF($C195="B",INDEX(Batters[[#All],[Tot]],MATCH(Table5[[#This Row],[PID]],Batters[[#All],[PID]],0)),INDEX(Table3[[#All],[Tot]],MATCH(Table5[[#This Row],[PID]],Table3[[#All],[PID]],0)))</f>
        <v>51.063283462453441</v>
      </c>
      <c r="R195" s="52">
        <f>IF($C195="B",INDEX(Batters[[#All],[zScore]],MATCH(Table5[[#This Row],[PID]],Batters[[#All],[PID]],0)),INDEX(Table3[[#All],[zScore]],MATCH(Table5[[#This Row],[PID]],Table3[[#All],[PID]],0)))</f>
        <v>1.145089590770775</v>
      </c>
      <c r="S195" s="58" t="str">
        <f>IF($C195="B",INDEX(Batters[[#All],[DEM]],MATCH(Table5[[#This Row],[PID]],Batters[[#All],[PID]],0)),INDEX(Table3[[#All],[DEM]],MATCH(Table5[[#This Row],[PID]],Table3[[#All],[PID]],0)))</f>
        <v>$220k</v>
      </c>
      <c r="T195" s="62">
        <f>IF($C195="B",INDEX(Batters[[#All],[Rnk]],MATCH(Table5[[#This Row],[PID]],Batters[[#All],[PID]],0)),INDEX(Table3[[#All],[Rnk]],MATCH(Table5[[#This Row],[PID]],Table3[[#All],[PID]],0)))</f>
        <v>900</v>
      </c>
      <c r="U195" s="67">
        <f>IF($C195="B",VLOOKUP($A195,Bat!$A$4:$BA$1314,47,FALSE),VLOOKUP($A195,Pit!$A$4:$BF$1214,56,FALSE))</f>
        <v>106</v>
      </c>
      <c r="V195" s="50">
        <f>IF($C195="B",VLOOKUP($A195,Bat!$A$4:$BA$1314,48,FALSE),VLOOKUP($A195,Pit!$A$4:$BF$1214,57,FALSE))</f>
        <v>0</v>
      </c>
      <c r="W195" s="68">
        <f>IF(Table5[[#This Row],[posRnk]]=999,9999,Table5[[#This Row],[posRnk]]+Table5[[#This Row],[zRnk]]+IF($W$3&lt;&gt;Table5[[#This Row],[Type]],50,0))</f>
        <v>1077</v>
      </c>
      <c r="X195" s="51">
        <f>RANK(Table5[[#This Row],[zScore]],Table5[[#All],[zScore]])</f>
        <v>127</v>
      </c>
      <c r="Y195" s="50">
        <f>IFERROR(INDEX(DraftResults[[#All],[OVR]],MATCH(Table5[[#This Row],[PID]],DraftResults[[#All],[Player ID]],0)),"")</f>
        <v>44</v>
      </c>
      <c r="Z195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2</v>
      </c>
      <c r="AA195" s="50">
        <f>IFERROR(INDEX(DraftResults[[#All],[Pick in Round]],MATCH(Table5[[#This Row],[PID]],DraftResults[[#All],[Player ID]],0)),"")</f>
        <v>8</v>
      </c>
      <c r="AB195" s="50" t="str">
        <f>IFERROR(INDEX(DraftResults[[#All],[Team Name]],MATCH(Table5[[#This Row],[PID]],DraftResults[[#All],[Player ID]],0)),"")</f>
        <v>Gloucester Fishermen</v>
      </c>
      <c r="AC195" s="50">
        <f>IF(Table5[[#This Row],[Ovr]]="","",IF(Table5[[#This Row],[cmbList]]="","",Table5[[#This Row],[cmbList]]-Table5[[#This Row],[Ovr]]))</f>
        <v>1033</v>
      </c>
      <c r="AD195" s="54" t="str">
        <f>IF(ISERROR(VLOOKUP($AB195&amp;"-"&amp;$E195&amp;" "&amp;F195,Bonuses!$B$1:$G$1006,4,FALSE)),"",INT(VLOOKUP($AB195&amp;"-"&amp;$E195&amp;" "&amp;$F195,Bonuses!$B$1:$G$1006,4,FALSE)))</f>
        <v/>
      </c>
      <c r="AE195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2.8 (44) - LF Won-sik Kim</v>
      </c>
    </row>
    <row r="196" spans="1:31" s="50" customFormat="1" x14ac:dyDescent="0.3">
      <c r="A196" s="67">
        <v>20771</v>
      </c>
      <c r="B196" s="68">
        <f>COUNTIF(Table5[PID],A196)</f>
        <v>1</v>
      </c>
      <c r="C196" s="68" t="str">
        <f>IF(COUNTIF(Table3[[#All],[PID]],A196)&gt;0,"P","B")</f>
        <v>B</v>
      </c>
      <c r="D196" s="59" t="str">
        <f>IF($C196="B",INDEX(Batters[[#All],[POS]],MATCH(Table5[[#This Row],[PID]],Batters[[#All],[PID]],0)),INDEX(Table3[[#All],[POS]],MATCH(Table5[[#This Row],[PID]],Table3[[#All],[PID]],0)))</f>
        <v>RF</v>
      </c>
      <c r="E196" s="52" t="str">
        <f>IF($C196="B",INDEX(Batters[[#All],[First]],MATCH(Table5[[#This Row],[PID]],Batters[[#All],[PID]],0)),INDEX(Table3[[#All],[First]],MATCH(Table5[[#This Row],[PID]],Table3[[#All],[PID]],0)))</f>
        <v>David</v>
      </c>
      <c r="F196" s="55" t="str">
        <f>IF($C196="B",INDEX(Batters[[#All],[Last]],MATCH(A196,Batters[[#All],[PID]],0)),INDEX(Table3[[#All],[Last]],MATCH(A196,Table3[[#All],[PID]],0)))</f>
        <v>Miller</v>
      </c>
      <c r="G196" s="56">
        <f>IF($C196="B",INDEX(Batters[[#All],[Age]],MATCH(Table5[[#This Row],[PID]],Batters[[#All],[PID]],0)),INDEX(Table3[[#All],[Age]],MATCH(Table5[[#This Row],[PID]],Table3[[#All],[PID]],0)))</f>
        <v>17</v>
      </c>
      <c r="H196" s="52" t="str">
        <f>IF($C196="B",INDEX(Batters[[#All],[B]],MATCH(Table5[[#This Row],[PID]],Batters[[#All],[PID]],0)),INDEX(Table3[[#All],[B]],MATCH(Table5[[#This Row],[PID]],Table3[[#All],[PID]],0)))</f>
        <v>L</v>
      </c>
      <c r="I196" s="52" t="str">
        <f>IF($C196="B",INDEX(Batters[[#All],[T]],MATCH(Table5[[#This Row],[PID]],Batters[[#All],[PID]],0)),INDEX(Table3[[#All],[T]],MATCH(Table5[[#This Row],[PID]],Table3[[#All],[PID]],0)))</f>
        <v>L</v>
      </c>
      <c r="J196" s="69" t="str">
        <f>IF($C196="B",INDEX(Batters[[#All],[WE]],MATCH(Table5[[#This Row],[PID]],Batters[[#All],[PID]],0)),INDEX(Table3[[#All],[WE]],MATCH(Table5[[#This Row],[PID]],Table3[[#All],[PID]],0)))</f>
        <v>High</v>
      </c>
      <c r="K196" s="52" t="str">
        <f>IF($C196="B",INDEX(Batters[[#All],[INT]],MATCH(Table5[[#This Row],[PID]],Batters[[#All],[PID]],0)),INDEX(Table3[[#All],[INT]],MATCH(Table5[[#This Row],[PID]],Table3[[#All],[PID]],0)))</f>
        <v>Low</v>
      </c>
      <c r="L196" s="60">
        <f>IF($C196="B",INDEX(Batters[[#All],[CON P]],MATCH(Table5[[#This Row],[PID]],Batters[[#All],[PID]],0)),INDEX(Table3[[#All],[STU P]],MATCH(Table5[[#This Row],[PID]],Table3[[#All],[PID]],0)))</f>
        <v>4</v>
      </c>
      <c r="M196" s="70">
        <f>IF($C196="B",INDEX(Batters[[#All],[GAP P]],MATCH(Table5[[#This Row],[PID]],Batters[[#All],[PID]],0)),INDEX(Table3[[#All],[MOV P]],MATCH(Table5[[#This Row],[PID]],Table3[[#All],[PID]],0)))</f>
        <v>6</v>
      </c>
      <c r="N196" s="70">
        <f>IF($C196="B",INDEX(Batters[[#All],[POW P]],MATCH(Table5[[#This Row],[PID]],Batters[[#All],[PID]],0)),INDEX(Table3[[#All],[CON P]],MATCH(Table5[[#This Row],[PID]],Table3[[#All],[PID]],0)))</f>
        <v>6</v>
      </c>
      <c r="O196" s="70">
        <f>IF($C196="B",INDEX(Batters[[#All],[EYE P]],MATCH(Table5[[#This Row],[PID]],Batters[[#All],[PID]],0)),INDEX(Table3[[#All],[VELO]],MATCH(Table5[[#This Row],[PID]],Table3[[#All],[PID]],0)))</f>
        <v>6</v>
      </c>
      <c r="P196" s="56">
        <f>IF($C196="B",INDEX(Batters[[#All],[K P]],MATCH(Table5[[#This Row],[PID]],Batters[[#All],[PID]],0)),INDEX(Table3[[#All],[STM]],MATCH(Table5[[#This Row],[PID]],Table3[[#All],[PID]],0)))</f>
        <v>3</v>
      </c>
      <c r="Q196" s="61">
        <f>IF($C196="B",INDEX(Batters[[#All],[Tot]],MATCH(Table5[[#This Row],[PID]],Batters[[#All],[PID]],0)),INDEX(Table3[[#All],[Tot]],MATCH(Table5[[#This Row],[PID]],Table3[[#All],[PID]],0)))</f>
        <v>51.005937696148514</v>
      </c>
      <c r="R196" s="52">
        <f>IF($C196="B",INDEX(Batters[[#All],[zScore]],MATCH(Table5[[#This Row],[PID]],Batters[[#All],[PID]],0)),INDEX(Table3[[#All],[zScore]],MATCH(Table5[[#This Row],[PID]],Table3[[#All],[PID]],0)))</f>
        <v>1.1367189376669775</v>
      </c>
      <c r="S196" s="75" t="str">
        <f>IF($C196="B",INDEX(Batters[[#All],[DEM]],MATCH(Table5[[#This Row],[PID]],Batters[[#All],[PID]],0)),INDEX(Table3[[#All],[DEM]],MATCH(Table5[[#This Row],[PID]],Table3[[#All],[PID]],0)))</f>
        <v>$140k</v>
      </c>
      <c r="T196" s="72">
        <f>IF($C196="B",INDEX(Batters[[#All],[Rnk]],MATCH(Table5[[#This Row],[PID]],Batters[[#All],[PID]],0)),INDEX(Table3[[#All],[Rnk]],MATCH(Table5[[#This Row],[PID]],Table3[[#All],[PID]],0)))</f>
        <v>900</v>
      </c>
      <c r="U196" s="67">
        <f>IF($C196="B",VLOOKUP($A196,Bat!$A$4:$BA$1314,47,FALSE),VLOOKUP($A196,Pit!$A$4:$BF$1214,56,FALSE))</f>
        <v>111</v>
      </c>
      <c r="V196" s="50">
        <f>IF($C196="B",VLOOKUP($A196,Bat!$A$4:$BA$1314,48,FALSE),VLOOKUP($A196,Pit!$A$4:$BF$1214,57,FALSE))</f>
        <v>0</v>
      </c>
      <c r="W196" s="68">
        <f>IF(Table5[[#This Row],[posRnk]]=999,9999,Table5[[#This Row],[posRnk]]+Table5[[#This Row],[zRnk]]+IF($W$3&lt;&gt;Table5[[#This Row],[Type]],50,0))</f>
        <v>1079</v>
      </c>
      <c r="X196" s="71">
        <f>RANK(Table5[[#This Row],[zScore]],Table5[[#All],[zScore]])</f>
        <v>129</v>
      </c>
      <c r="Y196" s="68">
        <f>IFERROR(INDEX(DraftResults[[#All],[OVR]],MATCH(Table5[[#This Row],[PID]],DraftResults[[#All],[Player ID]],0)),"")</f>
        <v>150</v>
      </c>
      <c r="Z196" s="7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5</v>
      </c>
      <c r="AA196" s="68">
        <f>IFERROR(INDEX(DraftResults[[#All],[Pick in Round]],MATCH(Table5[[#This Row],[PID]],DraftResults[[#All],[Player ID]],0)),"")</f>
        <v>13</v>
      </c>
      <c r="AB196" s="68" t="str">
        <f>IFERROR(INDEX(DraftResults[[#All],[Team Name]],MATCH(Table5[[#This Row],[PID]],DraftResults[[#All],[Player ID]],0)),"")</f>
        <v>Scottish Claymores</v>
      </c>
      <c r="AC196" s="68">
        <f>IF(Table5[[#This Row],[Ovr]]="","",IF(Table5[[#This Row],[cmbList]]="","",Table5[[#This Row],[cmbList]]-Table5[[#This Row],[Ovr]]))</f>
        <v>929</v>
      </c>
      <c r="AD196" s="74" t="str">
        <f>IF(ISERROR(VLOOKUP($AB196&amp;"-"&amp;$E196&amp;" "&amp;F196,Bonuses!$B$1:$G$1006,4,FALSE)),"",INT(VLOOKUP($AB196&amp;"-"&amp;$E196&amp;" "&amp;$F196,Bonuses!$B$1:$G$1006,4,FALSE)))</f>
        <v/>
      </c>
      <c r="AE196" s="68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5.13 (150) - RF David Miller</v>
      </c>
    </row>
    <row r="197" spans="1:31" s="50" customFormat="1" x14ac:dyDescent="0.3">
      <c r="A197" s="50">
        <v>20493</v>
      </c>
      <c r="B197" s="50">
        <f>COUNTIF(Table5[PID],A197)</f>
        <v>1</v>
      </c>
      <c r="C197" s="50" t="str">
        <f>IF(COUNTIF(Table3[[#All],[PID]],A197)&gt;0,"P","B")</f>
        <v>B</v>
      </c>
      <c r="D197" s="59" t="str">
        <f>IF($C197="B",INDEX(Batters[[#All],[POS]],MATCH(Table5[[#This Row],[PID]],Batters[[#All],[PID]],0)),INDEX(Table3[[#All],[POS]],MATCH(Table5[[#This Row],[PID]],Table3[[#All],[PID]],0)))</f>
        <v>2B</v>
      </c>
      <c r="E197" s="52" t="str">
        <f>IF($C197="B",INDEX(Batters[[#All],[First]],MATCH(Table5[[#This Row],[PID]],Batters[[#All],[PID]],0)),INDEX(Table3[[#All],[First]],MATCH(Table5[[#This Row],[PID]],Table3[[#All],[PID]],0)))</f>
        <v>Yasuo</v>
      </c>
      <c r="F197" s="50" t="str">
        <f>IF($C197="B",INDEX(Batters[[#All],[Last]],MATCH(A197,Batters[[#All],[PID]],0)),INDEX(Table3[[#All],[Last]],MATCH(A197,Table3[[#All],[PID]],0)))</f>
        <v>Ishida</v>
      </c>
      <c r="G197" s="56">
        <f>IF($C197="B",INDEX(Batters[[#All],[Age]],MATCH(Table5[[#This Row],[PID]],Batters[[#All],[PID]],0)),INDEX(Table3[[#All],[Age]],MATCH(Table5[[#This Row],[PID]],Table3[[#All],[PID]],0)))</f>
        <v>17</v>
      </c>
      <c r="H197" s="52" t="str">
        <f>IF($C197="B",INDEX(Batters[[#All],[B]],MATCH(Table5[[#This Row],[PID]],Batters[[#All],[PID]],0)),INDEX(Table3[[#All],[B]],MATCH(Table5[[#This Row],[PID]],Table3[[#All],[PID]],0)))</f>
        <v>R</v>
      </c>
      <c r="I197" s="52" t="str">
        <f>IF($C197="B",INDEX(Batters[[#All],[T]],MATCH(Table5[[#This Row],[PID]],Batters[[#All],[PID]],0)),INDEX(Table3[[#All],[T]],MATCH(Table5[[#This Row],[PID]],Table3[[#All],[PID]],0)))</f>
        <v>R</v>
      </c>
      <c r="J197" s="52" t="str">
        <f>IF($C197="B",INDEX(Batters[[#All],[WE]],MATCH(Table5[[#This Row],[PID]],Batters[[#All],[PID]],0)),INDEX(Table3[[#All],[WE]],MATCH(Table5[[#This Row],[PID]],Table3[[#All],[PID]],0)))</f>
        <v>Normal</v>
      </c>
      <c r="K197" s="52" t="str">
        <f>IF($C197="B",INDEX(Batters[[#All],[INT]],MATCH(Table5[[#This Row],[PID]],Batters[[#All],[PID]],0)),INDEX(Table3[[#All],[INT]],MATCH(Table5[[#This Row],[PID]],Table3[[#All],[PID]],0)))</f>
        <v>Normal</v>
      </c>
      <c r="L197" s="60">
        <f>IF($C197="B",INDEX(Batters[[#All],[CON P]],MATCH(Table5[[#This Row],[PID]],Batters[[#All],[PID]],0)),INDEX(Table3[[#All],[STU P]],MATCH(Table5[[#This Row],[PID]],Table3[[#All],[PID]],0)))</f>
        <v>5</v>
      </c>
      <c r="M197" s="56">
        <f>IF($C197="B",INDEX(Batters[[#All],[GAP P]],MATCH(Table5[[#This Row],[PID]],Batters[[#All],[PID]],0)),INDEX(Table3[[#All],[MOV P]],MATCH(Table5[[#This Row],[PID]],Table3[[#All],[PID]],0)))</f>
        <v>4</v>
      </c>
      <c r="N197" s="56">
        <f>IF($C197="B",INDEX(Batters[[#All],[POW P]],MATCH(Table5[[#This Row],[PID]],Batters[[#All],[PID]],0)),INDEX(Table3[[#All],[CON P]],MATCH(Table5[[#This Row],[PID]],Table3[[#All],[PID]],0)))</f>
        <v>2</v>
      </c>
      <c r="O197" s="56">
        <f>IF($C197="B",INDEX(Batters[[#All],[EYE P]],MATCH(Table5[[#This Row],[PID]],Batters[[#All],[PID]],0)),INDEX(Table3[[#All],[VELO]],MATCH(Table5[[#This Row],[PID]],Table3[[#All],[PID]],0)))</f>
        <v>5</v>
      </c>
      <c r="P197" s="56">
        <f>IF($C197="B",INDEX(Batters[[#All],[K P]],MATCH(Table5[[#This Row],[PID]],Batters[[#All],[PID]],0)),INDEX(Table3[[#All],[STM]],MATCH(Table5[[#This Row],[PID]],Table3[[#All],[PID]],0)))</f>
        <v>8</v>
      </c>
      <c r="Q197" s="61">
        <f>IF($C197="B",INDEX(Batters[[#All],[Tot]],MATCH(Table5[[#This Row],[PID]],Batters[[#All],[PID]],0)),INDEX(Table3[[#All],[Tot]],MATCH(Table5[[#This Row],[PID]],Table3[[#All],[PID]],0)))</f>
        <v>50.852069579346505</v>
      </c>
      <c r="R197" s="52">
        <f>IF($C197="B",INDEX(Batters[[#All],[zScore]],MATCH(Table5[[#This Row],[PID]],Batters[[#All],[PID]],0)),INDEX(Table3[[#All],[zScore]],MATCH(Table5[[#This Row],[PID]],Table3[[#All],[PID]],0)))</f>
        <v>1.1142590995224211</v>
      </c>
      <c r="S197" s="58" t="str">
        <f>IF($C197="B",INDEX(Batters[[#All],[DEM]],MATCH(Table5[[#This Row],[PID]],Batters[[#All],[PID]],0)),INDEX(Table3[[#All],[DEM]],MATCH(Table5[[#This Row],[PID]],Table3[[#All],[PID]],0)))</f>
        <v>$200k</v>
      </c>
      <c r="T197" s="62">
        <f>IF($C197="B",INDEX(Batters[[#All],[Rnk]],MATCH(Table5[[#This Row],[PID]],Batters[[#All],[PID]],0)),INDEX(Table3[[#All],[Rnk]],MATCH(Table5[[#This Row],[PID]],Table3[[#All],[PID]],0)))</f>
        <v>900</v>
      </c>
      <c r="U197" s="67">
        <f>IF($C197="B",VLOOKUP($A197,Bat!$A$4:$BA$1314,47,FALSE),VLOOKUP($A197,Pit!$A$4:$BF$1214,56,FALSE))</f>
        <v>112</v>
      </c>
      <c r="V197" s="50">
        <f>IF($C197="B",VLOOKUP($A197,Bat!$A$4:$BA$1314,48,FALSE),VLOOKUP($A197,Pit!$A$4:$BF$1214,57,FALSE))</f>
        <v>0</v>
      </c>
      <c r="W197" s="68">
        <f>IF(Table5[[#This Row],[posRnk]]=999,9999,Table5[[#This Row],[posRnk]]+Table5[[#This Row],[zRnk]]+IF($W$3&lt;&gt;Table5[[#This Row],[Type]],50,0))</f>
        <v>1082</v>
      </c>
      <c r="X197" s="51">
        <f>RANK(Table5[[#This Row],[zScore]],Table5[[#All],[zScore]])</f>
        <v>132</v>
      </c>
      <c r="Y197" s="50">
        <f>IFERROR(INDEX(DraftResults[[#All],[OVR]],MATCH(Table5[[#This Row],[PID]],DraftResults[[#All],[Player ID]],0)),"")</f>
        <v>233</v>
      </c>
      <c r="Z197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7</v>
      </c>
      <c r="AA197" s="50">
        <f>IFERROR(INDEX(DraftResults[[#All],[Pick in Round]],MATCH(Table5[[#This Row],[PID]],DraftResults[[#All],[Player ID]],0)),"")</f>
        <v>32</v>
      </c>
      <c r="AB197" s="50" t="str">
        <f>IFERROR(INDEX(DraftResults[[#All],[Team Name]],MATCH(Table5[[#This Row],[PID]],DraftResults[[#All],[Player ID]],0)),"")</f>
        <v>Florida Farstriders</v>
      </c>
      <c r="AC197" s="50">
        <f>IF(Table5[[#This Row],[Ovr]]="","",IF(Table5[[#This Row],[cmbList]]="","",Table5[[#This Row],[cmbList]]-Table5[[#This Row],[Ovr]]))</f>
        <v>849</v>
      </c>
      <c r="AD197" s="54" t="str">
        <f>IF(ISERROR(VLOOKUP($AB197&amp;"-"&amp;$E197&amp;" "&amp;F197,Bonuses!$B$1:$G$1006,4,FALSE)),"",INT(VLOOKUP($AB197&amp;"-"&amp;$E197&amp;" "&amp;$F197,Bonuses!$B$1:$G$1006,4,FALSE)))</f>
        <v/>
      </c>
      <c r="AE197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7.32 (233) - 2B Yasuo Ishida</v>
      </c>
    </row>
    <row r="198" spans="1:31" s="50" customFormat="1" x14ac:dyDescent="0.3">
      <c r="A198" s="67">
        <v>20894</v>
      </c>
      <c r="B198" s="68">
        <f>COUNTIF(Table5[PID],A198)</f>
        <v>1</v>
      </c>
      <c r="C198" s="68" t="str">
        <f>IF(COUNTIF(Table3[[#All],[PID]],A198)&gt;0,"P","B")</f>
        <v>B</v>
      </c>
      <c r="D198" s="59" t="str">
        <f>IF($C198="B",INDEX(Batters[[#All],[POS]],MATCH(Table5[[#This Row],[PID]],Batters[[#All],[PID]],0)),INDEX(Table3[[#All],[POS]],MATCH(Table5[[#This Row],[PID]],Table3[[#All],[PID]],0)))</f>
        <v>LF</v>
      </c>
      <c r="E198" s="52" t="str">
        <f>IF($C198="B",INDEX(Batters[[#All],[First]],MATCH(Table5[[#This Row],[PID]],Batters[[#All],[PID]],0)),INDEX(Table3[[#All],[First]],MATCH(Table5[[#This Row],[PID]],Table3[[#All],[PID]],0)))</f>
        <v>Craig</v>
      </c>
      <c r="F198" s="55" t="str">
        <f>IF($C198="B",INDEX(Batters[[#All],[Last]],MATCH(A198,Batters[[#All],[PID]],0)),INDEX(Table3[[#All],[Last]],MATCH(A198,Table3[[#All],[PID]],0)))</f>
        <v>Isales</v>
      </c>
      <c r="G198" s="56">
        <f>IF($C198="B",INDEX(Batters[[#All],[Age]],MATCH(Table5[[#This Row],[PID]],Batters[[#All],[PID]],0)),INDEX(Table3[[#All],[Age]],MATCH(Table5[[#This Row],[PID]],Table3[[#All],[PID]],0)))</f>
        <v>17</v>
      </c>
      <c r="H198" s="52" t="str">
        <f>IF($C198="B",INDEX(Batters[[#All],[B]],MATCH(Table5[[#This Row],[PID]],Batters[[#All],[PID]],0)),INDEX(Table3[[#All],[B]],MATCH(Table5[[#This Row],[PID]],Table3[[#All],[PID]],0)))</f>
        <v>R</v>
      </c>
      <c r="I198" s="52" t="str">
        <f>IF($C198="B",INDEX(Batters[[#All],[T]],MATCH(Table5[[#This Row],[PID]],Batters[[#All],[PID]],0)),INDEX(Table3[[#All],[T]],MATCH(Table5[[#This Row],[PID]],Table3[[#All],[PID]],0)))</f>
        <v>R</v>
      </c>
      <c r="J198" s="69" t="str">
        <f>IF($C198="B",INDEX(Batters[[#All],[WE]],MATCH(Table5[[#This Row],[PID]],Batters[[#All],[PID]],0)),INDEX(Table3[[#All],[WE]],MATCH(Table5[[#This Row],[PID]],Table3[[#All],[PID]],0)))</f>
        <v>High</v>
      </c>
      <c r="K198" s="52" t="str">
        <f>IF($C198="B",INDEX(Batters[[#All],[INT]],MATCH(Table5[[#This Row],[PID]],Batters[[#All],[PID]],0)),INDEX(Table3[[#All],[INT]],MATCH(Table5[[#This Row],[PID]],Table3[[#All],[PID]],0)))</f>
        <v>Normal</v>
      </c>
      <c r="L198" s="60">
        <f>IF($C198="B",INDEX(Batters[[#All],[CON P]],MATCH(Table5[[#This Row],[PID]],Batters[[#All],[PID]],0)),INDEX(Table3[[#All],[STU P]],MATCH(Table5[[#This Row],[PID]],Table3[[#All],[PID]],0)))</f>
        <v>4</v>
      </c>
      <c r="M198" s="70">
        <f>IF($C198="B",INDEX(Batters[[#All],[GAP P]],MATCH(Table5[[#This Row],[PID]],Batters[[#All],[PID]],0)),INDEX(Table3[[#All],[MOV P]],MATCH(Table5[[#This Row],[PID]],Table3[[#All],[PID]],0)))</f>
        <v>6</v>
      </c>
      <c r="N198" s="70">
        <f>IF($C198="B",INDEX(Batters[[#All],[POW P]],MATCH(Table5[[#This Row],[PID]],Batters[[#All],[PID]],0)),INDEX(Table3[[#All],[CON P]],MATCH(Table5[[#This Row],[PID]],Table3[[#All],[PID]],0)))</f>
        <v>6</v>
      </c>
      <c r="O198" s="70">
        <f>IF($C198="B",INDEX(Batters[[#All],[EYE P]],MATCH(Table5[[#This Row],[PID]],Batters[[#All],[PID]],0)),INDEX(Table3[[#All],[VELO]],MATCH(Table5[[#This Row],[PID]],Table3[[#All],[PID]],0)))</f>
        <v>5</v>
      </c>
      <c r="P198" s="56">
        <f>IF($C198="B",INDEX(Batters[[#All],[K P]],MATCH(Table5[[#This Row],[PID]],Batters[[#All],[PID]],0)),INDEX(Table3[[#All],[STM]],MATCH(Table5[[#This Row],[PID]],Table3[[#All],[PID]],0)))</f>
        <v>4</v>
      </c>
      <c r="Q198" s="61">
        <f>IF($C198="B",INDEX(Batters[[#All],[Tot]],MATCH(Table5[[#This Row],[PID]],Batters[[#All],[PID]],0)),INDEX(Table3[[#All],[Tot]],MATCH(Table5[[#This Row],[PID]],Table3[[#All],[PID]],0)))</f>
        <v>50.755150807544297</v>
      </c>
      <c r="R198" s="52">
        <f>IF($C198="B",INDEX(Batters[[#All],[zScore]],MATCH(Table5[[#This Row],[PID]],Batters[[#All],[PID]],0)),INDEX(Table3[[#All],[zScore]],MATCH(Table5[[#This Row],[PID]],Table3[[#All],[PID]],0)))</f>
        <v>1.1001120496131289</v>
      </c>
      <c r="S198" s="75" t="str">
        <f>IF($C198="B",INDEX(Batters[[#All],[DEM]],MATCH(Table5[[#This Row],[PID]],Batters[[#All],[PID]],0)),INDEX(Table3[[#All],[DEM]],MATCH(Table5[[#This Row],[PID]],Table3[[#All],[PID]],0)))</f>
        <v>$190k</v>
      </c>
      <c r="T198" s="72">
        <f>IF($C198="B",INDEX(Batters[[#All],[Rnk]],MATCH(Table5[[#This Row],[PID]],Batters[[#All],[PID]],0)),INDEX(Table3[[#All],[Rnk]],MATCH(Table5[[#This Row],[PID]],Table3[[#All],[PID]],0)))</f>
        <v>900</v>
      </c>
      <c r="U198" s="67">
        <f>IF($C198="B",VLOOKUP($A198,Bat!$A$4:$BA$1314,47,FALSE),VLOOKUP($A198,Pit!$A$4:$BF$1214,56,FALSE))</f>
        <v>107</v>
      </c>
      <c r="V198" s="50">
        <f>IF($C198="B",VLOOKUP($A198,Bat!$A$4:$BA$1314,48,FALSE),VLOOKUP($A198,Pit!$A$4:$BF$1214,57,FALSE))</f>
        <v>0</v>
      </c>
      <c r="W198" s="68">
        <f>IF(Table5[[#This Row],[posRnk]]=999,9999,Table5[[#This Row],[posRnk]]+Table5[[#This Row],[zRnk]]+IF($W$3&lt;&gt;Table5[[#This Row],[Type]],50,0))</f>
        <v>1083</v>
      </c>
      <c r="X198" s="71">
        <f>RANK(Table5[[#This Row],[zScore]],Table5[[#All],[zScore]])</f>
        <v>133</v>
      </c>
      <c r="Y198" s="68">
        <f>IFERROR(INDEX(DraftResults[[#All],[OVR]],MATCH(Table5[[#This Row],[PID]],DraftResults[[#All],[Player ID]],0)),"")</f>
        <v>272</v>
      </c>
      <c r="Z198" s="7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9</v>
      </c>
      <c r="AA198" s="68">
        <f>IFERROR(INDEX(DraftResults[[#All],[Pick in Round]],MATCH(Table5[[#This Row],[PID]],DraftResults[[#All],[Player ID]],0)),"")</f>
        <v>7</v>
      </c>
      <c r="AB198" s="68" t="str">
        <f>IFERROR(INDEX(DraftResults[[#All],[Team Name]],MATCH(Table5[[#This Row],[PID]],DraftResults[[#All],[Player ID]],0)),"")</f>
        <v>Hartford Harpoon</v>
      </c>
      <c r="AC198" s="68">
        <f>IF(Table5[[#This Row],[Ovr]]="","",IF(Table5[[#This Row],[cmbList]]="","",Table5[[#This Row],[cmbList]]-Table5[[#This Row],[Ovr]]))</f>
        <v>811</v>
      </c>
      <c r="AD198" s="74" t="str">
        <f>IF(ISERROR(VLOOKUP($AB198&amp;"-"&amp;$E198&amp;" "&amp;F198,Bonuses!$B$1:$G$1006,4,FALSE)),"",INT(VLOOKUP($AB198&amp;"-"&amp;$E198&amp;" "&amp;$F198,Bonuses!$B$1:$G$1006,4,FALSE)))</f>
        <v/>
      </c>
      <c r="AE198" s="68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9.7 (272) - LF Craig Isales</v>
      </c>
    </row>
    <row r="199" spans="1:31" s="50" customFormat="1" x14ac:dyDescent="0.3">
      <c r="A199" s="67">
        <v>20744</v>
      </c>
      <c r="B199" s="68">
        <f>COUNTIF(Table5[PID],A199)</f>
        <v>1</v>
      </c>
      <c r="C199" s="68" t="str">
        <f>IF(COUNTIF(Table3[[#All],[PID]],A199)&gt;0,"P","B")</f>
        <v>B</v>
      </c>
      <c r="D199" s="59" t="str">
        <f>IF($C199="B",INDEX(Batters[[#All],[POS]],MATCH(Table5[[#This Row],[PID]],Batters[[#All],[PID]],0)),INDEX(Table3[[#All],[POS]],MATCH(Table5[[#This Row],[PID]],Table3[[#All],[PID]],0)))</f>
        <v>LF</v>
      </c>
      <c r="E199" s="52" t="str">
        <f>IF($C199="B",INDEX(Batters[[#All],[First]],MATCH(Table5[[#This Row],[PID]],Batters[[#All],[PID]],0)),INDEX(Table3[[#All],[First]],MATCH(Table5[[#This Row],[PID]],Table3[[#All],[PID]],0)))</f>
        <v>Johnny</v>
      </c>
      <c r="F199" s="55" t="str">
        <f>IF($C199="B",INDEX(Batters[[#All],[Last]],MATCH(A199,Batters[[#All],[PID]],0)),INDEX(Table3[[#All],[Last]],MATCH(A199,Table3[[#All],[PID]],0)))</f>
        <v>Bell</v>
      </c>
      <c r="G199" s="56">
        <f>IF($C199="B",INDEX(Batters[[#All],[Age]],MATCH(Table5[[#This Row],[PID]],Batters[[#All],[PID]],0)),INDEX(Table3[[#All],[Age]],MATCH(Table5[[#This Row],[PID]],Table3[[#All],[PID]],0)))</f>
        <v>17</v>
      </c>
      <c r="H199" s="52" t="str">
        <f>IF($C199="B",INDEX(Batters[[#All],[B]],MATCH(Table5[[#This Row],[PID]],Batters[[#All],[PID]],0)),INDEX(Table3[[#All],[B]],MATCH(Table5[[#This Row],[PID]],Table3[[#All],[PID]],0)))</f>
        <v>L</v>
      </c>
      <c r="I199" s="52" t="str">
        <f>IF($C199="B",INDEX(Batters[[#All],[T]],MATCH(Table5[[#This Row],[PID]],Batters[[#All],[PID]],0)),INDEX(Table3[[#All],[T]],MATCH(Table5[[#This Row],[PID]],Table3[[#All],[PID]],0)))</f>
        <v>L</v>
      </c>
      <c r="J199" s="69" t="str">
        <f>IF($C199="B",INDEX(Batters[[#All],[WE]],MATCH(Table5[[#This Row],[PID]],Batters[[#All],[PID]],0)),INDEX(Table3[[#All],[WE]],MATCH(Table5[[#This Row],[PID]],Table3[[#All],[PID]],0)))</f>
        <v>Normal</v>
      </c>
      <c r="K199" s="52" t="str">
        <f>IF($C199="B",INDEX(Batters[[#All],[INT]],MATCH(Table5[[#This Row],[PID]],Batters[[#All],[PID]],0)),INDEX(Table3[[#All],[INT]],MATCH(Table5[[#This Row],[PID]],Table3[[#All],[PID]],0)))</f>
        <v>Normal</v>
      </c>
      <c r="L199" s="60">
        <f>IF($C199="B",INDEX(Batters[[#All],[CON P]],MATCH(Table5[[#This Row],[PID]],Batters[[#All],[PID]],0)),INDEX(Table3[[#All],[STU P]],MATCH(Table5[[#This Row],[PID]],Table3[[#All],[PID]],0)))</f>
        <v>4</v>
      </c>
      <c r="M199" s="70">
        <f>IF($C199="B",INDEX(Batters[[#All],[GAP P]],MATCH(Table5[[#This Row],[PID]],Batters[[#All],[PID]],0)),INDEX(Table3[[#All],[MOV P]],MATCH(Table5[[#This Row],[PID]],Table3[[#All],[PID]],0)))</f>
        <v>6</v>
      </c>
      <c r="N199" s="70">
        <f>IF($C199="B",INDEX(Batters[[#All],[POW P]],MATCH(Table5[[#This Row],[PID]],Batters[[#All],[PID]],0)),INDEX(Table3[[#All],[CON P]],MATCH(Table5[[#This Row],[PID]],Table3[[#All],[PID]],0)))</f>
        <v>6</v>
      </c>
      <c r="O199" s="70">
        <f>IF($C199="B",INDEX(Batters[[#All],[EYE P]],MATCH(Table5[[#This Row],[PID]],Batters[[#All],[PID]],0)),INDEX(Table3[[#All],[VELO]],MATCH(Table5[[#This Row],[PID]],Table3[[#All],[PID]],0)))</f>
        <v>5</v>
      </c>
      <c r="P199" s="56">
        <f>IF($C199="B",INDEX(Batters[[#All],[K P]],MATCH(Table5[[#This Row],[PID]],Batters[[#All],[PID]],0)),INDEX(Table3[[#All],[STM]],MATCH(Table5[[#This Row],[PID]],Table3[[#All],[PID]],0)))</f>
        <v>5</v>
      </c>
      <c r="Q199" s="61">
        <f>IF($C199="B",INDEX(Batters[[#All],[Tot]],MATCH(Table5[[#This Row],[PID]],Batters[[#All],[PID]],0)),INDEX(Table3[[#All],[Tot]],MATCH(Table5[[#This Row],[PID]],Table3[[#All],[PID]],0)))</f>
        <v>50.702040735946909</v>
      </c>
      <c r="R199" s="52">
        <f>IF($C199="B",INDEX(Batters[[#All],[zScore]],MATCH(Table5[[#This Row],[PID]],Batters[[#All],[PID]],0)),INDEX(Table3[[#All],[zScore]],MATCH(Table5[[#This Row],[PID]],Table3[[#All],[PID]],0)))</f>
        <v>1.0923596728588334</v>
      </c>
      <c r="S199" s="75" t="str">
        <f>IF($C199="B",INDEX(Batters[[#All],[DEM]],MATCH(Table5[[#This Row],[PID]],Batters[[#All],[PID]],0)),INDEX(Table3[[#All],[DEM]],MATCH(Table5[[#This Row],[PID]],Table3[[#All],[PID]],0)))</f>
        <v>$20k</v>
      </c>
      <c r="T199" s="72">
        <f>IF($C199="B",INDEX(Batters[[#All],[Rnk]],MATCH(Table5[[#This Row],[PID]],Batters[[#All],[PID]],0)),INDEX(Table3[[#All],[Rnk]],MATCH(Table5[[#This Row],[PID]],Table3[[#All],[PID]],0)))</f>
        <v>900</v>
      </c>
      <c r="U199" s="67">
        <f>IF($C199="B",VLOOKUP($A199,Bat!$A$4:$BA$1314,47,FALSE),VLOOKUP($A199,Pit!$A$4:$BF$1214,56,FALSE))</f>
        <v>113</v>
      </c>
      <c r="V199" s="50">
        <f>IF($C199="B",VLOOKUP($A199,Bat!$A$4:$BA$1314,48,FALSE),VLOOKUP($A199,Pit!$A$4:$BF$1214,57,FALSE))</f>
        <v>0</v>
      </c>
      <c r="W199" s="68">
        <f>IF(Table5[[#This Row],[posRnk]]=999,9999,Table5[[#This Row],[posRnk]]+Table5[[#This Row],[zRnk]]+IF($W$3&lt;&gt;Table5[[#This Row],[Type]],50,0))</f>
        <v>1084</v>
      </c>
      <c r="X199" s="71">
        <f>RANK(Table5[[#This Row],[zScore]],Table5[[#All],[zScore]])</f>
        <v>134</v>
      </c>
      <c r="Y199" s="68">
        <f>IFERROR(INDEX(DraftResults[[#All],[OVR]],MATCH(Table5[[#This Row],[PID]],DraftResults[[#All],[Player ID]],0)),"")</f>
        <v>362</v>
      </c>
      <c r="Z199" s="7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11</v>
      </c>
      <c r="AA199" s="68">
        <f>IFERROR(INDEX(DraftResults[[#All],[Pick in Round]],MATCH(Table5[[#This Row],[PID]],DraftResults[[#All],[Player ID]],0)),"")</f>
        <v>31</v>
      </c>
      <c r="AB199" s="68" t="str">
        <f>IFERROR(INDEX(DraftResults[[#All],[Team Name]],MATCH(Table5[[#This Row],[PID]],DraftResults[[#All],[Player ID]],0)),"")</f>
        <v>West Virginia Alleghenies</v>
      </c>
      <c r="AC199" s="68">
        <f>IF(Table5[[#This Row],[Ovr]]="","",IF(Table5[[#This Row],[cmbList]]="","",Table5[[#This Row],[cmbList]]-Table5[[#This Row],[Ovr]]))</f>
        <v>722</v>
      </c>
      <c r="AD199" s="74" t="str">
        <f>IF(ISERROR(VLOOKUP($AB199&amp;"-"&amp;$E199&amp;" "&amp;F199,Bonuses!$B$1:$G$1006,4,FALSE)),"",INT(VLOOKUP($AB199&amp;"-"&amp;$E199&amp;" "&amp;$F199,Bonuses!$B$1:$G$1006,4,FALSE)))</f>
        <v/>
      </c>
      <c r="AE199" s="68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11.31 (362) - LF Johnny Bell</v>
      </c>
    </row>
    <row r="200" spans="1:31" s="50" customFormat="1" x14ac:dyDescent="0.3">
      <c r="A200" s="50">
        <v>12114</v>
      </c>
      <c r="B200" s="50">
        <f>COUNTIF(Table5[PID],A200)</f>
        <v>1</v>
      </c>
      <c r="C200" s="50" t="str">
        <f>IF(COUNTIF(Table3[[#All],[PID]],A200)&gt;0,"P","B")</f>
        <v>B</v>
      </c>
      <c r="D200" s="59" t="str">
        <f>IF($C200="B",INDEX(Batters[[#All],[POS]],MATCH(Table5[[#This Row],[PID]],Batters[[#All],[PID]],0)),INDEX(Table3[[#All],[POS]],MATCH(Table5[[#This Row],[PID]],Table3[[#All],[PID]],0)))</f>
        <v>2B</v>
      </c>
      <c r="E200" s="52" t="str">
        <f>IF($C200="B",INDEX(Batters[[#All],[First]],MATCH(Table5[[#This Row],[PID]],Batters[[#All],[PID]],0)),INDEX(Table3[[#All],[First]],MATCH(Table5[[#This Row],[PID]],Table3[[#All],[PID]],0)))</f>
        <v>Andrew</v>
      </c>
      <c r="F200" s="50" t="str">
        <f>IF($C200="B",INDEX(Batters[[#All],[Last]],MATCH(A200,Batters[[#All],[PID]],0)),INDEX(Table3[[#All],[Last]],MATCH(A200,Table3[[#All],[PID]],0)))</f>
        <v>Trewhitt</v>
      </c>
      <c r="G200" s="56">
        <f>IF($C200="B",INDEX(Batters[[#All],[Age]],MATCH(Table5[[#This Row],[PID]],Batters[[#All],[PID]],0)),INDEX(Table3[[#All],[Age]],MATCH(Table5[[#This Row],[PID]],Table3[[#All],[PID]],0)))</f>
        <v>18</v>
      </c>
      <c r="H200" s="52" t="str">
        <f>IF($C200="B",INDEX(Batters[[#All],[B]],MATCH(Table5[[#This Row],[PID]],Batters[[#All],[PID]],0)),INDEX(Table3[[#All],[B]],MATCH(Table5[[#This Row],[PID]],Table3[[#All],[PID]],0)))</f>
        <v>R</v>
      </c>
      <c r="I200" s="52" t="str">
        <f>IF($C200="B",INDEX(Batters[[#All],[T]],MATCH(Table5[[#This Row],[PID]],Batters[[#All],[PID]],0)),INDEX(Table3[[#All],[T]],MATCH(Table5[[#This Row],[PID]],Table3[[#All],[PID]],0)))</f>
        <v>R</v>
      </c>
      <c r="J200" s="52" t="str">
        <f>IF($C200="B",INDEX(Batters[[#All],[WE]],MATCH(Table5[[#This Row],[PID]],Batters[[#All],[PID]],0)),INDEX(Table3[[#All],[WE]],MATCH(Table5[[#This Row],[PID]],Table3[[#All],[PID]],0)))</f>
        <v>Normal</v>
      </c>
      <c r="K200" s="52" t="str">
        <f>IF($C200="B",INDEX(Batters[[#All],[INT]],MATCH(Table5[[#This Row],[PID]],Batters[[#All],[PID]],0)),INDEX(Table3[[#All],[INT]],MATCH(Table5[[#This Row],[PID]],Table3[[#All],[PID]],0)))</f>
        <v>Normal</v>
      </c>
      <c r="L200" s="60">
        <f>IF($C200="B",INDEX(Batters[[#All],[CON P]],MATCH(Table5[[#This Row],[PID]],Batters[[#All],[PID]],0)),INDEX(Table3[[#All],[STU P]],MATCH(Table5[[#This Row],[PID]],Table3[[#All],[PID]],0)))</f>
        <v>4</v>
      </c>
      <c r="M200" s="56">
        <f>IF($C200="B",INDEX(Batters[[#All],[GAP P]],MATCH(Table5[[#This Row],[PID]],Batters[[#All],[PID]],0)),INDEX(Table3[[#All],[MOV P]],MATCH(Table5[[#This Row],[PID]],Table3[[#All],[PID]],0)))</f>
        <v>7</v>
      </c>
      <c r="N200" s="56">
        <f>IF($C200="B",INDEX(Batters[[#All],[POW P]],MATCH(Table5[[#This Row],[PID]],Batters[[#All],[PID]],0)),INDEX(Table3[[#All],[CON P]],MATCH(Table5[[#This Row],[PID]],Table3[[#All],[PID]],0)))</f>
        <v>5</v>
      </c>
      <c r="O200" s="56">
        <f>IF($C200="B",INDEX(Batters[[#All],[EYE P]],MATCH(Table5[[#This Row],[PID]],Batters[[#All],[PID]],0)),INDEX(Table3[[#All],[VELO]],MATCH(Table5[[#This Row],[PID]],Table3[[#All],[PID]],0)))</f>
        <v>5</v>
      </c>
      <c r="P200" s="56">
        <f>IF($C200="B",INDEX(Batters[[#All],[K P]],MATCH(Table5[[#This Row],[PID]],Batters[[#All],[PID]],0)),INDEX(Table3[[#All],[STM]],MATCH(Table5[[#This Row],[PID]],Table3[[#All],[PID]],0)))</f>
        <v>5</v>
      </c>
      <c r="Q200" s="61">
        <f>IF($C200="B",INDEX(Batters[[#All],[Tot]],MATCH(Table5[[#This Row],[PID]],Batters[[#All],[PID]],0)),INDEX(Table3[[#All],[Tot]],MATCH(Table5[[#This Row],[PID]],Table3[[#All],[PID]],0)))</f>
        <v>50.597796706012637</v>
      </c>
      <c r="R200" s="52">
        <f>IF($C200="B",INDEX(Batters[[#All],[zScore]],MATCH(Table5[[#This Row],[PID]],Batters[[#All],[PID]],0)),INDEX(Table3[[#All],[zScore]],MATCH(Table5[[#This Row],[PID]],Table3[[#All],[PID]],0)))</f>
        <v>1.0771433688673266</v>
      </c>
      <c r="S200" s="58" t="str">
        <f>IF($C200="B",INDEX(Batters[[#All],[DEM]],MATCH(Table5[[#This Row],[PID]],Batters[[#All],[PID]],0)),INDEX(Table3[[#All],[DEM]],MATCH(Table5[[#This Row],[PID]],Table3[[#All],[PID]],0)))</f>
        <v>$250k</v>
      </c>
      <c r="T200" s="62">
        <f>IF($C200="B",INDEX(Batters[[#All],[Rnk]],MATCH(Table5[[#This Row],[PID]],Batters[[#All],[PID]],0)),INDEX(Table3[[#All],[Rnk]],MATCH(Table5[[#This Row],[PID]],Table3[[#All],[PID]],0)))</f>
        <v>900</v>
      </c>
      <c r="U200" s="67">
        <f>IF($C200="B",VLOOKUP($A200,Bat!$A$4:$BA$1314,47,FALSE),VLOOKUP($A200,Pit!$A$4:$BF$1214,56,FALSE))</f>
        <v>114</v>
      </c>
      <c r="V200" s="50">
        <f>IF($C200="B",VLOOKUP($A200,Bat!$A$4:$BA$1314,48,FALSE),VLOOKUP($A200,Pit!$A$4:$BF$1214,57,FALSE))</f>
        <v>0</v>
      </c>
      <c r="W200" s="68">
        <f>IF(Table5[[#This Row],[posRnk]]=999,9999,Table5[[#This Row],[posRnk]]+Table5[[#This Row],[zRnk]]+IF($W$3&lt;&gt;Table5[[#This Row],[Type]],50,0))</f>
        <v>1085</v>
      </c>
      <c r="X200" s="51">
        <f>RANK(Table5[[#This Row],[zScore]],Table5[[#All],[zScore]])</f>
        <v>135</v>
      </c>
      <c r="Y200" s="50">
        <f>IFERROR(INDEX(DraftResults[[#All],[OVR]],MATCH(Table5[[#This Row],[PID]],DraftResults[[#All],[Player ID]],0)),"")</f>
        <v>197</v>
      </c>
      <c r="Z200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6</v>
      </c>
      <c r="AA200" s="50">
        <f>IFERROR(INDEX(DraftResults[[#All],[Pick in Round]],MATCH(Table5[[#This Row],[PID]],DraftResults[[#All],[Player ID]],0)),"")</f>
        <v>28</v>
      </c>
      <c r="AB200" s="50" t="str">
        <f>IFERROR(INDEX(DraftResults[[#All],[Team Name]],MATCH(Table5[[#This Row],[PID]],DraftResults[[#All],[Player ID]],0)),"")</f>
        <v>Hartford Harpoon</v>
      </c>
      <c r="AC200" s="50">
        <f>IF(Table5[[#This Row],[Ovr]]="","",IF(Table5[[#This Row],[cmbList]]="","",Table5[[#This Row],[cmbList]]-Table5[[#This Row],[Ovr]]))</f>
        <v>888</v>
      </c>
      <c r="AD200" s="54" t="str">
        <f>IF(ISERROR(VLOOKUP($AB200&amp;"-"&amp;$E200&amp;" "&amp;F200,Bonuses!$B$1:$G$1006,4,FALSE)),"",INT(VLOOKUP($AB200&amp;"-"&amp;$E200&amp;" "&amp;$F200,Bonuses!$B$1:$G$1006,4,FALSE)))</f>
        <v/>
      </c>
      <c r="AE200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6.28 (197) - 2B Andrew Trewhitt</v>
      </c>
    </row>
    <row r="201" spans="1:31" s="50" customFormat="1" x14ac:dyDescent="0.3">
      <c r="A201" s="50">
        <v>12336</v>
      </c>
      <c r="B201" s="50">
        <f>COUNTIF(Table5[PID],A201)</f>
        <v>1</v>
      </c>
      <c r="C201" s="50" t="str">
        <f>IF(COUNTIF(Table3[[#All],[PID]],A201)&gt;0,"P","B")</f>
        <v>B</v>
      </c>
      <c r="D201" s="59" t="str">
        <f>IF($C201="B",INDEX(Batters[[#All],[POS]],MATCH(Table5[[#This Row],[PID]],Batters[[#All],[PID]],0)),INDEX(Table3[[#All],[POS]],MATCH(Table5[[#This Row],[PID]],Table3[[#All],[PID]],0)))</f>
        <v>RF</v>
      </c>
      <c r="E201" s="52" t="str">
        <f>IF($C201="B",INDEX(Batters[[#All],[First]],MATCH(Table5[[#This Row],[PID]],Batters[[#All],[PID]],0)),INDEX(Table3[[#All],[First]],MATCH(Table5[[#This Row],[PID]],Table3[[#All],[PID]],0)))</f>
        <v>Mario</v>
      </c>
      <c r="F201" s="50" t="str">
        <f>IF($C201="B",INDEX(Batters[[#All],[Last]],MATCH(A201,Batters[[#All],[PID]],0)),INDEX(Table3[[#All],[Last]],MATCH(A201,Table3[[#All],[PID]],0)))</f>
        <v>Rivera</v>
      </c>
      <c r="G201" s="56">
        <f>IF($C201="B",INDEX(Batters[[#All],[Age]],MATCH(Table5[[#This Row],[PID]],Batters[[#All],[PID]],0)),INDEX(Table3[[#All],[Age]],MATCH(Table5[[#This Row],[PID]],Table3[[#All],[PID]],0)))</f>
        <v>17</v>
      </c>
      <c r="H201" s="52" t="str">
        <f>IF($C201="B",INDEX(Batters[[#All],[B]],MATCH(Table5[[#This Row],[PID]],Batters[[#All],[PID]],0)),INDEX(Table3[[#All],[B]],MATCH(Table5[[#This Row],[PID]],Table3[[#All],[PID]],0)))</f>
        <v>R</v>
      </c>
      <c r="I201" s="52" t="str">
        <f>IF($C201="B",INDEX(Batters[[#All],[T]],MATCH(Table5[[#This Row],[PID]],Batters[[#All],[PID]],0)),INDEX(Table3[[#All],[T]],MATCH(Table5[[#This Row],[PID]],Table3[[#All],[PID]],0)))</f>
        <v>R</v>
      </c>
      <c r="J201" s="52" t="str">
        <f>IF($C201="B",INDEX(Batters[[#All],[WE]],MATCH(Table5[[#This Row],[PID]],Batters[[#All],[PID]],0)),INDEX(Table3[[#All],[WE]],MATCH(Table5[[#This Row],[PID]],Table3[[#All],[PID]],0)))</f>
        <v>Normal</v>
      </c>
      <c r="K201" s="52" t="str">
        <f>IF($C201="B",INDEX(Batters[[#All],[INT]],MATCH(Table5[[#This Row],[PID]],Batters[[#All],[PID]],0)),INDEX(Table3[[#All],[INT]],MATCH(Table5[[#This Row],[PID]],Table3[[#All],[PID]],0)))</f>
        <v>Normal</v>
      </c>
      <c r="L201" s="60">
        <f>IF($C201="B",INDEX(Batters[[#All],[CON P]],MATCH(Table5[[#This Row],[PID]],Batters[[#All],[PID]],0)),INDEX(Table3[[#All],[STU P]],MATCH(Table5[[#This Row],[PID]],Table3[[#All],[PID]],0)))</f>
        <v>4</v>
      </c>
      <c r="M201" s="56">
        <f>IF($C201="B",INDEX(Batters[[#All],[GAP P]],MATCH(Table5[[#This Row],[PID]],Batters[[#All],[PID]],0)),INDEX(Table3[[#All],[MOV P]],MATCH(Table5[[#This Row],[PID]],Table3[[#All],[PID]],0)))</f>
        <v>5</v>
      </c>
      <c r="N201" s="56">
        <f>IF($C201="B",INDEX(Batters[[#All],[POW P]],MATCH(Table5[[#This Row],[PID]],Batters[[#All],[PID]],0)),INDEX(Table3[[#All],[CON P]],MATCH(Table5[[#This Row],[PID]],Table3[[#All],[PID]],0)))</f>
        <v>4</v>
      </c>
      <c r="O201" s="56">
        <f>IF($C201="B",INDEX(Batters[[#All],[EYE P]],MATCH(Table5[[#This Row],[PID]],Batters[[#All],[PID]],0)),INDEX(Table3[[#All],[VELO]],MATCH(Table5[[#This Row],[PID]],Table3[[#All],[PID]],0)))</f>
        <v>7</v>
      </c>
      <c r="P201" s="56">
        <f>IF($C201="B",INDEX(Batters[[#All],[K P]],MATCH(Table5[[#This Row],[PID]],Batters[[#All],[PID]],0)),INDEX(Table3[[#All],[STM]],MATCH(Table5[[#This Row],[PID]],Table3[[#All],[PID]],0)))</f>
        <v>5</v>
      </c>
      <c r="Q201" s="61">
        <f>IF($C201="B",INDEX(Batters[[#All],[Tot]],MATCH(Table5[[#This Row],[PID]],Batters[[#All],[PID]],0)),INDEX(Table3[[#All],[Tot]],MATCH(Table5[[#This Row],[PID]],Table3[[#All],[PID]],0)))</f>
        <v>50.43792528321066</v>
      </c>
      <c r="R201" s="52">
        <f>IF($C201="B",INDEX(Batters[[#All],[zScore]],MATCH(Table5[[#This Row],[PID]],Batters[[#All],[PID]],0)),INDEX(Table3[[#All],[zScore]],MATCH(Table5[[#This Row],[PID]],Table3[[#All],[PID]],0)))</f>
        <v>1.0538072394943214</v>
      </c>
      <c r="S201" s="58" t="str">
        <f>IF($C201="B",INDEX(Batters[[#All],[DEM]],MATCH(Table5[[#This Row],[PID]],Batters[[#All],[PID]],0)),INDEX(Table3[[#All],[DEM]],MATCH(Table5[[#This Row],[PID]],Table3[[#All],[PID]],0)))</f>
        <v>$200k</v>
      </c>
      <c r="T201" s="62">
        <f>IF($C201="B",INDEX(Batters[[#All],[Rnk]],MATCH(Table5[[#This Row],[PID]],Batters[[#All],[PID]],0)),INDEX(Table3[[#All],[Rnk]],MATCH(Table5[[#This Row],[PID]],Table3[[#All],[PID]],0)))</f>
        <v>900</v>
      </c>
      <c r="U201" s="67">
        <f>IF($C201="B",VLOOKUP($A201,Bat!$A$4:$BA$1314,47,FALSE),VLOOKUP($A201,Pit!$A$4:$BF$1214,56,FALSE))</f>
        <v>115</v>
      </c>
      <c r="V201" s="50">
        <f>IF($C201="B",VLOOKUP($A201,Bat!$A$4:$BA$1314,48,FALSE),VLOOKUP($A201,Pit!$A$4:$BF$1214,57,FALSE))</f>
        <v>0</v>
      </c>
      <c r="W201" s="68">
        <f>IF(Table5[[#This Row],[posRnk]]=999,9999,Table5[[#This Row],[posRnk]]+Table5[[#This Row],[zRnk]]+IF($W$3&lt;&gt;Table5[[#This Row],[Type]],50,0))</f>
        <v>1088</v>
      </c>
      <c r="X201" s="51">
        <f>RANK(Table5[[#This Row],[zScore]],Table5[[#All],[zScore]])</f>
        <v>138</v>
      </c>
      <c r="Y201" s="50">
        <f>IFERROR(INDEX(DraftResults[[#All],[OVR]],MATCH(Table5[[#This Row],[PID]],DraftResults[[#All],[Player ID]],0)),"")</f>
        <v>250</v>
      </c>
      <c r="Z201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8</v>
      </c>
      <c r="AA201" s="50">
        <f>IFERROR(INDEX(DraftResults[[#All],[Pick in Round]],MATCH(Table5[[#This Row],[PID]],DraftResults[[#All],[Player ID]],0)),"")</f>
        <v>17</v>
      </c>
      <c r="AB201" s="50" t="str">
        <f>IFERROR(INDEX(DraftResults[[#All],[Team Name]],MATCH(Table5[[#This Row],[PID]],DraftResults[[#All],[Player ID]],0)),"")</f>
        <v>Duluth Warriors</v>
      </c>
      <c r="AC201" s="50">
        <f>IF(Table5[[#This Row],[Ovr]]="","",IF(Table5[[#This Row],[cmbList]]="","",Table5[[#This Row],[cmbList]]-Table5[[#This Row],[Ovr]]))</f>
        <v>838</v>
      </c>
      <c r="AD201" s="54" t="str">
        <f>IF(ISERROR(VLOOKUP($AB201&amp;"-"&amp;$E201&amp;" "&amp;F201,Bonuses!$B$1:$G$1006,4,FALSE)),"",INT(VLOOKUP($AB201&amp;"-"&amp;$E201&amp;" "&amp;$F201,Bonuses!$B$1:$G$1006,4,FALSE)))</f>
        <v/>
      </c>
      <c r="AE201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8.17 (250) - RF Mario Rivera</v>
      </c>
    </row>
    <row r="202" spans="1:31" s="50" customFormat="1" x14ac:dyDescent="0.3">
      <c r="A202" s="50">
        <v>11293</v>
      </c>
      <c r="B202" s="50">
        <f>COUNTIF(Table5[PID],A202)</f>
        <v>1</v>
      </c>
      <c r="C202" s="50" t="str">
        <f>IF(COUNTIF(Table3[[#All],[PID]],A202)&gt;0,"P","B")</f>
        <v>B</v>
      </c>
      <c r="D202" s="59" t="str">
        <f>IF($C202="B",INDEX(Batters[[#All],[POS]],MATCH(Table5[[#This Row],[PID]],Batters[[#All],[PID]],0)),INDEX(Table3[[#All],[POS]],MATCH(Table5[[#This Row],[PID]],Table3[[#All],[PID]],0)))</f>
        <v>1B</v>
      </c>
      <c r="E202" s="52" t="str">
        <f>IF($C202="B",INDEX(Batters[[#All],[First]],MATCH(Table5[[#This Row],[PID]],Batters[[#All],[PID]],0)),INDEX(Table3[[#All],[First]],MATCH(Table5[[#This Row],[PID]],Table3[[#All],[PID]],0)))</f>
        <v>Aaron</v>
      </c>
      <c r="F202" s="50" t="str">
        <f>IF($C202="B",INDEX(Batters[[#All],[Last]],MATCH(A202,Batters[[#All],[PID]],0)),INDEX(Table3[[#All],[Last]],MATCH(A202,Table3[[#All],[PID]],0)))</f>
        <v>Stevens</v>
      </c>
      <c r="G202" s="56">
        <f>IF($C202="B",INDEX(Batters[[#All],[Age]],MATCH(Table5[[#This Row],[PID]],Batters[[#All],[PID]],0)),INDEX(Table3[[#All],[Age]],MATCH(Table5[[#This Row],[PID]],Table3[[#All],[PID]],0)))</f>
        <v>18</v>
      </c>
      <c r="H202" s="52" t="str">
        <f>IF($C202="B",INDEX(Batters[[#All],[B]],MATCH(Table5[[#This Row],[PID]],Batters[[#All],[PID]],0)),INDEX(Table3[[#All],[B]],MATCH(Table5[[#This Row],[PID]],Table3[[#All],[PID]],0)))</f>
        <v>R</v>
      </c>
      <c r="I202" s="52" t="str">
        <f>IF($C202="B",INDEX(Batters[[#All],[T]],MATCH(Table5[[#This Row],[PID]],Batters[[#All],[PID]],0)),INDEX(Table3[[#All],[T]],MATCH(Table5[[#This Row],[PID]],Table3[[#All],[PID]],0)))</f>
        <v>R</v>
      </c>
      <c r="J202" s="52" t="str">
        <f>IF($C202="B",INDEX(Batters[[#All],[WE]],MATCH(Table5[[#This Row],[PID]],Batters[[#All],[PID]],0)),INDEX(Table3[[#All],[WE]],MATCH(Table5[[#This Row],[PID]],Table3[[#All],[PID]],0)))</f>
        <v>High</v>
      </c>
      <c r="K202" s="52" t="str">
        <f>IF($C202="B",INDEX(Batters[[#All],[INT]],MATCH(Table5[[#This Row],[PID]],Batters[[#All],[PID]],0)),INDEX(Table3[[#All],[INT]],MATCH(Table5[[#This Row],[PID]],Table3[[#All],[PID]],0)))</f>
        <v>Normal</v>
      </c>
      <c r="L202" s="60">
        <f>IF($C202="B",INDEX(Batters[[#All],[CON P]],MATCH(Table5[[#This Row],[PID]],Batters[[#All],[PID]],0)),INDEX(Table3[[#All],[STU P]],MATCH(Table5[[#This Row],[PID]],Table3[[#All],[PID]],0)))</f>
        <v>4</v>
      </c>
      <c r="M202" s="56">
        <f>IF($C202="B",INDEX(Batters[[#All],[GAP P]],MATCH(Table5[[#This Row],[PID]],Batters[[#All],[PID]],0)),INDEX(Table3[[#All],[MOV P]],MATCH(Table5[[#This Row],[PID]],Table3[[#All],[PID]],0)))</f>
        <v>8</v>
      </c>
      <c r="N202" s="56">
        <f>IF($C202="B",INDEX(Batters[[#All],[POW P]],MATCH(Table5[[#This Row],[PID]],Batters[[#All],[PID]],0)),INDEX(Table3[[#All],[CON P]],MATCH(Table5[[#This Row],[PID]],Table3[[#All],[PID]],0)))</f>
        <v>4</v>
      </c>
      <c r="O202" s="56">
        <f>IF($C202="B",INDEX(Batters[[#All],[EYE P]],MATCH(Table5[[#This Row],[PID]],Batters[[#All],[PID]],0)),INDEX(Table3[[#All],[VELO]],MATCH(Table5[[#This Row],[PID]],Table3[[#All],[PID]],0)))</f>
        <v>5</v>
      </c>
      <c r="P202" s="56">
        <f>IF($C202="B",INDEX(Batters[[#All],[K P]],MATCH(Table5[[#This Row],[PID]],Batters[[#All],[PID]],0)),INDEX(Table3[[#All],[STM]],MATCH(Table5[[#This Row],[PID]],Table3[[#All],[PID]],0)))</f>
        <v>5</v>
      </c>
      <c r="Q202" s="61">
        <f>IF($C202="B",INDEX(Batters[[#All],[Tot]],MATCH(Table5[[#This Row],[PID]],Batters[[#All],[PID]],0)),INDEX(Table3[[#All],[Tot]],MATCH(Table5[[#This Row],[PID]],Table3[[#All],[PID]],0)))</f>
        <v>50.410215827214003</v>
      </c>
      <c r="R202" s="52">
        <f>IF($C202="B",INDEX(Batters[[#All],[zScore]],MATCH(Table5[[#This Row],[PID]],Batters[[#All],[PID]],0)),INDEX(Table3[[#All],[zScore]],MATCH(Table5[[#This Row],[PID]],Table3[[#All],[PID]],0)))</f>
        <v>1.0497625425831385</v>
      </c>
      <c r="S202" s="58" t="str">
        <f>IF($C202="B",INDEX(Batters[[#All],[DEM]],MATCH(Table5[[#This Row],[PID]],Batters[[#All],[PID]],0)),INDEX(Table3[[#All],[DEM]],MATCH(Table5[[#This Row],[PID]],Table3[[#All],[PID]],0)))</f>
        <v>$200k</v>
      </c>
      <c r="T202" s="62">
        <f>IF($C202="B",INDEX(Batters[[#All],[Rnk]],MATCH(Table5[[#This Row],[PID]],Batters[[#All],[PID]],0)),INDEX(Table3[[#All],[Rnk]],MATCH(Table5[[#This Row],[PID]],Table3[[#All],[PID]],0)))</f>
        <v>900</v>
      </c>
      <c r="U202" s="67">
        <f>IF($C202="B",VLOOKUP($A202,Bat!$A$4:$BA$1314,47,FALSE),VLOOKUP($A202,Pit!$A$4:$BF$1214,56,FALSE))</f>
        <v>110</v>
      </c>
      <c r="V202" s="50">
        <f>IF($C202="B",VLOOKUP($A202,Bat!$A$4:$BA$1314,48,FALSE),VLOOKUP($A202,Pit!$A$4:$BF$1214,57,FALSE))</f>
        <v>0</v>
      </c>
      <c r="W202" s="68">
        <f>IF(Table5[[#This Row],[posRnk]]=999,9999,Table5[[#This Row],[posRnk]]+Table5[[#This Row],[zRnk]]+IF($W$3&lt;&gt;Table5[[#This Row],[Type]],50,0))</f>
        <v>1089</v>
      </c>
      <c r="X202" s="51">
        <f>RANK(Table5[[#This Row],[zScore]],Table5[[#All],[zScore]])</f>
        <v>139</v>
      </c>
      <c r="Y202" s="50">
        <f>IFERROR(INDEX(DraftResults[[#All],[OVR]],MATCH(Table5[[#This Row],[PID]],DraftResults[[#All],[Player ID]],0)),"")</f>
        <v>237</v>
      </c>
      <c r="Z202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8</v>
      </c>
      <c r="AA202" s="50">
        <f>IFERROR(INDEX(DraftResults[[#All],[Pick in Round]],MATCH(Table5[[#This Row],[PID]],DraftResults[[#All],[Player ID]],0)),"")</f>
        <v>4</v>
      </c>
      <c r="AB202" s="50" t="str">
        <f>IFERROR(INDEX(DraftResults[[#All],[Team Name]],MATCH(Table5[[#This Row],[PID]],DraftResults[[#All],[Player ID]],0)),"")</f>
        <v>Palm Springs Codgers</v>
      </c>
      <c r="AC202" s="50">
        <f>IF(Table5[[#This Row],[Ovr]]="","",IF(Table5[[#This Row],[cmbList]]="","",Table5[[#This Row],[cmbList]]-Table5[[#This Row],[Ovr]]))</f>
        <v>852</v>
      </c>
      <c r="AD202" s="54" t="str">
        <f>IF(ISERROR(VLOOKUP($AB202&amp;"-"&amp;$E202&amp;" "&amp;F202,Bonuses!$B$1:$G$1006,4,FALSE)),"",INT(VLOOKUP($AB202&amp;"-"&amp;$E202&amp;" "&amp;$F202,Bonuses!$B$1:$G$1006,4,FALSE)))</f>
        <v/>
      </c>
      <c r="AE202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8.4 (237) - 1B Aaron Stevens</v>
      </c>
    </row>
    <row r="203" spans="1:31" s="50" customFormat="1" x14ac:dyDescent="0.3">
      <c r="A203" s="50">
        <v>11009</v>
      </c>
      <c r="B203" s="50">
        <f>COUNTIF(Table5[PID],A203)</f>
        <v>1</v>
      </c>
      <c r="C203" s="50" t="str">
        <f>IF(COUNTIF(Table3[[#All],[PID]],A203)&gt;0,"P","B")</f>
        <v>B</v>
      </c>
      <c r="D203" s="59" t="str">
        <f>IF($C203="B",INDEX(Batters[[#All],[POS]],MATCH(Table5[[#This Row],[PID]],Batters[[#All],[PID]],0)),INDEX(Table3[[#All],[POS]],MATCH(Table5[[#This Row],[PID]],Table3[[#All],[PID]],0)))</f>
        <v>RF</v>
      </c>
      <c r="E203" s="52" t="str">
        <f>IF($C203="B",INDEX(Batters[[#All],[First]],MATCH(Table5[[#This Row],[PID]],Batters[[#All],[PID]],0)),INDEX(Table3[[#All],[First]],MATCH(Table5[[#This Row],[PID]],Table3[[#All],[PID]],0)))</f>
        <v>Joey</v>
      </c>
      <c r="F203" s="50" t="str">
        <f>IF($C203="B",INDEX(Batters[[#All],[Last]],MATCH(A203,Batters[[#All],[PID]],0)),INDEX(Table3[[#All],[Last]],MATCH(A203,Table3[[#All],[PID]],0)))</f>
        <v>Peterson</v>
      </c>
      <c r="G203" s="56">
        <f>IF($C203="B",INDEX(Batters[[#All],[Age]],MATCH(Table5[[#This Row],[PID]],Batters[[#All],[PID]],0)),INDEX(Table3[[#All],[Age]],MATCH(Table5[[#This Row],[PID]],Table3[[#All],[PID]],0)))</f>
        <v>17</v>
      </c>
      <c r="H203" s="52" t="str">
        <f>IF($C203="B",INDEX(Batters[[#All],[B]],MATCH(Table5[[#This Row],[PID]],Batters[[#All],[PID]],0)),INDEX(Table3[[#All],[B]],MATCH(Table5[[#This Row],[PID]],Table3[[#All],[PID]],0)))</f>
        <v>L</v>
      </c>
      <c r="I203" s="52" t="str">
        <f>IF($C203="B",INDEX(Batters[[#All],[T]],MATCH(Table5[[#This Row],[PID]],Batters[[#All],[PID]],0)),INDEX(Table3[[#All],[T]],MATCH(Table5[[#This Row],[PID]],Table3[[#All],[PID]],0)))</f>
        <v>L</v>
      </c>
      <c r="J203" s="52" t="str">
        <f>IF($C203="B",INDEX(Batters[[#All],[WE]],MATCH(Table5[[#This Row],[PID]],Batters[[#All],[PID]],0)),INDEX(Table3[[#All],[WE]],MATCH(Table5[[#This Row],[PID]],Table3[[#All],[PID]],0)))</f>
        <v>Normal</v>
      </c>
      <c r="K203" s="52" t="str">
        <f>IF($C203="B",INDEX(Batters[[#All],[INT]],MATCH(Table5[[#This Row],[PID]],Batters[[#All],[PID]],0)),INDEX(Table3[[#All],[INT]],MATCH(Table5[[#This Row],[PID]],Table3[[#All],[PID]],0)))</f>
        <v>Normal</v>
      </c>
      <c r="L203" s="60">
        <f>IF($C203="B",INDEX(Batters[[#All],[CON P]],MATCH(Table5[[#This Row],[PID]],Batters[[#All],[PID]],0)),INDEX(Table3[[#All],[STU P]],MATCH(Table5[[#This Row],[PID]],Table3[[#All],[PID]],0)))</f>
        <v>4</v>
      </c>
      <c r="M203" s="56">
        <f>IF($C203="B",INDEX(Batters[[#All],[GAP P]],MATCH(Table5[[#This Row],[PID]],Batters[[#All],[PID]],0)),INDEX(Table3[[#All],[MOV P]],MATCH(Table5[[#This Row],[PID]],Table3[[#All],[PID]],0)))</f>
        <v>6</v>
      </c>
      <c r="N203" s="56">
        <f>IF($C203="B",INDEX(Batters[[#All],[POW P]],MATCH(Table5[[#This Row],[PID]],Batters[[#All],[PID]],0)),INDEX(Table3[[#All],[CON P]],MATCH(Table5[[#This Row],[PID]],Table3[[#All],[PID]],0)))</f>
        <v>5</v>
      </c>
      <c r="O203" s="56">
        <f>IF($C203="B",INDEX(Batters[[#All],[EYE P]],MATCH(Table5[[#This Row],[PID]],Batters[[#All],[PID]],0)),INDEX(Table3[[#All],[VELO]],MATCH(Table5[[#This Row],[PID]],Table3[[#All],[PID]],0)))</f>
        <v>6</v>
      </c>
      <c r="P203" s="56">
        <f>IF($C203="B",INDEX(Batters[[#All],[K P]],MATCH(Table5[[#This Row],[PID]],Batters[[#All],[PID]],0)),INDEX(Table3[[#All],[STM]],MATCH(Table5[[#This Row],[PID]],Table3[[#All],[PID]],0)))</f>
        <v>4</v>
      </c>
      <c r="Q203" s="61">
        <f>IF($C203="B",INDEX(Batters[[#All],[Tot]],MATCH(Table5[[#This Row],[PID]],Batters[[#All],[PID]],0)),INDEX(Table3[[#All],[Tot]],MATCH(Table5[[#This Row],[PID]],Table3[[#All],[PID]],0)))</f>
        <v>50.3009565243715</v>
      </c>
      <c r="R203" s="52">
        <f>IF($C203="B",INDEX(Batters[[#All],[zScore]],MATCH(Table5[[#This Row],[PID]],Batters[[#All],[PID]],0)),INDEX(Table3[[#All],[zScore]],MATCH(Table5[[#This Row],[PID]],Table3[[#All],[PID]],0)))</f>
        <v>1.0338141686858526</v>
      </c>
      <c r="S203" s="58" t="str">
        <f>IF($C203="B",INDEX(Batters[[#All],[DEM]],MATCH(Table5[[#This Row],[PID]],Batters[[#All],[PID]],0)),INDEX(Table3[[#All],[DEM]],MATCH(Table5[[#This Row],[PID]],Table3[[#All],[PID]],0)))</f>
        <v>$65k</v>
      </c>
      <c r="T203" s="62">
        <f>IF($C203="B",INDEX(Batters[[#All],[Rnk]],MATCH(Table5[[#This Row],[PID]],Batters[[#All],[PID]],0)),INDEX(Table3[[#All],[Rnk]],MATCH(Table5[[#This Row],[PID]],Table3[[#All],[PID]],0)))</f>
        <v>900</v>
      </c>
      <c r="U203" s="67">
        <f>IF($C203="B",VLOOKUP($A203,Bat!$A$4:$BA$1314,47,FALSE),VLOOKUP($A203,Pit!$A$4:$BF$1214,56,FALSE))</f>
        <v>116</v>
      </c>
      <c r="V203" s="50">
        <f>IF($C203="B",VLOOKUP($A203,Bat!$A$4:$BA$1314,48,FALSE),VLOOKUP($A203,Pit!$A$4:$BF$1214,57,FALSE))</f>
        <v>0</v>
      </c>
      <c r="W203" s="68">
        <f>IF(Table5[[#This Row],[posRnk]]=999,9999,Table5[[#This Row],[posRnk]]+Table5[[#This Row],[zRnk]]+IF($W$3&lt;&gt;Table5[[#This Row],[Type]],50,0))</f>
        <v>1091</v>
      </c>
      <c r="X203" s="51">
        <f>RANK(Table5[[#This Row],[zScore]],Table5[[#All],[zScore]])</f>
        <v>141</v>
      </c>
      <c r="Y203" s="50">
        <f>IFERROR(INDEX(DraftResults[[#All],[OVR]],MATCH(Table5[[#This Row],[PID]],DraftResults[[#All],[Player ID]],0)),"")</f>
        <v>310</v>
      </c>
      <c r="Z203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10</v>
      </c>
      <c r="AA203" s="50">
        <f>IFERROR(INDEX(DraftResults[[#All],[Pick in Round]],MATCH(Table5[[#This Row],[PID]],DraftResults[[#All],[Player ID]],0)),"")</f>
        <v>13</v>
      </c>
      <c r="AB203" s="50" t="str">
        <f>IFERROR(INDEX(DraftResults[[#All],[Team Name]],MATCH(Table5[[#This Row],[PID]],DraftResults[[#All],[Player ID]],0)),"")</f>
        <v>Scottish Claymores</v>
      </c>
      <c r="AC203" s="50">
        <f>IF(Table5[[#This Row],[Ovr]]="","",IF(Table5[[#This Row],[cmbList]]="","",Table5[[#This Row],[cmbList]]-Table5[[#This Row],[Ovr]]))</f>
        <v>781</v>
      </c>
      <c r="AD203" s="54" t="str">
        <f>IF(ISERROR(VLOOKUP($AB203&amp;"-"&amp;$E203&amp;" "&amp;F203,Bonuses!$B$1:$G$1006,4,FALSE)),"",INT(VLOOKUP($AB203&amp;"-"&amp;$E203&amp;" "&amp;$F203,Bonuses!$B$1:$G$1006,4,FALSE)))</f>
        <v/>
      </c>
      <c r="AE203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10.13 (310) - RF Joey Peterson</v>
      </c>
    </row>
    <row r="204" spans="1:31" s="50" customFormat="1" x14ac:dyDescent="0.3">
      <c r="A204" s="67">
        <v>12589</v>
      </c>
      <c r="B204" s="68">
        <f>COUNTIF(Table5[PID],A204)</f>
        <v>1</v>
      </c>
      <c r="C204" s="68" t="str">
        <f>IF(COUNTIF(Table3[[#All],[PID]],A204)&gt;0,"P","B")</f>
        <v>B</v>
      </c>
      <c r="D204" s="59" t="str">
        <f>IF($C204="B",INDEX(Batters[[#All],[POS]],MATCH(Table5[[#This Row],[PID]],Batters[[#All],[PID]],0)),INDEX(Table3[[#All],[POS]],MATCH(Table5[[#This Row],[PID]],Table3[[#All],[PID]],0)))</f>
        <v>LF</v>
      </c>
      <c r="E204" s="52" t="str">
        <f>IF($C204="B",INDEX(Batters[[#All],[First]],MATCH(Table5[[#This Row],[PID]],Batters[[#All],[PID]],0)),INDEX(Table3[[#All],[First]],MATCH(Table5[[#This Row],[PID]],Table3[[#All],[PID]],0)))</f>
        <v>Walker</v>
      </c>
      <c r="F204" s="55" t="str">
        <f>IF($C204="B",INDEX(Batters[[#All],[Last]],MATCH(A204,Batters[[#All],[PID]],0)),INDEX(Table3[[#All],[Last]],MATCH(A204,Table3[[#All],[PID]],0)))</f>
        <v>Sandhoff</v>
      </c>
      <c r="G204" s="56">
        <f>IF($C204="B",INDEX(Batters[[#All],[Age]],MATCH(Table5[[#This Row],[PID]],Batters[[#All],[PID]],0)),INDEX(Table3[[#All],[Age]],MATCH(Table5[[#This Row],[PID]],Table3[[#All],[PID]],0)))</f>
        <v>17</v>
      </c>
      <c r="H204" s="52" t="str">
        <f>IF($C204="B",INDEX(Batters[[#All],[B]],MATCH(Table5[[#This Row],[PID]],Batters[[#All],[PID]],0)),INDEX(Table3[[#All],[B]],MATCH(Table5[[#This Row],[PID]],Table3[[#All],[PID]],0)))</f>
        <v>R</v>
      </c>
      <c r="I204" s="52" t="str">
        <f>IF($C204="B",INDEX(Batters[[#All],[T]],MATCH(Table5[[#This Row],[PID]],Batters[[#All],[PID]],0)),INDEX(Table3[[#All],[T]],MATCH(Table5[[#This Row],[PID]],Table3[[#All],[PID]],0)))</f>
        <v>R</v>
      </c>
      <c r="J204" s="69" t="str">
        <f>IF($C204="B",INDEX(Batters[[#All],[WE]],MATCH(Table5[[#This Row],[PID]],Batters[[#All],[PID]],0)),INDEX(Table3[[#All],[WE]],MATCH(Table5[[#This Row],[PID]],Table3[[#All],[PID]],0)))</f>
        <v>Normal</v>
      </c>
      <c r="K204" s="52" t="str">
        <f>IF($C204="B",INDEX(Batters[[#All],[INT]],MATCH(Table5[[#This Row],[PID]],Batters[[#All],[PID]],0)),INDEX(Table3[[#All],[INT]],MATCH(Table5[[#This Row],[PID]],Table3[[#All],[PID]],0)))</f>
        <v>Normal</v>
      </c>
      <c r="L204" s="60">
        <f>IF($C204="B",INDEX(Batters[[#All],[CON P]],MATCH(Table5[[#This Row],[PID]],Batters[[#All],[PID]],0)),INDEX(Table3[[#All],[STU P]],MATCH(Table5[[#This Row],[PID]],Table3[[#All],[PID]],0)))</f>
        <v>4</v>
      </c>
      <c r="M204" s="70">
        <f>IF($C204="B",INDEX(Batters[[#All],[GAP P]],MATCH(Table5[[#This Row],[PID]],Batters[[#All],[PID]],0)),INDEX(Table3[[#All],[MOV P]],MATCH(Table5[[#This Row],[PID]],Table3[[#All],[PID]],0)))</f>
        <v>5</v>
      </c>
      <c r="N204" s="70">
        <f>IF($C204="B",INDEX(Batters[[#All],[POW P]],MATCH(Table5[[#This Row],[PID]],Batters[[#All],[PID]],0)),INDEX(Table3[[#All],[CON P]],MATCH(Table5[[#This Row],[PID]],Table3[[#All],[PID]],0)))</f>
        <v>6</v>
      </c>
      <c r="O204" s="70">
        <f>IF($C204="B",INDEX(Batters[[#All],[EYE P]],MATCH(Table5[[#This Row],[PID]],Batters[[#All],[PID]],0)),INDEX(Table3[[#All],[VELO]],MATCH(Table5[[#This Row],[PID]],Table3[[#All],[PID]],0)))</f>
        <v>6</v>
      </c>
      <c r="P204" s="56">
        <f>IF($C204="B",INDEX(Batters[[#All],[K P]],MATCH(Table5[[#This Row],[PID]],Batters[[#All],[PID]],0)),INDEX(Table3[[#All],[STM]],MATCH(Table5[[#This Row],[PID]],Table3[[#All],[PID]],0)))</f>
        <v>3</v>
      </c>
      <c r="Q204" s="61">
        <f>IF($C204="B",INDEX(Batters[[#All],[Tot]],MATCH(Table5[[#This Row],[PID]],Batters[[#All],[PID]],0)),INDEX(Table3[[#All],[Tot]],MATCH(Table5[[#This Row],[PID]],Table3[[#All],[PID]],0)))</f>
        <v>50.236133866795043</v>
      </c>
      <c r="R204" s="52">
        <f>IF($C204="B",INDEX(Batters[[#All],[zScore]],MATCH(Table5[[#This Row],[PID]],Batters[[#All],[PID]],0)),INDEX(Table3[[#All],[zScore]],MATCH(Table5[[#This Row],[PID]],Table3[[#All],[PID]],0)))</f>
        <v>1.0243521278971126</v>
      </c>
      <c r="S204" s="75" t="str">
        <f>IF($C204="B",INDEX(Batters[[#All],[DEM]],MATCH(Table5[[#This Row],[PID]],Batters[[#All],[PID]],0)),INDEX(Table3[[#All],[DEM]],MATCH(Table5[[#This Row],[PID]],Table3[[#All],[PID]],0)))</f>
        <v>$200k</v>
      </c>
      <c r="T204" s="72">
        <f>IF($C204="B",INDEX(Batters[[#All],[Rnk]],MATCH(Table5[[#This Row],[PID]],Batters[[#All],[PID]],0)),INDEX(Table3[[#All],[Rnk]],MATCH(Table5[[#This Row],[PID]],Table3[[#All],[PID]],0)))</f>
        <v>900</v>
      </c>
      <c r="U204" s="67">
        <f>IF($C204="B",VLOOKUP($A204,Bat!$A$4:$BA$1314,47,FALSE),VLOOKUP($A204,Pit!$A$4:$BF$1214,56,FALSE))</f>
        <v>118</v>
      </c>
      <c r="V204" s="50">
        <f>IF($C204="B",VLOOKUP($A204,Bat!$A$4:$BA$1314,48,FALSE),VLOOKUP($A204,Pit!$A$4:$BF$1214,57,FALSE))</f>
        <v>0</v>
      </c>
      <c r="W204" s="68">
        <f>IF(Table5[[#This Row],[posRnk]]=999,9999,Table5[[#This Row],[posRnk]]+Table5[[#This Row],[zRnk]]+IF($W$3&lt;&gt;Table5[[#This Row],[Type]],50,0))</f>
        <v>1094</v>
      </c>
      <c r="X204" s="71">
        <f>RANK(Table5[[#This Row],[zScore]],Table5[[#All],[zScore]])</f>
        <v>144</v>
      </c>
      <c r="Y204" s="68">
        <f>IFERROR(INDEX(DraftResults[[#All],[OVR]],MATCH(Table5[[#This Row],[PID]],DraftResults[[#All],[Player ID]],0)),"")</f>
        <v>136</v>
      </c>
      <c r="Z204" s="7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4</v>
      </c>
      <c r="AA204" s="68">
        <f>IFERROR(INDEX(DraftResults[[#All],[Pick in Round]],MATCH(Table5[[#This Row],[PID]],DraftResults[[#All],[Player ID]],0)),"")</f>
        <v>31</v>
      </c>
      <c r="AB204" s="68" t="str">
        <f>IFERROR(INDEX(DraftResults[[#All],[Team Name]],MATCH(Table5[[#This Row],[PID]],DraftResults[[#All],[Player ID]],0)),"")</f>
        <v>West Virginia Alleghenies</v>
      </c>
      <c r="AC204" s="68">
        <f>IF(Table5[[#This Row],[Ovr]]="","",IF(Table5[[#This Row],[cmbList]]="","",Table5[[#This Row],[cmbList]]-Table5[[#This Row],[Ovr]]))</f>
        <v>958</v>
      </c>
      <c r="AD204" s="74" t="str">
        <f>IF(ISERROR(VLOOKUP($AB204&amp;"-"&amp;$E204&amp;" "&amp;F204,Bonuses!$B$1:$G$1006,4,FALSE)),"",INT(VLOOKUP($AB204&amp;"-"&amp;$E204&amp;" "&amp;$F204,Bonuses!$B$1:$G$1006,4,FALSE)))</f>
        <v/>
      </c>
      <c r="AE204" s="68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4.31 (136) - LF Walker Sandhoff</v>
      </c>
    </row>
    <row r="205" spans="1:31" s="50" customFormat="1" x14ac:dyDescent="0.3">
      <c r="A205" s="50">
        <v>12715</v>
      </c>
      <c r="B205" s="50">
        <f>COUNTIF(Table5[PID],A205)</f>
        <v>1</v>
      </c>
      <c r="C205" s="50" t="str">
        <f>IF(COUNTIF(Table3[[#All],[PID]],A205)&gt;0,"P","B")</f>
        <v>B</v>
      </c>
      <c r="D205" s="59" t="str">
        <f>IF($C205="B",INDEX(Batters[[#All],[POS]],MATCH(Table5[[#This Row],[PID]],Batters[[#All],[PID]],0)),INDEX(Table3[[#All],[POS]],MATCH(Table5[[#This Row],[PID]],Table3[[#All],[PID]],0)))</f>
        <v>RF</v>
      </c>
      <c r="E205" s="52" t="str">
        <f>IF($C205="B",INDEX(Batters[[#All],[First]],MATCH(Table5[[#This Row],[PID]],Batters[[#All],[PID]],0)),INDEX(Table3[[#All],[First]],MATCH(Table5[[#This Row],[PID]],Table3[[#All],[PID]],0)))</f>
        <v>John</v>
      </c>
      <c r="F205" s="50" t="str">
        <f>IF($C205="B",INDEX(Batters[[#All],[Last]],MATCH(A205,Batters[[#All],[PID]],0)),INDEX(Table3[[#All],[Last]],MATCH(A205,Table3[[#All],[PID]],0)))</f>
        <v>Bayles</v>
      </c>
      <c r="G205" s="56">
        <f>IF($C205="B",INDEX(Batters[[#All],[Age]],MATCH(Table5[[#This Row],[PID]],Batters[[#All],[PID]],0)),INDEX(Table3[[#All],[Age]],MATCH(Table5[[#This Row],[PID]],Table3[[#All],[PID]],0)))</f>
        <v>17</v>
      </c>
      <c r="H205" s="52" t="str">
        <f>IF($C205="B",INDEX(Batters[[#All],[B]],MATCH(Table5[[#This Row],[PID]],Batters[[#All],[PID]],0)),INDEX(Table3[[#All],[B]],MATCH(Table5[[#This Row],[PID]],Table3[[#All],[PID]],0)))</f>
        <v>R</v>
      </c>
      <c r="I205" s="52" t="str">
        <f>IF($C205="B",INDEX(Batters[[#All],[T]],MATCH(Table5[[#This Row],[PID]],Batters[[#All],[PID]],0)),INDEX(Table3[[#All],[T]],MATCH(Table5[[#This Row],[PID]],Table3[[#All],[PID]],0)))</f>
        <v>R</v>
      </c>
      <c r="J205" s="52" t="str">
        <f>IF($C205="B",INDEX(Batters[[#All],[WE]],MATCH(Table5[[#This Row],[PID]],Batters[[#All],[PID]],0)),INDEX(Table3[[#All],[WE]],MATCH(Table5[[#This Row],[PID]],Table3[[#All],[PID]],0)))</f>
        <v>Normal</v>
      </c>
      <c r="K205" s="52" t="str">
        <f>IF($C205="B",INDEX(Batters[[#All],[INT]],MATCH(Table5[[#This Row],[PID]],Batters[[#All],[PID]],0)),INDEX(Table3[[#All],[INT]],MATCH(Table5[[#This Row],[PID]],Table3[[#All],[PID]],0)))</f>
        <v>Normal</v>
      </c>
      <c r="L205" s="60">
        <f>IF($C205="B",INDEX(Batters[[#All],[CON P]],MATCH(Table5[[#This Row],[PID]],Batters[[#All],[PID]],0)),INDEX(Table3[[#All],[STU P]],MATCH(Table5[[#This Row],[PID]],Table3[[#All],[PID]],0)))</f>
        <v>4</v>
      </c>
      <c r="M205" s="56">
        <f>IF($C205="B",INDEX(Batters[[#All],[GAP P]],MATCH(Table5[[#This Row],[PID]],Batters[[#All],[PID]],0)),INDEX(Table3[[#All],[MOV P]],MATCH(Table5[[#This Row],[PID]],Table3[[#All],[PID]],0)))</f>
        <v>5</v>
      </c>
      <c r="N205" s="56">
        <f>IF($C205="B",INDEX(Batters[[#All],[POW P]],MATCH(Table5[[#This Row],[PID]],Batters[[#All],[PID]],0)),INDEX(Table3[[#All],[CON P]],MATCH(Table5[[#This Row],[PID]],Table3[[#All],[PID]],0)))</f>
        <v>6</v>
      </c>
      <c r="O205" s="56">
        <f>IF($C205="B",INDEX(Batters[[#All],[EYE P]],MATCH(Table5[[#This Row],[PID]],Batters[[#All],[PID]],0)),INDEX(Table3[[#All],[VELO]],MATCH(Table5[[#This Row],[PID]],Table3[[#All],[PID]],0)))</f>
        <v>6</v>
      </c>
      <c r="P205" s="56">
        <f>IF($C205="B",INDEX(Batters[[#All],[K P]],MATCH(Table5[[#This Row],[PID]],Batters[[#All],[PID]],0)),INDEX(Table3[[#All],[STM]],MATCH(Table5[[#This Row],[PID]],Table3[[#All],[PID]],0)))</f>
        <v>3</v>
      </c>
      <c r="Q205" s="61">
        <f>IF($C205="B",INDEX(Batters[[#All],[Tot]],MATCH(Table5[[#This Row],[PID]],Batters[[#All],[PID]],0)),INDEX(Table3[[#All],[Tot]],MATCH(Table5[[#This Row],[PID]],Table3[[#All],[PID]],0)))</f>
        <v>50.231027878833174</v>
      </c>
      <c r="R205" s="52">
        <f>IF($C205="B",INDEX(Batters[[#All],[zScore]],MATCH(Table5[[#This Row],[PID]],Batters[[#All],[PID]],0)),INDEX(Table3[[#All],[zScore]],MATCH(Table5[[#This Row],[PID]],Table3[[#All],[PID]],0)))</f>
        <v>1.0236068164864374</v>
      </c>
      <c r="S205" s="58" t="str">
        <f>IF($C205="B",INDEX(Batters[[#All],[DEM]],MATCH(Table5[[#This Row],[PID]],Batters[[#All],[PID]],0)),INDEX(Table3[[#All],[DEM]],MATCH(Table5[[#This Row],[PID]],Table3[[#All],[PID]],0)))</f>
        <v>$200k</v>
      </c>
      <c r="T205" s="62">
        <f>IF($C205="B",INDEX(Batters[[#All],[Rnk]],MATCH(Table5[[#This Row],[PID]],Batters[[#All],[PID]],0)),INDEX(Table3[[#All],[Rnk]],MATCH(Table5[[#This Row],[PID]],Table3[[#All],[PID]],0)))</f>
        <v>900</v>
      </c>
      <c r="U205" s="67">
        <f>IF($C205="B",VLOOKUP($A205,Bat!$A$4:$BA$1314,47,FALSE),VLOOKUP($A205,Pit!$A$4:$BF$1214,56,FALSE))</f>
        <v>119</v>
      </c>
      <c r="V205" s="50">
        <f>IF($C205="B",VLOOKUP($A205,Bat!$A$4:$BA$1314,48,FALSE),VLOOKUP($A205,Pit!$A$4:$BF$1214,57,FALSE))</f>
        <v>0</v>
      </c>
      <c r="W205" s="68">
        <f>IF(Table5[[#This Row],[posRnk]]=999,9999,Table5[[#This Row],[posRnk]]+Table5[[#This Row],[zRnk]]+IF($W$3&lt;&gt;Table5[[#This Row],[Type]],50,0))</f>
        <v>1095</v>
      </c>
      <c r="X205" s="51">
        <f>RANK(Table5[[#This Row],[zScore]],Table5[[#All],[zScore]])</f>
        <v>145</v>
      </c>
      <c r="Y205" s="50">
        <f>IFERROR(INDEX(DraftResults[[#All],[OVR]],MATCH(Table5[[#This Row],[PID]],DraftResults[[#All],[Player ID]],0)),"")</f>
        <v>210</v>
      </c>
      <c r="Z205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7</v>
      </c>
      <c r="AA205" s="50">
        <f>IFERROR(INDEX(DraftResults[[#All],[Pick in Round]],MATCH(Table5[[#This Row],[PID]],DraftResults[[#All],[Player ID]],0)),"")</f>
        <v>9</v>
      </c>
      <c r="AB205" s="50" t="str">
        <f>IFERROR(INDEX(DraftResults[[#All],[Team Name]],MATCH(Table5[[#This Row],[PID]],DraftResults[[#All],[Player ID]],0)),"")</f>
        <v>New Jersey Hitmen</v>
      </c>
      <c r="AC205" s="50">
        <f>IF(Table5[[#This Row],[Ovr]]="","",IF(Table5[[#This Row],[cmbList]]="","",Table5[[#This Row],[cmbList]]-Table5[[#This Row],[Ovr]]))</f>
        <v>885</v>
      </c>
      <c r="AD205" s="54" t="str">
        <f>IF(ISERROR(VLOOKUP($AB205&amp;"-"&amp;$E205&amp;" "&amp;F205,Bonuses!$B$1:$G$1006,4,FALSE)),"",INT(VLOOKUP($AB205&amp;"-"&amp;$E205&amp;" "&amp;$F205,Bonuses!$B$1:$G$1006,4,FALSE)))</f>
        <v/>
      </c>
      <c r="AE205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7.9 (210) - RF John Bayles</v>
      </c>
    </row>
    <row r="206" spans="1:31" s="50" customFormat="1" x14ac:dyDescent="0.3">
      <c r="A206" s="50">
        <v>11536</v>
      </c>
      <c r="B206" s="50">
        <f>COUNTIF(Table5[PID],A206)</f>
        <v>1</v>
      </c>
      <c r="C206" s="50" t="str">
        <f>IF(COUNTIF(Table3[[#All],[PID]],A206)&gt;0,"P","B")</f>
        <v>B</v>
      </c>
      <c r="D206" s="59" t="str">
        <f>IF($C206="B",INDEX(Batters[[#All],[POS]],MATCH(Table5[[#This Row],[PID]],Batters[[#All],[PID]],0)),INDEX(Table3[[#All],[POS]],MATCH(Table5[[#This Row],[PID]],Table3[[#All],[PID]],0)))</f>
        <v>1B</v>
      </c>
      <c r="E206" s="52" t="str">
        <f>IF($C206="B",INDEX(Batters[[#All],[First]],MATCH(Table5[[#This Row],[PID]],Batters[[#All],[PID]],0)),INDEX(Table3[[#All],[First]],MATCH(Table5[[#This Row],[PID]],Table3[[#All],[PID]],0)))</f>
        <v>Rodney</v>
      </c>
      <c r="F206" s="50" t="str">
        <f>IF($C206="B",INDEX(Batters[[#All],[Last]],MATCH(A206,Batters[[#All],[PID]],0)),INDEX(Table3[[#All],[Last]],MATCH(A206,Table3[[#All],[PID]],0)))</f>
        <v>Bowers</v>
      </c>
      <c r="G206" s="56">
        <f>IF($C206="B",INDEX(Batters[[#All],[Age]],MATCH(Table5[[#This Row],[PID]],Batters[[#All],[PID]],0)),INDEX(Table3[[#All],[Age]],MATCH(Table5[[#This Row],[PID]],Table3[[#All],[PID]],0)))</f>
        <v>18</v>
      </c>
      <c r="H206" s="52" t="str">
        <f>IF($C206="B",INDEX(Batters[[#All],[B]],MATCH(Table5[[#This Row],[PID]],Batters[[#All],[PID]],0)),INDEX(Table3[[#All],[B]],MATCH(Table5[[#This Row],[PID]],Table3[[#All],[PID]],0)))</f>
        <v>R</v>
      </c>
      <c r="I206" s="52" t="str">
        <f>IF($C206="B",INDEX(Batters[[#All],[T]],MATCH(Table5[[#This Row],[PID]],Batters[[#All],[PID]],0)),INDEX(Table3[[#All],[T]],MATCH(Table5[[#This Row],[PID]],Table3[[#All],[PID]],0)))</f>
        <v>R</v>
      </c>
      <c r="J206" s="52" t="str">
        <f>IF($C206="B",INDEX(Batters[[#All],[WE]],MATCH(Table5[[#This Row],[PID]],Batters[[#All],[PID]],0)),INDEX(Table3[[#All],[WE]],MATCH(Table5[[#This Row],[PID]],Table3[[#All],[PID]],0)))</f>
        <v>High</v>
      </c>
      <c r="K206" s="52" t="str">
        <f>IF($C206="B",INDEX(Batters[[#All],[INT]],MATCH(Table5[[#This Row],[PID]],Batters[[#All],[PID]],0)),INDEX(Table3[[#All],[INT]],MATCH(Table5[[#This Row],[PID]],Table3[[#All],[PID]],0)))</f>
        <v>Normal</v>
      </c>
      <c r="L206" s="60">
        <f>IF($C206="B",INDEX(Batters[[#All],[CON P]],MATCH(Table5[[#This Row],[PID]],Batters[[#All],[PID]],0)),INDEX(Table3[[#All],[STU P]],MATCH(Table5[[#This Row],[PID]],Table3[[#All],[PID]],0)))</f>
        <v>4</v>
      </c>
      <c r="M206" s="56">
        <f>IF($C206="B",INDEX(Batters[[#All],[GAP P]],MATCH(Table5[[#This Row],[PID]],Batters[[#All],[PID]],0)),INDEX(Table3[[#All],[MOV P]],MATCH(Table5[[#This Row],[PID]],Table3[[#All],[PID]],0)))</f>
        <v>4</v>
      </c>
      <c r="N206" s="56">
        <f>IF($C206="B",INDEX(Batters[[#All],[POW P]],MATCH(Table5[[#This Row],[PID]],Batters[[#All],[PID]],0)),INDEX(Table3[[#All],[CON P]],MATCH(Table5[[#This Row],[PID]],Table3[[#All],[PID]],0)))</f>
        <v>6</v>
      </c>
      <c r="O206" s="56">
        <f>IF($C206="B",INDEX(Batters[[#All],[EYE P]],MATCH(Table5[[#This Row],[PID]],Batters[[#All],[PID]],0)),INDEX(Table3[[#All],[VELO]],MATCH(Table5[[#This Row],[PID]],Table3[[#All],[PID]],0)))</f>
        <v>5</v>
      </c>
      <c r="P206" s="56">
        <f>IF($C206="B",INDEX(Batters[[#All],[K P]],MATCH(Table5[[#This Row],[PID]],Batters[[#All],[PID]],0)),INDEX(Table3[[#All],[STM]],MATCH(Table5[[#This Row],[PID]],Table3[[#All],[PID]],0)))</f>
        <v>4</v>
      </c>
      <c r="Q206" s="61">
        <f>IF($C206="B",INDEX(Batters[[#All],[Tot]],MATCH(Table5[[#This Row],[PID]],Batters[[#All],[PID]],0)),INDEX(Table3[[#All],[Tot]],MATCH(Table5[[#This Row],[PID]],Table3[[#All],[PID]],0)))</f>
        <v>49.561304474717112</v>
      </c>
      <c r="R206" s="52">
        <f>IF($C206="B",INDEX(Batters[[#All],[zScore]],MATCH(Table5[[#This Row],[PID]],Batters[[#All],[PID]],0)),INDEX(Table3[[#All],[zScore]],MATCH(Table5[[#This Row],[PID]],Table3[[#All],[PID]],0)))</f>
        <v>0.92584855720116011</v>
      </c>
      <c r="S206" s="58" t="str">
        <f>IF($C206="B",INDEX(Batters[[#All],[DEM]],MATCH(Table5[[#This Row],[PID]],Batters[[#All],[PID]],0)),INDEX(Table3[[#All],[DEM]],MATCH(Table5[[#This Row],[PID]],Table3[[#All],[PID]],0)))</f>
        <v>$190k</v>
      </c>
      <c r="T206" s="62">
        <f>IF($C206="B",INDEX(Batters[[#All],[Rnk]],MATCH(Table5[[#This Row],[PID]],Batters[[#All],[PID]],0)),INDEX(Table3[[#All],[Rnk]],MATCH(Table5[[#This Row],[PID]],Table3[[#All],[PID]],0)))</f>
        <v>900</v>
      </c>
      <c r="U206" s="67">
        <f>IF($C206="B",VLOOKUP($A206,Bat!$A$4:$BA$1314,47,FALSE),VLOOKUP($A206,Pit!$A$4:$BF$1214,56,FALSE))</f>
        <v>117</v>
      </c>
      <c r="V206" s="50">
        <f>IF($C206="B",VLOOKUP($A206,Bat!$A$4:$BA$1314,48,FALSE),VLOOKUP($A206,Pit!$A$4:$BF$1214,57,FALSE))</f>
        <v>0</v>
      </c>
      <c r="W206" s="68">
        <f>IF(Table5[[#This Row],[posRnk]]=999,9999,Table5[[#This Row],[posRnk]]+Table5[[#This Row],[zRnk]]+IF($W$3&lt;&gt;Table5[[#This Row],[Type]],50,0))</f>
        <v>1105</v>
      </c>
      <c r="X206" s="51">
        <f>RANK(Table5[[#This Row],[zScore]],Table5[[#All],[zScore]])</f>
        <v>155</v>
      </c>
      <c r="Y206" s="50">
        <f>IFERROR(INDEX(DraftResults[[#All],[OVR]],MATCH(Table5[[#This Row],[PID]],DraftResults[[#All],[Player ID]],0)),"")</f>
        <v>54</v>
      </c>
      <c r="Z206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2</v>
      </c>
      <c r="AA206" s="50">
        <f>IFERROR(INDEX(DraftResults[[#All],[Pick in Round]],MATCH(Table5[[#This Row],[PID]],DraftResults[[#All],[Player ID]],0)),"")</f>
        <v>18</v>
      </c>
      <c r="AB206" s="50" t="str">
        <f>IFERROR(INDEX(DraftResults[[#All],[Team Name]],MATCH(Table5[[#This Row],[PID]],DraftResults[[#All],[Player ID]],0)),"")</f>
        <v>San Antonio Calzones of Laredo</v>
      </c>
      <c r="AC206" s="50">
        <f>IF(Table5[[#This Row],[Ovr]]="","",IF(Table5[[#This Row],[cmbList]]="","",Table5[[#This Row],[cmbList]]-Table5[[#This Row],[Ovr]]))</f>
        <v>1051</v>
      </c>
      <c r="AD206" s="54" t="str">
        <f>IF(ISERROR(VLOOKUP($AB206&amp;"-"&amp;$E206&amp;" "&amp;F206,Bonuses!$B$1:$G$1006,4,FALSE)),"",INT(VLOOKUP($AB206&amp;"-"&amp;$E206&amp;" "&amp;$F206,Bonuses!$B$1:$G$1006,4,FALSE)))</f>
        <v/>
      </c>
      <c r="AE206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2.18 (54) - 1B Rodney Bowers</v>
      </c>
    </row>
    <row r="207" spans="1:31" s="50" customFormat="1" x14ac:dyDescent="0.3">
      <c r="A207" s="67">
        <v>9982</v>
      </c>
      <c r="B207" s="68">
        <f>COUNTIF(Table5[PID],A207)</f>
        <v>1</v>
      </c>
      <c r="C207" s="68" t="str">
        <f>IF(COUNTIF(Table3[[#All],[PID]],A207)&gt;0,"P","B")</f>
        <v>B</v>
      </c>
      <c r="D207" s="59" t="str">
        <f>IF($C207="B",INDEX(Batters[[#All],[POS]],MATCH(Table5[[#This Row],[PID]],Batters[[#All],[PID]],0)),INDEX(Table3[[#All],[POS]],MATCH(Table5[[#This Row],[PID]],Table3[[#All],[PID]],0)))</f>
        <v>SS</v>
      </c>
      <c r="E207" s="52" t="str">
        <f>IF($C207="B",INDEX(Batters[[#All],[First]],MATCH(Table5[[#This Row],[PID]],Batters[[#All],[PID]],0)),INDEX(Table3[[#All],[First]],MATCH(Table5[[#This Row],[PID]],Table3[[#All],[PID]],0)))</f>
        <v>Dave</v>
      </c>
      <c r="F207" s="55" t="str">
        <f>IF($C207="B",INDEX(Batters[[#All],[Last]],MATCH(A207,Batters[[#All],[PID]],0)),INDEX(Table3[[#All],[Last]],MATCH(A207,Table3[[#All],[PID]],0)))</f>
        <v>Ramírez</v>
      </c>
      <c r="G207" s="56">
        <f>IF($C207="B",INDEX(Batters[[#All],[Age]],MATCH(Table5[[#This Row],[PID]],Batters[[#All],[PID]],0)),INDEX(Table3[[#All],[Age]],MATCH(Table5[[#This Row],[PID]],Table3[[#All],[PID]],0)))</f>
        <v>17</v>
      </c>
      <c r="H207" s="52" t="str">
        <f>IF($C207="B",INDEX(Batters[[#All],[B]],MATCH(Table5[[#This Row],[PID]],Batters[[#All],[PID]],0)),INDEX(Table3[[#All],[B]],MATCH(Table5[[#This Row],[PID]],Table3[[#All],[PID]],0)))</f>
        <v>R</v>
      </c>
      <c r="I207" s="52" t="str">
        <f>IF($C207="B",INDEX(Batters[[#All],[T]],MATCH(Table5[[#This Row],[PID]],Batters[[#All],[PID]],0)),INDEX(Table3[[#All],[T]],MATCH(Table5[[#This Row],[PID]],Table3[[#All],[PID]],0)))</f>
        <v>R</v>
      </c>
      <c r="J207" s="69" t="str">
        <f>IF($C207="B",INDEX(Batters[[#All],[WE]],MATCH(Table5[[#This Row],[PID]],Batters[[#All],[PID]],0)),INDEX(Table3[[#All],[WE]],MATCH(Table5[[#This Row],[PID]],Table3[[#All],[PID]],0)))</f>
        <v>Normal</v>
      </c>
      <c r="K207" s="52" t="str">
        <f>IF($C207="B",INDEX(Batters[[#All],[INT]],MATCH(Table5[[#This Row],[PID]],Batters[[#All],[PID]],0)),INDEX(Table3[[#All],[INT]],MATCH(Table5[[#This Row],[PID]],Table3[[#All],[PID]],0)))</f>
        <v>Normal</v>
      </c>
      <c r="L207" s="60">
        <f>IF($C207="B",INDEX(Batters[[#All],[CON P]],MATCH(Table5[[#This Row],[PID]],Batters[[#All],[PID]],0)),INDEX(Table3[[#All],[STU P]],MATCH(Table5[[#This Row],[PID]],Table3[[#All],[PID]],0)))</f>
        <v>4</v>
      </c>
      <c r="M207" s="70">
        <f>IF($C207="B",INDEX(Batters[[#All],[GAP P]],MATCH(Table5[[#This Row],[PID]],Batters[[#All],[PID]],0)),INDEX(Table3[[#All],[MOV P]],MATCH(Table5[[#This Row],[PID]],Table3[[#All],[PID]],0)))</f>
        <v>6</v>
      </c>
      <c r="N207" s="70">
        <f>IF($C207="B",INDEX(Batters[[#All],[POW P]],MATCH(Table5[[#This Row],[PID]],Batters[[#All],[PID]],0)),INDEX(Table3[[#All],[CON P]],MATCH(Table5[[#This Row],[PID]],Table3[[#All],[PID]],0)))</f>
        <v>5</v>
      </c>
      <c r="O207" s="70">
        <f>IF($C207="B",INDEX(Batters[[#All],[EYE P]],MATCH(Table5[[#This Row],[PID]],Batters[[#All],[PID]],0)),INDEX(Table3[[#All],[VELO]],MATCH(Table5[[#This Row],[PID]],Table3[[#All],[PID]],0)))</f>
        <v>4</v>
      </c>
      <c r="P207" s="56">
        <f>IF($C207="B",INDEX(Batters[[#All],[K P]],MATCH(Table5[[#This Row],[PID]],Batters[[#All],[PID]],0)),INDEX(Table3[[#All],[STM]],MATCH(Table5[[#This Row],[PID]],Table3[[#All],[PID]],0)))</f>
        <v>6</v>
      </c>
      <c r="Q207" s="61">
        <f>IF($C207="B",INDEX(Batters[[#All],[Tot]],MATCH(Table5[[#This Row],[PID]],Batters[[#All],[PID]],0)),INDEX(Table3[[#All],[Tot]],MATCH(Table5[[#This Row],[PID]],Table3[[#All],[PID]],0)))</f>
        <v>49.108016598312581</v>
      </c>
      <c r="R207" s="52">
        <f>IF($C207="B",INDEX(Batters[[#All],[zScore]],MATCH(Table5[[#This Row],[PID]],Batters[[#All],[PID]],0)),INDEX(Table3[[#All],[zScore]],MATCH(Table5[[#This Row],[PID]],Table3[[#All],[PID]],0)))</f>
        <v>0.85968298275641886</v>
      </c>
      <c r="S207" s="75" t="str">
        <f>IF($C207="B",INDEX(Batters[[#All],[DEM]],MATCH(Table5[[#This Row],[PID]],Batters[[#All],[PID]],0)),INDEX(Table3[[#All],[DEM]],MATCH(Table5[[#This Row],[PID]],Table3[[#All],[PID]],0)))</f>
        <v>$750k</v>
      </c>
      <c r="T207" s="72">
        <f>IF($C207="B",INDEX(Batters[[#All],[Rnk]],MATCH(Table5[[#This Row],[PID]],Batters[[#All],[PID]],0)),INDEX(Table3[[#All],[Rnk]],MATCH(Table5[[#This Row],[PID]],Table3[[#All],[PID]],0)))</f>
        <v>900</v>
      </c>
      <c r="U207" s="67">
        <f>IF($C207="B",VLOOKUP($A207,Bat!$A$4:$BA$1314,47,FALSE),VLOOKUP($A207,Pit!$A$4:$BF$1214,56,FALSE))</f>
        <v>120</v>
      </c>
      <c r="V207" s="50">
        <f>IF($C207="B",VLOOKUP($A207,Bat!$A$4:$BA$1314,48,FALSE),VLOOKUP($A207,Pit!$A$4:$BF$1214,57,FALSE))</f>
        <v>0</v>
      </c>
      <c r="W207" s="68">
        <f>IF(Table5[[#This Row],[posRnk]]=999,9999,Table5[[#This Row],[posRnk]]+Table5[[#This Row],[zRnk]]+IF($W$3&lt;&gt;Table5[[#This Row],[Type]],50,0))</f>
        <v>1112</v>
      </c>
      <c r="X207" s="71">
        <f>RANK(Table5[[#This Row],[zScore]],Table5[[#All],[zScore]])</f>
        <v>162</v>
      </c>
      <c r="Y207" s="68">
        <f>IFERROR(INDEX(DraftResults[[#All],[OVR]],MATCH(Table5[[#This Row],[PID]],DraftResults[[#All],[Player ID]],0)),"")</f>
        <v>242</v>
      </c>
      <c r="Z207" s="7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8</v>
      </c>
      <c r="AA207" s="68">
        <f>IFERROR(INDEX(DraftResults[[#All],[Pick in Round]],MATCH(Table5[[#This Row],[PID]],DraftResults[[#All],[Player ID]],0)),"")</f>
        <v>9</v>
      </c>
      <c r="AB207" s="68" t="str">
        <f>IFERROR(INDEX(DraftResults[[#All],[Team Name]],MATCH(Table5[[#This Row],[PID]],DraftResults[[#All],[Player ID]],0)),"")</f>
        <v>New Jersey Hitmen</v>
      </c>
      <c r="AC207" s="68">
        <f>IF(Table5[[#This Row],[Ovr]]="","",IF(Table5[[#This Row],[cmbList]]="","",Table5[[#This Row],[cmbList]]-Table5[[#This Row],[Ovr]]))</f>
        <v>870</v>
      </c>
      <c r="AD207" s="74" t="str">
        <f>IF(ISERROR(VLOOKUP($AB207&amp;"-"&amp;$E207&amp;" "&amp;F207,Bonuses!$B$1:$G$1006,4,FALSE)),"",INT(VLOOKUP($AB207&amp;"-"&amp;$E207&amp;" "&amp;$F207,Bonuses!$B$1:$G$1006,4,FALSE)))</f>
        <v/>
      </c>
      <c r="AE207" s="68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8.9 (242) - SS Dave Ramírez</v>
      </c>
    </row>
    <row r="208" spans="1:31" s="50" customFormat="1" x14ac:dyDescent="0.3">
      <c r="A208" s="50">
        <v>20844</v>
      </c>
      <c r="B208" s="50">
        <f>COUNTIF(Table5[PID],A208)</f>
        <v>1</v>
      </c>
      <c r="C208" s="50" t="str">
        <f>IF(COUNTIF(Table3[[#All],[PID]],A208)&gt;0,"P","B")</f>
        <v>B</v>
      </c>
      <c r="D208" s="59" t="str">
        <f>IF($C208="B",INDEX(Batters[[#All],[POS]],MATCH(Table5[[#This Row],[PID]],Batters[[#All],[PID]],0)),INDEX(Table3[[#All],[POS]],MATCH(Table5[[#This Row],[PID]],Table3[[#All],[PID]],0)))</f>
        <v>RF</v>
      </c>
      <c r="E208" s="52" t="str">
        <f>IF($C208="B",INDEX(Batters[[#All],[First]],MATCH(Table5[[#This Row],[PID]],Batters[[#All],[PID]],0)),INDEX(Table3[[#All],[First]],MATCH(Table5[[#This Row],[PID]],Table3[[#All],[PID]],0)))</f>
        <v>Anthony</v>
      </c>
      <c r="F208" s="50" t="str">
        <f>IF($C208="B",INDEX(Batters[[#All],[Last]],MATCH(A208,Batters[[#All],[PID]],0)),INDEX(Table3[[#All],[Last]],MATCH(A208,Table3[[#All],[PID]],0)))</f>
        <v>Steele</v>
      </c>
      <c r="G208" s="56">
        <f>IF($C208="B",INDEX(Batters[[#All],[Age]],MATCH(Table5[[#This Row],[PID]],Batters[[#All],[PID]],0)),INDEX(Table3[[#All],[Age]],MATCH(Table5[[#This Row],[PID]],Table3[[#All],[PID]],0)))</f>
        <v>17</v>
      </c>
      <c r="H208" s="52" t="str">
        <f>IF($C208="B",INDEX(Batters[[#All],[B]],MATCH(Table5[[#This Row],[PID]],Batters[[#All],[PID]],0)),INDEX(Table3[[#All],[B]],MATCH(Table5[[#This Row],[PID]],Table3[[#All],[PID]],0)))</f>
        <v>R</v>
      </c>
      <c r="I208" s="52" t="str">
        <f>IF($C208="B",INDEX(Batters[[#All],[T]],MATCH(Table5[[#This Row],[PID]],Batters[[#All],[PID]],0)),INDEX(Table3[[#All],[T]],MATCH(Table5[[#This Row],[PID]],Table3[[#All],[PID]],0)))</f>
        <v>R</v>
      </c>
      <c r="J208" s="52" t="str">
        <f>IF($C208="B",INDEX(Batters[[#All],[WE]],MATCH(Table5[[#This Row],[PID]],Batters[[#All],[PID]],0)),INDEX(Table3[[#All],[WE]],MATCH(Table5[[#This Row],[PID]],Table3[[#All],[PID]],0)))</f>
        <v>Low</v>
      </c>
      <c r="K208" s="52" t="str">
        <f>IF($C208="B",INDEX(Batters[[#All],[INT]],MATCH(Table5[[#This Row],[PID]],Batters[[#All],[PID]],0)),INDEX(Table3[[#All],[INT]],MATCH(Table5[[#This Row],[PID]],Table3[[#All],[PID]],0)))</f>
        <v>Low</v>
      </c>
      <c r="L208" s="60">
        <f>IF($C208="B",INDEX(Batters[[#All],[CON P]],MATCH(Table5[[#This Row],[PID]],Batters[[#All],[PID]],0)),INDEX(Table3[[#All],[STU P]],MATCH(Table5[[#This Row],[PID]],Table3[[#All],[PID]],0)))</f>
        <v>5</v>
      </c>
      <c r="M208" s="56">
        <f>IF($C208="B",INDEX(Batters[[#All],[GAP P]],MATCH(Table5[[#This Row],[PID]],Batters[[#All],[PID]],0)),INDEX(Table3[[#All],[MOV P]],MATCH(Table5[[#This Row],[PID]],Table3[[#All],[PID]],0)))</f>
        <v>5</v>
      </c>
      <c r="N208" s="56">
        <f>IF($C208="B",INDEX(Batters[[#All],[POW P]],MATCH(Table5[[#This Row],[PID]],Batters[[#All],[PID]],0)),INDEX(Table3[[#All],[CON P]],MATCH(Table5[[#This Row],[PID]],Table3[[#All],[PID]],0)))</f>
        <v>4</v>
      </c>
      <c r="O208" s="56">
        <f>IF($C208="B",INDEX(Batters[[#All],[EYE P]],MATCH(Table5[[#This Row],[PID]],Batters[[#All],[PID]],0)),INDEX(Table3[[#All],[VELO]],MATCH(Table5[[#This Row],[PID]],Table3[[#All],[PID]],0)))</f>
        <v>5</v>
      </c>
      <c r="P208" s="56">
        <f>IF($C208="B",INDEX(Batters[[#All],[K P]],MATCH(Table5[[#This Row],[PID]],Batters[[#All],[PID]],0)),INDEX(Table3[[#All],[STM]],MATCH(Table5[[#This Row],[PID]],Table3[[#All],[PID]],0)))</f>
        <v>4</v>
      </c>
      <c r="Q208" s="61">
        <f>IF($C208="B",INDEX(Batters[[#All],[Tot]],MATCH(Table5[[#This Row],[PID]],Batters[[#All],[PID]],0)),INDEX(Table3[[#All],[Tot]],MATCH(Table5[[#This Row],[PID]],Table3[[#All],[PID]],0)))</f>
        <v>50.872243337613099</v>
      </c>
      <c r="R208" s="52">
        <f>IF($C208="B",INDEX(Batters[[#All],[zScore]],MATCH(Table5[[#This Row],[PID]],Batters[[#All],[PID]],0)),INDEX(Table3[[#All],[zScore]],MATCH(Table5[[#This Row],[PID]],Table3[[#All],[PID]],0)))</f>
        <v>1.1172038248810743</v>
      </c>
      <c r="S208" s="58" t="str">
        <f>IF($C208="B",INDEX(Batters[[#All],[DEM]],MATCH(Table5[[#This Row],[PID]],Batters[[#All],[PID]],0)),INDEX(Table3[[#All],[DEM]],MATCH(Table5[[#This Row],[PID]],Table3[[#All],[PID]],0)))</f>
        <v>$200k</v>
      </c>
      <c r="T208" s="62">
        <f>IF($C208="B",INDEX(Batters[[#All],[Rnk]],MATCH(Table5[[#This Row],[PID]],Batters[[#All],[PID]],0)),INDEX(Table3[[#All],[Rnk]],MATCH(Table5[[#This Row],[PID]],Table3[[#All],[PID]],0)))</f>
        <v>950</v>
      </c>
      <c r="U208" s="67">
        <f>IF($C208="B",VLOOKUP($A208,Bat!$A$4:$BA$1314,47,FALSE),VLOOKUP($A208,Pit!$A$4:$BF$1214,56,FALSE))</f>
        <v>423</v>
      </c>
      <c r="V208" s="50">
        <f>IF($C208="B",VLOOKUP($A208,Bat!$A$4:$BA$1314,48,FALSE),VLOOKUP($A208,Pit!$A$4:$BF$1214,57,FALSE))</f>
        <v>0</v>
      </c>
      <c r="W208" s="68">
        <f>IF(Table5[[#This Row],[posRnk]]=999,9999,Table5[[#This Row],[posRnk]]+Table5[[#This Row],[zRnk]]+IF($W$3&lt;&gt;Table5[[#This Row],[Type]],50,0))</f>
        <v>1130</v>
      </c>
      <c r="X208" s="51">
        <f>RANK(Table5[[#This Row],[zScore]],Table5[[#All],[zScore]])</f>
        <v>130</v>
      </c>
      <c r="Y208" s="50">
        <f>IFERROR(INDEX(DraftResults[[#All],[OVR]],MATCH(Table5[[#This Row],[PID]],DraftResults[[#All],[Player ID]],0)),"")</f>
        <v>276</v>
      </c>
      <c r="Z208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9</v>
      </c>
      <c r="AA208" s="50">
        <f>IFERROR(INDEX(DraftResults[[#All],[Pick in Round]],MATCH(Table5[[#This Row],[PID]],DraftResults[[#All],[Player ID]],0)),"")</f>
        <v>11</v>
      </c>
      <c r="AB208" s="50" t="str">
        <f>IFERROR(INDEX(DraftResults[[#All],[Team Name]],MATCH(Table5[[#This Row],[PID]],DraftResults[[#All],[Player ID]],0)),"")</f>
        <v>Arlington Bureaucrats</v>
      </c>
      <c r="AC208" s="50">
        <f>IF(Table5[[#This Row],[Ovr]]="","",IF(Table5[[#This Row],[cmbList]]="","",Table5[[#This Row],[cmbList]]-Table5[[#This Row],[Ovr]]))</f>
        <v>854</v>
      </c>
      <c r="AD208" s="54" t="str">
        <f>IF(ISERROR(VLOOKUP($AB208&amp;"-"&amp;$E208&amp;" "&amp;F208,Bonuses!$B$1:$G$1006,4,FALSE)),"",INT(VLOOKUP($AB208&amp;"-"&amp;$E208&amp;" "&amp;$F208,Bonuses!$B$1:$G$1006,4,FALSE)))</f>
        <v/>
      </c>
      <c r="AE208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9.11 (276) - RF Anthony Steele</v>
      </c>
    </row>
    <row r="209" spans="1:31" s="50" customFormat="1" x14ac:dyDescent="0.3">
      <c r="A209" s="50">
        <v>12929</v>
      </c>
      <c r="B209" s="50">
        <f>COUNTIF(Table5[PID],A209)</f>
        <v>1</v>
      </c>
      <c r="C209" s="50" t="str">
        <f>IF(COUNTIF(Table3[[#All],[PID]],A209)&gt;0,"P","B")</f>
        <v>B</v>
      </c>
      <c r="D209" s="59" t="str">
        <f>IF($C209="B",INDEX(Batters[[#All],[POS]],MATCH(Table5[[#This Row],[PID]],Batters[[#All],[PID]],0)),INDEX(Table3[[#All],[POS]],MATCH(Table5[[#This Row],[PID]],Table3[[#All],[PID]],0)))</f>
        <v>3B</v>
      </c>
      <c r="E209" s="52" t="str">
        <f>IF($C209="B",INDEX(Batters[[#All],[First]],MATCH(Table5[[#This Row],[PID]],Batters[[#All],[PID]],0)),INDEX(Table3[[#All],[First]],MATCH(Table5[[#This Row],[PID]],Table3[[#All],[PID]],0)))</f>
        <v>James</v>
      </c>
      <c r="F209" s="50" t="str">
        <f>IF($C209="B",INDEX(Batters[[#All],[Last]],MATCH(A209,Batters[[#All],[PID]],0)),INDEX(Table3[[#All],[Last]],MATCH(A209,Table3[[#All],[PID]],0)))</f>
        <v>Boyle</v>
      </c>
      <c r="G209" s="56">
        <f>IF($C209="B",INDEX(Batters[[#All],[Age]],MATCH(Table5[[#This Row],[PID]],Batters[[#All],[PID]],0)),INDEX(Table3[[#All],[Age]],MATCH(Table5[[#This Row],[PID]],Table3[[#All],[PID]],0)))</f>
        <v>18</v>
      </c>
      <c r="H209" s="52" t="str">
        <f>IF($C209="B",INDEX(Batters[[#All],[B]],MATCH(Table5[[#This Row],[PID]],Batters[[#All],[PID]],0)),INDEX(Table3[[#All],[B]],MATCH(Table5[[#This Row],[PID]],Table3[[#All],[PID]],0)))</f>
        <v>R</v>
      </c>
      <c r="I209" s="52" t="str">
        <f>IF($C209="B",INDEX(Batters[[#All],[T]],MATCH(Table5[[#This Row],[PID]],Batters[[#All],[PID]],0)),INDEX(Table3[[#All],[T]],MATCH(Table5[[#This Row],[PID]],Table3[[#All],[PID]],0)))</f>
        <v>R</v>
      </c>
      <c r="J209" s="52" t="str">
        <f>IF($C209="B",INDEX(Batters[[#All],[WE]],MATCH(Table5[[#This Row],[PID]],Batters[[#All],[PID]],0)),INDEX(Table3[[#All],[WE]],MATCH(Table5[[#This Row],[PID]],Table3[[#All],[PID]],0)))</f>
        <v>Normal</v>
      </c>
      <c r="K209" s="52" t="str">
        <f>IF($C209="B",INDEX(Batters[[#All],[INT]],MATCH(Table5[[#This Row],[PID]],Batters[[#All],[PID]],0)),INDEX(Table3[[#All],[INT]],MATCH(Table5[[#This Row],[PID]],Table3[[#All],[PID]],0)))</f>
        <v>Normal</v>
      </c>
      <c r="L209" s="60">
        <f>IF($C209="B",INDEX(Batters[[#All],[CON P]],MATCH(Table5[[#This Row],[PID]],Batters[[#All],[PID]],0)),INDEX(Table3[[#All],[STU P]],MATCH(Table5[[#This Row],[PID]],Table3[[#All],[PID]],0)))</f>
        <v>4</v>
      </c>
      <c r="M209" s="56">
        <f>IF($C209="B",INDEX(Batters[[#All],[GAP P]],MATCH(Table5[[#This Row],[PID]],Batters[[#All],[PID]],0)),INDEX(Table3[[#All],[MOV P]],MATCH(Table5[[#This Row],[PID]],Table3[[#All],[PID]],0)))</f>
        <v>7</v>
      </c>
      <c r="N209" s="56">
        <f>IF($C209="B",INDEX(Batters[[#All],[POW P]],MATCH(Table5[[#This Row],[PID]],Batters[[#All],[PID]],0)),INDEX(Table3[[#All],[CON P]],MATCH(Table5[[#This Row],[PID]],Table3[[#All],[PID]],0)))</f>
        <v>2</v>
      </c>
      <c r="O209" s="56">
        <f>IF($C209="B",INDEX(Batters[[#All],[EYE P]],MATCH(Table5[[#This Row],[PID]],Batters[[#All],[PID]],0)),INDEX(Table3[[#All],[VELO]],MATCH(Table5[[#This Row],[PID]],Table3[[#All],[PID]],0)))</f>
        <v>3</v>
      </c>
      <c r="P209" s="56">
        <f>IF($C209="B",INDEX(Batters[[#All],[K P]],MATCH(Table5[[#This Row],[PID]],Batters[[#All],[PID]],0)),INDEX(Table3[[#All],[STM]],MATCH(Table5[[#This Row],[PID]],Table3[[#All],[PID]],0)))</f>
        <v>9</v>
      </c>
      <c r="Q209" s="61">
        <f>IF($C209="B",INDEX(Batters[[#All],[Tot]],MATCH(Table5[[#This Row],[PID]],Batters[[#All],[PID]],0)),INDEX(Table3[[#All],[Tot]],MATCH(Table5[[#This Row],[PID]],Table3[[#All],[PID]],0)))</f>
        <v>48.059660455332988</v>
      </c>
      <c r="R209" s="52">
        <f>IF($C209="B",INDEX(Batters[[#All],[zScore]],MATCH(Table5[[#This Row],[PID]],Batters[[#All],[PID]],0)),INDEX(Table3[[#All],[zScore]],MATCH(Table5[[#This Row],[PID]],Table3[[#All],[PID]],0)))</f>
        <v>0.7066564183287084</v>
      </c>
      <c r="S209" s="58" t="str">
        <f>IF($C209="B",INDEX(Batters[[#All],[DEM]],MATCH(Table5[[#This Row],[PID]],Batters[[#All],[PID]],0)),INDEX(Table3[[#All],[DEM]],MATCH(Table5[[#This Row],[PID]],Table3[[#All],[PID]],0)))</f>
        <v>$250k</v>
      </c>
      <c r="T209" s="62">
        <f>IF($C209="B",INDEX(Batters[[#All],[Rnk]],MATCH(Table5[[#This Row],[PID]],Batters[[#All],[PID]],0)),INDEX(Table3[[#All],[Rnk]],MATCH(Table5[[#This Row],[PID]],Table3[[#All],[PID]],0)))</f>
        <v>900</v>
      </c>
      <c r="U209" s="67">
        <f>IF($C209="B",VLOOKUP($A209,Bat!$A$4:$BA$1314,47,FALSE),VLOOKUP($A209,Pit!$A$4:$BF$1214,56,FALSE))</f>
        <v>123</v>
      </c>
      <c r="V209" s="50">
        <f>IF($C209="B",VLOOKUP($A209,Bat!$A$4:$BA$1314,48,FALSE),VLOOKUP($A209,Pit!$A$4:$BF$1214,57,FALSE))</f>
        <v>0</v>
      </c>
      <c r="W209" s="68">
        <f>IF(Table5[[#This Row],[posRnk]]=999,9999,Table5[[#This Row],[posRnk]]+Table5[[#This Row],[zRnk]]+IF($W$3&lt;&gt;Table5[[#This Row],[Type]],50,0))</f>
        <v>1135</v>
      </c>
      <c r="X209" s="51">
        <f>RANK(Table5[[#This Row],[zScore]],Table5[[#All],[zScore]])</f>
        <v>185</v>
      </c>
      <c r="Y209" s="50">
        <f>IFERROR(INDEX(DraftResults[[#All],[OVR]],MATCH(Table5[[#This Row],[PID]],DraftResults[[#All],[Player ID]],0)),"")</f>
        <v>86</v>
      </c>
      <c r="Z209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3</v>
      </c>
      <c r="AA209" s="50">
        <f>IFERROR(INDEX(DraftResults[[#All],[Pick in Round]],MATCH(Table5[[#This Row],[PID]],DraftResults[[#All],[Player ID]],0)),"")</f>
        <v>14</v>
      </c>
      <c r="AB209" s="50" t="str">
        <f>IFERROR(INDEX(DraftResults[[#All],[Team Name]],MATCH(Table5[[#This Row],[PID]],DraftResults[[#All],[Player ID]],0)),"")</f>
        <v>San Antonio Calzones of Laredo</v>
      </c>
      <c r="AC209" s="50">
        <f>IF(Table5[[#This Row],[Ovr]]="","",IF(Table5[[#This Row],[cmbList]]="","",Table5[[#This Row],[cmbList]]-Table5[[#This Row],[Ovr]]))</f>
        <v>1049</v>
      </c>
      <c r="AD209" s="54" t="str">
        <f>IF(ISERROR(VLOOKUP($AB209&amp;"-"&amp;$E209&amp;" "&amp;F209,Bonuses!$B$1:$G$1006,4,FALSE)),"",INT(VLOOKUP($AB209&amp;"-"&amp;$E209&amp;" "&amp;$F209,Bonuses!$B$1:$G$1006,4,FALSE)))</f>
        <v/>
      </c>
      <c r="AE209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3.14 (86) - 3B James Boyle</v>
      </c>
    </row>
    <row r="210" spans="1:31" s="50" customFormat="1" x14ac:dyDescent="0.3">
      <c r="A210" s="67">
        <v>12056</v>
      </c>
      <c r="B210" s="68">
        <f>COUNTIF(Table5[PID],A210)</f>
        <v>1</v>
      </c>
      <c r="C210" s="68" t="str">
        <f>IF(COUNTIF(Table3[[#All],[PID]],A210)&gt;0,"P","B")</f>
        <v>B</v>
      </c>
      <c r="D210" s="59" t="str">
        <f>IF($C210="B",INDEX(Batters[[#All],[POS]],MATCH(Table5[[#This Row],[PID]],Batters[[#All],[PID]],0)),INDEX(Table3[[#All],[POS]],MATCH(Table5[[#This Row],[PID]],Table3[[#All],[PID]],0)))</f>
        <v>2B</v>
      </c>
      <c r="E210" s="52" t="str">
        <f>IF($C210="B",INDEX(Batters[[#All],[First]],MATCH(Table5[[#This Row],[PID]],Batters[[#All],[PID]],0)),INDEX(Table3[[#All],[First]],MATCH(Table5[[#This Row],[PID]],Table3[[#All],[PID]],0)))</f>
        <v>Stéphane</v>
      </c>
      <c r="F210" s="55" t="str">
        <f>IF($C210="B",INDEX(Batters[[#All],[Last]],MATCH(A210,Batters[[#All],[PID]],0)),INDEX(Table3[[#All],[Last]],MATCH(A210,Table3[[#All],[PID]],0)))</f>
        <v>Moreau</v>
      </c>
      <c r="G210" s="56">
        <f>IF($C210="B",INDEX(Batters[[#All],[Age]],MATCH(Table5[[#This Row],[PID]],Batters[[#All],[PID]],0)),INDEX(Table3[[#All],[Age]],MATCH(Table5[[#This Row],[PID]],Table3[[#All],[PID]],0)))</f>
        <v>17</v>
      </c>
      <c r="H210" s="52" t="str">
        <f>IF($C210="B",INDEX(Batters[[#All],[B]],MATCH(Table5[[#This Row],[PID]],Batters[[#All],[PID]],0)),INDEX(Table3[[#All],[B]],MATCH(Table5[[#This Row],[PID]],Table3[[#All],[PID]],0)))</f>
        <v>R</v>
      </c>
      <c r="I210" s="52" t="str">
        <f>IF($C210="B",INDEX(Batters[[#All],[T]],MATCH(Table5[[#This Row],[PID]],Batters[[#All],[PID]],0)),INDEX(Table3[[#All],[T]],MATCH(Table5[[#This Row],[PID]],Table3[[#All],[PID]],0)))</f>
        <v>R</v>
      </c>
      <c r="J210" s="69" t="str">
        <f>IF($C210="B",INDEX(Batters[[#All],[WE]],MATCH(Table5[[#This Row],[PID]],Batters[[#All],[PID]],0)),INDEX(Table3[[#All],[WE]],MATCH(Table5[[#This Row],[PID]],Table3[[#All],[PID]],0)))</f>
        <v>High</v>
      </c>
      <c r="K210" s="52" t="str">
        <f>IF($C210="B",INDEX(Batters[[#All],[INT]],MATCH(Table5[[#This Row],[PID]],Batters[[#All],[PID]],0)),INDEX(Table3[[#All],[INT]],MATCH(Table5[[#This Row],[PID]],Table3[[#All],[PID]],0)))</f>
        <v>Normal</v>
      </c>
      <c r="L210" s="60">
        <f>IF($C210="B",INDEX(Batters[[#All],[CON P]],MATCH(Table5[[#This Row],[PID]],Batters[[#All],[PID]],0)),INDEX(Table3[[#All],[STU P]],MATCH(Table5[[#This Row],[PID]],Table3[[#All],[PID]],0)))</f>
        <v>4</v>
      </c>
      <c r="M210" s="70">
        <f>IF($C210="B",INDEX(Batters[[#All],[GAP P]],MATCH(Table5[[#This Row],[PID]],Batters[[#All],[PID]],0)),INDEX(Table3[[#All],[MOV P]],MATCH(Table5[[#This Row],[PID]],Table3[[#All],[PID]],0)))</f>
        <v>5</v>
      </c>
      <c r="N210" s="70">
        <f>IF($C210="B",INDEX(Batters[[#All],[POW P]],MATCH(Table5[[#This Row],[PID]],Batters[[#All],[PID]],0)),INDEX(Table3[[#All],[CON P]],MATCH(Table5[[#This Row],[PID]],Table3[[#All],[PID]],0)))</f>
        <v>4</v>
      </c>
      <c r="O210" s="70">
        <f>IF($C210="B",INDEX(Batters[[#All],[EYE P]],MATCH(Table5[[#This Row],[PID]],Batters[[#All],[PID]],0)),INDEX(Table3[[#All],[VELO]],MATCH(Table5[[#This Row],[PID]],Table3[[#All],[PID]],0)))</f>
        <v>5</v>
      </c>
      <c r="P210" s="56">
        <f>IF($C210="B",INDEX(Batters[[#All],[K P]],MATCH(Table5[[#This Row],[PID]],Batters[[#All],[PID]],0)),INDEX(Table3[[#All],[STM]],MATCH(Table5[[#This Row],[PID]],Table3[[#All],[PID]],0)))</f>
        <v>4</v>
      </c>
      <c r="Q210" s="61">
        <f>IF($C210="B",INDEX(Batters[[#All],[Tot]],MATCH(Table5[[#This Row],[PID]],Batters[[#All],[PID]],0)),INDEX(Table3[[#All],[Tot]],MATCH(Table5[[#This Row],[PID]],Table3[[#All],[PID]],0)))</f>
        <v>47.965319601110068</v>
      </c>
      <c r="R210" s="52">
        <f>IF($C210="B",INDEX(Batters[[#All],[zScore]],MATCH(Table5[[#This Row],[PID]],Batters[[#All],[PID]],0)),INDEX(Table3[[#All],[zScore]],MATCH(Table5[[#This Row],[PID]],Table3[[#All],[PID]],0)))</f>
        <v>0.69288566217529113</v>
      </c>
      <c r="S210" s="75" t="str">
        <f>IF($C210="B",INDEX(Batters[[#All],[DEM]],MATCH(Table5[[#This Row],[PID]],Batters[[#All],[PID]],0)),INDEX(Table3[[#All],[DEM]],MATCH(Table5[[#This Row],[PID]],Table3[[#All],[PID]],0)))</f>
        <v>$80k</v>
      </c>
      <c r="T210" s="72">
        <f>IF($C210="B",INDEX(Batters[[#All],[Rnk]],MATCH(Table5[[#This Row],[PID]],Batters[[#All],[PID]],0)),INDEX(Table3[[#All],[Rnk]],MATCH(Table5[[#This Row],[PID]],Table3[[#All],[PID]],0)))</f>
        <v>900</v>
      </c>
      <c r="U210" s="67">
        <f>IF($C210="B",VLOOKUP($A210,Bat!$A$4:$BA$1314,47,FALSE),VLOOKUP($A210,Pit!$A$4:$BF$1214,56,FALSE))</f>
        <v>121</v>
      </c>
      <c r="V210" s="50">
        <f>IF($C210="B",VLOOKUP($A210,Bat!$A$4:$BA$1314,48,FALSE),VLOOKUP($A210,Pit!$A$4:$BF$1214,57,FALSE))</f>
        <v>0</v>
      </c>
      <c r="W210" s="68">
        <f>IF(Table5[[#This Row],[posRnk]]=999,9999,Table5[[#This Row],[posRnk]]+Table5[[#This Row],[zRnk]]+IF($W$3&lt;&gt;Table5[[#This Row],[Type]],50,0))</f>
        <v>1139</v>
      </c>
      <c r="X210" s="71">
        <f>RANK(Table5[[#This Row],[zScore]],Table5[[#All],[zScore]])</f>
        <v>189</v>
      </c>
      <c r="Y210" s="68">
        <f>IFERROR(INDEX(DraftResults[[#All],[OVR]],MATCH(Table5[[#This Row],[PID]],DraftResults[[#All],[Player ID]],0)),"")</f>
        <v>248</v>
      </c>
      <c r="Z210" s="7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8</v>
      </c>
      <c r="AA210" s="68">
        <f>IFERROR(INDEX(DraftResults[[#All],[Pick in Round]],MATCH(Table5[[#This Row],[PID]],DraftResults[[#All],[Player ID]],0)),"")</f>
        <v>15</v>
      </c>
      <c r="AB210" s="68" t="str">
        <f>IFERROR(INDEX(DraftResults[[#All],[Team Name]],MATCH(Table5[[#This Row],[PID]],DraftResults[[#All],[Player ID]],0)),"")</f>
        <v>Niihama-shi Ghosts</v>
      </c>
      <c r="AC210" s="68">
        <f>IF(Table5[[#This Row],[Ovr]]="","",IF(Table5[[#This Row],[cmbList]]="","",Table5[[#This Row],[cmbList]]-Table5[[#This Row],[Ovr]]))</f>
        <v>891</v>
      </c>
      <c r="AD210" s="74" t="str">
        <f>IF(ISERROR(VLOOKUP($AB210&amp;"-"&amp;$E210&amp;" "&amp;F210,Bonuses!$B$1:$G$1006,4,FALSE)),"",INT(VLOOKUP($AB210&amp;"-"&amp;$E210&amp;" "&amp;$F210,Bonuses!$B$1:$G$1006,4,FALSE)))</f>
        <v/>
      </c>
      <c r="AE210" s="68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8.15 (248) - 2B Stéphane Moreau</v>
      </c>
    </row>
    <row r="211" spans="1:31" s="50" customFormat="1" x14ac:dyDescent="0.3">
      <c r="A211" s="50">
        <v>20497</v>
      </c>
      <c r="B211" s="50">
        <f>COUNTIF(Table5[PID],A211)</f>
        <v>1</v>
      </c>
      <c r="C211" s="50" t="str">
        <f>IF(COUNTIF(Table3[[#All],[PID]],A211)&gt;0,"P","B")</f>
        <v>B</v>
      </c>
      <c r="D211" s="59" t="str">
        <f>IF($C211="B",INDEX(Batters[[#All],[POS]],MATCH(Table5[[#This Row],[PID]],Batters[[#All],[PID]],0)),INDEX(Table3[[#All],[POS]],MATCH(Table5[[#This Row],[PID]],Table3[[#All],[PID]],0)))</f>
        <v>3B</v>
      </c>
      <c r="E211" s="52" t="str">
        <f>IF($C211="B",INDEX(Batters[[#All],[First]],MATCH(Table5[[#This Row],[PID]],Batters[[#All],[PID]],0)),INDEX(Table3[[#All],[First]],MATCH(Table5[[#This Row],[PID]],Table3[[#All],[PID]],0)))</f>
        <v>Kazunori</v>
      </c>
      <c r="F211" s="50" t="str">
        <f>IF($C211="B",INDEX(Batters[[#All],[Last]],MATCH(A211,Batters[[#All],[PID]],0)),INDEX(Table3[[#All],[Last]],MATCH(A211,Table3[[#All],[PID]],0)))</f>
        <v>Ojima</v>
      </c>
      <c r="G211" s="56">
        <f>IF($C211="B",INDEX(Batters[[#All],[Age]],MATCH(Table5[[#This Row],[PID]],Batters[[#All],[PID]],0)),INDEX(Table3[[#All],[Age]],MATCH(Table5[[#This Row],[PID]],Table3[[#All],[PID]],0)))</f>
        <v>17</v>
      </c>
      <c r="H211" s="52" t="str">
        <f>IF($C211="B",INDEX(Batters[[#All],[B]],MATCH(Table5[[#This Row],[PID]],Batters[[#All],[PID]],0)),INDEX(Table3[[#All],[B]],MATCH(Table5[[#This Row],[PID]],Table3[[#All],[PID]],0)))</f>
        <v>L</v>
      </c>
      <c r="I211" s="52" t="str">
        <f>IF($C211="B",INDEX(Batters[[#All],[T]],MATCH(Table5[[#This Row],[PID]],Batters[[#All],[PID]],0)),INDEX(Table3[[#All],[T]],MATCH(Table5[[#This Row],[PID]],Table3[[#All],[PID]],0)))</f>
        <v>R</v>
      </c>
      <c r="J211" s="52" t="str">
        <f>IF($C211="B",INDEX(Batters[[#All],[WE]],MATCH(Table5[[#This Row],[PID]],Batters[[#All],[PID]],0)),INDEX(Table3[[#All],[WE]],MATCH(Table5[[#This Row],[PID]],Table3[[#All],[PID]],0)))</f>
        <v>Normal</v>
      </c>
      <c r="K211" s="52" t="str">
        <f>IF($C211="B",INDEX(Batters[[#All],[INT]],MATCH(Table5[[#This Row],[PID]],Batters[[#All],[PID]],0)),INDEX(Table3[[#All],[INT]],MATCH(Table5[[#This Row],[PID]],Table3[[#All],[PID]],0)))</f>
        <v>Normal</v>
      </c>
      <c r="L211" s="60">
        <f>IF($C211="B",INDEX(Batters[[#All],[CON P]],MATCH(Table5[[#This Row],[PID]],Batters[[#All],[PID]],0)),INDEX(Table3[[#All],[STU P]],MATCH(Table5[[#This Row],[PID]],Table3[[#All],[PID]],0)))</f>
        <v>4</v>
      </c>
      <c r="M211" s="56">
        <f>IF($C211="B",INDEX(Batters[[#All],[GAP P]],MATCH(Table5[[#This Row],[PID]],Batters[[#All],[PID]],0)),INDEX(Table3[[#All],[MOV P]],MATCH(Table5[[#This Row],[PID]],Table3[[#All],[PID]],0)))</f>
        <v>4</v>
      </c>
      <c r="N211" s="56">
        <f>IF($C211="B",INDEX(Batters[[#All],[POW P]],MATCH(Table5[[#This Row],[PID]],Batters[[#All],[PID]],0)),INDEX(Table3[[#All],[CON P]],MATCH(Table5[[#This Row],[PID]],Table3[[#All],[PID]],0)))</f>
        <v>4</v>
      </c>
      <c r="O211" s="56">
        <f>IF($C211="B",INDEX(Batters[[#All],[EYE P]],MATCH(Table5[[#This Row],[PID]],Batters[[#All],[PID]],0)),INDEX(Table3[[#All],[VELO]],MATCH(Table5[[#This Row],[PID]],Table3[[#All],[PID]],0)))</f>
        <v>5</v>
      </c>
      <c r="P211" s="56">
        <f>IF($C211="B",INDEX(Batters[[#All],[K P]],MATCH(Table5[[#This Row],[PID]],Batters[[#All],[PID]],0)),INDEX(Table3[[#All],[STM]],MATCH(Table5[[#This Row],[PID]],Table3[[#All],[PID]],0)))</f>
        <v>5</v>
      </c>
      <c r="Q211" s="61">
        <f>IF($C211="B",INDEX(Batters[[#All],[Tot]],MATCH(Table5[[#This Row],[PID]],Batters[[#All],[PID]],0)),INDEX(Table3[[#All],[Tot]],MATCH(Table5[[#This Row],[PID]],Table3[[#All],[PID]],0)))</f>
        <v>47.499437185890201</v>
      </c>
      <c r="R211" s="52">
        <f>IF($C211="B",INDEX(Batters[[#All],[zScore]],MATCH(Table5[[#This Row],[PID]],Batters[[#All],[PID]],0)),INDEX(Table3[[#All],[zScore]],MATCH(Table5[[#This Row],[PID]],Table3[[#All],[PID]],0)))</f>
        <v>0.62488168670779776</v>
      </c>
      <c r="S211" s="58" t="str">
        <f>IF($C211="B",INDEX(Batters[[#All],[DEM]],MATCH(Table5[[#This Row],[PID]],Batters[[#All],[PID]],0)),INDEX(Table3[[#All],[DEM]],MATCH(Table5[[#This Row],[PID]],Table3[[#All],[PID]],0)))</f>
        <v>$200k</v>
      </c>
      <c r="T211" s="62">
        <f>IF($C211="B",INDEX(Batters[[#All],[Rnk]],MATCH(Table5[[#This Row],[PID]],Batters[[#All],[PID]],0)),INDEX(Table3[[#All],[Rnk]],MATCH(Table5[[#This Row],[PID]],Table3[[#All],[PID]],0)))</f>
        <v>900</v>
      </c>
      <c r="U211" s="67">
        <f>IF($C211="B",VLOOKUP($A211,Bat!$A$4:$BA$1314,47,FALSE),VLOOKUP($A211,Pit!$A$4:$BF$1214,56,FALSE))</f>
        <v>125</v>
      </c>
      <c r="V211" s="50">
        <f>IF($C211="B",VLOOKUP($A211,Bat!$A$4:$BA$1314,48,FALSE),VLOOKUP($A211,Pit!$A$4:$BF$1214,57,FALSE))</f>
        <v>0</v>
      </c>
      <c r="W211" s="68">
        <f>IF(Table5[[#This Row],[posRnk]]=999,9999,Table5[[#This Row],[posRnk]]+Table5[[#This Row],[zRnk]]+IF($W$3&lt;&gt;Table5[[#This Row],[Type]],50,0))</f>
        <v>1147</v>
      </c>
      <c r="X211" s="51">
        <f>RANK(Table5[[#This Row],[zScore]],Table5[[#All],[zScore]])</f>
        <v>197</v>
      </c>
      <c r="Y211" s="50">
        <f>IFERROR(INDEX(DraftResults[[#All],[OVR]],MATCH(Table5[[#This Row],[PID]],DraftResults[[#All],[Player ID]],0)),"")</f>
        <v>274</v>
      </c>
      <c r="Z211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9</v>
      </c>
      <c r="AA211" s="50">
        <f>IFERROR(INDEX(DraftResults[[#All],[Pick in Round]],MATCH(Table5[[#This Row],[PID]],DraftResults[[#All],[Player ID]],0)),"")</f>
        <v>9</v>
      </c>
      <c r="AB211" s="50" t="str">
        <f>IFERROR(INDEX(DraftResults[[#All],[Team Name]],MATCH(Table5[[#This Row],[PID]],DraftResults[[#All],[Player ID]],0)),"")</f>
        <v>New Jersey Hitmen</v>
      </c>
      <c r="AC211" s="50">
        <f>IF(Table5[[#This Row],[Ovr]]="","",IF(Table5[[#This Row],[cmbList]]="","",Table5[[#This Row],[cmbList]]-Table5[[#This Row],[Ovr]]))</f>
        <v>873</v>
      </c>
      <c r="AD211" s="54" t="str">
        <f>IF(ISERROR(VLOOKUP($AB211&amp;"-"&amp;$E211&amp;" "&amp;F211,Bonuses!$B$1:$G$1006,4,FALSE)),"",INT(VLOOKUP($AB211&amp;"-"&amp;$E211&amp;" "&amp;$F211,Bonuses!$B$1:$G$1006,4,FALSE)))</f>
        <v/>
      </c>
      <c r="AE211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9.9 (274) - 3B Kazunori Ojima</v>
      </c>
    </row>
    <row r="212" spans="1:31" s="50" customFormat="1" x14ac:dyDescent="0.3">
      <c r="A212" s="50">
        <v>20672</v>
      </c>
      <c r="B212" s="50">
        <f>COUNTIF(Table5[PID],A212)</f>
        <v>1</v>
      </c>
      <c r="C212" s="50" t="str">
        <f>IF(COUNTIF(Table3[[#All],[PID]],A212)&gt;0,"P","B")</f>
        <v>B</v>
      </c>
      <c r="D212" s="59" t="str">
        <f>IF($C212="B",INDEX(Batters[[#All],[POS]],MATCH(Table5[[#This Row],[PID]],Batters[[#All],[PID]],0)),INDEX(Table3[[#All],[POS]],MATCH(Table5[[#This Row],[PID]],Table3[[#All],[PID]],0)))</f>
        <v>1B</v>
      </c>
      <c r="E212" s="52" t="str">
        <f>IF($C212="B",INDEX(Batters[[#All],[First]],MATCH(Table5[[#This Row],[PID]],Batters[[#All],[PID]],0)),INDEX(Table3[[#All],[First]],MATCH(Table5[[#This Row],[PID]],Table3[[#All],[PID]],0)))</f>
        <v>Young-tae</v>
      </c>
      <c r="F212" s="50" t="str">
        <f>IF($C212="B",INDEX(Batters[[#All],[Last]],MATCH(A212,Batters[[#All],[PID]],0)),INDEX(Table3[[#All],[Last]],MATCH(A212,Table3[[#All],[PID]],0)))</f>
        <v>Chong</v>
      </c>
      <c r="G212" s="56">
        <f>IF($C212="B",INDEX(Batters[[#All],[Age]],MATCH(Table5[[#This Row],[PID]],Batters[[#All],[PID]],0)),INDEX(Table3[[#All],[Age]],MATCH(Table5[[#This Row],[PID]],Table3[[#All],[PID]],0)))</f>
        <v>17</v>
      </c>
      <c r="H212" s="52" t="str">
        <f>IF($C212="B",INDEX(Batters[[#All],[B]],MATCH(Table5[[#This Row],[PID]],Batters[[#All],[PID]],0)),INDEX(Table3[[#All],[B]],MATCH(Table5[[#This Row],[PID]],Table3[[#All],[PID]],0)))</f>
        <v>L</v>
      </c>
      <c r="I212" s="52" t="str">
        <f>IF($C212="B",INDEX(Batters[[#All],[T]],MATCH(Table5[[#This Row],[PID]],Batters[[#All],[PID]],0)),INDEX(Table3[[#All],[T]],MATCH(Table5[[#This Row],[PID]],Table3[[#All],[PID]],0)))</f>
        <v>L</v>
      </c>
      <c r="J212" s="52" t="str">
        <f>IF($C212="B",INDEX(Batters[[#All],[WE]],MATCH(Table5[[#This Row],[PID]],Batters[[#All],[PID]],0)),INDEX(Table3[[#All],[WE]],MATCH(Table5[[#This Row],[PID]],Table3[[#All],[PID]],0)))</f>
        <v>High</v>
      </c>
      <c r="K212" s="52" t="str">
        <f>IF($C212="B",INDEX(Batters[[#All],[INT]],MATCH(Table5[[#This Row],[PID]],Batters[[#All],[PID]],0)),INDEX(Table3[[#All],[INT]],MATCH(Table5[[#This Row],[PID]],Table3[[#All],[PID]],0)))</f>
        <v>Normal</v>
      </c>
      <c r="L212" s="60">
        <f>IF($C212="B",INDEX(Batters[[#All],[CON P]],MATCH(Table5[[#This Row],[PID]],Batters[[#All],[PID]],0)),INDEX(Table3[[#All],[STU P]],MATCH(Table5[[#This Row],[PID]],Table3[[#All],[PID]],0)))</f>
        <v>4</v>
      </c>
      <c r="M212" s="56">
        <f>IF($C212="B",INDEX(Batters[[#All],[GAP P]],MATCH(Table5[[#This Row],[PID]],Batters[[#All],[PID]],0)),INDEX(Table3[[#All],[MOV P]],MATCH(Table5[[#This Row],[PID]],Table3[[#All],[PID]],0)))</f>
        <v>4</v>
      </c>
      <c r="N212" s="56">
        <f>IF($C212="B",INDEX(Batters[[#All],[POW P]],MATCH(Table5[[#This Row],[PID]],Batters[[#All],[PID]],0)),INDEX(Table3[[#All],[CON P]],MATCH(Table5[[#This Row],[PID]],Table3[[#All],[PID]],0)))</f>
        <v>3</v>
      </c>
      <c r="O212" s="56">
        <f>IF($C212="B",INDEX(Batters[[#All],[EYE P]],MATCH(Table5[[#This Row],[PID]],Batters[[#All],[PID]],0)),INDEX(Table3[[#All],[VELO]],MATCH(Table5[[#This Row],[PID]],Table3[[#All],[PID]],0)))</f>
        <v>6</v>
      </c>
      <c r="P212" s="56">
        <f>IF($C212="B",INDEX(Batters[[#All],[K P]],MATCH(Table5[[#This Row],[PID]],Batters[[#All],[PID]],0)),INDEX(Table3[[#All],[STM]],MATCH(Table5[[#This Row],[PID]],Table3[[#All],[PID]],0)))</f>
        <v>4</v>
      </c>
      <c r="Q212" s="61">
        <f>IF($C212="B",INDEX(Batters[[#All],[Tot]],MATCH(Table5[[#This Row],[PID]],Batters[[#All],[PID]],0)),INDEX(Table3[[#All],[Tot]],MATCH(Table5[[#This Row],[PID]],Table3[[#All],[PID]],0)))</f>
        <v>47.400786939492079</v>
      </c>
      <c r="R212" s="52">
        <f>IF($C212="B",INDEX(Batters[[#All],[zScore]],MATCH(Table5[[#This Row],[PID]],Batters[[#All],[PID]],0)),INDEX(Table3[[#All],[zScore]],MATCH(Table5[[#This Row],[PID]],Table3[[#All],[PID]],0)))</f>
        <v>0.61048189672483799</v>
      </c>
      <c r="S212" s="58" t="str">
        <f>IF($C212="B",INDEX(Batters[[#All],[DEM]],MATCH(Table5[[#This Row],[PID]],Batters[[#All],[PID]],0)),INDEX(Table3[[#All],[DEM]],MATCH(Table5[[#This Row],[PID]],Table3[[#All],[PID]],0)))</f>
        <v>$38k</v>
      </c>
      <c r="T212" s="62">
        <f>IF($C212="B",INDEX(Batters[[#All],[Rnk]],MATCH(Table5[[#This Row],[PID]],Batters[[#All],[PID]],0)),INDEX(Table3[[#All],[Rnk]],MATCH(Table5[[#This Row],[PID]],Table3[[#All],[PID]],0)))</f>
        <v>900</v>
      </c>
      <c r="U212" s="67">
        <f>IF($C212="B",VLOOKUP($A212,Bat!$A$4:$BA$1314,47,FALSE),VLOOKUP($A212,Pit!$A$4:$BF$1214,56,FALSE))</f>
        <v>122</v>
      </c>
      <c r="V212" s="50">
        <f>IF($C212="B",VLOOKUP($A212,Bat!$A$4:$BA$1314,48,FALSE),VLOOKUP($A212,Pit!$A$4:$BF$1214,57,FALSE))</f>
        <v>0</v>
      </c>
      <c r="W212" s="68">
        <f>IF(Table5[[#This Row],[posRnk]]=999,9999,Table5[[#This Row],[posRnk]]+Table5[[#This Row],[zRnk]]+IF($W$3&lt;&gt;Table5[[#This Row],[Type]],50,0))</f>
        <v>1152</v>
      </c>
      <c r="X212" s="51">
        <f>RANK(Table5[[#This Row],[zScore]],Table5[[#All],[zScore]])</f>
        <v>202</v>
      </c>
      <c r="Y212" s="50">
        <f>IFERROR(INDEX(DraftResults[[#All],[OVR]],MATCH(Table5[[#This Row],[PID]],DraftResults[[#All],[Player ID]],0)),"")</f>
        <v>427</v>
      </c>
      <c r="Z212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13</v>
      </c>
      <c r="AA212" s="50">
        <f>IFERROR(INDEX(DraftResults[[#All],[Pick in Round]],MATCH(Table5[[#This Row],[PID]],DraftResults[[#All],[Player ID]],0)),"")</f>
        <v>28</v>
      </c>
      <c r="AB212" s="50" t="str">
        <f>IFERROR(INDEX(DraftResults[[#All],[Team Name]],MATCH(Table5[[#This Row],[PID]],DraftResults[[#All],[Player ID]],0)),"")</f>
        <v>Amsterdam Lions</v>
      </c>
      <c r="AC212" s="50">
        <f>IF(Table5[[#This Row],[Ovr]]="","",IF(Table5[[#This Row],[cmbList]]="","",Table5[[#This Row],[cmbList]]-Table5[[#This Row],[Ovr]]))</f>
        <v>725</v>
      </c>
      <c r="AD212" s="54" t="str">
        <f>IF(ISERROR(VLOOKUP($AB212&amp;"-"&amp;$E212&amp;" "&amp;F212,Bonuses!$B$1:$G$1006,4,FALSE)),"",INT(VLOOKUP($AB212&amp;"-"&amp;$E212&amp;" "&amp;$F212,Bonuses!$B$1:$G$1006,4,FALSE)))</f>
        <v/>
      </c>
      <c r="AE212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13.28 (427) - 1B Young-tae Chong</v>
      </c>
    </row>
    <row r="213" spans="1:31" s="50" customFormat="1" x14ac:dyDescent="0.3">
      <c r="A213" s="67">
        <v>12974</v>
      </c>
      <c r="B213" s="68">
        <f>COUNTIF(Table5[PID],A213)</f>
        <v>1</v>
      </c>
      <c r="C213" s="68" t="str">
        <f>IF(COUNTIF(Table3[[#All],[PID]],A213)&gt;0,"P","B")</f>
        <v>B</v>
      </c>
      <c r="D213" s="59" t="str">
        <f>IF($C213="B",INDEX(Batters[[#All],[POS]],MATCH(Table5[[#This Row],[PID]],Batters[[#All],[PID]],0)),INDEX(Table3[[#All],[POS]],MATCH(Table5[[#This Row],[PID]],Table3[[#All],[PID]],0)))</f>
        <v>LF</v>
      </c>
      <c r="E213" s="52" t="str">
        <f>IF($C213="B",INDEX(Batters[[#All],[First]],MATCH(Table5[[#This Row],[PID]],Batters[[#All],[PID]],0)),INDEX(Table3[[#All],[First]],MATCH(Table5[[#This Row],[PID]],Table3[[#All],[PID]],0)))</f>
        <v>Roberto</v>
      </c>
      <c r="F213" s="55" t="str">
        <f>IF($C213="B",INDEX(Batters[[#All],[Last]],MATCH(A213,Batters[[#All],[PID]],0)),INDEX(Table3[[#All],[Last]],MATCH(A213,Table3[[#All],[PID]],0)))</f>
        <v>Yánez</v>
      </c>
      <c r="G213" s="56">
        <f>IF($C213="B",INDEX(Batters[[#All],[Age]],MATCH(Table5[[#This Row],[PID]],Batters[[#All],[PID]],0)),INDEX(Table3[[#All],[Age]],MATCH(Table5[[#This Row],[PID]],Table3[[#All],[PID]],0)))</f>
        <v>17</v>
      </c>
      <c r="H213" s="52" t="str">
        <f>IF($C213="B",INDEX(Batters[[#All],[B]],MATCH(Table5[[#This Row],[PID]],Batters[[#All],[PID]],0)),INDEX(Table3[[#All],[B]],MATCH(Table5[[#This Row],[PID]],Table3[[#All],[PID]],0)))</f>
        <v>L</v>
      </c>
      <c r="I213" s="52" t="str">
        <f>IF($C213="B",INDEX(Batters[[#All],[T]],MATCH(Table5[[#This Row],[PID]],Batters[[#All],[PID]],0)),INDEX(Table3[[#All],[T]],MATCH(Table5[[#This Row],[PID]],Table3[[#All],[PID]],0)))</f>
        <v>L</v>
      </c>
      <c r="J213" s="69" t="str">
        <f>IF($C213="B",INDEX(Batters[[#All],[WE]],MATCH(Table5[[#This Row],[PID]],Batters[[#All],[PID]],0)),INDEX(Table3[[#All],[WE]],MATCH(Table5[[#This Row],[PID]],Table3[[#All],[PID]],0)))</f>
        <v>Low</v>
      </c>
      <c r="K213" s="52" t="str">
        <f>IF($C213="B",INDEX(Batters[[#All],[INT]],MATCH(Table5[[#This Row],[PID]],Batters[[#All],[PID]],0)),INDEX(Table3[[#All],[INT]],MATCH(Table5[[#This Row],[PID]],Table3[[#All],[PID]],0)))</f>
        <v>Low</v>
      </c>
      <c r="L213" s="60">
        <f>IF($C213="B",INDEX(Batters[[#All],[CON P]],MATCH(Table5[[#This Row],[PID]],Batters[[#All],[PID]],0)),INDEX(Table3[[#All],[STU P]],MATCH(Table5[[#This Row],[PID]],Table3[[#All],[PID]],0)))</f>
        <v>4</v>
      </c>
      <c r="M213" s="70">
        <f>IF($C213="B",INDEX(Batters[[#All],[GAP P]],MATCH(Table5[[#This Row],[PID]],Batters[[#All],[PID]],0)),INDEX(Table3[[#All],[MOV P]],MATCH(Table5[[#This Row],[PID]],Table3[[#All],[PID]],0)))</f>
        <v>7</v>
      </c>
      <c r="N213" s="70">
        <f>IF($C213="B",INDEX(Batters[[#All],[POW P]],MATCH(Table5[[#This Row],[PID]],Batters[[#All],[PID]],0)),INDEX(Table3[[#All],[CON P]],MATCH(Table5[[#This Row],[PID]],Table3[[#All],[PID]],0)))</f>
        <v>5</v>
      </c>
      <c r="O213" s="70">
        <f>IF($C213="B",INDEX(Batters[[#All],[EYE P]],MATCH(Table5[[#This Row],[PID]],Batters[[#All],[PID]],0)),INDEX(Table3[[#All],[VELO]],MATCH(Table5[[#This Row],[PID]],Table3[[#All],[PID]],0)))</f>
        <v>5</v>
      </c>
      <c r="P213" s="56">
        <f>IF($C213="B",INDEX(Batters[[#All],[K P]],MATCH(Table5[[#This Row],[PID]],Batters[[#All],[PID]],0)),INDEX(Table3[[#All],[STM]],MATCH(Table5[[#This Row],[PID]],Table3[[#All],[PID]],0)))</f>
        <v>4</v>
      </c>
      <c r="Q213" s="61">
        <f>IF($C213="B",INDEX(Batters[[#All],[Tot]],MATCH(Table5[[#This Row],[PID]],Batters[[#All],[PID]],0)),INDEX(Table3[[#All],[Tot]],MATCH(Table5[[#This Row],[PID]],Table3[[#All],[PID]],0)))</f>
        <v>49.252478443566574</v>
      </c>
      <c r="R213" s="52">
        <f>IF($C213="B",INDEX(Batters[[#All],[zScore]],MATCH(Table5[[#This Row],[PID]],Batters[[#All],[PID]],0)),INDEX(Table3[[#All],[zScore]],MATCH(Table5[[#This Row],[PID]],Table3[[#All],[PID]],0)))</f>
        <v>0.88076980522428361</v>
      </c>
      <c r="S213" s="75" t="str">
        <f>IF($C213="B",INDEX(Batters[[#All],[DEM]],MATCH(Table5[[#This Row],[PID]],Batters[[#All],[PID]],0)),INDEX(Table3[[#All],[DEM]],MATCH(Table5[[#This Row],[PID]],Table3[[#All],[PID]],0)))</f>
        <v>$200k</v>
      </c>
      <c r="T213" s="72">
        <f>IF($C213="B",INDEX(Batters[[#All],[Rnk]],MATCH(Table5[[#This Row],[PID]],Batters[[#All],[PID]],0)),INDEX(Table3[[#All],[Rnk]],MATCH(Table5[[#This Row],[PID]],Table3[[#All],[PID]],0)))</f>
        <v>950</v>
      </c>
      <c r="U213" s="67">
        <f>IF($C213="B",VLOOKUP($A213,Bat!$A$4:$BA$1314,47,FALSE),VLOOKUP($A213,Pit!$A$4:$BF$1214,56,FALSE))</f>
        <v>424</v>
      </c>
      <c r="V213" s="50">
        <f>IF($C213="B",VLOOKUP($A213,Bat!$A$4:$BA$1314,48,FALSE),VLOOKUP($A213,Pit!$A$4:$BF$1214,57,FALSE))</f>
        <v>0</v>
      </c>
      <c r="W213" s="68">
        <f>IF(Table5[[#This Row],[posRnk]]=999,9999,Table5[[#This Row],[posRnk]]+Table5[[#This Row],[zRnk]]+IF($W$3&lt;&gt;Table5[[#This Row],[Type]],50,0))</f>
        <v>1159</v>
      </c>
      <c r="X213" s="71">
        <f>RANK(Table5[[#This Row],[zScore]],Table5[[#All],[zScore]])</f>
        <v>159</v>
      </c>
      <c r="Y213" s="68">
        <f>IFERROR(INDEX(DraftResults[[#All],[OVR]],MATCH(Table5[[#This Row],[PID]],DraftResults[[#All],[Player ID]],0)),"")</f>
        <v>324</v>
      </c>
      <c r="Z213" s="7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10</v>
      </c>
      <c r="AA213" s="68">
        <f>IFERROR(INDEX(DraftResults[[#All],[Pick in Round]],MATCH(Table5[[#This Row],[PID]],DraftResults[[#All],[Player ID]],0)),"")</f>
        <v>27</v>
      </c>
      <c r="AB213" s="68" t="str">
        <f>IFERROR(INDEX(DraftResults[[#All],[Team Name]],MATCH(Table5[[#This Row],[PID]],DraftResults[[#All],[Player ID]],0)),"")</f>
        <v>Havana Leones</v>
      </c>
      <c r="AC213" s="68">
        <f>IF(Table5[[#This Row],[Ovr]]="","",IF(Table5[[#This Row],[cmbList]]="","",Table5[[#This Row],[cmbList]]-Table5[[#This Row],[Ovr]]))</f>
        <v>835</v>
      </c>
      <c r="AD213" s="74" t="str">
        <f>IF(ISERROR(VLOOKUP($AB213&amp;"-"&amp;$E213&amp;" "&amp;F213,Bonuses!$B$1:$G$1006,4,FALSE)),"",INT(VLOOKUP($AB213&amp;"-"&amp;$E213&amp;" "&amp;$F213,Bonuses!$B$1:$G$1006,4,FALSE)))</f>
        <v/>
      </c>
      <c r="AE213" s="68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10.27 (324) - LF Roberto Yánez</v>
      </c>
    </row>
    <row r="214" spans="1:31" s="50" customFormat="1" x14ac:dyDescent="0.3">
      <c r="A214" s="50">
        <v>13223</v>
      </c>
      <c r="B214" s="50">
        <f>COUNTIF(Table5[PID],A214)</f>
        <v>1</v>
      </c>
      <c r="C214" s="50" t="str">
        <f>IF(COUNTIF(Table3[[#All],[PID]],A214)&gt;0,"P","B")</f>
        <v>B</v>
      </c>
      <c r="D214" s="59" t="str">
        <f>IF($C214="B",INDEX(Batters[[#All],[POS]],MATCH(Table5[[#This Row],[PID]],Batters[[#All],[PID]],0)),INDEX(Table3[[#All],[POS]],MATCH(Table5[[#This Row],[PID]],Table3[[#All],[PID]],0)))</f>
        <v>LF</v>
      </c>
      <c r="E214" s="52" t="str">
        <f>IF($C214="B",INDEX(Batters[[#All],[First]],MATCH(Table5[[#This Row],[PID]],Batters[[#All],[PID]],0)),INDEX(Table3[[#All],[First]],MATCH(Table5[[#This Row],[PID]],Table3[[#All],[PID]],0)))</f>
        <v>Kenji</v>
      </c>
      <c r="F214" s="50" t="str">
        <f>IF($C214="B",INDEX(Batters[[#All],[Last]],MATCH(A214,Batters[[#All],[PID]],0)),INDEX(Table3[[#All],[Last]],MATCH(A214,Table3[[#All],[PID]],0)))</f>
        <v>Kato</v>
      </c>
      <c r="G214" s="56">
        <f>IF($C214="B",INDEX(Batters[[#All],[Age]],MATCH(Table5[[#This Row],[PID]],Batters[[#All],[PID]],0)),INDEX(Table3[[#All],[Age]],MATCH(Table5[[#This Row],[PID]],Table3[[#All],[PID]],0)))</f>
        <v>17</v>
      </c>
      <c r="H214" s="52" t="str">
        <f>IF($C214="B",INDEX(Batters[[#All],[B]],MATCH(Table5[[#This Row],[PID]],Batters[[#All],[PID]],0)),INDEX(Table3[[#All],[B]],MATCH(Table5[[#This Row],[PID]],Table3[[#All],[PID]],0)))</f>
        <v>R</v>
      </c>
      <c r="I214" s="52" t="str">
        <f>IF($C214="B",INDEX(Batters[[#All],[T]],MATCH(Table5[[#This Row],[PID]],Batters[[#All],[PID]],0)),INDEX(Table3[[#All],[T]],MATCH(Table5[[#This Row],[PID]],Table3[[#All],[PID]],0)))</f>
        <v>L</v>
      </c>
      <c r="J214" s="52" t="str">
        <f>IF($C214="B",INDEX(Batters[[#All],[WE]],MATCH(Table5[[#This Row],[PID]],Batters[[#All],[PID]],0)),INDEX(Table3[[#All],[WE]],MATCH(Table5[[#This Row],[PID]],Table3[[#All],[PID]],0)))</f>
        <v>High</v>
      </c>
      <c r="K214" s="52" t="str">
        <f>IF($C214="B",INDEX(Batters[[#All],[INT]],MATCH(Table5[[#This Row],[PID]],Batters[[#All],[PID]],0)),INDEX(Table3[[#All],[INT]],MATCH(Table5[[#This Row],[PID]],Table3[[#All],[PID]],0)))</f>
        <v>Normal</v>
      </c>
      <c r="L214" s="60">
        <f>IF($C214="B",INDEX(Batters[[#All],[CON P]],MATCH(Table5[[#This Row],[PID]],Batters[[#All],[PID]],0)),INDEX(Table3[[#All],[STU P]],MATCH(Table5[[#This Row],[PID]],Table3[[#All],[PID]],0)))</f>
        <v>4</v>
      </c>
      <c r="M214" s="56">
        <f>IF($C214="B",INDEX(Batters[[#All],[GAP P]],MATCH(Table5[[#This Row],[PID]],Batters[[#All],[PID]],0)),INDEX(Table3[[#All],[MOV P]],MATCH(Table5[[#This Row],[PID]],Table3[[#All],[PID]],0)))</f>
        <v>4</v>
      </c>
      <c r="N214" s="56">
        <f>IF($C214="B",INDEX(Batters[[#All],[POW P]],MATCH(Table5[[#This Row],[PID]],Batters[[#All],[PID]],0)),INDEX(Table3[[#All],[CON P]],MATCH(Table5[[#This Row],[PID]],Table3[[#All],[PID]],0)))</f>
        <v>2</v>
      </c>
      <c r="O214" s="56">
        <f>IF($C214="B",INDEX(Batters[[#All],[EYE P]],MATCH(Table5[[#This Row],[PID]],Batters[[#All],[PID]],0)),INDEX(Table3[[#All],[VELO]],MATCH(Table5[[#This Row],[PID]],Table3[[#All],[PID]],0)))</f>
        <v>6</v>
      </c>
      <c r="P214" s="56">
        <f>IF($C214="B",INDEX(Batters[[#All],[K P]],MATCH(Table5[[#This Row],[PID]],Batters[[#All],[PID]],0)),INDEX(Table3[[#All],[STM]],MATCH(Table5[[#This Row],[PID]],Table3[[#All],[PID]],0)))</f>
        <v>5</v>
      </c>
      <c r="Q214" s="61">
        <f>IF($C214="B",INDEX(Batters[[#All],[Tot]],MATCH(Table5[[#This Row],[PID]],Batters[[#All],[PID]],0)),INDEX(Table3[[#All],[Tot]],MATCH(Table5[[#This Row],[PID]],Table3[[#All],[PID]],0)))</f>
        <v>47.040836446695813</v>
      </c>
      <c r="R214" s="52">
        <f>IF($C214="B",INDEX(Batters[[#All],[zScore]],MATCH(Table5[[#This Row],[PID]],Batters[[#All],[PID]],0)),INDEX(Table3[[#All],[zScore]],MATCH(Table5[[#This Row],[PID]],Table3[[#All],[PID]],0)))</f>
        <v>0.55794060372480636</v>
      </c>
      <c r="S214" s="58" t="str">
        <f>IF($C214="B",INDEX(Batters[[#All],[DEM]],MATCH(Table5[[#This Row],[PID]],Batters[[#All],[PID]],0)),INDEX(Table3[[#All],[DEM]],MATCH(Table5[[#This Row],[PID]],Table3[[#All],[PID]],0)))</f>
        <v>$65k</v>
      </c>
      <c r="T214" s="62">
        <f>IF($C214="B",INDEX(Batters[[#All],[Rnk]],MATCH(Table5[[#This Row],[PID]],Batters[[#All],[PID]],0)),INDEX(Table3[[#All],[Rnk]],MATCH(Table5[[#This Row],[PID]],Table3[[#All],[PID]],0)))</f>
        <v>900</v>
      </c>
      <c r="U214" s="67">
        <f>IF($C214="B",VLOOKUP($A214,Bat!$A$4:$BA$1314,47,FALSE),VLOOKUP($A214,Pit!$A$4:$BF$1214,56,FALSE))</f>
        <v>124</v>
      </c>
      <c r="V214" s="50">
        <f>IF($C214="B",VLOOKUP($A214,Bat!$A$4:$BA$1314,48,FALSE),VLOOKUP($A214,Pit!$A$4:$BF$1214,57,FALSE))</f>
        <v>0</v>
      </c>
      <c r="W214" s="68">
        <f>IF(Table5[[#This Row],[posRnk]]=999,9999,Table5[[#This Row],[posRnk]]+Table5[[#This Row],[zRnk]]+IF($W$3&lt;&gt;Table5[[#This Row],[Type]],50,0))</f>
        <v>1162</v>
      </c>
      <c r="X214" s="51">
        <f>RANK(Table5[[#This Row],[zScore]],Table5[[#All],[zScore]])</f>
        <v>212</v>
      </c>
      <c r="Y214" s="50">
        <f>IFERROR(INDEX(DraftResults[[#All],[OVR]],MATCH(Table5[[#This Row],[PID]],DraftResults[[#All],[Player ID]],0)),"")</f>
        <v>454</v>
      </c>
      <c r="Z214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14</v>
      </c>
      <c r="AA214" s="50">
        <f>IFERROR(INDEX(DraftResults[[#All],[Pick in Round]],MATCH(Table5[[#This Row],[PID]],DraftResults[[#All],[Player ID]],0)),"")</f>
        <v>21</v>
      </c>
      <c r="AB214" s="50" t="str">
        <f>IFERROR(INDEX(DraftResults[[#All],[Team Name]],MATCH(Table5[[#This Row],[PID]],DraftResults[[#All],[Player ID]],0)),"")</f>
        <v>Neo-Tokyo Akira</v>
      </c>
      <c r="AC214" s="50">
        <f>IF(Table5[[#This Row],[Ovr]]="","",IF(Table5[[#This Row],[cmbList]]="","",Table5[[#This Row],[cmbList]]-Table5[[#This Row],[Ovr]]))</f>
        <v>708</v>
      </c>
      <c r="AD214" s="54" t="str">
        <f>IF(ISERROR(VLOOKUP($AB214&amp;"-"&amp;$E214&amp;" "&amp;F214,Bonuses!$B$1:$G$1006,4,FALSE)),"",INT(VLOOKUP($AB214&amp;"-"&amp;$E214&amp;" "&amp;$F214,Bonuses!$B$1:$G$1006,4,FALSE)))</f>
        <v/>
      </c>
      <c r="AE214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14.21 (454) - LF Kenji Kato</v>
      </c>
    </row>
    <row r="215" spans="1:31" s="50" customFormat="1" x14ac:dyDescent="0.3">
      <c r="A215" s="67">
        <v>20615</v>
      </c>
      <c r="B215" s="68">
        <f>COUNTIF(Table5[PID],A215)</f>
        <v>1</v>
      </c>
      <c r="C215" s="68" t="str">
        <f>IF(COUNTIF(Table3[[#All],[PID]],A215)&gt;0,"P","B")</f>
        <v>B</v>
      </c>
      <c r="D215" s="59" t="str">
        <f>IF($C215="B",INDEX(Batters[[#All],[POS]],MATCH(Table5[[#This Row],[PID]],Batters[[#All],[PID]],0)),INDEX(Table3[[#All],[POS]],MATCH(Table5[[#This Row],[PID]],Table3[[#All],[PID]],0)))</f>
        <v>1B</v>
      </c>
      <c r="E215" s="52" t="str">
        <f>IF($C215="B",INDEX(Batters[[#All],[First]],MATCH(Table5[[#This Row],[PID]],Batters[[#All],[PID]],0)),INDEX(Table3[[#All],[First]],MATCH(Table5[[#This Row],[PID]],Table3[[#All],[PID]],0)))</f>
        <v>Hogai</v>
      </c>
      <c r="F215" s="55" t="str">
        <f>IF($C215="B",INDEX(Batters[[#All],[Last]],MATCH(A215,Batters[[#All],[PID]],0)),INDEX(Table3[[#All],[Last]],MATCH(A215,Table3[[#All],[PID]],0)))</f>
        <v>Fukui</v>
      </c>
      <c r="G215" s="56">
        <f>IF($C215="B",INDEX(Batters[[#All],[Age]],MATCH(Table5[[#This Row],[PID]],Batters[[#All],[PID]],0)),INDEX(Table3[[#All],[Age]],MATCH(Table5[[#This Row],[PID]],Table3[[#All],[PID]],0)))</f>
        <v>17</v>
      </c>
      <c r="H215" s="52" t="str">
        <f>IF($C215="B",INDEX(Batters[[#All],[B]],MATCH(Table5[[#This Row],[PID]],Batters[[#All],[PID]],0)),INDEX(Table3[[#All],[B]],MATCH(Table5[[#This Row],[PID]],Table3[[#All],[PID]],0)))</f>
        <v>L</v>
      </c>
      <c r="I215" s="52" t="str">
        <f>IF($C215="B",INDEX(Batters[[#All],[T]],MATCH(Table5[[#This Row],[PID]],Batters[[#All],[PID]],0)),INDEX(Table3[[#All],[T]],MATCH(Table5[[#This Row],[PID]],Table3[[#All],[PID]],0)))</f>
        <v>L</v>
      </c>
      <c r="J215" s="69" t="str">
        <f>IF($C215="B",INDEX(Batters[[#All],[WE]],MATCH(Table5[[#This Row],[PID]],Batters[[#All],[PID]],0)),INDEX(Table3[[#All],[WE]],MATCH(Table5[[#This Row],[PID]],Table3[[#All],[PID]],0)))</f>
        <v>Low</v>
      </c>
      <c r="K215" s="52" t="str">
        <f>IF($C215="B",INDEX(Batters[[#All],[INT]],MATCH(Table5[[#This Row],[PID]],Batters[[#All],[PID]],0)),INDEX(Table3[[#All],[INT]],MATCH(Table5[[#This Row],[PID]],Table3[[#All],[PID]],0)))</f>
        <v>High</v>
      </c>
      <c r="L215" s="60">
        <f>IF($C215="B",INDEX(Batters[[#All],[CON P]],MATCH(Table5[[#This Row],[PID]],Batters[[#All],[PID]],0)),INDEX(Table3[[#All],[STU P]],MATCH(Table5[[#This Row],[PID]],Table3[[#All],[PID]],0)))</f>
        <v>4</v>
      </c>
      <c r="M215" s="70">
        <f>IF($C215="B",INDEX(Batters[[#All],[GAP P]],MATCH(Table5[[#This Row],[PID]],Batters[[#All],[PID]],0)),INDEX(Table3[[#All],[MOV P]],MATCH(Table5[[#This Row],[PID]],Table3[[#All],[PID]],0)))</f>
        <v>5</v>
      </c>
      <c r="N215" s="70">
        <f>IF($C215="B",INDEX(Batters[[#All],[POW P]],MATCH(Table5[[#This Row],[PID]],Batters[[#All],[PID]],0)),INDEX(Table3[[#All],[CON P]],MATCH(Table5[[#This Row],[PID]],Table3[[#All],[PID]],0)))</f>
        <v>4</v>
      </c>
      <c r="O215" s="70">
        <f>IF($C215="B",INDEX(Batters[[#All],[EYE P]],MATCH(Table5[[#This Row],[PID]],Batters[[#All],[PID]],0)),INDEX(Table3[[#All],[VELO]],MATCH(Table5[[#This Row],[PID]],Table3[[#All],[PID]],0)))</f>
        <v>5</v>
      </c>
      <c r="P215" s="56">
        <f>IF($C215="B",INDEX(Batters[[#All],[K P]],MATCH(Table5[[#This Row],[PID]],Batters[[#All],[PID]],0)),INDEX(Table3[[#All],[STM]],MATCH(Table5[[#This Row],[PID]],Table3[[#All],[PID]],0)))</f>
        <v>5</v>
      </c>
      <c r="Q215" s="61">
        <f>IF($C215="B",INDEX(Batters[[#All],[Tot]],MATCH(Table5[[#This Row],[PID]],Batters[[#All],[PID]],0)),INDEX(Table3[[#All],[Tot]],MATCH(Table5[[#This Row],[PID]],Table3[[#All],[PID]],0)))</f>
        <v>48.095846323948834</v>
      </c>
      <c r="R215" s="52">
        <f>IF($C215="B",INDEX(Batters[[#All],[zScore]],MATCH(Table5[[#This Row],[PID]],Batters[[#All],[PID]],0)),INDEX(Table3[[#All],[zScore]],MATCH(Table5[[#This Row],[PID]],Table3[[#All],[PID]],0)))</f>
        <v>0.71193840116650353</v>
      </c>
      <c r="S215" s="75" t="str">
        <f>IF($C215="B",INDEX(Batters[[#All],[DEM]],MATCH(Table5[[#This Row],[PID]],Batters[[#All],[PID]],0)),INDEX(Table3[[#All],[DEM]],MATCH(Table5[[#This Row],[PID]],Table3[[#All],[PID]],0)))</f>
        <v>$200k</v>
      </c>
      <c r="T215" s="72">
        <f>IF($C215="B",INDEX(Batters[[#All],[Rnk]],MATCH(Table5[[#This Row],[PID]],Batters[[#All],[PID]],0)),INDEX(Table3[[#All],[Rnk]],MATCH(Table5[[#This Row],[PID]],Table3[[#All],[PID]],0)))</f>
        <v>930</v>
      </c>
      <c r="U215" s="67">
        <f>IF($C215="B",VLOOKUP($A215,Bat!$A$4:$BA$1314,47,FALSE),VLOOKUP($A215,Pit!$A$4:$BF$1214,56,FALSE))</f>
        <v>301</v>
      </c>
      <c r="V215" s="50">
        <f>IF($C215="B",VLOOKUP($A215,Bat!$A$4:$BA$1314,48,FALSE),VLOOKUP($A215,Pit!$A$4:$BF$1214,57,FALSE))</f>
        <v>0</v>
      </c>
      <c r="W215" s="68">
        <f>IF(Table5[[#This Row],[posRnk]]=999,9999,Table5[[#This Row],[posRnk]]+Table5[[#This Row],[zRnk]]+IF($W$3&lt;&gt;Table5[[#This Row],[Type]],50,0))</f>
        <v>1162</v>
      </c>
      <c r="X215" s="71">
        <f>RANK(Table5[[#This Row],[zScore]],Table5[[#All],[zScore]])</f>
        <v>182</v>
      </c>
      <c r="Y215" s="68">
        <f>IFERROR(INDEX(DraftResults[[#All],[OVR]],MATCH(Table5[[#This Row],[PID]],DraftResults[[#All],[Player ID]],0)),"")</f>
        <v>308</v>
      </c>
      <c r="Z215" s="7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10</v>
      </c>
      <c r="AA215" s="68">
        <f>IFERROR(INDEX(DraftResults[[#All],[Pick in Round]],MATCH(Table5[[#This Row],[PID]],DraftResults[[#All],[Player ID]],0)),"")</f>
        <v>11</v>
      </c>
      <c r="AB215" s="68" t="str">
        <f>IFERROR(INDEX(DraftResults[[#All],[Team Name]],MATCH(Table5[[#This Row],[PID]],DraftResults[[#All],[Player ID]],0)),"")</f>
        <v>Arlington Bureaucrats</v>
      </c>
      <c r="AC215" s="68">
        <f>IF(Table5[[#This Row],[Ovr]]="","",IF(Table5[[#This Row],[cmbList]]="","",Table5[[#This Row],[cmbList]]-Table5[[#This Row],[Ovr]]))</f>
        <v>854</v>
      </c>
      <c r="AD215" s="74" t="str">
        <f>IF(ISERROR(VLOOKUP($AB215&amp;"-"&amp;$E215&amp;" "&amp;F215,Bonuses!$B$1:$G$1006,4,FALSE)),"",INT(VLOOKUP($AB215&amp;"-"&amp;$E215&amp;" "&amp;$F215,Bonuses!$B$1:$G$1006,4,FALSE)))</f>
        <v/>
      </c>
      <c r="AE215" s="68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10.11 (308) - 1B Hogai Fukui</v>
      </c>
    </row>
    <row r="216" spans="1:31" s="50" customFormat="1" x14ac:dyDescent="0.3">
      <c r="A216" s="50">
        <v>12736</v>
      </c>
      <c r="B216" s="50">
        <f>COUNTIF(Table5[PID],A216)</f>
        <v>1</v>
      </c>
      <c r="C216" s="50" t="str">
        <f>IF(COUNTIF(Table3[[#All],[PID]],A216)&gt;0,"P","B")</f>
        <v>B</v>
      </c>
      <c r="D216" s="59" t="str">
        <f>IF($C216="B",INDEX(Batters[[#All],[POS]],MATCH(Table5[[#This Row],[PID]],Batters[[#All],[PID]],0)),INDEX(Table3[[#All],[POS]],MATCH(Table5[[#This Row],[PID]],Table3[[#All],[PID]],0)))</f>
        <v>1B</v>
      </c>
      <c r="E216" s="52" t="str">
        <f>IF($C216="B",INDEX(Batters[[#All],[First]],MATCH(Table5[[#This Row],[PID]],Batters[[#All],[PID]],0)),INDEX(Table3[[#All],[First]],MATCH(Table5[[#This Row],[PID]],Table3[[#All],[PID]],0)))</f>
        <v>Gary</v>
      </c>
      <c r="F216" s="50" t="str">
        <f>IF($C216="B",INDEX(Batters[[#All],[Last]],MATCH(A216,Batters[[#All],[PID]],0)),INDEX(Table3[[#All],[Last]],MATCH(A216,Table3[[#All],[PID]],0)))</f>
        <v>Hinton</v>
      </c>
      <c r="G216" s="56">
        <f>IF($C216="B",INDEX(Batters[[#All],[Age]],MATCH(Table5[[#This Row],[PID]],Batters[[#All],[PID]],0)),INDEX(Table3[[#All],[Age]],MATCH(Table5[[#This Row],[PID]],Table3[[#All],[PID]],0)))</f>
        <v>17</v>
      </c>
      <c r="H216" s="52" t="str">
        <f>IF($C216="B",INDEX(Batters[[#All],[B]],MATCH(Table5[[#This Row],[PID]],Batters[[#All],[PID]],0)),INDEX(Table3[[#All],[B]],MATCH(Table5[[#This Row],[PID]],Table3[[#All],[PID]],0)))</f>
        <v>R</v>
      </c>
      <c r="I216" s="52" t="str">
        <f>IF($C216="B",INDEX(Batters[[#All],[T]],MATCH(Table5[[#This Row],[PID]],Batters[[#All],[PID]],0)),INDEX(Table3[[#All],[T]],MATCH(Table5[[#This Row],[PID]],Table3[[#All],[PID]],0)))</f>
        <v>R</v>
      </c>
      <c r="J216" s="52" t="str">
        <f>IF($C216="B",INDEX(Batters[[#All],[WE]],MATCH(Table5[[#This Row],[PID]],Batters[[#All],[PID]],0)),INDEX(Table3[[#All],[WE]],MATCH(Table5[[#This Row],[PID]],Table3[[#All],[PID]],0)))</f>
        <v>Normal</v>
      </c>
      <c r="K216" s="52" t="str">
        <f>IF($C216="B",INDEX(Batters[[#All],[INT]],MATCH(Table5[[#This Row],[PID]],Batters[[#All],[PID]],0)),INDEX(Table3[[#All],[INT]],MATCH(Table5[[#This Row],[PID]],Table3[[#All],[PID]],0)))</f>
        <v>Normal</v>
      </c>
      <c r="L216" s="60">
        <f>IF($C216="B",INDEX(Batters[[#All],[CON P]],MATCH(Table5[[#This Row],[PID]],Batters[[#All],[PID]],0)),INDEX(Table3[[#All],[STU P]],MATCH(Table5[[#This Row],[PID]],Table3[[#All],[PID]],0)))</f>
        <v>4</v>
      </c>
      <c r="M216" s="56">
        <f>IF($C216="B",INDEX(Batters[[#All],[GAP P]],MATCH(Table5[[#This Row],[PID]],Batters[[#All],[PID]],0)),INDEX(Table3[[#All],[MOV P]],MATCH(Table5[[#This Row],[PID]],Table3[[#All],[PID]],0)))</f>
        <v>5</v>
      </c>
      <c r="N216" s="56">
        <f>IF($C216="B",INDEX(Batters[[#All],[POW P]],MATCH(Table5[[#This Row],[PID]],Batters[[#All],[PID]],0)),INDEX(Table3[[#All],[CON P]],MATCH(Table5[[#This Row],[PID]],Table3[[#All],[PID]],0)))</f>
        <v>4</v>
      </c>
      <c r="O216" s="56">
        <f>IF($C216="B",INDEX(Batters[[#All],[EYE P]],MATCH(Table5[[#This Row],[PID]],Batters[[#All],[PID]],0)),INDEX(Table3[[#All],[VELO]],MATCH(Table5[[#This Row],[PID]],Table3[[#All],[PID]],0)))</f>
        <v>3</v>
      </c>
      <c r="P216" s="56">
        <f>IF($C216="B",INDEX(Batters[[#All],[K P]],MATCH(Table5[[#This Row],[PID]],Batters[[#All],[PID]],0)),INDEX(Table3[[#All],[STM]],MATCH(Table5[[#This Row],[PID]],Table3[[#All],[PID]],0)))</f>
        <v>7</v>
      </c>
      <c r="Q216" s="61">
        <f>IF($C216="B",INDEX(Batters[[#All],[Tot]],MATCH(Table5[[#This Row],[PID]],Batters[[#All],[PID]],0)),INDEX(Table3[[#All],[Tot]],MATCH(Table5[[#This Row],[PID]],Table3[[#All],[PID]],0)))</f>
        <v>46.955912581239296</v>
      </c>
      <c r="R216" s="52">
        <f>IF($C216="B",INDEX(Batters[[#All],[zScore]],MATCH(Table5[[#This Row],[PID]],Batters[[#All],[PID]],0)),INDEX(Table3[[#All],[zScore]],MATCH(Table5[[#This Row],[PID]],Table3[[#All],[PID]],0)))</f>
        <v>0.54554442762018951</v>
      </c>
      <c r="S216" s="58" t="str">
        <f>IF($C216="B",INDEX(Batters[[#All],[DEM]],MATCH(Table5[[#This Row],[PID]],Batters[[#All],[PID]],0)),INDEX(Table3[[#All],[DEM]],MATCH(Table5[[#This Row],[PID]],Table3[[#All],[PID]],0)))</f>
        <v>$200k</v>
      </c>
      <c r="T216" s="62">
        <f>IF($C216="B",INDEX(Batters[[#All],[Rnk]],MATCH(Table5[[#This Row],[PID]],Batters[[#All],[PID]],0)),INDEX(Table3[[#All],[Rnk]],MATCH(Table5[[#This Row],[PID]],Table3[[#All],[PID]],0)))</f>
        <v>900</v>
      </c>
      <c r="U216" s="67">
        <f>IF($C216="B",VLOOKUP($A216,Bat!$A$4:$BA$1314,47,FALSE),VLOOKUP($A216,Pit!$A$4:$BF$1214,56,FALSE))</f>
        <v>130</v>
      </c>
      <c r="V216" s="50">
        <f>IF($C216="B",VLOOKUP($A216,Bat!$A$4:$BA$1314,48,FALSE),VLOOKUP($A216,Pit!$A$4:$BF$1214,57,FALSE))</f>
        <v>0</v>
      </c>
      <c r="W216" s="68">
        <f>IF(Table5[[#This Row],[posRnk]]=999,9999,Table5[[#This Row],[posRnk]]+Table5[[#This Row],[zRnk]]+IF($W$3&lt;&gt;Table5[[#This Row],[Type]],50,0))</f>
        <v>1165</v>
      </c>
      <c r="X216" s="51">
        <f>RANK(Table5[[#This Row],[zScore]],Table5[[#All],[zScore]])</f>
        <v>215</v>
      </c>
      <c r="Y216" s="50">
        <f>IFERROR(INDEX(DraftResults[[#All],[OVR]],MATCH(Table5[[#This Row],[PID]],DraftResults[[#All],[Player ID]],0)),"")</f>
        <v>461</v>
      </c>
      <c r="Z216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14</v>
      </c>
      <c r="AA216" s="50">
        <f>IFERROR(INDEX(DraftResults[[#All],[Pick in Round]],MATCH(Table5[[#This Row],[PID]],DraftResults[[#All],[Player ID]],0)),"")</f>
        <v>28</v>
      </c>
      <c r="AB216" s="50" t="str">
        <f>IFERROR(INDEX(DraftResults[[#All],[Team Name]],MATCH(Table5[[#This Row],[PID]],DraftResults[[#All],[Player ID]],0)),"")</f>
        <v>Amsterdam Lions</v>
      </c>
      <c r="AC216" s="50">
        <f>IF(Table5[[#This Row],[Ovr]]="","",IF(Table5[[#This Row],[cmbList]]="","",Table5[[#This Row],[cmbList]]-Table5[[#This Row],[Ovr]]))</f>
        <v>704</v>
      </c>
      <c r="AD216" s="54" t="str">
        <f>IF(ISERROR(VLOOKUP($AB216&amp;"-"&amp;$E216&amp;" "&amp;F216,Bonuses!$B$1:$G$1006,4,FALSE)),"",INT(VLOOKUP($AB216&amp;"-"&amp;$E216&amp;" "&amp;$F216,Bonuses!$B$1:$G$1006,4,FALSE)))</f>
        <v/>
      </c>
      <c r="AE216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14.28 (461) - 1B Gary Hinton</v>
      </c>
    </row>
    <row r="217" spans="1:31" s="50" customFormat="1" x14ac:dyDescent="0.3">
      <c r="A217" s="67">
        <v>10973</v>
      </c>
      <c r="B217" s="68">
        <f>COUNTIF(Table5[PID],A217)</f>
        <v>1</v>
      </c>
      <c r="C217" s="68" t="str">
        <f>IF(COUNTIF(Table3[[#All],[PID]],A217)&gt;0,"P","B")</f>
        <v>P</v>
      </c>
      <c r="D217" s="59" t="str">
        <f>IF($C217="B",INDEX(Batters[[#All],[POS]],MATCH(Table5[[#This Row],[PID]],Batters[[#All],[PID]],0)),INDEX(Table3[[#All],[POS]],MATCH(Table5[[#This Row],[PID]],Table3[[#All],[PID]],0)))</f>
        <v>SP</v>
      </c>
      <c r="E217" s="52" t="str">
        <f>IF($C217="B",INDEX(Batters[[#All],[First]],MATCH(Table5[[#This Row],[PID]],Batters[[#All],[PID]],0)),INDEX(Table3[[#All],[First]],MATCH(Table5[[#This Row],[PID]],Table3[[#All],[PID]],0)))</f>
        <v>Ron</v>
      </c>
      <c r="F217" s="55" t="str">
        <f>IF($C217="B",INDEX(Batters[[#All],[Last]],MATCH(A217,Batters[[#All],[PID]],0)),INDEX(Table3[[#All],[Last]],MATCH(A217,Table3[[#All],[PID]],0)))</f>
        <v>Young</v>
      </c>
      <c r="G217" s="56">
        <f>IF($C217="B",INDEX(Batters[[#All],[Age]],MATCH(Table5[[#This Row],[PID]],Batters[[#All],[PID]],0)),INDEX(Table3[[#All],[Age]],MATCH(Table5[[#This Row],[PID]],Table3[[#All],[PID]],0)))</f>
        <v>17</v>
      </c>
      <c r="H217" s="52" t="str">
        <f>IF($C217="B",INDEX(Batters[[#All],[B]],MATCH(Table5[[#This Row],[PID]],Batters[[#All],[PID]],0)),INDEX(Table3[[#All],[B]],MATCH(Table5[[#This Row],[PID]],Table3[[#All],[PID]],0)))</f>
        <v>R</v>
      </c>
      <c r="I217" s="52" t="str">
        <f>IF($C217="B",INDEX(Batters[[#All],[T]],MATCH(Table5[[#This Row],[PID]],Batters[[#All],[PID]],0)),INDEX(Table3[[#All],[T]],MATCH(Table5[[#This Row],[PID]],Table3[[#All],[PID]],0)))</f>
        <v>R</v>
      </c>
      <c r="J217" s="69" t="str">
        <f>IF($C217="B",INDEX(Batters[[#All],[WE]],MATCH(Table5[[#This Row],[PID]],Batters[[#All],[PID]],0)),INDEX(Table3[[#All],[WE]],MATCH(Table5[[#This Row],[PID]],Table3[[#All],[PID]],0)))</f>
        <v>Normal</v>
      </c>
      <c r="K217" s="52" t="str">
        <f>IF($C217="B",INDEX(Batters[[#All],[INT]],MATCH(Table5[[#This Row],[PID]],Batters[[#All],[PID]],0)),INDEX(Table3[[#All],[INT]],MATCH(Table5[[#This Row],[PID]],Table3[[#All],[PID]],0)))</f>
        <v>Low</v>
      </c>
      <c r="L217" s="60">
        <f>IF($C217="B",INDEX(Batters[[#All],[CON P]],MATCH(Table5[[#This Row],[PID]],Batters[[#All],[PID]],0)),INDEX(Table3[[#All],[STU P]],MATCH(Table5[[#This Row],[PID]],Table3[[#All],[PID]],0)))</f>
        <v>5</v>
      </c>
      <c r="M217" s="70">
        <f>IF($C217="B",INDEX(Batters[[#All],[GAP P]],MATCH(Table5[[#This Row],[PID]],Batters[[#All],[PID]],0)),INDEX(Table3[[#All],[MOV P]],MATCH(Table5[[#This Row],[PID]],Table3[[#All],[PID]],0)))</f>
        <v>3</v>
      </c>
      <c r="N217" s="70">
        <f>IF($C217="B",INDEX(Batters[[#All],[POW P]],MATCH(Table5[[#This Row],[PID]],Batters[[#All],[PID]],0)),INDEX(Table3[[#All],[CON P]],MATCH(Table5[[#This Row],[PID]],Table3[[#All],[PID]],0)))</f>
        <v>4</v>
      </c>
      <c r="O217" s="70" t="str">
        <f>IF($C217="B",INDEX(Batters[[#All],[EYE P]],MATCH(Table5[[#This Row],[PID]],Batters[[#All],[PID]],0)),INDEX(Table3[[#All],[VELO]],MATCH(Table5[[#This Row],[PID]],Table3[[#All],[PID]],0)))</f>
        <v>93-95 Mph</v>
      </c>
      <c r="P217" s="56">
        <f>IF($C217="B",INDEX(Batters[[#All],[K P]],MATCH(Table5[[#This Row],[PID]],Batters[[#All],[PID]],0)),INDEX(Table3[[#All],[STM]],MATCH(Table5[[#This Row],[PID]],Table3[[#All],[PID]],0)))</f>
        <v>7</v>
      </c>
      <c r="Q217" s="61">
        <f>IF($C217="B",INDEX(Batters[[#All],[Tot]],MATCH(Table5[[#This Row],[PID]],Batters[[#All],[PID]],0)),INDEX(Table3[[#All],[Tot]],MATCH(Table5[[#This Row],[PID]],Table3[[#All],[PID]],0)))</f>
        <v>48.470990262095683</v>
      </c>
      <c r="R217" s="52">
        <f>IF($C217="B",INDEX(Batters[[#All],[zScore]],MATCH(Table5[[#This Row],[PID]],Batters[[#All],[PID]],0)),INDEX(Table3[[#All],[zScore]],MATCH(Table5[[#This Row],[PID]],Table3[[#All],[PID]],0)))</f>
        <v>0.75966565578905565</v>
      </c>
      <c r="S217" s="75" t="str">
        <f>IF($C217="B",INDEX(Batters[[#All],[DEM]],MATCH(Table5[[#This Row],[PID]],Batters[[#All],[PID]],0)),INDEX(Table3[[#All],[DEM]],MATCH(Table5[[#This Row],[PID]],Table3[[#All],[PID]],0)))</f>
        <v>$190k</v>
      </c>
      <c r="T217" s="72">
        <f>IF($C217="B",INDEX(Batters[[#All],[Rnk]],MATCH(Table5[[#This Row],[PID]],Batters[[#All],[PID]],0)),INDEX(Table3[[#All],[Rnk]],MATCH(Table5[[#This Row],[PID]],Table3[[#All],[PID]],0)))</f>
        <v>940</v>
      </c>
      <c r="U217" s="67">
        <f>IF($C217="B",VLOOKUP($A217,Bat!$A$4:$BA$1314,47,FALSE),VLOOKUP($A217,Pit!$A$4:$BF$1214,56,FALSE))</f>
        <v>386</v>
      </c>
      <c r="V217" s="50">
        <f>IF($C217="B",VLOOKUP($A217,Bat!$A$4:$BA$1314,48,FALSE),VLOOKUP($A217,Pit!$A$4:$BF$1214,57,FALSE))</f>
        <v>0</v>
      </c>
      <c r="W217" s="68">
        <f>IF(Table5[[#This Row],[posRnk]]=999,9999,Table5[[#This Row],[posRnk]]+Table5[[#This Row],[zRnk]]+IF($W$3&lt;&gt;Table5[[#This Row],[Type]],50,0))</f>
        <v>1116</v>
      </c>
      <c r="X217" s="71">
        <f>RANK(Table5[[#This Row],[zScore]],Table5[[#All],[zScore]])</f>
        <v>176</v>
      </c>
      <c r="Y217" s="68">
        <f>IFERROR(INDEX(DraftResults[[#All],[OVR]],MATCH(Table5[[#This Row],[PID]],DraftResults[[#All],[Player ID]],0)),"")</f>
        <v>246</v>
      </c>
      <c r="Z217" s="7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8</v>
      </c>
      <c r="AA217" s="68">
        <f>IFERROR(INDEX(DraftResults[[#All],[Pick in Round]],MATCH(Table5[[#This Row],[PID]],DraftResults[[#All],[Player ID]],0)),"")</f>
        <v>13</v>
      </c>
      <c r="AB217" s="68" t="str">
        <f>IFERROR(INDEX(DraftResults[[#All],[Team Name]],MATCH(Table5[[#This Row],[PID]],DraftResults[[#All],[Player ID]],0)),"")</f>
        <v>Scottish Claymores</v>
      </c>
      <c r="AC217" s="68">
        <f>IF(Table5[[#This Row],[Ovr]]="","",IF(Table5[[#This Row],[cmbList]]="","",Table5[[#This Row],[cmbList]]-Table5[[#This Row],[Ovr]]))</f>
        <v>870</v>
      </c>
      <c r="AD217" s="74" t="str">
        <f>IF(ISERROR(VLOOKUP($AB217&amp;"-"&amp;$E217&amp;" "&amp;F217,Bonuses!$B$1:$G$1006,4,FALSE)),"",INT(VLOOKUP($AB217&amp;"-"&amp;$E217&amp;" "&amp;$F217,Bonuses!$B$1:$G$1006,4,FALSE)))</f>
        <v/>
      </c>
      <c r="AE217" s="68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8.13 (246) - SP Ron Young</v>
      </c>
    </row>
    <row r="218" spans="1:31" s="50" customFormat="1" x14ac:dyDescent="0.3">
      <c r="A218" s="50">
        <v>20519</v>
      </c>
      <c r="B218" s="50">
        <f>COUNTIF(Table5[PID],A218)</f>
        <v>1</v>
      </c>
      <c r="C218" s="50" t="str">
        <f>IF(COUNTIF(Table3[[#All],[PID]],A218)&gt;0,"P","B")</f>
        <v>B</v>
      </c>
      <c r="D218" s="59" t="str">
        <f>IF($C218="B",INDEX(Batters[[#All],[POS]],MATCH(Table5[[#This Row],[PID]],Batters[[#All],[PID]],0)),INDEX(Table3[[#All],[POS]],MATCH(Table5[[#This Row],[PID]],Table3[[#All],[PID]],0)))</f>
        <v>LF</v>
      </c>
      <c r="E218" s="52" t="str">
        <f>IF($C218="B",INDEX(Batters[[#All],[First]],MATCH(Table5[[#This Row],[PID]],Batters[[#All],[PID]],0)),INDEX(Table3[[#All],[First]],MATCH(Table5[[#This Row],[PID]],Table3[[#All],[PID]],0)))</f>
        <v>Gorgonio</v>
      </c>
      <c r="F218" s="50" t="str">
        <f>IF($C218="B",INDEX(Batters[[#All],[Last]],MATCH(A218,Batters[[#All],[PID]],0)),INDEX(Table3[[#All],[Last]],MATCH(A218,Table3[[#All],[PID]],0)))</f>
        <v>Nolasco</v>
      </c>
      <c r="G218" s="56">
        <f>IF($C218="B",INDEX(Batters[[#All],[Age]],MATCH(Table5[[#This Row],[PID]],Batters[[#All],[PID]],0)),INDEX(Table3[[#All],[Age]],MATCH(Table5[[#This Row],[PID]],Table3[[#All],[PID]],0)))</f>
        <v>17</v>
      </c>
      <c r="H218" s="52" t="str">
        <f>IF($C218="B",INDEX(Batters[[#All],[B]],MATCH(Table5[[#This Row],[PID]],Batters[[#All],[PID]],0)),INDEX(Table3[[#All],[B]],MATCH(Table5[[#This Row],[PID]],Table3[[#All],[PID]],0)))</f>
        <v>R</v>
      </c>
      <c r="I218" s="52" t="str">
        <f>IF($C218="B",INDEX(Batters[[#All],[T]],MATCH(Table5[[#This Row],[PID]],Batters[[#All],[PID]],0)),INDEX(Table3[[#All],[T]],MATCH(Table5[[#This Row],[PID]],Table3[[#All],[PID]],0)))</f>
        <v>R</v>
      </c>
      <c r="J218" s="52" t="str">
        <f>IF($C218="B",INDEX(Batters[[#All],[WE]],MATCH(Table5[[#This Row],[PID]],Batters[[#All],[PID]],0)),INDEX(Table3[[#All],[WE]],MATCH(Table5[[#This Row],[PID]],Table3[[#All],[PID]],0)))</f>
        <v>Low</v>
      </c>
      <c r="K218" s="52" t="str">
        <f>IF($C218="B",INDEX(Batters[[#All],[INT]],MATCH(Table5[[#This Row],[PID]],Batters[[#All],[PID]],0)),INDEX(Table3[[#All],[INT]],MATCH(Table5[[#This Row],[PID]],Table3[[#All],[PID]],0)))</f>
        <v>Low</v>
      </c>
      <c r="L218" s="60">
        <f>IF($C218="B",INDEX(Batters[[#All],[CON P]],MATCH(Table5[[#This Row],[PID]],Batters[[#All],[PID]],0)),INDEX(Table3[[#All],[STU P]],MATCH(Table5[[#This Row],[PID]],Table3[[#All],[PID]],0)))</f>
        <v>4</v>
      </c>
      <c r="M218" s="56">
        <f>IF($C218="B",INDEX(Batters[[#All],[GAP P]],MATCH(Table5[[#This Row],[PID]],Batters[[#All],[PID]],0)),INDEX(Table3[[#All],[MOV P]],MATCH(Table5[[#This Row],[PID]],Table3[[#All],[PID]],0)))</f>
        <v>5</v>
      </c>
      <c r="N218" s="56">
        <f>IF($C218="B",INDEX(Batters[[#All],[POW P]],MATCH(Table5[[#This Row],[PID]],Batters[[#All],[PID]],0)),INDEX(Table3[[#All],[CON P]],MATCH(Table5[[#This Row],[PID]],Table3[[#All],[PID]],0)))</f>
        <v>5</v>
      </c>
      <c r="O218" s="56">
        <f>IF($C218="B",INDEX(Batters[[#All],[EYE P]],MATCH(Table5[[#This Row],[PID]],Batters[[#All],[PID]],0)),INDEX(Table3[[#All],[VELO]],MATCH(Table5[[#This Row],[PID]],Table3[[#All],[PID]],0)))</f>
        <v>6</v>
      </c>
      <c r="P218" s="56">
        <f>IF($C218="B",INDEX(Batters[[#All],[K P]],MATCH(Table5[[#This Row],[PID]],Batters[[#All],[PID]],0)),INDEX(Table3[[#All],[STM]],MATCH(Table5[[#This Row],[PID]],Table3[[#All],[PID]],0)))</f>
        <v>4</v>
      </c>
      <c r="Q218" s="61">
        <f>IF($C218="B",INDEX(Batters[[#All],[Tot]],MATCH(Table5[[#This Row],[PID]],Batters[[#All],[PID]],0)),INDEX(Table3[[#All],[Tot]],MATCH(Table5[[#This Row],[PID]],Table3[[#All],[PID]],0)))</f>
        <v>48.951210557929713</v>
      </c>
      <c r="R218" s="52">
        <f>IF($C218="B",INDEX(Batters[[#All],[zScore]],MATCH(Table5[[#This Row],[PID]],Batters[[#All],[PID]],0)),INDEX(Table3[[#All],[zScore]],MATCH(Table5[[#This Row],[PID]],Table3[[#All],[PID]],0)))</f>
        <v>0.83679430146047662</v>
      </c>
      <c r="S218" s="58" t="str">
        <f>IF($C218="B",INDEX(Batters[[#All],[DEM]],MATCH(Table5[[#This Row],[PID]],Batters[[#All],[PID]],0)),INDEX(Table3[[#All],[DEM]],MATCH(Table5[[#This Row],[PID]],Table3[[#All],[PID]],0)))</f>
        <v>$200k</v>
      </c>
      <c r="T218" s="62">
        <f>IF($C218="B",INDEX(Batters[[#All],[Rnk]],MATCH(Table5[[#This Row],[PID]],Batters[[#All],[PID]],0)),INDEX(Table3[[#All],[Rnk]],MATCH(Table5[[#This Row],[PID]],Table3[[#All],[PID]],0)))</f>
        <v>950</v>
      </c>
      <c r="U218" s="67">
        <f>IF($C218="B",VLOOKUP($A218,Bat!$A$4:$BA$1314,47,FALSE),VLOOKUP($A218,Pit!$A$4:$BF$1214,56,FALSE))</f>
        <v>425</v>
      </c>
      <c r="V218" s="50">
        <f>IF($C218="B",VLOOKUP($A218,Bat!$A$4:$BA$1314,48,FALSE),VLOOKUP($A218,Pit!$A$4:$BF$1214,57,FALSE))</f>
        <v>0</v>
      </c>
      <c r="W218" s="68">
        <f>IF(Table5[[#This Row],[posRnk]]=999,9999,Table5[[#This Row],[posRnk]]+Table5[[#This Row],[zRnk]]+IF($W$3&lt;&gt;Table5[[#This Row],[Type]],50,0))</f>
        <v>1166</v>
      </c>
      <c r="X218" s="51">
        <f>RANK(Table5[[#This Row],[zScore]],Table5[[#All],[zScore]])</f>
        <v>166</v>
      </c>
      <c r="Y218" s="50">
        <f>IFERROR(INDEX(DraftResults[[#All],[OVR]],MATCH(Table5[[#This Row],[PID]],DraftResults[[#All],[Player ID]],0)),"")</f>
        <v>286</v>
      </c>
      <c r="Z218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9</v>
      </c>
      <c r="AA218" s="50">
        <f>IFERROR(INDEX(DraftResults[[#All],[Pick in Round]],MATCH(Table5[[#This Row],[PID]],DraftResults[[#All],[Player ID]],0)),"")</f>
        <v>21</v>
      </c>
      <c r="AB218" s="50" t="str">
        <f>IFERROR(INDEX(DraftResults[[#All],[Team Name]],MATCH(Table5[[#This Row],[PID]],DraftResults[[#All],[Player ID]],0)),"")</f>
        <v>Neo-Tokyo Akira</v>
      </c>
      <c r="AC218" s="50">
        <f>IF(Table5[[#This Row],[Ovr]]="","",IF(Table5[[#This Row],[cmbList]]="","",Table5[[#This Row],[cmbList]]-Table5[[#This Row],[Ovr]]))</f>
        <v>880</v>
      </c>
      <c r="AD218" s="54" t="str">
        <f>IF(ISERROR(VLOOKUP($AB218&amp;"-"&amp;$E218&amp;" "&amp;F218,Bonuses!$B$1:$G$1006,4,FALSE)),"",INT(VLOOKUP($AB218&amp;"-"&amp;$E218&amp;" "&amp;$F218,Bonuses!$B$1:$G$1006,4,FALSE)))</f>
        <v/>
      </c>
      <c r="AE218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9.21 (286) - LF Gorgonio Nolasco</v>
      </c>
    </row>
    <row r="219" spans="1:31" s="50" customFormat="1" x14ac:dyDescent="0.3">
      <c r="A219" s="67">
        <v>20668</v>
      </c>
      <c r="B219" s="68">
        <f>COUNTIF(Table5[PID],A219)</f>
        <v>1</v>
      </c>
      <c r="C219" s="68" t="str">
        <f>IF(COUNTIF(Table3[[#All],[PID]],A219)&gt;0,"P","B")</f>
        <v>B</v>
      </c>
      <c r="D219" s="59" t="str">
        <f>IF($C219="B",INDEX(Batters[[#All],[POS]],MATCH(Table5[[#This Row],[PID]],Batters[[#All],[PID]],0)),INDEX(Table3[[#All],[POS]],MATCH(Table5[[#This Row],[PID]],Table3[[#All],[PID]],0)))</f>
        <v>SS</v>
      </c>
      <c r="E219" s="52" t="str">
        <f>IF($C219="B",INDEX(Batters[[#All],[First]],MATCH(Table5[[#This Row],[PID]],Batters[[#All],[PID]],0)),INDEX(Table3[[#All],[First]],MATCH(Table5[[#This Row],[PID]],Table3[[#All],[PID]],0)))</f>
        <v>Myung-bak</v>
      </c>
      <c r="F219" s="55" t="str">
        <f>IF($C219="B",INDEX(Batters[[#All],[Last]],MATCH(A219,Batters[[#All],[PID]],0)),INDEX(Table3[[#All],[Last]],MATCH(A219,Table3[[#All],[PID]],0)))</f>
        <v>Chup</v>
      </c>
      <c r="G219" s="56">
        <f>IF($C219="B",INDEX(Batters[[#All],[Age]],MATCH(Table5[[#This Row],[PID]],Batters[[#All],[PID]],0)),INDEX(Table3[[#All],[Age]],MATCH(Table5[[#This Row],[PID]],Table3[[#All],[PID]],0)))</f>
        <v>17</v>
      </c>
      <c r="H219" s="52" t="str">
        <f>IF($C219="B",INDEX(Batters[[#All],[B]],MATCH(Table5[[#This Row],[PID]],Batters[[#All],[PID]],0)),INDEX(Table3[[#All],[B]],MATCH(Table5[[#This Row],[PID]],Table3[[#All],[PID]],0)))</f>
        <v>R</v>
      </c>
      <c r="I219" s="52" t="str">
        <f>IF($C219="B",INDEX(Batters[[#All],[T]],MATCH(Table5[[#This Row],[PID]],Batters[[#All],[PID]],0)),INDEX(Table3[[#All],[T]],MATCH(Table5[[#This Row],[PID]],Table3[[#All],[PID]],0)))</f>
        <v>R</v>
      </c>
      <c r="J219" s="69" t="str">
        <f>IF($C219="B",INDEX(Batters[[#All],[WE]],MATCH(Table5[[#This Row],[PID]],Batters[[#All],[PID]],0)),INDEX(Table3[[#All],[WE]],MATCH(Table5[[#This Row],[PID]],Table3[[#All],[PID]],0)))</f>
        <v>Low</v>
      </c>
      <c r="K219" s="52" t="str">
        <f>IF($C219="B",INDEX(Batters[[#All],[INT]],MATCH(Table5[[#This Row],[PID]],Batters[[#All],[PID]],0)),INDEX(Table3[[#All],[INT]],MATCH(Table5[[#This Row],[PID]],Table3[[#All],[PID]],0)))</f>
        <v>Normal</v>
      </c>
      <c r="L219" s="60">
        <f>IF($C219="B",INDEX(Batters[[#All],[CON P]],MATCH(Table5[[#This Row],[PID]],Batters[[#All],[PID]],0)),INDEX(Table3[[#All],[STU P]],MATCH(Table5[[#This Row],[PID]],Table3[[#All],[PID]],0)))</f>
        <v>3</v>
      </c>
      <c r="M219" s="70">
        <f>IF($C219="B",INDEX(Batters[[#All],[GAP P]],MATCH(Table5[[#This Row],[PID]],Batters[[#All],[PID]],0)),INDEX(Table3[[#All],[MOV P]],MATCH(Table5[[#This Row],[PID]],Table3[[#All],[PID]],0)))</f>
        <v>6</v>
      </c>
      <c r="N219" s="70">
        <f>IF($C219="B",INDEX(Batters[[#All],[POW P]],MATCH(Table5[[#This Row],[PID]],Batters[[#All],[PID]],0)),INDEX(Table3[[#All],[CON P]],MATCH(Table5[[#This Row],[PID]],Table3[[#All],[PID]],0)))</f>
        <v>6</v>
      </c>
      <c r="O219" s="70">
        <f>IF($C219="B",INDEX(Batters[[#All],[EYE P]],MATCH(Table5[[#This Row],[PID]],Batters[[#All],[PID]],0)),INDEX(Table3[[#All],[VELO]],MATCH(Table5[[#This Row],[PID]],Table3[[#All],[PID]],0)))</f>
        <v>6</v>
      </c>
      <c r="P219" s="56">
        <f>IF($C219="B",INDEX(Batters[[#All],[K P]],MATCH(Table5[[#This Row],[PID]],Batters[[#All],[PID]],0)),INDEX(Table3[[#All],[STM]],MATCH(Table5[[#This Row],[PID]],Table3[[#All],[PID]],0)))</f>
        <v>4</v>
      </c>
      <c r="Q219" s="61">
        <f>IF($C219="B",INDEX(Batters[[#All],[Tot]],MATCH(Table5[[#This Row],[PID]],Batters[[#All],[PID]],0)),INDEX(Table3[[#All],[Tot]],MATCH(Table5[[#This Row],[PID]],Table3[[#All],[PID]],0)))</f>
        <v>47.982740843924766</v>
      </c>
      <c r="R219" s="52">
        <f>IF($C219="B",INDEX(Batters[[#All],[zScore]],MATCH(Table5[[#This Row],[PID]],Batters[[#All],[PID]],0)),INDEX(Table3[[#All],[zScore]],MATCH(Table5[[#This Row],[PID]],Table3[[#All],[PID]],0)))</f>
        <v>0.69542860805665674</v>
      </c>
      <c r="S219" s="75" t="str">
        <f>IF($C219="B",INDEX(Batters[[#All],[DEM]],MATCH(Table5[[#This Row],[PID]],Batters[[#All],[PID]],0)),INDEX(Table3[[#All],[DEM]],MATCH(Table5[[#This Row],[PID]],Table3[[#All],[PID]],0)))</f>
        <v>$200k</v>
      </c>
      <c r="T219" s="72">
        <f>IF($C219="B",INDEX(Batters[[#All],[Rnk]],MATCH(Table5[[#This Row],[PID]],Batters[[#All],[PID]],0)),INDEX(Table3[[#All],[Rnk]],MATCH(Table5[[#This Row],[PID]],Table3[[#All],[PID]],0)))</f>
        <v>930</v>
      </c>
      <c r="U219" s="67">
        <f>IF($C219="B",VLOOKUP($A219,Bat!$A$4:$BA$1314,47,FALSE),VLOOKUP($A219,Pit!$A$4:$BF$1214,56,FALSE))</f>
        <v>302</v>
      </c>
      <c r="V219" s="50">
        <f>IF($C219="B",VLOOKUP($A219,Bat!$A$4:$BA$1314,48,FALSE),VLOOKUP($A219,Pit!$A$4:$BF$1214,57,FALSE))</f>
        <v>0</v>
      </c>
      <c r="W219" s="68">
        <f>IF(Table5[[#This Row],[posRnk]]=999,9999,Table5[[#This Row],[posRnk]]+Table5[[#This Row],[zRnk]]+IF($W$3&lt;&gt;Table5[[#This Row],[Type]],50,0))</f>
        <v>1168</v>
      </c>
      <c r="X219" s="71">
        <f>RANK(Table5[[#This Row],[zScore]],Table5[[#All],[zScore]])</f>
        <v>188</v>
      </c>
      <c r="Y219" s="68">
        <f>IFERROR(INDEX(DraftResults[[#All],[OVR]],MATCH(Table5[[#This Row],[PID]],DraftResults[[#All],[Player ID]],0)),"")</f>
        <v>164</v>
      </c>
      <c r="Z219" s="7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5</v>
      </c>
      <c r="AA219" s="68">
        <f>IFERROR(INDEX(DraftResults[[#All],[Pick in Round]],MATCH(Table5[[#This Row],[PID]],DraftResults[[#All],[Player ID]],0)),"")</f>
        <v>27</v>
      </c>
      <c r="AB219" s="68" t="str">
        <f>IFERROR(INDEX(DraftResults[[#All],[Team Name]],MATCH(Table5[[#This Row],[PID]],DraftResults[[#All],[Player ID]],0)),"")</f>
        <v>Havana Leones</v>
      </c>
      <c r="AC219" s="68">
        <f>IF(Table5[[#This Row],[Ovr]]="","",IF(Table5[[#This Row],[cmbList]]="","",Table5[[#This Row],[cmbList]]-Table5[[#This Row],[Ovr]]))</f>
        <v>1004</v>
      </c>
      <c r="AD219" s="74" t="str">
        <f>IF(ISERROR(VLOOKUP($AB219&amp;"-"&amp;$E219&amp;" "&amp;F219,Bonuses!$B$1:$G$1006,4,FALSE)),"",INT(VLOOKUP($AB219&amp;"-"&amp;$E219&amp;" "&amp;$F219,Bonuses!$B$1:$G$1006,4,FALSE)))</f>
        <v/>
      </c>
      <c r="AE219" s="68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5.27 (164) - SS Myung-bak Chup</v>
      </c>
    </row>
    <row r="220" spans="1:31" s="50" customFormat="1" x14ac:dyDescent="0.3">
      <c r="A220" s="50">
        <v>21076</v>
      </c>
      <c r="B220" s="50">
        <f>COUNTIF(Table5[PID],A220)</f>
        <v>1</v>
      </c>
      <c r="C220" s="50" t="str">
        <f>IF(COUNTIF(Table3[[#All],[PID]],A220)&gt;0,"P","B")</f>
        <v>P</v>
      </c>
      <c r="D220" s="59" t="str">
        <f>IF($C220="B",INDEX(Batters[[#All],[POS]],MATCH(Table5[[#This Row],[PID]],Batters[[#All],[PID]],0)),INDEX(Table3[[#All],[POS]],MATCH(Table5[[#This Row],[PID]],Table3[[#All],[PID]],0)))</f>
        <v>RP</v>
      </c>
      <c r="E220" s="52" t="str">
        <f>IF($C220="B",INDEX(Batters[[#All],[First]],MATCH(Table5[[#This Row],[PID]],Batters[[#All],[PID]],0)),INDEX(Table3[[#All],[First]],MATCH(Table5[[#This Row],[PID]],Table3[[#All],[PID]],0)))</f>
        <v>Peter</v>
      </c>
      <c r="F220" s="50" t="str">
        <f>IF($C220="B",INDEX(Batters[[#All],[Last]],MATCH(A220,Batters[[#All],[PID]],0)),INDEX(Table3[[#All],[Last]],MATCH(A220,Table3[[#All],[PID]],0)))</f>
        <v>Johnstone</v>
      </c>
      <c r="G220" s="56">
        <f>IF($C220="B",INDEX(Batters[[#All],[Age]],MATCH(Table5[[#This Row],[PID]],Batters[[#All],[PID]],0)),INDEX(Table3[[#All],[Age]],MATCH(Table5[[#This Row],[PID]],Table3[[#All],[PID]],0)))</f>
        <v>18</v>
      </c>
      <c r="H220" s="52" t="str">
        <f>IF($C220="B",INDEX(Batters[[#All],[B]],MATCH(Table5[[#This Row],[PID]],Batters[[#All],[PID]],0)),INDEX(Table3[[#All],[B]],MATCH(Table5[[#This Row],[PID]],Table3[[#All],[PID]],0)))</f>
        <v>S</v>
      </c>
      <c r="I220" s="52" t="str">
        <f>IF($C220="B",INDEX(Batters[[#All],[T]],MATCH(Table5[[#This Row],[PID]],Batters[[#All],[PID]],0)),INDEX(Table3[[#All],[T]],MATCH(Table5[[#This Row],[PID]],Table3[[#All],[PID]],0)))</f>
        <v>R</v>
      </c>
      <c r="J220" s="52" t="str">
        <f>IF($C220="B",INDEX(Batters[[#All],[WE]],MATCH(Table5[[#This Row],[PID]],Batters[[#All],[PID]],0)),INDEX(Table3[[#All],[WE]],MATCH(Table5[[#This Row],[PID]],Table3[[#All],[PID]],0)))</f>
        <v>Normal</v>
      </c>
      <c r="K220" s="52" t="str">
        <f>IF($C220="B",INDEX(Batters[[#All],[INT]],MATCH(Table5[[#This Row],[PID]],Batters[[#All],[PID]],0)),INDEX(Table3[[#All],[INT]],MATCH(Table5[[#This Row],[PID]],Table3[[#All],[PID]],0)))</f>
        <v>Low</v>
      </c>
      <c r="L220" s="60">
        <f>IF($C220="B",INDEX(Batters[[#All],[CON P]],MATCH(Table5[[#This Row],[PID]],Batters[[#All],[PID]],0)),INDEX(Table3[[#All],[STU P]],MATCH(Table5[[#This Row],[PID]],Table3[[#All],[PID]],0)))</f>
        <v>6</v>
      </c>
      <c r="M220" s="56">
        <f>IF($C220="B",INDEX(Batters[[#All],[GAP P]],MATCH(Table5[[#This Row],[PID]],Batters[[#All],[PID]],0)),INDEX(Table3[[#All],[MOV P]],MATCH(Table5[[#This Row],[PID]],Table3[[#All],[PID]],0)))</f>
        <v>2</v>
      </c>
      <c r="N220" s="56">
        <f>IF($C220="B",INDEX(Batters[[#All],[POW P]],MATCH(Table5[[#This Row],[PID]],Batters[[#All],[PID]],0)),INDEX(Table3[[#All],[CON P]],MATCH(Table5[[#This Row],[PID]],Table3[[#All],[PID]],0)))</f>
        <v>4</v>
      </c>
      <c r="O220" s="56" t="str">
        <f>IF($C220="B",INDEX(Batters[[#All],[EYE P]],MATCH(Table5[[#This Row],[PID]],Batters[[#All],[PID]],0)),INDEX(Table3[[#All],[VELO]],MATCH(Table5[[#This Row],[PID]],Table3[[#All],[PID]],0)))</f>
        <v>93-95 Mph</v>
      </c>
      <c r="P220" s="56">
        <f>IF($C220="B",INDEX(Batters[[#All],[K P]],MATCH(Table5[[#This Row],[PID]],Batters[[#All],[PID]],0)),INDEX(Table3[[#All],[STM]],MATCH(Table5[[#This Row],[PID]],Table3[[#All],[PID]],0)))</f>
        <v>8</v>
      </c>
      <c r="Q220" s="61">
        <f>IF($C220="B",INDEX(Batters[[#All],[Tot]],MATCH(Table5[[#This Row],[PID]],Batters[[#All],[PID]],0)),INDEX(Table3[[#All],[Tot]],MATCH(Table5[[#This Row],[PID]],Table3[[#All],[PID]],0)))</f>
        <v>47.983223949241989</v>
      </c>
      <c r="R220" s="52">
        <f>IF($C220="B",INDEX(Batters[[#All],[zScore]],MATCH(Table5[[#This Row],[PID]],Batters[[#All],[PID]],0)),INDEX(Table3[[#All],[zScore]],MATCH(Table5[[#This Row],[PID]],Table3[[#All],[PID]],0)))</f>
        <v>0.72493326391535262</v>
      </c>
      <c r="S220" s="58" t="str">
        <f>IF($C220="B",INDEX(Batters[[#All],[DEM]],MATCH(Table5[[#This Row],[PID]],Batters[[#All],[PID]],0)),INDEX(Table3[[#All],[DEM]],MATCH(Table5[[#This Row],[PID]],Table3[[#All],[PID]],0)))</f>
        <v>$65k</v>
      </c>
      <c r="T220" s="62">
        <f>IF($C220="B",INDEX(Batters[[#All],[Rnk]],MATCH(Table5[[#This Row],[PID]],Batters[[#All],[PID]],0)),INDEX(Table3[[#All],[Rnk]],MATCH(Table5[[#This Row],[PID]],Table3[[#All],[PID]],0)))</f>
        <v>940</v>
      </c>
      <c r="U220" s="67">
        <f>IF($C220="B",VLOOKUP($A220,Bat!$A$4:$BA$1314,47,FALSE),VLOOKUP($A220,Pit!$A$4:$BF$1214,56,FALSE))</f>
        <v>387</v>
      </c>
      <c r="V220" s="50">
        <f>IF($C220="B",VLOOKUP($A220,Bat!$A$4:$BA$1314,48,FALSE),VLOOKUP($A220,Pit!$A$4:$BF$1214,57,FALSE))</f>
        <v>0</v>
      </c>
      <c r="W220" s="68">
        <f>IF(Table5[[#This Row],[posRnk]]=999,9999,Table5[[#This Row],[posRnk]]+Table5[[#This Row],[zRnk]]+IF($W$3&lt;&gt;Table5[[#This Row],[Type]],50,0))</f>
        <v>1120</v>
      </c>
      <c r="X220" s="51">
        <f>RANK(Table5[[#This Row],[zScore]],Table5[[#All],[zScore]])</f>
        <v>180</v>
      </c>
      <c r="Y220" s="50">
        <f>IFERROR(INDEX(DraftResults[[#All],[OVR]],MATCH(Table5[[#This Row],[PID]],DraftResults[[#All],[Player ID]],0)),"")</f>
        <v>278</v>
      </c>
      <c r="Z220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9</v>
      </c>
      <c r="AA220" s="50">
        <f>IFERROR(INDEX(DraftResults[[#All],[Pick in Round]],MATCH(Table5[[#This Row],[PID]],DraftResults[[#All],[Player ID]],0)),"")</f>
        <v>13</v>
      </c>
      <c r="AB220" s="50" t="str">
        <f>IFERROR(INDEX(DraftResults[[#All],[Team Name]],MATCH(Table5[[#This Row],[PID]],DraftResults[[#All],[Player ID]],0)),"")</f>
        <v>Scottish Claymores</v>
      </c>
      <c r="AC220" s="50">
        <f>IF(Table5[[#This Row],[Ovr]]="","",IF(Table5[[#This Row],[cmbList]]="","",Table5[[#This Row],[cmbList]]-Table5[[#This Row],[Ovr]]))</f>
        <v>842</v>
      </c>
      <c r="AD220" s="54" t="str">
        <f>IF(ISERROR(VLOOKUP($AB220&amp;"-"&amp;$E220&amp;" "&amp;F220,Bonuses!$B$1:$G$1006,4,FALSE)),"",INT(VLOOKUP($AB220&amp;"-"&amp;$E220&amp;" "&amp;$F220,Bonuses!$B$1:$G$1006,4,FALSE)))</f>
        <v/>
      </c>
      <c r="AE220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9.13 (278) - RP Peter Johnstone</v>
      </c>
    </row>
    <row r="221" spans="1:31" s="50" customFormat="1" x14ac:dyDescent="0.3">
      <c r="A221" s="50">
        <v>11962</v>
      </c>
      <c r="B221" s="50">
        <f>COUNTIF(Table5[PID],A221)</f>
        <v>1</v>
      </c>
      <c r="C221" s="50" t="str">
        <f>IF(COUNTIF(Table3[[#All],[PID]],A221)&gt;0,"P","B")</f>
        <v>P</v>
      </c>
      <c r="D221" s="59" t="str">
        <f>IF($C221="B",INDEX(Batters[[#All],[POS]],MATCH(Table5[[#This Row],[PID]],Batters[[#All],[PID]],0)),INDEX(Table3[[#All],[POS]],MATCH(Table5[[#This Row],[PID]],Table3[[#All],[PID]],0)))</f>
        <v>RP</v>
      </c>
      <c r="E221" s="52" t="str">
        <f>IF($C221="B",INDEX(Batters[[#All],[First]],MATCH(Table5[[#This Row],[PID]],Batters[[#All],[PID]],0)),INDEX(Table3[[#All],[First]],MATCH(Table5[[#This Row],[PID]],Table3[[#All],[PID]],0)))</f>
        <v>Makoto</v>
      </c>
      <c r="F221" s="50" t="str">
        <f>IF($C221="B",INDEX(Batters[[#All],[Last]],MATCH(A221,Batters[[#All],[PID]],0)),INDEX(Table3[[#All],[Last]],MATCH(A221,Table3[[#All],[PID]],0)))</f>
        <v>Miura</v>
      </c>
      <c r="G221" s="56">
        <f>IF($C221="B",INDEX(Batters[[#All],[Age]],MATCH(Table5[[#This Row],[PID]],Batters[[#All],[PID]],0)),INDEX(Table3[[#All],[Age]],MATCH(Table5[[#This Row],[PID]],Table3[[#All],[PID]],0)))</f>
        <v>18</v>
      </c>
      <c r="H221" s="52" t="str">
        <f>IF($C221="B",INDEX(Batters[[#All],[B]],MATCH(Table5[[#This Row],[PID]],Batters[[#All],[PID]],0)),INDEX(Table3[[#All],[B]],MATCH(Table5[[#This Row],[PID]],Table3[[#All],[PID]],0)))</f>
        <v>R</v>
      </c>
      <c r="I221" s="52" t="str">
        <f>IF($C221="B",INDEX(Batters[[#All],[T]],MATCH(Table5[[#This Row],[PID]],Batters[[#All],[PID]],0)),INDEX(Table3[[#All],[T]],MATCH(Table5[[#This Row],[PID]],Table3[[#All],[PID]],0)))</f>
        <v>R</v>
      </c>
      <c r="J221" s="52" t="str">
        <f>IF($C221="B",INDEX(Batters[[#All],[WE]],MATCH(Table5[[#This Row],[PID]],Batters[[#All],[PID]],0)),INDEX(Table3[[#All],[WE]],MATCH(Table5[[#This Row],[PID]],Table3[[#All],[PID]],0)))</f>
        <v>Low</v>
      </c>
      <c r="K221" s="52" t="str">
        <f>IF($C221="B",INDEX(Batters[[#All],[INT]],MATCH(Table5[[#This Row],[PID]],Batters[[#All],[PID]],0)),INDEX(Table3[[#All],[INT]],MATCH(Table5[[#This Row],[PID]],Table3[[#All],[PID]],0)))</f>
        <v>Low</v>
      </c>
      <c r="L221" s="60">
        <f>IF($C221="B",INDEX(Batters[[#All],[CON P]],MATCH(Table5[[#This Row],[PID]],Batters[[#All],[PID]],0)),INDEX(Table3[[#All],[STU P]],MATCH(Table5[[#This Row],[PID]],Table3[[#All],[PID]],0)))</f>
        <v>5</v>
      </c>
      <c r="M221" s="56">
        <f>IF($C221="B",INDEX(Batters[[#All],[GAP P]],MATCH(Table5[[#This Row],[PID]],Batters[[#All],[PID]],0)),INDEX(Table3[[#All],[MOV P]],MATCH(Table5[[#This Row],[PID]],Table3[[#All],[PID]],0)))</f>
        <v>2</v>
      </c>
      <c r="N221" s="56">
        <f>IF($C221="B",INDEX(Batters[[#All],[POW P]],MATCH(Table5[[#This Row],[PID]],Batters[[#All],[PID]],0)),INDEX(Table3[[#All],[CON P]],MATCH(Table5[[#This Row],[PID]],Table3[[#All],[PID]],0)))</f>
        <v>5</v>
      </c>
      <c r="O221" s="56" t="str">
        <f>IF($C221="B",INDEX(Batters[[#All],[EYE P]],MATCH(Table5[[#This Row],[PID]],Batters[[#All],[PID]],0)),INDEX(Table3[[#All],[VELO]],MATCH(Table5[[#This Row],[PID]],Table3[[#All],[PID]],0)))</f>
        <v>90-92 Mph</v>
      </c>
      <c r="P221" s="56">
        <f>IF($C221="B",INDEX(Batters[[#All],[K P]],MATCH(Table5[[#This Row],[PID]],Batters[[#All],[PID]],0)),INDEX(Table3[[#All],[STM]],MATCH(Table5[[#This Row],[PID]],Table3[[#All],[PID]],0)))</f>
        <v>10</v>
      </c>
      <c r="Q221" s="61">
        <f>IF($C221="B",INDEX(Batters[[#All],[Tot]],MATCH(Table5[[#This Row],[PID]],Batters[[#All],[PID]],0)),INDEX(Table3[[#All],[Tot]],MATCH(Table5[[#This Row],[PID]],Table3[[#All],[PID]],0)))</f>
        <v>48.774925967760268</v>
      </c>
      <c r="R221" s="52">
        <f>IF($C221="B",INDEX(Batters[[#All],[zScore]],MATCH(Table5[[#This Row],[PID]],Batters[[#All],[PID]],0)),INDEX(Table3[[#All],[zScore]],MATCH(Table5[[#This Row],[PID]],Table3[[#All],[PID]],0)))</f>
        <v>0.7868419987152887</v>
      </c>
      <c r="S221" s="58" t="str">
        <f>IF($C221="B",INDEX(Batters[[#All],[DEM]],MATCH(Table5[[#This Row],[PID]],Batters[[#All],[PID]],0)),INDEX(Table3[[#All],[DEM]],MATCH(Table5[[#This Row],[PID]],Table3[[#All],[PID]],0)))</f>
        <v>$75k</v>
      </c>
      <c r="T221" s="62">
        <f>IF($C221="B",INDEX(Batters[[#All],[Rnk]],MATCH(Table5[[#This Row],[PID]],Batters[[#All],[PID]],0)),INDEX(Table3[[#All],[Rnk]],MATCH(Table5[[#This Row],[PID]],Table3[[#All],[PID]],0)))</f>
        <v>950</v>
      </c>
      <c r="U221" s="67">
        <f>IF($C221="B",VLOOKUP($A221,Bat!$A$4:$BA$1314,47,FALSE),VLOOKUP($A221,Pit!$A$4:$BF$1214,56,FALSE))</f>
        <v>405</v>
      </c>
      <c r="V221" s="50">
        <f>IF($C221="B",VLOOKUP($A221,Bat!$A$4:$BA$1314,48,FALSE),VLOOKUP($A221,Pit!$A$4:$BF$1214,57,FALSE))</f>
        <v>0</v>
      </c>
      <c r="W221" s="68">
        <f>IF(Table5[[#This Row],[posRnk]]=999,9999,Table5[[#This Row],[posRnk]]+Table5[[#This Row],[zRnk]]+IF($W$3&lt;&gt;Table5[[#This Row],[Type]],50,0))</f>
        <v>1120</v>
      </c>
      <c r="X221" s="51">
        <f>RANK(Table5[[#This Row],[zScore]],Table5[[#All],[zScore]])</f>
        <v>170</v>
      </c>
      <c r="Y221" s="50">
        <f>IFERROR(INDEX(DraftResults[[#All],[OVR]],MATCH(Table5[[#This Row],[PID]],DraftResults[[#All],[Player ID]],0)),"")</f>
        <v>224</v>
      </c>
      <c r="Z221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7</v>
      </c>
      <c r="AA221" s="50">
        <f>IFERROR(INDEX(DraftResults[[#All],[Pick in Round]],MATCH(Table5[[#This Row],[PID]],DraftResults[[#All],[Player ID]],0)),"")</f>
        <v>23</v>
      </c>
      <c r="AB221" s="50" t="str">
        <f>IFERROR(INDEX(DraftResults[[#All],[Team Name]],MATCH(Table5[[#This Row],[PID]],DraftResults[[#All],[Player ID]],0)),"")</f>
        <v>Kentucky Thoroughbreds</v>
      </c>
      <c r="AC221" s="50">
        <f>IF(Table5[[#This Row],[Ovr]]="","",IF(Table5[[#This Row],[cmbList]]="","",Table5[[#This Row],[cmbList]]-Table5[[#This Row],[Ovr]]))</f>
        <v>896</v>
      </c>
      <c r="AD221" s="54" t="str">
        <f>IF(ISERROR(VLOOKUP($AB221&amp;"-"&amp;$E221&amp;" "&amp;F221,Bonuses!$B$1:$G$1006,4,FALSE)),"",INT(VLOOKUP($AB221&amp;"-"&amp;$E221&amp;" "&amp;$F221,Bonuses!$B$1:$G$1006,4,FALSE)))</f>
        <v/>
      </c>
      <c r="AE221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7.23 (224) - RP Makoto Miura</v>
      </c>
    </row>
    <row r="222" spans="1:31" s="50" customFormat="1" x14ac:dyDescent="0.3">
      <c r="A222" s="50">
        <v>20624</v>
      </c>
      <c r="B222" s="50">
        <f>COUNTIF(Table5[PID],A222)</f>
        <v>1</v>
      </c>
      <c r="C222" s="50" t="str">
        <f>IF(COUNTIF(Table3[[#All],[PID]],A222)&gt;0,"P","B")</f>
        <v>B</v>
      </c>
      <c r="D222" s="59" t="str">
        <f>IF($C222="B",INDEX(Batters[[#All],[POS]],MATCH(Table5[[#This Row],[PID]],Batters[[#All],[PID]],0)),INDEX(Table3[[#All],[POS]],MATCH(Table5[[#This Row],[PID]],Table3[[#All],[PID]],0)))</f>
        <v>3B</v>
      </c>
      <c r="E222" s="52" t="str">
        <f>IF($C222="B",INDEX(Batters[[#All],[First]],MATCH(Table5[[#This Row],[PID]],Batters[[#All],[PID]],0)),INDEX(Table3[[#All],[First]],MATCH(Table5[[#This Row],[PID]],Table3[[#All],[PID]],0)))</f>
        <v>Shan-bo</v>
      </c>
      <c r="F222" s="50" t="str">
        <f>IF($C222="B",INDEX(Batters[[#All],[Last]],MATCH(A222,Batters[[#All],[PID]],0)),INDEX(Table3[[#All],[Last]],MATCH(A222,Table3[[#All],[PID]],0)))</f>
        <v>Chen</v>
      </c>
      <c r="G222" s="56">
        <f>IF($C222="B",INDEX(Batters[[#All],[Age]],MATCH(Table5[[#This Row],[PID]],Batters[[#All],[PID]],0)),INDEX(Table3[[#All],[Age]],MATCH(Table5[[#This Row],[PID]],Table3[[#All],[PID]],0)))</f>
        <v>17</v>
      </c>
      <c r="H222" s="52" t="str">
        <f>IF($C222="B",INDEX(Batters[[#All],[B]],MATCH(Table5[[#This Row],[PID]],Batters[[#All],[PID]],0)),INDEX(Table3[[#All],[B]],MATCH(Table5[[#This Row],[PID]],Table3[[#All],[PID]],0)))</f>
        <v>R</v>
      </c>
      <c r="I222" s="52" t="str">
        <f>IF($C222="B",INDEX(Batters[[#All],[T]],MATCH(Table5[[#This Row],[PID]],Batters[[#All],[PID]],0)),INDEX(Table3[[#All],[T]],MATCH(Table5[[#This Row],[PID]],Table3[[#All],[PID]],0)))</f>
        <v>R</v>
      </c>
      <c r="J222" s="52" t="str">
        <f>IF($C222="B",INDEX(Batters[[#All],[WE]],MATCH(Table5[[#This Row],[PID]],Batters[[#All],[PID]],0)),INDEX(Table3[[#All],[WE]],MATCH(Table5[[#This Row],[PID]],Table3[[#All],[PID]],0)))</f>
        <v>Normal</v>
      </c>
      <c r="K222" s="52" t="str">
        <f>IF($C222="B",INDEX(Batters[[#All],[INT]],MATCH(Table5[[#This Row],[PID]],Batters[[#All],[PID]],0)),INDEX(Table3[[#All],[INT]],MATCH(Table5[[#This Row],[PID]],Table3[[#All],[PID]],0)))</f>
        <v>Normal</v>
      </c>
      <c r="L222" s="60">
        <f>IF($C222="B",INDEX(Batters[[#All],[CON P]],MATCH(Table5[[#This Row],[PID]],Batters[[#All],[PID]],0)),INDEX(Table3[[#All],[STU P]],MATCH(Table5[[#This Row],[PID]],Table3[[#All],[PID]],0)))</f>
        <v>4</v>
      </c>
      <c r="M222" s="56">
        <f>IF($C222="B",INDEX(Batters[[#All],[GAP P]],MATCH(Table5[[#This Row],[PID]],Batters[[#All],[PID]],0)),INDEX(Table3[[#All],[MOV P]],MATCH(Table5[[#This Row],[PID]],Table3[[#All],[PID]],0)))</f>
        <v>5</v>
      </c>
      <c r="N222" s="56">
        <f>IF($C222="B",INDEX(Batters[[#All],[POW P]],MATCH(Table5[[#This Row],[PID]],Batters[[#All],[PID]],0)),INDEX(Table3[[#All],[CON P]],MATCH(Table5[[#This Row],[PID]],Table3[[#All],[PID]],0)))</f>
        <v>2</v>
      </c>
      <c r="O222" s="56">
        <f>IF($C222="B",INDEX(Batters[[#All],[EYE P]],MATCH(Table5[[#This Row],[PID]],Batters[[#All],[PID]],0)),INDEX(Table3[[#All],[VELO]],MATCH(Table5[[#This Row],[PID]],Table3[[#All],[PID]],0)))</f>
        <v>6</v>
      </c>
      <c r="P222" s="56">
        <f>IF($C222="B",INDEX(Batters[[#All],[K P]],MATCH(Table5[[#This Row],[PID]],Batters[[#All],[PID]],0)),INDEX(Table3[[#All],[STM]],MATCH(Table5[[#This Row],[PID]],Table3[[#All],[PID]],0)))</f>
        <v>4</v>
      </c>
      <c r="Q222" s="61">
        <f>IF($C222="B",INDEX(Batters[[#All],[Tot]],MATCH(Table5[[#This Row],[PID]],Batters[[#All],[PID]],0)),INDEX(Table3[[#All],[Tot]],MATCH(Table5[[#This Row],[PID]],Table3[[#All],[PID]],0)))</f>
        <v>46.698688989685166</v>
      </c>
      <c r="R222" s="52">
        <f>IF($C222="B",INDEX(Batters[[#All],[zScore]],MATCH(Table5[[#This Row],[PID]],Batters[[#All],[PID]],0)),INDEX(Table3[[#All],[zScore]],MATCH(Table5[[#This Row],[PID]],Table3[[#All],[PID]],0)))</f>
        <v>0.50799798620438208</v>
      </c>
      <c r="S222" s="58" t="str">
        <f>IF($C222="B",INDEX(Batters[[#All],[DEM]],MATCH(Table5[[#This Row],[PID]],Batters[[#All],[PID]],0)),INDEX(Table3[[#All],[DEM]],MATCH(Table5[[#This Row],[PID]],Table3[[#All],[PID]],0)))</f>
        <v>$200k</v>
      </c>
      <c r="T222" s="62">
        <f>IF($C222="B",INDEX(Batters[[#All],[Rnk]],MATCH(Table5[[#This Row],[PID]],Batters[[#All],[PID]],0)),INDEX(Table3[[#All],[Rnk]],MATCH(Table5[[#This Row],[PID]],Table3[[#All],[PID]],0)))</f>
        <v>900</v>
      </c>
      <c r="U222" s="67">
        <f>IF($C222="B",VLOOKUP($A222,Bat!$A$4:$BA$1314,47,FALSE),VLOOKUP($A222,Pit!$A$4:$BF$1214,56,FALSE))</f>
        <v>132</v>
      </c>
      <c r="V222" s="50">
        <f>IF($C222="B",VLOOKUP($A222,Bat!$A$4:$BA$1314,48,FALSE),VLOOKUP($A222,Pit!$A$4:$BF$1214,57,FALSE))</f>
        <v>0</v>
      </c>
      <c r="W222" s="68">
        <f>IF(Table5[[#This Row],[posRnk]]=999,9999,Table5[[#This Row],[posRnk]]+Table5[[#This Row],[zRnk]]+IF($W$3&lt;&gt;Table5[[#This Row],[Type]],50,0))</f>
        <v>1173</v>
      </c>
      <c r="X222" s="51">
        <f>RANK(Table5[[#This Row],[zScore]],Table5[[#All],[zScore]])</f>
        <v>223</v>
      </c>
      <c r="Y222" s="50">
        <f>IFERROR(INDEX(DraftResults[[#All],[OVR]],MATCH(Table5[[#This Row],[PID]],DraftResults[[#All],[Player ID]],0)),"")</f>
        <v>202</v>
      </c>
      <c r="Z222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7</v>
      </c>
      <c r="AA222" s="50">
        <f>IFERROR(INDEX(DraftResults[[#All],[Pick in Round]],MATCH(Table5[[#This Row],[PID]],DraftResults[[#All],[Player ID]],0)),"")</f>
        <v>1</v>
      </c>
      <c r="AB222" s="50" t="str">
        <f>IFERROR(INDEX(DraftResults[[#All],[Team Name]],MATCH(Table5[[#This Row],[PID]],DraftResults[[#All],[Player ID]],0)),"")</f>
        <v>Yuma Arroyos</v>
      </c>
      <c r="AC222" s="50">
        <f>IF(Table5[[#This Row],[Ovr]]="","",IF(Table5[[#This Row],[cmbList]]="","",Table5[[#This Row],[cmbList]]-Table5[[#This Row],[Ovr]]))</f>
        <v>971</v>
      </c>
      <c r="AD222" s="54" t="str">
        <f>IF(ISERROR(VLOOKUP($AB222&amp;"-"&amp;$E222&amp;" "&amp;F222,Bonuses!$B$1:$G$1006,4,FALSE)),"",INT(VLOOKUP($AB222&amp;"-"&amp;$E222&amp;" "&amp;$F222,Bonuses!$B$1:$G$1006,4,FALSE)))</f>
        <v/>
      </c>
      <c r="AE222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7.1 (202) - 3B Shan-bo Chen</v>
      </c>
    </row>
    <row r="223" spans="1:31" s="50" customFormat="1" x14ac:dyDescent="0.3">
      <c r="A223" s="50">
        <v>11364</v>
      </c>
      <c r="B223" s="50">
        <f>COUNTIF(Table5[PID],A223)</f>
        <v>1</v>
      </c>
      <c r="C223" s="50" t="str">
        <f>IF(COUNTIF(Table3[[#All],[PID]],A223)&gt;0,"P","B")</f>
        <v>P</v>
      </c>
      <c r="D223" s="59" t="str">
        <f>IF($C223="B",INDEX(Batters[[#All],[POS]],MATCH(Table5[[#This Row],[PID]],Batters[[#All],[PID]],0)),INDEX(Table3[[#All],[POS]],MATCH(Table5[[#This Row],[PID]],Table3[[#All],[PID]],0)))</f>
        <v>SP</v>
      </c>
      <c r="E223" s="52" t="str">
        <f>IF($C223="B",INDEX(Batters[[#All],[First]],MATCH(Table5[[#This Row],[PID]],Batters[[#All],[PID]],0)),INDEX(Table3[[#All],[First]],MATCH(Table5[[#This Row],[PID]],Table3[[#All],[PID]],0)))</f>
        <v>Brandon</v>
      </c>
      <c r="F223" s="50" t="str">
        <f>IF($C223="B",INDEX(Batters[[#All],[Last]],MATCH(A223,Batters[[#All],[PID]],0)),INDEX(Table3[[#All],[Last]],MATCH(A223,Table3[[#All],[PID]],0)))</f>
        <v>Knight</v>
      </c>
      <c r="G223" s="56">
        <f>IF($C223="B",INDEX(Batters[[#All],[Age]],MATCH(Table5[[#This Row],[PID]],Batters[[#All],[PID]],0)),INDEX(Table3[[#All],[Age]],MATCH(Table5[[#This Row],[PID]],Table3[[#All],[PID]],0)))</f>
        <v>17</v>
      </c>
      <c r="H223" s="52" t="str">
        <f>IF($C223="B",INDEX(Batters[[#All],[B]],MATCH(Table5[[#This Row],[PID]],Batters[[#All],[PID]],0)),INDEX(Table3[[#All],[B]],MATCH(Table5[[#This Row],[PID]],Table3[[#All],[PID]],0)))</f>
        <v>R</v>
      </c>
      <c r="I223" s="52" t="str">
        <f>IF($C223="B",INDEX(Batters[[#All],[T]],MATCH(Table5[[#This Row],[PID]],Batters[[#All],[PID]],0)),INDEX(Table3[[#All],[T]],MATCH(Table5[[#This Row],[PID]],Table3[[#All],[PID]],0)))</f>
        <v>R</v>
      </c>
      <c r="J223" s="52" t="str">
        <f>IF($C223="B",INDEX(Batters[[#All],[WE]],MATCH(Table5[[#This Row],[PID]],Batters[[#All],[PID]],0)),INDEX(Table3[[#All],[WE]],MATCH(Table5[[#This Row],[PID]],Table3[[#All],[PID]],0)))</f>
        <v>Normal</v>
      </c>
      <c r="K223" s="52" t="str">
        <f>IF($C223="B",INDEX(Batters[[#All],[INT]],MATCH(Table5[[#This Row],[PID]],Batters[[#All],[PID]],0)),INDEX(Table3[[#All],[INT]],MATCH(Table5[[#This Row],[PID]],Table3[[#All],[PID]],0)))</f>
        <v>Normal</v>
      </c>
      <c r="L223" s="60">
        <f>IF($C223="B",INDEX(Batters[[#All],[CON P]],MATCH(Table5[[#This Row],[PID]],Batters[[#All],[PID]],0)),INDEX(Table3[[#All],[STU P]],MATCH(Table5[[#This Row],[PID]],Table3[[#All],[PID]],0)))</f>
        <v>5</v>
      </c>
      <c r="M223" s="56">
        <f>IF($C223="B",INDEX(Batters[[#All],[GAP P]],MATCH(Table5[[#This Row],[PID]],Batters[[#All],[PID]],0)),INDEX(Table3[[#All],[MOV P]],MATCH(Table5[[#This Row],[PID]],Table3[[#All],[PID]],0)))</f>
        <v>3</v>
      </c>
      <c r="N223" s="56">
        <f>IF($C223="B",INDEX(Batters[[#All],[POW P]],MATCH(Table5[[#This Row],[PID]],Batters[[#All],[PID]],0)),INDEX(Table3[[#All],[CON P]],MATCH(Table5[[#This Row],[PID]],Table3[[#All],[PID]],0)))</f>
        <v>3</v>
      </c>
      <c r="O223" s="56" t="str">
        <f>IF($C223="B",INDEX(Batters[[#All],[EYE P]],MATCH(Table5[[#This Row],[PID]],Batters[[#All],[PID]],0)),INDEX(Table3[[#All],[VELO]],MATCH(Table5[[#This Row],[PID]],Table3[[#All],[PID]],0)))</f>
        <v>92-94 Mph</v>
      </c>
      <c r="P223" s="56">
        <f>IF($C223="B",INDEX(Batters[[#All],[K P]],MATCH(Table5[[#This Row],[PID]],Batters[[#All],[PID]],0)),INDEX(Table3[[#All],[STM]],MATCH(Table5[[#This Row],[PID]],Table3[[#All],[PID]],0)))</f>
        <v>6</v>
      </c>
      <c r="Q223" s="61">
        <f>IF($C223="B",INDEX(Batters[[#All],[Tot]],MATCH(Table5[[#This Row],[PID]],Batters[[#All],[PID]],0)),INDEX(Table3[[#All],[Tot]],MATCH(Table5[[#This Row],[PID]],Table3[[#All],[PID]],0)))</f>
        <v>44.9157518941822</v>
      </c>
      <c r="R223" s="52">
        <f>IF($C223="B",INDEX(Batters[[#All],[zScore]],MATCH(Table5[[#This Row],[PID]],Batters[[#All],[PID]],0)),INDEX(Table3[[#All],[zScore]],MATCH(Table5[[#This Row],[PID]],Table3[[#All],[PID]],0)))</f>
        <v>0.50650768045377648</v>
      </c>
      <c r="S223" s="58" t="str">
        <f>IF($C223="B",INDEX(Batters[[#All],[DEM]],MATCH(Table5[[#This Row],[PID]],Batters[[#All],[PID]],0)),INDEX(Table3[[#All],[DEM]],MATCH(Table5[[#This Row],[PID]],Table3[[#All],[PID]],0)))</f>
        <v>$75k</v>
      </c>
      <c r="T223" s="62">
        <f>IF($C223="B",INDEX(Batters[[#All],[Rnk]],MATCH(Table5[[#This Row],[PID]],Batters[[#All],[PID]],0)),INDEX(Table3[[#All],[Rnk]],MATCH(Table5[[#This Row],[PID]],Table3[[#All],[PID]],0)))</f>
        <v>900</v>
      </c>
      <c r="U223" s="67">
        <f>IF($C223="B",VLOOKUP($A223,Bat!$A$4:$BA$1314,47,FALSE),VLOOKUP($A223,Pit!$A$4:$BF$1214,56,FALSE))</f>
        <v>82</v>
      </c>
      <c r="V223" s="50">
        <f>IF($C223="B",VLOOKUP($A223,Bat!$A$4:$BA$1314,48,FALSE),VLOOKUP($A223,Pit!$A$4:$BF$1214,57,FALSE))</f>
        <v>0</v>
      </c>
      <c r="W223" s="68">
        <f>IF(Table5[[#This Row],[posRnk]]=999,9999,Table5[[#This Row],[posRnk]]+Table5[[#This Row],[zRnk]]+IF($W$3&lt;&gt;Table5[[#This Row],[Type]],50,0))</f>
        <v>1124</v>
      </c>
      <c r="X223" s="51">
        <f>RANK(Table5[[#This Row],[zScore]],Table5[[#All],[zScore]])</f>
        <v>224</v>
      </c>
      <c r="Y223" s="50">
        <f>IFERROR(INDEX(DraftResults[[#All],[OVR]],MATCH(Table5[[#This Row],[PID]],DraftResults[[#All],[Player ID]],0)),"")</f>
        <v>267</v>
      </c>
      <c r="Z223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9</v>
      </c>
      <c r="AA223" s="50">
        <f>IFERROR(INDEX(DraftResults[[#All],[Pick in Round]],MATCH(Table5[[#This Row],[PID]],DraftResults[[#All],[Player ID]],0)),"")</f>
        <v>2</v>
      </c>
      <c r="AB223" s="50" t="str">
        <f>IFERROR(INDEX(DraftResults[[#All],[Team Name]],MATCH(Table5[[#This Row],[PID]],DraftResults[[#All],[Player ID]],0)),"")</f>
        <v>Charleston Statesmen</v>
      </c>
      <c r="AC223" s="50">
        <f>IF(Table5[[#This Row],[Ovr]]="","",IF(Table5[[#This Row],[cmbList]]="","",Table5[[#This Row],[cmbList]]-Table5[[#This Row],[Ovr]]))</f>
        <v>857</v>
      </c>
      <c r="AD223" s="54" t="str">
        <f>IF(ISERROR(VLOOKUP($AB223&amp;"-"&amp;$E223&amp;" "&amp;F223,Bonuses!$B$1:$G$1006,4,FALSE)),"",INT(VLOOKUP($AB223&amp;"-"&amp;$E223&amp;" "&amp;$F223,Bonuses!$B$1:$G$1006,4,FALSE)))</f>
        <v/>
      </c>
      <c r="AE223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9.2 (267) - SP Brandon Knight</v>
      </c>
    </row>
    <row r="224" spans="1:31" s="50" customFormat="1" x14ac:dyDescent="0.3">
      <c r="A224" s="67">
        <v>20837</v>
      </c>
      <c r="B224" s="68">
        <f>COUNTIF(Table5[PID],A224)</f>
        <v>1</v>
      </c>
      <c r="C224" s="68" t="str">
        <f>IF(COUNTIF(Table3[[#All],[PID]],A224)&gt;0,"P","B")</f>
        <v>B</v>
      </c>
      <c r="D224" s="59" t="str">
        <f>IF($C224="B",INDEX(Batters[[#All],[POS]],MATCH(Table5[[#This Row],[PID]],Batters[[#All],[PID]],0)),INDEX(Table3[[#All],[POS]],MATCH(Table5[[#This Row],[PID]],Table3[[#All],[PID]],0)))</f>
        <v>1B</v>
      </c>
      <c r="E224" s="52" t="str">
        <f>IF($C224="B",INDEX(Batters[[#All],[First]],MATCH(Table5[[#This Row],[PID]],Batters[[#All],[PID]],0)),INDEX(Table3[[#All],[First]],MATCH(Table5[[#This Row],[PID]],Table3[[#All],[PID]],0)))</f>
        <v>Sam</v>
      </c>
      <c r="F224" s="55" t="str">
        <f>IF($C224="B",INDEX(Batters[[#All],[Last]],MATCH(A224,Batters[[#All],[PID]],0)),INDEX(Table3[[#All],[Last]],MATCH(A224,Table3[[#All],[PID]],0)))</f>
        <v>Serna</v>
      </c>
      <c r="G224" s="56">
        <f>IF($C224="B",INDEX(Batters[[#All],[Age]],MATCH(Table5[[#This Row],[PID]],Batters[[#All],[PID]],0)),INDEX(Table3[[#All],[Age]],MATCH(Table5[[#This Row],[PID]],Table3[[#All],[PID]],0)))</f>
        <v>17</v>
      </c>
      <c r="H224" s="52" t="str">
        <f>IF($C224="B",INDEX(Batters[[#All],[B]],MATCH(Table5[[#This Row],[PID]],Batters[[#All],[PID]],0)),INDEX(Table3[[#All],[B]],MATCH(Table5[[#This Row],[PID]],Table3[[#All],[PID]],0)))</f>
        <v>R</v>
      </c>
      <c r="I224" s="52" t="str">
        <f>IF($C224="B",INDEX(Batters[[#All],[T]],MATCH(Table5[[#This Row],[PID]],Batters[[#All],[PID]],0)),INDEX(Table3[[#All],[T]],MATCH(Table5[[#This Row],[PID]],Table3[[#All],[PID]],0)))</f>
        <v>R</v>
      </c>
      <c r="J224" s="69" t="str">
        <f>IF($C224="B",INDEX(Batters[[#All],[WE]],MATCH(Table5[[#This Row],[PID]],Batters[[#All],[PID]],0)),INDEX(Table3[[#All],[WE]],MATCH(Table5[[#This Row],[PID]],Table3[[#All],[PID]],0)))</f>
        <v>High</v>
      </c>
      <c r="K224" s="52" t="str">
        <f>IF($C224="B",INDEX(Batters[[#All],[INT]],MATCH(Table5[[#This Row],[PID]],Batters[[#All],[PID]],0)),INDEX(Table3[[#All],[INT]],MATCH(Table5[[#This Row],[PID]],Table3[[#All],[PID]],0)))</f>
        <v>Normal</v>
      </c>
      <c r="L224" s="60">
        <f>IF($C224="B",INDEX(Batters[[#All],[CON P]],MATCH(Table5[[#This Row],[PID]],Batters[[#All],[PID]],0)),INDEX(Table3[[#All],[STU P]],MATCH(Table5[[#This Row],[PID]],Table3[[#All],[PID]],0)))</f>
        <v>3</v>
      </c>
      <c r="M224" s="70">
        <f>IF($C224="B",INDEX(Batters[[#All],[GAP P]],MATCH(Table5[[#This Row],[PID]],Batters[[#All],[PID]],0)),INDEX(Table3[[#All],[MOV P]],MATCH(Table5[[#This Row],[PID]],Table3[[#All],[PID]],0)))</f>
        <v>5</v>
      </c>
      <c r="N224" s="70">
        <f>IF($C224="B",INDEX(Batters[[#All],[POW P]],MATCH(Table5[[#This Row],[PID]],Batters[[#All],[PID]],0)),INDEX(Table3[[#All],[CON P]],MATCH(Table5[[#This Row],[PID]],Table3[[#All],[PID]],0)))</f>
        <v>6</v>
      </c>
      <c r="O224" s="70">
        <f>IF($C224="B",INDEX(Batters[[#All],[EYE P]],MATCH(Table5[[#This Row],[PID]],Batters[[#All],[PID]],0)),INDEX(Table3[[#All],[VELO]],MATCH(Table5[[#This Row],[PID]],Table3[[#All],[PID]],0)))</f>
        <v>6</v>
      </c>
      <c r="P224" s="56">
        <f>IF($C224="B",INDEX(Batters[[#All],[K P]],MATCH(Table5[[#This Row],[PID]],Batters[[#All],[PID]],0)),INDEX(Table3[[#All],[STM]],MATCH(Table5[[#This Row],[PID]],Table3[[#All],[PID]],0)))</f>
        <v>3</v>
      </c>
      <c r="Q224" s="61">
        <f>IF($C224="B",INDEX(Batters[[#All],[Tot]],MATCH(Table5[[#This Row],[PID]],Batters[[#All],[PID]],0)),INDEX(Table3[[#All],[Tot]],MATCH(Table5[[#This Row],[PID]],Table3[[#All],[PID]],0)))</f>
        <v>46.643080739997735</v>
      </c>
      <c r="R224" s="52">
        <f>IF($C224="B",INDEX(Batters[[#All],[zScore]],MATCH(Table5[[#This Row],[PID]],Batters[[#All],[PID]],0)),INDEX(Table3[[#All],[zScore]],MATCH(Table5[[#This Row],[PID]],Table3[[#All],[PID]],0)))</f>
        <v>0.49988095511672087</v>
      </c>
      <c r="S224" s="75" t="str">
        <f>IF($C224="B",INDEX(Batters[[#All],[DEM]],MATCH(Table5[[#This Row],[PID]],Batters[[#All],[PID]],0)),INDEX(Table3[[#All],[DEM]],MATCH(Table5[[#This Row],[PID]],Table3[[#All],[PID]],0)))</f>
        <v>$220k</v>
      </c>
      <c r="T224" s="72">
        <f>IF($C224="B",INDEX(Batters[[#All],[Rnk]],MATCH(Table5[[#This Row],[PID]],Batters[[#All],[PID]],0)),INDEX(Table3[[#All],[Rnk]],MATCH(Table5[[#This Row],[PID]],Table3[[#All],[PID]],0)))</f>
        <v>900</v>
      </c>
      <c r="U224" s="67">
        <f>IF($C224="B",VLOOKUP($A224,Bat!$A$4:$BA$1314,47,FALSE),VLOOKUP($A224,Pit!$A$4:$BF$1214,56,FALSE))</f>
        <v>126</v>
      </c>
      <c r="V224" s="50">
        <f>IF($C224="B",VLOOKUP($A224,Bat!$A$4:$BA$1314,48,FALSE),VLOOKUP($A224,Pit!$A$4:$BF$1214,57,FALSE))</f>
        <v>0</v>
      </c>
      <c r="W224" s="68">
        <f>IF(Table5[[#This Row],[posRnk]]=999,9999,Table5[[#This Row],[posRnk]]+Table5[[#This Row],[zRnk]]+IF($W$3&lt;&gt;Table5[[#This Row],[Type]],50,0))</f>
        <v>1175</v>
      </c>
      <c r="X224" s="71">
        <f>RANK(Table5[[#This Row],[zScore]],Table5[[#All],[zScore]])</f>
        <v>225</v>
      </c>
      <c r="Y224" s="68">
        <f>IFERROR(INDEX(DraftResults[[#All],[OVR]],MATCH(Table5[[#This Row],[PID]],DraftResults[[#All],[Player ID]],0)),"")</f>
        <v>420</v>
      </c>
      <c r="Z224" s="7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13</v>
      </c>
      <c r="AA224" s="68">
        <f>IFERROR(INDEX(DraftResults[[#All],[Pick in Round]],MATCH(Table5[[#This Row],[PID]],DraftResults[[#All],[Player ID]],0)),"")</f>
        <v>21</v>
      </c>
      <c r="AB224" s="68" t="str">
        <f>IFERROR(INDEX(DraftResults[[#All],[Team Name]],MATCH(Table5[[#This Row],[PID]],DraftResults[[#All],[Player ID]],0)),"")</f>
        <v>Neo-Tokyo Akira</v>
      </c>
      <c r="AC224" s="68">
        <f>IF(Table5[[#This Row],[Ovr]]="","",IF(Table5[[#This Row],[cmbList]]="","",Table5[[#This Row],[cmbList]]-Table5[[#This Row],[Ovr]]))</f>
        <v>755</v>
      </c>
      <c r="AD224" s="74" t="str">
        <f>IF(ISERROR(VLOOKUP($AB224&amp;"-"&amp;$E224&amp;" "&amp;F224,Bonuses!$B$1:$G$1006,4,FALSE)),"",INT(VLOOKUP($AB224&amp;"-"&amp;$E224&amp;" "&amp;$F224,Bonuses!$B$1:$G$1006,4,FALSE)))</f>
        <v/>
      </c>
      <c r="AE224" s="68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13.21 (420) - 1B Sam Serna</v>
      </c>
    </row>
    <row r="225" spans="1:31" s="50" customFormat="1" x14ac:dyDescent="0.3">
      <c r="A225" s="50">
        <v>9282</v>
      </c>
      <c r="B225" s="50">
        <f>COUNTIF(Table5[PID],A225)</f>
        <v>1</v>
      </c>
      <c r="C225" s="50" t="str">
        <f>IF(COUNTIF(Table3[[#All],[PID]],A225)&gt;0,"P","B")</f>
        <v>B</v>
      </c>
      <c r="D225" s="59" t="str">
        <f>IF($C225="B",INDEX(Batters[[#All],[POS]],MATCH(Table5[[#This Row],[PID]],Batters[[#All],[PID]],0)),INDEX(Table3[[#All],[POS]],MATCH(Table5[[#This Row],[PID]],Table3[[#All],[PID]],0)))</f>
        <v>3B</v>
      </c>
      <c r="E225" s="52" t="str">
        <f>IF($C225="B",INDEX(Batters[[#All],[First]],MATCH(Table5[[#This Row],[PID]],Batters[[#All],[PID]],0)),INDEX(Table3[[#All],[First]],MATCH(Table5[[#This Row],[PID]],Table3[[#All],[PID]],0)))</f>
        <v>Juan Carlos</v>
      </c>
      <c r="F225" s="50" t="str">
        <f>IF($C225="B",INDEX(Batters[[#All],[Last]],MATCH(A225,Batters[[#All],[PID]],0)),INDEX(Table3[[#All],[Last]],MATCH(A225,Table3[[#All],[PID]],0)))</f>
        <v>Orozco</v>
      </c>
      <c r="G225" s="56">
        <f>IF($C225="B",INDEX(Batters[[#All],[Age]],MATCH(Table5[[#This Row],[PID]],Batters[[#All],[PID]],0)),INDEX(Table3[[#All],[Age]],MATCH(Table5[[#This Row],[PID]],Table3[[#All],[PID]],0)))</f>
        <v>17</v>
      </c>
      <c r="H225" s="52" t="str">
        <f>IF($C225="B",INDEX(Batters[[#All],[B]],MATCH(Table5[[#This Row],[PID]],Batters[[#All],[PID]],0)),INDEX(Table3[[#All],[B]],MATCH(Table5[[#This Row],[PID]],Table3[[#All],[PID]],0)))</f>
        <v>L</v>
      </c>
      <c r="I225" s="52" t="str">
        <f>IF($C225="B",INDEX(Batters[[#All],[T]],MATCH(Table5[[#This Row],[PID]],Batters[[#All],[PID]],0)),INDEX(Table3[[#All],[T]],MATCH(Table5[[#This Row],[PID]],Table3[[#All],[PID]],0)))</f>
        <v>R</v>
      </c>
      <c r="J225" s="52" t="str">
        <f>IF($C225="B",INDEX(Batters[[#All],[WE]],MATCH(Table5[[#This Row],[PID]],Batters[[#All],[PID]],0)),INDEX(Table3[[#All],[WE]],MATCH(Table5[[#This Row],[PID]],Table3[[#All],[PID]],0)))</f>
        <v>Normal</v>
      </c>
      <c r="K225" s="52" t="str">
        <f>IF($C225="B",INDEX(Batters[[#All],[INT]],MATCH(Table5[[#This Row],[PID]],Batters[[#All],[PID]],0)),INDEX(Table3[[#All],[INT]],MATCH(Table5[[#This Row],[PID]],Table3[[#All],[PID]],0)))</f>
        <v>Normal</v>
      </c>
      <c r="L225" s="60">
        <f>IF($C225="B",INDEX(Batters[[#All],[CON P]],MATCH(Table5[[#This Row],[PID]],Batters[[#All],[PID]],0)),INDEX(Table3[[#All],[STU P]],MATCH(Table5[[#This Row],[PID]],Table3[[#All],[PID]],0)))</f>
        <v>4</v>
      </c>
      <c r="M225" s="56">
        <f>IF($C225="B",INDEX(Batters[[#All],[GAP P]],MATCH(Table5[[#This Row],[PID]],Batters[[#All],[PID]],0)),INDEX(Table3[[#All],[MOV P]],MATCH(Table5[[#This Row],[PID]],Table3[[#All],[PID]],0)))</f>
        <v>5</v>
      </c>
      <c r="N225" s="56">
        <f>IF($C225="B",INDEX(Batters[[#All],[POW P]],MATCH(Table5[[#This Row],[PID]],Batters[[#All],[PID]],0)),INDEX(Table3[[#All],[CON P]],MATCH(Table5[[#This Row],[PID]],Table3[[#All],[PID]],0)))</f>
        <v>3</v>
      </c>
      <c r="O225" s="56">
        <f>IF($C225="B",INDEX(Batters[[#All],[EYE P]],MATCH(Table5[[#This Row],[PID]],Batters[[#All],[PID]],0)),INDEX(Table3[[#All],[VELO]],MATCH(Table5[[#This Row],[PID]],Table3[[#All],[PID]],0)))</f>
        <v>5</v>
      </c>
      <c r="P225" s="56">
        <f>IF($C225="B",INDEX(Batters[[#All],[K P]],MATCH(Table5[[#This Row],[PID]],Batters[[#All],[PID]],0)),INDEX(Table3[[#All],[STM]],MATCH(Table5[[#This Row],[PID]],Table3[[#All],[PID]],0)))</f>
        <v>4</v>
      </c>
      <c r="Q225" s="61">
        <f>IF($C225="B",INDEX(Batters[[#All],[Tot]],MATCH(Table5[[#This Row],[PID]],Batters[[#All],[PID]],0)),INDEX(Table3[[#All],[Tot]],MATCH(Table5[[#This Row],[PID]],Table3[[#All],[PID]],0)))</f>
        <v>46.608837008875895</v>
      </c>
      <c r="R225" s="52">
        <f>IF($C225="B",INDEX(Batters[[#All],[zScore]],MATCH(Table5[[#This Row],[PID]],Batters[[#All],[PID]],0)),INDEX(Table3[[#All],[zScore]],MATCH(Table5[[#This Row],[PID]],Table3[[#All],[PID]],0)))</f>
        <v>0.49488246241760048</v>
      </c>
      <c r="S225" s="58" t="str">
        <f>IF($C225="B",INDEX(Batters[[#All],[DEM]],MATCH(Table5[[#This Row],[PID]],Batters[[#All],[PID]],0)),INDEX(Table3[[#All],[DEM]],MATCH(Table5[[#This Row],[PID]],Table3[[#All],[PID]],0)))</f>
        <v>$190k</v>
      </c>
      <c r="T225" s="62">
        <f>IF($C225="B",INDEX(Batters[[#All],[Rnk]],MATCH(Table5[[#This Row],[PID]],Batters[[#All],[PID]],0)),INDEX(Table3[[#All],[Rnk]],MATCH(Table5[[#This Row],[PID]],Table3[[#All],[PID]],0)))</f>
        <v>900</v>
      </c>
      <c r="U225" s="67">
        <f>IF($C225="B",VLOOKUP($A225,Bat!$A$4:$BA$1314,47,FALSE),VLOOKUP($A225,Pit!$A$4:$BF$1214,56,FALSE))</f>
        <v>134</v>
      </c>
      <c r="V225" s="50">
        <f>IF($C225="B",VLOOKUP($A225,Bat!$A$4:$BA$1314,48,FALSE),VLOOKUP($A225,Pit!$A$4:$BF$1214,57,FALSE))</f>
        <v>0</v>
      </c>
      <c r="W225" s="68">
        <f>IF(Table5[[#This Row],[posRnk]]=999,9999,Table5[[#This Row],[posRnk]]+Table5[[#This Row],[zRnk]]+IF($W$3&lt;&gt;Table5[[#This Row],[Type]],50,0))</f>
        <v>1176</v>
      </c>
      <c r="X225" s="51">
        <f>RANK(Table5[[#This Row],[zScore]],Table5[[#All],[zScore]])</f>
        <v>226</v>
      </c>
      <c r="Y225" s="50">
        <f>IFERROR(INDEX(DraftResults[[#All],[OVR]],MATCH(Table5[[#This Row],[PID]],DraftResults[[#All],[Player ID]],0)),"")</f>
        <v>493</v>
      </c>
      <c r="Z225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15</v>
      </c>
      <c r="AA225" s="50">
        <f>IFERROR(INDEX(DraftResults[[#All],[Pick in Round]],MATCH(Table5[[#This Row],[PID]],DraftResults[[#All],[Player ID]],0)),"")</f>
        <v>26</v>
      </c>
      <c r="AB225" s="50" t="str">
        <f>IFERROR(INDEX(DraftResults[[#All],[Team Name]],MATCH(Table5[[#This Row],[PID]],DraftResults[[#All],[Player ID]],0)),"")</f>
        <v>Aurora Borealis</v>
      </c>
      <c r="AC225" s="50">
        <f>IF(Table5[[#This Row],[Ovr]]="","",IF(Table5[[#This Row],[cmbList]]="","",Table5[[#This Row],[cmbList]]-Table5[[#This Row],[Ovr]]))</f>
        <v>683</v>
      </c>
      <c r="AD225" s="54" t="str">
        <f>IF(ISERROR(VLOOKUP($AB225&amp;"-"&amp;$E225&amp;" "&amp;F225,Bonuses!$B$1:$G$1006,4,FALSE)),"",INT(VLOOKUP($AB225&amp;"-"&amp;$E225&amp;" "&amp;$F225,Bonuses!$B$1:$G$1006,4,FALSE)))</f>
        <v/>
      </c>
      <c r="AE225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15.26 (493) - 3B Juan Carlos Orozco</v>
      </c>
    </row>
    <row r="226" spans="1:31" s="50" customFormat="1" x14ac:dyDescent="0.3">
      <c r="A226" s="50">
        <v>10473</v>
      </c>
      <c r="B226" s="50">
        <f>COUNTIF(Table5[PID],A226)</f>
        <v>1</v>
      </c>
      <c r="C226" s="50" t="str">
        <f>IF(COUNTIF(Table3[[#All],[PID]],A226)&gt;0,"P","B")</f>
        <v>P</v>
      </c>
      <c r="D226" s="59" t="str">
        <f>IF($C226="B",INDEX(Batters[[#All],[POS]],MATCH(Table5[[#This Row],[PID]],Batters[[#All],[PID]],0)),INDEX(Table3[[#All],[POS]],MATCH(Table5[[#This Row],[PID]],Table3[[#All],[PID]],0)))</f>
        <v>SP</v>
      </c>
      <c r="E226" s="52" t="str">
        <f>IF($C226="B",INDEX(Batters[[#All],[First]],MATCH(Table5[[#This Row],[PID]],Batters[[#All],[PID]],0)),INDEX(Table3[[#All],[First]],MATCH(Table5[[#This Row],[PID]],Table3[[#All],[PID]],0)))</f>
        <v>Doug</v>
      </c>
      <c r="F226" s="50" t="str">
        <f>IF($C226="B",INDEX(Batters[[#All],[Last]],MATCH(A226,Batters[[#All],[PID]],0)),INDEX(Table3[[#All],[Last]],MATCH(A226,Table3[[#All],[PID]],0)))</f>
        <v>Bane</v>
      </c>
      <c r="G226" s="56">
        <f>IF($C226="B",INDEX(Batters[[#All],[Age]],MATCH(Table5[[#This Row],[PID]],Batters[[#All],[PID]],0)),INDEX(Table3[[#All],[Age]],MATCH(Table5[[#This Row],[PID]],Table3[[#All],[PID]],0)))</f>
        <v>18</v>
      </c>
      <c r="H226" s="52" t="str">
        <f>IF($C226="B",INDEX(Batters[[#All],[B]],MATCH(Table5[[#This Row],[PID]],Batters[[#All],[PID]],0)),INDEX(Table3[[#All],[B]],MATCH(Table5[[#This Row],[PID]],Table3[[#All],[PID]],0)))</f>
        <v>L</v>
      </c>
      <c r="I226" s="52" t="str">
        <f>IF($C226="B",INDEX(Batters[[#All],[T]],MATCH(Table5[[#This Row],[PID]],Batters[[#All],[PID]],0)),INDEX(Table3[[#All],[T]],MATCH(Table5[[#This Row],[PID]],Table3[[#All],[PID]],0)))</f>
        <v>L</v>
      </c>
      <c r="J226" s="52" t="str">
        <f>IF($C226="B",INDEX(Batters[[#All],[WE]],MATCH(Table5[[#This Row],[PID]],Batters[[#All],[PID]],0)),INDEX(Table3[[#All],[WE]],MATCH(Table5[[#This Row],[PID]],Table3[[#All],[PID]],0)))</f>
        <v>Normal</v>
      </c>
      <c r="K226" s="52" t="str">
        <f>IF($C226="B",INDEX(Batters[[#All],[INT]],MATCH(Table5[[#This Row],[PID]],Batters[[#All],[PID]],0)),INDEX(Table3[[#All],[INT]],MATCH(Table5[[#This Row],[PID]],Table3[[#All],[PID]],0)))</f>
        <v>Normal</v>
      </c>
      <c r="L226" s="60">
        <f>IF($C226="B",INDEX(Batters[[#All],[CON P]],MATCH(Table5[[#This Row],[PID]],Batters[[#All],[PID]],0)),INDEX(Table3[[#All],[STU P]],MATCH(Table5[[#This Row],[PID]],Table3[[#All],[PID]],0)))</f>
        <v>5</v>
      </c>
      <c r="M226" s="56">
        <f>IF($C226="B",INDEX(Batters[[#All],[GAP P]],MATCH(Table5[[#This Row],[PID]],Batters[[#All],[PID]],0)),INDEX(Table3[[#All],[MOV P]],MATCH(Table5[[#This Row],[PID]],Table3[[#All],[PID]],0)))</f>
        <v>2</v>
      </c>
      <c r="N226" s="56">
        <f>IF($C226="B",INDEX(Batters[[#All],[POW P]],MATCH(Table5[[#This Row],[PID]],Batters[[#All],[PID]],0)),INDEX(Table3[[#All],[CON P]],MATCH(Table5[[#This Row],[PID]],Table3[[#All],[PID]],0)))</f>
        <v>4</v>
      </c>
      <c r="O226" s="56" t="str">
        <f>IF($C226="B",INDEX(Batters[[#All],[EYE P]],MATCH(Table5[[#This Row],[PID]],Batters[[#All],[PID]],0)),INDEX(Table3[[#All],[VELO]],MATCH(Table5[[#This Row],[PID]],Table3[[#All],[PID]],0)))</f>
        <v>89-91 Mph</v>
      </c>
      <c r="P226" s="56">
        <f>IF($C226="B",INDEX(Batters[[#All],[K P]],MATCH(Table5[[#This Row],[PID]],Batters[[#All],[PID]],0)),INDEX(Table3[[#All],[STM]],MATCH(Table5[[#This Row],[PID]],Table3[[#All],[PID]],0)))</f>
        <v>4</v>
      </c>
      <c r="Q226" s="61">
        <f>IF($C226="B",INDEX(Batters[[#All],[Tot]],MATCH(Table5[[#This Row],[PID]],Batters[[#All],[PID]],0)),INDEX(Table3[[#All],[Tot]],MATCH(Table5[[#This Row],[PID]],Table3[[#All],[PID]],0)))</f>
        <v>44.669565303480397</v>
      </c>
      <c r="R226" s="52">
        <f>IF($C226="B",INDEX(Batters[[#All],[zScore]],MATCH(Table5[[#This Row],[PID]],Batters[[#All],[PID]],0)),INDEX(Table3[[#All],[zScore]],MATCH(Table5[[#This Row],[PID]],Table3[[#All],[PID]],0)))</f>
        <v>0.48897746379678736</v>
      </c>
      <c r="S226" s="58" t="str">
        <f>IF($C226="B",INDEX(Batters[[#All],[DEM]],MATCH(Table5[[#This Row],[PID]],Batters[[#All],[PID]],0)),INDEX(Table3[[#All],[DEM]],MATCH(Table5[[#This Row],[PID]],Table3[[#All],[PID]],0)))</f>
        <v>$80k</v>
      </c>
      <c r="T226" s="62">
        <f>IF($C226="B",INDEX(Batters[[#All],[Rnk]],MATCH(Table5[[#This Row],[PID]],Batters[[#All],[PID]],0)),INDEX(Table3[[#All],[Rnk]],MATCH(Table5[[#This Row],[PID]],Table3[[#All],[PID]],0)))</f>
        <v>900</v>
      </c>
      <c r="U226" s="67">
        <f>IF($C226="B",VLOOKUP($A226,Bat!$A$4:$BA$1314,47,FALSE),VLOOKUP($A226,Pit!$A$4:$BF$1214,56,FALSE))</f>
        <v>83</v>
      </c>
      <c r="V226" s="50">
        <f>IF($C226="B",VLOOKUP($A226,Bat!$A$4:$BA$1314,48,FALSE),VLOOKUP($A226,Pit!$A$4:$BF$1214,57,FALSE))</f>
        <v>0</v>
      </c>
      <c r="W226" s="68">
        <f>IF(Table5[[#This Row],[posRnk]]=999,9999,Table5[[#This Row],[posRnk]]+Table5[[#This Row],[zRnk]]+IF($W$3&lt;&gt;Table5[[#This Row],[Type]],50,0))</f>
        <v>1129</v>
      </c>
      <c r="X226" s="51">
        <f>RANK(Table5[[#This Row],[zScore]],Table5[[#All],[zScore]])</f>
        <v>229</v>
      </c>
      <c r="Y226" s="50">
        <f>IFERROR(INDEX(DraftResults[[#All],[OVR]],MATCH(Table5[[#This Row],[PID]],DraftResults[[#All],[Player ID]],0)),"")</f>
        <v>171</v>
      </c>
      <c r="Z226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6</v>
      </c>
      <c r="AA226" s="50">
        <f>IFERROR(INDEX(DraftResults[[#All],[Pick in Round]],MATCH(Table5[[#This Row],[PID]],DraftResults[[#All],[Player ID]],0)),"")</f>
        <v>2</v>
      </c>
      <c r="AB226" s="50" t="str">
        <f>IFERROR(INDEX(DraftResults[[#All],[Team Name]],MATCH(Table5[[#This Row],[PID]],DraftResults[[#All],[Player ID]],0)),"")</f>
        <v>Charleston Statesmen</v>
      </c>
      <c r="AC226" s="50">
        <f>IF(Table5[[#This Row],[Ovr]]="","",IF(Table5[[#This Row],[cmbList]]="","",Table5[[#This Row],[cmbList]]-Table5[[#This Row],[Ovr]]))</f>
        <v>958</v>
      </c>
      <c r="AD226" s="54" t="str">
        <f>IF(ISERROR(VLOOKUP($AB226&amp;"-"&amp;$E226&amp;" "&amp;F226,Bonuses!$B$1:$G$1006,4,FALSE)),"",INT(VLOOKUP($AB226&amp;"-"&amp;$E226&amp;" "&amp;$F226,Bonuses!$B$1:$G$1006,4,FALSE)))</f>
        <v/>
      </c>
      <c r="AE226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6.2 (171) - SP Doug Bane</v>
      </c>
    </row>
    <row r="227" spans="1:31" s="50" customFormat="1" x14ac:dyDescent="0.3">
      <c r="A227" s="67">
        <v>6127</v>
      </c>
      <c r="B227" s="68">
        <f>COUNTIF(Table5[PID],A227)</f>
        <v>1</v>
      </c>
      <c r="C227" s="68" t="str">
        <f>IF(COUNTIF(Table3[[#All],[PID]],A227)&gt;0,"P","B")</f>
        <v>P</v>
      </c>
      <c r="D227" s="59" t="str">
        <f>IF($C227="B",INDEX(Batters[[#All],[POS]],MATCH(Table5[[#This Row],[PID]],Batters[[#All],[PID]],0)),INDEX(Table3[[#All],[POS]],MATCH(Table5[[#This Row],[PID]],Table3[[#All],[PID]],0)))</f>
        <v>SP</v>
      </c>
      <c r="E227" s="52" t="str">
        <f>IF($C227="B",INDEX(Batters[[#All],[First]],MATCH(Table5[[#This Row],[PID]],Batters[[#All],[PID]],0)),INDEX(Table3[[#All],[First]],MATCH(Table5[[#This Row],[PID]],Table3[[#All],[PID]],0)))</f>
        <v>Stuart</v>
      </c>
      <c r="F227" s="55" t="str">
        <f>IF($C227="B",INDEX(Batters[[#All],[Last]],MATCH(A227,Batters[[#All],[PID]],0)),INDEX(Table3[[#All],[Last]],MATCH(A227,Table3[[#All],[PID]],0)))</f>
        <v>Meriken</v>
      </c>
      <c r="G227" s="56">
        <f>IF($C227="B",INDEX(Batters[[#All],[Age]],MATCH(Table5[[#This Row],[PID]],Batters[[#All],[PID]],0)),INDEX(Table3[[#All],[Age]],MATCH(Table5[[#This Row],[PID]],Table3[[#All],[PID]],0)))</f>
        <v>21</v>
      </c>
      <c r="H227" s="52" t="str">
        <f>IF($C227="B",INDEX(Batters[[#All],[B]],MATCH(Table5[[#This Row],[PID]],Batters[[#All],[PID]],0)),INDEX(Table3[[#All],[B]],MATCH(Table5[[#This Row],[PID]],Table3[[#All],[PID]],0)))</f>
        <v>R</v>
      </c>
      <c r="I227" s="52" t="str">
        <f>IF($C227="B",INDEX(Batters[[#All],[T]],MATCH(Table5[[#This Row],[PID]],Batters[[#All],[PID]],0)),INDEX(Table3[[#All],[T]],MATCH(Table5[[#This Row],[PID]],Table3[[#All],[PID]],0)))</f>
        <v>R</v>
      </c>
      <c r="J227" s="69" t="str">
        <f>IF($C227="B",INDEX(Batters[[#All],[WE]],MATCH(Table5[[#This Row],[PID]],Batters[[#All],[PID]],0)),INDEX(Table3[[#All],[WE]],MATCH(Table5[[#This Row],[PID]],Table3[[#All],[PID]],0)))</f>
        <v>Normal</v>
      </c>
      <c r="K227" s="52" t="str">
        <f>IF($C227="B",INDEX(Batters[[#All],[INT]],MATCH(Table5[[#This Row],[PID]],Batters[[#All],[PID]],0)),INDEX(Table3[[#All],[INT]],MATCH(Table5[[#This Row],[PID]],Table3[[#All],[PID]],0)))</f>
        <v>Normal</v>
      </c>
      <c r="L227" s="60">
        <f>IF($C227="B",INDEX(Batters[[#All],[CON P]],MATCH(Table5[[#This Row],[PID]],Batters[[#All],[PID]],0)),INDEX(Table3[[#All],[STU P]],MATCH(Table5[[#This Row],[PID]],Table3[[#All],[PID]],0)))</f>
        <v>5</v>
      </c>
      <c r="M227" s="70">
        <f>IF($C227="B",INDEX(Batters[[#All],[GAP P]],MATCH(Table5[[#This Row],[PID]],Batters[[#All],[PID]],0)),INDEX(Table3[[#All],[MOV P]],MATCH(Table5[[#This Row],[PID]],Table3[[#All],[PID]],0)))</f>
        <v>3</v>
      </c>
      <c r="N227" s="70">
        <f>IF($C227="B",INDEX(Batters[[#All],[POW P]],MATCH(Table5[[#This Row],[PID]],Batters[[#All],[PID]],0)),INDEX(Table3[[#All],[CON P]],MATCH(Table5[[#This Row],[PID]],Table3[[#All],[PID]],0)))</f>
        <v>4</v>
      </c>
      <c r="O227" s="70" t="str">
        <f>IF($C227="B",INDEX(Batters[[#All],[EYE P]],MATCH(Table5[[#This Row],[PID]],Batters[[#All],[PID]],0)),INDEX(Table3[[#All],[VELO]],MATCH(Table5[[#This Row],[PID]],Table3[[#All],[PID]],0)))</f>
        <v>91-93 Mph</v>
      </c>
      <c r="P227" s="56">
        <f>IF($C227="B",INDEX(Batters[[#All],[K P]],MATCH(Table5[[#This Row],[PID]],Batters[[#All],[PID]],0)),INDEX(Table3[[#All],[STM]],MATCH(Table5[[#This Row],[PID]],Table3[[#All],[PID]],0)))</f>
        <v>10</v>
      </c>
      <c r="Q227" s="61">
        <f>IF($C227="B",INDEX(Batters[[#All],[Tot]],MATCH(Table5[[#This Row],[PID]],Batters[[#All],[PID]],0)),INDEX(Table3[[#All],[Tot]],MATCH(Table5[[#This Row],[PID]],Table3[[#All],[PID]],0)))</f>
        <v>44.648210710377342</v>
      </c>
      <c r="R227" s="52">
        <f>IF($C227="B",INDEX(Batters[[#All],[zScore]],MATCH(Table5[[#This Row],[PID]],Batters[[#All],[PID]],0)),INDEX(Table3[[#All],[zScore]],MATCH(Table5[[#This Row],[PID]],Table3[[#All],[PID]],0)))</f>
        <v>0.48745686658370907</v>
      </c>
      <c r="S227" s="75" t="str">
        <f>IF($C227="B",INDEX(Batters[[#All],[DEM]],MATCH(Table5[[#This Row],[PID]],Batters[[#All],[PID]],0)),INDEX(Table3[[#All],[DEM]],MATCH(Table5[[#This Row],[PID]],Table3[[#All],[PID]],0)))</f>
        <v>$300k</v>
      </c>
      <c r="T227" s="72">
        <f>IF($C227="B",INDEX(Batters[[#All],[Rnk]],MATCH(Table5[[#This Row],[PID]],Batters[[#All],[PID]],0)),INDEX(Table3[[#All],[Rnk]],MATCH(Table5[[#This Row],[PID]],Table3[[#All],[PID]],0)))</f>
        <v>900</v>
      </c>
      <c r="U227" s="67">
        <f>IF($C227="B",VLOOKUP($A227,Bat!$A$4:$BA$1314,47,FALSE),VLOOKUP($A227,Pit!$A$4:$BF$1214,56,FALSE))</f>
        <v>84</v>
      </c>
      <c r="V227" s="50">
        <f>IF($C227="B",VLOOKUP($A227,Bat!$A$4:$BA$1314,48,FALSE),VLOOKUP($A227,Pit!$A$4:$BF$1214,57,FALSE))</f>
        <v>0</v>
      </c>
      <c r="W227" s="68">
        <f>IF(Table5[[#This Row],[posRnk]]=999,9999,Table5[[#This Row],[posRnk]]+Table5[[#This Row],[zRnk]]+IF($W$3&lt;&gt;Table5[[#This Row],[Type]],50,0))</f>
        <v>1130</v>
      </c>
      <c r="X227" s="71">
        <f>RANK(Table5[[#This Row],[zScore]],Table5[[#All],[zScore]])</f>
        <v>230</v>
      </c>
      <c r="Y227" s="68">
        <f>IFERROR(INDEX(DraftResults[[#All],[OVR]],MATCH(Table5[[#This Row],[PID]],DraftResults[[#All],[Player ID]],0)),"")</f>
        <v>178</v>
      </c>
      <c r="Z227" s="7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6</v>
      </c>
      <c r="AA227" s="68">
        <f>IFERROR(INDEX(DraftResults[[#All],[Pick in Round]],MATCH(Table5[[#This Row],[PID]],DraftResults[[#All],[Player ID]],0)),"")</f>
        <v>9</v>
      </c>
      <c r="AB227" s="68" t="str">
        <f>IFERROR(INDEX(DraftResults[[#All],[Team Name]],MATCH(Table5[[#This Row],[PID]],DraftResults[[#All],[Player ID]],0)),"")</f>
        <v>Hartford Harpoon</v>
      </c>
      <c r="AC227" s="68">
        <f>IF(Table5[[#This Row],[Ovr]]="","",IF(Table5[[#This Row],[cmbList]]="","",Table5[[#This Row],[cmbList]]-Table5[[#This Row],[Ovr]]))</f>
        <v>952</v>
      </c>
      <c r="AD227" s="74" t="str">
        <f>IF(ISERROR(VLOOKUP($AB227&amp;"-"&amp;$E227&amp;" "&amp;F227,Bonuses!$B$1:$G$1006,4,FALSE)),"",INT(VLOOKUP($AB227&amp;"-"&amp;$E227&amp;" "&amp;$F227,Bonuses!$B$1:$G$1006,4,FALSE)))</f>
        <v/>
      </c>
      <c r="AE227" s="68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6.9 (178) - SP Stuart Meriken</v>
      </c>
    </row>
    <row r="228" spans="1:31" s="50" customFormat="1" x14ac:dyDescent="0.3">
      <c r="A228" s="50">
        <v>12951</v>
      </c>
      <c r="B228" s="50">
        <f>COUNTIF(Table5[PID],A228)</f>
        <v>1</v>
      </c>
      <c r="C228" s="50" t="str">
        <f>IF(COUNTIF(Table3[[#All],[PID]],A228)&gt;0,"P","B")</f>
        <v>P</v>
      </c>
      <c r="D228" s="59" t="str">
        <f>IF($C228="B",INDEX(Batters[[#All],[POS]],MATCH(Table5[[#This Row],[PID]],Batters[[#All],[PID]],0)),INDEX(Table3[[#All],[POS]],MATCH(Table5[[#This Row],[PID]],Table3[[#All],[PID]],0)))</f>
        <v>RP</v>
      </c>
      <c r="E228" s="52" t="str">
        <f>IF($C228="B",INDEX(Batters[[#All],[First]],MATCH(Table5[[#This Row],[PID]],Batters[[#All],[PID]],0)),INDEX(Table3[[#All],[First]],MATCH(Table5[[#This Row],[PID]],Table3[[#All],[PID]],0)))</f>
        <v>Benjamin</v>
      </c>
      <c r="F228" s="50" t="str">
        <f>IF($C228="B",INDEX(Batters[[#All],[Last]],MATCH(A228,Batters[[#All],[PID]],0)),INDEX(Table3[[#All],[Last]],MATCH(A228,Table3[[#All],[PID]],0)))</f>
        <v>Martin</v>
      </c>
      <c r="G228" s="56">
        <f>IF($C228="B",INDEX(Batters[[#All],[Age]],MATCH(Table5[[#This Row],[PID]],Batters[[#All],[PID]],0)),INDEX(Table3[[#All],[Age]],MATCH(Table5[[#This Row],[PID]],Table3[[#All],[PID]],0)))</f>
        <v>17</v>
      </c>
      <c r="H228" s="52" t="str">
        <f>IF($C228="B",INDEX(Batters[[#All],[B]],MATCH(Table5[[#This Row],[PID]],Batters[[#All],[PID]],0)),INDEX(Table3[[#All],[B]],MATCH(Table5[[#This Row],[PID]],Table3[[#All],[PID]],0)))</f>
        <v>R</v>
      </c>
      <c r="I228" s="52" t="str">
        <f>IF($C228="B",INDEX(Batters[[#All],[T]],MATCH(Table5[[#This Row],[PID]],Batters[[#All],[PID]],0)),INDEX(Table3[[#All],[T]],MATCH(Table5[[#This Row],[PID]],Table3[[#All],[PID]],0)))</f>
        <v>R</v>
      </c>
      <c r="J228" s="52" t="str">
        <f>IF($C228="B",INDEX(Batters[[#All],[WE]],MATCH(Table5[[#This Row],[PID]],Batters[[#All],[PID]],0)),INDEX(Table3[[#All],[WE]],MATCH(Table5[[#This Row],[PID]],Table3[[#All],[PID]],0)))</f>
        <v>Normal</v>
      </c>
      <c r="K228" s="52" t="str">
        <f>IF($C228="B",INDEX(Batters[[#All],[INT]],MATCH(Table5[[#This Row],[PID]],Batters[[#All],[PID]],0)),INDEX(Table3[[#All],[INT]],MATCH(Table5[[#This Row],[PID]],Table3[[#All],[PID]],0)))</f>
        <v>Normal</v>
      </c>
      <c r="L228" s="60">
        <f>IF($C228="B",INDEX(Batters[[#All],[CON P]],MATCH(Table5[[#This Row],[PID]],Batters[[#All],[PID]],0)),INDEX(Table3[[#All],[STU P]],MATCH(Table5[[#This Row],[PID]],Table3[[#All],[PID]],0)))</f>
        <v>5</v>
      </c>
      <c r="M228" s="56">
        <f>IF($C228="B",INDEX(Batters[[#All],[GAP P]],MATCH(Table5[[#This Row],[PID]],Batters[[#All],[PID]],0)),INDEX(Table3[[#All],[MOV P]],MATCH(Table5[[#This Row],[PID]],Table3[[#All],[PID]],0)))</f>
        <v>2</v>
      </c>
      <c r="N228" s="56">
        <f>IF($C228="B",INDEX(Batters[[#All],[POW P]],MATCH(Table5[[#This Row],[PID]],Batters[[#All],[PID]],0)),INDEX(Table3[[#All],[CON P]],MATCH(Table5[[#This Row],[PID]],Table3[[#All],[PID]],0)))</f>
        <v>4</v>
      </c>
      <c r="O228" s="56" t="str">
        <f>IF($C228="B",INDEX(Batters[[#All],[EYE P]],MATCH(Table5[[#This Row],[PID]],Batters[[#All],[PID]],0)),INDEX(Table3[[#All],[VELO]],MATCH(Table5[[#This Row],[PID]],Table3[[#All],[PID]],0)))</f>
        <v>92-94 Mph</v>
      </c>
      <c r="P228" s="56">
        <f>IF($C228="B",INDEX(Batters[[#All],[K P]],MATCH(Table5[[#This Row],[PID]],Batters[[#All],[PID]],0)),INDEX(Table3[[#All],[STM]],MATCH(Table5[[#This Row],[PID]],Table3[[#All],[PID]],0)))</f>
        <v>6</v>
      </c>
      <c r="Q228" s="61">
        <f>IF($C228="B",INDEX(Batters[[#All],[Tot]],MATCH(Table5[[#This Row],[PID]],Batters[[#All],[PID]],0)),INDEX(Table3[[#All],[Tot]],MATCH(Table5[[#This Row],[PID]],Table3[[#All],[PID]],0)))</f>
        <v>44.629940085426703</v>
      </c>
      <c r="R228" s="52">
        <f>IF($C228="B",INDEX(Batters[[#All],[zScore]],MATCH(Table5[[#This Row],[PID]],Batters[[#All],[PID]],0)),INDEX(Table3[[#All],[zScore]],MATCH(Table5[[#This Row],[PID]],Table3[[#All],[PID]],0)))</f>
        <v>0.48615586959223916</v>
      </c>
      <c r="S228" s="58" t="str">
        <f>IF($C228="B",INDEX(Batters[[#All],[DEM]],MATCH(Table5[[#This Row],[PID]],Batters[[#All],[PID]],0)),INDEX(Table3[[#All],[DEM]],MATCH(Table5[[#This Row],[PID]],Table3[[#All],[PID]],0)))</f>
        <v>$65k</v>
      </c>
      <c r="T228" s="62">
        <f>IF($C228="B",INDEX(Batters[[#All],[Rnk]],MATCH(Table5[[#This Row],[PID]],Batters[[#All],[PID]],0)),INDEX(Table3[[#All],[Rnk]],MATCH(Table5[[#This Row],[PID]],Table3[[#All],[PID]],0)))</f>
        <v>900</v>
      </c>
      <c r="U228" s="67">
        <f>IF($C228="B",VLOOKUP($A228,Bat!$A$4:$BA$1314,47,FALSE),VLOOKUP($A228,Pit!$A$4:$BF$1214,56,FALSE))</f>
        <v>85</v>
      </c>
      <c r="V228" s="50">
        <f>IF($C228="B",VLOOKUP($A228,Bat!$A$4:$BA$1314,48,FALSE),VLOOKUP($A228,Pit!$A$4:$BF$1214,57,FALSE))</f>
        <v>0</v>
      </c>
      <c r="W228" s="68">
        <f>IF(Table5[[#This Row],[posRnk]]=999,9999,Table5[[#This Row],[posRnk]]+Table5[[#This Row],[zRnk]]+IF($W$3&lt;&gt;Table5[[#This Row],[Type]],50,0))</f>
        <v>1131</v>
      </c>
      <c r="X228" s="51">
        <f>RANK(Table5[[#This Row],[zScore]],Table5[[#All],[zScore]])</f>
        <v>231</v>
      </c>
      <c r="Y228" s="50">
        <f>IFERROR(INDEX(DraftResults[[#All],[OVR]],MATCH(Table5[[#This Row],[PID]],DraftResults[[#All],[Player ID]],0)),"")</f>
        <v>389</v>
      </c>
      <c r="Z228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12</v>
      </c>
      <c r="AA228" s="50">
        <f>IFERROR(INDEX(DraftResults[[#All],[Pick in Round]],MATCH(Table5[[#This Row],[PID]],DraftResults[[#All],[Player ID]],0)),"")</f>
        <v>24</v>
      </c>
      <c r="AB228" s="50" t="str">
        <f>IFERROR(INDEX(DraftResults[[#All],[Team Name]],MATCH(Table5[[#This Row],[PID]],DraftResults[[#All],[Player ID]],0)),"")</f>
        <v>Reno Zephyrs</v>
      </c>
      <c r="AC228" s="50">
        <f>IF(Table5[[#This Row],[Ovr]]="","",IF(Table5[[#This Row],[cmbList]]="","",Table5[[#This Row],[cmbList]]-Table5[[#This Row],[Ovr]]))</f>
        <v>742</v>
      </c>
      <c r="AD228" s="54" t="str">
        <f>IF(ISERROR(VLOOKUP($AB228&amp;"-"&amp;$E228&amp;" "&amp;F228,Bonuses!$B$1:$G$1006,4,FALSE)),"",INT(VLOOKUP($AB228&amp;"-"&amp;$E228&amp;" "&amp;$F228,Bonuses!$B$1:$G$1006,4,FALSE)))</f>
        <v/>
      </c>
      <c r="AE228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12.24 (389) - RP Benjamin Martin</v>
      </c>
    </row>
    <row r="229" spans="1:31" s="50" customFormat="1" x14ac:dyDescent="0.3">
      <c r="A229" s="50">
        <v>12107</v>
      </c>
      <c r="B229" s="55">
        <f>COUNTIF(Table5[PID],A229)</f>
        <v>1</v>
      </c>
      <c r="C229" s="55" t="str">
        <f>IF(COUNTIF(Table3[[#All],[PID]],A229)&gt;0,"P","B")</f>
        <v>B</v>
      </c>
      <c r="D229" s="59" t="str">
        <f>IF($C229="B",INDEX(Batters[[#All],[POS]],MATCH(Table5[[#This Row],[PID]],Batters[[#All],[PID]],0)),INDEX(Table3[[#All],[POS]],MATCH(Table5[[#This Row],[PID]],Table3[[#All],[PID]],0)))</f>
        <v>1B</v>
      </c>
      <c r="E229" s="52" t="str">
        <f>IF($C229="B",INDEX(Batters[[#All],[First]],MATCH(Table5[[#This Row],[PID]],Batters[[#All],[PID]],0)),INDEX(Table3[[#All],[First]],MATCH(Table5[[#This Row],[PID]],Table3[[#All],[PID]],0)))</f>
        <v>Leo</v>
      </c>
      <c r="F229" s="50" t="str">
        <f>IF($C229="B",INDEX(Batters[[#All],[Last]],MATCH(A229,Batters[[#All],[PID]],0)),INDEX(Table3[[#All],[Last]],MATCH(A229,Table3[[#All],[PID]],0)))</f>
        <v>Howie</v>
      </c>
      <c r="G229" s="56">
        <f>IF($C229="B",INDEX(Batters[[#All],[Age]],MATCH(Table5[[#This Row],[PID]],Batters[[#All],[PID]],0)),INDEX(Table3[[#All],[Age]],MATCH(Table5[[#This Row],[PID]],Table3[[#All],[PID]],0)))</f>
        <v>17</v>
      </c>
      <c r="H229" s="52" t="str">
        <f>IF($C229="B",INDEX(Batters[[#All],[B]],MATCH(Table5[[#This Row],[PID]],Batters[[#All],[PID]],0)),INDEX(Table3[[#All],[B]],MATCH(Table5[[#This Row],[PID]],Table3[[#All],[PID]],0)))</f>
        <v>R</v>
      </c>
      <c r="I229" s="52" t="str">
        <f>IF($C229="B",INDEX(Batters[[#All],[T]],MATCH(Table5[[#This Row],[PID]],Batters[[#All],[PID]],0)),INDEX(Table3[[#All],[T]],MATCH(Table5[[#This Row],[PID]],Table3[[#All],[PID]],0)))</f>
        <v>L</v>
      </c>
      <c r="J229" s="52" t="str">
        <f>IF($C229="B",INDEX(Batters[[#All],[WE]],MATCH(Table5[[#This Row],[PID]],Batters[[#All],[PID]],0)),INDEX(Table3[[#All],[WE]],MATCH(Table5[[#This Row],[PID]],Table3[[#All],[PID]],0)))</f>
        <v>Normal</v>
      </c>
      <c r="K229" s="52" t="str">
        <f>IF($C229="B",INDEX(Batters[[#All],[INT]],MATCH(Table5[[#This Row],[PID]],Batters[[#All],[PID]],0)),INDEX(Table3[[#All],[INT]],MATCH(Table5[[#This Row],[PID]],Table3[[#All],[PID]],0)))</f>
        <v>Normal</v>
      </c>
      <c r="L229" s="60">
        <f>IF($C229="B",INDEX(Batters[[#All],[CON P]],MATCH(Table5[[#This Row],[PID]],Batters[[#All],[PID]],0)),INDEX(Table3[[#All],[STU P]],MATCH(Table5[[#This Row],[PID]],Table3[[#All],[PID]],0)))</f>
        <v>4</v>
      </c>
      <c r="M229" s="56">
        <f>IF($C229="B",INDEX(Batters[[#All],[GAP P]],MATCH(Table5[[#This Row],[PID]],Batters[[#All],[PID]],0)),INDEX(Table3[[#All],[MOV P]],MATCH(Table5[[#This Row],[PID]],Table3[[#All],[PID]],0)))</f>
        <v>4</v>
      </c>
      <c r="N229" s="56">
        <f>IF($C229="B",INDEX(Batters[[#All],[POW P]],MATCH(Table5[[#This Row],[PID]],Batters[[#All],[PID]],0)),INDEX(Table3[[#All],[CON P]],MATCH(Table5[[#This Row],[PID]],Table3[[#All],[PID]],0)))</f>
        <v>3</v>
      </c>
      <c r="O229" s="56">
        <f>IF($C229="B",INDEX(Batters[[#All],[EYE P]],MATCH(Table5[[#This Row],[PID]],Batters[[#All],[PID]],0)),INDEX(Table3[[#All],[VELO]],MATCH(Table5[[#This Row],[PID]],Table3[[#All],[PID]],0)))</f>
        <v>5</v>
      </c>
      <c r="P229" s="56">
        <f>IF($C229="B",INDEX(Batters[[#All],[K P]],MATCH(Table5[[#This Row],[PID]],Batters[[#All],[PID]],0)),INDEX(Table3[[#All],[STM]],MATCH(Table5[[#This Row],[PID]],Table3[[#All],[PID]],0)))</f>
        <v>5</v>
      </c>
      <c r="Q229" s="61">
        <f>IF($C229="B",INDEX(Batters[[#All],[Tot]],MATCH(Table5[[#This Row],[PID]],Batters[[#All],[PID]],0)),INDEX(Table3[[#All],[Tot]],MATCH(Table5[[#This Row],[PID]],Table3[[#All],[PID]],0)))</f>
        <v>46.472312897274747</v>
      </c>
      <c r="R229" s="52">
        <f>IF($C229="B",INDEX(Batters[[#All],[zScore]],MATCH(Table5[[#This Row],[PID]],Batters[[#All],[PID]],0)),INDEX(Table3[[#All],[zScore]],MATCH(Table5[[#This Row],[PID]],Table3[[#All],[PID]],0)))</f>
        <v>0.4749542959259242</v>
      </c>
      <c r="S229" s="58" t="str">
        <f>IF($C229="B",INDEX(Batters[[#All],[DEM]],MATCH(Table5[[#This Row],[PID]],Batters[[#All],[PID]],0)),INDEX(Table3[[#All],[DEM]],MATCH(Table5[[#This Row],[PID]],Table3[[#All],[PID]],0)))</f>
        <v>$130k</v>
      </c>
      <c r="T229" s="62">
        <f>IF($C229="B",INDEX(Batters[[#All],[Rnk]],MATCH(Table5[[#This Row],[PID]],Batters[[#All],[PID]],0)),INDEX(Table3[[#All],[Rnk]],MATCH(Table5[[#This Row],[PID]],Table3[[#All],[PID]],0)))</f>
        <v>900</v>
      </c>
      <c r="U229" s="67">
        <f>IF($C229="B",VLOOKUP($A229,Bat!$A$4:$BA$1314,47,FALSE),VLOOKUP($A229,Pit!$A$4:$BF$1214,56,FALSE))</f>
        <v>135</v>
      </c>
      <c r="V229" s="50">
        <f>IF($C229="B",VLOOKUP($A229,Bat!$A$4:$BA$1314,48,FALSE),VLOOKUP($A229,Pit!$A$4:$BF$1214,57,FALSE))</f>
        <v>0</v>
      </c>
      <c r="W229" s="68">
        <f>IF(Table5[[#This Row],[posRnk]]=999,9999,Table5[[#This Row],[posRnk]]+Table5[[#This Row],[zRnk]]+IF($W$3&lt;&gt;Table5[[#This Row],[Type]],50,0))</f>
        <v>1183</v>
      </c>
      <c r="X229" s="51">
        <f>RANK(Table5[[#This Row],[zScore]],Table5[[#All],[zScore]])</f>
        <v>233</v>
      </c>
      <c r="Y229" s="50">
        <f>IFERROR(INDEX(DraftResults[[#All],[OVR]],MATCH(Table5[[#This Row],[PID]],DraftResults[[#All],[Player ID]],0)),"")</f>
        <v>495</v>
      </c>
      <c r="Z229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15</v>
      </c>
      <c r="AA229" s="50">
        <f>IFERROR(INDEX(DraftResults[[#All],[Pick in Round]],MATCH(Table5[[#This Row],[PID]],DraftResults[[#All],[Player ID]],0)),"")</f>
        <v>28</v>
      </c>
      <c r="AB229" s="50" t="str">
        <f>IFERROR(INDEX(DraftResults[[#All],[Team Name]],MATCH(Table5[[#This Row],[PID]],DraftResults[[#All],[Player ID]],0)),"")</f>
        <v>Amsterdam Lions</v>
      </c>
      <c r="AC229" s="50">
        <f>IF(Table5[[#This Row],[Ovr]]="","",IF(Table5[[#This Row],[cmbList]]="","",Table5[[#This Row],[cmbList]]-Table5[[#This Row],[Ovr]]))</f>
        <v>688</v>
      </c>
      <c r="AD229" s="54" t="str">
        <f>IF(ISERROR(VLOOKUP($AB229&amp;"-"&amp;$E229&amp;" "&amp;F229,Bonuses!$B$1:$G$1006,4,FALSE)),"",INT(VLOOKUP($AB229&amp;"-"&amp;$E229&amp;" "&amp;$F229,Bonuses!$B$1:$G$1006,4,FALSE)))</f>
        <v/>
      </c>
      <c r="AE229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15.28 (495) - 1B Leo Howie</v>
      </c>
    </row>
    <row r="230" spans="1:31" s="50" customFormat="1" x14ac:dyDescent="0.3">
      <c r="A230" s="50">
        <v>10348</v>
      </c>
      <c r="B230" s="50">
        <f>COUNTIF(Table5[PID],A230)</f>
        <v>1</v>
      </c>
      <c r="C230" s="50" t="str">
        <f>IF(COUNTIF(Table3[[#All],[PID]],A230)&gt;0,"P","B")</f>
        <v>B</v>
      </c>
      <c r="D230" s="59" t="str">
        <f>IF($C230="B",INDEX(Batters[[#All],[POS]],MATCH(Table5[[#This Row],[PID]],Batters[[#All],[PID]],0)),INDEX(Table3[[#All],[POS]],MATCH(Table5[[#This Row],[PID]],Table3[[#All],[PID]],0)))</f>
        <v>1B</v>
      </c>
      <c r="E230" s="52" t="str">
        <f>IF($C230="B",INDEX(Batters[[#All],[First]],MATCH(Table5[[#This Row],[PID]],Batters[[#All],[PID]],0)),INDEX(Table3[[#All],[First]],MATCH(Table5[[#This Row],[PID]],Table3[[#All],[PID]],0)))</f>
        <v>Adrián</v>
      </c>
      <c r="F230" s="50" t="str">
        <f>IF($C230="B",INDEX(Batters[[#All],[Last]],MATCH(A230,Batters[[#All],[PID]],0)),INDEX(Table3[[#All],[Last]],MATCH(A230,Table3[[#All],[PID]],0)))</f>
        <v>Díaz</v>
      </c>
      <c r="G230" s="56">
        <f>IF($C230="B",INDEX(Batters[[#All],[Age]],MATCH(Table5[[#This Row],[PID]],Batters[[#All],[PID]],0)),INDEX(Table3[[#All],[Age]],MATCH(Table5[[#This Row],[PID]],Table3[[#All],[PID]],0)))</f>
        <v>17</v>
      </c>
      <c r="H230" s="52" t="str">
        <f>IF($C230="B",INDEX(Batters[[#All],[B]],MATCH(Table5[[#This Row],[PID]],Batters[[#All],[PID]],0)),INDEX(Table3[[#All],[B]],MATCH(Table5[[#This Row],[PID]],Table3[[#All],[PID]],0)))</f>
        <v>R</v>
      </c>
      <c r="I230" s="52" t="str">
        <f>IF($C230="B",INDEX(Batters[[#All],[T]],MATCH(Table5[[#This Row],[PID]],Batters[[#All],[PID]],0)),INDEX(Table3[[#All],[T]],MATCH(Table5[[#This Row],[PID]],Table3[[#All],[PID]],0)))</f>
        <v>R</v>
      </c>
      <c r="J230" s="52" t="str">
        <f>IF($C230="B",INDEX(Batters[[#All],[WE]],MATCH(Table5[[#This Row],[PID]],Batters[[#All],[PID]],0)),INDEX(Table3[[#All],[WE]],MATCH(Table5[[#This Row],[PID]],Table3[[#All],[PID]],0)))</f>
        <v>Low</v>
      </c>
      <c r="K230" s="52" t="str">
        <f>IF($C230="B",INDEX(Batters[[#All],[INT]],MATCH(Table5[[#This Row],[PID]],Batters[[#All],[PID]],0)),INDEX(Table3[[#All],[INT]],MATCH(Table5[[#This Row],[PID]],Table3[[#All],[PID]],0)))</f>
        <v>Low</v>
      </c>
      <c r="L230" s="60">
        <f>IF($C230="B",INDEX(Batters[[#All],[CON P]],MATCH(Table5[[#This Row],[PID]],Batters[[#All],[PID]],0)),INDEX(Table3[[#All],[STU P]],MATCH(Table5[[#This Row],[PID]],Table3[[#All],[PID]],0)))</f>
        <v>4</v>
      </c>
      <c r="M230" s="56">
        <f>IF($C230="B",INDEX(Batters[[#All],[GAP P]],MATCH(Table5[[#This Row],[PID]],Batters[[#All],[PID]],0)),INDEX(Table3[[#All],[MOV P]],MATCH(Table5[[#This Row],[PID]],Table3[[#All],[PID]],0)))</f>
        <v>5</v>
      </c>
      <c r="N230" s="56">
        <f>IF($C230="B",INDEX(Batters[[#All],[POW P]],MATCH(Table5[[#This Row],[PID]],Batters[[#All],[PID]],0)),INDEX(Table3[[#All],[CON P]],MATCH(Table5[[#This Row],[PID]],Table3[[#All],[PID]],0)))</f>
        <v>4</v>
      </c>
      <c r="O230" s="56">
        <f>IF($C230="B",INDEX(Batters[[#All],[EYE P]],MATCH(Table5[[#This Row],[PID]],Batters[[#All],[PID]],0)),INDEX(Table3[[#All],[VELO]],MATCH(Table5[[#This Row],[PID]],Table3[[#All],[PID]],0)))</f>
        <v>6</v>
      </c>
      <c r="P230" s="56">
        <f>IF($C230="B",INDEX(Batters[[#All],[K P]],MATCH(Table5[[#This Row],[PID]],Batters[[#All],[PID]],0)),INDEX(Table3[[#All],[STM]],MATCH(Table5[[#This Row],[PID]],Table3[[#All],[PID]],0)))</f>
        <v>4</v>
      </c>
      <c r="Q230" s="61">
        <f>IF($C230="B",INDEX(Batters[[#All],[Tot]],MATCH(Table5[[#This Row],[PID]],Batters[[#All],[PID]],0)),INDEX(Table3[[#All],[Tot]],MATCH(Table5[[#This Row],[PID]],Table3[[#All],[PID]],0)))</f>
        <v>48.092164846258797</v>
      </c>
      <c r="R230" s="52">
        <f>IF($C230="B",INDEX(Batters[[#All],[zScore]],MATCH(Table5[[#This Row],[PID]],Batters[[#All],[PID]],0)),INDEX(Table3[[#All],[zScore]],MATCH(Table5[[#This Row],[PID]],Table3[[#All],[PID]],0)))</f>
        <v>0.71140102282738071</v>
      </c>
      <c r="S230" s="58" t="str">
        <f>IF($C230="B",INDEX(Batters[[#All],[DEM]],MATCH(Table5[[#This Row],[PID]],Batters[[#All],[PID]],0)),INDEX(Table3[[#All],[DEM]],MATCH(Table5[[#This Row],[PID]],Table3[[#All],[PID]],0)))</f>
        <v>$65k</v>
      </c>
      <c r="T230" s="62">
        <f>IF($C230="B",INDEX(Batters[[#All],[Rnk]],MATCH(Table5[[#This Row],[PID]],Batters[[#All],[PID]],0)),INDEX(Table3[[#All],[Rnk]],MATCH(Table5[[#This Row],[PID]],Table3[[#All],[PID]],0)))</f>
        <v>950</v>
      </c>
      <c r="U230" s="67">
        <f>IF($C230="B",VLOOKUP($A230,Bat!$A$4:$BA$1314,47,FALSE),VLOOKUP($A230,Pit!$A$4:$BF$1214,56,FALSE))</f>
        <v>426</v>
      </c>
      <c r="V230" s="50">
        <f>IF($C230="B",VLOOKUP($A230,Bat!$A$4:$BA$1314,48,FALSE),VLOOKUP($A230,Pit!$A$4:$BF$1214,57,FALSE))</f>
        <v>0</v>
      </c>
      <c r="W230" s="68">
        <f>IF(Table5[[#This Row],[posRnk]]=999,9999,Table5[[#This Row],[posRnk]]+Table5[[#This Row],[zRnk]]+IF($W$3&lt;&gt;Table5[[#This Row],[Type]],50,0))</f>
        <v>1183</v>
      </c>
      <c r="X230" s="51">
        <f>RANK(Table5[[#This Row],[zScore]],Table5[[#All],[zScore]])</f>
        <v>183</v>
      </c>
      <c r="Y230" s="50">
        <f>IFERROR(INDEX(DraftResults[[#All],[OVR]],MATCH(Table5[[#This Row],[PID]],DraftResults[[#All],[Player ID]],0)),"")</f>
        <v>417</v>
      </c>
      <c r="Z230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13</v>
      </c>
      <c r="AA230" s="50">
        <f>IFERROR(INDEX(DraftResults[[#All],[Pick in Round]],MATCH(Table5[[#This Row],[PID]],DraftResults[[#All],[Player ID]],0)),"")</f>
        <v>18</v>
      </c>
      <c r="AB230" s="50" t="str">
        <f>IFERROR(INDEX(DraftResults[[#All],[Team Name]],MATCH(Table5[[#This Row],[PID]],DraftResults[[#All],[Player ID]],0)),"")</f>
        <v>San Juan Coqui</v>
      </c>
      <c r="AC230" s="50">
        <f>IF(Table5[[#This Row],[Ovr]]="","",IF(Table5[[#This Row],[cmbList]]="","",Table5[[#This Row],[cmbList]]-Table5[[#This Row],[Ovr]]))</f>
        <v>766</v>
      </c>
      <c r="AD230" s="54" t="str">
        <f>IF(ISERROR(VLOOKUP($AB230&amp;"-"&amp;$E230&amp;" "&amp;F230,Bonuses!$B$1:$G$1006,4,FALSE)),"",INT(VLOOKUP($AB230&amp;"-"&amp;$E230&amp;" "&amp;$F230,Bonuses!$B$1:$G$1006,4,FALSE)))</f>
        <v/>
      </c>
      <c r="AE230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13.18 (417) - 1B Adrián Díaz</v>
      </c>
    </row>
    <row r="231" spans="1:31" s="50" customFormat="1" x14ac:dyDescent="0.3">
      <c r="A231" s="50">
        <v>20206</v>
      </c>
      <c r="B231" s="50">
        <f>COUNTIF(Table5[PID],A231)</f>
        <v>1</v>
      </c>
      <c r="C231" s="50" t="str">
        <f>IF(COUNTIF(Table3[[#All],[PID]],A231)&gt;0,"P","B")</f>
        <v>B</v>
      </c>
      <c r="D231" s="59" t="str">
        <f>IF($C231="B",INDEX(Batters[[#All],[POS]],MATCH(Table5[[#This Row],[PID]],Batters[[#All],[PID]],0)),INDEX(Table3[[#All],[POS]],MATCH(Table5[[#This Row],[PID]],Table3[[#All],[PID]],0)))</f>
        <v>SS</v>
      </c>
      <c r="E231" s="52" t="str">
        <f>IF($C231="B",INDEX(Batters[[#All],[First]],MATCH(Table5[[#This Row],[PID]],Batters[[#All],[PID]],0)),INDEX(Table3[[#All],[First]],MATCH(Table5[[#This Row],[PID]],Table3[[#All],[PID]],0)))</f>
        <v>Norm</v>
      </c>
      <c r="F231" s="50" t="str">
        <f>IF($C231="B",INDEX(Batters[[#All],[Last]],MATCH(A231,Batters[[#All],[PID]],0)),INDEX(Table3[[#All],[Last]],MATCH(A231,Table3[[#All],[PID]],0)))</f>
        <v>Leseberg</v>
      </c>
      <c r="G231" s="56">
        <f>IF($C231="B",INDEX(Batters[[#All],[Age]],MATCH(Table5[[#This Row],[PID]],Batters[[#All],[PID]],0)),INDEX(Table3[[#All],[Age]],MATCH(Table5[[#This Row],[PID]],Table3[[#All],[PID]],0)))</f>
        <v>21</v>
      </c>
      <c r="H231" s="52" t="str">
        <f>IF($C231="B",INDEX(Batters[[#All],[B]],MATCH(Table5[[#This Row],[PID]],Batters[[#All],[PID]],0)),INDEX(Table3[[#All],[B]],MATCH(Table5[[#This Row],[PID]],Table3[[#All],[PID]],0)))</f>
        <v>R</v>
      </c>
      <c r="I231" s="52" t="str">
        <f>IF($C231="B",INDEX(Batters[[#All],[T]],MATCH(Table5[[#This Row],[PID]],Batters[[#All],[PID]],0)),INDEX(Table3[[#All],[T]],MATCH(Table5[[#This Row],[PID]],Table3[[#All],[PID]],0)))</f>
        <v>R</v>
      </c>
      <c r="J231" s="52" t="str">
        <f>IF($C231="B",INDEX(Batters[[#All],[WE]],MATCH(Table5[[#This Row],[PID]],Batters[[#All],[PID]],0)),INDEX(Table3[[#All],[WE]],MATCH(Table5[[#This Row],[PID]],Table3[[#All],[PID]],0)))</f>
        <v>Normal</v>
      </c>
      <c r="K231" s="52" t="str">
        <f>IF($C231="B",INDEX(Batters[[#All],[INT]],MATCH(Table5[[#This Row],[PID]],Batters[[#All],[PID]],0)),INDEX(Table3[[#All],[INT]],MATCH(Table5[[#This Row],[PID]],Table3[[#All],[PID]],0)))</f>
        <v>Normal</v>
      </c>
      <c r="L231" s="60">
        <f>IF($C231="B",INDEX(Batters[[#All],[CON P]],MATCH(Table5[[#This Row],[PID]],Batters[[#All],[PID]],0)),INDEX(Table3[[#All],[STU P]],MATCH(Table5[[#This Row],[PID]],Table3[[#All],[PID]],0)))</f>
        <v>5</v>
      </c>
      <c r="M231" s="56">
        <f>IF($C231="B",INDEX(Batters[[#All],[GAP P]],MATCH(Table5[[#This Row],[PID]],Batters[[#All],[PID]],0)),INDEX(Table3[[#All],[MOV P]],MATCH(Table5[[#This Row],[PID]],Table3[[#All],[PID]],0)))</f>
        <v>5</v>
      </c>
      <c r="N231" s="56">
        <f>IF($C231="B",INDEX(Batters[[#All],[POW P]],MATCH(Table5[[#This Row],[PID]],Batters[[#All],[PID]],0)),INDEX(Table3[[#All],[CON P]],MATCH(Table5[[#This Row],[PID]],Table3[[#All],[PID]],0)))</f>
        <v>2</v>
      </c>
      <c r="O231" s="56">
        <f>IF($C231="B",INDEX(Batters[[#All],[EYE P]],MATCH(Table5[[#This Row],[PID]],Batters[[#All],[PID]],0)),INDEX(Table3[[#All],[VELO]],MATCH(Table5[[#This Row],[PID]],Table3[[#All],[PID]],0)))</f>
        <v>4</v>
      </c>
      <c r="P231" s="56">
        <f>IF($C231="B",INDEX(Batters[[#All],[K P]],MATCH(Table5[[#This Row],[PID]],Batters[[#All],[PID]],0)),INDEX(Table3[[#All],[STM]],MATCH(Table5[[#This Row],[PID]],Table3[[#All],[PID]],0)))</f>
        <v>8</v>
      </c>
      <c r="Q231" s="61">
        <f>IF($C231="B",INDEX(Batters[[#All],[Tot]],MATCH(Table5[[#This Row],[PID]],Batters[[#All],[PID]],0)),INDEX(Table3[[#All],[Tot]],MATCH(Table5[[#This Row],[PID]],Table3[[#All],[PID]],0)))</f>
        <v>46.472104299763828</v>
      </c>
      <c r="R231" s="52">
        <f>IF($C231="B",INDEX(Batters[[#All],[zScore]],MATCH(Table5[[#This Row],[PID]],Batters[[#All],[PID]],0)),INDEX(Table3[[#All],[zScore]],MATCH(Table5[[#This Row],[PID]],Table3[[#All],[PID]],0)))</f>
        <v>0.47492384734157816</v>
      </c>
      <c r="S231" s="58" t="str">
        <f>IF($C231="B",INDEX(Batters[[#All],[DEM]],MATCH(Table5[[#This Row],[PID]],Batters[[#All],[PID]],0)),INDEX(Table3[[#All],[DEM]],MATCH(Table5[[#This Row],[PID]],Table3[[#All],[PID]],0)))</f>
        <v>$290k</v>
      </c>
      <c r="T231" s="62">
        <f>IF($C231="B",INDEX(Batters[[#All],[Rnk]],MATCH(Table5[[#This Row],[PID]],Batters[[#All],[PID]],0)),INDEX(Table3[[#All],[Rnk]],MATCH(Table5[[#This Row],[PID]],Table3[[#All],[PID]],0)))</f>
        <v>900</v>
      </c>
      <c r="U231" s="67">
        <f>IF($C231="B",VLOOKUP($A231,Bat!$A$4:$BA$1314,47,FALSE),VLOOKUP($A231,Pit!$A$4:$BF$1214,56,FALSE))</f>
        <v>136</v>
      </c>
      <c r="V231" s="50">
        <f>IF($C231="B",VLOOKUP($A231,Bat!$A$4:$BA$1314,48,FALSE),VLOOKUP($A231,Pit!$A$4:$BF$1214,57,FALSE))</f>
        <v>0</v>
      </c>
      <c r="W231" s="68">
        <f>IF(Table5[[#This Row],[posRnk]]=999,9999,Table5[[#This Row],[posRnk]]+Table5[[#This Row],[zRnk]]+IF($W$3&lt;&gt;Table5[[#This Row],[Type]],50,0))</f>
        <v>1184</v>
      </c>
      <c r="X231" s="51">
        <f>RANK(Table5[[#This Row],[zScore]],Table5[[#All],[zScore]])</f>
        <v>234</v>
      </c>
      <c r="Y231" s="50">
        <f>IFERROR(INDEX(DraftResults[[#All],[OVR]],MATCH(Table5[[#This Row],[PID]],DraftResults[[#All],[Player ID]],0)),"")</f>
        <v>15</v>
      </c>
      <c r="Z231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1</v>
      </c>
      <c r="AA231" s="50">
        <f>IFERROR(INDEX(DraftResults[[#All],[Pick in Round]],MATCH(Table5[[#This Row],[PID]],DraftResults[[#All],[Player ID]],0)),"")</f>
        <v>15</v>
      </c>
      <c r="AB231" s="50" t="str">
        <f>IFERROR(INDEX(DraftResults[[#All],[Team Name]],MATCH(Table5[[#This Row],[PID]],DraftResults[[#All],[Player ID]],0)),"")</f>
        <v>San Antonio Calzones of Laredo</v>
      </c>
      <c r="AC231" s="50">
        <f>IF(Table5[[#This Row],[Ovr]]="","",IF(Table5[[#This Row],[cmbList]]="","",Table5[[#This Row],[cmbList]]-Table5[[#This Row],[Ovr]]))</f>
        <v>1169</v>
      </c>
      <c r="AD231" s="54" t="str">
        <f>IF(ISERROR(VLOOKUP($AB231&amp;"-"&amp;$E231&amp;" "&amp;F231,Bonuses!$B$1:$G$1006,4,FALSE)),"",INT(VLOOKUP($AB231&amp;"-"&amp;$E231&amp;" "&amp;$F231,Bonuses!$B$1:$G$1006,4,FALSE)))</f>
        <v/>
      </c>
      <c r="AE231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1.15 (15) - SS Norm Leseberg</v>
      </c>
    </row>
    <row r="232" spans="1:31" s="50" customFormat="1" x14ac:dyDescent="0.3">
      <c r="A232" s="50">
        <v>12671</v>
      </c>
      <c r="B232" s="50">
        <f>COUNTIF(Table5[PID],A232)</f>
        <v>1</v>
      </c>
      <c r="C232" s="50" t="str">
        <f>IF(COUNTIF(Table3[[#All],[PID]],A232)&gt;0,"P","B")</f>
        <v>B</v>
      </c>
      <c r="D232" s="59" t="str">
        <f>IF($C232="B",INDEX(Batters[[#All],[POS]],MATCH(Table5[[#This Row],[PID]],Batters[[#All],[PID]],0)),INDEX(Table3[[#All],[POS]],MATCH(Table5[[#This Row],[PID]],Table3[[#All],[PID]],0)))</f>
        <v>LF</v>
      </c>
      <c r="E232" s="52" t="str">
        <f>IF($C232="B",INDEX(Batters[[#All],[First]],MATCH(Table5[[#This Row],[PID]],Batters[[#All],[PID]],0)),INDEX(Table3[[#All],[First]],MATCH(Table5[[#This Row],[PID]],Table3[[#All],[PID]],0)))</f>
        <v>Madison</v>
      </c>
      <c r="F232" s="50" t="str">
        <f>IF($C232="B",INDEX(Batters[[#All],[Last]],MATCH(A232,Batters[[#All],[PID]],0)),INDEX(Table3[[#All],[Last]],MATCH(A232,Table3[[#All],[PID]],0)))</f>
        <v>Hollett</v>
      </c>
      <c r="G232" s="56">
        <f>IF($C232="B",INDEX(Batters[[#All],[Age]],MATCH(Table5[[#This Row],[PID]],Batters[[#All],[PID]],0)),INDEX(Table3[[#All],[Age]],MATCH(Table5[[#This Row],[PID]],Table3[[#All],[PID]],0)))</f>
        <v>17</v>
      </c>
      <c r="H232" s="52" t="str">
        <f>IF($C232="B",INDEX(Batters[[#All],[B]],MATCH(Table5[[#This Row],[PID]],Batters[[#All],[PID]],0)),INDEX(Table3[[#All],[B]],MATCH(Table5[[#This Row],[PID]],Table3[[#All],[PID]],0)))</f>
        <v>R</v>
      </c>
      <c r="I232" s="52" t="str">
        <f>IF($C232="B",INDEX(Batters[[#All],[T]],MATCH(Table5[[#This Row],[PID]],Batters[[#All],[PID]],0)),INDEX(Table3[[#All],[T]],MATCH(Table5[[#This Row],[PID]],Table3[[#All],[PID]],0)))</f>
        <v>R</v>
      </c>
      <c r="J232" s="52" t="str">
        <f>IF($C232="B",INDEX(Batters[[#All],[WE]],MATCH(Table5[[#This Row],[PID]],Batters[[#All],[PID]],0)),INDEX(Table3[[#All],[WE]],MATCH(Table5[[#This Row],[PID]],Table3[[#All],[PID]],0)))</f>
        <v>Normal</v>
      </c>
      <c r="K232" s="52" t="str">
        <f>IF($C232="B",INDEX(Batters[[#All],[INT]],MATCH(Table5[[#This Row],[PID]],Batters[[#All],[PID]],0)),INDEX(Table3[[#All],[INT]],MATCH(Table5[[#This Row],[PID]],Table3[[#All],[PID]],0)))</f>
        <v>Normal</v>
      </c>
      <c r="L232" s="60">
        <f>IF($C232="B",INDEX(Batters[[#All],[CON P]],MATCH(Table5[[#This Row],[PID]],Batters[[#All],[PID]],0)),INDEX(Table3[[#All],[STU P]],MATCH(Table5[[#This Row],[PID]],Table3[[#All],[PID]],0)))</f>
        <v>4</v>
      </c>
      <c r="M232" s="56">
        <f>IF($C232="B",INDEX(Batters[[#All],[GAP P]],MATCH(Table5[[#This Row],[PID]],Batters[[#All],[PID]],0)),INDEX(Table3[[#All],[MOV P]],MATCH(Table5[[#This Row],[PID]],Table3[[#All],[PID]],0)))</f>
        <v>4</v>
      </c>
      <c r="N232" s="56">
        <f>IF($C232="B",INDEX(Batters[[#All],[POW P]],MATCH(Table5[[#This Row],[PID]],Batters[[#All],[PID]],0)),INDEX(Table3[[#All],[CON P]],MATCH(Table5[[#This Row],[PID]],Table3[[#All],[PID]],0)))</f>
        <v>4</v>
      </c>
      <c r="O232" s="56">
        <f>IF($C232="B",INDEX(Batters[[#All],[EYE P]],MATCH(Table5[[#This Row],[PID]],Batters[[#All],[PID]],0)),INDEX(Table3[[#All],[VELO]],MATCH(Table5[[#This Row],[PID]],Table3[[#All],[PID]],0)))</f>
        <v>4</v>
      </c>
      <c r="P232" s="56">
        <f>IF($C232="B",INDEX(Batters[[#All],[K P]],MATCH(Table5[[#This Row],[PID]],Batters[[#All],[PID]],0)),INDEX(Table3[[#All],[STM]],MATCH(Table5[[#This Row],[PID]],Table3[[#All],[PID]],0)))</f>
        <v>5</v>
      </c>
      <c r="Q232" s="61">
        <f>IF($C232="B",INDEX(Batters[[#All],[Tot]],MATCH(Table5[[#This Row],[PID]],Batters[[#All],[PID]],0)),INDEX(Table3[[#All],[Tot]],MATCH(Table5[[#This Row],[PID]],Table3[[#All],[PID]],0)))</f>
        <v>46.450072181433626</v>
      </c>
      <c r="R232" s="52">
        <f>IF($C232="B",INDEX(Batters[[#All],[zScore]],MATCH(Table5[[#This Row],[PID]],Batters[[#All],[PID]],0)),INDEX(Table3[[#All],[zScore]],MATCH(Table5[[#This Row],[PID]],Table3[[#All],[PID]],0)))</f>
        <v>0.47170786067739623</v>
      </c>
      <c r="S232" s="58" t="str">
        <f>IF($C232="B",INDEX(Batters[[#All],[DEM]],MATCH(Table5[[#This Row],[PID]],Batters[[#All],[PID]],0)),INDEX(Table3[[#All],[DEM]],MATCH(Table5[[#This Row],[PID]],Table3[[#All],[PID]],0)))</f>
        <v>$200k</v>
      </c>
      <c r="T232" s="62">
        <f>IF($C232="B",INDEX(Batters[[#All],[Rnk]],MATCH(Table5[[#This Row],[PID]],Batters[[#All],[PID]],0)),INDEX(Table3[[#All],[Rnk]],MATCH(Table5[[#This Row],[PID]],Table3[[#All],[PID]],0)))</f>
        <v>900</v>
      </c>
      <c r="U232" s="67">
        <f>IF($C232="B",VLOOKUP($A232,Bat!$A$4:$BA$1314,47,FALSE),VLOOKUP($A232,Pit!$A$4:$BF$1214,56,FALSE))</f>
        <v>137</v>
      </c>
      <c r="V232" s="50">
        <f>IF($C232="B",VLOOKUP($A232,Bat!$A$4:$BA$1314,48,FALSE),VLOOKUP($A232,Pit!$A$4:$BF$1214,57,FALSE))</f>
        <v>0</v>
      </c>
      <c r="W232" s="68">
        <f>IF(Table5[[#This Row],[posRnk]]=999,9999,Table5[[#This Row],[posRnk]]+Table5[[#This Row],[zRnk]]+IF($W$3&lt;&gt;Table5[[#This Row],[Type]],50,0))</f>
        <v>1185</v>
      </c>
      <c r="X232" s="51">
        <f>RANK(Table5[[#This Row],[zScore]],Table5[[#All],[zScore]])</f>
        <v>235</v>
      </c>
      <c r="Y232" s="50">
        <f>IFERROR(INDEX(DraftResults[[#All],[OVR]],MATCH(Table5[[#This Row],[PID]],DraftResults[[#All],[Player ID]],0)),"")</f>
        <v>205</v>
      </c>
      <c r="Z232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7</v>
      </c>
      <c r="AA232" s="50">
        <f>IFERROR(INDEX(DraftResults[[#All],[Pick in Round]],MATCH(Table5[[#This Row],[PID]],DraftResults[[#All],[Player ID]],0)),"")</f>
        <v>4</v>
      </c>
      <c r="AB232" s="50" t="str">
        <f>IFERROR(INDEX(DraftResults[[#All],[Team Name]],MATCH(Table5[[#This Row],[PID]],DraftResults[[#All],[Player ID]],0)),"")</f>
        <v>Palm Springs Codgers</v>
      </c>
      <c r="AC232" s="50">
        <f>IF(Table5[[#This Row],[Ovr]]="","",IF(Table5[[#This Row],[cmbList]]="","",Table5[[#This Row],[cmbList]]-Table5[[#This Row],[Ovr]]))</f>
        <v>980</v>
      </c>
      <c r="AD232" s="54" t="str">
        <f>IF(ISERROR(VLOOKUP($AB232&amp;"-"&amp;$E232&amp;" "&amp;F232,Bonuses!$B$1:$G$1006,4,FALSE)),"",INT(VLOOKUP($AB232&amp;"-"&amp;$E232&amp;" "&amp;$F232,Bonuses!$B$1:$G$1006,4,FALSE)))</f>
        <v/>
      </c>
      <c r="AE232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7.4 (205) - LF Madison Hollett</v>
      </c>
    </row>
    <row r="233" spans="1:31" s="50" customFormat="1" x14ac:dyDescent="0.3">
      <c r="A233" s="67">
        <v>20444</v>
      </c>
      <c r="B233" s="68">
        <f>COUNTIF(Table5[PID],A233)</f>
        <v>1</v>
      </c>
      <c r="C233" s="68" t="str">
        <f>IF(COUNTIF(Table3[[#All],[PID]],A233)&gt;0,"P","B")</f>
        <v>B</v>
      </c>
      <c r="D233" s="59" t="str">
        <f>IF($C233="B",INDEX(Batters[[#All],[POS]],MATCH(Table5[[#This Row],[PID]],Batters[[#All],[PID]],0)),INDEX(Table3[[#All],[POS]],MATCH(Table5[[#This Row],[PID]],Table3[[#All],[PID]],0)))</f>
        <v>RF</v>
      </c>
      <c r="E233" s="52" t="str">
        <f>IF($C233="B",INDEX(Batters[[#All],[First]],MATCH(Table5[[#This Row],[PID]],Batters[[#All],[PID]],0)),INDEX(Table3[[#All],[First]],MATCH(Table5[[#This Row],[PID]],Table3[[#All],[PID]],0)))</f>
        <v>Lien-ying</v>
      </c>
      <c r="F233" s="55" t="str">
        <f>IF($C233="B",INDEX(Batters[[#All],[Last]],MATCH(A233,Batters[[#All],[PID]],0)),INDEX(Table3[[#All],[Last]],MATCH(A233,Table3[[#All],[PID]],0)))</f>
        <v>Kang</v>
      </c>
      <c r="G233" s="56">
        <f>IF($C233="B",INDEX(Batters[[#All],[Age]],MATCH(Table5[[#This Row],[PID]],Batters[[#All],[PID]],0)),INDEX(Table3[[#All],[Age]],MATCH(Table5[[#This Row],[PID]],Table3[[#All],[PID]],0)))</f>
        <v>17</v>
      </c>
      <c r="H233" s="52" t="str">
        <f>IF($C233="B",INDEX(Batters[[#All],[B]],MATCH(Table5[[#This Row],[PID]],Batters[[#All],[PID]],0)),INDEX(Table3[[#All],[B]],MATCH(Table5[[#This Row],[PID]],Table3[[#All],[PID]],0)))</f>
        <v>L</v>
      </c>
      <c r="I233" s="52" t="str">
        <f>IF($C233="B",INDEX(Batters[[#All],[T]],MATCH(Table5[[#This Row],[PID]],Batters[[#All],[PID]],0)),INDEX(Table3[[#All],[T]],MATCH(Table5[[#This Row],[PID]],Table3[[#All],[PID]],0)))</f>
        <v>R</v>
      </c>
      <c r="J233" s="69" t="str">
        <f>IF($C233="B",INDEX(Batters[[#All],[WE]],MATCH(Table5[[#This Row],[PID]],Batters[[#All],[PID]],0)),INDEX(Table3[[#All],[WE]],MATCH(Table5[[#This Row],[PID]],Table3[[#All],[PID]],0)))</f>
        <v>High</v>
      </c>
      <c r="K233" s="52" t="str">
        <f>IF($C233="B",INDEX(Batters[[#All],[INT]],MATCH(Table5[[#This Row],[PID]],Batters[[#All],[PID]],0)),INDEX(Table3[[#All],[INT]],MATCH(Table5[[#This Row],[PID]],Table3[[#All],[PID]],0)))</f>
        <v>Normal</v>
      </c>
      <c r="L233" s="60">
        <f>IF($C233="B",INDEX(Batters[[#All],[CON P]],MATCH(Table5[[#This Row],[PID]],Batters[[#All],[PID]],0)),INDEX(Table3[[#All],[STU P]],MATCH(Table5[[#This Row],[PID]],Table3[[#All],[PID]],0)))</f>
        <v>3</v>
      </c>
      <c r="M233" s="70">
        <f>IF($C233="B",INDEX(Batters[[#All],[GAP P]],MATCH(Table5[[#This Row],[PID]],Batters[[#All],[PID]],0)),INDEX(Table3[[#All],[MOV P]],MATCH(Table5[[#This Row],[PID]],Table3[[#All],[PID]],0)))</f>
        <v>5</v>
      </c>
      <c r="N233" s="70">
        <f>IF($C233="B",INDEX(Batters[[#All],[POW P]],MATCH(Table5[[#This Row],[PID]],Batters[[#All],[PID]],0)),INDEX(Table3[[#All],[CON P]],MATCH(Table5[[#This Row],[PID]],Table3[[#All],[PID]],0)))</f>
        <v>7</v>
      </c>
      <c r="O233" s="70">
        <f>IF($C233="B",INDEX(Batters[[#All],[EYE P]],MATCH(Table5[[#This Row],[PID]],Batters[[#All],[PID]],0)),INDEX(Table3[[#All],[VELO]],MATCH(Table5[[#This Row],[PID]],Table3[[#All],[PID]],0)))</f>
        <v>5</v>
      </c>
      <c r="P233" s="56">
        <f>IF($C233="B",INDEX(Batters[[#All],[K P]],MATCH(Table5[[#This Row],[PID]],Batters[[#All],[PID]],0)),INDEX(Table3[[#All],[STM]],MATCH(Table5[[#This Row],[PID]],Table3[[#All],[PID]],0)))</f>
        <v>3</v>
      </c>
      <c r="Q233" s="61">
        <f>IF($C233="B",INDEX(Batters[[#All],[Tot]],MATCH(Table5[[#This Row],[PID]],Batters[[#All],[PID]],0)),INDEX(Table3[[#All],[Tot]],MATCH(Table5[[#This Row],[PID]],Table3[[#All],[PID]],0)))</f>
        <v>46.43502235493623</v>
      </c>
      <c r="R233" s="52">
        <f>IF($C233="B",INDEX(Batters[[#All],[zScore]],MATCH(Table5[[#This Row],[PID]],Batters[[#All],[PID]],0)),INDEX(Table3[[#All],[zScore]],MATCH(Table5[[#This Row],[PID]],Table3[[#All],[PID]],0)))</f>
        <v>0.4695110659530537</v>
      </c>
      <c r="S233" s="75" t="str">
        <f>IF($C233="B",INDEX(Batters[[#All],[DEM]],MATCH(Table5[[#This Row],[PID]],Batters[[#All],[PID]],0)),INDEX(Table3[[#All],[DEM]],MATCH(Table5[[#This Row],[PID]],Table3[[#All],[PID]],0)))</f>
        <v>$200k</v>
      </c>
      <c r="T233" s="72">
        <f>IF($C233="B",INDEX(Batters[[#All],[Rnk]],MATCH(Table5[[#This Row],[PID]],Batters[[#All],[PID]],0)),INDEX(Table3[[#All],[Rnk]],MATCH(Table5[[#This Row],[PID]],Table3[[#All],[PID]],0)))</f>
        <v>900</v>
      </c>
      <c r="U233" s="67">
        <f>IF($C233="B",VLOOKUP($A233,Bat!$A$4:$BA$1314,47,FALSE),VLOOKUP($A233,Pit!$A$4:$BF$1214,56,FALSE))</f>
        <v>127</v>
      </c>
      <c r="V233" s="50">
        <f>IF($C233="B",VLOOKUP($A233,Bat!$A$4:$BA$1314,48,FALSE),VLOOKUP($A233,Pit!$A$4:$BF$1214,57,FALSE))</f>
        <v>0</v>
      </c>
      <c r="W233" s="68">
        <f>IF(Table5[[#This Row],[posRnk]]=999,9999,Table5[[#This Row],[posRnk]]+Table5[[#This Row],[zRnk]]+IF($W$3&lt;&gt;Table5[[#This Row],[Type]],50,0))</f>
        <v>1186</v>
      </c>
      <c r="X233" s="71">
        <f>RANK(Table5[[#This Row],[zScore]],Table5[[#All],[zScore]])</f>
        <v>236</v>
      </c>
      <c r="Y233" s="68">
        <f>IFERROR(INDEX(DraftResults[[#All],[OVR]],MATCH(Table5[[#This Row],[PID]],DraftResults[[#All],[Player ID]],0)),"")</f>
        <v>138</v>
      </c>
      <c r="Z233" s="7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5</v>
      </c>
      <c r="AA233" s="68">
        <f>IFERROR(INDEX(DraftResults[[#All],[Pick in Round]],MATCH(Table5[[#This Row],[PID]],DraftResults[[#All],[Player ID]],0)),"")</f>
        <v>1</v>
      </c>
      <c r="AB233" s="68" t="str">
        <f>IFERROR(INDEX(DraftResults[[#All],[Team Name]],MATCH(Table5[[#This Row],[PID]],DraftResults[[#All],[Player ID]],0)),"")</f>
        <v>Yuma Arroyos</v>
      </c>
      <c r="AC233" s="68">
        <f>IF(Table5[[#This Row],[Ovr]]="","",IF(Table5[[#This Row],[cmbList]]="","",Table5[[#This Row],[cmbList]]-Table5[[#This Row],[Ovr]]))</f>
        <v>1048</v>
      </c>
      <c r="AD233" s="74" t="str">
        <f>IF(ISERROR(VLOOKUP($AB233&amp;"-"&amp;$E233&amp;" "&amp;F233,Bonuses!$B$1:$G$1006,4,FALSE)),"",INT(VLOOKUP($AB233&amp;"-"&amp;$E233&amp;" "&amp;$F233,Bonuses!$B$1:$G$1006,4,FALSE)))</f>
        <v/>
      </c>
      <c r="AE233" s="68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5.1 (138) - RF Lien-ying Kang</v>
      </c>
    </row>
    <row r="234" spans="1:31" s="50" customFormat="1" x14ac:dyDescent="0.3">
      <c r="A234" s="50">
        <v>20498</v>
      </c>
      <c r="B234" s="50">
        <f>COUNTIF(Table5[PID],A234)</f>
        <v>1</v>
      </c>
      <c r="C234" s="50" t="str">
        <f>IF(COUNTIF(Table3[[#All],[PID]],A234)&gt;0,"P","B")</f>
        <v>B</v>
      </c>
      <c r="D234" s="59" t="str">
        <f>IF($C234="B",INDEX(Batters[[#All],[POS]],MATCH(Table5[[#This Row],[PID]],Batters[[#All],[PID]],0)),INDEX(Table3[[#All],[POS]],MATCH(Table5[[#This Row],[PID]],Table3[[#All],[PID]],0)))</f>
        <v>RF</v>
      </c>
      <c r="E234" s="52" t="str">
        <f>IF($C234="B",INDEX(Batters[[#All],[First]],MATCH(Table5[[#This Row],[PID]],Batters[[#All],[PID]],0)),INDEX(Table3[[#All],[First]],MATCH(Table5[[#This Row],[PID]],Table3[[#All],[PID]],0)))</f>
        <v>Nobuharu</v>
      </c>
      <c r="F234" s="50" t="str">
        <f>IF($C234="B",INDEX(Batters[[#All],[Last]],MATCH(A234,Batters[[#All],[PID]],0)),INDEX(Table3[[#All],[Last]],MATCH(A234,Table3[[#All],[PID]],0)))</f>
        <v>Tashima</v>
      </c>
      <c r="G234" s="56">
        <f>IF($C234="B",INDEX(Batters[[#All],[Age]],MATCH(Table5[[#This Row],[PID]],Batters[[#All],[PID]],0)),INDEX(Table3[[#All],[Age]],MATCH(Table5[[#This Row],[PID]],Table3[[#All],[PID]],0)))</f>
        <v>16</v>
      </c>
      <c r="H234" s="52" t="str">
        <f>IF($C234="B",INDEX(Batters[[#All],[B]],MATCH(Table5[[#This Row],[PID]],Batters[[#All],[PID]],0)),INDEX(Table3[[#All],[B]],MATCH(Table5[[#This Row],[PID]],Table3[[#All],[PID]],0)))</f>
        <v>L</v>
      </c>
      <c r="I234" s="52" t="str">
        <f>IF($C234="B",INDEX(Batters[[#All],[T]],MATCH(Table5[[#This Row],[PID]],Batters[[#All],[PID]],0)),INDEX(Table3[[#All],[T]],MATCH(Table5[[#This Row],[PID]],Table3[[#All],[PID]],0)))</f>
        <v>L</v>
      </c>
      <c r="J234" s="52" t="str">
        <f>IF($C234="B",INDEX(Batters[[#All],[WE]],MATCH(Table5[[#This Row],[PID]],Batters[[#All],[PID]],0)),INDEX(Table3[[#All],[WE]],MATCH(Table5[[#This Row],[PID]],Table3[[#All],[PID]],0)))</f>
        <v>Normal</v>
      </c>
      <c r="K234" s="52" t="str">
        <f>IF($C234="B",INDEX(Batters[[#All],[INT]],MATCH(Table5[[#This Row],[PID]],Batters[[#All],[PID]],0)),INDEX(Table3[[#All],[INT]],MATCH(Table5[[#This Row],[PID]],Table3[[#All],[PID]],0)))</f>
        <v>Normal</v>
      </c>
      <c r="L234" s="60">
        <f>IF($C234="B",INDEX(Batters[[#All],[CON P]],MATCH(Table5[[#This Row],[PID]],Batters[[#All],[PID]],0)),INDEX(Table3[[#All],[STU P]],MATCH(Table5[[#This Row],[PID]],Table3[[#All],[PID]],0)))</f>
        <v>3</v>
      </c>
      <c r="M234" s="56">
        <f>IF($C234="B",INDEX(Batters[[#All],[GAP P]],MATCH(Table5[[#This Row],[PID]],Batters[[#All],[PID]],0)),INDEX(Table3[[#All],[MOV P]],MATCH(Table5[[#This Row],[PID]],Table3[[#All],[PID]],0)))</f>
        <v>5</v>
      </c>
      <c r="N234" s="56">
        <f>IF($C234="B",INDEX(Batters[[#All],[POW P]],MATCH(Table5[[#This Row],[PID]],Batters[[#All],[PID]],0)),INDEX(Table3[[#All],[CON P]],MATCH(Table5[[#This Row],[PID]],Table3[[#All],[PID]],0)))</f>
        <v>7</v>
      </c>
      <c r="O234" s="56">
        <f>IF($C234="B",INDEX(Batters[[#All],[EYE P]],MATCH(Table5[[#This Row],[PID]],Batters[[#All],[PID]],0)),INDEX(Table3[[#All],[VELO]],MATCH(Table5[[#This Row],[PID]],Table3[[#All],[PID]],0)))</f>
        <v>6</v>
      </c>
      <c r="P234" s="56">
        <f>IF($C234="B",INDEX(Batters[[#All],[K P]],MATCH(Table5[[#This Row],[PID]],Batters[[#All],[PID]],0)),INDEX(Table3[[#All],[STM]],MATCH(Table5[[#This Row],[PID]],Table3[[#All],[PID]],0)))</f>
        <v>1</v>
      </c>
      <c r="Q234" s="61">
        <f>IF($C234="B",INDEX(Batters[[#All],[Tot]],MATCH(Table5[[#This Row],[PID]],Batters[[#All],[PID]],0)),INDEX(Table3[[#All],[Tot]],MATCH(Table5[[#This Row],[PID]],Table3[[#All],[PID]],0)))</f>
        <v>46.387732662076942</v>
      </c>
      <c r="R234" s="52">
        <f>IF($C234="B",INDEX(Batters[[#All],[zScore]],MATCH(Table5[[#This Row],[PID]],Batters[[#All],[PID]],0)),INDEX(Table3[[#All],[zScore]],MATCH(Table5[[#This Row],[PID]],Table3[[#All],[PID]],0)))</f>
        <v>0.46260827888058909</v>
      </c>
      <c r="S234" s="58" t="str">
        <f>IF($C234="B",INDEX(Batters[[#All],[DEM]],MATCH(Table5[[#This Row],[PID]],Batters[[#All],[PID]],0)),INDEX(Table3[[#All],[DEM]],MATCH(Table5[[#This Row],[PID]],Table3[[#All],[PID]],0)))</f>
        <v>$65k</v>
      </c>
      <c r="T234" s="62">
        <f>IF($C234="B",INDEX(Batters[[#All],[Rnk]],MATCH(Table5[[#This Row],[PID]],Batters[[#All],[PID]],0)),INDEX(Table3[[#All],[Rnk]],MATCH(Table5[[#This Row],[PID]],Table3[[#All],[PID]],0)))</f>
        <v>900</v>
      </c>
      <c r="U234" s="67">
        <f>IF($C234="B",VLOOKUP($A234,Bat!$A$4:$BA$1314,47,FALSE),VLOOKUP($A234,Pit!$A$4:$BF$1214,56,FALSE))</f>
        <v>138</v>
      </c>
      <c r="V234" s="50">
        <f>IF($C234="B",VLOOKUP($A234,Bat!$A$4:$BA$1314,48,FALSE),VLOOKUP($A234,Pit!$A$4:$BF$1214,57,FALSE))</f>
        <v>0</v>
      </c>
      <c r="W234" s="68">
        <f>IF(Table5[[#This Row],[posRnk]]=999,9999,Table5[[#This Row],[posRnk]]+Table5[[#This Row],[zRnk]]+IF($W$3&lt;&gt;Table5[[#This Row],[Type]],50,0))</f>
        <v>1187</v>
      </c>
      <c r="X234" s="51">
        <f>RANK(Table5[[#This Row],[zScore]],Table5[[#All],[zScore]])</f>
        <v>237</v>
      </c>
      <c r="Y234" s="50">
        <f>IFERROR(INDEX(DraftResults[[#All],[OVR]],MATCH(Table5[[#This Row],[PID]],DraftResults[[#All],[Player ID]],0)),"")</f>
        <v>290</v>
      </c>
      <c r="Z234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9</v>
      </c>
      <c r="AA234" s="50">
        <f>IFERROR(INDEX(DraftResults[[#All],[Pick in Round]],MATCH(Table5[[#This Row],[PID]],DraftResults[[#All],[Player ID]],0)),"")</f>
        <v>25</v>
      </c>
      <c r="AB234" s="50" t="str">
        <f>IFERROR(INDEX(DraftResults[[#All],[Team Name]],MATCH(Table5[[#This Row],[PID]],DraftResults[[#All],[Player ID]],0)),"")</f>
        <v>Kalamazoo Badgers</v>
      </c>
      <c r="AC234" s="50">
        <f>IF(Table5[[#This Row],[Ovr]]="","",IF(Table5[[#This Row],[cmbList]]="","",Table5[[#This Row],[cmbList]]-Table5[[#This Row],[Ovr]]))</f>
        <v>897</v>
      </c>
      <c r="AD234" s="54" t="str">
        <f>IF(ISERROR(VLOOKUP($AB234&amp;"-"&amp;$E234&amp;" "&amp;F234,Bonuses!$B$1:$G$1006,4,FALSE)),"",INT(VLOOKUP($AB234&amp;"-"&amp;$E234&amp;" "&amp;$F234,Bonuses!$B$1:$G$1006,4,FALSE)))</f>
        <v/>
      </c>
      <c r="AE234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9.25 (290) - RF Nobuharu Tashima</v>
      </c>
    </row>
    <row r="235" spans="1:31" s="50" customFormat="1" x14ac:dyDescent="0.3">
      <c r="A235" s="50">
        <v>12834</v>
      </c>
      <c r="B235" s="50">
        <f>COUNTIF(Table5[PID],A235)</f>
        <v>1</v>
      </c>
      <c r="C235" s="50" t="str">
        <f>IF(COUNTIF(Table3[[#All],[PID]],A235)&gt;0,"P","B")</f>
        <v>B</v>
      </c>
      <c r="D235" s="59" t="str">
        <f>IF($C235="B",INDEX(Batters[[#All],[POS]],MATCH(Table5[[#This Row],[PID]],Batters[[#All],[PID]],0)),INDEX(Table3[[#All],[POS]],MATCH(Table5[[#This Row],[PID]],Table3[[#All],[PID]],0)))</f>
        <v>1B</v>
      </c>
      <c r="E235" s="52" t="str">
        <f>IF($C235="B",INDEX(Batters[[#All],[First]],MATCH(Table5[[#This Row],[PID]],Batters[[#All],[PID]],0)),INDEX(Table3[[#All],[First]],MATCH(Table5[[#This Row],[PID]],Table3[[#All],[PID]],0)))</f>
        <v>Michel</v>
      </c>
      <c r="F235" s="50" t="str">
        <f>IF($C235="B",INDEX(Batters[[#All],[Last]],MATCH(A235,Batters[[#All],[PID]],0)),INDEX(Table3[[#All],[Last]],MATCH(A235,Table3[[#All],[PID]],0)))</f>
        <v>Winckelmann</v>
      </c>
      <c r="G235" s="56">
        <f>IF($C235="B",INDEX(Batters[[#All],[Age]],MATCH(Table5[[#This Row],[PID]],Batters[[#All],[PID]],0)),INDEX(Table3[[#All],[Age]],MATCH(Table5[[#This Row],[PID]],Table3[[#All],[PID]],0)))</f>
        <v>17</v>
      </c>
      <c r="H235" s="52" t="str">
        <f>IF($C235="B",INDEX(Batters[[#All],[B]],MATCH(Table5[[#This Row],[PID]],Batters[[#All],[PID]],0)),INDEX(Table3[[#All],[B]],MATCH(Table5[[#This Row],[PID]],Table3[[#All],[PID]],0)))</f>
        <v>R</v>
      </c>
      <c r="I235" s="52" t="str">
        <f>IF($C235="B",INDEX(Batters[[#All],[T]],MATCH(Table5[[#This Row],[PID]],Batters[[#All],[PID]],0)),INDEX(Table3[[#All],[T]],MATCH(Table5[[#This Row],[PID]],Table3[[#All],[PID]],0)))</f>
        <v>R</v>
      </c>
      <c r="J235" s="52" t="str">
        <f>IF($C235="B",INDEX(Batters[[#All],[WE]],MATCH(Table5[[#This Row],[PID]],Batters[[#All],[PID]],0)),INDEX(Table3[[#All],[WE]],MATCH(Table5[[#This Row],[PID]],Table3[[#All],[PID]],0)))</f>
        <v>High</v>
      </c>
      <c r="K235" s="52" t="str">
        <f>IF($C235="B",INDEX(Batters[[#All],[INT]],MATCH(Table5[[#This Row],[PID]],Batters[[#All],[PID]],0)),INDEX(Table3[[#All],[INT]],MATCH(Table5[[#This Row],[PID]],Table3[[#All],[PID]],0)))</f>
        <v>Normal</v>
      </c>
      <c r="L235" s="60">
        <f>IF($C235="B",INDEX(Batters[[#All],[CON P]],MATCH(Table5[[#This Row],[PID]],Batters[[#All],[PID]],0)),INDEX(Table3[[#All],[STU P]],MATCH(Table5[[#This Row],[PID]],Table3[[#All],[PID]],0)))</f>
        <v>3</v>
      </c>
      <c r="M235" s="56">
        <f>IF($C235="B",INDEX(Batters[[#All],[GAP P]],MATCH(Table5[[#This Row],[PID]],Batters[[#All],[PID]],0)),INDEX(Table3[[#All],[MOV P]],MATCH(Table5[[#This Row],[PID]],Table3[[#All],[PID]],0)))</f>
        <v>2</v>
      </c>
      <c r="N235" s="56">
        <f>IF($C235="B",INDEX(Batters[[#All],[POW P]],MATCH(Table5[[#This Row],[PID]],Batters[[#All],[PID]],0)),INDEX(Table3[[#All],[CON P]],MATCH(Table5[[#This Row],[PID]],Table3[[#All],[PID]],0)))</f>
        <v>8</v>
      </c>
      <c r="O235" s="56">
        <f>IF($C235="B",INDEX(Batters[[#All],[EYE P]],MATCH(Table5[[#This Row],[PID]],Batters[[#All],[PID]],0)),INDEX(Table3[[#All],[VELO]],MATCH(Table5[[#This Row],[PID]],Table3[[#All],[PID]],0)))</f>
        <v>6</v>
      </c>
      <c r="P235" s="56">
        <f>IF($C235="B",INDEX(Batters[[#All],[K P]],MATCH(Table5[[#This Row],[PID]],Batters[[#All],[PID]],0)),INDEX(Table3[[#All],[STM]],MATCH(Table5[[#This Row],[PID]],Table3[[#All],[PID]],0)))</f>
        <v>2</v>
      </c>
      <c r="Q235" s="61">
        <f>IF($C235="B",INDEX(Batters[[#All],[Tot]],MATCH(Table5[[#This Row],[PID]],Batters[[#All],[PID]],0)),INDEX(Table3[[#All],[Tot]],MATCH(Table5[[#This Row],[PID]],Table3[[#All],[PID]],0)))</f>
        <v>46.332965692638354</v>
      </c>
      <c r="R235" s="52">
        <f>IF($C235="B",INDEX(Batters[[#All],[zScore]],MATCH(Table5[[#This Row],[PID]],Batters[[#All],[PID]],0)),INDEX(Table3[[#All],[zScore]],MATCH(Table5[[#This Row],[PID]],Table3[[#All],[PID]],0)))</f>
        <v>0.45461404788053489</v>
      </c>
      <c r="S235" s="58" t="str">
        <f>IF($C235="B",INDEX(Batters[[#All],[DEM]],MATCH(Table5[[#This Row],[PID]],Batters[[#All],[PID]],0)),INDEX(Table3[[#All],[DEM]],MATCH(Table5[[#This Row],[PID]],Table3[[#All],[PID]],0)))</f>
        <v>$65k</v>
      </c>
      <c r="T235" s="62">
        <f>IF($C235="B",INDEX(Batters[[#All],[Rnk]],MATCH(Table5[[#This Row],[PID]],Batters[[#All],[PID]],0)),INDEX(Table3[[#All],[Rnk]],MATCH(Table5[[#This Row],[PID]],Table3[[#All],[PID]],0)))</f>
        <v>900</v>
      </c>
      <c r="U235" s="67">
        <f>IF($C235="B",VLOOKUP($A235,Bat!$A$4:$BA$1314,47,FALSE),VLOOKUP($A235,Pit!$A$4:$BF$1214,56,FALSE))</f>
        <v>128</v>
      </c>
      <c r="V235" s="50">
        <f>IF($C235="B",VLOOKUP($A235,Bat!$A$4:$BA$1314,48,FALSE),VLOOKUP($A235,Pit!$A$4:$BF$1214,57,FALSE))</f>
        <v>0</v>
      </c>
      <c r="W235" s="68">
        <f>IF(Table5[[#This Row],[posRnk]]=999,9999,Table5[[#This Row],[posRnk]]+Table5[[#This Row],[zRnk]]+IF($W$3&lt;&gt;Table5[[#This Row],[Type]],50,0))</f>
        <v>1188</v>
      </c>
      <c r="X235" s="51">
        <f>RANK(Table5[[#This Row],[zScore]],Table5[[#All],[zScore]])</f>
        <v>238</v>
      </c>
      <c r="Y235" s="50">
        <f>IFERROR(INDEX(DraftResults[[#All],[OVR]],MATCH(Table5[[#This Row],[PID]],DraftResults[[#All],[Player ID]],0)),"")</f>
        <v>243</v>
      </c>
      <c r="Z235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8</v>
      </c>
      <c r="AA235" s="50">
        <f>IFERROR(INDEX(DraftResults[[#All],[Pick in Round]],MATCH(Table5[[#This Row],[PID]],DraftResults[[#All],[Player ID]],0)),"")</f>
        <v>10</v>
      </c>
      <c r="AB235" s="50" t="str">
        <f>IFERROR(INDEX(DraftResults[[#All],[Team Name]],MATCH(Table5[[#This Row],[PID]],DraftResults[[#All],[Player ID]],0)),"")</f>
        <v>Niihama-shi Ghosts</v>
      </c>
      <c r="AC235" s="50">
        <f>IF(Table5[[#This Row],[Ovr]]="","",IF(Table5[[#This Row],[cmbList]]="","",Table5[[#This Row],[cmbList]]-Table5[[#This Row],[Ovr]]))</f>
        <v>945</v>
      </c>
      <c r="AD235" s="54" t="str">
        <f>IF(ISERROR(VLOOKUP($AB235&amp;"-"&amp;$E235&amp;" "&amp;F235,Bonuses!$B$1:$G$1006,4,FALSE)),"",INT(VLOOKUP($AB235&amp;"-"&amp;$E235&amp;" "&amp;$F235,Bonuses!$B$1:$G$1006,4,FALSE)))</f>
        <v/>
      </c>
      <c r="AE235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8.10 (243) - 1B Michel Winckelmann</v>
      </c>
    </row>
    <row r="236" spans="1:31" s="50" customFormat="1" x14ac:dyDescent="0.3">
      <c r="A236" s="50">
        <v>20924</v>
      </c>
      <c r="B236" s="50">
        <f>COUNTIF(Table5[PID],A236)</f>
        <v>1</v>
      </c>
      <c r="C236" s="50" t="str">
        <f>IF(COUNTIF(Table3[[#All],[PID]],A236)&gt;0,"P","B")</f>
        <v>B</v>
      </c>
      <c r="D236" s="59" t="str">
        <f>IF($C236="B",INDEX(Batters[[#All],[POS]],MATCH(Table5[[#This Row],[PID]],Batters[[#All],[PID]],0)),INDEX(Table3[[#All],[POS]],MATCH(Table5[[#This Row],[PID]],Table3[[#All],[PID]],0)))</f>
        <v>LF</v>
      </c>
      <c r="E236" s="52" t="str">
        <f>IF($C236="B",INDEX(Batters[[#All],[First]],MATCH(Table5[[#This Row],[PID]],Batters[[#All],[PID]],0)),INDEX(Table3[[#All],[First]],MATCH(Table5[[#This Row],[PID]],Table3[[#All],[PID]],0)))</f>
        <v>Larry</v>
      </c>
      <c r="F236" s="50" t="str">
        <f>IF($C236="B",INDEX(Batters[[#All],[Last]],MATCH(A236,Batters[[#All],[PID]],0)),INDEX(Table3[[#All],[Last]],MATCH(A236,Table3[[#All],[PID]],0)))</f>
        <v>Andrews</v>
      </c>
      <c r="G236" s="56">
        <f>IF($C236="B",INDEX(Batters[[#All],[Age]],MATCH(Table5[[#This Row],[PID]],Batters[[#All],[PID]],0)),INDEX(Table3[[#All],[Age]],MATCH(Table5[[#This Row],[PID]],Table3[[#All],[PID]],0)))</f>
        <v>17</v>
      </c>
      <c r="H236" s="52" t="str">
        <f>IF($C236="B",INDEX(Batters[[#All],[B]],MATCH(Table5[[#This Row],[PID]],Batters[[#All],[PID]],0)),INDEX(Table3[[#All],[B]],MATCH(Table5[[#This Row],[PID]],Table3[[#All],[PID]],0)))</f>
        <v>R</v>
      </c>
      <c r="I236" s="52" t="str">
        <f>IF($C236="B",INDEX(Batters[[#All],[T]],MATCH(Table5[[#This Row],[PID]],Batters[[#All],[PID]],0)),INDEX(Table3[[#All],[T]],MATCH(Table5[[#This Row],[PID]],Table3[[#All],[PID]],0)))</f>
        <v>R</v>
      </c>
      <c r="J236" s="52" t="str">
        <f>IF($C236="B",INDEX(Batters[[#All],[WE]],MATCH(Table5[[#This Row],[PID]],Batters[[#All],[PID]],0)),INDEX(Table3[[#All],[WE]],MATCH(Table5[[#This Row],[PID]],Table3[[#All],[PID]],0)))</f>
        <v>High</v>
      </c>
      <c r="K236" s="52" t="str">
        <f>IF($C236="B",INDEX(Batters[[#All],[INT]],MATCH(Table5[[#This Row],[PID]],Batters[[#All],[PID]],0)),INDEX(Table3[[#All],[INT]],MATCH(Table5[[#This Row],[PID]],Table3[[#All],[PID]],0)))</f>
        <v>Normal</v>
      </c>
      <c r="L236" s="60">
        <f>IF($C236="B",INDEX(Batters[[#All],[CON P]],MATCH(Table5[[#This Row],[PID]],Batters[[#All],[PID]],0)),INDEX(Table3[[#All],[STU P]],MATCH(Table5[[#This Row],[PID]],Table3[[#All],[PID]],0)))</f>
        <v>4</v>
      </c>
      <c r="M236" s="56">
        <f>IF($C236="B",INDEX(Batters[[#All],[GAP P]],MATCH(Table5[[#This Row],[PID]],Batters[[#All],[PID]],0)),INDEX(Table3[[#All],[MOV P]],MATCH(Table5[[#This Row],[PID]],Table3[[#All],[PID]],0)))</f>
        <v>4</v>
      </c>
      <c r="N236" s="56">
        <f>IF($C236="B",INDEX(Batters[[#All],[POW P]],MATCH(Table5[[#This Row],[PID]],Batters[[#All],[PID]],0)),INDEX(Table3[[#All],[CON P]],MATCH(Table5[[#This Row],[PID]],Table3[[#All],[PID]],0)))</f>
        <v>3</v>
      </c>
      <c r="O236" s="56">
        <f>IF($C236="B",INDEX(Batters[[#All],[EYE P]],MATCH(Table5[[#This Row],[PID]],Batters[[#All],[PID]],0)),INDEX(Table3[[#All],[VELO]],MATCH(Table5[[#This Row],[PID]],Table3[[#All],[PID]],0)))</f>
        <v>5</v>
      </c>
      <c r="P236" s="56">
        <f>IF($C236="B",INDEX(Batters[[#All],[K P]],MATCH(Table5[[#This Row],[PID]],Batters[[#All],[PID]],0)),INDEX(Table3[[#All],[STM]],MATCH(Table5[[#This Row],[PID]],Table3[[#All],[PID]],0)))</f>
        <v>4</v>
      </c>
      <c r="Q236" s="61">
        <f>IF($C236="B",INDEX(Batters[[#All],[Tot]],MATCH(Table5[[#This Row],[PID]],Batters[[#All],[PID]],0)),INDEX(Table3[[#All],[Tot]],MATCH(Table5[[#This Row],[PID]],Table3[[#All],[PID]],0)))</f>
        <v>46.29211681946974</v>
      </c>
      <c r="R236" s="52">
        <f>IF($C236="B",INDEX(Batters[[#All],[zScore]],MATCH(Table5[[#This Row],[PID]],Batters[[#All],[PID]],0)),INDEX(Table3[[#All],[zScore]],MATCH(Table5[[#This Row],[PID]],Table3[[#All],[PID]],0)))</f>
        <v>0.44865141508289613</v>
      </c>
      <c r="S236" s="58" t="str">
        <f>IF($C236="B",INDEX(Batters[[#All],[DEM]],MATCH(Table5[[#This Row],[PID]],Batters[[#All],[PID]],0)),INDEX(Table3[[#All],[DEM]],MATCH(Table5[[#This Row],[PID]],Table3[[#All],[PID]],0)))</f>
        <v>$38k</v>
      </c>
      <c r="T236" s="62">
        <f>IF($C236="B",INDEX(Batters[[#All],[Rnk]],MATCH(Table5[[#This Row],[PID]],Batters[[#All],[PID]],0)),INDEX(Table3[[#All],[Rnk]],MATCH(Table5[[#This Row],[PID]],Table3[[#All],[PID]],0)))</f>
        <v>900</v>
      </c>
      <c r="U236" s="67">
        <f>IF($C236="B",VLOOKUP($A236,Bat!$A$4:$BA$1314,47,FALSE),VLOOKUP($A236,Pit!$A$4:$BF$1214,56,FALSE))</f>
        <v>129</v>
      </c>
      <c r="V236" s="50">
        <f>IF($C236="B",VLOOKUP($A236,Bat!$A$4:$BA$1314,48,FALSE),VLOOKUP($A236,Pit!$A$4:$BF$1214,57,FALSE))</f>
        <v>0</v>
      </c>
      <c r="W236" s="68">
        <f>IF(Table5[[#This Row],[posRnk]]=999,9999,Table5[[#This Row],[posRnk]]+Table5[[#This Row],[zRnk]]+IF($W$3&lt;&gt;Table5[[#This Row],[Type]],50,0))</f>
        <v>1190</v>
      </c>
      <c r="X236" s="51">
        <f>RANK(Table5[[#This Row],[zScore]],Table5[[#All],[zScore]])</f>
        <v>240</v>
      </c>
      <c r="Y236" s="50">
        <f>IFERROR(INDEX(DraftResults[[#All],[OVR]],MATCH(Table5[[#This Row],[PID]],DraftResults[[#All],[Player ID]],0)),"")</f>
        <v>473</v>
      </c>
      <c r="Z236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15</v>
      </c>
      <c r="AA236" s="50">
        <f>IFERROR(INDEX(DraftResults[[#All],[Pick in Round]],MATCH(Table5[[#This Row],[PID]],DraftResults[[#All],[Player ID]],0)),"")</f>
        <v>6</v>
      </c>
      <c r="AB236" s="50" t="str">
        <f>IFERROR(INDEX(DraftResults[[#All],[Team Name]],MATCH(Table5[[#This Row],[PID]],DraftResults[[#All],[Player ID]],0)),"")</f>
        <v>New Orleans Trendsetters</v>
      </c>
      <c r="AC236" s="50">
        <f>IF(Table5[[#This Row],[Ovr]]="","",IF(Table5[[#This Row],[cmbList]]="","",Table5[[#This Row],[cmbList]]-Table5[[#This Row],[Ovr]]))</f>
        <v>717</v>
      </c>
      <c r="AD236" s="54" t="str">
        <f>IF(ISERROR(VLOOKUP($AB236&amp;"-"&amp;$E236&amp;" "&amp;F236,Bonuses!$B$1:$G$1006,4,FALSE)),"",INT(VLOOKUP($AB236&amp;"-"&amp;$E236&amp;" "&amp;$F236,Bonuses!$B$1:$G$1006,4,FALSE)))</f>
        <v/>
      </c>
      <c r="AE236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15.6 (473) - LF Larry Andrews</v>
      </c>
    </row>
    <row r="237" spans="1:31" s="50" customFormat="1" x14ac:dyDescent="0.3">
      <c r="A237" s="50">
        <v>20961</v>
      </c>
      <c r="B237" s="50">
        <f>COUNTIF(Table5[PID],A237)</f>
        <v>1</v>
      </c>
      <c r="C237" s="50" t="str">
        <f>IF(COUNTIF(Table3[[#All],[PID]],A237)&gt;0,"P","B")</f>
        <v>P</v>
      </c>
      <c r="D237" s="59" t="str">
        <f>IF($C237="B",INDEX(Batters[[#All],[POS]],MATCH(Table5[[#This Row],[PID]],Batters[[#All],[PID]],0)),INDEX(Table3[[#All],[POS]],MATCH(Table5[[#This Row],[PID]],Table3[[#All],[PID]],0)))</f>
        <v>RP</v>
      </c>
      <c r="E237" s="52" t="str">
        <f>IF($C237="B",INDEX(Batters[[#All],[First]],MATCH(Table5[[#This Row],[PID]],Batters[[#All],[PID]],0)),INDEX(Table3[[#All],[First]],MATCH(Table5[[#This Row],[PID]],Table3[[#All],[PID]],0)))</f>
        <v>Derrek</v>
      </c>
      <c r="F237" s="50" t="str">
        <f>IF($C237="B",INDEX(Batters[[#All],[Last]],MATCH(A237,Batters[[#All],[PID]],0)),INDEX(Table3[[#All],[Last]],MATCH(A237,Table3[[#All],[PID]],0)))</f>
        <v>Fowler</v>
      </c>
      <c r="G237" s="56">
        <f>IF($C237="B",INDEX(Batters[[#All],[Age]],MATCH(Table5[[#This Row],[PID]],Batters[[#All],[PID]],0)),INDEX(Table3[[#All],[Age]],MATCH(Table5[[#This Row],[PID]],Table3[[#All],[PID]],0)))</f>
        <v>16</v>
      </c>
      <c r="H237" s="52" t="str">
        <f>IF($C237="B",INDEX(Batters[[#All],[B]],MATCH(Table5[[#This Row],[PID]],Batters[[#All],[PID]],0)),INDEX(Table3[[#All],[B]],MATCH(Table5[[#This Row],[PID]],Table3[[#All],[PID]],0)))</f>
        <v>L</v>
      </c>
      <c r="I237" s="52" t="str">
        <f>IF($C237="B",INDEX(Batters[[#All],[T]],MATCH(Table5[[#This Row],[PID]],Batters[[#All],[PID]],0)),INDEX(Table3[[#All],[T]],MATCH(Table5[[#This Row],[PID]],Table3[[#All],[PID]],0)))</f>
        <v>L</v>
      </c>
      <c r="J237" s="52" t="str">
        <f>IF($C237="B",INDEX(Batters[[#All],[WE]],MATCH(Table5[[#This Row],[PID]],Batters[[#All],[PID]],0)),INDEX(Table3[[#All],[WE]],MATCH(Table5[[#This Row],[PID]],Table3[[#All],[PID]],0)))</f>
        <v>Normal</v>
      </c>
      <c r="K237" s="52" t="str">
        <f>IF($C237="B",INDEX(Batters[[#All],[INT]],MATCH(Table5[[#This Row],[PID]],Batters[[#All],[PID]],0)),INDEX(Table3[[#All],[INT]],MATCH(Table5[[#This Row],[PID]],Table3[[#All],[PID]],0)))</f>
        <v>Normal</v>
      </c>
      <c r="L237" s="60">
        <f>IF($C237="B",INDEX(Batters[[#All],[CON P]],MATCH(Table5[[#This Row],[PID]],Batters[[#All],[PID]],0)),INDEX(Table3[[#All],[STU P]],MATCH(Table5[[#This Row],[PID]],Table3[[#All],[PID]],0)))</f>
        <v>6</v>
      </c>
      <c r="M237" s="56">
        <f>IF($C237="B",INDEX(Batters[[#All],[GAP P]],MATCH(Table5[[#This Row],[PID]],Batters[[#All],[PID]],0)),INDEX(Table3[[#All],[MOV P]],MATCH(Table5[[#This Row],[PID]],Table3[[#All],[PID]],0)))</f>
        <v>1</v>
      </c>
      <c r="N237" s="56">
        <f>IF($C237="B",INDEX(Batters[[#All],[POW P]],MATCH(Table5[[#This Row],[PID]],Batters[[#All],[PID]],0)),INDEX(Table3[[#All],[CON P]],MATCH(Table5[[#This Row],[PID]],Table3[[#All],[PID]],0)))</f>
        <v>4</v>
      </c>
      <c r="O237" s="56" t="str">
        <f>IF($C237="B",INDEX(Batters[[#All],[EYE P]],MATCH(Table5[[#This Row],[PID]],Batters[[#All],[PID]],0)),INDEX(Table3[[#All],[VELO]],MATCH(Table5[[#This Row],[PID]],Table3[[#All],[PID]],0)))</f>
        <v>90-92 Mph</v>
      </c>
      <c r="P237" s="56">
        <f>IF($C237="B",INDEX(Batters[[#All],[K P]],MATCH(Table5[[#This Row],[PID]],Batters[[#All],[PID]],0)),INDEX(Table3[[#All],[STM]],MATCH(Table5[[#This Row],[PID]],Table3[[#All],[PID]],0)))</f>
        <v>3</v>
      </c>
      <c r="Q237" s="61">
        <f>IF($C237="B",INDEX(Batters[[#All],[Tot]],MATCH(Table5[[#This Row],[PID]],Batters[[#All],[PID]],0)),INDEX(Table3[[#All],[Tot]],MATCH(Table5[[#This Row],[PID]],Table3[[#All],[PID]],0)))</f>
        <v>43.955357182518668</v>
      </c>
      <c r="R237" s="52">
        <f>IF($C237="B",INDEX(Batters[[#All],[zScore]],MATCH(Table5[[#This Row],[PID]],Batters[[#All],[PID]],0)),INDEX(Table3[[#All],[zScore]],MATCH(Table5[[#This Row],[PID]],Table3[[#All],[PID]],0)))</f>
        <v>0.43812082264931945</v>
      </c>
      <c r="S237" s="58" t="str">
        <f>IF($C237="B",INDEX(Batters[[#All],[DEM]],MATCH(Table5[[#This Row],[PID]],Batters[[#All],[PID]],0)),INDEX(Table3[[#All],[DEM]],MATCH(Table5[[#This Row],[PID]],Table3[[#All],[PID]],0)))</f>
        <v>$65k</v>
      </c>
      <c r="T237" s="62">
        <f>IF($C237="B",INDEX(Batters[[#All],[Rnk]],MATCH(Table5[[#This Row],[PID]],Batters[[#All],[PID]],0)),INDEX(Table3[[#All],[Rnk]],MATCH(Table5[[#This Row],[PID]],Table3[[#All],[PID]],0)))</f>
        <v>900</v>
      </c>
      <c r="U237" s="67">
        <f>IF($C237="B",VLOOKUP($A237,Bat!$A$4:$BA$1314,47,FALSE),VLOOKUP($A237,Pit!$A$4:$BF$1214,56,FALSE))</f>
        <v>88</v>
      </c>
      <c r="V237" s="50">
        <f>IF($C237="B",VLOOKUP($A237,Bat!$A$4:$BA$1314,48,FALSE),VLOOKUP($A237,Pit!$A$4:$BF$1214,57,FALSE))</f>
        <v>0</v>
      </c>
      <c r="W237" s="68">
        <f>IF(Table5[[#This Row],[posRnk]]=999,9999,Table5[[#This Row],[posRnk]]+Table5[[#This Row],[zRnk]]+IF($W$3&lt;&gt;Table5[[#This Row],[Type]],50,0))</f>
        <v>1142</v>
      </c>
      <c r="X237" s="51">
        <f>RANK(Table5[[#This Row],[zScore]],Table5[[#All],[zScore]])</f>
        <v>242</v>
      </c>
      <c r="Y237" s="50">
        <f>IFERROR(INDEX(DraftResults[[#All],[OVR]],MATCH(Table5[[#This Row],[PID]],DraftResults[[#All],[Player ID]],0)),"")</f>
        <v>478</v>
      </c>
      <c r="Z237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15</v>
      </c>
      <c r="AA237" s="50">
        <f>IFERROR(INDEX(DraftResults[[#All],[Pick in Round]],MATCH(Table5[[#This Row],[PID]],DraftResults[[#All],[Player ID]],0)),"")</f>
        <v>11</v>
      </c>
      <c r="AB237" s="50" t="str">
        <f>IFERROR(INDEX(DraftResults[[#All],[Team Name]],MATCH(Table5[[#This Row],[PID]],DraftResults[[#All],[Player ID]],0)),"")</f>
        <v>Arlington Bureaucrats</v>
      </c>
      <c r="AC237" s="50">
        <f>IF(Table5[[#This Row],[Ovr]]="","",IF(Table5[[#This Row],[cmbList]]="","",Table5[[#This Row],[cmbList]]-Table5[[#This Row],[Ovr]]))</f>
        <v>664</v>
      </c>
      <c r="AD237" s="54" t="str">
        <f>IF(ISERROR(VLOOKUP($AB237&amp;"-"&amp;$E237&amp;" "&amp;F237,Bonuses!$B$1:$G$1006,4,FALSE)),"",INT(VLOOKUP($AB237&amp;"-"&amp;$E237&amp;" "&amp;$F237,Bonuses!$B$1:$G$1006,4,FALSE)))</f>
        <v/>
      </c>
      <c r="AE237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15.11 (478) - RP Derrek Fowler</v>
      </c>
    </row>
    <row r="238" spans="1:31" s="50" customFormat="1" x14ac:dyDescent="0.3">
      <c r="A238" s="50">
        <v>11430</v>
      </c>
      <c r="B238" s="50">
        <f>COUNTIF(Table5[PID],A238)</f>
        <v>1</v>
      </c>
      <c r="C238" s="50" t="str">
        <f>IF(COUNTIF(Table3[[#All],[PID]],A238)&gt;0,"P","B")</f>
        <v>P</v>
      </c>
      <c r="D238" s="59" t="str">
        <f>IF($C238="B",INDEX(Batters[[#All],[POS]],MATCH(Table5[[#This Row],[PID]],Batters[[#All],[PID]],0)),INDEX(Table3[[#All],[POS]],MATCH(Table5[[#This Row],[PID]],Table3[[#All],[PID]],0)))</f>
        <v>RP</v>
      </c>
      <c r="E238" s="52" t="str">
        <f>IF($C238="B",INDEX(Batters[[#All],[First]],MATCH(Table5[[#This Row],[PID]],Batters[[#All],[PID]],0)),INDEX(Table3[[#All],[First]],MATCH(Table5[[#This Row],[PID]],Table3[[#All],[PID]],0)))</f>
        <v>Mark</v>
      </c>
      <c r="F238" s="50" t="str">
        <f>IF($C238="B",INDEX(Batters[[#All],[Last]],MATCH(A238,Batters[[#All],[PID]],0)),INDEX(Table3[[#All],[Last]],MATCH(A238,Table3[[#All],[PID]],0)))</f>
        <v>O'Brien</v>
      </c>
      <c r="G238" s="56">
        <f>IF($C238="B",INDEX(Batters[[#All],[Age]],MATCH(Table5[[#This Row],[PID]],Batters[[#All],[PID]],0)),INDEX(Table3[[#All],[Age]],MATCH(Table5[[#This Row],[PID]],Table3[[#All],[PID]],0)))</f>
        <v>17</v>
      </c>
      <c r="H238" s="52" t="str">
        <f>IF($C238="B",INDEX(Batters[[#All],[B]],MATCH(Table5[[#This Row],[PID]],Batters[[#All],[PID]],0)),INDEX(Table3[[#All],[B]],MATCH(Table5[[#This Row],[PID]],Table3[[#All],[PID]],0)))</f>
        <v>R</v>
      </c>
      <c r="I238" s="52" t="str">
        <f>IF($C238="B",INDEX(Batters[[#All],[T]],MATCH(Table5[[#This Row],[PID]],Batters[[#All],[PID]],0)),INDEX(Table3[[#All],[T]],MATCH(Table5[[#This Row],[PID]],Table3[[#All],[PID]],0)))</f>
        <v>R</v>
      </c>
      <c r="J238" s="52" t="str">
        <f>IF($C238="B",INDEX(Batters[[#All],[WE]],MATCH(Table5[[#This Row],[PID]],Batters[[#All],[PID]],0)),INDEX(Table3[[#All],[WE]],MATCH(Table5[[#This Row],[PID]],Table3[[#All],[PID]],0)))</f>
        <v>High</v>
      </c>
      <c r="K238" s="52" t="str">
        <f>IF($C238="B",INDEX(Batters[[#All],[INT]],MATCH(Table5[[#This Row],[PID]],Batters[[#All],[PID]],0)),INDEX(Table3[[#All],[INT]],MATCH(Table5[[#This Row],[PID]],Table3[[#All],[PID]],0)))</f>
        <v>Normal</v>
      </c>
      <c r="L238" s="60">
        <f>IF($C238="B",INDEX(Batters[[#All],[CON P]],MATCH(Table5[[#This Row],[PID]],Batters[[#All],[PID]],0)),INDEX(Table3[[#All],[STU P]],MATCH(Table5[[#This Row],[PID]],Table3[[#All],[PID]],0)))</f>
        <v>5</v>
      </c>
      <c r="M238" s="56">
        <f>IF($C238="B",INDEX(Batters[[#All],[GAP P]],MATCH(Table5[[#This Row],[PID]],Batters[[#All],[PID]],0)),INDEX(Table3[[#All],[MOV P]],MATCH(Table5[[#This Row],[PID]],Table3[[#All],[PID]],0)))</f>
        <v>2</v>
      </c>
      <c r="N238" s="56">
        <f>IF($C238="B",INDEX(Batters[[#All],[POW P]],MATCH(Table5[[#This Row],[PID]],Batters[[#All],[PID]],0)),INDEX(Table3[[#All],[CON P]],MATCH(Table5[[#This Row],[PID]],Table3[[#All],[PID]],0)))</f>
        <v>4</v>
      </c>
      <c r="O238" s="56" t="str">
        <f>IF($C238="B",INDEX(Batters[[#All],[EYE P]],MATCH(Table5[[#This Row],[PID]],Batters[[#All],[PID]],0)),INDEX(Table3[[#All],[VELO]],MATCH(Table5[[#This Row],[PID]],Table3[[#All],[PID]],0)))</f>
        <v>91-93 Mph</v>
      </c>
      <c r="P238" s="56">
        <f>IF($C238="B",INDEX(Batters[[#All],[K P]],MATCH(Table5[[#This Row],[PID]],Batters[[#All],[PID]],0)),INDEX(Table3[[#All],[STM]],MATCH(Table5[[#This Row],[PID]],Table3[[#All],[PID]],0)))</f>
        <v>8</v>
      </c>
      <c r="Q238" s="61">
        <f>IF($C238="B",INDEX(Batters[[#All],[Tot]],MATCH(Table5[[#This Row],[PID]],Batters[[#All],[PID]],0)),INDEX(Table3[[#All],[Tot]],MATCH(Table5[[#This Row],[PID]],Table3[[#All],[PID]],0)))</f>
        <v>43.928514646678067</v>
      </c>
      <c r="R238" s="52">
        <f>IF($C238="B",INDEX(Batters[[#All],[zScore]],MATCH(Table5[[#This Row],[PID]],Batters[[#All],[PID]],0)),INDEX(Table3[[#All],[zScore]],MATCH(Table5[[#This Row],[PID]],Table3[[#All],[PID]],0)))</f>
        <v>0.43620944531732381</v>
      </c>
      <c r="S238" s="58" t="str">
        <f>IF($C238="B",INDEX(Batters[[#All],[DEM]],MATCH(Table5[[#This Row],[PID]],Batters[[#All],[PID]],0)),INDEX(Table3[[#All],[DEM]],MATCH(Table5[[#This Row],[PID]],Table3[[#All],[PID]],0)))</f>
        <v>$110k</v>
      </c>
      <c r="T238" s="62">
        <f>IF($C238="B",INDEX(Batters[[#All],[Rnk]],MATCH(Table5[[#This Row],[PID]],Batters[[#All],[PID]],0)),INDEX(Table3[[#All],[Rnk]],MATCH(Table5[[#This Row],[PID]],Table3[[#All],[PID]],0)))</f>
        <v>900</v>
      </c>
      <c r="U238" s="67">
        <f>IF($C238="B",VLOOKUP($A238,Bat!$A$4:$BA$1314,47,FALSE),VLOOKUP($A238,Pit!$A$4:$BF$1214,56,FALSE))</f>
        <v>86</v>
      </c>
      <c r="V238" s="50">
        <f>IF($C238="B",VLOOKUP($A238,Bat!$A$4:$BA$1314,48,FALSE),VLOOKUP($A238,Pit!$A$4:$BF$1214,57,FALSE))</f>
        <v>0</v>
      </c>
      <c r="W238" s="68">
        <f>IF(Table5[[#This Row],[posRnk]]=999,9999,Table5[[#This Row],[posRnk]]+Table5[[#This Row],[zRnk]]+IF($W$3&lt;&gt;Table5[[#This Row],[Type]],50,0))</f>
        <v>1143</v>
      </c>
      <c r="X238" s="51">
        <f>RANK(Table5[[#This Row],[zScore]],Table5[[#All],[zScore]])</f>
        <v>243</v>
      </c>
      <c r="Y238" s="50">
        <f>IFERROR(INDEX(DraftResults[[#All],[OVR]],MATCH(Table5[[#This Row],[PID]],DraftResults[[#All],[Player ID]],0)),"")</f>
        <v>320</v>
      </c>
      <c r="Z238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10</v>
      </c>
      <c r="AA238" s="50">
        <f>IFERROR(INDEX(DraftResults[[#All],[Pick in Round]],MATCH(Table5[[#This Row],[PID]],DraftResults[[#All],[Player ID]],0)),"")</f>
        <v>23</v>
      </c>
      <c r="AB238" s="50" t="str">
        <f>IFERROR(INDEX(DraftResults[[#All],[Team Name]],MATCH(Table5[[#This Row],[PID]],DraftResults[[#All],[Player ID]],0)),"")</f>
        <v>Kentucky Thoroughbreds</v>
      </c>
      <c r="AC238" s="50">
        <f>IF(Table5[[#This Row],[Ovr]]="","",IF(Table5[[#This Row],[cmbList]]="","",Table5[[#This Row],[cmbList]]-Table5[[#This Row],[Ovr]]))</f>
        <v>823</v>
      </c>
      <c r="AD238" s="54" t="str">
        <f>IF(ISERROR(VLOOKUP($AB238&amp;"-"&amp;$E238&amp;" "&amp;F238,Bonuses!$B$1:$G$1006,4,FALSE)),"",INT(VLOOKUP($AB238&amp;"-"&amp;$E238&amp;" "&amp;$F238,Bonuses!$B$1:$G$1006,4,FALSE)))</f>
        <v/>
      </c>
      <c r="AE238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10.23 (320) - RP Mark O'Brien</v>
      </c>
    </row>
    <row r="239" spans="1:31" s="50" customFormat="1" x14ac:dyDescent="0.3">
      <c r="A239" s="50">
        <v>12903</v>
      </c>
      <c r="B239" s="50">
        <f>COUNTIF(Table5[PID],A239)</f>
        <v>1</v>
      </c>
      <c r="C239" s="50" t="str">
        <f>IF(COUNTIF(Table3[[#All],[PID]],A239)&gt;0,"P","B")</f>
        <v>B</v>
      </c>
      <c r="D239" s="59" t="str">
        <f>IF($C239="B",INDEX(Batters[[#All],[POS]],MATCH(Table5[[#This Row],[PID]],Batters[[#All],[PID]],0)),INDEX(Table3[[#All],[POS]],MATCH(Table5[[#This Row],[PID]],Table3[[#All],[PID]],0)))</f>
        <v>LF</v>
      </c>
      <c r="E239" s="52" t="str">
        <f>IF($C239="B",INDEX(Batters[[#All],[First]],MATCH(Table5[[#This Row],[PID]],Batters[[#All],[PID]],0)),INDEX(Table3[[#All],[First]],MATCH(Table5[[#This Row],[PID]],Table3[[#All],[PID]],0)))</f>
        <v>Ronald</v>
      </c>
      <c r="F239" s="50" t="str">
        <f>IF($C239="B",INDEX(Batters[[#All],[Last]],MATCH(A239,Batters[[#All],[PID]],0)),INDEX(Table3[[#All],[Last]],MATCH(A239,Table3[[#All],[PID]],0)))</f>
        <v>Caminos</v>
      </c>
      <c r="G239" s="56">
        <f>IF($C239="B",INDEX(Batters[[#All],[Age]],MATCH(Table5[[#This Row],[PID]],Batters[[#All],[PID]],0)),INDEX(Table3[[#All],[Age]],MATCH(Table5[[#This Row],[PID]],Table3[[#All],[PID]],0)))</f>
        <v>21</v>
      </c>
      <c r="H239" s="52" t="str">
        <f>IF($C239="B",INDEX(Batters[[#All],[B]],MATCH(Table5[[#This Row],[PID]],Batters[[#All],[PID]],0)),INDEX(Table3[[#All],[B]],MATCH(Table5[[#This Row],[PID]],Table3[[#All],[PID]],0)))</f>
        <v>S</v>
      </c>
      <c r="I239" s="52" t="str">
        <f>IF($C239="B",INDEX(Batters[[#All],[T]],MATCH(Table5[[#This Row],[PID]],Batters[[#All],[PID]],0)),INDEX(Table3[[#All],[T]],MATCH(Table5[[#This Row],[PID]],Table3[[#All],[PID]],0)))</f>
        <v>R</v>
      </c>
      <c r="J239" s="52" t="str">
        <f>IF($C239="B",INDEX(Batters[[#All],[WE]],MATCH(Table5[[#This Row],[PID]],Batters[[#All],[PID]],0)),INDEX(Table3[[#All],[WE]],MATCH(Table5[[#This Row],[PID]],Table3[[#All],[PID]],0)))</f>
        <v>Low</v>
      </c>
      <c r="K239" s="52" t="str">
        <f>IF($C239="B",INDEX(Batters[[#All],[INT]],MATCH(Table5[[#This Row],[PID]],Batters[[#All],[PID]],0)),INDEX(Table3[[#All],[INT]],MATCH(Table5[[#This Row],[PID]],Table3[[#All],[PID]],0)))</f>
        <v>Low</v>
      </c>
      <c r="L239" s="60">
        <f>IF($C239="B",INDEX(Batters[[#All],[CON P]],MATCH(Table5[[#This Row],[PID]],Batters[[#All],[PID]],0)),INDEX(Table3[[#All],[STU P]],MATCH(Table5[[#This Row],[PID]],Table3[[#All],[PID]],0)))</f>
        <v>5</v>
      </c>
      <c r="M239" s="56">
        <f>IF($C239="B",INDEX(Batters[[#All],[GAP P]],MATCH(Table5[[#This Row],[PID]],Batters[[#All],[PID]],0)),INDEX(Table3[[#All],[MOV P]],MATCH(Table5[[#This Row],[PID]],Table3[[#All],[PID]],0)))</f>
        <v>6</v>
      </c>
      <c r="N239" s="56">
        <f>IF($C239="B",INDEX(Batters[[#All],[POW P]],MATCH(Table5[[#This Row],[PID]],Batters[[#All],[PID]],0)),INDEX(Table3[[#All],[CON P]],MATCH(Table5[[#This Row],[PID]],Table3[[#All],[PID]],0)))</f>
        <v>5</v>
      </c>
      <c r="O239" s="56">
        <f>IF($C239="B",INDEX(Batters[[#All],[EYE P]],MATCH(Table5[[#This Row],[PID]],Batters[[#All],[PID]],0)),INDEX(Table3[[#All],[VELO]],MATCH(Table5[[#This Row],[PID]],Table3[[#All],[PID]],0)))</f>
        <v>5</v>
      </c>
      <c r="P239" s="56">
        <f>IF($C239="B",INDEX(Batters[[#All],[K P]],MATCH(Table5[[#This Row],[PID]],Batters[[#All],[PID]],0)),INDEX(Table3[[#All],[STM]],MATCH(Table5[[#This Row],[PID]],Table3[[#All],[PID]],0)))</f>
        <v>4</v>
      </c>
      <c r="Q239" s="61">
        <f>IF($C239="B",INDEX(Batters[[#All],[Tot]],MATCH(Table5[[#This Row],[PID]],Batters[[#All],[PID]],0)),INDEX(Table3[[#All],[Tot]],MATCH(Table5[[#This Row],[PID]],Table3[[#All],[PID]],0)))</f>
        <v>47.615063274455835</v>
      </c>
      <c r="R239" s="52">
        <f>IF($C239="B",INDEX(Batters[[#All],[zScore]],MATCH(Table5[[#This Row],[PID]],Batters[[#All],[PID]],0)),INDEX(Table3[[#All],[zScore]],MATCH(Table5[[#This Row],[PID]],Table3[[#All],[PID]],0)))</f>
        <v>0.64175940828161748</v>
      </c>
      <c r="S239" s="58" t="str">
        <f>IF($C239="B",INDEX(Batters[[#All],[DEM]],MATCH(Table5[[#This Row],[PID]],Batters[[#All],[PID]],0)),INDEX(Table3[[#All],[DEM]],MATCH(Table5[[#This Row],[PID]],Table3[[#All],[PID]],0)))</f>
        <v>$20k</v>
      </c>
      <c r="T239" s="62">
        <f>IF($C239="B",INDEX(Batters[[#All],[Rnk]],MATCH(Table5[[#This Row],[PID]],Batters[[#All],[PID]],0)),INDEX(Table3[[#All],[Rnk]],MATCH(Table5[[#This Row],[PID]],Table3[[#All],[PID]],0)))</f>
        <v>950</v>
      </c>
      <c r="U239" s="67">
        <f>IF($C239="B",VLOOKUP($A239,Bat!$A$4:$BA$1314,47,FALSE),VLOOKUP($A239,Pit!$A$4:$BF$1214,56,FALSE))</f>
        <v>427</v>
      </c>
      <c r="V239" s="50">
        <f>IF($C239="B",VLOOKUP($A239,Bat!$A$4:$BA$1314,48,FALSE),VLOOKUP($A239,Pit!$A$4:$BF$1214,57,FALSE))</f>
        <v>0</v>
      </c>
      <c r="W239" s="68">
        <f>IF(Table5[[#This Row],[posRnk]]=999,9999,Table5[[#This Row],[posRnk]]+Table5[[#This Row],[zRnk]]+IF($W$3&lt;&gt;Table5[[#This Row],[Type]],50,0))</f>
        <v>1194</v>
      </c>
      <c r="X239" s="51">
        <f>RANK(Table5[[#This Row],[zScore]],Table5[[#All],[zScore]])</f>
        <v>194</v>
      </c>
      <c r="Y239" s="50">
        <f>IFERROR(INDEX(DraftResults[[#All],[OVR]],MATCH(Table5[[#This Row],[PID]],DraftResults[[#All],[Player ID]],0)),"")</f>
        <v>144</v>
      </c>
      <c r="Z239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5</v>
      </c>
      <c r="AA239" s="50">
        <f>IFERROR(INDEX(DraftResults[[#All],[Pick in Round]],MATCH(Table5[[#This Row],[PID]],DraftResults[[#All],[Player ID]],0)),"")</f>
        <v>7</v>
      </c>
      <c r="AB239" s="50" t="str">
        <f>IFERROR(INDEX(DraftResults[[#All],[Team Name]],MATCH(Table5[[#This Row],[PID]],DraftResults[[#All],[Player ID]],0)),"")</f>
        <v>Hartford Harpoon</v>
      </c>
      <c r="AC239" s="50">
        <f>IF(Table5[[#This Row],[Ovr]]="","",IF(Table5[[#This Row],[cmbList]]="","",Table5[[#This Row],[cmbList]]-Table5[[#This Row],[Ovr]]))</f>
        <v>1050</v>
      </c>
      <c r="AD239" s="54" t="str">
        <f>IF(ISERROR(VLOOKUP($AB239&amp;"-"&amp;$E239&amp;" "&amp;F239,Bonuses!$B$1:$G$1006,4,FALSE)),"",INT(VLOOKUP($AB239&amp;"-"&amp;$E239&amp;" "&amp;$F239,Bonuses!$B$1:$G$1006,4,FALSE)))</f>
        <v/>
      </c>
      <c r="AE239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5.7 (144) - LF Ronald Caminos</v>
      </c>
    </row>
    <row r="240" spans="1:31" s="50" customFormat="1" x14ac:dyDescent="0.3">
      <c r="A240" s="50">
        <v>13233</v>
      </c>
      <c r="B240" s="50">
        <f>COUNTIF(Table5[PID],A240)</f>
        <v>1</v>
      </c>
      <c r="C240" s="50" t="str">
        <f>IF(COUNTIF(Table3[[#All],[PID]],A240)&gt;0,"P","B")</f>
        <v>P</v>
      </c>
      <c r="D240" s="59" t="str">
        <f>IF($C240="B",INDEX(Batters[[#All],[POS]],MATCH(Table5[[#This Row],[PID]],Batters[[#All],[PID]],0)),INDEX(Table3[[#All],[POS]],MATCH(Table5[[#This Row],[PID]],Table3[[#All],[PID]],0)))</f>
        <v>SP</v>
      </c>
      <c r="E240" s="52" t="str">
        <f>IF($C240="B",INDEX(Batters[[#All],[First]],MATCH(Table5[[#This Row],[PID]],Batters[[#All],[PID]],0)),INDEX(Table3[[#All],[First]],MATCH(Table5[[#This Row],[PID]],Table3[[#All],[PID]],0)))</f>
        <v>Sawao</v>
      </c>
      <c r="F240" s="50" t="str">
        <f>IF($C240="B",INDEX(Batters[[#All],[Last]],MATCH(A240,Batters[[#All],[PID]],0)),INDEX(Table3[[#All],[Last]],MATCH(A240,Table3[[#All],[PID]],0)))</f>
        <v>Matsuda</v>
      </c>
      <c r="G240" s="56">
        <f>IF($C240="B",INDEX(Batters[[#All],[Age]],MATCH(Table5[[#This Row],[PID]],Batters[[#All],[PID]],0)),INDEX(Table3[[#All],[Age]],MATCH(Table5[[#This Row],[PID]],Table3[[#All],[PID]],0)))</f>
        <v>17</v>
      </c>
      <c r="H240" s="52" t="str">
        <f>IF($C240="B",INDEX(Batters[[#All],[B]],MATCH(Table5[[#This Row],[PID]],Batters[[#All],[PID]],0)),INDEX(Table3[[#All],[B]],MATCH(Table5[[#This Row],[PID]],Table3[[#All],[PID]],0)))</f>
        <v>R</v>
      </c>
      <c r="I240" s="52" t="str">
        <f>IF($C240="B",INDEX(Batters[[#All],[T]],MATCH(Table5[[#This Row],[PID]],Batters[[#All],[PID]],0)),INDEX(Table3[[#All],[T]],MATCH(Table5[[#This Row],[PID]],Table3[[#All],[PID]],0)))</f>
        <v>L</v>
      </c>
      <c r="J240" s="52" t="str">
        <f>IF($C240="B",INDEX(Batters[[#All],[WE]],MATCH(Table5[[#This Row],[PID]],Batters[[#All],[PID]],0)),INDEX(Table3[[#All],[WE]],MATCH(Table5[[#This Row],[PID]],Table3[[#All],[PID]],0)))</f>
        <v>Normal</v>
      </c>
      <c r="K240" s="52" t="str">
        <f>IF($C240="B",INDEX(Batters[[#All],[INT]],MATCH(Table5[[#This Row],[PID]],Batters[[#All],[PID]],0)),INDEX(Table3[[#All],[INT]],MATCH(Table5[[#This Row],[PID]],Table3[[#All],[PID]],0)))</f>
        <v>Normal</v>
      </c>
      <c r="L240" s="60">
        <f>IF($C240="B",INDEX(Batters[[#All],[CON P]],MATCH(Table5[[#This Row],[PID]],Batters[[#All],[PID]],0)),INDEX(Table3[[#All],[STU P]],MATCH(Table5[[#This Row],[PID]],Table3[[#All],[PID]],0)))</f>
        <v>4</v>
      </c>
      <c r="M240" s="56">
        <f>IF($C240="B",INDEX(Batters[[#All],[GAP P]],MATCH(Table5[[#This Row],[PID]],Batters[[#All],[PID]],0)),INDEX(Table3[[#All],[MOV P]],MATCH(Table5[[#This Row],[PID]],Table3[[#All],[PID]],0)))</f>
        <v>3</v>
      </c>
      <c r="N240" s="56">
        <f>IF($C240="B",INDEX(Batters[[#All],[POW P]],MATCH(Table5[[#This Row],[PID]],Batters[[#All],[PID]],0)),INDEX(Table3[[#All],[CON P]],MATCH(Table5[[#This Row],[PID]],Table3[[#All],[PID]],0)))</f>
        <v>4</v>
      </c>
      <c r="O240" s="56" t="str">
        <f>IF($C240="B",INDEX(Batters[[#All],[EYE P]],MATCH(Table5[[#This Row],[PID]],Batters[[#All],[PID]],0)),INDEX(Table3[[#All],[VELO]],MATCH(Table5[[#This Row],[PID]],Table3[[#All],[PID]],0)))</f>
        <v>91-93 Mph</v>
      </c>
      <c r="P240" s="56">
        <f>IF($C240="B",INDEX(Batters[[#All],[K P]],MATCH(Table5[[#This Row],[PID]],Batters[[#All],[PID]],0)),INDEX(Table3[[#All],[STM]],MATCH(Table5[[#This Row],[PID]],Table3[[#All],[PID]],0)))</f>
        <v>10</v>
      </c>
      <c r="Q240" s="61">
        <f>IF($C240="B",INDEX(Batters[[#All],[Tot]],MATCH(Table5[[#This Row],[PID]],Batters[[#All],[PID]],0)),INDEX(Table3[[#All],[Tot]],MATCH(Table5[[#This Row],[PID]],Table3[[#All],[PID]],0)))</f>
        <v>43.666833763697035</v>
      </c>
      <c r="R240" s="52">
        <f>IF($C240="B",INDEX(Batters[[#All],[zScore]],MATCH(Table5[[#This Row],[PID]],Batters[[#All],[PID]],0)),INDEX(Table3[[#All],[zScore]],MATCH(Table5[[#This Row],[PID]],Table3[[#All],[PID]],0)))</f>
        <v>0.42343375516313742</v>
      </c>
      <c r="S240" s="58" t="str">
        <f>IF($C240="B",INDEX(Batters[[#All],[DEM]],MATCH(Table5[[#This Row],[PID]],Batters[[#All],[PID]],0)),INDEX(Table3[[#All],[DEM]],MATCH(Table5[[#This Row],[PID]],Table3[[#All],[PID]],0)))</f>
        <v>$330k</v>
      </c>
      <c r="T240" s="62">
        <f>IF($C240="B",INDEX(Batters[[#All],[Rnk]],MATCH(Table5[[#This Row],[PID]],Batters[[#All],[PID]],0)),INDEX(Table3[[#All],[Rnk]],MATCH(Table5[[#This Row],[PID]],Table3[[#All],[PID]],0)))</f>
        <v>900</v>
      </c>
      <c r="U240" s="67">
        <f>IF($C240="B",VLOOKUP($A240,Bat!$A$4:$BA$1314,47,FALSE),VLOOKUP($A240,Pit!$A$4:$BF$1214,56,FALSE))</f>
        <v>90</v>
      </c>
      <c r="V240" s="50">
        <f>IF($C240="B",VLOOKUP($A240,Bat!$A$4:$BA$1314,48,FALSE),VLOOKUP($A240,Pit!$A$4:$BF$1214,57,FALSE))</f>
        <v>0</v>
      </c>
      <c r="W240" s="68">
        <f>IF(Table5[[#This Row],[posRnk]]=999,9999,Table5[[#This Row],[posRnk]]+Table5[[#This Row],[zRnk]]+IF($W$3&lt;&gt;Table5[[#This Row],[Type]],50,0))</f>
        <v>1148</v>
      </c>
      <c r="X240" s="51">
        <f>RANK(Table5[[#This Row],[zScore]],Table5[[#All],[zScore]])</f>
        <v>248</v>
      </c>
      <c r="Y240" s="50">
        <f>IFERROR(INDEX(DraftResults[[#All],[OVR]],MATCH(Table5[[#This Row],[PID]],DraftResults[[#All],[Player ID]],0)),"")</f>
        <v>307</v>
      </c>
      <c r="Z240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10</v>
      </c>
      <c r="AA240" s="50">
        <f>IFERROR(INDEX(DraftResults[[#All],[Pick in Round]],MATCH(Table5[[#This Row],[PID]],DraftResults[[#All],[Player ID]],0)),"")</f>
        <v>10</v>
      </c>
      <c r="AB240" s="50" t="str">
        <f>IFERROR(INDEX(DraftResults[[#All],[Team Name]],MATCH(Table5[[#This Row],[PID]],DraftResults[[#All],[Player ID]],0)),"")</f>
        <v>London Underground</v>
      </c>
      <c r="AC240" s="50">
        <f>IF(Table5[[#This Row],[Ovr]]="","",IF(Table5[[#This Row],[cmbList]]="","",Table5[[#This Row],[cmbList]]-Table5[[#This Row],[Ovr]]))</f>
        <v>841</v>
      </c>
      <c r="AD240" s="54" t="str">
        <f>IF(ISERROR(VLOOKUP($AB240&amp;"-"&amp;$E240&amp;" "&amp;F240,Bonuses!$B$1:$G$1006,4,FALSE)),"",INT(VLOOKUP($AB240&amp;"-"&amp;$E240&amp;" "&amp;$F240,Bonuses!$B$1:$G$1006,4,FALSE)))</f>
        <v/>
      </c>
      <c r="AE240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10.10 (307) - SP Sawao Matsuda</v>
      </c>
    </row>
    <row r="241" spans="1:31" s="50" customFormat="1" x14ac:dyDescent="0.3">
      <c r="A241" s="67">
        <v>20573</v>
      </c>
      <c r="B241" s="68">
        <f>COUNTIF(Table5[PID],A241)</f>
        <v>1</v>
      </c>
      <c r="C241" s="68" t="str">
        <f>IF(COUNTIF(Table3[[#All],[PID]],A241)&gt;0,"P","B")</f>
        <v>B</v>
      </c>
      <c r="D241" s="59" t="str">
        <f>IF($C241="B",INDEX(Batters[[#All],[POS]],MATCH(Table5[[#This Row],[PID]],Batters[[#All],[PID]],0)),INDEX(Table3[[#All],[POS]],MATCH(Table5[[#This Row],[PID]],Table3[[#All],[PID]],0)))</f>
        <v>RF</v>
      </c>
      <c r="E241" s="52" t="str">
        <f>IF($C241="B",INDEX(Batters[[#All],[First]],MATCH(Table5[[#This Row],[PID]],Batters[[#All],[PID]],0)),INDEX(Table3[[#All],[First]],MATCH(Table5[[#This Row],[PID]],Table3[[#All],[PID]],0)))</f>
        <v>Harrison</v>
      </c>
      <c r="F241" s="55" t="str">
        <f>IF($C241="B",INDEX(Batters[[#All],[Last]],MATCH(A241,Batters[[#All],[PID]],0)),INDEX(Table3[[#All],[Last]],MATCH(A241,Table3[[#All],[PID]],0)))</f>
        <v>Atteridge</v>
      </c>
      <c r="G241" s="56">
        <f>IF($C241="B",INDEX(Batters[[#All],[Age]],MATCH(Table5[[#This Row],[PID]],Batters[[#All],[PID]],0)),INDEX(Table3[[#All],[Age]],MATCH(Table5[[#This Row],[PID]],Table3[[#All],[PID]],0)))</f>
        <v>17</v>
      </c>
      <c r="H241" s="52" t="str">
        <f>IF($C241="B",INDEX(Batters[[#All],[B]],MATCH(Table5[[#This Row],[PID]],Batters[[#All],[PID]],0)),INDEX(Table3[[#All],[B]],MATCH(Table5[[#This Row],[PID]],Table3[[#All],[PID]],0)))</f>
        <v>R</v>
      </c>
      <c r="I241" s="52" t="str">
        <f>IF($C241="B",INDEX(Batters[[#All],[T]],MATCH(Table5[[#This Row],[PID]],Batters[[#All],[PID]],0)),INDEX(Table3[[#All],[T]],MATCH(Table5[[#This Row],[PID]],Table3[[#All],[PID]],0)))</f>
        <v>R</v>
      </c>
      <c r="J241" s="69" t="str">
        <f>IF($C241="B",INDEX(Batters[[#All],[WE]],MATCH(Table5[[#This Row],[PID]],Batters[[#All],[PID]],0)),INDEX(Table3[[#All],[WE]],MATCH(Table5[[#This Row],[PID]],Table3[[#All],[PID]],0)))</f>
        <v>Low</v>
      </c>
      <c r="K241" s="52" t="str">
        <f>IF($C241="B",INDEX(Batters[[#All],[INT]],MATCH(Table5[[#This Row],[PID]],Batters[[#All],[PID]],0)),INDEX(Table3[[#All],[INT]],MATCH(Table5[[#This Row],[PID]],Table3[[#All],[PID]],0)))</f>
        <v>Low</v>
      </c>
      <c r="L241" s="60">
        <f>IF($C241="B",INDEX(Batters[[#All],[CON P]],MATCH(Table5[[#This Row],[PID]],Batters[[#All],[PID]],0)),INDEX(Table3[[#All],[STU P]],MATCH(Table5[[#This Row],[PID]],Table3[[#All],[PID]],0)))</f>
        <v>4</v>
      </c>
      <c r="M241" s="70">
        <f>IF($C241="B",INDEX(Batters[[#All],[GAP P]],MATCH(Table5[[#This Row],[PID]],Batters[[#All],[PID]],0)),INDEX(Table3[[#All],[MOV P]],MATCH(Table5[[#This Row],[PID]],Table3[[#All],[PID]],0)))</f>
        <v>4</v>
      </c>
      <c r="N241" s="70">
        <f>IF($C241="B",INDEX(Batters[[#All],[POW P]],MATCH(Table5[[#This Row],[PID]],Batters[[#All],[PID]],0)),INDEX(Table3[[#All],[CON P]],MATCH(Table5[[#This Row],[PID]],Table3[[#All],[PID]],0)))</f>
        <v>4</v>
      </c>
      <c r="O241" s="70">
        <f>IF($C241="B",INDEX(Batters[[#All],[EYE P]],MATCH(Table5[[#This Row],[PID]],Batters[[#All],[PID]],0)),INDEX(Table3[[#All],[VELO]],MATCH(Table5[[#This Row],[PID]],Table3[[#All],[PID]],0)))</f>
        <v>6</v>
      </c>
      <c r="P241" s="56">
        <f>IF($C241="B",INDEX(Batters[[#All],[K P]],MATCH(Table5[[#This Row],[PID]],Batters[[#All],[PID]],0)),INDEX(Table3[[#All],[STM]],MATCH(Table5[[#This Row],[PID]],Table3[[#All],[PID]],0)))</f>
        <v>4</v>
      </c>
      <c r="Q241" s="61">
        <f>IF($C241="B",INDEX(Batters[[#All],[Tot]],MATCH(Table5[[#This Row],[PID]],Batters[[#All],[PID]],0)),INDEX(Table3[[#All],[Tot]],MATCH(Table5[[#This Row],[PID]],Table3[[#All],[PID]],0)))</f>
        <v>47.483447924816069</v>
      </c>
      <c r="R241" s="52">
        <f>IF($C241="B",INDEX(Batters[[#All],[zScore]],MATCH(Table5[[#This Row],[PID]],Batters[[#All],[PID]],0)),INDEX(Table3[[#All],[zScore]],MATCH(Table5[[#This Row],[PID]],Table3[[#All],[PID]],0)))</f>
        <v>0.62254776449415183</v>
      </c>
      <c r="S241" s="75" t="str">
        <f>IF($C241="B",INDEX(Batters[[#All],[DEM]],MATCH(Table5[[#This Row],[PID]],Batters[[#All],[PID]],0)),INDEX(Table3[[#All],[DEM]],MATCH(Table5[[#This Row],[PID]],Table3[[#All],[PID]],0)))</f>
        <v>$38k</v>
      </c>
      <c r="T241" s="72">
        <f>IF($C241="B",INDEX(Batters[[#All],[Rnk]],MATCH(Table5[[#This Row],[PID]],Batters[[#All],[PID]],0)),INDEX(Table3[[#All],[Rnk]],MATCH(Table5[[#This Row],[PID]],Table3[[#All],[PID]],0)))</f>
        <v>950</v>
      </c>
      <c r="U241" s="67">
        <f>IF($C241="B",VLOOKUP($A241,Bat!$A$4:$BA$1314,47,FALSE),VLOOKUP($A241,Pit!$A$4:$BF$1214,56,FALSE))</f>
        <v>428</v>
      </c>
      <c r="V241" s="50">
        <f>IF($C241="B",VLOOKUP($A241,Bat!$A$4:$BA$1314,48,FALSE),VLOOKUP($A241,Pit!$A$4:$BF$1214,57,FALSE))</f>
        <v>0</v>
      </c>
      <c r="W241" s="68">
        <f>IF(Table5[[#This Row],[posRnk]]=999,9999,Table5[[#This Row],[posRnk]]+Table5[[#This Row],[zRnk]]+IF($W$3&lt;&gt;Table5[[#This Row],[Type]],50,0))</f>
        <v>1198</v>
      </c>
      <c r="X241" s="71">
        <f>RANK(Table5[[#This Row],[zScore]],Table5[[#All],[zScore]])</f>
        <v>198</v>
      </c>
      <c r="Y241" s="68">
        <f>IFERROR(INDEX(DraftResults[[#All],[OVR]],MATCH(Table5[[#This Row],[PID]],DraftResults[[#All],[Player ID]],0)),"")</f>
        <v>334</v>
      </c>
      <c r="Z241" s="7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11</v>
      </c>
      <c r="AA241" s="68">
        <f>IFERROR(INDEX(DraftResults[[#All],[Pick in Round]],MATCH(Table5[[#This Row],[PID]],DraftResults[[#All],[Player ID]],0)),"")</f>
        <v>3</v>
      </c>
      <c r="AB241" s="68" t="str">
        <f>IFERROR(INDEX(DraftResults[[#All],[Team Name]],MATCH(Table5[[#This Row],[PID]],DraftResults[[#All],[Player ID]],0)),"")</f>
        <v>Okinawa Shisa</v>
      </c>
      <c r="AC241" s="68">
        <f>IF(Table5[[#This Row],[Ovr]]="","",IF(Table5[[#This Row],[cmbList]]="","",Table5[[#This Row],[cmbList]]-Table5[[#This Row],[Ovr]]))</f>
        <v>864</v>
      </c>
      <c r="AD241" s="74" t="str">
        <f>IF(ISERROR(VLOOKUP($AB241&amp;"-"&amp;$E241&amp;" "&amp;F241,Bonuses!$B$1:$G$1006,4,FALSE)),"",INT(VLOOKUP($AB241&amp;"-"&amp;$E241&amp;" "&amp;$F241,Bonuses!$B$1:$G$1006,4,FALSE)))</f>
        <v/>
      </c>
      <c r="AE241" s="68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11.3 (334) - RF Harrison Atteridge</v>
      </c>
    </row>
    <row r="242" spans="1:31" s="50" customFormat="1" x14ac:dyDescent="0.3">
      <c r="A242" s="50">
        <v>10971</v>
      </c>
      <c r="B242" s="50">
        <f>COUNTIF(Table5[PID],A242)</f>
        <v>1</v>
      </c>
      <c r="C242" s="50" t="str">
        <f>IF(COUNTIF(Table3[[#All],[PID]],A242)&gt;0,"P","B")</f>
        <v>P</v>
      </c>
      <c r="D242" s="59" t="str">
        <f>IF($C242="B",INDEX(Batters[[#All],[POS]],MATCH(Table5[[#This Row],[PID]],Batters[[#All],[PID]],0)),INDEX(Table3[[#All],[POS]],MATCH(Table5[[#This Row],[PID]],Table3[[#All],[PID]],0)))</f>
        <v>RP</v>
      </c>
      <c r="E242" s="52" t="str">
        <f>IF($C242="B",INDEX(Batters[[#All],[First]],MATCH(Table5[[#This Row],[PID]],Batters[[#All],[PID]],0)),INDEX(Table3[[#All],[First]],MATCH(Table5[[#This Row],[PID]],Table3[[#All],[PID]],0)))</f>
        <v>Carl</v>
      </c>
      <c r="F242" s="50" t="str">
        <f>IF($C242="B",INDEX(Batters[[#All],[Last]],MATCH(A242,Batters[[#All],[PID]],0)),INDEX(Table3[[#All],[Last]],MATCH(A242,Table3[[#All],[PID]],0)))</f>
        <v>Ramírez</v>
      </c>
      <c r="G242" s="56">
        <f>IF($C242="B",INDEX(Batters[[#All],[Age]],MATCH(Table5[[#This Row],[PID]],Batters[[#All],[PID]],0)),INDEX(Table3[[#All],[Age]],MATCH(Table5[[#This Row],[PID]],Table3[[#All],[PID]],0)))</f>
        <v>18</v>
      </c>
      <c r="H242" s="52" t="str">
        <f>IF($C242="B",INDEX(Batters[[#All],[B]],MATCH(Table5[[#This Row],[PID]],Batters[[#All],[PID]],0)),INDEX(Table3[[#All],[B]],MATCH(Table5[[#This Row],[PID]],Table3[[#All],[PID]],0)))</f>
        <v>R</v>
      </c>
      <c r="I242" s="52" t="str">
        <f>IF($C242="B",INDEX(Batters[[#All],[T]],MATCH(Table5[[#This Row],[PID]],Batters[[#All],[PID]],0)),INDEX(Table3[[#All],[T]],MATCH(Table5[[#This Row],[PID]],Table3[[#All],[PID]],0)))</f>
        <v>R</v>
      </c>
      <c r="J242" s="52" t="str">
        <f>IF($C242="B",INDEX(Batters[[#All],[WE]],MATCH(Table5[[#This Row],[PID]],Batters[[#All],[PID]],0)),INDEX(Table3[[#All],[WE]],MATCH(Table5[[#This Row],[PID]],Table3[[#All],[PID]],0)))</f>
        <v>High</v>
      </c>
      <c r="K242" s="52" t="str">
        <f>IF($C242="B",INDEX(Batters[[#All],[INT]],MATCH(Table5[[#This Row],[PID]],Batters[[#All],[PID]],0)),INDEX(Table3[[#All],[INT]],MATCH(Table5[[#This Row],[PID]],Table3[[#All],[PID]],0)))</f>
        <v>Normal</v>
      </c>
      <c r="L242" s="60">
        <f>IF($C242="B",INDEX(Batters[[#All],[CON P]],MATCH(Table5[[#This Row],[PID]],Batters[[#All],[PID]],0)),INDEX(Table3[[#All],[STU P]],MATCH(Table5[[#This Row],[PID]],Table3[[#All],[PID]],0)))</f>
        <v>6</v>
      </c>
      <c r="M242" s="56">
        <f>IF($C242="B",INDEX(Batters[[#All],[GAP P]],MATCH(Table5[[#This Row],[PID]],Batters[[#All],[PID]],0)),INDEX(Table3[[#All],[MOV P]],MATCH(Table5[[#This Row],[PID]],Table3[[#All],[PID]],0)))</f>
        <v>2</v>
      </c>
      <c r="N242" s="56">
        <f>IF($C242="B",INDEX(Batters[[#All],[POW P]],MATCH(Table5[[#This Row],[PID]],Batters[[#All],[PID]],0)),INDEX(Table3[[#All],[CON P]],MATCH(Table5[[#This Row],[PID]],Table3[[#All],[PID]],0)))</f>
        <v>3</v>
      </c>
      <c r="O242" s="56" t="str">
        <f>IF($C242="B",INDEX(Batters[[#All],[EYE P]],MATCH(Table5[[#This Row],[PID]],Batters[[#All],[PID]],0)),INDEX(Table3[[#All],[VELO]],MATCH(Table5[[#This Row],[PID]],Table3[[#All],[PID]],0)))</f>
        <v>96-98 Mph</v>
      </c>
      <c r="P242" s="56">
        <f>IF($C242="B",INDEX(Batters[[#All],[K P]],MATCH(Table5[[#This Row],[PID]],Batters[[#All],[PID]],0)),INDEX(Table3[[#All],[STM]],MATCH(Table5[[#This Row],[PID]],Table3[[#All],[PID]],0)))</f>
        <v>6</v>
      </c>
      <c r="Q242" s="61">
        <f>IF($C242="B",INDEX(Batters[[#All],[Tot]],MATCH(Table5[[#This Row],[PID]],Batters[[#All],[PID]],0)),INDEX(Table3[[#All],[Tot]],MATCH(Table5[[#This Row],[PID]],Table3[[#All],[PID]],0)))</f>
        <v>43.626243013004512</v>
      </c>
      <c r="R242" s="52">
        <f>IF($C242="B",INDEX(Batters[[#All],[zScore]],MATCH(Table5[[#This Row],[PID]],Batters[[#All],[PID]],0)),INDEX(Table3[[#All],[zScore]],MATCH(Table5[[#This Row],[PID]],Table3[[#All],[PID]],0)))</f>
        <v>0.41468557916176291</v>
      </c>
      <c r="S242" s="58" t="str">
        <f>IF($C242="B",INDEX(Batters[[#All],[DEM]],MATCH(Table5[[#This Row],[PID]],Batters[[#All],[PID]],0)),INDEX(Table3[[#All],[DEM]],MATCH(Table5[[#This Row],[PID]],Table3[[#All],[PID]],0)))</f>
        <v>$65k</v>
      </c>
      <c r="T242" s="62">
        <f>IF($C242="B",INDEX(Batters[[#All],[Rnk]],MATCH(Table5[[#This Row],[PID]],Batters[[#All],[PID]],0)),INDEX(Table3[[#All],[Rnk]],MATCH(Table5[[#This Row],[PID]],Table3[[#All],[PID]],0)))</f>
        <v>900</v>
      </c>
      <c r="U242" s="67">
        <f>IF($C242="B",VLOOKUP($A242,Bat!$A$4:$BA$1314,47,FALSE),VLOOKUP($A242,Pit!$A$4:$BF$1214,56,FALSE))</f>
        <v>87</v>
      </c>
      <c r="V242" s="50">
        <f>IF($C242="B",VLOOKUP($A242,Bat!$A$4:$BA$1314,48,FALSE),VLOOKUP($A242,Pit!$A$4:$BF$1214,57,FALSE))</f>
        <v>0</v>
      </c>
      <c r="W242" s="68">
        <f>IF(Table5[[#This Row],[posRnk]]=999,9999,Table5[[#This Row],[posRnk]]+Table5[[#This Row],[zRnk]]+IF($W$3&lt;&gt;Table5[[#This Row],[Type]],50,0))</f>
        <v>1149</v>
      </c>
      <c r="X242" s="51">
        <f>RANK(Table5[[#This Row],[zScore]],Table5[[#All],[zScore]])</f>
        <v>249</v>
      </c>
      <c r="Y242" s="50">
        <f>IFERROR(INDEX(DraftResults[[#All],[OVR]],MATCH(Table5[[#This Row],[PID]],DraftResults[[#All],[Player ID]],0)),"")</f>
        <v>270</v>
      </c>
      <c r="Z242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9</v>
      </c>
      <c r="AA242" s="50">
        <f>IFERROR(INDEX(DraftResults[[#All],[Pick in Round]],MATCH(Table5[[#This Row],[PID]],DraftResults[[#All],[Player ID]],0)),"")</f>
        <v>5</v>
      </c>
      <c r="AB242" s="50" t="str">
        <f>IFERROR(INDEX(DraftResults[[#All],[Team Name]],MATCH(Table5[[#This Row],[PID]],DraftResults[[#All],[Player ID]],0)),"")</f>
        <v>Tempe Knights</v>
      </c>
      <c r="AC242" s="50">
        <f>IF(Table5[[#This Row],[Ovr]]="","",IF(Table5[[#This Row],[cmbList]]="","",Table5[[#This Row],[cmbList]]-Table5[[#This Row],[Ovr]]))</f>
        <v>879</v>
      </c>
      <c r="AD242" s="54" t="str">
        <f>IF(ISERROR(VLOOKUP($AB242&amp;"-"&amp;$E242&amp;" "&amp;F242,Bonuses!$B$1:$G$1006,4,FALSE)),"",INT(VLOOKUP($AB242&amp;"-"&amp;$E242&amp;" "&amp;$F242,Bonuses!$B$1:$G$1006,4,FALSE)))</f>
        <v/>
      </c>
      <c r="AE242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9.5 (270) - RP Carl Ramírez</v>
      </c>
    </row>
    <row r="243" spans="1:31" s="50" customFormat="1" x14ac:dyDescent="0.3">
      <c r="A243" s="50">
        <v>20764</v>
      </c>
      <c r="B243" s="50">
        <f>COUNTIF(Table5[PID],A243)</f>
        <v>1</v>
      </c>
      <c r="C243" s="50" t="str">
        <f>IF(COUNTIF(Table3[[#All],[PID]],A243)&gt;0,"P","B")</f>
        <v>B</v>
      </c>
      <c r="D243" s="59" t="str">
        <f>IF($C243="B",INDEX(Batters[[#All],[POS]],MATCH(Table5[[#This Row],[PID]],Batters[[#All],[PID]],0)),INDEX(Table3[[#All],[POS]],MATCH(Table5[[#This Row],[PID]],Table3[[#All],[PID]],0)))</f>
        <v>C</v>
      </c>
      <c r="E243" s="52" t="str">
        <f>IF($C243="B",INDEX(Batters[[#All],[First]],MATCH(Table5[[#This Row],[PID]],Batters[[#All],[PID]],0)),INDEX(Table3[[#All],[First]],MATCH(Table5[[#This Row],[PID]],Table3[[#All],[PID]],0)))</f>
        <v>Pat</v>
      </c>
      <c r="F243" s="50" t="str">
        <f>IF($C243="B",INDEX(Batters[[#All],[Last]],MATCH(A243,Batters[[#All],[PID]],0)),INDEX(Table3[[#All],[Last]],MATCH(A243,Table3[[#All],[PID]],0)))</f>
        <v>Walker</v>
      </c>
      <c r="G243" s="56">
        <f>IF($C243="B",INDEX(Batters[[#All],[Age]],MATCH(Table5[[#This Row],[PID]],Batters[[#All],[PID]],0)),INDEX(Table3[[#All],[Age]],MATCH(Table5[[#This Row],[PID]],Table3[[#All],[PID]],0)))</f>
        <v>17</v>
      </c>
      <c r="H243" s="52" t="str">
        <f>IF($C243="B",INDEX(Batters[[#All],[B]],MATCH(Table5[[#This Row],[PID]],Batters[[#All],[PID]],0)),INDEX(Table3[[#All],[B]],MATCH(Table5[[#This Row],[PID]],Table3[[#All],[PID]],0)))</f>
        <v>R</v>
      </c>
      <c r="I243" s="52" t="str">
        <f>IF($C243="B",INDEX(Batters[[#All],[T]],MATCH(Table5[[#This Row],[PID]],Batters[[#All],[PID]],0)),INDEX(Table3[[#All],[T]],MATCH(Table5[[#This Row],[PID]],Table3[[#All],[PID]],0)))</f>
        <v>R</v>
      </c>
      <c r="J243" s="52" t="str">
        <f>IF($C243="B",INDEX(Batters[[#All],[WE]],MATCH(Table5[[#This Row],[PID]],Batters[[#All],[PID]],0)),INDEX(Table3[[#All],[WE]],MATCH(Table5[[#This Row],[PID]],Table3[[#All],[PID]],0)))</f>
        <v>Low</v>
      </c>
      <c r="K243" s="52" t="str">
        <f>IF($C243="B",INDEX(Batters[[#All],[INT]],MATCH(Table5[[#This Row],[PID]],Batters[[#All],[PID]],0)),INDEX(Table3[[#All],[INT]],MATCH(Table5[[#This Row],[PID]],Table3[[#All],[PID]],0)))</f>
        <v>Normal</v>
      </c>
      <c r="L243" s="60">
        <f>IF($C243="B",INDEX(Batters[[#All],[CON P]],MATCH(Table5[[#This Row],[PID]],Batters[[#All],[PID]],0)),INDEX(Table3[[#All],[STU P]],MATCH(Table5[[#This Row],[PID]],Table3[[#All],[PID]],0)))</f>
        <v>3</v>
      </c>
      <c r="M243" s="56">
        <f>IF($C243="B",INDEX(Batters[[#All],[GAP P]],MATCH(Table5[[#This Row],[PID]],Batters[[#All],[PID]],0)),INDEX(Table3[[#All],[MOV P]],MATCH(Table5[[#This Row],[PID]],Table3[[#All],[PID]],0)))</f>
        <v>8</v>
      </c>
      <c r="N243" s="56">
        <f>IF($C243="B",INDEX(Batters[[#All],[POW P]],MATCH(Table5[[#This Row],[PID]],Batters[[#All],[PID]],0)),INDEX(Table3[[#All],[CON P]],MATCH(Table5[[#This Row],[PID]],Table3[[#All],[PID]],0)))</f>
        <v>6</v>
      </c>
      <c r="O243" s="56">
        <f>IF($C243="B",INDEX(Batters[[#All],[EYE P]],MATCH(Table5[[#This Row],[PID]],Batters[[#All],[PID]],0)),INDEX(Table3[[#All],[VELO]],MATCH(Table5[[#This Row],[PID]],Table3[[#All],[PID]],0)))</f>
        <v>5</v>
      </c>
      <c r="P243" s="56">
        <f>IF($C243="B",INDEX(Batters[[#All],[K P]],MATCH(Table5[[#This Row],[PID]],Batters[[#All],[PID]],0)),INDEX(Table3[[#All],[STM]],MATCH(Table5[[#This Row],[PID]],Table3[[#All],[PID]],0)))</f>
        <v>3</v>
      </c>
      <c r="Q243" s="61">
        <f>IF($C243="B",INDEX(Batters[[#All],[Tot]],MATCH(Table5[[#This Row],[PID]],Batters[[#All],[PID]],0)),INDEX(Table3[[#All],[Tot]],MATCH(Table5[[#This Row],[PID]],Table3[[#All],[PID]],0)))</f>
        <v>46.795750851155127</v>
      </c>
      <c r="R243" s="52">
        <f>IF($C243="B",INDEX(Batters[[#All],[zScore]],MATCH(Table5[[#This Row],[PID]],Batters[[#All],[PID]],0)),INDEX(Table3[[#All],[zScore]],MATCH(Table5[[#This Row],[PID]],Table3[[#All],[PID]],0)))</f>
        <v>0.52216592264198591</v>
      </c>
      <c r="S243" s="58" t="str">
        <f>IF($C243="B",INDEX(Batters[[#All],[DEM]],MATCH(Table5[[#This Row],[PID]],Batters[[#All],[PID]],0)),INDEX(Table3[[#All],[DEM]],MATCH(Table5[[#This Row],[PID]],Table3[[#All],[PID]],0)))</f>
        <v>$220k</v>
      </c>
      <c r="T243" s="62">
        <f>IF($C243="B",INDEX(Batters[[#All],[Rnk]],MATCH(Table5[[#This Row],[PID]],Batters[[#All],[PID]],0)),INDEX(Table3[[#All],[Rnk]],MATCH(Table5[[#This Row],[PID]],Table3[[#All],[PID]],0)))</f>
        <v>930</v>
      </c>
      <c r="U243" s="67">
        <f>IF($C243="B",VLOOKUP($A243,Bat!$A$4:$BA$1314,47,FALSE),VLOOKUP($A243,Pit!$A$4:$BF$1214,56,FALSE))</f>
        <v>303</v>
      </c>
      <c r="V243" s="50">
        <f>IF($C243="B",VLOOKUP($A243,Bat!$A$4:$BA$1314,48,FALSE),VLOOKUP($A243,Pit!$A$4:$BF$1214,57,FALSE))</f>
        <v>0</v>
      </c>
      <c r="W243" s="68">
        <f>IF(Table5[[#This Row],[posRnk]]=999,9999,Table5[[#This Row],[posRnk]]+Table5[[#This Row],[zRnk]]+IF($W$3&lt;&gt;Table5[[#This Row],[Type]],50,0))</f>
        <v>1199</v>
      </c>
      <c r="X243" s="51">
        <f>RANK(Table5[[#This Row],[zScore]],Table5[[#All],[zScore]])</f>
        <v>219</v>
      </c>
      <c r="Y243" s="50">
        <f>IFERROR(INDEX(DraftResults[[#All],[OVR]],MATCH(Table5[[#This Row],[PID]],DraftResults[[#All],[Player ID]],0)),"")</f>
        <v>268</v>
      </c>
      <c r="Z243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9</v>
      </c>
      <c r="AA243" s="50">
        <f>IFERROR(INDEX(DraftResults[[#All],[Pick in Round]],MATCH(Table5[[#This Row],[PID]],DraftResults[[#All],[Player ID]],0)),"")</f>
        <v>3</v>
      </c>
      <c r="AB243" s="50" t="str">
        <f>IFERROR(INDEX(DraftResults[[#All],[Team Name]],MATCH(Table5[[#This Row],[PID]],DraftResults[[#All],[Player ID]],0)),"")</f>
        <v>Okinawa Shisa</v>
      </c>
      <c r="AC243" s="50">
        <f>IF(Table5[[#This Row],[Ovr]]="","",IF(Table5[[#This Row],[cmbList]]="","",Table5[[#This Row],[cmbList]]-Table5[[#This Row],[Ovr]]))</f>
        <v>931</v>
      </c>
      <c r="AD243" s="54" t="str">
        <f>IF(ISERROR(VLOOKUP($AB243&amp;"-"&amp;$E243&amp;" "&amp;F243,Bonuses!$B$1:$G$1006,4,FALSE)),"",INT(VLOOKUP($AB243&amp;"-"&amp;$E243&amp;" "&amp;$F243,Bonuses!$B$1:$G$1006,4,FALSE)))</f>
        <v/>
      </c>
      <c r="AE243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9.3 (268) - C Pat Walker</v>
      </c>
    </row>
    <row r="244" spans="1:31" s="50" customFormat="1" x14ac:dyDescent="0.3">
      <c r="A244" s="50">
        <v>11262</v>
      </c>
      <c r="B244" s="50">
        <f>COUNTIF(Table5[PID],A244)</f>
        <v>1</v>
      </c>
      <c r="C244" s="50" t="str">
        <f>IF(COUNTIF(Table3[[#All],[PID]],A244)&gt;0,"P","B")</f>
        <v>B</v>
      </c>
      <c r="D244" s="59" t="str">
        <f>IF($C244="B",INDEX(Batters[[#All],[POS]],MATCH(Table5[[#This Row],[PID]],Batters[[#All],[PID]],0)),INDEX(Table3[[#All],[POS]],MATCH(Table5[[#This Row],[PID]],Table3[[#All],[PID]],0)))</f>
        <v>C</v>
      </c>
      <c r="E244" s="52" t="str">
        <f>IF($C244="B",INDEX(Batters[[#All],[First]],MATCH(Table5[[#This Row],[PID]],Batters[[#All],[PID]],0)),INDEX(Table3[[#All],[First]],MATCH(Table5[[#This Row],[PID]],Table3[[#All],[PID]],0)))</f>
        <v>Ron</v>
      </c>
      <c r="F244" s="50" t="str">
        <f>IF($C244="B",INDEX(Batters[[#All],[Last]],MATCH(A244,Batters[[#All],[PID]],0)),INDEX(Table3[[#All],[Last]],MATCH(A244,Table3[[#All],[PID]],0)))</f>
        <v>Lowe</v>
      </c>
      <c r="G244" s="56">
        <f>IF($C244="B",INDEX(Batters[[#All],[Age]],MATCH(Table5[[#This Row],[PID]],Batters[[#All],[PID]],0)),INDEX(Table3[[#All],[Age]],MATCH(Table5[[#This Row],[PID]],Table3[[#All],[PID]],0)))</f>
        <v>17</v>
      </c>
      <c r="H244" s="52" t="str">
        <f>IF($C244="B",INDEX(Batters[[#All],[B]],MATCH(Table5[[#This Row],[PID]],Batters[[#All],[PID]],0)),INDEX(Table3[[#All],[B]],MATCH(Table5[[#This Row],[PID]],Table3[[#All],[PID]],0)))</f>
        <v>R</v>
      </c>
      <c r="I244" s="52" t="str">
        <f>IF($C244="B",INDEX(Batters[[#All],[T]],MATCH(Table5[[#This Row],[PID]],Batters[[#All],[PID]],0)),INDEX(Table3[[#All],[T]],MATCH(Table5[[#This Row],[PID]],Table3[[#All],[PID]],0)))</f>
        <v>R</v>
      </c>
      <c r="J244" s="52" t="str">
        <f>IF($C244="B",INDEX(Batters[[#All],[WE]],MATCH(Table5[[#This Row],[PID]],Batters[[#All],[PID]],0)),INDEX(Table3[[#All],[WE]],MATCH(Table5[[#This Row],[PID]],Table3[[#All],[PID]],0)))</f>
        <v>Normal</v>
      </c>
      <c r="K244" s="52" t="str">
        <f>IF($C244="B",INDEX(Batters[[#All],[INT]],MATCH(Table5[[#This Row],[PID]],Batters[[#All],[PID]],0)),INDEX(Table3[[#All],[INT]],MATCH(Table5[[#This Row],[PID]],Table3[[#All],[PID]],0)))</f>
        <v>Low</v>
      </c>
      <c r="L244" s="60">
        <f>IF($C244="B",INDEX(Batters[[#All],[CON P]],MATCH(Table5[[#This Row],[PID]],Batters[[#All],[PID]],0)),INDEX(Table3[[#All],[STU P]],MATCH(Table5[[#This Row],[PID]],Table3[[#All],[PID]],0)))</f>
        <v>4</v>
      </c>
      <c r="M244" s="56">
        <f>IF($C244="B",INDEX(Batters[[#All],[GAP P]],MATCH(Table5[[#This Row],[PID]],Batters[[#All],[PID]],0)),INDEX(Table3[[#All],[MOV P]],MATCH(Table5[[#This Row],[PID]],Table3[[#All],[PID]],0)))</f>
        <v>6</v>
      </c>
      <c r="N244" s="56">
        <f>IF($C244="B",INDEX(Batters[[#All],[POW P]],MATCH(Table5[[#This Row],[PID]],Batters[[#All],[PID]],0)),INDEX(Table3[[#All],[CON P]],MATCH(Table5[[#This Row],[PID]],Table3[[#All],[PID]],0)))</f>
        <v>5</v>
      </c>
      <c r="O244" s="56">
        <f>IF($C244="B",INDEX(Batters[[#All],[EYE P]],MATCH(Table5[[#This Row],[PID]],Batters[[#All],[PID]],0)),INDEX(Table3[[#All],[VELO]],MATCH(Table5[[#This Row],[PID]],Table3[[#All],[PID]],0)))</f>
        <v>2</v>
      </c>
      <c r="P244" s="56">
        <f>IF($C244="B",INDEX(Batters[[#All],[K P]],MATCH(Table5[[#This Row],[PID]],Batters[[#All],[PID]],0)),INDEX(Table3[[#All],[STM]],MATCH(Table5[[#This Row],[PID]],Table3[[#All],[PID]],0)))</f>
        <v>7</v>
      </c>
      <c r="Q244" s="61">
        <f>IF($C244="B",INDEX(Batters[[#All],[Tot]],MATCH(Table5[[#This Row],[PID]],Batters[[#All],[PID]],0)),INDEX(Table3[[#All],[Tot]],MATCH(Table5[[#This Row],[PID]],Table3[[#All],[PID]],0)))</f>
        <v>47.174777521872755</v>
      </c>
      <c r="R244" s="52">
        <f>IF($C244="B",INDEX(Batters[[#All],[zScore]],MATCH(Table5[[#This Row],[PID]],Batters[[#All],[PID]],0)),INDEX(Table3[[#All],[zScore]],MATCH(Table5[[#This Row],[PID]],Table3[[#All],[PID]],0)))</f>
        <v>0.57749172927249171</v>
      </c>
      <c r="S244" s="58" t="str">
        <f>IF($C244="B",INDEX(Batters[[#All],[DEM]],MATCH(Table5[[#This Row],[PID]],Batters[[#All],[PID]],0)),INDEX(Table3[[#All],[DEM]],MATCH(Table5[[#This Row],[PID]],Table3[[#All],[PID]],0)))</f>
        <v>$65k</v>
      </c>
      <c r="T244" s="62">
        <f>IF($C244="B",INDEX(Batters[[#All],[Rnk]],MATCH(Table5[[#This Row],[PID]],Batters[[#All],[PID]],0)),INDEX(Table3[[#All],[Rnk]],MATCH(Table5[[#This Row],[PID]],Table3[[#All],[PID]],0)))</f>
        <v>940</v>
      </c>
      <c r="U244" s="67">
        <f>IF($C244="B",VLOOKUP($A244,Bat!$A$4:$BA$1314,47,FALSE),VLOOKUP($A244,Pit!$A$4:$BF$1214,56,FALSE))</f>
        <v>407</v>
      </c>
      <c r="V244" s="50">
        <f>IF($C244="B",VLOOKUP($A244,Bat!$A$4:$BA$1314,48,FALSE),VLOOKUP($A244,Pit!$A$4:$BF$1214,57,FALSE))</f>
        <v>0</v>
      </c>
      <c r="W244" s="68">
        <f>IF(Table5[[#This Row],[posRnk]]=999,9999,Table5[[#This Row],[posRnk]]+Table5[[#This Row],[zRnk]]+IF($W$3&lt;&gt;Table5[[#This Row],[Type]],50,0))</f>
        <v>1199</v>
      </c>
      <c r="X244" s="51">
        <f>RANK(Table5[[#This Row],[zScore]],Table5[[#All],[zScore]])</f>
        <v>209</v>
      </c>
      <c r="Y244" s="50">
        <f>IFERROR(INDEX(DraftResults[[#All],[OVR]],MATCH(Table5[[#This Row],[PID]],DraftResults[[#All],[Player ID]],0)),"")</f>
        <v>306</v>
      </c>
      <c r="Z244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10</v>
      </c>
      <c r="AA244" s="50">
        <f>IFERROR(INDEX(DraftResults[[#All],[Pick in Round]],MATCH(Table5[[#This Row],[PID]],DraftResults[[#All],[Player ID]],0)),"")</f>
        <v>9</v>
      </c>
      <c r="AB244" s="50" t="str">
        <f>IFERROR(INDEX(DraftResults[[#All],[Team Name]],MATCH(Table5[[#This Row],[PID]],DraftResults[[#All],[Player ID]],0)),"")</f>
        <v>New Jersey Hitmen</v>
      </c>
      <c r="AC244" s="50">
        <f>IF(Table5[[#This Row],[Ovr]]="","",IF(Table5[[#This Row],[cmbList]]="","",Table5[[#This Row],[cmbList]]-Table5[[#This Row],[Ovr]]))</f>
        <v>893</v>
      </c>
      <c r="AD244" s="54" t="str">
        <f>IF(ISERROR(VLOOKUP($AB244&amp;"-"&amp;$E244&amp;" "&amp;F244,Bonuses!$B$1:$G$1006,4,FALSE)),"",INT(VLOOKUP($AB244&amp;"-"&amp;$E244&amp;" "&amp;$F244,Bonuses!$B$1:$G$1006,4,FALSE)))</f>
        <v/>
      </c>
      <c r="AE244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10.9 (306) - C Ron Lowe</v>
      </c>
    </row>
    <row r="245" spans="1:31" s="50" customFormat="1" x14ac:dyDescent="0.3">
      <c r="A245" s="50">
        <v>5840</v>
      </c>
      <c r="B245" s="55">
        <f>COUNTIF(Table5[PID],A245)</f>
        <v>1</v>
      </c>
      <c r="C245" s="55" t="str">
        <f>IF(COUNTIF(Table3[[#All],[PID]],A245)&gt;0,"P","B")</f>
        <v>P</v>
      </c>
      <c r="D245" s="59" t="str">
        <f>IF($C245="B",INDEX(Batters[[#All],[POS]],MATCH(Table5[[#This Row],[PID]],Batters[[#All],[PID]],0)),INDEX(Table3[[#All],[POS]],MATCH(Table5[[#This Row],[PID]],Table3[[#All],[PID]],0)))</f>
        <v>SP</v>
      </c>
      <c r="E245" s="52" t="str">
        <f>IF($C245="B",INDEX(Batters[[#All],[First]],MATCH(Table5[[#This Row],[PID]],Batters[[#All],[PID]],0)),INDEX(Table3[[#All],[First]],MATCH(Table5[[#This Row],[PID]],Table3[[#All],[PID]],0)))</f>
        <v>Sebastian</v>
      </c>
      <c r="F245" s="50" t="str">
        <f>IF($C245="B",INDEX(Batters[[#All],[Last]],MATCH(A245,Batters[[#All],[PID]],0)),INDEX(Table3[[#All],[Last]],MATCH(A245,Table3[[#All],[PID]],0)))</f>
        <v>Golby</v>
      </c>
      <c r="G245" s="56">
        <f>IF($C245="B",INDEX(Batters[[#All],[Age]],MATCH(Table5[[#This Row],[PID]],Batters[[#All],[PID]],0)),INDEX(Table3[[#All],[Age]],MATCH(Table5[[#This Row],[PID]],Table3[[#All],[PID]],0)))</f>
        <v>21</v>
      </c>
      <c r="H245" s="52" t="str">
        <f>IF($C245="B",INDEX(Batters[[#All],[B]],MATCH(Table5[[#This Row],[PID]],Batters[[#All],[PID]],0)),INDEX(Table3[[#All],[B]],MATCH(Table5[[#This Row],[PID]],Table3[[#All],[PID]],0)))</f>
        <v>L</v>
      </c>
      <c r="I245" s="52" t="str">
        <f>IF($C245="B",INDEX(Batters[[#All],[T]],MATCH(Table5[[#This Row],[PID]],Batters[[#All],[PID]],0)),INDEX(Table3[[#All],[T]],MATCH(Table5[[#This Row],[PID]],Table3[[#All],[PID]],0)))</f>
        <v>R</v>
      </c>
      <c r="J245" s="52" t="str">
        <f>IF($C245="B",INDEX(Batters[[#All],[WE]],MATCH(Table5[[#This Row],[PID]],Batters[[#All],[PID]],0)),INDEX(Table3[[#All],[WE]],MATCH(Table5[[#This Row],[PID]],Table3[[#All],[PID]],0)))</f>
        <v>Normal</v>
      </c>
      <c r="K245" s="52" t="str">
        <f>IF($C245="B",INDEX(Batters[[#All],[INT]],MATCH(Table5[[#This Row],[PID]],Batters[[#All],[PID]],0)),INDEX(Table3[[#All],[INT]],MATCH(Table5[[#This Row],[PID]],Table3[[#All],[PID]],0)))</f>
        <v>Normal</v>
      </c>
      <c r="L245" s="60">
        <f>IF($C245="B",INDEX(Batters[[#All],[CON P]],MATCH(Table5[[#This Row],[PID]],Batters[[#All],[PID]],0)),INDEX(Table3[[#All],[STU P]],MATCH(Table5[[#This Row],[PID]],Table3[[#All],[PID]],0)))</f>
        <v>5</v>
      </c>
      <c r="M245" s="56">
        <f>IF($C245="B",INDEX(Batters[[#All],[GAP P]],MATCH(Table5[[#This Row],[PID]],Batters[[#All],[PID]],0)),INDEX(Table3[[#All],[MOV P]],MATCH(Table5[[#This Row],[PID]],Table3[[#All],[PID]],0)))</f>
        <v>4</v>
      </c>
      <c r="N245" s="56">
        <f>IF($C245="B",INDEX(Batters[[#All],[POW P]],MATCH(Table5[[#This Row],[PID]],Batters[[#All],[PID]],0)),INDEX(Table3[[#All],[CON P]],MATCH(Table5[[#This Row],[PID]],Table3[[#All],[PID]],0)))</f>
        <v>3</v>
      </c>
      <c r="O245" s="56" t="str">
        <f>IF($C245="B",INDEX(Batters[[#All],[EYE P]],MATCH(Table5[[#This Row],[PID]],Batters[[#All],[PID]],0)),INDEX(Table3[[#All],[VELO]],MATCH(Table5[[#This Row],[PID]],Table3[[#All],[PID]],0)))</f>
        <v>93-95 Mph</v>
      </c>
      <c r="P245" s="56">
        <f>IF($C245="B",INDEX(Batters[[#All],[K P]],MATCH(Table5[[#This Row],[PID]],Batters[[#All],[PID]],0)),INDEX(Table3[[#All],[STM]],MATCH(Table5[[#This Row],[PID]],Table3[[#All],[PID]],0)))</f>
        <v>8</v>
      </c>
      <c r="Q245" s="61">
        <f>IF($C245="B",INDEX(Batters[[#All],[Tot]],MATCH(Table5[[#This Row],[PID]],Batters[[#All],[PID]],0)),INDEX(Table3[[#All],[Tot]],MATCH(Table5[[#This Row],[PID]],Table3[[#All],[PID]],0)))</f>
        <v>43.578518844802559</v>
      </c>
      <c r="R245" s="52">
        <f>IF($C245="B",INDEX(Batters[[#All],[zScore]],MATCH(Table5[[#This Row],[PID]],Batters[[#All],[PID]],0)),INDEX(Table3[[#All],[zScore]],MATCH(Table5[[#This Row],[PID]],Table3[[#All],[PID]],0)))</f>
        <v>0.41128728274777104</v>
      </c>
      <c r="S245" s="58" t="str">
        <f>IF($C245="B",INDEX(Batters[[#All],[DEM]],MATCH(Table5[[#This Row],[PID]],Batters[[#All],[PID]],0)),INDEX(Table3[[#All],[DEM]],MATCH(Table5[[#This Row],[PID]],Table3[[#All],[PID]],0)))</f>
        <v>$330k</v>
      </c>
      <c r="T245" s="62">
        <f>IF($C245="B",INDEX(Batters[[#All],[Rnk]],MATCH(Table5[[#This Row],[PID]],Batters[[#All],[PID]],0)),INDEX(Table3[[#All],[Rnk]],MATCH(Table5[[#This Row],[PID]],Table3[[#All],[PID]],0)))</f>
        <v>900</v>
      </c>
      <c r="U245" s="67">
        <f>IF($C245="B",VLOOKUP($A245,Bat!$A$4:$BA$1314,47,FALSE),VLOOKUP($A245,Pit!$A$4:$BF$1214,56,FALSE))</f>
        <v>91</v>
      </c>
      <c r="V245" s="50">
        <f>IF($C245="B",VLOOKUP($A245,Bat!$A$4:$BA$1314,48,FALSE),VLOOKUP($A245,Pit!$A$4:$BF$1214,57,FALSE))</f>
        <v>0</v>
      </c>
      <c r="W245" s="68">
        <f>IF(Table5[[#This Row],[posRnk]]=999,9999,Table5[[#This Row],[posRnk]]+Table5[[#This Row],[zRnk]]+IF($W$3&lt;&gt;Table5[[#This Row],[Type]],50,0))</f>
        <v>1150</v>
      </c>
      <c r="X245" s="51">
        <f>RANK(Table5[[#This Row],[zScore]],Table5[[#All],[zScore]])</f>
        <v>250</v>
      </c>
      <c r="Y245" s="50">
        <f>IFERROR(INDEX(DraftResults[[#All],[OVR]],MATCH(Table5[[#This Row],[PID]],DraftResults[[#All],[Player ID]],0)),"")</f>
        <v>153</v>
      </c>
      <c r="Z245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5</v>
      </c>
      <c r="AA245" s="50">
        <f>IFERROR(INDEX(DraftResults[[#All],[Pick in Round]],MATCH(Table5[[#This Row],[PID]],DraftResults[[#All],[Player ID]],0)),"")</f>
        <v>16</v>
      </c>
      <c r="AB245" s="50" t="str">
        <f>IFERROR(INDEX(DraftResults[[#All],[Team Name]],MATCH(Table5[[#This Row],[PID]],DraftResults[[#All],[Player ID]],0)),"")</f>
        <v>Madison Malts</v>
      </c>
      <c r="AC245" s="50">
        <f>IF(Table5[[#This Row],[Ovr]]="","",IF(Table5[[#This Row],[cmbList]]="","",Table5[[#This Row],[cmbList]]-Table5[[#This Row],[Ovr]]))</f>
        <v>997</v>
      </c>
      <c r="AD245" s="54" t="str">
        <f>IF(ISERROR(VLOOKUP($AB245&amp;"-"&amp;$E245&amp;" "&amp;F245,Bonuses!$B$1:$G$1006,4,FALSE)),"",INT(VLOOKUP($AB245&amp;"-"&amp;$E245&amp;" "&amp;$F245,Bonuses!$B$1:$G$1006,4,FALSE)))</f>
        <v/>
      </c>
      <c r="AE245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5.16 (153) - SP Sebastian Golby</v>
      </c>
    </row>
    <row r="246" spans="1:31" s="50" customFormat="1" x14ac:dyDescent="0.3">
      <c r="A246" s="67">
        <v>20941</v>
      </c>
      <c r="B246" s="68">
        <f>COUNTIF(Table5[PID],A246)</f>
        <v>1</v>
      </c>
      <c r="C246" s="68" t="str">
        <f>IF(COUNTIF(Table3[[#All],[PID]],A246)&gt;0,"P","B")</f>
        <v>B</v>
      </c>
      <c r="D246" s="59" t="str">
        <f>IF($C246="B",INDEX(Batters[[#All],[POS]],MATCH(Table5[[#This Row],[PID]],Batters[[#All],[PID]],0)),INDEX(Table3[[#All],[POS]],MATCH(Table5[[#This Row],[PID]],Table3[[#All],[PID]],0)))</f>
        <v>2B</v>
      </c>
      <c r="E246" s="52" t="str">
        <f>IF($C246="B",INDEX(Batters[[#All],[First]],MATCH(Table5[[#This Row],[PID]],Batters[[#All],[PID]],0)),INDEX(Table3[[#All],[First]],MATCH(Table5[[#This Row],[PID]],Table3[[#All],[PID]],0)))</f>
        <v>Allen</v>
      </c>
      <c r="F246" s="55" t="str">
        <f>IF($C246="B",INDEX(Batters[[#All],[Last]],MATCH(A246,Batters[[#All],[PID]],0)),INDEX(Table3[[#All],[Last]],MATCH(A246,Table3[[#All],[PID]],0)))</f>
        <v>Clark</v>
      </c>
      <c r="G246" s="56">
        <f>IF($C246="B",INDEX(Batters[[#All],[Age]],MATCH(Table5[[#This Row],[PID]],Batters[[#All],[PID]],0)),INDEX(Table3[[#All],[Age]],MATCH(Table5[[#This Row],[PID]],Table3[[#All],[PID]],0)))</f>
        <v>17</v>
      </c>
      <c r="H246" s="52" t="str">
        <f>IF($C246="B",INDEX(Batters[[#All],[B]],MATCH(Table5[[#This Row],[PID]],Batters[[#All],[PID]],0)),INDEX(Table3[[#All],[B]],MATCH(Table5[[#This Row],[PID]],Table3[[#All],[PID]],0)))</f>
        <v>L</v>
      </c>
      <c r="I246" s="52" t="str">
        <f>IF($C246="B",INDEX(Batters[[#All],[T]],MATCH(Table5[[#This Row],[PID]],Batters[[#All],[PID]],0)),INDEX(Table3[[#All],[T]],MATCH(Table5[[#This Row],[PID]],Table3[[#All],[PID]],0)))</f>
        <v>R</v>
      </c>
      <c r="J246" s="69" t="str">
        <f>IF($C246="B",INDEX(Batters[[#All],[WE]],MATCH(Table5[[#This Row],[PID]],Batters[[#All],[PID]],0)),INDEX(Table3[[#All],[WE]],MATCH(Table5[[#This Row],[PID]],Table3[[#All],[PID]],0)))</f>
        <v>High</v>
      </c>
      <c r="K246" s="52" t="str">
        <f>IF($C246="B",INDEX(Batters[[#All],[INT]],MATCH(Table5[[#This Row],[PID]],Batters[[#All],[PID]],0)),INDEX(Table3[[#All],[INT]],MATCH(Table5[[#This Row],[PID]],Table3[[#All],[PID]],0)))</f>
        <v>Normal</v>
      </c>
      <c r="L246" s="60">
        <f>IF($C246="B",INDEX(Batters[[#All],[CON P]],MATCH(Table5[[#This Row],[PID]],Batters[[#All],[PID]],0)),INDEX(Table3[[#All],[STU P]],MATCH(Table5[[#This Row],[PID]],Table3[[#All],[PID]],0)))</f>
        <v>4</v>
      </c>
      <c r="M246" s="70">
        <f>IF($C246="B",INDEX(Batters[[#All],[GAP P]],MATCH(Table5[[#This Row],[PID]],Batters[[#All],[PID]],0)),INDEX(Table3[[#All],[MOV P]],MATCH(Table5[[#This Row],[PID]],Table3[[#All],[PID]],0)))</f>
        <v>8</v>
      </c>
      <c r="N246" s="70">
        <f>IF($C246="B",INDEX(Batters[[#All],[POW P]],MATCH(Table5[[#This Row],[PID]],Batters[[#All],[PID]],0)),INDEX(Table3[[#All],[CON P]],MATCH(Table5[[#This Row],[PID]],Table3[[#All],[PID]],0)))</f>
        <v>3</v>
      </c>
      <c r="O246" s="70">
        <f>IF($C246="B",INDEX(Batters[[#All],[EYE P]],MATCH(Table5[[#This Row],[PID]],Batters[[#All],[PID]],0)),INDEX(Table3[[#All],[VELO]],MATCH(Table5[[#This Row],[PID]],Table3[[#All],[PID]],0)))</f>
        <v>2</v>
      </c>
      <c r="P246" s="56">
        <f>IF($C246="B",INDEX(Batters[[#All],[K P]],MATCH(Table5[[#This Row],[PID]],Batters[[#All],[PID]],0)),INDEX(Table3[[#All],[STM]],MATCH(Table5[[#This Row],[PID]],Table3[[#All],[PID]],0)))</f>
        <v>5</v>
      </c>
      <c r="Q246" s="61">
        <f>IF($C246="B",INDEX(Batters[[#All],[Tot]],MATCH(Table5[[#This Row],[PID]],Batters[[#All],[PID]],0)),INDEX(Table3[[#All],[Tot]],MATCH(Table5[[#This Row],[PID]],Table3[[#All],[PID]],0)))</f>
        <v>46.003991961493959</v>
      </c>
      <c r="R246" s="52">
        <f>IF($C246="B",INDEX(Batters[[#All],[zScore]],MATCH(Table5[[#This Row],[PID]],Batters[[#All],[PID]],0)),INDEX(Table3[[#All],[zScore]],MATCH(Table5[[#This Row],[PID]],Table3[[#All],[PID]],0)))</f>
        <v>0.40659437422181727</v>
      </c>
      <c r="S246" s="75" t="str">
        <f>IF($C246="B",INDEX(Batters[[#All],[DEM]],MATCH(Table5[[#This Row],[PID]],Batters[[#All],[PID]],0)),INDEX(Table3[[#All],[DEM]],MATCH(Table5[[#This Row],[PID]],Table3[[#All],[PID]],0)))</f>
        <v>$65k</v>
      </c>
      <c r="T246" s="72">
        <f>IF($C246="B",INDEX(Batters[[#All],[Rnk]],MATCH(Table5[[#This Row],[PID]],Batters[[#All],[PID]],0)),INDEX(Table3[[#All],[Rnk]],MATCH(Table5[[#This Row],[PID]],Table3[[#All],[PID]],0)))</f>
        <v>900</v>
      </c>
      <c r="U246" s="67">
        <f>IF($C246="B",VLOOKUP($A246,Bat!$A$4:$BA$1314,47,FALSE),VLOOKUP($A246,Pit!$A$4:$BF$1214,56,FALSE))</f>
        <v>131</v>
      </c>
      <c r="V246" s="50">
        <f>IF($C246="B",VLOOKUP($A246,Bat!$A$4:$BA$1314,48,FALSE),VLOOKUP($A246,Pit!$A$4:$BF$1214,57,FALSE))</f>
        <v>0</v>
      </c>
      <c r="W246" s="68">
        <f>IF(Table5[[#This Row],[posRnk]]=999,9999,Table5[[#This Row],[posRnk]]+Table5[[#This Row],[zRnk]]+IF($W$3&lt;&gt;Table5[[#This Row],[Type]],50,0))</f>
        <v>1202</v>
      </c>
      <c r="X246" s="71">
        <f>RANK(Table5[[#This Row],[zScore]],Table5[[#All],[zScore]])</f>
        <v>252</v>
      </c>
      <c r="Y246" s="68">
        <f>IFERROR(INDEX(DraftResults[[#All],[OVR]],MATCH(Table5[[#This Row],[PID]],DraftResults[[#All],[Player ID]],0)),"")</f>
        <v>191</v>
      </c>
      <c r="Z246" s="7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6</v>
      </c>
      <c r="AA246" s="68">
        <f>IFERROR(INDEX(DraftResults[[#All],[Pick in Round]],MATCH(Table5[[#This Row],[PID]],DraftResults[[#All],[Player ID]],0)),"")</f>
        <v>22</v>
      </c>
      <c r="AB246" s="68" t="str">
        <f>IFERROR(INDEX(DraftResults[[#All],[Team Name]],MATCH(Table5[[#This Row],[PID]],DraftResults[[#All],[Player ID]],0)),"")</f>
        <v>Bakersfield Bears</v>
      </c>
      <c r="AC246" s="68">
        <f>IF(Table5[[#This Row],[Ovr]]="","",IF(Table5[[#This Row],[cmbList]]="","",Table5[[#This Row],[cmbList]]-Table5[[#This Row],[Ovr]]))</f>
        <v>1011</v>
      </c>
      <c r="AD246" s="74" t="str">
        <f>IF(ISERROR(VLOOKUP($AB246&amp;"-"&amp;$E246&amp;" "&amp;F246,Bonuses!$B$1:$G$1006,4,FALSE)),"",INT(VLOOKUP($AB246&amp;"-"&amp;$E246&amp;" "&amp;$F246,Bonuses!$B$1:$G$1006,4,FALSE)))</f>
        <v/>
      </c>
      <c r="AE246" s="68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6.22 (191) - 2B Allen Clark</v>
      </c>
    </row>
    <row r="247" spans="1:31" s="50" customFormat="1" x14ac:dyDescent="0.3">
      <c r="A247" s="50">
        <v>9955</v>
      </c>
      <c r="B247" s="50">
        <f>COUNTIF(Table5[PID],A247)</f>
        <v>1</v>
      </c>
      <c r="C247" s="50" t="str">
        <f>IF(COUNTIF(Table3[[#All],[PID]],A247)&gt;0,"P","B")</f>
        <v>B</v>
      </c>
      <c r="D247" s="59" t="str">
        <f>IF($C247="B",INDEX(Batters[[#All],[POS]],MATCH(Table5[[#This Row],[PID]],Batters[[#All],[PID]],0)),INDEX(Table3[[#All],[POS]],MATCH(Table5[[#This Row],[PID]],Table3[[#All],[PID]],0)))</f>
        <v>LF</v>
      </c>
      <c r="E247" s="52" t="str">
        <f>IF($C247="B",INDEX(Batters[[#All],[First]],MATCH(Table5[[#This Row],[PID]],Batters[[#All],[PID]],0)),INDEX(Table3[[#All],[First]],MATCH(Table5[[#This Row],[PID]],Table3[[#All],[PID]],0)))</f>
        <v>Jorge</v>
      </c>
      <c r="F247" s="50" t="str">
        <f>IF($C247="B",INDEX(Batters[[#All],[Last]],MATCH(A247,Batters[[#All],[PID]],0)),INDEX(Table3[[#All],[Last]],MATCH(A247,Table3[[#All],[PID]],0)))</f>
        <v>Menéndez</v>
      </c>
      <c r="G247" s="56">
        <f>IF($C247="B",INDEX(Batters[[#All],[Age]],MATCH(Table5[[#This Row],[PID]],Batters[[#All],[PID]],0)),INDEX(Table3[[#All],[Age]],MATCH(Table5[[#This Row],[PID]],Table3[[#All],[PID]],0)))</f>
        <v>17</v>
      </c>
      <c r="H247" s="52" t="str">
        <f>IF($C247="B",INDEX(Batters[[#All],[B]],MATCH(Table5[[#This Row],[PID]],Batters[[#All],[PID]],0)),INDEX(Table3[[#All],[B]],MATCH(Table5[[#This Row],[PID]],Table3[[#All],[PID]],0)))</f>
        <v>R</v>
      </c>
      <c r="I247" s="52" t="str">
        <f>IF($C247="B",INDEX(Batters[[#All],[T]],MATCH(Table5[[#This Row],[PID]],Batters[[#All],[PID]],0)),INDEX(Table3[[#All],[T]],MATCH(Table5[[#This Row],[PID]],Table3[[#All],[PID]],0)))</f>
        <v>R</v>
      </c>
      <c r="J247" s="52" t="str">
        <f>IF($C247="B",INDEX(Batters[[#All],[WE]],MATCH(Table5[[#This Row],[PID]],Batters[[#All],[PID]],0)),INDEX(Table3[[#All],[WE]],MATCH(Table5[[#This Row],[PID]],Table3[[#All],[PID]],0)))</f>
        <v>Low</v>
      </c>
      <c r="K247" s="52" t="str">
        <f>IF($C247="B",INDEX(Batters[[#All],[INT]],MATCH(Table5[[#This Row],[PID]],Batters[[#All],[PID]],0)),INDEX(Table3[[#All],[INT]],MATCH(Table5[[#This Row],[PID]],Table3[[#All],[PID]],0)))</f>
        <v>Normal</v>
      </c>
      <c r="L247" s="60">
        <f>IF($C247="B",INDEX(Batters[[#All],[CON P]],MATCH(Table5[[#This Row],[PID]],Batters[[#All],[PID]],0)),INDEX(Table3[[#All],[STU P]],MATCH(Table5[[#This Row],[PID]],Table3[[#All],[PID]],0)))</f>
        <v>4</v>
      </c>
      <c r="M247" s="56">
        <f>IF($C247="B",INDEX(Batters[[#All],[GAP P]],MATCH(Table5[[#This Row],[PID]],Batters[[#All],[PID]],0)),INDEX(Table3[[#All],[MOV P]],MATCH(Table5[[#This Row],[PID]],Table3[[#All],[PID]],0)))</f>
        <v>3</v>
      </c>
      <c r="N247" s="56">
        <f>IF($C247="B",INDEX(Batters[[#All],[POW P]],MATCH(Table5[[#This Row],[PID]],Batters[[#All],[PID]],0)),INDEX(Table3[[#All],[CON P]],MATCH(Table5[[#This Row],[PID]],Table3[[#All],[PID]],0)))</f>
        <v>4</v>
      </c>
      <c r="O247" s="56">
        <f>IF($C247="B",INDEX(Batters[[#All],[EYE P]],MATCH(Table5[[#This Row],[PID]],Batters[[#All],[PID]],0)),INDEX(Table3[[#All],[VELO]],MATCH(Table5[[#This Row],[PID]],Table3[[#All],[PID]],0)))</f>
        <v>5</v>
      </c>
      <c r="P247" s="56">
        <f>IF($C247="B",INDEX(Batters[[#All],[K P]],MATCH(Table5[[#This Row],[PID]],Batters[[#All],[PID]],0)),INDEX(Table3[[#All],[STM]],MATCH(Table5[[#This Row],[PID]],Table3[[#All],[PID]],0)))</f>
        <v>5</v>
      </c>
      <c r="Q247" s="61">
        <f>IF($C247="B",INDEX(Batters[[#All],[Tot]],MATCH(Table5[[#This Row],[PID]],Batters[[#All],[PID]],0)),INDEX(Table3[[#All],[Tot]],MATCH(Table5[[#This Row],[PID]],Table3[[#All],[PID]],0)))</f>
        <v>46.722998936803791</v>
      </c>
      <c r="R247" s="52">
        <f>IF($C247="B",INDEX(Batters[[#All],[zScore]],MATCH(Table5[[#This Row],[PID]],Batters[[#All],[PID]],0)),INDEX(Table3[[#All],[zScore]],MATCH(Table5[[#This Row],[PID]],Table3[[#All],[PID]],0)))</f>
        <v>0.5115464632309098</v>
      </c>
      <c r="S247" s="58" t="str">
        <f>IF($C247="B",INDEX(Batters[[#All],[DEM]],MATCH(Table5[[#This Row],[PID]],Batters[[#All],[PID]],0)),INDEX(Table3[[#All],[DEM]],MATCH(Table5[[#This Row],[PID]],Table3[[#All],[PID]],0)))</f>
        <v>$200k</v>
      </c>
      <c r="T247" s="62">
        <f>IF($C247="B",INDEX(Batters[[#All],[Rnk]],MATCH(Table5[[#This Row],[PID]],Batters[[#All],[PID]],0)),INDEX(Table3[[#All],[Rnk]],MATCH(Table5[[#This Row],[PID]],Table3[[#All],[PID]],0)))</f>
        <v>930</v>
      </c>
      <c r="U247" s="67">
        <f>IF($C247="B",VLOOKUP($A247,Bat!$A$4:$BA$1314,47,FALSE),VLOOKUP($A247,Pit!$A$4:$BF$1214,56,FALSE))</f>
        <v>304</v>
      </c>
      <c r="V247" s="50">
        <f>IF($C247="B",VLOOKUP($A247,Bat!$A$4:$BA$1314,48,FALSE),VLOOKUP($A247,Pit!$A$4:$BF$1214,57,FALSE))</f>
        <v>0</v>
      </c>
      <c r="W247" s="68">
        <f>IF(Table5[[#This Row],[posRnk]]=999,9999,Table5[[#This Row],[posRnk]]+Table5[[#This Row],[zRnk]]+IF($W$3&lt;&gt;Table5[[#This Row],[Type]],50,0))</f>
        <v>1202</v>
      </c>
      <c r="X247" s="51">
        <f>RANK(Table5[[#This Row],[zScore]],Table5[[#All],[zScore]])</f>
        <v>222</v>
      </c>
      <c r="Y247" s="50">
        <f>IFERROR(INDEX(DraftResults[[#All],[OVR]],MATCH(Table5[[#This Row],[PID]],DraftResults[[#All],[Player ID]],0)),"")</f>
        <v>315</v>
      </c>
      <c r="Z247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10</v>
      </c>
      <c r="AA247" s="50">
        <f>IFERROR(INDEX(DraftResults[[#All],[Pick in Round]],MATCH(Table5[[#This Row],[PID]],DraftResults[[#All],[Player ID]],0)),"")</f>
        <v>18</v>
      </c>
      <c r="AB247" s="50" t="str">
        <f>IFERROR(INDEX(DraftResults[[#All],[Team Name]],MATCH(Table5[[#This Row],[PID]],DraftResults[[#All],[Player ID]],0)),"")</f>
        <v>San Juan Coqui</v>
      </c>
      <c r="AC247" s="50">
        <f>IF(Table5[[#This Row],[Ovr]]="","",IF(Table5[[#This Row],[cmbList]]="","",Table5[[#This Row],[cmbList]]-Table5[[#This Row],[Ovr]]))</f>
        <v>887</v>
      </c>
      <c r="AD247" s="54" t="str">
        <f>IF(ISERROR(VLOOKUP($AB247&amp;"-"&amp;$E247&amp;" "&amp;F247,Bonuses!$B$1:$G$1006,4,FALSE)),"",INT(VLOOKUP($AB247&amp;"-"&amp;$E247&amp;" "&amp;$F247,Bonuses!$B$1:$G$1006,4,FALSE)))</f>
        <v/>
      </c>
      <c r="AE247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10.18 (315) - LF Jorge Menéndez</v>
      </c>
    </row>
    <row r="248" spans="1:31" s="50" customFormat="1" x14ac:dyDescent="0.3">
      <c r="A248" s="50">
        <v>5814</v>
      </c>
      <c r="B248" s="50">
        <f>COUNTIF(Table5[PID],A248)</f>
        <v>1</v>
      </c>
      <c r="C248" s="50" t="str">
        <f>IF(COUNTIF(Table3[[#All],[PID]],A248)&gt;0,"P","B")</f>
        <v>P</v>
      </c>
      <c r="D248" s="59" t="str">
        <f>IF($C248="B",INDEX(Batters[[#All],[POS]],MATCH(Table5[[#This Row],[PID]],Batters[[#All],[PID]],0)),INDEX(Table3[[#All],[POS]],MATCH(Table5[[#This Row],[PID]],Table3[[#All],[PID]],0)))</f>
        <v>SP</v>
      </c>
      <c r="E248" s="52" t="str">
        <f>IF($C248="B",INDEX(Batters[[#All],[First]],MATCH(Table5[[#This Row],[PID]],Batters[[#All],[PID]],0)),INDEX(Table3[[#All],[First]],MATCH(Table5[[#This Row],[PID]],Table3[[#All],[PID]],0)))</f>
        <v>Masazumi</v>
      </c>
      <c r="F248" s="50" t="str">
        <f>IF($C248="B",INDEX(Batters[[#All],[Last]],MATCH(A248,Batters[[#All],[PID]],0)),INDEX(Table3[[#All],[Last]],MATCH(A248,Table3[[#All],[PID]],0)))</f>
        <v>Saikawa</v>
      </c>
      <c r="G248" s="56">
        <f>IF($C248="B",INDEX(Batters[[#All],[Age]],MATCH(Table5[[#This Row],[PID]],Batters[[#All],[PID]],0)),INDEX(Table3[[#All],[Age]],MATCH(Table5[[#This Row],[PID]],Table3[[#All],[PID]],0)))</f>
        <v>21</v>
      </c>
      <c r="H248" s="52" t="str">
        <f>IF($C248="B",INDEX(Batters[[#All],[B]],MATCH(Table5[[#This Row],[PID]],Batters[[#All],[PID]],0)),INDEX(Table3[[#All],[B]],MATCH(Table5[[#This Row],[PID]],Table3[[#All],[PID]],0)))</f>
        <v>L</v>
      </c>
      <c r="I248" s="52" t="str">
        <f>IF($C248="B",INDEX(Batters[[#All],[T]],MATCH(Table5[[#This Row],[PID]],Batters[[#All],[PID]],0)),INDEX(Table3[[#All],[T]],MATCH(Table5[[#This Row],[PID]],Table3[[#All],[PID]],0)))</f>
        <v>L</v>
      </c>
      <c r="J248" s="52" t="str">
        <f>IF($C248="B",INDEX(Batters[[#All],[WE]],MATCH(Table5[[#This Row],[PID]],Batters[[#All],[PID]],0)),INDEX(Table3[[#All],[WE]],MATCH(Table5[[#This Row],[PID]],Table3[[#All],[PID]],0)))</f>
        <v>Normal</v>
      </c>
      <c r="K248" s="52" t="str">
        <f>IF($C248="B",INDEX(Batters[[#All],[INT]],MATCH(Table5[[#This Row],[PID]],Batters[[#All],[PID]],0)),INDEX(Table3[[#All],[INT]],MATCH(Table5[[#This Row],[PID]],Table3[[#All],[PID]],0)))</f>
        <v>Normal</v>
      </c>
      <c r="L248" s="60">
        <f>IF($C248="B",INDEX(Batters[[#All],[CON P]],MATCH(Table5[[#This Row],[PID]],Batters[[#All],[PID]],0)),INDEX(Table3[[#All],[STU P]],MATCH(Table5[[#This Row],[PID]],Table3[[#All],[PID]],0)))</f>
        <v>5</v>
      </c>
      <c r="M248" s="56">
        <f>IF($C248="B",INDEX(Batters[[#All],[GAP P]],MATCH(Table5[[#This Row],[PID]],Batters[[#All],[PID]],0)),INDEX(Table3[[#All],[MOV P]],MATCH(Table5[[#This Row],[PID]],Table3[[#All],[PID]],0)))</f>
        <v>3</v>
      </c>
      <c r="N248" s="56">
        <f>IF($C248="B",INDEX(Batters[[#All],[POW P]],MATCH(Table5[[#This Row],[PID]],Batters[[#All],[PID]],0)),INDEX(Table3[[#All],[CON P]],MATCH(Table5[[#This Row],[PID]],Table3[[#All],[PID]],0)))</f>
        <v>4</v>
      </c>
      <c r="O248" s="56" t="str">
        <f>IF($C248="B",INDEX(Batters[[#All],[EYE P]],MATCH(Table5[[#This Row],[PID]],Batters[[#All],[PID]],0)),INDEX(Table3[[#All],[VELO]],MATCH(Table5[[#This Row],[PID]],Table3[[#All],[PID]],0)))</f>
        <v>90-92 Mph</v>
      </c>
      <c r="P248" s="56">
        <f>IF($C248="B",INDEX(Batters[[#All],[K P]],MATCH(Table5[[#This Row],[PID]],Batters[[#All],[PID]],0)),INDEX(Table3[[#All],[STM]],MATCH(Table5[[#This Row],[PID]],Table3[[#All],[PID]],0)))</f>
        <v>7</v>
      </c>
      <c r="Q248" s="61">
        <f>IF($C248="B",INDEX(Batters[[#All],[Tot]],MATCH(Table5[[#This Row],[PID]],Batters[[#All],[PID]],0)),INDEX(Table3[[#All],[Tot]],MATCH(Table5[[#This Row],[PID]],Table3[[#All],[PID]],0)))</f>
        <v>43.398210710377342</v>
      </c>
      <c r="R248" s="52">
        <f>IF($C248="B",INDEX(Batters[[#All],[zScore]],MATCH(Table5[[#This Row],[PID]],Batters[[#All],[PID]],0)),INDEX(Table3[[#All],[zScore]],MATCH(Table5[[#This Row],[PID]],Table3[[#All],[PID]],0)))</f>
        <v>0.40432293490290916</v>
      </c>
      <c r="S248" s="58" t="str">
        <f>IF($C248="B",INDEX(Batters[[#All],[DEM]],MATCH(Table5[[#This Row],[PID]],Batters[[#All],[PID]],0)),INDEX(Table3[[#All],[DEM]],MATCH(Table5[[#This Row],[PID]],Table3[[#All],[PID]],0)))</f>
        <v>$260k</v>
      </c>
      <c r="T248" s="62">
        <f>IF($C248="B",INDEX(Batters[[#All],[Rnk]],MATCH(Table5[[#This Row],[PID]],Batters[[#All],[PID]],0)),INDEX(Table3[[#All],[Rnk]],MATCH(Table5[[#This Row],[PID]],Table3[[#All],[PID]],0)))</f>
        <v>900</v>
      </c>
      <c r="U248" s="67">
        <f>IF($C248="B",VLOOKUP($A248,Bat!$A$4:$BA$1314,47,FALSE),VLOOKUP($A248,Pit!$A$4:$BF$1214,56,FALSE))</f>
        <v>92</v>
      </c>
      <c r="V248" s="50">
        <f>IF($C248="B",VLOOKUP($A248,Bat!$A$4:$BA$1314,48,FALSE),VLOOKUP($A248,Pit!$A$4:$BF$1214,57,FALSE))</f>
        <v>0</v>
      </c>
      <c r="W248" s="68">
        <f>IF(Table5[[#This Row],[posRnk]]=999,9999,Table5[[#This Row],[posRnk]]+Table5[[#This Row],[zRnk]]+IF($W$3&lt;&gt;Table5[[#This Row],[Type]],50,0))</f>
        <v>1153</v>
      </c>
      <c r="X248" s="51">
        <f>RANK(Table5[[#This Row],[zScore]],Table5[[#All],[zScore]])</f>
        <v>253</v>
      </c>
      <c r="Y248" s="50">
        <f>IFERROR(INDEX(DraftResults[[#All],[OVR]],MATCH(Table5[[#This Row],[PID]],DraftResults[[#All],[Player ID]],0)),"")</f>
        <v>260</v>
      </c>
      <c r="Z248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8</v>
      </c>
      <c r="AA248" s="50">
        <f>IFERROR(INDEX(DraftResults[[#All],[Pick in Round]],MATCH(Table5[[#This Row],[PID]],DraftResults[[#All],[Player ID]],0)),"")</f>
        <v>27</v>
      </c>
      <c r="AB248" s="50" t="str">
        <f>IFERROR(INDEX(DraftResults[[#All],[Team Name]],MATCH(Table5[[#This Row],[PID]],DraftResults[[#All],[Player ID]],0)),"")</f>
        <v>Havana Leones</v>
      </c>
      <c r="AC248" s="50">
        <f>IF(Table5[[#This Row],[Ovr]]="","",IF(Table5[[#This Row],[cmbList]]="","",Table5[[#This Row],[cmbList]]-Table5[[#This Row],[Ovr]]))</f>
        <v>893</v>
      </c>
      <c r="AD248" s="54" t="str">
        <f>IF(ISERROR(VLOOKUP($AB248&amp;"-"&amp;$E248&amp;" "&amp;F248,Bonuses!$B$1:$G$1006,4,FALSE)),"",INT(VLOOKUP($AB248&amp;"-"&amp;$E248&amp;" "&amp;$F248,Bonuses!$B$1:$G$1006,4,FALSE)))</f>
        <v/>
      </c>
      <c r="AE248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8.27 (260) - SP Masazumi Saikawa</v>
      </c>
    </row>
    <row r="249" spans="1:31" s="50" customFormat="1" x14ac:dyDescent="0.3">
      <c r="A249" s="50">
        <v>10552</v>
      </c>
      <c r="B249" s="50">
        <f>COUNTIF(Table5[PID],A249)</f>
        <v>1</v>
      </c>
      <c r="C249" s="50" t="str">
        <f>IF(COUNTIF(Table3[[#All],[PID]],A249)&gt;0,"P","B")</f>
        <v>B</v>
      </c>
      <c r="D249" s="59" t="str">
        <f>IF($C249="B",INDEX(Batters[[#All],[POS]],MATCH(Table5[[#This Row],[PID]],Batters[[#All],[PID]],0)),INDEX(Table3[[#All],[POS]],MATCH(Table5[[#This Row],[PID]],Table3[[#All],[PID]],0)))</f>
        <v>2B</v>
      </c>
      <c r="E249" s="52" t="str">
        <f>IF($C249="B",INDEX(Batters[[#All],[First]],MATCH(Table5[[#This Row],[PID]],Batters[[#All],[PID]],0)),INDEX(Table3[[#All],[First]],MATCH(Table5[[#This Row],[PID]],Table3[[#All],[PID]],0)))</f>
        <v>Augusto</v>
      </c>
      <c r="F249" s="50" t="str">
        <f>IF($C249="B",INDEX(Batters[[#All],[Last]],MATCH(A249,Batters[[#All],[PID]],0)),INDEX(Table3[[#All],[Last]],MATCH(A249,Table3[[#All],[PID]],0)))</f>
        <v>Peña</v>
      </c>
      <c r="G249" s="56">
        <f>IF($C249="B",INDEX(Batters[[#All],[Age]],MATCH(Table5[[#This Row],[PID]],Batters[[#All],[PID]],0)),INDEX(Table3[[#All],[Age]],MATCH(Table5[[#This Row],[PID]],Table3[[#All],[PID]],0)))</f>
        <v>18</v>
      </c>
      <c r="H249" s="52" t="str">
        <f>IF($C249="B",INDEX(Batters[[#All],[B]],MATCH(Table5[[#This Row],[PID]],Batters[[#All],[PID]],0)),INDEX(Table3[[#All],[B]],MATCH(Table5[[#This Row],[PID]],Table3[[#All],[PID]],0)))</f>
        <v>R</v>
      </c>
      <c r="I249" s="52" t="str">
        <f>IF($C249="B",INDEX(Batters[[#All],[T]],MATCH(Table5[[#This Row],[PID]],Batters[[#All],[PID]],0)),INDEX(Table3[[#All],[T]],MATCH(Table5[[#This Row],[PID]],Table3[[#All],[PID]],0)))</f>
        <v>R</v>
      </c>
      <c r="J249" s="52" t="str">
        <f>IF($C249="B",INDEX(Batters[[#All],[WE]],MATCH(Table5[[#This Row],[PID]],Batters[[#All],[PID]],0)),INDEX(Table3[[#All],[WE]],MATCH(Table5[[#This Row],[PID]],Table3[[#All],[PID]],0)))</f>
        <v>High</v>
      </c>
      <c r="K249" s="52" t="str">
        <f>IF($C249="B",INDEX(Batters[[#All],[INT]],MATCH(Table5[[#This Row],[PID]],Batters[[#All],[PID]],0)),INDEX(Table3[[#All],[INT]],MATCH(Table5[[#This Row],[PID]],Table3[[#All],[PID]],0)))</f>
        <v>Normal</v>
      </c>
      <c r="L249" s="60">
        <f>IF($C249="B",INDEX(Batters[[#All],[CON P]],MATCH(Table5[[#This Row],[PID]],Batters[[#All],[PID]],0)),INDEX(Table3[[#All],[STU P]],MATCH(Table5[[#This Row],[PID]],Table3[[#All],[PID]],0)))</f>
        <v>4</v>
      </c>
      <c r="M249" s="56">
        <f>IF($C249="B",INDEX(Batters[[#All],[GAP P]],MATCH(Table5[[#This Row],[PID]],Batters[[#All],[PID]],0)),INDEX(Table3[[#All],[MOV P]],MATCH(Table5[[#This Row],[PID]],Table3[[#All],[PID]],0)))</f>
        <v>7</v>
      </c>
      <c r="N249" s="56">
        <f>IF($C249="B",INDEX(Batters[[#All],[POW P]],MATCH(Table5[[#This Row],[PID]],Batters[[#All],[PID]],0)),INDEX(Table3[[#All],[CON P]],MATCH(Table5[[#This Row],[PID]],Table3[[#All],[PID]],0)))</f>
        <v>2</v>
      </c>
      <c r="O249" s="56">
        <f>IF($C249="B",INDEX(Batters[[#All],[EYE P]],MATCH(Table5[[#This Row],[PID]],Batters[[#All],[PID]],0)),INDEX(Table3[[#All],[VELO]],MATCH(Table5[[#This Row],[PID]],Table3[[#All],[PID]],0)))</f>
        <v>3</v>
      </c>
      <c r="P249" s="56">
        <f>IF($C249="B",INDEX(Batters[[#All],[K P]],MATCH(Table5[[#This Row],[PID]],Batters[[#All],[PID]],0)),INDEX(Table3[[#All],[STM]],MATCH(Table5[[#This Row],[PID]],Table3[[#All],[PID]],0)))</f>
        <v>6</v>
      </c>
      <c r="Q249" s="61">
        <f>IF($C249="B",INDEX(Batters[[#All],[Tot]],MATCH(Table5[[#This Row],[PID]],Batters[[#All],[PID]],0)),INDEX(Table3[[#All],[Tot]],MATCH(Table5[[#This Row],[PID]],Table3[[#All],[PID]],0)))</f>
        <v>45.946140167740801</v>
      </c>
      <c r="R249" s="52">
        <f>IF($C249="B",INDEX(Batters[[#All],[zScore]],MATCH(Table5[[#This Row],[PID]],Batters[[#All],[PID]],0)),INDEX(Table3[[#All],[zScore]],MATCH(Table5[[#This Row],[PID]],Table3[[#All],[PID]],0)))</f>
        <v>0.39814985724797181</v>
      </c>
      <c r="S249" s="58" t="str">
        <f>IF($C249="B",INDEX(Batters[[#All],[DEM]],MATCH(Table5[[#This Row],[PID]],Batters[[#All],[PID]],0)),INDEX(Table3[[#All],[DEM]],MATCH(Table5[[#This Row],[PID]],Table3[[#All],[PID]],0)))</f>
        <v>$200k</v>
      </c>
      <c r="T249" s="62">
        <f>IF($C249="B",INDEX(Batters[[#All],[Rnk]],MATCH(Table5[[#This Row],[PID]],Batters[[#All],[PID]],0)),INDEX(Table3[[#All],[Rnk]],MATCH(Table5[[#This Row],[PID]],Table3[[#All],[PID]],0)))</f>
        <v>900</v>
      </c>
      <c r="U249" s="67">
        <f>IF($C249="B",VLOOKUP($A249,Bat!$A$4:$BA$1314,47,FALSE),VLOOKUP($A249,Pit!$A$4:$BF$1214,56,FALSE))</f>
        <v>133</v>
      </c>
      <c r="V249" s="50">
        <f>IF($C249="B",VLOOKUP($A249,Bat!$A$4:$BA$1314,48,FALSE),VLOOKUP($A249,Pit!$A$4:$BF$1214,57,FALSE))</f>
        <v>0</v>
      </c>
      <c r="W249" s="68">
        <f>IF(Table5[[#This Row],[posRnk]]=999,9999,Table5[[#This Row],[posRnk]]+Table5[[#This Row],[zRnk]]+IF($W$3&lt;&gt;Table5[[#This Row],[Type]],50,0))</f>
        <v>1204</v>
      </c>
      <c r="X249" s="51">
        <f>RANK(Table5[[#This Row],[zScore]],Table5[[#All],[zScore]])</f>
        <v>254</v>
      </c>
      <c r="Y249" s="50">
        <f>IFERROR(INDEX(DraftResults[[#All],[OVR]],MATCH(Table5[[#This Row],[PID]],DraftResults[[#All],[Player ID]],0)),"")</f>
        <v>199</v>
      </c>
      <c r="Z249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6</v>
      </c>
      <c r="AA249" s="50">
        <f>IFERROR(INDEX(DraftResults[[#All],[Pick in Round]],MATCH(Table5[[#This Row],[PID]],DraftResults[[#All],[Player ID]],0)),"")</f>
        <v>30</v>
      </c>
      <c r="AB249" s="50" t="str">
        <f>IFERROR(INDEX(DraftResults[[#All],[Team Name]],MATCH(Table5[[#This Row],[PID]],DraftResults[[#All],[Player ID]],0)),"")</f>
        <v>Toyama Wind Dancers</v>
      </c>
      <c r="AC249" s="50">
        <f>IF(Table5[[#This Row],[Ovr]]="","",IF(Table5[[#This Row],[cmbList]]="","",Table5[[#This Row],[cmbList]]-Table5[[#This Row],[Ovr]]))</f>
        <v>1005</v>
      </c>
      <c r="AD249" s="54" t="str">
        <f>IF(ISERROR(VLOOKUP($AB249&amp;"-"&amp;$E249&amp;" "&amp;F249,Bonuses!$B$1:$G$1006,4,FALSE)),"",INT(VLOOKUP($AB249&amp;"-"&amp;$E249&amp;" "&amp;$F249,Bonuses!$B$1:$G$1006,4,FALSE)))</f>
        <v/>
      </c>
      <c r="AE249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6.30 (199) - 2B Augusto Peña</v>
      </c>
    </row>
    <row r="250" spans="1:31" s="50" customFormat="1" x14ac:dyDescent="0.3">
      <c r="A250" s="67">
        <v>20462</v>
      </c>
      <c r="B250" s="68">
        <f>COUNTIF(Table5[PID],A250)</f>
        <v>1</v>
      </c>
      <c r="C250" s="68" t="str">
        <f>IF(COUNTIF(Table3[[#All],[PID]],A250)&gt;0,"P","B")</f>
        <v>B</v>
      </c>
      <c r="D250" s="59" t="str">
        <f>IF($C250="B",INDEX(Batters[[#All],[POS]],MATCH(Table5[[#This Row],[PID]],Batters[[#All],[PID]],0)),INDEX(Table3[[#All],[POS]],MATCH(Table5[[#This Row],[PID]],Table3[[#All],[PID]],0)))</f>
        <v>C</v>
      </c>
      <c r="E250" s="52" t="str">
        <f>IF($C250="B",INDEX(Batters[[#All],[First]],MATCH(Table5[[#This Row],[PID]],Batters[[#All],[PID]],0)),INDEX(Table3[[#All],[First]],MATCH(Table5[[#This Row],[PID]],Table3[[#All],[PID]],0)))</f>
        <v>Netro</v>
      </c>
      <c r="F250" s="55" t="str">
        <f>IF($C250="B",INDEX(Batters[[#All],[Last]],MATCH(A250,Batters[[#All],[PID]],0)),INDEX(Table3[[#All],[Last]],MATCH(A250,Table3[[#All],[PID]],0)))</f>
        <v>Ananas</v>
      </c>
      <c r="G250" s="56">
        <f>IF($C250="B",INDEX(Batters[[#All],[Age]],MATCH(Table5[[#This Row],[PID]],Batters[[#All],[PID]],0)),INDEX(Table3[[#All],[Age]],MATCH(Table5[[#This Row],[PID]],Table3[[#All],[PID]],0)))</f>
        <v>16</v>
      </c>
      <c r="H250" s="52" t="str">
        <f>IF($C250="B",INDEX(Batters[[#All],[B]],MATCH(Table5[[#This Row],[PID]],Batters[[#All],[PID]],0)),INDEX(Table3[[#All],[B]],MATCH(Table5[[#This Row],[PID]],Table3[[#All],[PID]],0)))</f>
        <v>R</v>
      </c>
      <c r="I250" s="52" t="str">
        <f>IF($C250="B",INDEX(Batters[[#All],[T]],MATCH(Table5[[#This Row],[PID]],Batters[[#All],[PID]],0)),INDEX(Table3[[#All],[T]],MATCH(Table5[[#This Row],[PID]],Table3[[#All],[PID]],0)))</f>
        <v>R</v>
      </c>
      <c r="J250" s="69" t="str">
        <f>IF($C250="B",INDEX(Batters[[#All],[WE]],MATCH(Table5[[#This Row],[PID]],Batters[[#All],[PID]],0)),INDEX(Table3[[#All],[WE]],MATCH(Table5[[#This Row],[PID]],Table3[[#All],[PID]],0)))</f>
        <v>Normal</v>
      </c>
      <c r="K250" s="52" t="str">
        <f>IF($C250="B",INDEX(Batters[[#All],[INT]],MATCH(Table5[[#This Row],[PID]],Batters[[#All],[PID]],0)),INDEX(Table3[[#All],[INT]],MATCH(Table5[[#This Row],[PID]],Table3[[#All],[PID]],0)))</f>
        <v>Normal</v>
      </c>
      <c r="L250" s="60">
        <f>IF($C250="B",INDEX(Batters[[#All],[CON P]],MATCH(Table5[[#This Row],[PID]],Batters[[#All],[PID]],0)),INDEX(Table3[[#All],[STU P]],MATCH(Table5[[#This Row],[PID]],Table3[[#All],[PID]],0)))</f>
        <v>3</v>
      </c>
      <c r="M250" s="70">
        <f>IF($C250="B",INDEX(Batters[[#All],[GAP P]],MATCH(Table5[[#This Row],[PID]],Batters[[#All],[PID]],0)),INDEX(Table3[[#All],[MOV P]],MATCH(Table5[[#This Row],[PID]],Table3[[#All],[PID]],0)))</f>
        <v>6</v>
      </c>
      <c r="N250" s="70">
        <f>IF($C250="B",INDEX(Batters[[#All],[POW P]],MATCH(Table5[[#This Row],[PID]],Batters[[#All],[PID]],0)),INDEX(Table3[[#All],[CON P]],MATCH(Table5[[#This Row],[PID]],Table3[[#All],[PID]],0)))</f>
        <v>6</v>
      </c>
      <c r="O250" s="70">
        <f>IF($C250="B",INDEX(Batters[[#All],[EYE P]],MATCH(Table5[[#This Row],[PID]],Batters[[#All],[PID]],0)),INDEX(Table3[[#All],[VELO]],MATCH(Table5[[#This Row],[PID]],Table3[[#All],[PID]],0)))</f>
        <v>5</v>
      </c>
      <c r="P250" s="56">
        <f>IF($C250="B",INDEX(Batters[[#All],[K P]],MATCH(Table5[[#This Row],[PID]],Batters[[#All],[PID]],0)),INDEX(Table3[[#All],[STM]],MATCH(Table5[[#This Row],[PID]],Table3[[#All],[PID]],0)))</f>
        <v>3</v>
      </c>
      <c r="Q250" s="61">
        <f>IF($C250="B",INDEX(Batters[[#All],[Tot]],MATCH(Table5[[#This Row],[PID]],Batters[[#All],[PID]],0)),INDEX(Table3[[#All],[Tot]],MATCH(Table5[[#This Row],[PID]],Table3[[#All],[PID]],0)))</f>
        <v>45.897802820633331</v>
      </c>
      <c r="R250" s="52">
        <f>IF($C250="B",INDEX(Batters[[#All],[zScore]],MATCH(Table5[[#This Row],[PID]],Batters[[#All],[PID]],0)),INDEX(Table3[[#All],[zScore]],MATCH(Table5[[#This Row],[PID]],Table3[[#All],[PID]],0)))</f>
        <v>0.39109414606533616</v>
      </c>
      <c r="S250" s="75" t="str">
        <f>IF($C250="B",INDEX(Batters[[#All],[DEM]],MATCH(Table5[[#This Row],[PID]],Batters[[#All],[PID]],0)),INDEX(Table3[[#All],[DEM]],MATCH(Table5[[#This Row],[PID]],Table3[[#All],[PID]],0)))</f>
        <v>$220k</v>
      </c>
      <c r="T250" s="72">
        <f>IF($C250="B",INDEX(Batters[[#All],[Rnk]],MATCH(Table5[[#This Row],[PID]],Batters[[#All],[PID]],0)),INDEX(Table3[[#All],[Rnk]],MATCH(Table5[[#This Row],[PID]],Table3[[#All],[PID]],0)))</f>
        <v>900</v>
      </c>
      <c r="U250" s="67">
        <f>IF($C250="B",VLOOKUP($A250,Bat!$A$4:$BA$1314,47,FALSE),VLOOKUP($A250,Pit!$A$4:$BF$1214,56,FALSE))</f>
        <v>142</v>
      </c>
      <c r="V250" s="50">
        <f>IF($C250="B",VLOOKUP($A250,Bat!$A$4:$BA$1314,48,FALSE),VLOOKUP($A250,Pit!$A$4:$BF$1214,57,FALSE))</f>
        <v>0</v>
      </c>
      <c r="W250" s="68">
        <f>IF(Table5[[#This Row],[posRnk]]=999,9999,Table5[[#This Row],[posRnk]]+Table5[[#This Row],[zRnk]]+IF($W$3&lt;&gt;Table5[[#This Row],[Type]],50,0))</f>
        <v>1205</v>
      </c>
      <c r="X250" s="71">
        <f>RANK(Table5[[#This Row],[zScore]],Table5[[#All],[zScore]])</f>
        <v>255</v>
      </c>
      <c r="Y250" s="68">
        <f>IFERROR(INDEX(DraftResults[[#All],[OVR]],MATCH(Table5[[#This Row],[PID]],DraftResults[[#All],[Player ID]],0)),"")</f>
        <v>104</v>
      </c>
      <c r="Z250" s="7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3</v>
      </c>
      <c r="AA250" s="68">
        <f>IFERROR(INDEX(DraftResults[[#All],[Pick in Round]],MATCH(Table5[[#This Row],[PID]],DraftResults[[#All],[Player ID]],0)),"")</f>
        <v>32</v>
      </c>
      <c r="AB250" s="68" t="str">
        <f>IFERROR(INDEX(DraftResults[[#All],[Team Name]],MATCH(Table5[[#This Row],[PID]],DraftResults[[#All],[Player ID]],0)),"")</f>
        <v>West Virginia Alleghenies</v>
      </c>
      <c r="AC250" s="68">
        <f>IF(Table5[[#This Row],[Ovr]]="","",IF(Table5[[#This Row],[cmbList]]="","",Table5[[#This Row],[cmbList]]-Table5[[#This Row],[Ovr]]))</f>
        <v>1101</v>
      </c>
      <c r="AD250" s="74" t="str">
        <f>IF(ISERROR(VLOOKUP($AB250&amp;"-"&amp;$E250&amp;" "&amp;F250,Bonuses!$B$1:$G$1006,4,FALSE)),"",INT(VLOOKUP($AB250&amp;"-"&amp;$E250&amp;" "&amp;$F250,Bonuses!$B$1:$G$1006,4,FALSE)))</f>
        <v/>
      </c>
      <c r="AE250" s="68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3.32 (104) - C Netro Ananas</v>
      </c>
    </row>
    <row r="251" spans="1:31" s="50" customFormat="1" x14ac:dyDescent="0.3">
      <c r="A251" s="50">
        <v>20550</v>
      </c>
      <c r="B251" s="50">
        <f>COUNTIF(Table5[PID],A251)</f>
        <v>1</v>
      </c>
      <c r="C251" s="50" t="str">
        <f>IF(COUNTIF(Table3[[#All],[PID]],A251)&gt;0,"P","B")</f>
        <v>P</v>
      </c>
      <c r="D251" s="59" t="str">
        <f>IF($C251="B",INDEX(Batters[[#All],[POS]],MATCH(Table5[[#This Row],[PID]],Batters[[#All],[PID]],0)),INDEX(Table3[[#All],[POS]],MATCH(Table5[[#This Row],[PID]],Table3[[#All],[PID]],0)))</f>
        <v>CL</v>
      </c>
      <c r="E251" s="52" t="str">
        <f>IF($C251="B",INDEX(Batters[[#All],[First]],MATCH(Table5[[#This Row],[PID]],Batters[[#All],[PID]],0)),INDEX(Table3[[#All],[First]],MATCH(Table5[[#This Row],[PID]],Table3[[#All],[PID]],0)))</f>
        <v>Russell</v>
      </c>
      <c r="F251" s="50" t="str">
        <f>IF($C251="B",INDEX(Batters[[#All],[Last]],MATCH(A251,Batters[[#All],[PID]],0)),INDEX(Table3[[#All],[Last]],MATCH(A251,Table3[[#All],[PID]],0)))</f>
        <v>Lang</v>
      </c>
      <c r="G251" s="56">
        <f>IF($C251="B",INDEX(Batters[[#All],[Age]],MATCH(Table5[[#This Row],[PID]],Batters[[#All],[PID]],0)),INDEX(Table3[[#All],[Age]],MATCH(Table5[[#This Row],[PID]],Table3[[#All],[PID]],0)))</f>
        <v>16</v>
      </c>
      <c r="H251" s="52" t="str">
        <f>IF($C251="B",INDEX(Batters[[#All],[B]],MATCH(Table5[[#This Row],[PID]],Batters[[#All],[PID]],0)),INDEX(Table3[[#All],[B]],MATCH(Table5[[#This Row],[PID]],Table3[[#All],[PID]],0)))</f>
        <v>R</v>
      </c>
      <c r="I251" s="52" t="str">
        <f>IF($C251="B",INDEX(Batters[[#All],[T]],MATCH(Table5[[#This Row],[PID]],Batters[[#All],[PID]],0)),INDEX(Table3[[#All],[T]],MATCH(Table5[[#This Row],[PID]],Table3[[#All],[PID]],0)))</f>
        <v>R</v>
      </c>
      <c r="J251" s="52" t="str">
        <f>IF($C251="B",INDEX(Batters[[#All],[WE]],MATCH(Table5[[#This Row],[PID]],Batters[[#All],[PID]],0)),INDEX(Table3[[#All],[WE]],MATCH(Table5[[#This Row],[PID]],Table3[[#All],[PID]],0)))</f>
        <v>Normal</v>
      </c>
      <c r="K251" s="52" t="str">
        <f>IF($C251="B",INDEX(Batters[[#All],[INT]],MATCH(Table5[[#This Row],[PID]],Batters[[#All],[PID]],0)),INDEX(Table3[[#All],[INT]],MATCH(Table5[[#This Row],[PID]],Table3[[#All],[PID]],0)))</f>
        <v>Normal</v>
      </c>
      <c r="L251" s="60">
        <f>IF($C251="B",INDEX(Batters[[#All],[CON P]],MATCH(Table5[[#This Row],[PID]],Batters[[#All],[PID]],0)),INDEX(Table3[[#All],[STU P]],MATCH(Table5[[#This Row],[PID]],Table3[[#All],[PID]],0)))</f>
        <v>5</v>
      </c>
      <c r="M251" s="56">
        <f>IF($C251="B",INDEX(Batters[[#All],[GAP P]],MATCH(Table5[[#This Row],[PID]],Batters[[#All],[PID]],0)),INDEX(Table3[[#All],[MOV P]],MATCH(Table5[[#This Row],[PID]],Table3[[#All],[PID]],0)))</f>
        <v>2</v>
      </c>
      <c r="N251" s="56">
        <f>IF($C251="B",INDEX(Batters[[#All],[POW P]],MATCH(Table5[[#This Row],[PID]],Batters[[#All],[PID]],0)),INDEX(Table3[[#All],[CON P]],MATCH(Table5[[#This Row],[PID]],Table3[[#All],[PID]],0)))</f>
        <v>4</v>
      </c>
      <c r="O251" s="56" t="str">
        <f>IF($C251="B",INDEX(Batters[[#All],[EYE P]],MATCH(Table5[[#This Row],[PID]],Batters[[#All],[PID]],0)),INDEX(Table3[[#All],[VELO]],MATCH(Table5[[#This Row],[PID]],Table3[[#All],[PID]],0)))</f>
        <v>90-92 Mph</v>
      </c>
      <c r="P251" s="56">
        <f>IF($C251="B",INDEX(Batters[[#All],[K P]],MATCH(Table5[[#This Row],[PID]],Batters[[#All],[PID]],0)),INDEX(Table3[[#All],[STM]],MATCH(Table5[[#This Row],[PID]],Table3[[#All],[PID]],0)))</f>
        <v>7</v>
      </c>
      <c r="Q251" s="61">
        <f>IF($C251="B",INDEX(Batters[[#All],[Tot]],MATCH(Table5[[#This Row],[PID]],Batters[[#All],[PID]],0)),INDEX(Table3[[#All],[Tot]],MATCH(Table5[[#This Row],[PID]],Table3[[#All],[PID]],0)))</f>
        <v>43.230050533467242</v>
      </c>
      <c r="R251" s="52">
        <f>IF($C251="B",INDEX(Batters[[#All],[zScore]],MATCH(Table5[[#This Row],[PID]],Batters[[#All],[PID]],0)),INDEX(Table3[[#All],[zScore]],MATCH(Table5[[#This Row],[PID]],Table3[[#All],[PID]],0)))</f>
        <v>0.38647388824732687</v>
      </c>
      <c r="S251" s="58" t="str">
        <f>IF($C251="B",INDEX(Batters[[#All],[DEM]],MATCH(Table5[[#This Row],[PID]],Batters[[#All],[PID]],0)),INDEX(Table3[[#All],[DEM]],MATCH(Table5[[#This Row],[PID]],Table3[[#All],[PID]],0)))</f>
        <v>$65k</v>
      </c>
      <c r="T251" s="62">
        <f>IF($C251="B",INDEX(Batters[[#All],[Rnk]],MATCH(Table5[[#This Row],[PID]],Batters[[#All],[PID]],0)),INDEX(Table3[[#All],[Rnk]],MATCH(Table5[[#This Row],[PID]],Table3[[#All],[PID]],0)))</f>
        <v>900</v>
      </c>
      <c r="U251" s="67">
        <f>IF($C251="B",VLOOKUP($A251,Bat!$A$4:$BA$1314,47,FALSE),VLOOKUP($A251,Pit!$A$4:$BF$1214,56,FALSE))</f>
        <v>93</v>
      </c>
      <c r="V251" s="50">
        <f>IF($C251="B",VLOOKUP($A251,Bat!$A$4:$BA$1314,48,FALSE),VLOOKUP($A251,Pit!$A$4:$BF$1214,57,FALSE))</f>
        <v>0</v>
      </c>
      <c r="W251" s="68">
        <f>IF(Table5[[#This Row],[posRnk]]=999,9999,Table5[[#This Row],[posRnk]]+Table5[[#This Row],[zRnk]]+IF($W$3&lt;&gt;Table5[[#This Row],[Type]],50,0))</f>
        <v>1158</v>
      </c>
      <c r="X251" s="51">
        <f>RANK(Table5[[#This Row],[zScore]],Table5[[#All],[zScore]])</f>
        <v>258</v>
      </c>
      <c r="Y251" s="50">
        <f>IFERROR(INDEX(DraftResults[[#All],[OVR]],MATCH(Table5[[#This Row],[PID]],DraftResults[[#All],[Player ID]],0)),"")</f>
        <v>516</v>
      </c>
      <c r="Z251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16</v>
      </c>
      <c r="AA251" s="50">
        <f>IFERROR(INDEX(DraftResults[[#All],[Pick in Round]],MATCH(Table5[[#This Row],[PID]],DraftResults[[#All],[Player ID]],0)),"")</f>
        <v>15</v>
      </c>
      <c r="AB251" s="50" t="str">
        <f>IFERROR(INDEX(DraftResults[[#All],[Team Name]],MATCH(Table5[[#This Row],[PID]],DraftResults[[#All],[Player ID]],0)),"")</f>
        <v>Niihama-shi Ghosts</v>
      </c>
      <c r="AC251" s="50">
        <f>IF(Table5[[#This Row],[Ovr]]="","",IF(Table5[[#This Row],[cmbList]]="","",Table5[[#This Row],[cmbList]]-Table5[[#This Row],[Ovr]]))</f>
        <v>642</v>
      </c>
      <c r="AD251" s="54" t="str">
        <f>IF(ISERROR(VLOOKUP($AB251&amp;"-"&amp;$E251&amp;" "&amp;F251,Bonuses!$B$1:$G$1006,4,FALSE)),"",INT(VLOOKUP($AB251&amp;"-"&amp;$E251&amp;" "&amp;$F251,Bonuses!$B$1:$G$1006,4,FALSE)))</f>
        <v/>
      </c>
      <c r="AE251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16.15 (516) - CL Russell Lang</v>
      </c>
    </row>
    <row r="252" spans="1:31" s="50" customFormat="1" x14ac:dyDescent="0.3">
      <c r="A252" s="67">
        <v>11514</v>
      </c>
      <c r="B252" s="68">
        <f>COUNTIF(Table5[PID],A252)</f>
        <v>1</v>
      </c>
      <c r="C252" s="68" t="str">
        <f>IF(COUNTIF(Table3[[#All],[PID]],A252)&gt;0,"P","B")</f>
        <v>P</v>
      </c>
      <c r="D252" s="59" t="str">
        <f>IF($C252="B",INDEX(Batters[[#All],[POS]],MATCH(Table5[[#This Row],[PID]],Batters[[#All],[PID]],0)),INDEX(Table3[[#All],[POS]],MATCH(Table5[[#This Row],[PID]],Table3[[#All],[PID]],0)))</f>
        <v>SP</v>
      </c>
      <c r="E252" s="52" t="str">
        <f>IF($C252="B",INDEX(Batters[[#All],[First]],MATCH(Table5[[#This Row],[PID]],Batters[[#All],[PID]],0)),INDEX(Table3[[#All],[First]],MATCH(Table5[[#This Row],[PID]],Table3[[#All],[PID]],0)))</f>
        <v>Roy</v>
      </c>
      <c r="F252" s="55" t="str">
        <f>IF($C252="B",INDEX(Batters[[#All],[Last]],MATCH(A252,Batters[[#All],[PID]],0)),INDEX(Table3[[#All],[Last]],MATCH(A252,Table3[[#All],[PID]],0)))</f>
        <v>Hall</v>
      </c>
      <c r="G252" s="56">
        <f>IF($C252="B",INDEX(Batters[[#All],[Age]],MATCH(Table5[[#This Row],[PID]],Batters[[#All],[PID]],0)),INDEX(Table3[[#All],[Age]],MATCH(Table5[[#This Row],[PID]],Table3[[#All],[PID]],0)))</f>
        <v>18</v>
      </c>
      <c r="H252" s="52" t="str">
        <f>IF($C252="B",INDEX(Batters[[#All],[B]],MATCH(Table5[[#This Row],[PID]],Batters[[#All],[PID]],0)),INDEX(Table3[[#All],[B]],MATCH(Table5[[#This Row],[PID]],Table3[[#All],[PID]],0)))</f>
        <v>R</v>
      </c>
      <c r="I252" s="52" t="str">
        <f>IF($C252="B",INDEX(Batters[[#All],[T]],MATCH(Table5[[#This Row],[PID]],Batters[[#All],[PID]],0)),INDEX(Table3[[#All],[T]],MATCH(Table5[[#This Row],[PID]],Table3[[#All],[PID]],0)))</f>
        <v>R</v>
      </c>
      <c r="J252" s="69" t="str">
        <f>IF($C252="B",INDEX(Batters[[#All],[WE]],MATCH(Table5[[#This Row],[PID]],Batters[[#All],[PID]],0)),INDEX(Table3[[#All],[WE]],MATCH(Table5[[#This Row],[PID]],Table3[[#All],[PID]],0)))</f>
        <v>High</v>
      </c>
      <c r="K252" s="52" t="str">
        <f>IF($C252="B",INDEX(Batters[[#All],[INT]],MATCH(Table5[[#This Row],[PID]],Batters[[#All],[PID]],0)),INDEX(Table3[[#All],[INT]],MATCH(Table5[[#This Row],[PID]],Table3[[#All],[PID]],0)))</f>
        <v>Normal</v>
      </c>
      <c r="L252" s="60">
        <f>IF($C252="B",INDEX(Batters[[#All],[CON P]],MATCH(Table5[[#This Row],[PID]],Batters[[#All],[PID]],0)),INDEX(Table3[[#All],[STU P]],MATCH(Table5[[#This Row],[PID]],Table3[[#All],[PID]],0)))</f>
        <v>4</v>
      </c>
      <c r="M252" s="70">
        <f>IF($C252="B",INDEX(Batters[[#All],[GAP P]],MATCH(Table5[[#This Row],[PID]],Batters[[#All],[PID]],0)),INDEX(Table3[[#All],[MOV P]],MATCH(Table5[[#This Row],[PID]],Table3[[#All],[PID]],0)))</f>
        <v>3</v>
      </c>
      <c r="N252" s="70">
        <f>IF($C252="B",INDEX(Batters[[#All],[POW P]],MATCH(Table5[[#This Row],[PID]],Batters[[#All],[PID]],0)),INDEX(Table3[[#All],[CON P]],MATCH(Table5[[#This Row],[PID]],Table3[[#All],[PID]],0)))</f>
        <v>4</v>
      </c>
      <c r="O252" s="70" t="str">
        <f>IF($C252="B",INDEX(Batters[[#All],[EYE P]],MATCH(Table5[[#This Row],[PID]],Batters[[#All],[PID]],0)),INDEX(Table3[[#All],[VELO]],MATCH(Table5[[#This Row],[PID]],Table3[[#All],[PID]],0)))</f>
        <v>90-92 Mph</v>
      </c>
      <c r="P252" s="56">
        <f>IF($C252="B",INDEX(Batters[[#All],[K P]],MATCH(Table5[[#This Row],[PID]],Batters[[#All],[PID]],0)),INDEX(Table3[[#All],[STM]],MATCH(Table5[[#This Row],[PID]],Table3[[#All],[PID]],0)))</f>
        <v>4</v>
      </c>
      <c r="Q252" s="61">
        <f>IF($C252="B",INDEX(Batters[[#All],[Tot]],MATCH(Table5[[#This Row],[PID]],Batters[[#All],[PID]],0)),INDEX(Table3[[#All],[Tot]],MATCH(Table5[[#This Row],[PID]],Table3[[#All],[PID]],0)))</f>
        <v>43.096132749977158</v>
      </c>
      <c r="R252" s="52">
        <f>IF($C252="B",INDEX(Batters[[#All],[zScore]],MATCH(Table5[[#This Row],[PID]],Batters[[#All],[PID]],0)),INDEX(Table3[[#All],[zScore]],MATCH(Table5[[#This Row],[PID]],Table3[[#All],[PID]],0)))</f>
        <v>0.37693800023607243</v>
      </c>
      <c r="S252" s="75" t="str">
        <f>IF($C252="B",INDEX(Batters[[#All],[DEM]],MATCH(Table5[[#This Row],[PID]],Batters[[#All],[PID]],0)),INDEX(Table3[[#All],[DEM]],MATCH(Table5[[#This Row],[PID]],Table3[[#All],[PID]],0)))</f>
        <v>$65k</v>
      </c>
      <c r="T252" s="72">
        <f>IF($C252="B",INDEX(Batters[[#All],[Rnk]],MATCH(Table5[[#This Row],[PID]],Batters[[#All],[PID]],0)),INDEX(Table3[[#All],[Rnk]],MATCH(Table5[[#This Row],[PID]],Table3[[#All],[PID]],0)))</f>
        <v>900</v>
      </c>
      <c r="U252" s="67">
        <f>IF($C252="B",VLOOKUP($A252,Bat!$A$4:$BA$1314,47,FALSE),VLOOKUP($A252,Pit!$A$4:$BF$1214,56,FALSE))</f>
        <v>89</v>
      </c>
      <c r="V252" s="50">
        <f>IF($C252="B",VLOOKUP($A252,Bat!$A$4:$BA$1314,48,FALSE),VLOOKUP($A252,Pit!$A$4:$BF$1214,57,FALSE))</f>
        <v>0</v>
      </c>
      <c r="W252" s="68">
        <f>IF(Table5[[#This Row],[posRnk]]=999,9999,Table5[[#This Row],[posRnk]]+Table5[[#This Row],[zRnk]]+IF($W$3&lt;&gt;Table5[[#This Row],[Type]],50,0))</f>
        <v>1159</v>
      </c>
      <c r="X252" s="71">
        <f>RANK(Table5[[#This Row],[zScore]],Table5[[#All],[zScore]])</f>
        <v>259</v>
      </c>
      <c r="Y252" s="68">
        <f>IFERROR(INDEX(DraftResults[[#All],[OVR]],MATCH(Table5[[#This Row],[PID]],DraftResults[[#All],[Player ID]],0)),"")</f>
        <v>510</v>
      </c>
      <c r="Z252" s="7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16</v>
      </c>
      <c r="AA252" s="68">
        <f>IFERROR(INDEX(DraftResults[[#All],[Pick in Round]],MATCH(Table5[[#This Row],[PID]],DraftResults[[#All],[Player ID]],0)),"")</f>
        <v>9</v>
      </c>
      <c r="AB252" s="68" t="str">
        <f>IFERROR(INDEX(DraftResults[[#All],[Team Name]],MATCH(Table5[[#This Row],[PID]],DraftResults[[#All],[Player ID]],0)),"")</f>
        <v>New Jersey Hitmen</v>
      </c>
      <c r="AC252" s="68">
        <f>IF(Table5[[#This Row],[Ovr]]="","",IF(Table5[[#This Row],[cmbList]]="","",Table5[[#This Row],[cmbList]]-Table5[[#This Row],[Ovr]]))</f>
        <v>649</v>
      </c>
      <c r="AD252" s="74" t="str">
        <f>IF(ISERROR(VLOOKUP($AB252&amp;"-"&amp;$E252&amp;" "&amp;F252,Bonuses!$B$1:$G$1006,4,FALSE)),"",INT(VLOOKUP($AB252&amp;"-"&amp;$E252&amp;" "&amp;$F252,Bonuses!$B$1:$G$1006,4,FALSE)))</f>
        <v/>
      </c>
      <c r="AE252" s="68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16.9 (510) - SP Roy Hall</v>
      </c>
    </row>
    <row r="253" spans="1:31" s="50" customFormat="1" x14ac:dyDescent="0.3">
      <c r="A253" s="50">
        <v>20874</v>
      </c>
      <c r="B253" s="50">
        <f>COUNTIF(Table5[PID],A253)</f>
        <v>1</v>
      </c>
      <c r="C253" s="50" t="str">
        <f>IF(COUNTIF(Table3[[#All],[PID]],A253)&gt;0,"P","B")</f>
        <v>B</v>
      </c>
      <c r="D253" s="59" t="str">
        <f>IF($C253="B",INDEX(Batters[[#All],[POS]],MATCH(Table5[[#This Row],[PID]],Batters[[#All],[PID]],0)),INDEX(Table3[[#All],[POS]],MATCH(Table5[[#This Row],[PID]],Table3[[#All],[PID]],0)))</f>
        <v>CF</v>
      </c>
      <c r="E253" s="52" t="str">
        <f>IF($C253="B",INDEX(Batters[[#All],[First]],MATCH(Table5[[#This Row],[PID]],Batters[[#All],[PID]],0)),INDEX(Table3[[#All],[First]],MATCH(Table5[[#This Row],[PID]],Table3[[#All],[PID]],0)))</f>
        <v>Michael</v>
      </c>
      <c r="F253" s="50" t="str">
        <f>IF($C253="B",INDEX(Batters[[#All],[Last]],MATCH(A253,Batters[[#All],[PID]],0)),INDEX(Table3[[#All],[Last]],MATCH(A253,Table3[[#All],[PID]],0)))</f>
        <v>Turner</v>
      </c>
      <c r="G253" s="56">
        <f>IF($C253="B",INDEX(Batters[[#All],[Age]],MATCH(Table5[[#This Row],[PID]],Batters[[#All],[PID]],0)),INDEX(Table3[[#All],[Age]],MATCH(Table5[[#This Row],[PID]],Table3[[#All],[PID]],0)))</f>
        <v>17</v>
      </c>
      <c r="H253" s="52" t="str">
        <f>IF($C253="B",INDEX(Batters[[#All],[B]],MATCH(Table5[[#This Row],[PID]],Batters[[#All],[PID]],0)),INDEX(Table3[[#All],[B]],MATCH(Table5[[#This Row],[PID]],Table3[[#All],[PID]],0)))</f>
        <v>R</v>
      </c>
      <c r="I253" s="52" t="str">
        <f>IF($C253="B",INDEX(Batters[[#All],[T]],MATCH(Table5[[#This Row],[PID]],Batters[[#All],[PID]],0)),INDEX(Table3[[#All],[T]],MATCH(Table5[[#This Row],[PID]],Table3[[#All],[PID]],0)))</f>
        <v>R</v>
      </c>
      <c r="J253" s="52" t="str">
        <f>IF($C253="B",INDEX(Batters[[#All],[WE]],MATCH(Table5[[#This Row],[PID]],Batters[[#All],[PID]],0)),INDEX(Table3[[#All],[WE]],MATCH(Table5[[#This Row],[PID]],Table3[[#All],[PID]],0)))</f>
        <v>Normal</v>
      </c>
      <c r="K253" s="52" t="str">
        <f>IF($C253="B",INDEX(Batters[[#All],[INT]],MATCH(Table5[[#This Row],[PID]],Batters[[#All],[PID]],0)),INDEX(Table3[[#All],[INT]],MATCH(Table5[[#This Row],[PID]],Table3[[#All],[PID]],0)))</f>
        <v>Normal</v>
      </c>
      <c r="L253" s="60">
        <f>IF($C253="B",INDEX(Batters[[#All],[CON P]],MATCH(Table5[[#This Row],[PID]],Batters[[#All],[PID]],0)),INDEX(Table3[[#All],[STU P]],MATCH(Table5[[#This Row],[PID]],Table3[[#All],[PID]],0)))</f>
        <v>4</v>
      </c>
      <c r="M253" s="56">
        <f>IF($C253="B",INDEX(Batters[[#All],[GAP P]],MATCH(Table5[[#This Row],[PID]],Batters[[#All],[PID]],0)),INDEX(Table3[[#All],[MOV P]],MATCH(Table5[[#This Row],[PID]],Table3[[#All],[PID]],0)))</f>
        <v>4</v>
      </c>
      <c r="N253" s="56">
        <f>IF($C253="B",INDEX(Batters[[#All],[POW P]],MATCH(Table5[[#This Row],[PID]],Batters[[#All],[PID]],0)),INDEX(Table3[[#All],[CON P]],MATCH(Table5[[#This Row],[PID]],Table3[[#All],[PID]],0)))</f>
        <v>3</v>
      </c>
      <c r="O253" s="56">
        <f>IF($C253="B",INDEX(Batters[[#All],[EYE P]],MATCH(Table5[[#This Row],[PID]],Batters[[#All],[PID]],0)),INDEX(Table3[[#All],[VELO]],MATCH(Table5[[#This Row],[PID]],Table3[[#All],[PID]],0)))</f>
        <v>4</v>
      </c>
      <c r="P253" s="56">
        <f>IF($C253="B",INDEX(Batters[[#All],[K P]],MATCH(Table5[[#This Row],[PID]],Batters[[#All],[PID]],0)),INDEX(Table3[[#All],[STM]],MATCH(Table5[[#This Row],[PID]],Table3[[#All],[PID]],0)))</f>
        <v>5</v>
      </c>
      <c r="Q253" s="61">
        <f>IF($C253="B",INDEX(Batters[[#All],[Tot]],MATCH(Table5[[#This Row],[PID]],Batters[[#All],[PID]],0)),INDEX(Table3[[#All],[Tot]],MATCH(Table5[[#This Row],[PID]],Table3[[#All],[PID]],0)))</f>
        <v>45.791466597808146</v>
      </c>
      <c r="R253" s="52">
        <f>IF($C253="B",INDEX(Batters[[#All],[zScore]],MATCH(Table5[[#This Row],[PID]],Batters[[#All],[PID]],0)),INDEX(Table3[[#All],[zScore]],MATCH(Table5[[#This Row],[PID]],Table3[[#All],[PID]],0)))</f>
        <v>0.37557244863252565</v>
      </c>
      <c r="S253" s="58" t="str">
        <f>IF($C253="B",INDEX(Batters[[#All],[DEM]],MATCH(Table5[[#This Row],[PID]],Batters[[#All],[PID]],0)),INDEX(Table3[[#All],[DEM]],MATCH(Table5[[#This Row],[PID]],Table3[[#All],[PID]],0)))</f>
        <v>$200k</v>
      </c>
      <c r="T253" s="62">
        <f>IF($C253="B",INDEX(Batters[[#All],[Rnk]],MATCH(Table5[[#This Row],[PID]],Batters[[#All],[PID]],0)),INDEX(Table3[[#All],[Rnk]],MATCH(Table5[[#This Row],[PID]],Table3[[#All],[PID]],0)))</f>
        <v>900</v>
      </c>
      <c r="U253" s="67">
        <f>IF($C253="B",VLOOKUP($A253,Bat!$A$4:$BA$1314,47,FALSE),VLOOKUP($A253,Pit!$A$4:$BF$1214,56,FALSE))</f>
        <v>143</v>
      </c>
      <c r="V253" s="50">
        <f>IF($C253="B",VLOOKUP($A253,Bat!$A$4:$BA$1314,48,FALSE),VLOOKUP($A253,Pit!$A$4:$BF$1214,57,FALSE))</f>
        <v>0</v>
      </c>
      <c r="W253" s="68">
        <f>IF(Table5[[#This Row],[posRnk]]=999,9999,Table5[[#This Row],[posRnk]]+Table5[[#This Row],[zRnk]]+IF($W$3&lt;&gt;Table5[[#This Row],[Type]],50,0))</f>
        <v>1210</v>
      </c>
      <c r="X253" s="51">
        <f>RANK(Table5[[#This Row],[zScore]],Table5[[#All],[zScore]])</f>
        <v>260</v>
      </c>
      <c r="Y253" s="50">
        <f>IFERROR(INDEX(DraftResults[[#All],[OVR]],MATCH(Table5[[#This Row],[PID]],DraftResults[[#All],[Player ID]],0)),"")</f>
        <v>212</v>
      </c>
      <c r="Z253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7</v>
      </c>
      <c r="AA253" s="50">
        <f>IFERROR(INDEX(DraftResults[[#All],[Pick in Round]],MATCH(Table5[[#This Row],[PID]],DraftResults[[#All],[Player ID]],0)),"")</f>
        <v>11</v>
      </c>
      <c r="AB253" s="50" t="str">
        <f>IFERROR(INDEX(DraftResults[[#All],[Team Name]],MATCH(Table5[[#This Row],[PID]],DraftResults[[#All],[Player ID]],0)),"")</f>
        <v>West Virginia Alleghenies</v>
      </c>
      <c r="AC253" s="50">
        <f>IF(Table5[[#This Row],[Ovr]]="","",IF(Table5[[#This Row],[cmbList]]="","",Table5[[#This Row],[cmbList]]-Table5[[#This Row],[Ovr]]))</f>
        <v>998</v>
      </c>
      <c r="AD253" s="54" t="str">
        <f>IF(ISERROR(VLOOKUP($AB253&amp;"-"&amp;$E253&amp;" "&amp;F253,Bonuses!$B$1:$G$1006,4,FALSE)),"",INT(VLOOKUP($AB253&amp;"-"&amp;$E253&amp;" "&amp;$F253,Bonuses!$B$1:$G$1006,4,FALSE)))</f>
        <v/>
      </c>
      <c r="AE253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7.11 (212) - CF Michael Turner</v>
      </c>
    </row>
    <row r="254" spans="1:31" s="50" customFormat="1" x14ac:dyDescent="0.3">
      <c r="A254" s="67">
        <v>20516</v>
      </c>
      <c r="B254" s="68">
        <f>COUNTIF(Table5[PID],A254)</f>
        <v>1</v>
      </c>
      <c r="C254" s="68" t="str">
        <f>IF(COUNTIF(Table3[[#All],[PID]],A254)&gt;0,"P","B")</f>
        <v>B</v>
      </c>
      <c r="D254" s="59" t="str">
        <f>IF($C254="B",INDEX(Batters[[#All],[POS]],MATCH(Table5[[#This Row],[PID]],Batters[[#All],[PID]],0)),INDEX(Table3[[#All],[POS]],MATCH(Table5[[#This Row],[PID]],Table3[[#All],[PID]],0)))</f>
        <v>2B</v>
      </c>
      <c r="E254" s="52" t="str">
        <f>IF($C254="B",INDEX(Batters[[#All],[First]],MATCH(Table5[[#This Row],[PID]],Batters[[#All],[PID]],0)),INDEX(Table3[[#All],[First]],MATCH(Table5[[#This Row],[PID]],Table3[[#All],[PID]],0)))</f>
        <v>Sinfronio</v>
      </c>
      <c r="F254" s="55" t="str">
        <f>IF($C254="B",INDEX(Batters[[#All],[Last]],MATCH(A254,Batters[[#All],[PID]],0)),INDEX(Table3[[#All],[Last]],MATCH(A254,Table3[[#All],[PID]],0)))</f>
        <v>Mar</v>
      </c>
      <c r="G254" s="56">
        <f>IF($C254="B",INDEX(Batters[[#All],[Age]],MATCH(Table5[[#This Row],[PID]],Batters[[#All],[PID]],0)),INDEX(Table3[[#All],[Age]],MATCH(Table5[[#This Row],[PID]],Table3[[#All],[PID]],0)))</f>
        <v>17</v>
      </c>
      <c r="H254" s="52" t="str">
        <f>IF($C254="B",INDEX(Batters[[#All],[B]],MATCH(Table5[[#This Row],[PID]],Batters[[#All],[PID]],0)),INDEX(Table3[[#All],[B]],MATCH(Table5[[#This Row],[PID]],Table3[[#All],[PID]],0)))</f>
        <v>R</v>
      </c>
      <c r="I254" s="52" t="str">
        <f>IF($C254="B",INDEX(Batters[[#All],[T]],MATCH(Table5[[#This Row],[PID]],Batters[[#All],[PID]],0)),INDEX(Table3[[#All],[T]],MATCH(Table5[[#This Row],[PID]],Table3[[#All],[PID]],0)))</f>
        <v>R</v>
      </c>
      <c r="J254" s="69" t="str">
        <f>IF($C254="B",INDEX(Batters[[#All],[WE]],MATCH(Table5[[#This Row],[PID]],Batters[[#All],[PID]],0)),INDEX(Table3[[#All],[WE]],MATCH(Table5[[#This Row],[PID]],Table3[[#All],[PID]],0)))</f>
        <v>Low</v>
      </c>
      <c r="K254" s="52" t="str">
        <f>IF($C254="B",INDEX(Batters[[#All],[INT]],MATCH(Table5[[#This Row],[PID]],Batters[[#All],[PID]],0)),INDEX(Table3[[#All],[INT]],MATCH(Table5[[#This Row],[PID]],Table3[[#All],[PID]],0)))</f>
        <v>Low</v>
      </c>
      <c r="L254" s="60">
        <f>IF($C254="B",INDEX(Batters[[#All],[CON P]],MATCH(Table5[[#This Row],[PID]],Batters[[#All],[PID]],0)),INDEX(Table3[[#All],[STU P]],MATCH(Table5[[#This Row],[PID]],Table3[[#All],[PID]],0)))</f>
        <v>3</v>
      </c>
      <c r="M254" s="70">
        <f>IF($C254="B",INDEX(Batters[[#All],[GAP P]],MATCH(Table5[[#This Row],[PID]],Batters[[#All],[PID]],0)),INDEX(Table3[[#All],[MOV P]],MATCH(Table5[[#This Row],[PID]],Table3[[#All],[PID]],0)))</f>
        <v>8</v>
      </c>
      <c r="N254" s="70">
        <f>IF($C254="B",INDEX(Batters[[#All],[POW P]],MATCH(Table5[[#This Row],[PID]],Batters[[#All],[PID]],0)),INDEX(Table3[[#All],[CON P]],MATCH(Table5[[#This Row],[PID]],Table3[[#All],[PID]],0)))</f>
        <v>5</v>
      </c>
      <c r="O254" s="70">
        <f>IF($C254="B",INDEX(Batters[[#All],[EYE P]],MATCH(Table5[[#This Row],[PID]],Batters[[#All],[PID]],0)),INDEX(Table3[[#All],[VELO]],MATCH(Table5[[#This Row],[PID]],Table3[[#All],[PID]],0)))</f>
        <v>6</v>
      </c>
      <c r="P254" s="56">
        <f>IF($C254="B",INDEX(Batters[[#All],[K P]],MATCH(Table5[[#This Row],[PID]],Batters[[#All],[PID]],0)),INDEX(Table3[[#All],[STM]],MATCH(Table5[[#This Row],[PID]],Table3[[#All],[PID]],0)))</f>
        <v>4</v>
      </c>
      <c r="Q254" s="61">
        <f>IF($C254="B",INDEX(Batters[[#All],[Tot]],MATCH(Table5[[#This Row],[PID]],Batters[[#All],[PID]],0)),INDEX(Table3[[#All],[Tot]],MATCH(Table5[[#This Row],[PID]],Table3[[#All],[PID]],0)))</f>
        <v>46.966133070334209</v>
      </c>
      <c r="R254" s="52">
        <f>IF($C254="B",INDEX(Batters[[#All],[zScore]],MATCH(Table5[[#This Row],[PID]],Batters[[#All],[PID]],0)),INDEX(Table3[[#All],[zScore]],MATCH(Table5[[#This Row],[PID]],Table3[[#All],[PID]],0)))</f>
        <v>0.54703629309304325</v>
      </c>
      <c r="S254" s="75" t="str">
        <f>IF($C254="B",INDEX(Batters[[#All],[DEM]],MATCH(Table5[[#This Row],[PID]],Batters[[#All],[PID]],0)),INDEX(Table3[[#All],[DEM]],MATCH(Table5[[#This Row],[PID]],Table3[[#All],[PID]],0)))</f>
        <v>$200k</v>
      </c>
      <c r="T254" s="72">
        <f>IF($C254="B",INDEX(Batters[[#All],[Rnk]],MATCH(Table5[[#This Row],[PID]],Batters[[#All],[PID]],0)),INDEX(Table3[[#All],[Rnk]],MATCH(Table5[[#This Row],[PID]],Table3[[#All],[PID]],0)))</f>
        <v>950</v>
      </c>
      <c r="U254" s="67">
        <f>IF($C254="B",VLOOKUP($A254,Bat!$A$4:$BA$1314,47,FALSE),VLOOKUP($A254,Pit!$A$4:$BF$1214,56,FALSE))</f>
        <v>429</v>
      </c>
      <c r="V254" s="50">
        <f>IF($C254="B",VLOOKUP($A254,Bat!$A$4:$BA$1314,48,FALSE),VLOOKUP($A254,Pit!$A$4:$BF$1214,57,FALSE))</f>
        <v>0</v>
      </c>
      <c r="W254" s="68">
        <f>IF(Table5[[#This Row],[posRnk]]=999,9999,Table5[[#This Row],[posRnk]]+Table5[[#This Row],[zRnk]]+IF($W$3&lt;&gt;Table5[[#This Row],[Type]],50,0))</f>
        <v>1213</v>
      </c>
      <c r="X254" s="71">
        <f>RANK(Table5[[#This Row],[zScore]],Table5[[#All],[zScore]])</f>
        <v>213</v>
      </c>
      <c r="Y254" s="68">
        <f>IFERROR(INDEX(DraftResults[[#All],[OVR]],MATCH(Table5[[#This Row],[PID]],DraftResults[[#All],[Player ID]],0)),"")</f>
        <v>198</v>
      </c>
      <c r="Z254" s="7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6</v>
      </c>
      <c r="AA254" s="68">
        <f>IFERROR(INDEX(DraftResults[[#All],[Pick in Round]],MATCH(Table5[[#This Row],[PID]],DraftResults[[#All],[Player ID]],0)),"")</f>
        <v>29</v>
      </c>
      <c r="AB254" s="68" t="str">
        <f>IFERROR(INDEX(DraftResults[[#All],[Team Name]],MATCH(Table5[[#This Row],[PID]],DraftResults[[#All],[Player ID]],0)),"")</f>
        <v>Bakersfield Bears</v>
      </c>
      <c r="AC254" s="68">
        <f>IF(Table5[[#This Row],[Ovr]]="","",IF(Table5[[#This Row],[cmbList]]="","",Table5[[#This Row],[cmbList]]-Table5[[#This Row],[Ovr]]))</f>
        <v>1015</v>
      </c>
      <c r="AD254" s="74" t="str">
        <f>IF(ISERROR(VLOOKUP($AB254&amp;"-"&amp;$E254&amp;" "&amp;F254,Bonuses!$B$1:$G$1006,4,FALSE)),"",INT(VLOOKUP($AB254&amp;"-"&amp;$E254&amp;" "&amp;$F254,Bonuses!$B$1:$G$1006,4,FALSE)))</f>
        <v/>
      </c>
      <c r="AE254" s="68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6.29 (198) - 2B Sinfronio Mar</v>
      </c>
    </row>
    <row r="255" spans="1:31" s="50" customFormat="1" x14ac:dyDescent="0.3">
      <c r="A255" s="50">
        <v>14993</v>
      </c>
      <c r="B255" s="50">
        <f>COUNTIF(Table5[PID],A255)</f>
        <v>1</v>
      </c>
      <c r="C255" s="50" t="str">
        <f>IF(COUNTIF(Table3[[#All],[PID]],A255)&gt;0,"P","B")</f>
        <v>P</v>
      </c>
      <c r="D255" s="59" t="str">
        <f>IF($C255="B",INDEX(Batters[[#All],[POS]],MATCH(Table5[[#This Row],[PID]],Batters[[#All],[PID]],0)),INDEX(Table3[[#All],[POS]],MATCH(Table5[[#This Row],[PID]],Table3[[#All],[PID]],0)))</f>
        <v>SP</v>
      </c>
      <c r="E255" s="52" t="str">
        <f>IF($C255="B",INDEX(Batters[[#All],[First]],MATCH(Table5[[#This Row],[PID]],Batters[[#All],[PID]],0)),INDEX(Table3[[#All],[First]],MATCH(Table5[[#This Row],[PID]],Table3[[#All],[PID]],0)))</f>
        <v>Sugimoto</v>
      </c>
      <c r="F255" s="50" t="str">
        <f>IF($C255="B",INDEX(Batters[[#All],[Last]],MATCH(A255,Batters[[#All],[PID]],0)),INDEX(Table3[[#All],[Last]],MATCH(A255,Table3[[#All],[PID]],0)))</f>
        <v>Nakano</v>
      </c>
      <c r="G255" s="56">
        <f>IF($C255="B",INDEX(Batters[[#All],[Age]],MATCH(Table5[[#This Row],[PID]],Batters[[#All],[PID]],0)),INDEX(Table3[[#All],[Age]],MATCH(Table5[[#This Row],[PID]],Table3[[#All],[PID]],0)))</f>
        <v>21</v>
      </c>
      <c r="H255" s="52" t="str">
        <f>IF($C255="B",INDEX(Batters[[#All],[B]],MATCH(Table5[[#This Row],[PID]],Batters[[#All],[PID]],0)),INDEX(Table3[[#All],[B]],MATCH(Table5[[#This Row],[PID]],Table3[[#All],[PID]],0)))</f>
        <v>S</v>
      </c>
      <c r="I255" s="52" t="str">
        <f>IF($C255="B",INDEX(Batters[[#All],[T]],MATCH(Table5[[#This Row],[PID]],Batters[[#All],[PID]],0)),INDEX(Table3[[#All],[T]],MATCH(Table5[[#This Row],[PID]],Table3[[#All],[PID]],0)))</f>
        <v>R</v>
      </c>
      <c r="J255" s="52" t="str">
        <f>IF($C255="B",INDEX(Batters[[#All],[WE]],MATCH(Table5[[#This Row],[PID]],Batters[[#All],[PID]],0)),INDEX(Table3[[#All],[WE]],MATCH(Table5[[#This Row],[PID]],Table3[[#All],[PID]],0)))</f>
        <v>Normal</v>
      </c>
      <c r="K255" s="52" t="str">
        <f>IF($C255="B",INDEX(Batters[[#All],[INT]],MATCH(Table5[[#This Row],[PID]],Batters[[#All],[PID]],0)),INDEX(Table3[[#All],[INT]],MATCH(Table5[[#This Row],[PID]],Table3[[#All],[PID]],0)))</f>
        <v>Normal</v>
      </c>
      <c r="L255" s="60">
        <f>IF($C255="B",INDEX(Batters[[#All],[CON P]],MATCH(Table5[[#This Row],[PID]],Batters[[#All],[PID]],0)),INDEX(Table3[[#All],[STU P]],MATCH(Table5[[#This Row],[PID]],Table3[[#All],[PID]],0)))</f>
        <v>4</v>
      </c>
      <c r="M255" s="56">
        <f>IF($C255="B",INDEX(Batters[[#All],[GAP P]],MATCH(Table5[[#This Row],[PID]],Batters[[#All],[PID]],0)),INDEX(Table3[[#All],[MOV P]],MATCH(Table5[[#This Row],[PID]],Table3[[#All],[PID]],0)))</f>
        <v>5</v>
      </c>
      <c r="N255" s="56">
        <f>IF($C255="B",INDEX(Batters[[#All],[POW P]],MATCH(Table5[[#This Row],[PID]],Batters[[#All],[PID]],0)),INDEX(Table3[[#All],[CON P]],MATCH(Table5[[#This Row],[PID]],Table3[[#All],[PID]],0)))</f>
        <v>3</v>
      </c>
      <c r="O255" s="56" t="str">
        <f>IF($C255="B",INDEX(Batters[[#All],[EYE P]],MATCH(Table5[[#This Row],[PID]],Batters[[#All],[PID]],0)),INDEX(Table3[[#All],[VELO]],MATCH(Table5[[#This Row],[PID]],Table3[[#All],[PID]],0)))</f>
        <v>94-96 Mph</v>
      </c>
      <c r="P255" s="56">
        <f>IF($C255="B",INDEX(Batters[[#All],[K P]],MATCH(Table5[[#This Row],[PID]],Batters[[#All],[PID]],0)),INDEX(Table3[[#All],[STM]],MATCH(Table5[[#This Row],[PID]],Table3[[#All],[PID]],0)))</f>
        <v>9</v>
      </c>
      <c r="Q255" s="61">
        <f>IF($C255="B",INDEX(Batters[[#All],[Tot]],MATCH(Table5[[#This Row],[PID]],Batters[[#All],[PID]],0)),INDEX(Table3[[#All],[Tot]],MATCH(Table5[[#This Row],[PID]],Table3[[#All],[PID]],0)))</f>
        <v>42.667097818614266</v>
      </c>
      <c r="R255" s="52">
        <f>IF($C255="B",INDEX(Batters[[#All],[zScore]],MATCH(Table5[[#This Row],[PID]],Batters[[#All],[PID]],0)),INDEX(Table3[[#All],[zScore]],MATCH(Table5[[#This Row],[PID]],Table3[[#All],[PID]],0)))</f>
        <v>0.34638769577486017</v>
      </c>
      <c r="S255" s="58" t="str">
        <f>IF($C255="B",INDEX(Batters[[#All],[DEM]],MATCH(Table5[[#This Row],[PID]],Batters[[#All],[PID]],0)),INDEX(Table3[[#All],[DEM]],MATCH(Table5[[#This Row],[PID]],Table3[[#All],[PID]],0)))</f>
        <v>$65k</v>
      </c>
      <c r="T255" s="62">
        <f>IF($C255="B",INDEX(Batters[[#All],[Rnk]],MATCH(Table5[[#This Row],[PID]],Batters[[#All],[PID]],0)),INDEX(Table3[[#All],[Rnk]],MATCH(Table5[[#This Row],[PID]],Table3[[#All],[PID]],0)))</f>
        <v>900</v>
      </c>
      <c r="U255" s="67">
        <f>IF($C255="B",VLOOKUP($A255,Bat!$A$4:$BA$1314,47,FALSE),VLOOKUP($A255,Pit!$A$4:$BF$1214,56,FALSE))</f>
        <v>94</v>
      </c>
      <c r="V255" s="50">
        <f>IF($C255="B",VLOOKUP($A255,Bat!$A$4:$BA$1314,48,FALSE),VLOOKUP($A255,Pit!$A$4:$BF$1214,57,FALSE))</f>
        <v>0</v>
      </c>
      <c r="W255" s="68">
        <f>IF(Table5[[#This Row],[posRnk]]=999,9999,Table5[[#This Row],[posRnk]]+Table5[[#This Row],[zRnk]]+IF($W$3&lt;&gt;Table5[[#This Row],[Type]],50,0))</f>
        <v>1168</v>
      </c>
      <c r="X255" s="51">
        <f>RANK(Table5[[#This Row],[zScore]],Table5[[#All],[zScore]])</f>
        <v>268</v>
      </c>
      <c r="Y255" s="50">
        <f>IFERROR(INDEX(DraftResults[[#All],[OVR]],MATCH(Table5[[#This Row],[PID]],DraftResults[[#All],[Player ID]],0)),"")</f>
        <v>209</v>
      </c>
      <c r="Z255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7</v>
      </c>
      <c r="AA255" s="50">
        <f>IFERROR(INDEX(DraftResults[[#All],[Pick in Round]],MATCH(Table5[[#This Row],[PID]],DraftResults[[#All],[Player ID]],0)),"")</f>
        <v>8</v>
      </c>
      <c r="AB255" s="50" t="str">
        <f>IFERROR(INDEX(DraftResults[[#All],[Team Name]],MATCH(Table5[[#This Row],[PID]],DraftResults[[#All],[Player ID]],0)),"")</f>
        <v>Gloucester Fishermen</v>
      </c>
      <c r="AC255" s="50">
        <f>IF(Table5[[#This Row],[Ovr]]="","",IF(Table5[[#This Row],[cmbList]]="","",Table5[[#This Row],[cmbList]]-Table5[[#This Row],[Ovr]]))</f>
        <v>959</v>
      </c>
      <c r="AD255" s="54" t="str">
        <f>IF(ISERROR(VLOOKUP($AB255&amp;"-"&amp;$E255&amp;" "&amp;F255,Bonuses!$B$1:$G$1006,4,FALSE)),"",INT(VLOOKUP($AB255&amp;"-"&amp;$E255&amp;" "&amp;$F255,Bonuses!$B$1:$G$1006,4,FALSE)))</f>
        <v/>
      </c>
      <c r="AE255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7.8 (209) - SP Sugimoto Nakano</v>
      </c>
    </row>
    <row r="256" spans="1:31" s="50" customFormat="1" x14ac:dyDescent="0.3">
      <c r="A256" s="50">
        <v>12498</v>
      </c>
      <c r="B256" s="50">
        <f>COUNTIF(Table5[PID],A256)</f>
        <v>1</v>
      </c>
      <c r="C256" s="50" t="str">
        <f>IF(COUNTIF(Table3[[#All],[PID]],A256)&gt;0,"P","B")</f>
        <v>B</v>
      </c>
      <c r="D256" s="59" t="str">
        <f>IF($C256="B",INDEX(Batters[[#All],[POS]],MATCH(Table5[[#This Row],[PID]],Batters[[#All],[PID]],0)),INDEX(Table3[[#All],[POS]],MATCH(Table5[[#This Row],[PID]],Table3[[#All],[PID]],0)))</f>
        <v>RF</v>
      </c>
      <c r="E256" s="52" t="str">
        <f>IF($C256="B",INDEX(Batters[[#All],[First]],MATCH(Table5[[#This Row],[PID]],Batters[[#All],[PID]],0)),INDEX(Table3[[#All],[First]],MATCH(Table5[[#This Row],[PID]],Table3[[#All],[PID]],0)))</f>
        <v>Jake</v>
      </c>
      <c r="F256" s="50" t="str">
        <f>IF($C256="B",INDEX(Batters[[#All],[Last]],MATCH(A256,Batters[[#All],[PID]],0)),INDEX(Table3[[#All],[Last]],MATCH(A256,Table3[[#All],[PID]],0)))</f>
        <v>Brown</v>
      </c>
      <c r="G256" s="56">
        <f>IF($C256="B",INDEX(Batters[[#All],[Age]],MATCH(Table5[[#This Row],[PID]],Batters[[#All],[PID]],0)),INDEX(Table3[[#All],[Age]],MATCH(Table5[[#This Row],[PID]],Table3[[#All],[PID]],0)))</f>
        <v>18</v>
      </c>
      <c r="H256" s="52" t="str">
        <f>IF($C256="B",INDEX(Batters[[#All],[B]],MATCH(Table5[[#This Row],[PID]],Batters[[#All],[PID]],0)),INDEX(Table3[[#All],[B]],MATCH(Table5[[#This Row],[PID]],Table3[[#All],[PID]],0)))</f>
        <v>R</v>
      </c>
      <c r="I256" s="52" t="str">
        <f>IF($C256="B",INDEX(Batters[[#All],[T]],MATCH(Table5[[#This Row],[PID]],Batters[[#All],[PID]],0)),INDEX(Table3[[#All],[T]],MATCH(Table5[[#This Row],[PID]],Table3[[#All],[PID]],0)))</f>
        <v>R</v>
      </c>
      <c r="J256" s="52" t="str">
        <f>IF($C256="B",INDEX(Batters[[#All],[WE]],MATCH(Table5[[#This Row],[PID]],Batters[[#All],[PID]],0)),INDEX(Table3[[#All],[WE]],MATCH(Table5[[#This Row],[PID]],Table3[[#All],[PID]],0)))</f>
        <v>Low</v>
      </c>
      <c r="K256" s="52" t="str">
        <f>IF($C256="B",INDEX(Batters[[#All],[INT]],MATCH(Table5[[#This Row],[PID]],Batters[[#All],[PID]],0)),INDEX(Table3[[#All],[INT]],MATCH(Table5[[#This Row],[PID]],Table3[[#All],[PID]],0)))</f>
        <v>Normal</v>
      </c>
      <c r="L256" s="60">
        <f>IF($C256="B",INDEX(Batters[[#All],[CON P]],MATCH(Table5[[#This Row],[PID]],Batters[[#All],[PID]],0)),INDEX(Table3[[#All],[STU P]],MATCH(Table5[[#This Row],[PID]],Table3[[#All],[PID]],0)))</f>
        <v>4</v>
      </c>
      <c r="M256" s="56">
        <f>IF($C256="B",INDEX(Batters[[#All],[GAP P]],MATCH(Table5[[#This Row],[PID]],Batters[[#All],[PID]],0)),INDEX(Table3[[#All],[MOV P]],MATCH(Table5[[#This Row],[PID]],Table3[[#All],[PID]],0)))</f>
        <v>4</v>
      </c>
      <c r="N256" s="56">
        <f>IF($C256="B",INDEX(Batters[[#All],[POW P]],MATCH(Table5[[#This Row],[PID]],Batters[[#All],[PID]],0)),INDEX(Table3[[#All],[CON P]],MATCH(Table5[[#This Row],[PID]],Table3[[#All],[PID]],0)))</f>
        <v>2</v>
      </c>
      <c r="O256" s="56">
        <f>IF($C256="B",INDEX(Batters[[#All],[EYE P]],MATCH(Table5[[#This Row],[PID]],Batters[[#All],[PID]],0)),INDEX(Table3[[#All],[VELO]],MATCH(Table5[[#This Row],[PID]],Table3[[#All],[PID]],0)))</f>
        <v>6</v>
      </c>
      <c r="P256" s="56">
        <f>IF($C256="B",INDEX(Batters[[#All],[K P]],MATCH(Table5[[#This Row],[PID]],Batters[[#All],[PID]],0)),INDEX(Table3[[#All],[STM]],MATCH(Table5[[#This Row],[PID]],Table3[[#All],[PID]],0)))</f>
        <v>5</v>
      </c>
      <c r="Q256" s="61">
        <f>IF($C256="B",INDEX(Batters[[#All],[Tot]],MATCH(Table5[[#This Row],[PID]],Batters[[#All],[PID]],0)),INDEX(Table3[[#All],[Tot]],MATCH(Table5[[#This Row],[PID]],Table3[[#All],[PID]],0)))</f>
        <v>46.306288696706787</v>
      </c>
      <c r="R256" s="52">
        <f>IF($C256="B",INDEX(Batters[[#All],[zScore]],MATCH(Table5[[#This Row],[PID]],Batters[[#All],[PID]],0)),INDEX(Table3[[#All],[zScore]],MATCH(Table5[[#This Row],[PID]],Table3[[#All],[PID]],0)))</f>
        <v>0.45072005721333935</v>
      </c>
      <c r="S256" s="58" t="str">
        <f>IF($C256="B",INDEX(Batters[[#All],[DEM]],MATCH(Table5[[#This Row],[PID]],Batters[[#All],[PID]],0)),INDEX(Table3[[#All],[DEM]],MATCH(Table5[[#This Row],[PID]],Table3[[#All],[PID]],0)))</f>
        <v>$65k</v>
      </c>
      <c r="T256" s="62">
        <f>IF($C256="B",INDEX(Batters[[#All],[Rnk]],MATCH(Table5[[#This Row],[PID]],Batters[[#All],[PID]],0)),INDEX(Table3[[#All],[Rnk]],MATCH(Table5[[#This Row],[PID]],Table3[[#All],[PID]],0)))</f>
        <v>930</v>
      </c>
      <c r="U256" s="67">
        <f>IF($C256="B",VLOOKUP($A256,Bat!$A$4:$BA$1314,47,FALSE),VLOOKUP($A256,Pit!$A$4:$BF$1214,56,FALSE))</f>
        <v>305</v>
      </c>
      <c r="V256" s="50">
        <f>IF($C256="B",VLOOKUP($A256,Bat!$A$4:$BA$1314,48,FALSE),VLOOKUP($A256,Pit!$A$4:$BF$1214,57,FALSE))</f>
        <v>0</v>
      </c>
      <c r="W256" s="68">
        <f>IF(Table5[[#This Row],[posRnk]]=999,9999,Table5[[#This Row],[posRnk]]+Table5[[#This Row],[zRnk]]+IF($W$3&lt;&gt;Table5[[#This Row],[Type]],50,0))</f>
        <v>1219</v>
      </c>
      <c r="X256" s="51">
        <f>RANK(Table5[[#This Row],[zScore]],Table5[[#All],[zScore]])</f>
        <v>239</v>
      </c>
      <c r="Y256" s="50">
        <f>IFERROR(INDEX(DraftResults[[#All],[OVR]],MATCH(Table5[[#This Row],[PID]],DraftResults[[#All],[Player ID]],0)),"")</f>
        <v>527</v>
      </c>
      <c r="Z256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16</v>
      </c>
      <c r="AA256" s="50">
        <f>IFERROR(INDEX(DraftResults[[#All],[Pick in Round]],MATCH(Table5[[#This Row],[PID]],DraftResults[[#All],[Player ID]],0)),"")</f>
        <v>26</v>
      </c>
      <c r="AB256" s="50" t="str">
        <f>IFERROR(INDEX(DraftResults[[#All],[Team Name]],MATCH(Table5[[#This Row],[PID]],DraftResults[[#All],[Player ID]],0)),"")</f>
        <v>Aurora Borealis</v>
      </c>
      <c r="AC256" s="50">
        <f>IF(Table5[[#This Row],[Ovr]]="","",IF(Table5[[#This Row],[cmbList]]="","",Table5[[#This Row],[cmbList]]-Table5[[#This Row],[Ovr]]))</f>
        <v>692</v>
      </c>
      <c r="AD256" s="54" t="str">
        <f>IF(ISERROR(VLOOKUP($AB256&amp;"-"&amp;$E256&amp;" "&amp;F256,Bonuses!$B$1:$G$1006,4,FALSE)),"",INT(VLOOKUP($AB256&amp;"-"&amp;$E256&amp;" "&amp;$F256,Bonuses!$B$1:$G$1006,4,FALSE)))</f>
        <v/>
      </c>
      <c r="AE256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16.26 (527) - RF Jake Brown</v>
      </c>
    </row>
    <row r="257" spans="1:31" s="50" customFormat="1" x14ac:dyDescent="0.3">
      <c r="A257" s="50">
        <v>12530</v>
      </c>
      <c r="B257" s="50">
        <f>COUNTIF(Table5[PID],A257)</f>
        <v>1</v>
      </c>
      <c r="C257" s="50" t="str">
        <f>IF(COUNTIF(Table3[[#All],[PID]],A257)&gt;0,"P","B")</f>
        <v>B</v>
      </c>
      <c r="D257" s="59" t="str">
        <f>IF($C257="B",INDEX(Batters[[#All],[POS]],MATCH(Table5[[#This Row],[PID]],Batters[[#All],[PID]],0)),INDEX(Table3[[#All],[POS]],MATCH(Table5[[#This Row],[PID]],Table3[[#All],[PID]],0)))</f>
        <v>1B</v>
      </c>
      <c r="E257" s="52" t="str">
        <f>IF($C257="B",INDEX(Batters[[#All],[First]],MATCH(Table5[[#This Row],[PID]],Batters[[#All],[PID]],0)),INDEX(Table3[[#All],[First]],MATCH(Table5[[#This Row],[PID]],Table3[[#All],[PID]],0)))</f>
        <v>Rob</v>
      </c>
      <c r="F257" s="50" t="str">
        <f>IF($C257="B",INDEX(Batters[[#All],[Last]],MATCH(A257,Batters[[#All],[PID]],0)),INDEX(Table3[[#All],[Last]],MATCH(A257,Table3[[#All],[PID]],0)))</f>
        <v>Thurman</v>
      </c>
      <c r="G257" s="56">
        <f>IF($C257="B",INDEX(Batters[[#All],[Age]],MATCH(Table5[[#This Row],[PID]],Batters[[#All],[PID]],0)),INDEX(Table3[[#All],[Age]],MATCH(Table5[[#This Row],[PID]],Table3[[#All],[PID]],0)))</f>
        <v>17</v>
      </c>
      <c r="H257" s="52" t="str">
        <f>IF($C257="B",INDEX(Batters[[#All],[B]],MATCH(Table5[[#This Row],[PID]],Batters[[#All],[PID]],0)),INDEX(Table3[[#All],[B]],MATCH(Table5[[#This Row],[PID]],Table3[[#All],[PID]],0)))</f>
        <v>R</v>
      </c>
      <c r="I257" s="52" t="str">
        <f>IF($C257="B",INDEX(Batters[[#All],[T]],MATCH(Table5[[#This Row],[PID]],Batters[[#All],[PID]],0)),INDEX(Table3[[#All],[T]],MATCH(Table5[[#This Row],[PID]],Table3[[#All],[PID]],0)))</f>
        <v>R</v>
      </c>
      <c r="J257" s="52" t="str">
        <f>IF($C257="B",INDEX(Batters[[#All],[WE]],MATCH(Table5[[#This Row],[PID]],Batters[[#All],[PID]],0)),INDEX(Table3[[#All],[WE]],MATCH(Table5[[#This Row],[PID]],Table3[[#All],[PID]],0)))</f>
        <v>Normal</v>
      </c>
      <c r="K257" s="52" t="str">
        <f>IF($C257="B",INDEX(Batters[[#All],[INT]],MATCH(Table5[[#This Row],[PID]],Batters[[#All],[PID]],0)),INDEX(Table3[[#All],[INT]],MATCH(Table5[[#This Row],[PID]],Table3[[#All],[PID]],0)))</f>
        <v>Normal</v>
      </c>
      <c r="L257" s="60">
        <f>IF($C257="B",INDEX(Batters[[#All],[CON P]],MATCH(Table5[[#This Row],[PID]],Batters[[#All],[PID]],0)),INDEX(Table3[[#All],[STU P]],MATCH(Table5[[#This Row],[PID]],Table3[[#All],[PID]],0)))</f>
        <v>3</v>
      </c>
      <c r="M257" s="56">
        <f>IF($C257="B",INDEX(Batters[[#All],[GAP P]],MATCH(Table5[[#This Row],[PID]],Batters[[#All],[PID]],0)),INDEX(Table3[[#All],[MOV P]],MATCH(Table5[[#This Row],[PID]],Table3[[#All],[PID]],0)))</f>
        <v>6</v>
      </c>
      <c r="N257" s="56">
        <f>IF($C257="B",INDEX(Batters[[#All],[POW P]],MATCH(Table5[[#This Row],[PID]],Batters[[#All],[PID]],0)),INDEX(Table3[[#All],[CON P]],MATCH(Table5[[#This Row],[PID]],Table3[[#All],[PID]],0)))</f>
        <v>5</v>
      </c>
      <c r="O257" s="56">
        <f>IF($C257="B",INDEX(Batters[[#All],[EYE P]],MATCH(Table5[[#This Row],[PID]],Batters[[#All],[PID]],0)),INDEX(Table3[[#All],[VELO]],MATCH(Table5[[#This Row],[PID]],Table3[[#All],[PID]],0)))</f>
        <v>6</v>
      </c>
      <c r="P257" s="56">
        <f>IF($C257="B",INDEX(Batters[[#All],[K P]],MATCH(Table5[[#This Row],[PID]],Batters[[#All],[PID]],0)),INDEX(Table3[[#All],[STM]],MATCH(Table5[[#This Row],[PID]],Table3[[#All],[PID]],0)))</f>
        <v>2</v>
      </c>
      <c r="Q257" s="61">
        <f>IF($C257="B",INDEX(Batters[[#All],[Tot]],MATCH(Table5[[#This Row],[PID]],Batters[[#All],[PID]],0)),INDEX(Table3[[#All],[Tot]],MATCH(Table5[[#This Row],[PID]],Table3[[#All],[PID]],0)))</f>
        <v>45.492942232293181</v>
      </c>
      <c r="R257" s="52">
        <f>IF($C257="B",INDEX(Batters[[#All],[zScore]],MATCH(Table5[[#This Row],[PID]],Batters[[#All],[PID]],0)),INDEX(Table3[[#All],[zScore]],MATCH(Table5[[#This Row],[PID]],Table3[[#All],[PID]],0)))</f>
        <v>0.33199741131469079</v>
      </c>
      <c r="S257" s="58" t="str">
        <f>IF($C257="B",INDEX(Batters[[#All],[DEM]],MATCH(Table5[[#This Row],[PID]],Batters[[#All],[PID]],0)),INDEX(Table3[[#All],[DEM]],MATCH(Table5[[#This Row],[PID]],Table3[[#All],[PID]],0)))</f>
        <v>$65k</v>
      </c>
      <c r="T257" s="62">
        <f>IF($C257="B",INDEX(Batters[[#All],[Rnk]],MATCH(Table5[[#This Row],[PID]],Batters[[#All],[PID]],0)),INDEX(Table3[[#All],[Rnk]],MATCH(Table5[[#This Row],[PID]],Table3[[#All],[PID]],0)))</f>
        <v>900</v>
      </c>
      <c r="U257" s="67">
        <f>IF($C257="B",VLOOKUP($A257,Bat!$A$4:$BA$1314,47,FALSE),VLOOKUP($A257,Pit!$A$4:$BF$1214,56,FALSE))</f>
        <v>144</v>
      </c>
      <c r="V257" s="50">
        <f>IF($C257="B",VLOOKUP($A257,Bat!$A$4:$BA$1314,48,FALSE),VLOOKUP($A257,Pit!$A$4:$BF$1214,57,FALSE))</f>
        <v>0</v>
      </c>
      <c r="W257" s="68">
        <f>IF(Table5[[#This Row],[posRnk]]=999,9999,Table5[[#This Row],[posRnk]]+Table5[[#This Row],[zRnk]]+IF($W$3&lt;&gt;Table5[[#This Row],[Type]],50,0))</f>
        <v>1222</v>
      </c>
      <c r="X257" s="51">
        <f>RANK(Table5[[#This Row],[zScore]],Table5[[#All],[zScore]])</f>
        <v>272</v>
      </c>
      <c r="Y257" s="50">
        <f>IFERROR(INDEX(DraftResults[[#All],[OVR]],MATCH(Table5[[#This Row],[PID]],DraftResults[[#All],[Player ID]],0)),"")</f>
        <v>529</v>
      </c>
      <c r="Z257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16</v>
      </c>
      <c r="AA257" s="50">
        <f>IFERROR(INDEX(DraftResults[[#All],[Pick in Round]],MATCH(Table5[[#This Row],[PID]],DraftResults[[#All],[Player ID]],0)),"")</f>
        <v>28</v>
      </c>
      <c r="AB257" s="50" t="str">
        <f>IFERROR(INDEX(DraftResults[[#All],[Team Name]],MATCH(Table5[[#This Row],[PID]],DraftResults[[#All],[Player ID]],0)),"")</f>
        <v>Amsterdam Lions</v>
      </c>
      <c r="AC257" s="50">
        <f>IF(Table5[[#This Row],[Ovr]]="","",IF(Table5[[#This Row],[cmbList]]="","",Table5[[#This Row],[cmbList]]-Table5[[#This Row],[Ovr]]))</f>
        <v>693</v>
      </c>
      <c r="AD257" s="54" t="str">
        <f>IF(ISERROR(VLOOKUP($AB257&amp;"-"&amp;$E257&amp;" "&amp;F257,Bonuses!$B$1:$G$1006,4,FALSE)),"",INT(VLOOKUP($AB257&amp;"-"&amp;$E257&amp;" "&amp;$F257,Bonuses!$B$1:$G$1006,4,FALSE)))</f>
        <v/>
      </c>
      <c r="AE257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16.28 (529) - 1B Rob Thurman</v>
      </c>
    </row>
    <row r="258" spans="1:31" s="50" customFormat="1" x14ac:dyDescent="0.3">
      <c r="A258" s="50">
        <v>11238</v>
      </c>
      <c r="B258" s="50">
        <f>COUNTIF(Table5[PID],A258)</f>
        <v>1</v>
      </c>
      <c r="C258" s="50" t="str">
        <f>IF(COUNTIF(Table3[[#All],[PID]],A258)&gt;0,"P","B")</f>
        <v>B</v>
      </c>
      <c r="D258" s="59" t="str">
        <f>IF($C258="B",INDEX(Batters[[#All],[POS]],MATCH(Table5[[#This Row],[PID]],Batters[[#All],[PID]],0)),INDEX(Table3[[#All],[POS]],MATCH(Table5[[#This Row],[PID]],Table3[[#All],[PID]],0)))</f>
        <v>C</v>
      </c>
      <c r="E258" s="52" t="str">
        <f>IF($C258="B",INDEX(Batters[[#All],[First]],MATCH(Table5[[#This Row],[PID]],Batters[[#All],[PID]],0)),INDEX(Table3[[#All],[First]],MATCH(Table5[[#This Row],[PID]],Table3[[#All],[PID]],0)))</f>
        <v>Henry</v>
      </c>
      <c r="F258" s="50" t="str">
        <f>IF($C258="B",INDEX(Batters[[#All],[Last]],MATCH(A258,Batters[[#All],[PID]],0)),INDEX(Table3[[#All],[Last]],MATCH(A258,Table3[[#All],[PID]],0)))</f>
        <v>Bojórquez</v>
      </c>
      <c r="G258" s="56">
        <f>IF($C258="B",INDEX(Batters[[#All],[Age]],MATCH(Table5[[#This Row],[PID]],Batters[[#All],[PID]],0)),INDEX(Table3[[#All],[Age]],MATCH(Table5[[#This Row],[PID]],Table3[[#All],[PID]],0)))</f>
        <v>18</v>
      </c>
      <c r="H258" s="52" t="str">
        <f>IF($C258="B",INDEX(Batters[[#All],[B]],MATCH(Table5[[#This Row],[PID]],Batters[[#All],[PID]],0)),INDEX(Table3[[#All],[B]],MATCH(Table5[[#This Row],[PID]],Table3[[#All],[PID]],0)))</f>
        <v>S</v>
      </c>
      <c r="I258" s="52" t="str">
        <f>IF($C258="B",INDEX(Batters[[#All],[T]],MATCH(Table5[[#This Row],[PID]],Batters[[#All],[PID]],0)),INDEX(Table3[[#All],[T]],MATCH(Table5[[#This Row],[PID]],Table3[[#All],[PID]],0)))</f>
        <v>R</v>
      </c>
      <c r="J258" s="52" t="str">
        <f>IF($C258="B",INDEX(Batters[[#All],[WE]],MATCH(Table5[[#This Row],[PID]],Batters[[#All],[PID]],0)),INDEX(Table3[[#All],[WE]],MATCH(Table5[[#This Row],[PID]],Table3[[#All],[PID]],0)))</f>
        <v>Normal</v>
      </c>
      <c r="K258" s="52" t="str">
        <f>IF($C258="B",INDEX(Batters[[#All],[INT]],MATCH(Table5[[#This Row],[PID]],Batters[[#All],[PID]],0)),INDEX(Table3[[#All],[INT]],MATCH(Table5[[#This Row],[PID]],Table3[[#All],[PID]],0)))</f>
        <v>Normal</v>
      </c>
      <c r="L258" s="60">
        <f>IF($C258="B",INDEX(Batters[[#All],[CON P]],MATCH(Table5[[#This Row],[PID]],Batters[[#All],[PID]],0)),INDEX(Table3[[#All],[STU P]],MATCH(Table5[[#This Row],[PID]],Table3[[#All],[PID]],0)))</f>
        <v>4</v>
      </c>
      <c r="M258" s="56">
        <f>IF($C258="B",INDEX(Batters[[#All],[GAP P]],MATCH(Table5[[#This Row],[PID]],Batters[[#All],[PID]],0)),INDEX(Table3[[#All],[MOV P]],MATCH(Table5[[#This Row],[PID]],Table3[[#All],[PID]],0)))</f>
        <v>6</v>
      </c>
      <c r="N258" s="56">
        <f>IF($C258="B",INDEX(Batters[[#All],[POW P]],MATCH(Table5[[#This Row],[PID]],Batters[[#All],[PID]],0)),INDEX(Table3[[#All],[CON P]],MATCH(Table5[[#This Row],[PID]],Table3[[#All],[PID]],0)))</f>
        <v>3</v>
      </c>
      <c r="O258" s="56">
        <f>IF($C258="B",INDEX(Batters[[#All],[EYE P]],MATCH(Table5[[#This Row],[PID]],Batters[[#All],[PID]],0)),INDEX(Table3[[#All],[VELO]],MATCH(Table5[[#This Row],[PID]],Table3[[#All],[PID]],0)))</f>
        <v>2</v>
      </c>
      <c r="P258" s="56">
        <f>IF($C258="B",INDEX(Batters[[#All],[K P]],MATCH(Table5[[#This Row],[PID]],Batters[[#All],[PID]],0)),INDEX(Table3[[#All],[STM]],MATCH(Table5[[#This Row],[PID]],Table3[[#All],[PID]],0)))</f>
        <v>7</v>
      </c>
      <c r="Q258" s="61">
        <f>IF($C258="B",INDEX(Batters[[#All],[Tot]],MATCH(Table5[[#This Row],[PID]],Batters[[#All],[PID]],0)),INDEX(Table3[[#All],[Tot]],MATCH(Table5[[#This Row],[PID]],Table3[[#All],[PID]],0)))</f>
        <v>45.436738298294756</v>
      </c>
      <c r="R258" s="52">
        <f>IF($C258="B",INDEX(Batters[[#All],[zScore]],MATCH(Table5[[#This Row],[PID]],Batters[[#All],[PID]],0)),INDEX(Table3[[#All],[zScore]],MATCH(Table5[[#This Row],[PID]],Table3[[#All],[PID]],0)))</f>
        <v>0.3237934293142074</v>
      </c>
      <c r="S258" s="58" t="str">
        <f>IF($C258="B",INDEX(Batters[[#All],[DEM]],MATCH(Table5[[#This Row],[PID]],Batters[[#All],[PID]],0)),INDEX(Table3[[#All],[DEM]],MATCH(Table5[[#This Row],[PID]],Table3[[#All],[PID]],0)))</f>
        <v>$200k</v>
      </c>
      <c r="T258" s="62">
        <f>IF($C258="B",INDEX(Batters[[#All],[Rnk]],MATCH(Table5[[#This Row],[PID]],Batters[[#All],[PID]],0)),INDEX(Table3[[#All],[Rnk]],MATCH(Table5[[#This Row],[PID]],Table3[[#All],[PID]],0)))</f>
        <v>900</v>
      </c>
      <c r="U258" s="67">
        <f>IF($C258="B",VLOOKUP($A258,Bat!$A$4:$BA$1314,47,FALSE),VLOOKUP($A258,Pit!$A$4:$BF$1214,56,FALSE))</f>
        <v>145</v>
      </c>
      <c r="V258" s="50">
        <f>IF($C258="B",VLOOKUP($A258,Bat!$A$4:$BA$1314,48,FALSE),VLOOKUP($A258,Pit!$A$4:$BF$1214,57,FALSE))</f>
        <v>0</v>
      </c>
      <c r="W258" s="68">
        <f>IF(Table5[[#This Row],[posRnk]]=999,9999,Table5[[#This Row],[posRnk]]+Table5[[#This Row],[zRnk]]+IF($W$3&lt;&gt;Table5[[#This Row],[Type]],50,0))</f>
        <v>1223</v>
      </c>
      <c r="X258" s="51">
        <f>RANK(Table5[[#This Row],[zScore]],Table5[[#All],[zScore]])</f>
        <v>273</v>
      </c>
      <c r="Y258" s="50">
        <f>IFERROR(INDEX(DraftResults[[#All],[OVR]],MATCH(Table5[[#This Row],[PID]],DraftResults[[#All],[Player ID]],0)),"")</f>
        <v>600</v>
      </c>
      <c r="Z258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18</v>
      </c>
      <c r="AA258" s="50">
        <f>IFERROR(INDEX(DraftResults[[#All],[Pick in Round]],MATCH(Table5[[#This Row],[PID]],DraftResults[[#All],[Player ID]],0)),"")</f>
        <v>31</v>
      </c>
      <c r="AB258" s="50" t="str">
        <f>IFERROR(INDEX(DraftResults[[#All],[Team Name]],MATCH(Table5[[#This Row],[PID]],DraftResults[[#All],[Player ID]],0)),"")</f>
        <v>West Virginia Alleghenies</v>
      </c>
      <c r="AC258" s="50">
        <f>IF(Table5[[#This Row],[Ovr]]="","",IF(Table5[[#This Row],[cmbList]]="","",Table5[[#This Row],[cmbList]]-Table5[[#This Row],[Ovr]]))</f>
        <v>623</v>
      </c>
      <c r="AD258" s="54" t="str">
        <f>IF(ISERROR(VLOOKUP($AB258&amp;"-"&amp;$E258&amp;" "&amp;F258,Bonuses!$B$1:$G$1006,4,FALSE)),"",INT(VLOOKUP($AB258&amp;"-"&amp;$E258&amp;" "&amp;$F258,Bonuses!$B$1:$G$1006,4,FALSE)))</f>
        <v/>
      </c>
      <c r="AE258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18.31 (600) - C Henry Bojórquez</v>
      </c>
    </row>
    <row r="259" spans="1:31" s="50" customFormat="1" x14ac:dyDescent="0.3">
      <c r="A259" s="67">
        <v>21019</v>
      </c>
      <c r="B259" s="68">
        <f>COUNTIF(Table5[PID],A259)</f>
        <v>1</v>
      </c>
      <c r="C259" s="68" t="str">
        <f>IF(COUNTIF(Table3[[#All],[PID]],A259)&gt;0,"P","B")</f>
        <v>B</v>
      </c>
      <c r="D259" s="59" t="str">
        <f>IF($C259="B",INDEX(Batters[[#All],[POS]],MATCH(Table5[[#This Row],[PID]],Batters[[#All],[PID]],0)),INDEX(Table3[[#All],[POS]],MATCH(Table5[[#This Row],[PID]],Table3[[#All],[PID]],0)))</f>
        <v>LF</v>
      </c>
      <c r="E259" s="52" t="str">
        <f>IF($C259="B",INDEX(Batters[[#All],[First]],MATCH(Table5[[#This Row],[PID]],Batters[[#All],[PID]],0)),INDEX(Table3[[#All],[First]],MATCH(Table5[[#This Row],[PID]],Table3[[#All],[PID]],0)))</f>
        <v>Domingo</v>
      </c>
      <c r="F259" s="55" t="str">
        <f>IF($C259="B",INDEX(Batters[[#All],[Last]],MATCH(A259,Batters[[#All],[PID]],0)),INDEX(Table3[[#All],[Last]],MATCH(A259,Table3[[#All],[PID]],0)))</f>
        <v>González</v>
      </c>
      <c r="G259" s="56">
        <f>IF($C259="B",INDEX(Batters[[#All],[Age]],MATCH(Table5[[#This Row],[PID]],Batters[[#All],[PID]],0)),INDEX(Table3[[#All],[Age]],MATCH(Table5[[#This Row],[PID]],Table3[[#All],[PID]],0)))</f>
        <v>17</v>
      </c>
      <c r="H259" s="52" t="str">
        <f>IF($C259="B",INDEX(Batters[[#All],[B]],MATCH(Table5[[#This Row],[PID]],Batters[[#All],[PID]],0)),INDEX(Table3[[#All],[B]],MATCH(Table5[[#This Row],[PID]],Table3[[#All],[PID]],0)))</f>
        <v>R</v>
      </c>
      <c r="I259" s="52" t="str">
        <f>IF($C259="B",INDEX(Batters[[#All],[T]],MATCH(Table5[[#This Row],[PID]],Batters[[#All],[PID]],0)),INDEX(Table3[[#All],[T]],MATCH(Table5[[#This Row],[PID]],Table3[[#All],[PID]],0)))</f>
        <v>R</v>
      </c>
      <c r="J259" s="69" t="str">
        <f>IF($C259="B",INDEX(Batters[[#All],[WE]],MATCH(Table5[[#This Row],[PID]],Batters[[#All],[PID]],0)),INDEX(Table3[[#All],[WE]],MATCH(Table5[[#This Row],[PID]],Table3[[#All],[PID]],0)))</f>
        <v>Normal</v>
      </c>
      <c r="K259" s="52" t="str">
        <f>IF($C259="B",INDEX(Batters[[#All],[INT]],MATCH(Table5[[#This Row],[PID]],Batters[[#All],[PID]],0)),INDEX(Table3[[#All],[INT]],MATCH(Table5[[#This Row],[PID]],Table3[[#All],[PID]],0)))</f>
        <v>Normal</v>
      </c>
      <c r="L259" s="60">
        <f>IF($C259="B",INDEX(Batters[[#All],[CON P]],MATCH(Table5[[#This Row],[PID]],Batters[[#All],[PID]],0)),INDEX(Table3[[#All],[STU P]],MATCH(Table5[[#This Row],[PID]],Table3[[#All],[PID]],0)))</f>
        <v>3</v>
      </c>
      <c r="M259" s="70">
        <f>IF($C259="B",INDEX(Batters[[#All],[GAP P]],MATCH(Table5[[#This Row],[PID]],Batters[[#All],[PID]],0)),INDEX(Table3[[#All],[MOV P]],MATCH(Table5[[#This Row],[PID]],Table3[[#All],[PID]],0)))</f>
        <v>5</v>
      </c>
      <c r="N259" s="70">
        <f>IF($C259="B",INDEX(Batters[[#All],[POW P]],MATCH(Table5[[#This Row],[PID]],Batters[[#All],[PID]],0)),INDEX(Table3[[#All],[CON P]],MATCH(Table5[[#This Row],[PID]],Table3[[#All],[PID]],0)))</f>
        <v>6</v>
      </c>
      <c r="O259" s="70">
        <f>IF($C259="B",INDEX(Batters[[#All],[EYE P]],MATCH(Table5[[#This Row],[PID]],Batters[[#All],[PID]],0)),INDEX(Table3[[#All],[VELO]],MATCH(Table5[[#This Row],[PID]],Table3[[#All],[PID]],0)))</f>
        <v>5</v>
      </c>
      <c r="P259" s="56">
        <f>IF($C259="B",INDEX(Batters[[#All],[K P]],MATCH(Table5[[#This Row],[PID]],Batters[[#All],[PID]],0)),INDEX(Table3[[#All],[STM]],MATCH(Table5[[#This Row],[PID]],Table3[[#All],[PID]],0)))</f>
        <v>3</v>
      </c>
      <c r="Q259" s="61">
        <f>IF($C259="B",INDEX(Batters[[#All],[Tot]],MATCH(Table5[[#This Row],[PID]],Batters[[#All],[PID]],0)),INDEX(Table3[[#All],[Tot]],MATCH(Table5[[#This Row],[PID]],Table3[[#All],[PID]],0)))</f>
        <v>45.424261851548465</v>
      </c>
      <c r="R259" s="52">
        <f>IF($C259="B",INDEX(Batters[[#All],[zScore]],MATCH(Table5[[#This Row],[PID]],Batters[[#All],[PID]],0)),INDEX(Table3[[#All],[zScore]],MATCH(Table5[[#This Row],[PID]],Table3[[#All],[PID]],0)))</f>
        <v>0.32197226596753792</v>
      </c>
      <c r="S259" s="75" t="str">
        <f>IF($C259="B",INDEX(Batters[[#All],[DEM]],MATCH(Table5[[#This Row],[PID]],Batters[[#All],[PID]],0)),INDEX(Table3[[#All],[DEM]],MATCH(Table5[[#This Row],[PID]],Table3[[#All],[PID]],0)))</f>
        <v>$190k</v>
      </c>
      <c r="T259" s="72">
        <f>IF($C259="B",INDEX(Batters[[#All],[Rnk]],MATCH(Table5[[#This Row],[PID]],Batters[[#All],[PID]],0)),INDEX(Table3[[#All],[Rnk]],MATCH(Table5[[#This Row],[PID]],Table3[[#All],[PID]],0)))</f>
        <v>900</v>
      </c>
      <c r="U259" s="67">
        <f>IF($C259="B",VLOOKUP($A259,Bat!$A$4:$BA$1314,47,FALSE),VLOOKUP($A259,Pit!$A$4:$BF$1214,56,FALSE))</f>
        <v>146</v>
      </c>
      <c r="V259" s="50">
        <f>IF($C259="B",VLOOKUP($A259,Bat!$A$4:$BA$1314,48,FALSE),VLOOKUP($A259,Pit!$A$4:$BF$1214,57,FALSE))</f>
        <v>0</v>
      </c>
      <c r="W259" s="68">
        <f>IF(Table5[[#This Row],[posRnk]]=999,9999,Table5[[#This Row],[posRnk]]+Table5[[#This Row],[zRnk]]+IF($W$3&lt;&gt;Table5[[#This Row],[Type]],50,0))</f>
        <v>1224</v>
      </c>
      <c r="X259" s="71">
        <f>RANK(Table5[[#This Row],[zScore]],Table5[[#All],[zScore]])</f>
        <v>274</v>
      </c>
      <c r="Y259" s="68">
        <f>IFERROR(INDEX(DraftResults[[#All],[OVR]],MATCH(Table5[[#This Row],[PID]],DraftResults[[#All],[Player ID]],0)),"")</f>
        <v>300</v>
      </c>
      <c r="Z259" s="7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10</v>
      </c>
      <c r="AA259" s="68">
        <f>IFERROR(INDEX(DraftResults[[#All],[Pick in Round]],MATCH(Table5[[#This Row],[PID]],DraftResults[[#All],[Player ID]],0)),"")</f>
        <v>3</v>
      </c>
      <c r="AB259" s="68" t="str">
        <f>IFERROR(INDEX(DraftResults[[#All],[Team Name]],MATCH(Table5[[#This Row],[PID]],DraftResults[[#All],[Player ID]],0)),"")</f>
        <v>Okinawa Shisa</v>
      </c>
      <c r="AC259" s="68">
        <f>IF(Table5[[#This Row],[Ovr]]="","",IF(Table5[[#This Row],[cmbList]]="","",Table5[[#This Row],[cmbList]]-Table5[[#This Row],[Ovr]]))</f>
        <v>924</v>
      </c>
      <c r="AD259" s="74" t="str">
        <f>IF(ISERROR(VLOOKUP($AB259&amp;"-"&amp;$E259&amp;" "&amp;F259,Bonuses!$B$1:$G$1006,4,FALSE)),"",INT(VLOOKUP($AB259&amp;"-"&amp;$E259&amp;" "&amp;$F259,Bonuses!$B$1:$G$1006,4,FALSE)))</f>
        <v/>
      </c>
      <c r="AE259" s="68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10.3 (300) - LF Domingo González</v>
      </c>
    </row>
    <row r="260" spans="1:31" s="50" customFormat="1" x14ac:dyDescent="0.3">
      <c r="A260" s="50">
        <v>13248</v>
      </c>
      <c r="B260" s="50">
        <f>COUNTIF(Table5[PID],A260)</f>
        <v>1</v>
      </c>
      <c r="C260" s="50" t="str">
        <f>IF(COUNTIF(Table3[[#All],[PID]],A260)&gt;0,"P","B")</f>
        <v>B</v>
      </c>
      <c r="D260" s="59" t="str">
        <f>IF($C260="B",INDEX(Batters[[#All],[POS]],MATCH(Table5[[#This Row],[PID]],Batters[[#All],[PID]],0)),INDEX(Table3[[#All],[POS]],MATCH(Table5[[#This Row],[PID]],Table3[[#All],[PID]],0)))</f>
        <v>LF</v>
      </c>
      <c r="E260" s="52" t="str">
        <f>IF($C260="B",INDEX(Batters[[#All],[First]],MATCH(Table5[[#This Row],[PID]],Batters[[#All],[PID]],0)),INDEX(Table3[[#All],[First]],MATCH(Table5[[#This Row],[PID]],Table3[[#All],[PID]],0)))</f>
        <v>Yosuke</v>
      </c>
      <c r="F260" s="50" t="str">
        <f>IF($C260="B",INDEX(Batters[[#All],[Last]],MATCH(A260,Batters[[#All],[PID]],0)),INDEX(Table3[[#All],[Last]],MATCH(A260,Table3[[#All],[PID]],0)))</f>
        <v>Onishi</v>
      </c>
      <c r="G260" s="56">
        <f>IF($C260="B",INDEX(Batters[[#All],[Age]],MATCH(Table5[[#This Row],[PID]],Batters[[#All],[PID]],0)),INDEX(Table3[[#All],[Age]],MATCH(Table5[[#This Row],[PID]],Table3[[#All],[PID]],0)))</f>
        <v>17</v>
      </c>
      <c r="H260" s="52" t="str">
        <f>IF($C260="B",INDEX(Batters[[#All],[B]],MATCH(Table5[[#This Row],[PID]],Batters[[#All],[PID]],0)),INDEX(Table3[[#All],[B]],MATCH(Table5[[#This Row],[PID]],Table3[[#All],[PID]],0)))</f>
        <v>R</v>
      </c>
      <c r="I260" s="52" t="str">
        <f>IF($C260="B",INDEX(Batters[[#All],[T]],MATCH(Table5[[#This Row],[PID]],Batters[[#All],[PID]],0)),INDEX(Table3[[#All],[T]],MATCH(Table5[[#This Row],[PID]],Table3[[#All],[PID]],0)))</f>
        <v>R</v>
      </c>
      <c r="J260" s="52" t="str">
        <f>IF($C260="B",INDEX(Batters[[#All],[WE]],MATCH(Table5[[#This Row],[PID]],Batters[[#All],[PID]],0)),INDEX(Table3[[#All],[WE]],MATCH(Table5[[#This Row],[PID]],Table3[[#All],[PID]],0)))</f>
        <v>Normal</v>
      </c>
      <c r="K260" s="52" t="str">
        <f>IF($C260="B",INDEX(Batters[[#All],[INT]],MATCH(Table5[[#This Row],[PID]],Batters[[#All],[PID]],0)),INDEX(Table3[[#All],[INT]],MATCH(Table5[[#This Row],[PID]],Table3[[#All],[PID]],0)))</f>
        <v>Normal</v>
      </c>
      <c r="L260" s="60">
        <f>IF($C260="B",INDEX(Batters[[#All],[CON P]],MATCH(Table5[[#This Row],[PID]],Batters[[#All],[PID]],0)),INDEX(Table3[[#All],[STU P]],MATCH(Table5[[#This Row],[PID]],Table3[[#All],[PID]],0)))</f>
        <v>4</v>
      </c>
      <c r="M260" s="56">
        <f>IF($C260="B",INDEX(Batters[[#All],[GAP P]],MATCH(Table5[[#This Row],[PID]],Batters[[#All],[PID]],0)),INDEX(Table3[[#All],[MOV P]],MATCH(Table5[[#This Row],[PID]],Table3[[#All],[PID]],0)))</f>
        <v>4</v>
      </c>
      <c r="N260" s="56">
        <f>IF($C260="B",INDEX(Batters[[#All],[POW P]],MATCH(Table5[[#This Row],[PID]],Batters[[#All],[PID]],0)),INDEX(Table3[[#All],[CON P]],MATCH(Table5[[#This Row],[PID]],Table3[[#All],[PID]],0)))</f>
        <v>2</v>
      </c>
      <c r="O260" s="56">
        <f>IF($C260="B",INDEX(Batters[[#All],[EYE P]],MATCH(Table5[[#This Row],[PID]],Batters[[#All],[PID]],0)),INDEX(Table3[[#All],[VELO]],MATCH(Table5[[#This Row],[PID]],Table3[[#All],[PID]],0)))</f>
        <v>4</v>
      </c>
      <c r="P260" s="56">
        <f>IF($C260="B",INDEX(Batters[[#All],[K P]],MATCH(Table5[[#This Row],[PID]],Batters[[#All],[PID]],0)),INDEX(Table3[[#All],[STM]],MATCH(Table5[[#This Row],[PID]],Table3[[#All],[PID]],0)))</f>
        <v>7</v>
      </c>
      <c r="Q260" s="61">
        <f>IF($C260="B",INDEX(Batters[[#All],[Tot]],MATCH(Table5[[#This Row],[PID]],Batters[[#All],[PID]],0)),INDEX(Table3[[#All],[Tot]],MATCH(Table5[[#This Row],[PID]],Table3[[#All],[PID]],0)))</f>
        <v>45.421791586992882</v>
      </c>
      <c r="R260" s="52">
        <f>IF($C260="B",INDEX(Batters[[#All],[zScore]],MATCH(Table5[[#This Row],[PID]],Batters[[#All],[PID]],0)),INDEX(Table3[[#All],[zScore]],MATCH(Table5[[#This Row],[PID]],Table3[[#All],[PID]],0)))</f>
        <v>0.32161168612003105</v>
      </c>
      <c r="S260" s="58" t="str">
        <f>IF($C260="B",INDEX(Batters[[#All],[DEM]],MATCH(Table5[[#This Row],[PID]],Batters[[#All],[PID]],0)),INDEX(Table3[[#All],[DEM]],MATCH(Table5[[#This Row],[PID]],Table3[[#All],[PID]],0)))</f>
        <v>$65k</v>
      </c>
      <c r="T260" s="62">
        <f>IF($C260="B",INDEX(Batters[[#All],[Rnk]],MATCH(Table5[[#This Row],[PID]],Batters[[#All],[PID]],0)),INDEX(Table3[[#All],[Rnk]],MATCH(Table5[[#This Row],[PID]],Table3[[#All],[PID]],0)))</f>
        <v>900</v>
      </c>
      <c r="U260" s="67">
        <f>IF($C260="B",VLOOKUP($A260,Bat!$A$4:$BA$1314,47,FALSE),VLOOKUP($A260,Pit!$A$4:$BF$1214,56,FALSE))</f>
        <v>147</v>
      </c>
      <c r="V260" s="50">
        <f>IF($C260="B",VLOOKUP($A260,Bat!$A$4:$BA$1314,48,FALSE),VLOOKUP($A260,Pit!$A$4:$BF$1214,57,FALSE))</f>
        <v>0</v>
      </c>
      <c r="W260" s="68">
        <f>IF(Table5[[#This Row],[posRnk]]=999,9999,Table5[[#This Row],[posRnk]]+Table5[[#This Row],[zRnk]]+IF($W$3&lt;&gt;Table5[[#This Row],[Type]],50,0))</f>
        <v>1225</v>
      </c>
      <c r="X260" s="51">
        <f>RANK(Table5[[#This Row],[zScore]],Table5[[#All],[zScore]])</f>
        <v>275</v>
      </c>
      <c r="Y260" s="50">
        <f>IFERROR(INDEX(DraftResults[[#All],[OVR]],MATCH(Table5[[#This Row],[PID]],DraftResults[[#All],[Player ID]],0)),"")</f>
        <v>386</v>
      </c>
      <c r="Z260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12</v>
      </c>
      <c r="AA260" s="50">
        <f>IFERROR(INDEX(DraftResults[[#All],[Pick in Round]],MATCH(Table5[[#This Row],[PID]],DraftResults[[#All],[Player ID]],0)),"")</f>
        <v>21</v>
      </c>
      <c r="AB260" s="50" t="str">
        <f>IFERROR(INDEX(DraftResults[[#All],[Team Name]],MATCH(Table5[[#This Row],[PID]],DraftResults[[#All],[Player ID]],0)),"")</f>
        <v>Neo-Tokyo Akira</v>
      </c>
      <c r="AC260" s="50">
        <f>IF(Table5[[#This Row],[Ovr]]="","",IF(Table5[[#This Row],[cmbList]]="","",Table5[[#This Row],[cmbList]]-Table5[[#This Row],[Ovr]]))</f>
        <v>839</v>
      </c>
      <c r="AD260" s="54" t="str">
        <f>IF(ISERROR(VLOOKUP($AB260&amp;"-"&amp;$E260&amp;" "&amp;F260,Bonuses!$B$1:$G$1006,4,FALSE)),"",INT(VLOOKUP($AB260&amp;"-"&amp;$E260&amp;" "&amp;$F260,Bonuses!$B$1:$G$1006,4,FALSE)))</f>
        <v/>
      </c>
      <c r="AE260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12.21 (386) - LF Yosuke Onishi</v>
      </c>
    </row>
    <row r="261" spans="1:31" s="50" customFormat="1" x14ac:dyDescent="0.3">
      <c r="A261" s="67">
        <v>20406</v>
      </c>
      <c r="B261" s="68">
        <f>COUNTIF(Table5[PID],A261)</f>
        <v>1</v>
      </c>
      <c r="C261" s="68" t="str">
        <f>IF(COUNTIF(Table3[[#All],[PID]],A261)&gt;0,"P","B")</f>
        <v>P</v>
      </c>
      <c r="D261" s="59" t="str">
        <f>IF($C261="B",INDEX(Batters[[#All],[POS]],MATCH(Table5[[#This Row],[PID]],Batters[[#All],[PID]],0)),INDEX(Table3[[#All],[POS]],MATCH(Table5[[#This Row],[PID]],Table3[[#All],[PID]],0)))</f>
        <v>SP</v>
      </c>
      <c r="E261" s="52" t="str">
        <f>IF($C261="B",INDEX(Batters[[#All],[First]],MATCH(Table5[[#This Row],[PID]],Batters[[#All],[PID]],0)),INDEX(Table3[[#All],[First]],MATCH(Table5[[#This Row],[PID]],Table3[[#All],[PID]],0)))</f>
        <v>Liam</v>
      </c>
      <c r="F261" s="55" t="str">
        <f>IF($C261="B",INDEX(Batters[[#All],[Last]],MATCH(A261,Batters[[#All],[PID]],0)),INDEX(Table3[[#All],[Last]],MATCH(A261,Table3[[#All],[PID]],0)))</f>
        <v>Booth</v>
      </c>
      <c r="G261" s="56">
        <f>IF($C261="B",INDEX(Batters[[#All],[Age]],MATCH(Table5[[#This Row],[PID]],Batters[[#All],[PID]],0)),INDEX(Table3[[#All],[Age]],MATCH(Table5[[#This Row],[PID]],Table3[[#All],[PID]],0)))</f>
        <v>17</v>
      </c>
      <c r="H261" s="52" t="str">
        <f>IF($C261="B",INDEX(Batters[[#All],[B]],MATCH(Table5[[#This Row],[PID]],Batters[[#All],[PID]],0)),INDEX(Table3[[#All],[B]],MATCH(Table5[[#This Row],[PID]],Table3[[#All],[PID]],0)))</f>
        <v>R</v>
      </c>
      <c r="I261" s="52" t="str">
        <f>IF($C261="B",INDEX(Batters[[#All],[T]],MATCH(Table5[[#This Row],[PID]],Batters[[#All],[PID]],0)),INDEX(Table3[[#All],[T]],MATCH(Table5[[#This Row],[PID]],Table3[[#All],[PID]],0)))</f>
        <v>R</v>
      </c>
      <c r="J261" s="69" t="str">
        <f>IF($C261="B",INDEX(Batters[[#All],[WE]],MATCH(Table5[[#This Row],[PID]],Batters[[#All],[PID]],0)),INDEX(Table3[[#All],[WE]],MATCH(Table5[[#This Row],[PID]],Table3[[#All],[PID]],0)))</f>
        <v>Normal</v>
      </c>
      <c r="K261" s="52" t="str">
        <f>IF($C261="B",INDEX(Batters[[#All],[INT]],MATCH(Table5[[#This Row],[PID]],Batters[[#All],[PID]],0)),INDEX(Table3[[#All],[INT]],MATCH(Table5[[#This Row],[PID]],Table3[[#All],[PID]],0)))</f>
        <v>Normal</v>
      </c>
      <c r="L261" s="60">
        <f>IF($C261="B",INDEX(Batters[[#All],[CON P]],MATCH(Table5[[#This Row],[PID]],Batters[[#All],[PID]],0)),INDEX(Table3[[#All],[STU P]],MATCH(Table5[[#This Row],[PID]],Table3[[#All],[PID]],0)))</f>
        <v>4</v>
      </c>
      <c r="M261" s="70">
        <f>IF($C261="B",INDEX(Batters[[#All],[GAP P]],MATCH(Table5[[#This Row],[PID]],Batters[[#All],[PID]],0)),INDEX(Table3[[#All],[MOV P]],MATCH(Table5[[#This Row],[PID]],Table3[[#All],[PID]],0)))</f>
        <v>4</v>
      </c>
      <c r="N261" s="70">
        <f>IF($C261="B",INDEX(Batters[[#All],[POW P]],MATCH(Table5[[#This Row],[PID]],Batters[[#All],[PID]],0)),INDEX(Table3[[#All],[CON P]],MATCH(Table5[[#This Row],[PID]],Table3[[#All],[PID]],0)))</f>
        <v>3</v>
      </c>
      <c r="O261" s="70" t="str">
        <f>IF($C261="B",INDEX(Batters[[#All],[EYE P]],MATCH(Table5[[#This Row],[PID]],Batters[[#All],[PID]],0)),INDEX(Table3[[#All],[VELO]],MATCH(Table5[[#This Row],[PID]],Table3[[#All],[PID]],0)))</f>
        <v>87-89 Mph</v>
      </c>
      <c r="P261" s="56">
        <f>IF($C261="B",INDEX(Batters[[#All],[K P]],MATCH(Table5[[#This Row],[PID]],Batters[[#All],[PID]],0)),INDEX(Table3[[#All],[STM]],MATCH(Table5[[#This Row],[PID]],Table3[[#All],[PID]],0)))</f>
        <v>9</v>
      </c>
      <c r="Q261" s="61">
        <f>IF($C261="B",INDEX(Batters[[#All],[Tot]],MATCH(Table5[[#This Row],[PID]],Batters[[#All],[PID]],0)),INDEX(Table3[[#All],[Tot]],MATCH(Table5[[#This Row],[PID]],Table3[[#All],[PID]],0)))</f>
        <v>42.229204849600116</v>
      </c>
      <c r="R261" s="52">
        <f>IF($C261="B",INDEX(Batters[[#All],[zScore]],MATCH(Table5[[#This Row],[PID]],Batters[[#All],[PID]],0)),INDEX(Table3[[#All],[zScore]],MATCH(Table5[[#This Row],[PID]],Table3[[#All],[PID]],0)))</f>
        <v>0.32115560949141914</v>
      </c>
      <c r="S261" s="75" t="str">
        <f>IF($C261="B",INDEX(Batters[[#All],[DEM]],MATCH(Table5[[#This Row],[PID]],Batters[[#All],[PID]],0)),INDEX(Table3[[#All],[DEM]],MATCH(Table5[[#This Row],[PID]],Table3[[#All],[PID]],0)))</f>
        <v>$65k</v>
      </c>
      <c r="T261" s="72">
        <f>IF($C261="B",INDEX(Batters[[#All],[Rnk]],MATCH(Table5[[#This Row],[PID]],Batters[[#All],[PID]],0)),INDEX(Table3[[#All],[Rnk]],MATCH(Table5[[#This Row],[PID]],Table3[[#All],[PID]],0)))</f>
        <v>900</v>
      </c>
      <c r="U261" s="67">
        <f>IF($C261="B",VLOOKUP($A261,Bat!$A$4:$BA$1314,47,FALSE),VLOOKUP($A261,Pit!$A$4:$BF$1214,56,FALSE))</f>
        <v>95</v>
      </c>
      <c r="V261" s="50">
        <f>IF($C261="B",VLOOKUP($A261,Bat!$A$4:$BA$1314,48,FALSE),VLOOKUP($A261,Pit!$A$4:$BF$1214,57,FALSE))</f>
        <v>0</v>
      </c>
      <c r="W261" s="68">
        <f>IF(Table5[[#This Row],[posRnk]]=999,9999,Table5[[#This Row],[posRnk]]+Table5[[#This Row],[zRnk]]+IF($W$3&lt;&gt;Table5[[#This Row],[Type]],50,0))</f>
        <v>1176</v>
      </c>
      <c r="X261" s="71">
        <f>RANK(Table5[[#This Row],[zScore]],Table5[[#All],[zScore]])</f>
        <v>276</v>
      </c>
      <c r="Y261" s="68">
        <f>IFERROR(INDEX(DraftResults[[#All],[OVR]],MATCH(Table5[[#This Row],[PID]],DraftResults[[#All],[Player ID]],0)),"")</f>
        <v>330</v>
      </c>
      <c r="Z261" s="7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10</v>
      </c>
      <c r="AA261" s="68">
        <f>IFERROR(INDEX(DraftResults[[#All],[Pick in Round]],MATCH(Table5[[#This Row],[PID]],DraftResults[[#All],[Player ID]],0)),"")</f>
        <v>33</v>
      </c>
      <c r="AB261" s="68" t="str">
        <f>IFERROR(INDEX(DraftResults[[#All],[Team Name]],MATCH(Table5[[#This Row],[PID]],DraftResults[[#All],[Player ID]],0)),"")</f>
        <v>New Jersey Hitmen</v>
      </c>
      <c r="AC261" s="68">
        <f>IF(Table5[[#This Row],[Ovr]]="","",IF(Table5[[#This Row],[cmbList]]="","",Table5[[#This Row],[cmbList]]-Table5[[#This Row],[Ovr]]))</f>
        <v>846</v>
      </c>
      <c r="AD261" s="74" t="str">
        <f>IF(ISERROR(VLOOKUP($AB261&amp;"-"&amp;$E261&amp;" "&amp;F261,Bonuses!$B$1:$G$1006,4,FALSE)),"",INT(VLOOKUP($AB261&amp;"-"&amp;$E261&amp;" "&amp;$F261,Bonuses!$B$1:$G$1006,4,FALSE)))</f>
        <v/>
      </c>
      <c r="AE261" s="68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10.33 (330) - SP Liam Booth</v>
      </c>
    </row>
    <row r="262" spans="1:31" s="50" customFormat="1" x14ac:dyDescent="0.3">
      <c r="A262" s="50">
        <v>12894</v>
      </c>
      <c r="B262" s="50">
        <f>COUNTIF(Table5[PID],A262)</f>
        <v>1</v>
      </c>
      <c r="C262" s="50" t="str">
        <f>IF(COUNTIF(Table3[[#All],[PID]],A262)&gt;0,"P","B")</f>
        <v>B</v>
      </c>
      <c r="D262" s="59" t="str">
        <f>IF($C262="B",INDEX(Batters[[#All],[POS]],MATCH(Table5[[#This Row],[PID]],Batters[[#All],[PID]],0)),INDEX(Table3[[#All],[POS]],MATCH(Table5[[#This Row],[PID]],Table3[[#All],[PID]],0)))</f>
        <v>RF</v>
      </c>
      <c r="E262" s="52" t="str">
        <f>IF($C262="B",INDEX(Batters[[#All],[First]],MATCH(Table5[[#This Row],[PID]],Batters[[#All],[PID]],0)),INDEX(Table3[[#All],[First]],MATCH(Table5[[#This Row],[PID]],Table3[[#All],[PID]],0)))</f>
        <v>Claude</v>
      </c>
      <c r="F262" s="50" t="str">
        <f>IF($C262="B",INDEX(Batters[[#All],[Last]],MATCH(A262,Batters[[#All],[PID]],0)),INDEX(Table3[[#All],[Last]],MATCH(A262,Table3[[#All],[PID]],0)))</f>
        <v>Charton</v>
      </c>
      <c r="G262" s="56">
        <f>IF($C262="B",INDEX(Batters[[#All],[Age]],MATCH(Table5[[#This Row],[PID]],Batters[[#All],[PID]],0)),INDEX(Table3[[#All],[Age]],MATCH(Table5[[#This Row],[PID]],Table3[[#All],[PID]],0)))</f>
        <v>18</v>
      </c>
      <c r="H262" s="52" t="str">
        <f>IF($C262="B",INDEX(Batters[[#All],[B]],MATCH(Table5[[#This Row],[PID]],Batters[[#All],[PID]],0)),INDEX(Table3[[#All],[B]],MATCH(Table5[[#This Row],[PID]],Table3[[#All],[PID]],0)))</f>
        <v>S</v>
      </c>
      <c r="I262" s="52" t="str">
        <f>IF($C262="B",INDEX(Batters[[#All],[T]],MATCH(Table5[[#This Row],[PID]],Batters[[#All],[PID]],0)),INDEX(Table3[[#All],[T]],MATCH(Table5[[#This Row],[PID]],Table3[[#All],[PID]],0)))</f>
        <v>L</v>
      </c>
      <c r="J262" s="52" t="str">
        <f>IF($C262="B",INDEX(Batters[[#All],[WE]],MATCH(Table5[[#This Row],[PID]],Batters[[#All],[PID]],0)),INDEX(Table3[[#All],[WE]],MATCH(Table5[[#This Row],[PID]],Table3[[#All],[PID]],0)))</f>
        <v>Low</v>
      </c>
      <c r="K262" s="52" t="str">
        <f>IF($C262="B",INDEX(Batters[[#All],[INT]],MATCH(Table5[[#This Row],[PID]],Batters[[#All],[PID]],0)),INDEX(Table3[[#All],[INT]],MATCH(Table5[[#This Row],[PID]],Table3[[#All],[PID]],0)))</f>
        <v>Normal</v>
      </c>
      <c r="L262" s="60">
        <f>IF($C262="B",INDEX(Batters[[#All],[CON P]],MATCH(Table5[[#This Row],[PID]],Batters[[#All],[PID]],0)),INDEX(Table3[[#All],[STU P]],MATCH(Table5[[#This Row],[PID]],Table3[[#All],[PID]],0)))</f>
        <v>4</v>
      </c>
      <c r="M262" s="56">
        <f>IF($C262="B",INDEX(Batters[[#All],[GAP P]],MATCH(Table5[[#This Row],[PID]],Batters[[#All],[PID]],0)),INDEX(Table3[[#All],[MOV P]],MATCH(Table5[[#This Row],[PID]],Table3[[#All],[PID]],0)))</f>
        <v>3</v>
      </c>
      <c r="N262" s="56">
        <f>IF($C262="B",INDEX(Batters[[#All],[POW P]],MATCH(Table5[[#This Row],[PID]],Batters[[#All],[PID]],0)),INDEX(Table3[[#All],[CON P]],MATCH(Table5[[#This Row],[PID]],Table3[[#All],[PID]],0)))</f>
        <v>4</v>
      </c>
      <c r="O262" s="56">
        <f>IF($C262="B",INDEX(Batters[[#All],[EYE P]],MATCH(Table5[[#This Row],[PID]],Batters[[#All],[PID]],0)),INDEX(Table3[[#All],[VELO]],MATCH(Table5[[#This Row],[PID]],Table3[[#All],[PID]],0)))</f>
        <v>5</v>
      </c>
      <c r="P262" s="56">
        <f>IF($C262="B",INDEX(Batters[[#All],[K P]],MATCH(Table5[[#This Row],[PID]],Batters[[#All],[PID]],0)),INDEX(Table3[[#All],[STM]],MATCH(Table5[[#This Row],[PID]],Table3[[#All],[PID]],0)))</f>
        <v>4</v>
      </c>
      <c r="Q262" s="61">
        <f>IF($C262="B",INDEX(Batters[[#All],[Tot]],MATCH(Table5[[#This Row],[PID]],Batters[[#All],[PID]],0)),INDEX(Table3[[#All],[Tot]],MATCH(Table5[[#This Row],[PID]],Table3[[#All],[PID]],0)))</f>
        <v>46.134776502299317</v>
      </c>
      <c r="R262" s="52">
        <f>IF($C262="B",INDEX(Batters[[#All],[zScore]],MATCH(Table5[[#This Row],[PID]],Batters[[#All],[PID]],0)),INDEX(Table3[[#All],[zScore]],MATCH(Table5[[#This Row],[PID]],Table3[[#All],[PID]],0)))</f>
        <v>0.4256847464142462</v>
      </c>
      <c r="S262" s="58" t="str">
        <f>IF($C262="B",INDEX(Batters[[#All],[DEM]],MATCH(Table5[[#This Row],[PID]],Batters[[#All],[PID]],0)),INDEX(Table3[[#All],[DEM]],MATCH(Table5[[#This Row],[PID]],Table3[[#All],[PID]],0)))</f>
        <v>$130k</v>
      </c>
      <c r="T262" s="62">
        <f>IF($C262="B",INDEX(Batters[[#All],[Rnk]],MATCH(Table5[[#This Row],[PID]],Batters[[#All],[PID]],0)),INDEX(Table3[[#All],[Rnk]],MATCH(Table5[[#This Row],[PID]],Table3[[#All],[PID]],0)))</f>
        <v>930</v>
      </c>
      <c r="U262" s="67">
        <f>IF($C262="B",VLOOKUP($A262,Bat!$A$4:$BA$1314,47,FALSE),VLOOKUP($A262,Pit!$A$4:$BF$1214,56,FALSE))</f>
        <v>306</v>
      </c>
      <c r="V262" s="50">
        <f>IF($C262="B",VLOOKUP($A262,Bat!$A$4:$BA$1314,48,FALSE),VLOOKUP($A262,Pit!$A$4:$BF$1214,57,FALSE))</f>
        <v>0</v>
      </c>
      <c r="W262" s="68">
        <f>IF(Table5[[#This Row],[posRnk]]=999,9999,Table5[[#This Row],[posRnk]]+Table5[[#This Row],[zRnk]]+IF($W$3&lt;&gt;Table5[[#This Row],[Type]],50,0))</f>
        <v>1227</v>
      </c>
      <c r="X262" s="51">
        <f>RANK(Table5[[#This Row],[zScore]],Table5[[#All],[zScore]])</f>
        <v>247</v>
      </c>
      <c r="Y262" s="50">
        <f>IFERROR(INDEX(DraftResults[[#All],[OVR]],MATCH(Table5[[#This Row],[PID]],DraftResults[[#All],[Player ID]],0)),"")</f>
        <v>530</v>
      </c>
      <c r="Z262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16</v>
      </c>
      <c r="AA262" s="50">
        <f>IFERROR(INDEX(DraftResults[[#All],[Pick in Round]],MATCH(Table5[[#This Row],[PID]],DraftResults[[#All],[Player ID]],0)),"")</f>
        <v>29</v>
      </c>
      <c r="AB262" s="50" t="str">
        <f>IFERROR(INDEX(DraftResults[[#All],[Team Name]],MATCH(Table5[[#This Row],[PID]],DraftResults[[#All],[Player ID]],0)),"")</f>
        <v>Shin Seiki Evas</v>
      </c>
      <c r="AC262" s="50">
        <f>IF(Table5[[#This Row],[Ovr]]="","",IF(Table5[[#This Row],[cmbList]]="","",Table5[[#This Row],[cmbList]]-Table5[[#This Row],[Ovr]]))</f>
        <v>697</v>
      </c>
      <c r="AD262" s="54" t="str">
        <f>IF(ISERROR(VLOOKUP($AB262&amp;"-"&amp;$E262&amp;" "&amp;F262,Bonuses!$B$1:$G$1006,4,FALSE)),"",INT(VLOOKUP($AB262&amp;"-"&amp;$E262&amp;" "&amp;$F262,Bonuses!$B$1:$G$1006,4,FALSE)))</f>
        <v/>
      </c>
      <c r="AE262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16.29 (530) - RF Claude Charton</v>
      </c>
    </row>
    <row r="263" spans="1:31" s="50" customFormat="1" x14ac:dyDescent="0.3">
      <c r="A263" s="50">
        <v>10254</v>
      </c>
      <c r="B263" s="50">
        <f>COUNTIF(Table5[PID],A263)</f>
        <v>1</v>
      </c>
      <c r="C263" s="50" t="str">
        <f>IF(COUNTIF(Table3[[#All],[PID]],A263)&gt;0,"P","B")</f>
        <v>P</v>
      </c>
      <c r="D263" s="59" t="str">
        <f>IF($C263="B",INDEX(Batters[[#All],[POS]],MATCH(Table5[[#This Row],[PID]],Batters[[#All],[PID]],0)),INDEX(Table3[[#All],[POS]],MATCH(Table5[[#This Row],[PID]],Table3[[#All],[PID]],0)))</f>
        <v>SP</v>
      </c>
      <c r="E263" s="52" t="str">
        <f>IF($C263="B",INDEX(Batters[[#All],[First]],MATCH(Table5[[#This Row],[PID]],Batters[[#All],[PID]],0)),INDEX(Table3[[#All],[First]],MATCH(Table5[[#This Row],[PID]],Table3[[#All],[PID]],0)))</f>
        <v>Tim</v>
      </c>
      <c r="F263" s="50" t="str">
        <f>IF($C263="B",INDEX(Batters[[#All],[Last]],MATCH(A263,Batters[[#All],[PID]],0)),INDEX(Table3[[#All],[Last]],MATCH(A263,Table3[[#All],[PID]],0)))</f>
        <v>Simmons</v>
      </c>
      <c r="G263" s="56">
        <f>IF($C263="B",INDEX(Batters[[#All],[Age]],MATCH(Table5[[#This Row],[PID]],Batters[[#All],[PID]],0)),INDEX(Table3[[#All],[Age]],MATCH(Table5[[#This Row],[PID]],Table3[[#All],[PID]],0)))</f>
        <v>17</v>
      </c>
      <c r="H263" s="52" t="str">
        <f>IF($C263="B",INDEX(Batters[[#All],[B]],MATCH(Table5[[#This Row],[PID]],Batters[[#All],[PID]],0)),INDEX(Table3[[#All],[B]],MATCH(Table5[[#This Row],[PID]],Table3[[#All],[PID]],0)))</f>
        <v>R</v>
      </c>
      <c r="I263" s="52" t="str">
        <f>IF($C263="B",INDEX(Batters[[#All],[T]],MATCH(Table5[[#This Row],[PID]],Batters[[#All],[PID]],0)),INDEX(Table3[[#All],[T]],MATCH(Table5[[#This Row],[PID]],Table3[[#All],[PID]],0)))</f>
        <v>R</v>
      </c>
      <c r="J263" s="52" t="str">
        <f>IF($C263="B",INDEX(Batters[[#All],[WE]],MATCH(Table5[[#This Row],[PID]],Batters[[#All],[PID]],0)),INDEX(Table3[[#All],[WE]],MATCH(Table5[[#This Row],[PID]],Table3[[#All],[PID]],0)))</f>
        <v>Low</v>
      </c>
      <c r="K263" s="52" t="str">
        <f>IF($C263="B",INDEX(Batters[[#All],[INT]],MATCH(Table5[[#This Row],[PID]],Batters[[#All],[PID]],0)),INDEX(Table3[[#All],[INT]],MATCH(Table5[[#This Row],[PID]],Table3[[#All],[PID]],0)))</f>
        <v>Low</v>
      </c>
      <c r="L263" s="60">
        <f>IF($C263="B",INDEX(Batters[[#All],[CON P]],MATCH(Table5[[#This Row],[PID]],Batters[[#All],[PID]],0)),INDEX(Table3[[#All],[STU P]],MATCH(Table5[[#This Row],[PID]],Table3[[#All],[PID]],0)))</f>
        <v>5</v>
      </c>
      <c r="M263" s="56">
        <f>IF($C263="B",INDEX(Batters[[#All],[GAP P]],MATCH(Table5[[#This Row],[PID]],Batters[[#All],[PID]],0)),INDEX(Table3[[#All],[MOV P]],MATCH(Table5[[#This Row],[PID]],Table3[[#All],[PID]],0)))</f>
        <v>1</v>
      </c>
      <c r="N263" s="56">
        <f>IF($C263="B",INDEX(Batters[[#All],[POW P]],MATCH(Table5[[#This Row],[PID]],Batters[[#All],[PID]],0)),INDEX(Table3[[#All],[CON P]],MATCH(Table5[[#This Row],[PID]],Table3[[#All],[PID]],0)))</f>
        <v>5</v>
      </c>
      <c r="O263" s="56" t="str">
        <f>IF($C263="B",INDEX(Batters[[#All],[EYE P]],MATCH(Table5[[#This Row],[PID]],Batters[[#All],[PID]],0)),INDEX(Table3[[#All],[VELO]],MATCH(Table5[[#This Row],[PID]],Table3[[#All],[PID]],0)))</f>
        <v>92-94 Mph</v>
      </c>
      <c r="P263" s="56">
        <f>IF($C263="B",INDEX(Batters[[#All],[K P]],MATCH(Table5[[#This Row],[PID]],Batters[[#All],[PID]],0)),INDEX(Table3[[#All],[STM]],MATCH(Table5[[#This Row],[PID]],Table3[[#All],[PID]],0)))</f>
        <v>10</v>
      </c>
      <c r="Q263" s="61">
        <f>IF($C263="B",INDEX(Batters[[#All],[Tot]],MATCH(Table5[[#This Row],[PID]],Batters[[#All],[PID]],0)),INDEX(Table3[[#All],[Tot]],MATCH(Table5[[#This Row],[PID]],Table3[[#All],[PID]],0)))</f>
        <v>44.7398029177605</v>
      </c>
      <c r="R263" s="52">
        <f>IF($C263="B",INDEX(Batters[[#All],[zScore]],MATCH(Table5[[#This Row],[PID]],Batters[[#All],[PID]],0)),INDEX(Table3[[#All],[zScore]],MATCH(Table5[[#This Row],[PID]],Table3[[#All],[PID]],0)))</f>
        <v>0.49397887590575001</v>
      </c>
      <c r="S263" s="58" t="str">
        <f>IF($C263="B",INDEX(Batters[[#All],[DEM]],MATCH(Table5[[#This Row],[PID]],Batters[[#All],[PID]],0)),INDEX(Table3[[#All],[DEM]],MATCH(Table5[[#This Row],[PID]],Table3[[#All],[PID]],0)))</f>
        <v>$70k</v>
      </c>
      <c r="T263" s="62">
        <f>IF($C263="B",INDEX(Batters[[#All],[Rnk]],MATCH(Table5[[#This Row],[PID]],Batters[[#All],[PID]],0)),INDEX(Table3[[#All],[Rnk]],MATCH(Table5[[#This Row],[PID]],Table3[[#All],[PID]],0)))</f>
        <v>950</v>
      </c>
      <c r="U263" s="67">
        <f>IF($C263="B",VLOOKUP($A263,Bat!$A$4:$BA$1314,47,FALSE),VLOOKUP($A263,Pit!$A$4:$BF$1214,56,FALSE))</f>
        <v>406</v>
      </c>
      <c r="V263" s="50">
        <f>IF($C263="B",VLOOKUP($A263,Bat!$A$4:$BA$1314,48,FALSE),VLOOKUP($A263,Pit!$A$4:$BF$1214,57,FALSE))</f>
        <v>0</v>
      </c>
      <c r="W263" s="68">
        <f>IF(Table5[[#This Row],[posRnk]]=999,9999,Table5[[#This Row],[posRnk]]+Table5[[#This Row],[zRnk]]+IF($W$3&lt;&gt;Table5[[#This Row],[Type]],50,0))</f>
        <v>1178</v>
      </c>
      <c r="X263" s="51">
        <f>RANK(Table5[[#This Row],[zScore]],Table5[[#All],[zScore]])</f>
        <v>228</v>
      </c>
      <c r="Y263" s="50">
        <f>IFERROR(INDEX(DraftResults[[#All],[OVR]],MATCH(Table5[[#This Row],[PID]],DraftResults[[#All],[Player ID]],0)),"")</f>
        <v>182</v>
      </c>
      <c r="Z263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6</v>
      </c>
      <c r="AA263" s="50">
        <f>IFERROR(INDEX(DraftResults[[#All],[Pick in Round]],MATCH(Table5[[#This Row],[PID]],DraftResults[[#All],[Player ID]],0)),"")</f>
        <v>13</v>
      </c>
      <c r="AB263" s="50" t="str">
        <f>IFERROR(INDEX(DraftResults[[#All],[Team Name]],MATCH(Table5[[#This Row],[PID]],DraftResults[[#All],[Player ID]],0)),"")</f>
        <v>Scottish Claymores</v>
      </c>
      <c r="AC263" s="50">
        <f>IF(Table5[[#This Row],[Ovr]]="","",IF(Table5[[#This Row],[cmbList]]="","",Table5[[#This Row],[cmbList]]-Table5[[#This Row],[Ovr]]))</f>
        <v>996</v>
      </c>
      <c r="AD263" s="54" t="str">
        <f>IF(ISERROR(VLOOKUP($AB263&amp;"-"&amp;$E263&amp;" "&amp;F263,Bonuses!$B$1:$G$1006,4,FALSE)),"",INT(VLOOKUP($AB263&amp;"-"&amp;$E263&amp;" "&amp;$F263,Bonuses!$B$1:$G$1006,4,FALSE)))</f>
        <v/>
      </c>
      <c r="AE263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6.13 (182) - SP Tim Simmons</v>
      </c>
    </row>
    <row r="264" spans="1:31" s="50" customFormat="1" x14ac:dyDescent="0.3">
      <c r="A264" s="50">
        <v>12931</v>
      </c>
      <c r="B264" s="50">
        <f>COUNTIF(Table5[PID],A264)</f>
        <v>1</v>
      </c>
      <c r="C264" s="50" t="str">
        <f>IF(COUNTIF(Table3[[#All],[PID]],A264)&gt;0,"P","B")</f>
        <v>B</v>
      </c>
      <c r="D264" s="59" t="str">
        <f>IF($C264="B",INDEX(Batters[[#All],[POS]],MATCH(Table5[[#This Row],[PID]],Batters[[#All],[PID]],0)),INDEX(Table3[[#All],[POS]],MATCH(Table5[[#This Row],[PID]],Table3[[#All],[PID]],0)))</f>
        <v>C</v>
      </c>
      <c r="E264" s="52" t="str">
        <f>IF($C264="B",INDEX(Batters[[#All],[First]],MATCH(Table5[[#This Row],[PID]],Batters[[#All],[PID]],0)),INDEX(Table3[[#All],[First]],MATCH(Table5[[#This Row],[PID]],Table3[[#All],[PID]],0)))</f>
        <v>Arthur</v>
      </c>
      <c r="F264" s="50" t="str">
        <f>IF($C264="B",INDEX(Batters[[#All],[Last]],MATCH(A264,Batters[[#All],[PID]],0)),INDEX(Table3[[#All],[Last]],MATCH(A264,Table3[[#All],[PID]],0)))</f>
        <v>Schep</v>
      </c>
      <c r="G264" s="56">
        <f>IF($C264="B",INDEX(Batters[[#All],[Age]],MATCH(Table5[[#This Row],[PID]],Batters[[#All],[PID]],0)),INDEX(Table3[[#All],[Age]],MATCH(Table5[[#This Row],[PID]],Table3[[#All],[PID]],0)))</f>
        <v>18</v>
      </c>
      <c r="H264" s="52" t="str">
        <f>IF($C264="B",INDEX(Batters[[#All],[B]],MATCH(Table5[[#This Row],[PID]],Batters[[#All],[PID]],0)),INDEX(Table3[[#All],[B]],MATCH(Table5[[#This Row],[PID]],Table3[[#All],[PID]],0)))</f>
        <v>R</v>
      </c>
      <c r="I264" s="52" t="str">
        <f>IF($C264="B",INDEX(Batters[[#All],[T]],MATCH(Table5[[#This Row],[PID]],Batters[[#All],[PID]],0)),INDEX(Table3[[#All],[T]],MATCH(Table5[[#This Row],[PID]],Table3[[#All],[PID]],0)))</f>
        <v>R</v>
      </c>
      <c r="J264" s="52" t="str">
        <f>IF($C264="B",INDEX(Batters[[#All],[WE]],MATCH(Table5[[#This Row],[PID]],Batters[[#All],[PID]],0)),INDEX(Table3[[#All],[WE]],MATCH(Table5[[#This Row],[PID]],Table3[[#All],[PID]],0)))</f>
        <v>Normal</v>
      </c>
      <c r="K264" s="52" t="str">
        <f>IF($C264="B",INDEX(Batters[[#All],[INT]],MATCH(Table5[[#This Row],[PID]],Batters[[#All],[PID]],0)),INDEX(Table3[[#All],[INT]],MATCH(Table5[[#This Row],[PID]],Table3[[#All],[PID]],0)))</f>
        <v>Normal</v>
      </c>
      <c r="L264" s="60">
        <f>IF($C264="B",INDEX(Batters[[#All],[CON P]],MATCH(Table5[[#This Row],[PID]],Batters[[#All],[PID]],0)),INDEX(Table3[[#All],[STU P]],MATCH(Table5[[#This Row],[PID]],Table3[[#All],[PID]],0)))</f>
        <v>3</v>
      </c>
      <c r="M264" s="56">
        <f>IF($C264="B",INDEX(Batters[[#All],[GAP P]],MATCH(Table5[[#This Row],[PID]],Batters[[#All],[PID]],0)),INDEX(Table3[[#All],[MOV P]],MATCH(Table5[[#This Row],[PID]],Table3[[#All],[PID]],0)))</f>
        <v>5</v>
      </c>
      <c r="N264" s="56">
        <f>IF($C264="B",INDEX(Batters[[#All],[POW P]],MATCH(Table5[[#This Row],[PID]],Batters[[#All],[PID]],0)),INDEX(Table3[[#All],[CON P]],MATCH(Table5[[#This Row],[PID]],Table3[[#All],[PID]],0)))</f>
        <v>5</v>
      </c>
      <c r="O264" s="56">
        <f>IF($C264="B",INDEX(Batters[[#All],[EYE P]],MATCH(Table5[[#This Row],[PID]],Batters[[#All],[PID]],0)),INDEX(Table3[[#All],[VELO]],MATCH(Table5[[#This Row],[PID]],Table3[[#All],[PID]],0)))</f>
        <v>6</v>
      </c>
      <c r="P264" s="56">
        <f>IF($C264="B",INDEX(Batters[[#All],[K P]],MATCH(Table5[[#This Row],[PID]],Batters[[#All],[PID]],0)),INDEX(Table3[[#All],[STM]],MATCH(Table5[[#This Row],[PID]],Table3[[#All],[PID]],0)))</f>
        <v>3</v>
      </c>
      <c r="Q264" s="61">
        <f>IF($C264="B",INDEX(Batters[[#All],[Tot]],MATCH(Table5[[#This Row],[PID]],Batters[[#All],[PID]],0)),INDEX(Table3[[#All],[Tot]],MATCH(Table5[[#This Row],[PID]],Table3[[#All],[PID]],0)))</f>
        <v>45.351448799672781</v>
      </c>
      <c r="R264" s="52">
        <f>IF($C264="B",INDEX(Batters[[#All],[zScore]],MATCH(Table5[[#This Row],[PID]],Batters[[#All],[PID]],0)),INDEX(Table3[[#All],[zScore]],MATCH(Table5[[#This Row],[PID]],Table3[[#All],[PID]],0)))</f>
        <v>0.3113438824276043</v>
      </c>
      <c r="S264" s="58" t="str">
        <f>IF($C264="B",INDEX(Batters[[#All],[DEM]],MATCH(Table5[[#This Row],[PID]],Batters[[#All],[PID]],0)),INDEX(Table3[[#All],[DEM]],MATCH(Table5[[#This Row],[PID]],Table3[[#All],[PID]],0)))</f>
        <v>$65k</v>
      </c>
      <c r="T264" s="62">
        <f>IF($C264="B",INDEX(Batters[[#All],[Rnk]],MATCH(Table5[[#This Row],[PID]],Batters[[#All],[PID]],0)),INDEX(Table3[[#All],[Rnk]],MATCH(Table5[[#This Row],[PID]],Table3[[#All],[PID]],0)))</f>
        <v>900</v>
      </c>
      <c r="U264" s="67">
        <f>IF($C264="B",VLOOKUP($A264,Bat!$A$4:$BA$1314,47,FALSE),VLOOKUP($A264,Pit!$A$4:$BF$1214,56,FALSE))</f>
        <v>148</v>
      </c>
      <c r="V264" s="50">
        <f>IF($C264="B",VLOOKUP($A264,Bat!$A$4:$BA$1314,48,FALSE),VLOOKUP($A264,Pit!$A$4:$BF$1214,57,FALSE))</f>
        <v>0</v>
      </c>
      <c r="W264" s="68">
        <f>IF(Table5[[#This Row],[posRnk]]=999,9999,Table5[[#This Row],[posRnk]]+Table5[[#This Row],[zRnk]]+IF($W$3&lt;&gt;Table5[[#This Row],[Type]],50,0))</f>
        <v>1230</v>
      </c>
      <c r="X264" s="51">
        <f>RANK(Table5[[#This Row],[zScore]],Table5[[#All],[zScore]])</f>
        <v>280</v>
      </c>
      <c r="Y264" s="50" t="str">
        <f>IFERROR(INDEX(DraftResults[[#All],[OVR]],MATCH(Table5[[#This Row],[PID]],DraftResults[[#All],[Player ID]],0)),"")</f>
        <v/>
      </c>
      <c r="Z264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/>
      </c>
      <c r="AA264" s="50" t="str">
        <f>IFERROR(INDEX(DraftResults[[#All],[Pick in Round]],MATCH(Table5[[#This Row],[PID]],DraftResults[[#All],[Player ID]],0)),"")</f>
        <v/>
      </c>
      <c r="AB264" s="50" t="str">
        <f>IFERROR(INDEX(DraftResults[[#All],[Team Name]],MATCH(Table5[[#This Row],[PID]],DraftResults[[#All],[Player ID]],0)),"")</f>
        <v/>
      </c>
      <c r="AC264" s="50" t="str">
        <f>IF(Table5[[#This Row],[Ovr]]="","",IF(Table5[[#This Row],[cmbList]]="","",Table5[[#This Row],[cmbList]]-Table5[[#This Row],[Ovr]]))</f>
        <v/>
      </c>
      <c r="AD264" s="54" t="str">
        <f>IF(ISERROR(VLOOKUP($AB264&amp;"-"&amp;$E264&amp;" "&amp;F264,Bonuses!$B$1:$G$1006,4,FALSE)),"",INT(VLOOKUP($AB264&amp;"-"&amp;$E264&amp;" "&amp;$F264,Bonuses!$B$1:$G$1006,4,FALSE)))</f>
        <v/>
      </c>
      <c r="AE264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/>
      </c>
    </row>
    <row r="265" spans="1:31" s="50" customFormat="1" x14ac:dyDescent="0.3">
      <c r="A265" s="50">
        <v>7644</v>
      </c>
      <c r="B265" s="50">
        <f>COUNTIF(Table5[PID],A265)</f>
        <v>1</v>
      </c>
      <c r="C265" s="50" t="str">
        <f>IF(COUNTIF(Table3[[#All],[PID]],A265)&gt;0,"P","B")</f>
        <v>B</v>
      </c>
      <c r="D265" s="59" t="str">
        <f>IF($C265="B",INDEX(Batters[[#All],[POS]],MATCH(Table5[[#This Row],[PID]],Batters[[#All],[PID]],0)),INDEX(Table3[[#All],[POS]],MATCH(Table5[[#This Row],[PID]],Table3[[#All],[PID]],0)))</f>
        <v>1B</v>
      </c>
      <c r="E265" s="52" t="str">
        <f>IF($C265="B",INDEX(Batters[[#All],[First]],MATCH(Table5[[#This Row],[PID]],Batters[[#All],[PID]],0)),INDEX(Table3[[#All],[First]],MATCH(Table5[[#This Row],[PID]],Table3[[#All],[PID]],0)))</f>
        <v>Enrique</v>
      </c>
      <c r="F265" s="50" t="str">
        <f>IF($C265="B",INDEX(Batters[[#All],[Last]],MATCH(A265,Batters[[#All],[PID]],0)),INDEX(Table3[[#All],[Last]],MATCH(A265,Table3[[#All],[PID]],0)))</f>
        <v>Ramírez</v>
      </c>
      <c r="G265" s="56">
        <f>IF($C265="B",INDEX(Batters[[#All],[Age]],MATCH(Table5[[#This Row],[PID]],Batters[[#All],[PID]],0)),INDEX(Table3[[#All],[Age]],MATCH(Table5[[#This Row],[PID]],Table3[[#All],[PID]],0)))</f>
        <v>21</v>
      </c>
      <c r="H265" s="52" t="str">
        <f>IF($C265="B",INDEX(Batters[[#All],[B]],MATCH(Table5[[#This Row],[PID]],Batters[[#All],[PID]],0)),INDEX(Table3[[#All],[B]],MATCH(Table5[[#This Row],[PID]],Table3[[#All],[PID]],0)))</f>
        <v>S</v>
      </c>
      <c r="I265" s="52" t="str">
        <f>IF($C265="B",INDEX(Batters[[#All],[T]],MATCH(Table5[[#This Row],[PID]],Batters[[#All],[PID]],0)),INDEX(Table3[[#All],[T]],MATCH(Table5[[#This Row],[PID]],Table3[[#All],[PID]],0)))</f>
        <v>R</v>
      </c>
      <c r="J265" s="52" t="str">
        <f>IF($C265="B",INDEX(Batters[[#All],[WE]],MATCH(Table5[[#This Row],[PID]],Batters[[#All],[PID]],0)),INDEX(Table3[[#All],[WE]],MATCH(Table5[[#This Row],[PID]],Table3[[#All],[PID]],0)))</f>
        <v>High</v>
      </c>
      <c r="K265" s="52" t="str">
        <f>IF($C265="B",INDEX(Batters[[#All],[INT]],MATCH(Table5[[#This Row],[PID]],Batters[[#All],[PID]],0)),INDEX(Table3[[#All],[INT]],MATCH(Table5[[#This Row],[PID]],Table3[[#All],[PID]],0)))</f>
        <v>Normal</v>
      </c>
      <c r="L265" s="60">
        <f>IF($C265="B",INDEX(Batters[[#All],[CON P]],MATCH(Table5[[#This Row],[PID]],Batters[[#All],[PID]],0)),INDEX(Table3[[#All],[STU P]],MATCH(Table5[[#This Row],[PID]],Table3[[#All],[PID]],0)))</f>
        <v>4</v>
      </c>
      <c r="M265" s="56">
        <f>IF($C265="B",INDEX(Batters[[#All],[GAP P]],MATCH(Table5[[#This Row],[PID]],Batters[[#All],[PID]],0)),INDEX(Table3[[#All],[MOV P]],MATCH(Table5[[#This Row],[PID]],Table3[[#All],[PID]],0)))</f>
        <v>6</v>
      </c>
      <c r="N265" s="56">
        <f>IF($C265="B",INDEX(Batters[[#All],[POW P]],MATCH(Table5[[#This Row],[PID]],Batters[[#All],[PID]],0)),INDEX(Table3[[#All],[CON P]],MATCH(Table5[[#This Row],[PID]],Table3[[#All],[PID]],0)))</f>
        <v>4</v>
      </c>
      <c r="O265" s="56">
        <f>IF($C265="B",INDEX(Batters[[#All],[EYE P]],MATCH(Table5[[#This Row],[PID]],Batters[[#All],[PID]],0)),INDEX(Table3[[#All],[VELO]],MATCH(Table5[[#This Row],[PID]],Table3[[#All],[PID]],0)))</f>
        <v>6</v>
      </c>
      <c r="P265" s="56">
        <f>IF($C265="B",INDEX(Batters[[#All],[K P]],MATCH(Table5[[#This Row],[PID]],Batters[[#All],[PID]],0)),INDEX(Table3[[#All],[STM]],MATCH(Table5[[#This Row],[PID]],Table3[[#All],[PID]],0)))</f>
        <v>4</v>
      </c>
      <c r="Q265" s="61">
        <f>IF($C265="B",INDEX(Batters[[#All],[Tot]],MATCH(Table5[[#This Row],[PID]],Batters[[#All],[PID]],0)),INDEX(Table3[[#All],[Tot]],MATCH(Table5[[#This Row],[PID]],Table3[[#All],[PID]],0)))</f>
        <v>45.314017627893918</v>
      </c>
      <c r="R265" s="52">
        <f>IF($C265="B",INDEX(Batters[[#All],[zScore]],MATCH(Table5[[#This Row],[PID]],Batters[[#All],[PID]],0)),INDEX(Table3[[#All],[zScore]],MATCH(Table5[[#This Row],[PID]],Table3[[#All],[PID]],0)))</f>
        <v>0.30588012504116585</v>
      </c>
      <c r="S265" s="58" t="str">
        <f>IF($C265="B",INDEX(Batters[[#All],[DEM]],MATCH(Table5[[#This Row],[PID]],Batters[[#All],[PID]],0)),INDEX(Table3[[#All],[DEM]],MATCH(Table5[[#This Row],[PID]],Table3[[#All],[PID]],0)))</f>
        <v>$20k</v>
      </c>
      <c r="T265" s="62">
        <f>IF($C265="B",INDEX(Batters[[#All],[Rnk]],MATCH(Table5[[#This Row],[PID]],Batters[[#All],[PID]],0)),INDEX(Table3[[#All],[Rnk]],MATCH(Table5[[#This Row],[PID]],Table3[[#All],[PID]],0)))</f>
        <v>900</v>
      </c>
      <c r="U265" s="67">
        <f>IF($C265="B",VLOOKUP($A265,Bat!$A$4:$BA$1314,47,FALSE),VLOOKUP($A265,Pit!$A$4:$BF$1214,56,FALSE))</f>
        <v>139</v>
      </c>
      <c r="V265" s="50">
        <f>IF($C265="B",VLOOKUP($A265,Bat!$A$4:$BA$1314,48,FALSE),VLOOKUP($A265,Pit!$A$4:$BF$1214,57,FALSE))</f>
        <v>0</v>
      </c>
      <c r="W265" s="68">
        <f>IF(Table5[[#This Row],[posRnk]]=999,9999,Table5[[#This Row],[posRnk]]+Table5[[#This Row],[zRnk]]+IF($W$3&lt;&gt;Table5[[#This Row],[Type]],50,0))</f>
        <v>1231</v>
      </c>
      <c r="X265" s="51">
        <f>RANK(Table5[[#This Row],[zScore]],Table5[[#All],[zScore]])</f>
        <v>281</v>
      </c>
      <c r="Y265" s="50">
        <f>IFERROR(INDEX(DraftResults[[#All],[OVR]],MATCH(Table5[[#This Row],[PID]],DraftResults[[#All],[Player ID]],0)),"")</f>
        <v>200</v>
      </c>
      <c r="Z265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6</v>
      </c>
      <c r="AA265" s="50">
        <f>IFERROR(INDEX(DraftResults[[#All],[Pick in Round]],MATCH(Table5[[#This Row],[PID]],DraftResults[[#All],[Player ID]],0)),"")</f>
        <v>31</v>
      </c>
      <c r="AB265" s="50" t="str">
        <f>IFERROR(INDEX(DraftResults[[#All],[Team Name]],MATCH(Table5[[#This Row],[PID]],DraftResults[[#All],[Player ID]],0)),"")</f>
        <v>Kentucky Thoroughbreds</v>
      </c>
      <c r="AC265" s="50">
        <f>IF(Table5[[#This Row],[Ovr]]="","",IF(Table5[[#This Row],[cmbList]]="","",Table5[[#This Row],[cmbList]]-Table5[[#This Row],[Ovr]]))</f>
        <v>1031</v>
      </c>
      <c r="AD265" s="54" t="str">
        <f>IF(ISERROR(VLOOKUP($AB265&amp;"-"&amp;$E265&amp;" "&amp;F265,Bonuses!$B$1:$G$1006,4,FALSE)),"",INT(VLOOKUP($AB265&amp;"-"&amp;$E265&amp;" "&amp;$F265,Bonuses!$B$1:$G$1006,4,FALSE)))</f>
        <v/>
      </c>
      <c r="AE265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6.31 (200) - 1B Enrique Ramírez</v>
      </c>
    </row>
    <row r="266" spans="1:31" s="50" customFormat="1" x14ac:dyDescent="0.3">
      <c r="A266" s="50">
        <v>11689</v>
      </c>
      <c r="B266" s="50">
        <f>COUNTIF(Table5[PID],A266)</f>
        <v>1</v>
      </c>
      <c r="C266" s="50" t="str">
        <f>IF(COUNTIF(Table3[[#All],[PID]],A266)&gt;0,"P","B")</f>
        <v>P</v>
      </c>
      <c r="D266" s="59" t="str">
        <f>IF($C266="B",INDEX(Batters[[#All],[POS]],MATCH(Table5[[#This Row],[PID]],Batters[[#All],[PID]],0)),INDEX(Table3[[#All],[POS]],MATCH(Table5[[#This Row],[PID]],Table3[[#All],[PID]],0)))</f>
        <v>SP</v>
      </c>
      <c r="E266" s="52" t="str">
        <f>IF($C266="B",INDEX(Batters[[#All],[First]],MATCH(Table5[[#This Row],[PID]],Batters[[#All],[PID]],0)),INDEX(Table3[[#All],[First]],MATCH(Table5[[#This Row],[PID]],Table3[[#All],[PID]],0)))</f>
        <v>Nick</v>
      </c>
      <c r="F266" s="50" t="str">
        <f>IF($C266="B",INDEX(Batters[[#All],[Last]],MATCH(A266,Batters[[#All],[PID]],0)),INDEX(Table3[[#All],[Last]],MATCH(A266,Table3[[#All],[PID]],0)))</f>
        <v>Snyder</v>
      </c>
      <c r="G266" s="56">
        <f>IF($C266="B",INDEX(Batters[[#All],[Age]],MATCH(Table5[[#This Row],[PID]],Batters[[#All],[PID]],0)),INDEX(Table3[[#All],[Age]],MATCH(Table5[[#This Row],[PID]],Table3[[#All],[PID]],0)))</f>
        <v>17</v>
      </c>
      <c r="H266" s="52" t="str">
        <f>IF($C266="B",INDEX(Batters[[#All],[B]],MATCH(Table5[[#This Row],[PID]],Batters[[#All],[PID]],0)),INDEX(Table3[[#All],[B]],MATCH(Table5[[#This Row],[PID]],Table3[[#All],[PID]],0)))</f>
        <v>R</v>
      </c>
      <c r="I266" s="52" t="str">
        <f>IF($C266="B",INDEX(Batters[[#All],[T]],MATCH(Table5[[#This Row],[PID]],Batters[[#All],[PID]],0)),INDEX(Table3[[#All],[T]],MATCH(Table5[[#This Row],[PID]],Table3[[#All],[PID]],0)))</f>
        <v>R</v>
      </c>
      <c r="J266" s="52" t="str">
        <f>IF($C266="B",INDEX(Batters[[#All],[WE]],MATCH(Table5[[#This Row],[PID]],Batters[[#All],[PID]],0)),INDEX(Table3[[#All],[WE]],MATCH(Table5[[#This Row],[PID]],Table3[[#All],[PID]],0)))</f>
        <v>Normal</v>
      </c>
      <c r="K266" s="52" t="str">
        <f>IF($C266="B",INDEX(Batters[[#All],[INT]],MATCH(Table5[[#This Row],[PID]],Batters[[#All],[PID]],0)),INDEX(Table3[[#All],[INT]],MATCH(Table5[[#This Row],[PID]],Table3[[#All],[PID]],0)))</f>
        <v>Normal</v>
      </c>
      <c r="L266" s="60">
        <f>IF($C266="B",INDEX(Batters[[#All],[CON P]],MATCH(Table5[[#This Row],[PID]],Batters[[#All],[PID]],0)),INDEX(Table3[[#All],[STU P]],MATCH(Table5[[#This Row],[PID]],Table3[[#All],[PID]],0)))</f>
        <v>4</v>
      </c>
      <c r="M266" s="56">
        <f>IF($C266="B",INDEX(Batters[[#All],[GAP P]],MATCH(Table5[[#This Row],[PID]],Batters[[#All],[PID]],0)),INDEX(Table3[[#All],[MOV P]],MATCH(Table5[[#This Row],[PID]],Table3[[#All],[PID]],0)))</f>
        <v>2</v>
      </c>
      <c r="N266" s="56">
        <f>IF($C266="B",INDEX(Batters[[#All],[POW P]],MATCH(Table5[[#This Row],[PID]],Batters[[#All],[PID]],0)),INDEX(Table3[[#All],[CON P]],MATCH(Table5[[#This Row],[PID]],Table3[[#All],[PID]],0)))</f>
        <v>4</v>
      </c>
      <c r="O266" s="56" t="str">
        <f>IF($C266="B",INDEX(Batters[[#All],[EYE P]],MATCH(Table5[[#This Row],[PID]],Batters[[#All],[PID]],0)),INDEX(Table3[[#All],[VELO]],MATCH(Table5[[#This Row],[PID]],Table3[[#All],[PID]],0)))</f>
        <v>91-93 Mph</v>
      </c>
      <c r="P266" s="56">
        <f>IF($C266="B",INDEX(Batters[[#All],[K P]],MATCH(Table5[[#This Row],[PID]],Batters[[#All],[PID]],0)),INDEX(Table3[[#All],[STM]],MATCH(Table5[[#This Row],[PID]],Table3[[#All],[PID]],0)))</f>
        <v>6</v>
      </c>
      <c r="Q266" s="61">
        <f>IF($C266="B",INDEX(Batters[[#All],[Tot]],MATCH(Table5[[#This Row],[PID]],Batters[[#All],[PID]],0)),INDEX(Table3[[#All],[Tot]],MATCH(Table5[[#This Row],[PID]],Table3[[#All],[PID]],0)))</f>
        <v>42.061496959599083</v>
      </c>
      <c r="R266" s="52">
        <f>IF($C266="B",INDEX(Batters[[#All],[zScore]],MATCH(Table5[[#This Row],[PID]],Batters[[#All],[PID]],0)),INDEX(Table3[[#All],[zScore]],MATCH(Table5[[#This Row],[PID]],Table3[[#All],[PID]],0)))</f>
        <v>0.30326465549906378</v>
      </c>
      <c r="S266" s="58" t="str">
        <f>IF($C266="B",INDEX(Batters[[#All],[DEM]],MATCH(Table5[[#This Row],[PID]],Batters[[#All],[PID]],0)),INDEX(Table3[[#All],[DEM]],MATCH(Table5[[#This Row],[PID]],Table3[[#All],[PID]],0)))</f>
        <v>$38k</v>
      </c>
      <c r="T266" s="62">
        <f>IF($C266="B",INDEX(Batters[[#All],[Rnk]],MATCH(Table5[[#This Row],[PID]],Batters[[#All],[PID]],0)),INDEX(Table3[[#All],[Rnk]],MATCH(Table5[[#This Row],[PID]],Table3[[#All],[PID]],0)))</f>
        <v>900</v>
      </c>
      <c r="U266" s="67">
        <f>IF($C266="B",VLOOKUP($A266,Bat!$A$4:$BA$1314,47,FALSE),VLOOKUP($A266,Pit!$A$4:$BF$1214,56,FALSE))</f>
        <v>98</v>
      </c>
      <c r="V266" s="50">
        <f>IF($C266="B",VLOOKUP($A266,Bat!$A$4:$BA$1314,48,FALSE),VLOOKUP($A266,Pit!$A$4:$BF$1214,57,FALSE))</f>
        <v>0</v>
      </c>
      <c r="W266" s="68">
        <f>IF(Table5[[#This Row],[posRnk]]=999,9999,Table5[[#This Row],[posRnk]]+Table5[[#This Row],[zRnk]]+IF($W$3&lt;&gt;Table5[[#This Row],[Type]],50,0))</f>
        <v>1182</v>
      </c>
      <c r="X266" s="51">
        <f>RANK(Table5[[#This Row],[zScore]],Table5[[#All],[zScore]])</f>
        <v>282</v>
      </c>
      <c r="Y266" s="50">
        <f>IFERROR(INDEX(DraftResults[[#All],[OVR]],MATCH(Table5[[#This Row],[PID]],DraftResults[[#All],[Player ID]],0)),"")</f>
        <v>294</v>
      </c>
      <c r="Z266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9</v>
      </c>
      <c r="AA266" s="50">
        <f>IFERROR(INDEX(DraftResults[[#All],[Pick in Round]],MATCH(Table5[[#This Row],[PID]],DraftResults[[#All],[Player ID]],0)),"")</f>
        <v>29</v>
      </c>
      <c r="AB266" s="50" t="str">
        <f>IFERROR(INDEX(DraftResults[[#All],[Team Name]],MATCH(Table5[[#This Row],[PID]],DraftResults[[#All],[Player ID]],0)),"")</f>
        <v>Charleston Statesmen</v>
      </c>
      <c r="AC266" s="50">
        <f>IF(Table5[[#This Row],[Ovr]]="","",IF(Table5[[#This Row],[cmbList]]="","",Table5[[#This Row],[cmbList]]-Table5[[#This Row],[Ovr]]))</f>
        <v>888</v>
      </c>
      <c r="AD266" s="54" t="str">
        <f>IF(ISERROR(VLOOKUP($AB266&amp;"-"&amp;$E266&amp;" "&amp;F266,Bonuses!$B$1:$G$1006,4,FALSE)),"",INT(VLOOKUP($AB266&amp;"-"&amp;$E266&amp;" "&amp;$F266,Bonuses!$B$1:$G$1006,4,FALSE)))</f>
        <v/>
      </c>
      <c r="AE266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9.29 (294) - SP Nick Snyder</v>
      </c>
    </row>
    <row r="267" spans="1:31" s="50" customFormat="1" x14ac:dyDescent="0.3">
      <c r="A267" s="67">
        <v>9019</v>
      </c>
      <c r="B267" s="68">
        <f>COUNTIF(Table5[PID],A267)</f>
        <v>1</v>
      </c>
      <c r="C267" s="68" t="str">
        <f>IF(COUNTIF(Table3[[#All],[PID]],A267)&gt;0,"P","B")</f>
        <v>B</v>
      </c>
      <c r="D267" s="59" t="str">
        <f>IF($C267="B",INDEX(Batters[[#All],[POS]],MATCH(Table5[[#This Row],[PID]],Batters[[#All],[PID]],0)),INDEX(Table3[[#All],[POS]],MATCH(Table5[[#This Row],[PID]],Table3[[#All],[PID]],0)))</f>
        <v>C</v>
      </c>
      <c r="E267" s="52" t="str">
        <f>IF($C267="B",INDEX(Batters[[#All],[First]],MATCH(Table5[[#This Row],[PID]],Batters[[#All],[PID]],0)),INDEX(Table3[[#All],[First]],MATCH(Table5[[#This Row],[PID]],Table3[[#All],[PID]],0)))</f>
        <v>Kurt</v>
      </c>
      <c r="F267" s="55" t="str">
        <f>IF($C267="B",INDEX(Batters[[#All],[Last]],MATCH(A267,Batters[[#All],[PID]],0)),INDEX(Table3[[#All],[Last]],MATCH(A267,Table3[[#All],[PID]],0)))</f>
        <v>Wallace</v>
      </c>
      <c r="G267" s="56">
        <f>IF($C267="B",INDEX(Batters[[#All],[Age]],MATCH(Table5[[#This Row],[PID]],Batters[[#All],[PID]],0)),INDEX(Table3[[#All],[Age]],MATCH(Table5[[#This Row],[PID]],Table3[[#All],[PID]],0)))</f>
        <v>18</v>
      </c>
      <c r="H267" s="52" t="str">
        <f>IF($C267="B",INDEX(Batters[[#All],[B]],MATCH(Table5[[#This Row],[PID]],Batters[[#All],[PID]],0)),INDEX(Table3[[#All],[B]],MATCH(Table5[[#This Row],[PID]],Table3[[#All],[PID]],0)))</f>
        <v>R</v>
      </c>
      <c r="I267" s="52" t="str">
        <f>IF($C267="B",INDEX(Batters[[#All],[T]],MATCH(Table5[[#This Row],[PID]],Batters[[#All],[PID]],0)),INDEX(Table3[[#All],[T]],MATCH(Table5[[#This Row],[PID]],Table3[[#All],[PID]],0)))</f>
        <v>R</v>
      </c>
      <c r="J267" s="69" t="str">
        <f>IF($C267="B",INDEX(Batters[[#All],[WE]],MATCH(Table5[[#This Row],[PID]],Batters[[#All],[PID]],0)),INDEX(Table3[[#All],[WE]],MATCH(Table5[[#This Row],[PID]],Table3[[#All],[PID]],0)))</f>
        <v>High</v>
      </c>
      <c r="K267" s="52" t="str">
        <f>IF($C267="B",INDEX(Batters[[#All],[INT]],MATCH(Table5[[#This Row],[PID]],Batters[[#All],[PID]],0)),INDEX(Table3[[#All],[INT]],MATCH(Table5[[#This Row],[PID]],Table3[[#All],[PID]],0)))</f>
        <v>Normal</v>
      </c>
      <c r="L267" s="60">
        <f>IF($C267="B",INDEX(Batters[[#All],[CON P]],MATCH(Table5[[#This Row],[PID]],Batters[[#All],[PID]],0)),INDEX(Table3[[#All],[STU P]],MATCH(Table5[[#This Row],[PID]],Table3[[#All],[PID]],0)))</f>
        <v>4</v>
      </c>
      <c r="M267" s="70">
        <f>IF($C267="B",INDEX(Batters[[#All],[GAP P]],MATCH(Table5[[#This Row],[PID]],Batters[[#All],[PID]],0)),INDEX(Table3[[#All],[MOV P]],MATCH(Table5[[#This Row],[PID]],Table3[[#All],[PID]],0)))</f>
        <v>4</v>
      </c>
      <c r="N267" s="70">
        <f>IF($C267="B",INDEX(Batters[[#All],[POW P]],MATCH(Table5[[#This Row],[PID]],Batters[[#All],[PID]],0)),INDEX(Table3[[#All],[CON P]],MATCH(Table5[[#This Row],[PID]],Table3[[#All],[PID]],0)))</f>
        <v>2</v>
      </c>
      <c r="O267" s="70">
        <f>IF($C267="B",INDEX(Batters[[#All],[EYE P]],MATCH(Table5[[#This Row],[PID]],Batters[[#All],[PID]],0)),INDEX(Table3[[#All],[VELO]],MATCH(Table5[[#This Row],[PID]],Table3[[#All],[PID]],0)))</f>
        <v>5</v>
      </c>
      <c r="P267" s="56">
        <f>IF($C267="B",INDEX(Batters[[#All],[K P]],MATCH(Table5[[#This Row],[PID]],Batters[[#All],[PID]],0)),INDEX(Table3[[#All],[STM]],MATCH(Table5[[#This Row],[PID]],Table3[[#All],[PID]],0)))</f>
        <v>4</v>
      </c>
      <c r="Q267" s="61">
        <f>IF($C267="B",INDEX(Batters[[#All],[Tot]],MATCH(Table5[[#This Row],[PID]],Batters[[#All],[PID]],0)),INDEX(Table3[[#All],[Tot]],MATCH(Table5[[#This Row],[PID]],Table3[[#All],[PID]],0)))</f>
        <v>45.295378891182921</v>
      </c>
      <c r="R267" s="52">
        <f>IF($C267="B",INDEX(Batters[[#All],[zScore]],MATCH(Table5[[#This Row],[PID]],Batters[[#All],[PID]],0)),INDEX(Table3[[#All],[zScore]],MATCH(Table5[[#This Row],[PID]],Table3[[#All],[PID]],0)))</f>
        <v>0.30315946387725062</v>
      </c>
      <c r="S267" s="75" t="str">
        <f>IF($C267="B",INDEX(Batters[[#All],[DEM]],MATCH(Table5[[#This Row],[PID]],Batters[[#All],[PID]],0)),INDEX(Table3[[#All],[DEM]],MATCH(Table5[[#This Row],[PID]],Table3[[#All],[PID]],0)))</f>
        <v>$65k</v>
      </c>
      <c r="T267" s="72">
        <f>IF($C267="B",INDEX(Batters[[#All],[Rnk]],MATCH(Table5[[#This Row],[PID]],Batters[[#All],[PID]],0)),INDEX(Table3[[#All],[Rnk]],MATCH(Table5[[#This Row],[PID]],Table3[[#All],[PID]],0)))</f>
        <v>900</v>
      </c>
      <c r="U267" s="67">
        <f>IF($C267="B",VLOOKUP($A267,Bat!$A$4:$BA$1314,47,FALSE),VLOOKUP($A267,Pit!$A$4:$BF$1214,56,FALSE))</f>
        <v>140</v>
      </c>
      <c r="V267" s="50">
        <f>IF($C267="B",VLOOKUP($A267,Bat!$A$4:$BA$1314,48,FALSE),VLOOKUP($A267,Pit!$A$4:$BF$1214,57,FALSE))</f>
        <v>0</v>
      </c>
      <c r="W267" s="68">
        <f>IF(Table5[[#This Row],[posRnk]]=999,9999,Table5[[#This Row],[posRnk]]+Table5[[#This Row],[zRnk]]+IF($W$3&lt;&gt;Table5[[#This Row],[Type]],50,0))</f>
        <v>1233</v>
      </c>
      <c r="X267" s="71">
        <f>RANK(Table5[[#This Row],[zScore]],Table5[[#All],[zScore]])</f>
        <v>283</v>
      </c>
      <c r="Y267" s="68">
        <f>IFERROR(INDEX(DraftResults[[#All],[OVR]],MATCH(Table5[[#This Row],[PID]],DraftResults[[#All],[Player ID]],0)),"")</f>
        <v>501</v>
      </c>
      <c r="Z267" s="7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15</v>
      </c>
      <c r="AA267" s="68">
        <f>IFERROR(INDEX(DraftResults[[#All],[Pick in Round]],MATCH(Table5[[#This Row],[PID]],DraftResults[[#All],[Player ID]],0)),"")</f>
        <v>34</v>
      </c>
      <c r="AB267" s="68" t="str">
        <f>IFERROR(INDEX(DraftResults[[#All],[Team Name]],MATCH(Table5[[#This Row],[PID]],DraftResults[[#All],[Player ID]],0)),"")</f>
        <v>New Jersey Hitmen</v>
      </c>
      <c r="AC267" s="68">
        <f>IF(Table5[[#This Row],[Ovr]]="","",IF(Table5[[#This Row],[cmbList]]="","",Table5[[#This Row],[cmbList]]-Table5[[#This Row],[Ovr]]))</f>
        <v>732</v>
      </c>
      <c r="AD267" s="74" t="str">
        <f>IF(ISERROR(VLOOKUP($AB267&amp;"-"&amp;$E267&amp;" "&amp;F267,Bonuses!$B$1:$G$1006,4,FALSE)),"",INT(VLOOKUP($AB267&amp;"-"&amp;$E267&amp;" "&amp;$F267,Bonuses!$B$1:$G$1006,4,FALSE)))</f>
        <v/>
      </c>
      <c r="AE267" s="68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15.34 (501) - C Kurt Wallace</v>
      </c>
    </row>
    <row r="268" spans="1:31" s="50" customFormat="1" x14ac:dyDescent="0.3">
      <c r="A268" s="67">
        <v>14624</v>
      </c>
      <c r="B268" s="68">
        <f>COUNTIF(Table5[PID],A268)</f>
        <v>1</v>
      </c>
      <c r="C268" s="68" t="str">
        <f>IF(COUNTIF(Table3[[#All],[PID]],A268)&gt;0,"P","B")</f>
        <v>B</v>
      </c>
      <c r="D268" s="59" t="str">
        <f>IF($C268="B",INDEX(Batters[[#All],[POS]],MATCH(Table5[[#This Row],[PID]],Batters[[#All],[PID]],0)),INDEX(Table3[[#All],[POS]],MATCH(Table5[[#This Row],[PID]],Table3[[#All],[PID]],0)))</f>
        <v>LF</v>
      </c>
      <c r="E268" s="52" t="str">
        <f>IF($C268="B",INDEX(Batters[[#All],[First]],MATCH(Table5[[#This Row],[PID]],Batters[[#All],[PID]],0)),INDEX(Table3[[#All],[First]],MATCH(Table5[[#This Row],[PID]],Table3[[#All],[PID]],0)))</f>
        <v>Pat</v>
      </c>
      <c r="F268" s="55" t="str">
        <f>IF($C268="B",INDEX(Batters[[#All],[Last]],MATCH(A268,Batters[[#All],[PID]],0)),INDEX(Table3[[#All],[Last]],MATCH(A268,Table3[[#All],[PID]],0)))</f>
        <v>Anderson</v>
      </c>
      <c r="G268" s="56">
        <f>IF($C268="B",INDEX(Batters[[#All],[Age]],MATCH(Table5[[#This Row],[PID]],Batters[[#All],[PID]],0)),INDEX(Table3[[#All],[Age]],MATCH(Table5[[#This Row],[PID]],Table3[[#All],[PID]],0)))</f>
        <v>21</v>
      </c>
      <c r="H268" s="52" t="str">
        <f>IF($C268="B",INDEX(Batters[[#All],[B]],MATCH(Table5[[#This Row],[PID]],Batters[[#All],[PID]],0)),INDEX(Table3[[#All],[B]],MATCH(Table5[[#This Row],[PID]],Table3[[#All],[PID]],0)))</f>
        <v>L</v>
      </c>
      <c r="I268" s="52" t="str">
        <f>IF($C268="B",INDEX(Batters[[#All],[T]],MATCH(Table5[[#This Row],[PID]],Batters[[#All],[PID]],0)),INDEX(Table3[[#All],[T]],MATCH(Table5[[#This Row],[PID]],Table3[[#All],[PID]],0)))</f>
        <v>L</v>
      </c>
      <c r="J268" s="69" t="str">
        <f>IF($C268="B",INDEX(Batters[[#All],[WE]],MATCH(Table5[[#This Row],[PID]],Batters[[#All],[PID]],0)),INDEX(Table3[[#All],[WE]],MATCH(Table5[[#This Row],[PID]],Table3[[#All],[PID]],0)))</f>
        <v>High</v>
      </c>
      <c r="K268" s="52" t="str">
        <f>IF($C268="B",INDEX(Batters[[#All],[INT]],MATCH(Table5[[#This Row],[PID]],Batters[[#All],[PID]],0)),INDEX(Table3[[#All],[INT]],MATCH(Table5[[#This Row],[PID]],Table3[[#All],[PID]],0)))</f>
        <v>Normal</v>
      </c>
      <c r="L268" s="60">
        <f>IF($C268="B",INDEX(Batters[[#All],[CON P]],MATCH(Table5[[#This Row],[PID]],Batters[[#All],[PID]],0)),INDEX(Table3[[#All],[STU P]],MATCH(Table5[[#This Row],[PID]],Table3[[#All],[PID]],0)))</f>
        <v>4</v>
      </c>
      <c r="M268" s="70">
        <f>IF($C268="B",INDEX(Batters[[#All],[GAP P]],MATCH(Table5[[#This Row],[PID]],Batters[[#All],[PID]],0)),INDEX(Table3[[#All],[MOV P]],MATCH(Table5[[#This Row],[PID]],Table3[[#All],[PID]],0)))</f>
        <v>5</v>
      </c>
      <c r="N268" s="70">
        <f>IF($C268="B",INDEX(Batters[[#All],[POW P]],MATCH(Table5[[#This Row],[PID]],Batters[[#All],[PID]],0)),INDEX(Table3[[#All],[CON P]],MATCH(Table5[[#This Row],[PID]],Table3[[#All],[PID]],0)))</f>
        <v>6</v>
      </c>
      <c r="O268" s="70">
        <f>IF($C268="B",INDEX(Batters[[#All],[EYE P]],MATCH(Table5[[#This Row],[PID]],Batters[[#All],[PID]],0)),INDEX(Table3[[#All],[VELO]],MATCH(Table5[[#This Row],[PID]],Table3[[#All],[PID]],0)))</f>
        <v>4</v>
      </c>
      <c r="P268" s="56">
        <f>IF($C268="B",INDEX(Batters[[#All],[K P]],MATCH(Table5[[#This Row],[PID]],Batters[[#All],[PID]],0)),INDEX(Table3[[#All],[STM]],MATCH(Table5[[#This Row],[PID]],Table3[[#All],[PID]],0)))</f>
        <v>5</v>
      </c>
      <c r="Q268" s="61">
        <f>IF($C268="B",INDEX(Batters[[#All],[Tot]],MATCH(Table5[[#This Row],[PID]],Batters[[#All],[PID]],0)),INDEX(Table3[[#All],[Tot]],MATCH(Table5[[#This Row],[PID]],Table3[[#All],[PID]],0)))</f>
        <v>45.199811902688779</v>
      </c>
      <c r="R268" s="52">
        <f>IF($C268="B",INDEX(Batters[[#All],[zScore]],MATCH(Table5[[#This Row],[PID]],Batters[[#All],[PID]],0)),INDEX(Table3[[#All],[zScore]],MATCH(Table5[[#This Row],[PID]],Table3[[#All],[PID]],0)))</f>
        <v>0.28920973122208965</v>
      </c>
      <c r="S268" s="75" t="str">
        <f>IF($C268="B",INDEX(Batters[[#All],[DEM]],MATCH(Table5[[#This Row],[PID]],Batters[[#All],[PID]],0)),INDEX(Table3[[#All],[DEM]],MATCH(Table5[[#This Row],[PID]],Table3[[#All],[PID]],0)))</f>
        <v>$110k</v>
      </c>
      <c r="T268" s="72">
        <f>IF($C268="B",INDEX(Batters[[#All],[Rnk]],MATCH(Table5[[#This Row],[PID]],Batters[[#All],[PID]],0)),INDEX(Table3[[#All],[Rnk]],MATCH(Table5[[#This Row],[PID]],Table3[[#All],[PID]],0)))</f>
        <v>900</v>
      </c>
      <c r="U268" s="67">
        <f>IF($C268="B",VLOOKUP($A268,Bat!$A$4:$BA$1314,47,FALSE),VLOOKUP($A268,Pit!$A$4:$BF$1214,56,FALSE))</f>
        <v>141</v>
      </c>
      <c r="V268" s="50">
        <f>IF($C268="B",VLOOKUP($A268,Bat!$A$4:$BA$1314,48,FALSE),VLOOKUP($A268,Pit!$A$4:$BF$1214,57,FALSE))</f>
        <v>0</v>
      </c>
      <c r="W268" s="68">
        <f>IF(Table5[[#This Row],[posRnk]]=999,9999,Table5[[#This Row],[posRnk]]+Table5[[#This Row],[zRnk]]+IF($W$3&lt;&gt;Table5[[#This Row],[Type]],50,0))</f>
        <v>1235</v>
      </c>
      <c r="X268" s="71">
        <f>RANK(Table5[[#This Row],[zScore]],Table5[[#All],[zScore]])</f>
        <v>285</v>
      </c>
      <c r="Y268" s="68">
        <f>IFERROR(INDEX(DraftResults[[#All],[OVR]],MATCH(Table5[[#This Row],[PID]],DraftResults[[#All],[Player ID]],0)),"")</f>
        <v>85</v>
      </c>
      <c r="Z268" s="7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3</v>
      </c>
      <c r="AA268" s="68">
        <f>IFERROR(INDEX(DraftResults[[#All],[Pick in Round]],MATCH(Table5[[#This Row],[PID]],DraftResults[[#All],[Player ID]],0)),"")</f>
        <v>13</v>
      </c>
      <c r="AB268" s="68" t="str">
        <f>IFERROR(INDEX(DraftResults[[#All],[Team Name]],MATCH(Table5[[#This Row],[PID]],DraftResults[[#All],[Player ID]],0)),"")</f>
        <v>Scottish Claymores</v>
      </c>
      <c r="AC268" s="68">
        <f>IF(Table5[[#This Row],[Ovr]]="","",IF(Table5[[#This Row],[cmbList]]="","",Table5[[#This Row],[cmbList]]-Table5[[#This Row],[Ovr]]))</f>
        <v>1150</v>
      </c>
      <c r="AD268" s="74" t="str">
        <f>IF(ISERROR(VLOOKUP($AB268&amp;"-"&amp;$E268&amp;" "&amp;F268,Bonuses!$B$1:$G$1006,4,FALSE)),"",INT(VLOOKUP($AB268&amp;"-"&amp;$E268&amp;" "&amp;$F268,Bonuses!$B$1:$G$1006,4,FALSE)))</f>
        <v/>
      </c>
      <c r="AE268" s="68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3.13 (85) - LF Pat Anderson</v>
      </c>
    </row>
    <row r="269" spans="1:31" s="50" customFormat="1" x14ac:dyDescent="0.3">
      <c r="A269" s="50">
        <v>12400</v>
      </c>
      <c r="B269" s="50">
        <f>COUNTIF(Table5[PID],A269)</f>
        <v>1</v>
      </c>
      <c r="C269" s="50" t="str">
        <f>IF(COUNTIF(Table3[[#All],[PID]],A269)&gt;0,"P","B")</f>
        <v>P</v>
      </c>
      <c r="D269" s="59" t="str">
        <f>IF($C269="B",INDEX(Batters[[#All],[POS]],MATCH(Table5[[#This Row],[PID]],Batters[[#All],[PID]],0)),INDEX(Table3[[#All],[POS]],MATCH(Table5[[#This Row],[PID]],Table3[[#All],[PID]],0)))</f>
        <v>SP</v>
      </c>
      <c r="E269" s="52" t="str">
        <f>IF($C269="B",INDEX(Batters[[#All],[First]],MATCH(Table5[[#This Row],[PID]],Batters[[#All],[PID]],0)),INDEX(Table3[[#All],[First]],MATCH(Table5[[#This Row],[PID]],Table3[[#All],[PID]],0)))</f>
        <v>Willie</v>
      </c>
      <c r="F269" s="50" t="str">
        <f>IF($C269="B",INDEX(Batters[[#All],[Last]],MATCH(A269,Batters[[#All],[PID]],0)),INDEX(Table3[[#All],[Last]],MATCH(A269,Table3[[#All],[PID]],0)))</f>
        <v>Delgado</v>
      </c>
      <c r="G269" s="56">
        <f>IF($C269="B",INDEX(Batters[[#All],[Age]],MATCH(Table5[[#This Row],[PID]],Batters[[#All],[PID]],0)),INDEX(Table3[[#All],[Age]],MATCH(Table5[[#This Row],[PID]],Table3[[#All],[PID]],0)))</f>
        <v>18</v>
      </c>
      <c r="H269" s="52" t="str">
        <f>IF($C269="B",INDEX(Batters[[#All],[B]],MATCH(Table5[[#This Row],[PID]],Batters[[#All],[PID]],0)),INDEX(Table3[[#All],[B]],MATCH(Table5[[#This Row],[PID]],Table3[[#All],[PID]],0)))</f>
        <v>R</v>
      </c>
      <c r="I269" s="52" t="str">
        <f>IF($C269="B",INDEX(Batters[[#All],[T]],MATCH(Table5[[#This Row],[PID]],Batters[[#All],[PID]],0)),INDEX(Table3[[#All],[T]],MATCH(Table5[[#This Row],[PID]],Table3[[#All],[PID]],0)))</f>
        <v>R</v>
      </c>
      <c r="J269" s="52" t="str">
        <f>IF($C269="B",INDEX(Batters[[#All],[WE]],MATCH(Table5[[#This Row],[PID]],Batters[[#All],[PID]],0)),INDEX(Table3[[#All],[WE]],MATCH(Table5[[#This Row],[PID]],Table3[[#All],[PID]],0)))</f>
        <v>Normal</v>
      </c>
      <c r="K269" s="52" t="str">
        <f>IF($C269="B",INDEX(Batters[[#All],[INT]],MATCH(Table5[[#This Row],[PID]],Batters[[#All],[PID]],0)),INDEX(Table3[[#All],[INT]],MATCH(Table5[[#This Row],[PID]],Table3[[#All],[PID]],0)))</f>
        <v>Low</v>
      </c>
      <c r="L269" s="60">
        <f>IF($C269="B",INDEX(Batters[[#All],[CON P]],MATCH(Table5[[#This Row],[PID]],Batters[[#All],[PID]],0)),INDEX(Table3[[#All],[STU P]],MATCH(Table5[[#This Row],[PID]],Table3[[#All],[PID]],0)))</f>
        <v>4</v>
      </c>
      <c r="M269" s="56">
        <f>IF($C269="B",INDEX(Batters[[#All],[GAP P]],MATCH(Table5[[#This Row],[PID]],Batters[[#All],[PID]],0)),INDEX(Table3[[#All],[MOV P]],MATCH(Table5[[#This Row],[PID]],Table3[[#All],[PID]],0)))</f>
        <v>3</v>
      </c>
      <c r="N269" s="56">
        <f>IF($C269="B",INDEX(Batters[[#All],[POW P]],MATCH(Table5[[#This Row],[PID]],Batters[[#All],[PID]],0)),INDEX(Table3[[#All],[CON P]],MATCH(Table5[[#This Row],[PID]],Table3[[#All],[PID]],0)))</f>
        <v>4</v>
      </c>
      <c r="O269" s="56" t="str">
        <f>IF($C269="B",INDEX(Batters[[#All],[EYE P]],MATCH(Table5[[#This Row],[PID]],Batters[[#All],[PID]],0)),INDEX(Table3[[#All],[VELO]],MATCH(Table5[[#This Row],[PID]],Table3[[#All],[PID]],0)))</f>
        <v>88-90 Mph</v>
      </c>
      <c r="P269" s="56">
        <f>IF($C269="B",INDEX(Batters[[#All],[K P]],MATCH(Table5[[#This Row],[PID]],Batters[[#All],[PID]],0)),INDEX(Table3[[#All],[STM]],MATCH(Table5[[#This Row],[PID]],Table3[[#All],[PID]],0)))</f>
        <v>6</v>
      </c>
      <c r="Q269" s="61">
        <f>IF($C269="B",INDEX(Batters[[#All],[Tot]],MATCH(Table5[[#This Row],[PID]],Batters[[#All],[PID]],0)),INDEX(Table3[[#All],[Tot]],MATCH(Table5[[#This Row],[PID]],Table3[[#All],[PID]],0)))</f>
        <v>43.838272104308473</v>
      </c>
      <c r="R269" s="52">
        <f>IF($C269="B",INDEX(Batters[[#All],[zScore]],MATCH(Table5[[#This Row],[PID]],Batters[[#All],[PID]],0)),INDEX(Table3[[#All],[zScore]],MATCH(Table5[[#This Row],[PID]],Table3[[#All],[PID]],0)))</f>
        <v>0.42978354163627119</v>
      </c>
      <c r="S269" s="58" t="str">
        <f>IF($C269="B",INDEX(Batters[[#All],[DEM]],MATCH(Table5[[#This Row],[PID]],Batters[[#All],[PID]],0)),INDEX(Table3[[#All],[DEM]],MATCH(Table5[[#This Row],[PID]],Table3[[#All],[PID]],0)))</f>
        <v>$38k</v>
      </c>
      <c r="T269" s="62">
        <f>IF($C269="B",INDEX(Batters[[#All],[Rnk]],MATCH(Table5[[#This Row],[PID]],Batters[[#All],[PID]],0)),INDEX(Table3[[#All],[Rnk]],MATCH(Table5[[#This Row],[PID]],Table3[[#All],[PID]],0)))</f>
        <v>940</v>
      </c>
      <c r="U269" s="67">
        <f>IF($C269="B",VLOOKUP($A269,Bat!$A$4:$BA$1314,47,FALSE),VLOOKUP($A269,Pit!$A$4:$BF$1214,56,FALSE))</f>
        <v>388</v>
      </c>
      <c r="V269" s="50">
        <f>IF($C269="B",VLOOKUP($A269,Bat!$A$4:$BA$1314,48,FALSE),VLOOKUP($A269,Pit!$A$4:$BF$1214,57,FALSE))</f>
        <v>0</v>
      </c>
      <c r="W269" s="68">
        <f>IF(Table5[[#This Row],[posRnk]]=999,9999,Table5[[#This Row],[posRnk]]+Table5[[#This Row],[zRnk]]+IF($W$3&lt;&gt;Table5[[#This Row],[Type]],50,0))</f>
        <v>1185</v>
      </c>
      <c r="X269" s="51">
        <f>RANK(Table5[[#This Row],[zScore]],Table5[[#All],[zScore]])</f>
        <v>245</v>
      </c>
      <c r="Y269" s="50">
        <f>IFERROR(INDEX(DraftResults[[#All],[OVR]],MATCH(Table5[[#This Row],[PID]],DraftResults[[#All],[Player ID]],0)),"")</f>
        <v>563</v>
      </c>
      <c r="Z269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17</v>
      </c>
      <c r="AA269" s="50">
        <f>IFERROR(INDEX(DraftResults[[#All],[Pick in Round]],MATCH(Table5[[#This Row],[PID]],DraftResults[[#All],[Player ID]],0)),"")</f>
        <v>28</v>
      </c>
      <c r="AB269" s="50" t="str">
        <f>IFERROR(INDEX(DraftResults[[#All],[Team Name]],MATCH(Table5[[#This Row],[PID]],DraftResults[[#All],[Player ID]],0)),"")</f>
        <v>Amsterdam Lions</v>
      </c>
      <c r="AC269" s="50">
        <f>IF(Table5[[#This Row],[Ovr]]="","",IF(Table5[[#This Row],[cmbList]]="","",Table5[[#This Row],[cmbList]]-Table5[[#This Row],[Ovr]]))</f>
        <v>622</v>
      </c>
      <c r="AD269" s="54" t="str">
        <f>IF(ISERROR(VLOOKUP($AB269&amp;"-"&amp;$E269&amp;" "&amp;F269,Bonuses!$B$1:$G$1006,4,FALSE)),"",INT(VLOOKUP($AB269&amp;"-"&amp;$E269&amp;" "&amp;$F269,Bonuses!$B$1:$G$1006,4,FALSE)))</f>
        <v/>
      </c>
      <c r="AE269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17.28 (563) - SP Willie Delgado</v>
      </c>
    </row>
    <row r="270" spans="1:31" s="50" customFormat="1" x14ac:dyDescent="0.3">
      <c r="A270" s="50">
        <v>13635</v>
      </c>
      <c r="B270" s="50">
        <f>COUNTIF(Table5[PID],A270)</f>
        <v>1</v>
      </c>
      <c r="C270" s="50" t="str">
        <f>IF(COUNTIF(Table3[[#All],[PID]],A270)&gt;0,"P","B")</f>
        <v>B</v>
      </c>
      <c r="D270" s="59" t="str">
        <f>IF($C270="B",INDEX(Batters[[#All],[POS]],MATCH(Table5[[#This Row],[PID]],Batters[[#All],[PID]],0)),INDEX(Table3[[#All],[POS]],MATCH(Table5[[#This Row],[PID]],Table3[[#All],[PID]],0)))</f>
        <v>LF</v>
      </c>
      <c r="E270" s="52" t="str">
        <f>IF($C270="B",INDEX(Batters[[#All],[First]],MATCH(Table5[[#This Row],[PID]],Batters[[#All],[PID]],0)),INDEX(Table3[[#All],[First]],MATCH(Table5[[#This Row],[PID]],Table3[[#All],[PID]],0)))</f>
        <v>Donald</v>
      </c>
      <c r="F270" s="50" t="str">
        <f>IF($C270="B",INDEX(Batters[[#All],[Last]],MATCH(A270,Batters[[#All],[PID]],0)),INDEX(Table3[[#All],[Last]],MATCH(A270,Table3[[#All],[PID]],0)))</f>
        <v>Horne</v>
      </c>
      <c r="G270" s="56">
        <f>IF($C270="B",INDEX(Batters[[#All],[Age]],MATCH(Table5[[#This Row],[PID]],Batters[[#All],[PID]],0)),INDEX(Table3[[#All],[Age]],MATCH(Table5[[#This Row],[PID]],Table3[[#All],[PID]],0)))</f>
        <v>21</v>
      </c>
      <c r="H270" s="52" t="str">
        <f>IF($C270="B",INDEX(Batters[[#All],[B]],MATCH(Table5[[#This Row],[PID]],Batters[[#All],[PID]],0)),INDEX(Table3[[#All],[B]],MATCH(Table5[[#This Row],[PID]],Table3[[#All],[PID]],0)))</f>
        <v>L</v>
      </c>
      <c r="I270" s="52" t="str">
        <f>IF($C270="B",INDEX(Batters[[#All],[T]],MATCH(Table5[[#This Row],[PID]],Batters[[#All],[PID]],0)),INDEX(Table3[[#All],[T]],MATCH(Table5[[#This Row],[PID]],Table3[[#All],[PID]],0)))</f>
        <v>R</v>
      </c>
      <c r="J270" s="52" t="str">
        <f>IF($C270="B",INDEX(Batters[[#All],[WE]],MATCH(Table5[[#This Row],[PID]],Batters[[#All],[PID]],0)),INDEX(Table3[[#All],[WE]],MATCH(Table5[[#This Row],[PID]],Table3[[#All],[PID]],0)))</f>
        <v>Low</v>
      </c>
      <c r="K270" s="52" t="str">
        <f>IF($C270="B",INDEX(Batters[[#All],[INT]],MATCH(Table5[[#This Row],[PID]],Batters[[#All],[PID]],0)),INDEX(Table3[[#All],[INT]],MATCH(Table5[[#This Row],[PID]],Table3[[#All],[PID]],0)))</f>
        <v>Normal</v>
      </c>
      <c r="L270" s="60">
        <f>IF($C270="B",INDEX(Batters[[#All],[CON P]],MATCH(Table5[[#This Row],[PID]],Batters[[#All],[PID]],0)),INDEX(Table3[[#All],[STU P]],MATCH(Table5[[#This Row],[PID]],Table3[[#All],[PID]],0)))</f>
        <v>4</v>
      </c>
      <c r="M270" s="56">
        <f>IF($C270="B",INDEX(Batters[[#All],[GAP P]],MATCH(Table5[[#This Row],[PID]],Batters[[#All],[PID]],0)),INDEX(Table3[[#All],[MOV P]],MATCH(Table5[[#This Row],[PID]],Table3[[#All],[PID]],0)))</f>
        <v>5</v>
      </c>
      <c r="N270" s="56">
        <f>IF($C270="B",INDEX(Batters[[#All],[POW P]],MATCH(Table5[[#This Row],[PID]],Batters[[#All],[PID]],0)),INDEX(Table3[[#All],[CON P]],MATCH(Table5[[#This Row],[PID]],Table3[[#All],[PID]],0)))</f>
        <v>8</v>
      </c>
      <c r="O270" s="56">
        <f>IF($C270="B",INDEX(Batters[[#All],[EYE P]],MATCH(Table5[[#This Row],[PID]],Batters[[#All],[PID]],0)),INDEX(Table3[[#All],[VELO]],MATCH(Table5[[#This Row],[PID]],Table3[[#All],[PID]],0)))</f>
        <v>5</v>
      </c>
      <c r="P270" s="56">
        <f>IF($C270="B",INDEX(Batters[[#All],[K P]],MATCH(Table5[[#This Row],[PID]],Batters[[#All],[PID]],0)),INDEX(Table3[[#All],[STM]],MATCH(Table5[[#This Row],[PID]],Table3[[#All],[PID]],0)))</f>
        <v>3</v>
      </c>
      <c r="Q270" s="61">
        <f>IF($C270="B",INDEX(Batters[[#All],[Tot]],MATCH(Table5[[#This Row],[PID]],Batters[[#All],[PID]],0)),INDEX(Table3[[#All],[Tot]],MATCH(Table5[[#This Row],[PID]],Table3[[#All],[PID]],0)))</f>
        <v>45.891140592018331</v>
      </c>
      <c r="R270" s="52">
        <f>IF($C270="B",INDEX(Batters[[#All],[zScore]],MATCH(Table5[[#This Row],[PID]],Batters[[#All],[PID]],0)),INDEX(Table3[[#All],[zScore]],MATCH(Table5[[#This Row],[PID]],Table3[[#All],[PID]],0)))</f>
        <v>0.39012167314836754</v>
      </c>
      <c r="S270" s="58" t="str">
        <f>IF($C270="B",INDEX(Batters[[#All],[DEM]],MATCH(Table5[[#This Row],[PID]],Batters[[#All],[PID]],0)),INDEX(Table3[[#All],[DEM]],MATCH(Table5[[#This Row],[PID]],Table3[[#All],[PID]],0)))</f>
        <v>$800k</v>
      </c>
      <c r="T270" s="62">
        <f>IF($C270="B",INDEX(Batters[[#All],[Rnk]],MATCH(Table5[[#This Row],[PID]],Batters[[#All],[PID]],0)),INDEX(Table3[[#All],[Rnk]],MATCH(Table5[[#This Row],[PID]],Table3[[#All],[PID]],0)))</f>
        <v>930</v>
      </c>
      <c r="U270" s="67">
        <f>IF($C270="B",VLOOKUP($A270,Bat!$A$4:$BA$1314,47,FALSE),VLOOKUP($A270,Pit!$A$4:$BF$1214,56,FALSE))</f>
        <v>307</v>
      </c>
      <c r="V270" s="50">
        <f>IF($C270="B",VLOOKUP($A270,Bat!$A$4:$BA$1314,48,FALSE),VLOOKUP($A270,Pit!$A$4:$BF$1214,57,FALSE))</f>
        <v>0</v>
      </c>
      <c r="W270" s="68">
        <f>IF(Table5[[#This Row],[posRnk]]=999,9999,Table5[[#This Row],[posRnk]]+Table5[[#This Row],[zRnk]]+IF($W$3&lt;&gt;Table5[[#This Row],[Type]],50,0))</f>
        <v>1236</v>
      </c>
      <c r="X270" s="51">
        <f>RANK(Table5[[#This Row],[zScore]],Table5[[#All],[zScore]])</f>
        <v>256</v>
      </c>
      <c r="Y270" s="50">
        <f>IFERROR(INDEX(DraftResults[[#All],[OVR]],MATCH(Table5[[#This Row],[PID]],DraftResults[[#All],[Player ID]],0)),"")</f>
        <v>50</v>
      </c>
      <c r="Z270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2</v>
      </c>
      <c r="AA270" s="50">
        <f>IFERROR(INDEX(DraftResults[[#All],[Pick in Round]],MATCH(Table5[[#This Row],[PID]],DraftResults[[#All],[Player ID]],0)),"")</f>
        <v>14</v>
      </c>
      <c r="AB270" s="50" t="str">
        <f>IFERROR(INDEX(DraftResults[[#All],[Team Name]],MATCH(Table5[[#This Row],[PID]],DraftResults[[#All],[Player ID]],0)),"")</f>
        <v>Manchester Maulers</v>
      </c>
      <c r="AC270" s="50">
        <f>IF(Table5[[#This Row],[Ovr]]="","",IF(Table5[[#This Row],[cmbList]]="","",Table5[[#This Row],[cmbList]]-Table5[[#This Row],[Ovr]]))</f>
        <v>1186</v>
      </c>
      <c r="AD270" s="54" t="str">
        <f>IF(ISERROR(VLOOKUP($AB270&amp;"-"&amp;$E270&amp;" "&amp;F270,Bonuses!$B$1:$G$1006,4,FALSE)),"",INT(VLOOKUP($AB270&amp;"-"&amp;$E270&amp;" "&amp;$F270,Bonuses!$B$1:$G$1006,4,FALSE)))</f>
        <v/>
      </c>
      <c r="AE270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2.14 (50) - LF Donald Horne</v>
      </c>
    </row>
    <row r="271" spans="1:31" s="50" customFormat="1" x14ac:dyDescent="0.3">
      <c r="A271" s="67">
        <v>20434</v>
      </c>
      <c r="B271" s="68">
        <f>COUNTIF(Table5[PID],A271)</f>
        <v>1</v>
      </c>
      <c r="C271" s="68" t="str">
        <f>IF(COUNTIF(Table3[[#All],[PID]],A271)&gt;0,"P","B")</f>
        <v>P</v>
      </c>
      <c r="D271" s="59" t="str">
        <f>IF($C271="B",INDEX(Batters[[#All],[POS]],MATCH(Table5[[#This Row],[PID]],Batters[[#All],[PID]],0)),INDEX(Table3[[#All],[POS]],MATCH(Table5[[#This Row],[PID]],Table3[[#All],[PID]],0)))</f>
        <v>RP</v>
      </c>
      <c r="E271" s="52" t="str">
        <f>IF($C271="B",INDEX(Batters[[#All],[First]],MATCH(Table5[[#This Row],[PID]],Batters[[#All],[PID]],0)),INDEX(Table3[[#All],[First]],MATCH(Table5[[#This Row],[PID]],Table3[[#All],[PID]],0)))</f>
        <v>Xing-hua</v>
      </c>
      <c r="F271" s="55" t="str">
        <f>IF($C271="B",INDEX(Batters[[#All],[Last]],MATCH(A271,Batters[[#All],[PID]],0)),INDEX(Table3[[#All],[Last]],MATCH(A271,Table3[[#All],[PID]],0)))</f>
        <v>Zhu</v>
      </c>
      <c r="G271" s="56">
        <f>IF($C271="B",INDEX(Batters[[#All],[Age]],MATCH(Table5[[#This Row],[PID]],Batters[[#All],[PID]],0)),INDEX(Table3[[#All],[Age]],MATCH(Table5[[#This Row],[PID]],Table3[[#All],[PID]],0)))</f>
        <v>17</v>
      </c>
      <c r="H271" s="52" t="str">
        <f>IF($C271="B",INDEX(Batters[[#All],[B]],MATCH(Table5[[#This Row],[PID]],Batters[[#All],[PID]],0)),INDEX(Table3[[#All],[B]],MATCH(Table5[[#This Row],[PID]],Table3[[#All],[PID]],0)))</f>
        <v>R</v>
      </c>
      <c r="I271" s="52" t="str">
        <f>IF($C271="B",INDEX(Batters[[#All],[T]],MATCH(Table5[[#This Row],[PID]],Batters[[#All],[PID]],0)),INDEX(Table3[[#All],[T]],MATCH(Table5[[#This Row],[PID]],Table3[[#All],[PID]],0)))</f>
        <v>R</v>
      </c>
      <c r="J271" s="69" t="str">
        <f>IF($C271="B",INDEX(Batters[[#All],[WE]],MATCH(Table5[[#This Row],[PID]],Batters[[#All],[PID]],0)),INDEX(Table3[[#All],[WE]],MATCH(Table5[[#This Row],[PID]],Table3[[#All],[PID]],0)))</f>
        <v>Low</v>
      </c>
      <c r="K271" s="52" t="str">
        <f>IF($C271="B",INDEX(Batters[[#All],[INT]],MATCH(Table5[[#This Row],[PID]],Batters[[#All],[PID]],0)),INDEX(Table3[[#All],[INT]],MATCH(Table5[[#This Row],[PID]],Table3[[#All],[PID]],0)))</f>
        <v>Normal</v>
      </c>
      <c r="L271" s="60">
        <f>IF($C271="B",INDEX(Batters[[#All],[CON P]],MATCH(Table5[[#This Row],[PID]],Batters[[#All],[PID]],0)),INDEX(Table3[[#All],[STU P]],MATCH(Table5[[#This Row],[PID]],Table3[[#All],[PID]],0)))</f>
        <v>5</v>
      </c>
      <c r="M271" s="70">
        <f>IF($C271="B",INDEX(Batters[[#All],[GAP P]],MATCH(Table5[[#This Row],[PID]],Batters[[#All],[PID]],0)),INDEX(Table3[[#All],[MOV P]],MATCH(Table5[[#This Row],[PID]],Table3[[#All],[PID]],0)))</f>
        <v>2</v>
      </c>
      <c r="N271" s="70">
        <f>IF($C271="B",INDEX(Batters[[#All],[POW P]],MATCH(Table5[[#This Row],[PID]],Batters[[#All],[PID]],0)),INDEX(Table3[[#All],[CON P]],MATCH(Table5[[#This Row],[PID]],Table3[[#All],[PID]],0)))</f>
        <v>4</v>
      </c>
      <c r="O271" s="70" t="str">
        <f>IF($C271="B",INDEX(Batters[[#All],[EYE P]],MATCH(Table5[[#This Row],[PID]],Batters[[#All],[PID]],0)),INDEX(Table3[[#All],[VELO]],MATCH(Table5[[#This Row],[PID]],Table3[[#All],[PID]],0)))</f>
        <v>88-90 Mph</v>
      </c>
      <c r="P271" s="56">
        <f>IF($C271="B",INDEX(Batters[[#All],[K P]],MATCH(Table5[[#This Row],[PID]],Batters[[#All],[PID]],0)),INDEX(Table3[[#All],[STM]],MATCH(Table5[[#This Row],[PID]],Table3[[#All],[PID]],0)))</f>
        <v>6</v>
      </c>
      <c r="Q271" s="61">
        <f>IF($C271="B",INDEX(Batters[[#All],[Tot]],MATCH(Table5[[#This Row],[PID]],Batters[[#All],[PID]],0)),INDEX(Table3[[#All],[Tot]],MATCH(Table5[[#This Row],[PID]],Table3[[#All],[PID]],0)))</f>
        <v>43.158586972231824</v>
      </c>
      <c r="R271" s="52">
        <f>IF($C271="B",INDEX(Batters[[#All],[zScore]],MATCH(Table5[[#This Row],[PID]],Batters[[#All],[PID]],0)),INDEX(Table3[[#All],[zScore]],MATCH(Table5[[#This Row],[PID]],Table3[[#All],[PID]],0)))</f>
        <v>0.38727523131533598</v>
      </c>
      <c r="S271" s="75" t="str">
        <f>IF($C271="B",INDEX(Batters[[#All],[DEM]],MATCH(Table5[[#This Row],[PID]],Batters[[#All],[PID]],0)),INDEX(Table3[[#All],[DEM]],MATCH(Table5[[#This Row],[PID]],Table3[[#All],[PID]],0)))</f>
        <v>$90k</v>
      </c>
      <c r="T271" s="72">
        <f>IF($C271="B",INDEX(Batters[[#All],[Rnk]],MATCH(Table5[[#This Row],[PID]],Batters[[#All],[PID]],0)),INDEX(Table3[[#All],[Rnk]],MATCH(Table5[[#This Row],[PID]],Table3[[#All],[PID]],0)))</f>
        <v>930</v>
      </c>
      <c r="U271" s="67">
        <f>IF($C271="B",VLOOKUP($A271,Bat!$A$4:$BA$1314,47,FALSE),VLOOKUP($A271,Pit!$A$4:$BF$1214,56,FALSE))</f>
        <v>261</v>
      </c>
      <c r="V271" s="50">
        <f>IF($C271="B",VLOOKUP($A271,Bat!$A$4:$BA$1314,48,FALSE),VLOOKUP($A271,Pit!$A$4:$BF$1214,57,FALSE))</f>
        <v>0</v>
      </c>
      <c r="W271" s="68">
        <f>IF(Table5[[#This Row],[posRnk]]=999,9999,Table5[[#This Row],[posRnk]]+Table5[[#This Row],[zRnk]]+IF($W$3&lt;&gt;Table5[[#This Row],[Type]],50,0))</f>
        <v>1187</v>
      </c>
      <c r="X271" s="71">
        <f>RANK(Table5[[#This Row],[zScore]],Table5[[#All],[zScore]])</f>
        <v>257</v>
      </c>
      <c r="Y271" s="68">
        <f>IFERROR(INDEX(DraftResults[[#All],[OVR]],MATCH(Table5[[#This Row],[PID]],DraftResults[[#All],[Player ID]],0)),"")</f>
        <v>377</v>
      </c>
      <c r="Z271" s="7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12</v>
      </c>
      <c r="AA271" s="68">
        <f>IFERROR(INDEX(DraftResults[[#All],[Pick in Round]],MATCH(Table5[[#This Row],[PID]],DraftResults[[#All],[Player ID]],0)),"")</f>
        <v>12</v>
      </c>
      <c r="AB271" s="68" t="str">
        <f>IFERROR(INDEX(DraftResults[[#All],[Team Name]],MATCH(Table5[[#This Row],[PID]],DraftResults[[#All],[Player ID]],0)),"")</f>
        <v>Manchester Maulers</v>
      </c>
      <c r="AC271" s="68">
        <f>IF(Table5[[#This Row],[Ovr]]="","",IF(Table5[[#This Row],[cmbList]]="","",Table5[[#This Row],[cmbList]]-Table5[[#This Row],[Ovr]]))</f>
        <v>810</v>
      </c>
      <c r="AD271" s="74" t="str">
        <f>IF(ISERROR(VLOOKUP($AB271&amp;"-"&amp;$E271&amp;" "&amp;F271,Bonuses!$B$1:$G$1006,4,FALSE)),"",INT(VLOOKUP($AB271&amp;"-"&amp;$E271&amp;" "&amp;$F271,Bonuses!$B$1:$G$1006,4,FALSE)))</f>
        <v/>
      </c>
      <c r="AE271" s="68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12.12 (377) - RP Xing-hua Zhu</v>
      </c>
    </row>
    <row r="272" spans="1:31" s="50" customFormat="1" x14ac:dyDescent="0.3">
      <c r="A272" s="50">
        <v>14562</v>
      </c>
      <c r="B272" s="50">
        <f>COUNTIF(Table5[PID],A272)</f>
        <v>1</v>
      </c>
      <c r="C272" s="50" t="str">
        <f>IF(COUNTIF(Table3[[#All],[PID]],A272)&gt;0,"P","B")</f>
        <v>P</v>
      </c>
      <c r="D272" s="59" t="str">
        <f>IF($C272="B",INDEX(Batters[[#All],[POS]],MATCH(Table5[[#This Row],[PID]],Batters[[#All],[PID]],0)),INDEX(Table3[[#All],[POS]],MATCH(Table5[[#This Row],[PID]],Table3[[#All],[PID]],0)))</f>
        <v>SP</v>
      </c>
      <c r="E272" s="52" t="str">
        <f>IF($C272="B",INDEX(Batters[[#All],[First]],MATCH(Table5[[#This Row],[PID]],Batters[[#All],[PID]],0)),INDEX(Table3[[#All],[First]],MATCH(Table5[[#This Row],[PID]],Table3[[#All],[PID]],0)))</f>
        <v>Ramón</v>
      </c>
      <c r="F272" s="50" t="str">
        <f>IF($C272="B",INDEX(Batters[[#All],[Last]],MATCH(A272,Batters[[#All],[PID]],0)),INDEX(Table3[[#All],[Last]],MATCH(A272,Table3[[#All],[PID]],0)))</f>
        <v>González</v>
      </c>
      <c r="G272" s="56">
        <f>IF($C272="B",INDEX(Batters[[#All],[Age]],MATCH(Table5[[#This Row],[PID]],Batters[[#All],[PID]],0)),INDEX(Table3[[#All],[Age]],MATCH(Table5[[#This Row],[PID]],Table3[[#All],[PID]],0)))</f>
        <v>21</v>
      </c>
      <c r="H272" s="52" t="str">
        <f>IF($C272="B",INDEX(Batters[[#All],[B]],MATCH(Table5[[#This Row],[PID]],Batters[[#All],[PID]],0)),INDEX(Table3[[#All],[B]],MATCH(Table5[[#This Row],[PID]],Table3[[#All],[PID]],0)))</f>
        <v>R</v>
      </c>
      <c r="I272" s="52" t="str">
        <f>IF($C272="B",INDEX(Batters[[#All],[T]],MATCH(Table5[[#This Row],[PID]],Batters[[#All],[PID]],0)),INDEX(Table3[[#All],[T]],MATCH(Table5[[#This Row],[PID]],Table3[[#All],[PID]],0)))</f>
        <v>R</v>
      </c>
      <c r="J272" s="52" t="str">
        <f>IF($C272="B",INDEX(Batters[[#All],[WE]],MATCH(Table5[[#This Row],[PID]],Batters[[#All],[PID]],0)),INDEX(Table3[[#All],[WE]],MATCH(Table5[[#This Row],[PID]],Table3[[#All],[PID]],0)))</f>
        <v>High</v>
      </c>
      <c r="K272" s="52" t="str">
        <f>IF($C272="B",INDEX(Batters[[#All],[INT]],MATCH(Table5[[#This Row],[PID]],Batters[[#All],[PID]],0)),INDEX(Table3[[#All],[INT]],MATCH(Table5[[#This Row],[PID]],Table3[[#All],[PID]],0)))</f>
        <v>Normal</v>
      </c>
      <c r="L272" s="60">
        <f>IF($C272="B",INDEX(Batters[[#All],[CON P]],MATCH(Table5[[#This Row],[PID]],Batters[[#All],[PID]],0)),INDEX(Table3[[#All],[STU P]],MATCH(Table5[[#This Row],[PID]],Table3[[#All],[PID]],0)))</f>
        <v>5</v>
      </c>
      <c r="M272" s="56">
        <f>IF($C272="B",INDEX(Batters[[#All],[GAP P]],MATCH(Table5[[#This Row],[PID]],Batters[[#All],[PID]],0)),INDEX(Table3[[#All],[MOV P]],MATCH(Table5[[#This Row],[PID]],Table3[[#All],[PID]],0)))</f>
        <v>2</v>
      </c>
      <c r="N272" s="56">
        <f>IF($C272="B",INDEX(Batters[[#All],[POW P]],MATCH(Table5[[#This Row],[PID]],Batters[[#All],[PID]],0)),INDEX(Table3[[#All],[CON P]],MATCH(Table5[[#This Row],[PID]],Table3[[#All],[PID]],0)))</f>
        <v>4</v>
      </c>
      <c r="O272" s="56" t="str">
        <f>IF($C272="B",INDEX(Batters[[#All],[EYE P]],MATCH(Table5[[#This Row],[PID]],Batters[[#All],[PID]],0)),INDEX(Table3[[#All],[VELO]],MATCH(Table5[[#This Row],[PID]],Table3[[#All],[PID]],0)))</f>
        <v>92-94 Mph</v>
      </c>
      <c r="P272" s="56">
        <f>IF($C272="B",INDEX(Batters[[#All],[K P]],MATCH(Table5[[#This Row],[PID]],Batters[[#All],[PID]],0)),INDEX(Table3[[#All],[STM]],MATCH(Table5[[#This Row],[PID]],Table3[[#All],[PID]],0)))</f>
        <v>8</v>
      </c>
      <c r="Q272" s="61">
        <f>IF($C272="B",INDEX(Batters[[#All],[Tot]],MATCH(Table5[[#This Row],[PID]],Batters[[#All],[PID]],0)),INDEX(Table3[[#All],[Tot]],MATCH(Table5[[#This Row],[PID]],Table3[[#All],[PID]],0)))</f>
        <v>41.539576381776229</v>
      </c>
      <c r="R272" s="52">
        <f>IF($C272="B",INDEX(Batters[[#All],[zScore]],MATCH(Table5[[#This Row],[PID]],Batters[[#All],[PID]],0)),INDEX(Table3[[#All],[zScore]],MATCH(Table5[[#This Row],[PID]],Table3[[#All],[PID]],0)))</f>
        <v>0.26610023975694946</v>
      </c>
      <c r="S272" s="58" t="str">
        <f>IF($C272="B",INDEX(Batters[[#All],[DEM]],MATCH(Table5[[#This Row],[PID]],Batters[[#All],[PID]],0)),INDEX(Table3[[#All],[DEM]],MATCH(Table5[[#This Row],[PID]],Table3[[#All],[PID]],0)))</f>
        <v>$34k</v>
      </c>
      <c r="T272" s="62">
        <f>IF($C272="B",INDEX(Batters[[#All],[Rnk]],MATCH(Table5[[#This Row],[PID]],Batters[[#All],[PID]],0)),INDEX(Table3[[#All],[Rnk]],MATCH(Table5[[#This Row],[PID]],Table3[[#All],[PID]],0)))</f>
        <v>900</v>
      </c>
      <c r="U272" s="67">
        <f>IF($C272="B",VLOOKUP($A272,Bat!$A$4:$BA$1314,47,FALSE),VLOOKUP($A272,Pit!$A$4:$BF$1214,56,FALSE))</f>
        <v>96</v>
      </c>
      <c r="V272" s="50">
        <f>IF($C272="B",VLOOKUP($A272,Bat!$A$4:$BA$1314,48,FALSE),VLOOKUP($A272,Pit!$A$4:$BF$1214,57,FALSE))</f>
        <v>0</v>
      </c>
      <c r="W272" s="68">
        <f>IF(Table5[[#This Row],[posRnk]]=999,9999,Table5[[#This Row],[posRnk]]+Table5[[#This Row],[zRnk]]+IF($W$3&lt;&gt;Table5[[#This Row],[Type]],50,0))</f>
        <v>1191</v>
      </c>
      <c r="X272" s="51">
        <f>RANK(Table5[[#This Row],[zScore]],Table5[[#All],[zScore]])</f>
        <v>291</v>
      </c>
      <c r="Y272" s="50">
        <f>IFERROR(INDEX(DraftResults[[#All],[OVR]],MATCH(Table5[[#This Row],[PID]],DraftResults[[#All],[Player ID]],0)),"")</f>
        <v>234</v>
      </c>
      <c r="Z272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8</v>
      </c>
      <c r="AA272" s="50">
        <f>IFERROR(INDEX(DraftResults[[#All],[Pick in Round]],MATCH(Table5[[#This Row],[PID]],DraftResults[[#All],[Player ID]],0)),"")</f>
        <v>1</v>
      </c>
      <c r="AB272" s="50" t="str">
        <f>IFERROR(INDEX(DraftResults[[#All],[Team Name]],MATCH(Table5[[#This Row],[PID]],DraftResults[[#All],[Player ID]],0)),"")</f>
        <v>Yuma Arroyos</v>
      </c>
      <c r="AC272" s="50">
        <f>IF(Table5[[#This Row],[Ovr]]="","",IF(Table5[[#This Row],[cmbList]]="","",Table5[[#This Row],[cmbList]]-Table5[[#This Row],[Ovr]]))</f>
        <v>957</v>
      </c>
      <c r="AD272" s="54" t="str">
        <f>IF(ISERROR(VLOOKUP($AB272&amp;"-"&amp;$E272&amp;" "&amp;F272,Bonuses!$B$1:$G$1006,4,FALSE)),"",INT(VLOOKUP($AB272&amp;"-"&amp;$E272&amp;" "&amp;$F272,Bonuses!$B$1:$G$1006,4,FALSE)))</f>
        <v/>
      </c>
      <c r="AE272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8.1 (234) - SP Ramón González</v>
      </c>
    </row>
    <row r="273" spans="1:31" s="50" customFormat="1" x14ac:dyDescent="0.3">
      <c r="A273" s="50">
        <v>18077</v>
      </c>
      <c r="B273" s="50">
        <f>COUNTIF(Table5[PID],A273)</f>
        <v>1</v>
      </c>
      <c r="C273" s="50" t="str">
        <f>IF(COUNTIF(Table3[[#All],[PID]],A273)&gt;0,"P","B")</f>
        <v>B</v>
      </c>
      <c r="D273" s="59" t="str">
        <f>IF($C273="B",INDEX(Batters[[#All],[POS]],MATCH(Table5[[#This Row],[PID]],Batters[[#All],[PID]],0)),INDEX(Table3[[#All],[POS]],MATCH(Table5[[#This Row],[PID]],Table3[[#All],[PID]],0)))</f>
        <v>2B</v>
      </c>
      <c r="E273" s="52" t="str">
        <f>IF($C273="B",INDEX(Batters[[#All],[First]],MATCH(Table5[[#This Row],[PID]],Batters[[#All],[PID]],0)),INDEX(Table3[[#All],[First]],MATCH(Table5[[#This Row],[PID]],Table3[[#All],[PID]],0)))</f>
        <v>Artie</v>
      </c>
      <c r="F273" s="50" t="str">
        <f>IF($C273="B",INDEX(Batters[[#All],[Last]],MATCH(A273,Batters[[#All],[PID]],0)),INDEX(Table3[[#All],[Last]],MATCH(A273,Table3[[#All],[PID]],0)))</f>
        <v>Cartwright</v>
      </c>
      <c r="G273" s="56">
        <f>IF($C273="B",INDEX(Batters[[#All],[Age]],MATCH(Table5[[#This Row],[PID]],Batters[[#All],[PID]],0)),INDEX(Table3[[#All],[Age]],MATCH(Table5[[#This Row],[PID]],Table3[[#All],[PID]],0)))</f>
        <v>21</v>
      </c>
      <c r="H273" s="52" t="str">
        <f>IF($C273="B",INDEX(Batters[[#All],[B]],MATCH(Table5[[#This Row],[PID]],Batters[[#All],[PID]],0)),INDEX(Table3[[#All],[B]],MATCH(Table5[[#This Row],[PID]],Table3[[#All],[PID]],0)))</f>
        <v>R</v>
      </c>
      <c r="I273" s="52" t="str">
        <f>IF($C273="B",INDEX(Batters[[#All],[T]],MATCH(Table5[[#This Row],[PID]],Batters[[#All],[PID]],0)),INDEX(Table3[[#All],[T]],MATCH(Table5[[#This Row],[PID]],Table3[[#All],[PID]],0)))</f>
        <v>R</v>
      </c>
      <c r="J273" s="52" t="str">
        <f>IF($C273="B",INDEX(Batters[[#All],[WE]],MATCH(Table5[[#This Row],[PID]],Batters[[#All],[PID]],0)),INDEX(Table3[[#All],[WE]],MATCH(Table5[[#This Row],[PID]],Table3[[#All],[PID]],0)))</f>
        <v>Normal</v>
      </c>
      <c r="K273" s="52" t="str">
        <f>IF($C273="B",INDEX(Batters[[#All],[INT]],MATCH(Table5[[#This Row],[PID]],Batters[[#All],[PID]],0)),INDEX(Table3[[#All],[INT]],MATCH(Table5[[#This Row],[PID]],Table3[[#All],[PID]],0)))</f>
        <v>Normal</v>
      </c>
      <c r="L273" s="60">
        <f>IF($C273="B",INDEX(Batters[[#All],[CON P]],MATCH(Table5[[#This Row],[PID]],Batters[[#All],[PID]],0)),INDEX(Table3[[#All],[STU P]],MATCH(Table5[[#This Row],[PID]],Table3[[#All],[PID]],0)))</f>
        <v>4</v>
      </c>
      <c r="M273" s="56">
        <f>IF($C273="B",INDEX(Batters[[#All],[GAP P]],MATCH(Table5[[#This Row],[PID]],Batters[[#All],[PID]],0)),INDEX(Table3[[#All],[MOV P]],MATCH(Table5[[#This Row],[PID]],Table3[[#All],[PID]],0)))</f>
        <v>5</v>
      </c>
      <c r="N273" s="56">
        <f>IF($C273="B",INDEX(Batters[[#All],[POW P]],MATCH(Table5[[#This Row],[PID]],Batters[[#All],[PID]],0)),INDEX(Table3[[#All],[CON P]],MATCH(Table5[[#This Row],[PID]],Table3[[#All],[PID]],0)))</f>
        <v>4</v>
      </c>
      <c r="O273" s="56">
        <f>IF($C273="B",INDEX(Batters[[#All],[EYE P]],MATCH(Table5[[#This Row],[PID]],Batters[[#All],[PID]],0)),INDEX(Table3[[#All],[VELO]],MATCH(Table5[[#This Row],[PID]],Table3[[#All],[PID]],0)))</f>
        <v>5</v>
      </c>
      <c r="P273" s="56">
        <f>IF($C273="B",INDEX(Batters[[#All],[K P]],MATCH(Table5[[#This Row],[PID]],Batters[[#All],[PID]],0)),INDEX(Table3[[#All],[STM]],MATCH(Table5[[#This Row],[PID]],Table3[[#All],[PID]],0)))</f>
        <v>4</v>
      </c>
      <c r="Q273" s="61">
        <f>IF($C273="B",INDEX(Batters[[#All],[Tot]],MATCH(Table5[[#This Row],[PID]],Batters[[#All],[PID]],0)),INDEX(Table3[[#All],[Tot]],MATCH(Table5[[#This Row],[PID]],Table3[[#All],[PID]],0)))</f>
        <v>45.007623889444361</v>
      </c>
      <c r="R273" s="52">
        <f>IF($C273="B",INDEX(Batters[[#All],[zScore]],MATCH(Table5[[#This Row],[PID]],Batters[[#All],[PID]],0)),INDEX(Table3[[#All],[zScore]],MATCH(Table5[[#This Row],[PID]],Table3[[#All],[PID]],0)))</f>
        <v>0.26115641023196007</v>
      </c>
      <c r="S273" s="58" t="str">
        <f>IF($C273="B",INDEX(Batters[[#All],[DEM]],MATCH(Table5[[#This Row],[PID]],Batters[[#All],[PID]],0)),INDEX(Table3[[#All],[DEM]],MATCH(Table5[[#This Row],[PID]],Table3[[#All],[PID]],0)))</f>
        <v>$95k</v>
      </c>
      <c r="T273" s="62">
        <f>IF($C273="B",INDEX(Batters[[#All],[Rnk]],MATCH(Table5[[#This Row],[PID]],Batters[[#All],[PID]],0)),INDEX(Table3[[#All],[Rnk]],MATCH(Table5[[#This Row],[PID]],Table3[[#All],[PID]],0)))</f>
        <v>900</v>
      </c>
      <c r="U273" s="67">
        <f>IF($C273="B",VLOOKUP($A273,Bat!$A$4:$BA$1314,47,FALSE),VLOOKUP($A273,Pit!$A$4:$BF$1214,56,FALSE))</f>
        <v>150</v>
      </c>
      <c r="V273" s="50">
        <f>IF($C273="B",VLOOKUP($A273,Bat!$A$4:$BA$1314,48,FALSE),VLOOKUP($A273,Pit!$A$4:$BF$1214,57,FALSE))</f>
        <v>0</v>
      </c>
      <c r="W273" s="68">
        <f>IF(Table5[[#This Row],[posRnk]]=999,9999,Table5[[#This Row],[posRnk]]+Table5[[#This Row],[zRnk]]+IF($W$3&lt;&gt;Table5[[#This Row],[Type]],50,0))</f>
        <v>1242</v>
      </c>
      <c r="X273" s="51">
        <f>RANK(Table5[[#This Row],[zScore]],Table5[[#All],[zScore]])</f>
        <v>292</v>
      </c>
      <c r="Y273" s="50">
        <f>IFERROR(INDEX(DraftResults[[#All],[OVR]],MATCH(Table5[[#This Row],[PID]],DraftResults[[#All],[Player ID]],0)),"")</f>
        <v>79</v>
      </c>
      <c r="Z273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3</v>
      </c>
      <c r="AA273" s="50">
        <f>IFERROR(INDEX(DraftResults[[#All],[Pick in Round]],MATCH(Table5[[#This Row],[PID]],DraftResults[[#All],[Player ID]],0)),"")</f>
        <v>7</v>
      </c>
      <c r="AB273" s="50" t="str">
        <f>IFERROR(INDEX(DraftResults[[#All],[Team Name]],MATCH(Table5[[#This Row],[PID]],DraftResults[[#All],[Player ID]],0)),"")</f>
        <v>Hartford Harpoon</v>
      </c>
      <c r="AC273" s="50">
        <f>IF(Table5[[#This Row],[Ovr]]="","",IF(Table5[[#This Row],[cmbList]]="","",Table5[[#This Row],[cmbList]]-Table5[[#This Row],[Ovr]]))</f>
        <v>1163</v>
      </c>
      <c r="AD273" s="54" t="str">
        <f>IF(ISERROR(VLOOKUP($AB273&amp;"-"&amp;$E273&amp;" "&amp;F273,Bonuses!$B$1:$G$1006,4,FALSE)),"",INT(VLOOKUP($AB273&amp;"-"&amp;$E273&amp;" "&amp;$F273,Bonuses!$B$1:$G$1006,4,FALSE)))</f>
        <v/>
      </c>
      <c r="AE273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3.7 (79) - 2B Artie Cartwright</v>
      </c>
    </row>
    <row r="274" spans="1:31" s="50" customFormat="1" x14ac:dyDescent="0.3">
      <c r="A274" s="67">
        <v>9807</v>
      </c>
      <c r="B274" s="68">
        <f>COUNTIF(Table5[PID],A274)</f>
        <v>1</v>
      </c>
      <c r="C274" s="68" t="str">
        <f>IF(COUNTIF(Table3[[#All],[PID]],A274)&gt;0,"P","B")</f>
        <v>P</v>
      </c>
      <c r="D274" s="59" t="str">
        <f>IF($C274="B",INDEX(Batters[[#All],[POS]],MATCH(Table5[[#This Row],[PID]],Batters[[#All],[PID]],0)),INDEX(Table3[[#All],[POS]],MATCH(Table5[[#This Row],[PID]],Table3[[#All],[PID]],0)))</f>
        <v>RP</v>
      </c>
      <c r="E274" s="52" t="str">
        <f>IF($C274="B",INDEX(Batters[[#All],[First]],MATCH(Table5[[#This Row],[PID]],Batters[[#All],[PID]],0)),INDEX(Table3[[#All],[First]],MATCH(Table5[[#This Row],[PID]],Table3[[#All],[PID]],0)))</f>
        <v>Wilber</v>
      </c>
      <c r="F274" s="55" t="str">
        <f>IF($C274="B",INDEX(Batters[[#All],[Last]],MATCH(A274,Batters[[#All],[PID]],0)),INDEX(Table3[[#All],[Last]],MATCH(A274,Table3[[#All],[PID]],0)))</f>
        <v>Belcher</v>
      </c>
      <c r="G274" s="56">
        <f>IF($C274="B",INDEX(Batters[[#All],[Age]],MATCH(Table5[[#This Row],[PID]],Batters[[#All],[PID]],0)),INDEX(Table3[[#All],[Age]],MATCH(Table5[[#This Row],[PID]],Table3[[#All],[PID]],0)))</f>
        <v>18</v>
      </c>
      <c r="H274" s="52" t="str">
        <f>IF($C274="B",INDEX(Batters[[#All],[B]],MATCH(Table5[[#This Row],[PID]],Batters[[#All],[PID]],0)),INDEX(Table3[[#All],[B]],MATCH(Table5[[#This Row],[PID]],Table3[[#All],[PID]],0)))</f>
        <v>R</v>
      </c>
      <c r="I274" s="52" t="str">
        <f>IF($C274="B",INDEX(Batters[[#All],[T]],MATCH(Table5[[#This Row],[PID]],Batters[[#All],[PID]],0)),INDEX(Table3[[#All],[T]],MATCH(Table5[[#This Row],[PID]],Table3[[#All],[PID]],0)))</f>
        <v>R</v>
      </c>
      <c r="J274" s="69" t="str">
        <f>IF($C274="B",INDEX(Batters[[#All],[WE]],MATCH(Table5[[#This Row],[PID]],Batters[[#All],[PID]],0)),INDEX(Table3[[#All],[WE]],MATCH(Table5[[#This Row],[PID]],Table3[[#All],[PID]],0)))</f>
        <v>Low</v>
      </c>
      <c r="K274" s="52" t="str">
        <f>IF($C274="B",INDEX(Batters[[#All],[INT]],MATCH(Table5[[#This Row],[PID]],Batters[[#All],[PID]],0)),INDEX(Table3[[#All],[INT]],MATCH(Table5[[#This Row],[PID]],Table3[[#All],[PID]],0)))</f>
        <v>Normal</v>
      </c>
      <c r="L274" s="60">
        <f>IF($C274="B",INDEX(Batters[[#All],[CON P]],MATCH(Table5[[#This Row],[PID]],Batters[[#All],[PID]],0)),INDEX(Table3[[#All],[STU P]],MATCH(Table5[[#This Row],[PID]],Table3[[#All],[PID]],0)))</f>
        <v>5</v>
      </c>
      <c r="M274" s="70">
        <f>IF($C274="B",INDEX(Batters[[#All],[GAP P]],MATCH(Table5[[#This Row],[PID]],Batters[[#All],[PID]],0)),INDEX(Table3[[#All],[MOV P]],MATCH(Table5[[#This Row],[PID]],Table3[[#All],[PID]],0)))</f>
        <v>2</v>
      </c>
      <c r="N274" s="70">
        <f>IF($C274="B",INDEX(Batters[[#All],[POW P]],MATCH(Table5[[#This Row],[PID]],Batters[[#All],[PID]],0)),INDEX(Table3[[#All],[CON P]],MATCH(Table5[[#This Row],[PID]],Table3[[#All],[PID]],0)))</f>
        <v>4</v>
      </c>
      <c r="O274" s="70" t="str">
        <f>IF($C274="B",INDEX(Batters[[#All],[EYE P]],MATCH(Table5[[#This Row],[PID]],Batters[[#All],[PID]],0)),INDEX(Table3[[#All],[VELO]],MATCH(Table5[[#This Row],[PID]],Table3[[#All],[PID]],0)))</f>
        <v>90-92 Mph</v>
      </c>
      <c r="P274" s="56">
        <f>IF($C274="B",INDEX(Batters[[#All],[K P]],MATCH(Table5[[#This Row],[PID]],Batters[[#All],[PID]],0)),INDEX(Table3[[#All],[STM]],MATCH(Table5[[#This Row],[PID]],Table3[[#All],[PID]],0)))</f>
        <v>7</v>
      </c>
      <c r="Q274" s="61">
        <f>IF($C274="B",INDEX(Batters[[#All],[Tot]],MATCH(Table5[[#This Row],[PID]],Batters[[#All],[PID]],0)),INDEX(Table3[[#All],[Tot]],MATCH(Table5[[#This Row],[PID]],Table3[[#All],[PID]],0)))</f>
        <v>42.891112268565408</v>
      </c>
      <c r="R274" s="52">
        <f>IF($C274="B",INDEX(Batters[[#All],[zScore]],MATCH(Table5[[#This Row],[PID]],Batters[[#All],[PID]],0)),INDEX(Table3[[#All],[zScore]],MATCH(Table5[[#This Row],[PID]],Table3[[#All],[PID]],0)))</f>
        <v>0.36824610882284758</v>
      </c>
      <c r="S274" s="75" t="str">
        <f>IF($C274="B",INDEX(Batters[[#All],[DEM]],MATCH(Table5[[#This Row],[PID]],Batters[[#All],[PID]],0)),INDEX(Table3[[#All],[DEM]],MATCH(Table5[[#This Row],[PID]],Table3[[#All],[PID]],0)))</f>
        <v>$65k</v>
      </c>
      <c r="T274" s="72">
        <f>IF($C274="B",INDEX(Batters[[#All],[Rnk]],MATCH(Table5[[#This Row],[PID]],Batters[[#All],[PID]],0)),INDEX(Table3[[#All],[Rnk]],MATCH(Table5[[#This Row],[PID]],Table3[[#All],[PID]],0)))</f>
        <v>930</v>
      </c>
      <c r="U274" s="67">
        <f>IF($C274="B",VLOOKUP($A274,Bat!$A$4:$BA$1314,47,FALSE),VLOOKUP($A274,Pit!$A$4:$BF$1214,56,FALSE))</f>
        <v>262</v>
      </c>
      <c r="V274" s="50">
        <f>IF($C274="B",VLOOKUP($A274,Bat!$A$4:$BA$1314,48,FALSE),VLOOKUP($A274,Pit!$A$4:$BF$1214,57,FALSE))</f>
        <v>0</v>
      </c>
      <c r="W274" s="68">
        <f>IF(Table5[[#This Row],[posRnk]]=999,9999,Table5[[#This Row],[posRnk]]+Table5[[#This Row],[zRnk]]+IF($W$3&lt;&gt;Table5[[#This Row],[Type]],50,0))</f>
        <v>1192</v>
      </c>
      <c r="X274" s="71">
        <f>RANK(Table5[[#This Row],[zScore]],Table5[[#All],[zScore]])</f>
        <v>262</v>
      </c>
      <c r="Y274" s="68">
        <f>IFERROR(INDEX(DraftResults[[#All],[OVR]],MATCH(Table5[[#This Row],[PID]],DraftResults[[#All],[Player ID]],0)),"")</f>
        <v>423</v>
      </c>
      <c r="Z274" s="7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13</v>
      </c>
      <c r="AA274" s="68">
        <f>IFERROR(INDEX(DraftResults[[#All],[Pick in Round]],MATCH(Table5[[#This Row],[PID]],DraftResults[[#All],[Player ID]],0)),"")</f>
        <v>24</v>
      </c>
      <c r="AB274" s="68" t="str">
        <f>IFERROR(INDEX(DraftResults[[#All],[Team Name]],MATCH(Table5[[#This Row],[PID]],DraftResults[[#All],[Player ID]],0)),"")</f>
        <v>Reno Zephyrs</v>
      </c>
      <c r="AC274" s="68">
        <f>IF(Table5[[#This Row],[Ovr]]="","",IF(Table5[[#This Row],[cmbList]]="","",Table5[[#This Row],[cmbList]]-Table5[[#This Row],[Ovr]]))</f>
        <v>769</v>
      </c>
      <c r="AD274" s="74" t="str">
        <f>IF(ISERROR(VLOOKUP($AB274&amp;"-"&amp;$E274&amp;" "&amp;F274,Bonuses!$B$1:$G$1006,4,FALSE)),"",INT(VLOOKUP($AB274&amp;"-"&amp;$E274&amp;" "&amp;$F274,Bonuses!$B$1:$G$1006,4,FALSE)))</f>
        <v/>
      </c>
      <c r="AE274" s="68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13.24 (423) - RP Wilber Belcher</v>
      </c>
    </row>
    <row r="275" spans="1:31" s="50" customFormat="1" x14ac:dyDescent="0.3">
      <c r="A275" s="50">
        <v>20458</v>
      </c>
      <c r="B275" s="50">
        <f>COUNTIF(Table5[PID],A275)</f>
        <v>1</v>
      </c>
      <c r="C275" s="50" t="str">
        <f>IF(COUNTIF(Table3[[#All],[PID]],A275)&gt;0,"P","B")</f>
        <v>P</v>
      </c>
      <c r="D275" s="59" t="str">
        <f>IF($C275="B",INDEX(Batters[[#All],[POS]],MATCH(Table5[[#This Row],[PID]],Batters[[#All],[PID]],0)),INDEX(Table3[[#All],[POS]],MATCH(Table5[[#This Row],[PID]],Table3[[#All],[PID]],0)))</f>
        <v>RP</v>
      </c>
      <c r="E275" s="52" t="str">
        <f>IF($C275="B",INDEX(Batters[[#All],[First]],MATCH(Table5[[#This Row],[PID]],Batters[[#All],[PID]],0)),INDEX(Table3[[#All],[First]],MATCH(Table5[[#This Row],[PID]],Table3[[#All],[PID]],0)))</f>
        <v>Bujana</v>
      </c>
      <c r="F275" s="50" t="str">
        <f>IF($C275="B",INDEX(Batters[[#All],[Last]],MATCH(A275,Batters[[#All],[PID]],0)),INDEX(Table3[[#All],[Last]],MATCH(A275,Table3[[#All],[PID]],0)))</f>
        <v>Sukarno</v>
      </c>
      <c r="G275" s="56">
        <f>IF($C275="B",INDEX(Batters[[#All],[Age]],MATCH(Table5[[#This Row],[PID]],Batters[[#All],[PID]],0)),INDEX(Table3[[#All],[Age]],MATCH(Table5[[#This Row],[PID]],Table3[[#All],[PID]],0)))</f>
        <v>16</v>
      </c>
      <c r="H275" s="52" t="str">
        <f>IF($C275="B",INDEX(Batters[[#All],[B]],MATCH(Table5[[#This Row],[PID]],Batters[[#All],[PID]],0)),INDEX(Table3[[#All],[B]],MATCH(Table5[[#This Row],[PID]],Table3[[#All],[PID]],0)))</f>
        <v>R</v>
      </c>
      <c r="I275" s="52" t="str">
        <f>IF($C275="B",INDEX(Batters[[#All],[T]],MATCH(Table5[[#This Row],[PID]],Batters[[#All],[PID]],0)),INDEX(Table3[[#All],[T]],MATCH(Table5[[#This Row],[PID]],Table3[[#All],[PID]],0)))</f>
        <v>L</v>
      </c>
      <c r="J275" s="52" t="str">
        <f>IF($C275="B",INDEX(Batters[[#All],[WE]],MATCH(Table5[[#This Row],[PID]],Batters[[#All],[PID]],0)),INDEX(Table3[[#All],[WE]],MATCH(Table5[[#This Row],[PID]],Table3[[#All],[PID]],0)))</f>
        <v>Low</v>
      </c>
      <c r="K275" s="52" t="str">
        <f>IF($C275="B",INDEX(Batters[[#All],[INT]],MATCH(Table5[[#This Row],[PID]],Batters[[#All],[PID]],0)),INDEX(Table3[[#All],[INT]],MATCH(Table5[[#This Row],[PID]],Table3[[#All],[PID]],0)))</f>
        <v>Normal</v>
      </c>
      <c r="L275" s="60">
        <f>IF($C275="B",INDEX(Batters[[#All],[CON P]],MATCH(Table5[[#This Row],[PID]],Batters[[#All],[PID]],0)),INDEX(Table3[[#All],[STU P]],MATCH(Table5[[#This Row],[PID]],Table3[[#All],[PID]],0)))</f>
        <v>5</v>
      </c>
      <c r="M275" s="56">
        <f>IF($C275="B",INDEX(Batters[[#All],[GAP P]],MATCH(Table5[[#This Row],[PID]],Batters[[#All],[PID]],0)),INDEX(Table3[[#All],[MOV P]],MATCH(Table5[[#This Row],[PID]],Table3[[#All],[PID]],0)))</f>
        <v>2</v>
      </c>
      <c r="N275" s="56">
        <f>IF($C275="B",INDEX(Batters[[#All],[POW P]],MATCH(Table5[[#This Row],[PID]],Batters[[#All],[PID]],0)),INDEX(Table3[[#All],[CON P]],MATCH(Table5[[#This Row],[PID]],Table3[[#All],[PID]],0)))</f>
        <v>4</v>
      </c>
      <c r="O275" s="56" t="str">
        <f>IF($C275="B",INDEX(Batters[[#All],[EYE P]],MATCH(Table5[[#This Row],[PID]],Batters[[#All],[PID]],0)),INDEX(Table3[[#All],[VELO]],MATCH(Table5[[#This Row],[PID]],Table3[[#All],[PID]],0)))</f>
        <v>88-90 Mph</v>
      </c>
      <c r="P275" s="56">
        <f>IF($C275="B",INDEX(Batters[[#All],[K P]],MATCH(Table5[[#This Row],[PID]],Batters[[#All],[PID]],0)),INDEX(Table3[[#All],[STM]],MATCH(Table5[[#This Row],[PID]],Table3[[#All],[PID]],0)))</f>
        <v>10</v>
      </c>
      <c r="Q275" s="61">
        <f>IF($C275="B",INDEX(Batters[[#All],[Tot]],MATCH(Table5[[#This Row],[PID]],Batters[[#All],[PID]],0)),INDEX(Table3[[#All],[Tot]],MATCH(Table5[[#This Row],[PID]],Table3[[#All],[PID]],0)))</f>
        <v>42.891112268565408</v>
      </c>
      <c r="R275" s="52">
        <f>IF($C275="B",INDEX(Batters[[#All],[zScore]],MATCH(Table5[[#This Row],[PID]],Batters[[#All],[PID]],0)),INDEX(Table3[[#All],[zScore]],MATCH(Table5[[#This Row],[PID]],Table3[[#All],[PID]],0)))</f>
        <v>0.36824610882284758</v>
      </c>
      <c r="S275" s="58" t="str">
        <f>IF($C275="B",INDEX(Batters[[#All],[DEM]],MATCH(Table5[[#This Row],[PID]],Batters[[#All],[PID]],0)),INDEX(Table3[[#All],[DEM]],MATCH(Table5[[#This Row],[PID]],Table3[[#All],[PID]],0)))</f>
        <v>$80k</v>
      </c>
      <c r="T275" s="62">
        <f>IF($C275="B",INDEX(Batters[[#All],[Rnk]],MATCH(Table5[[#This Row],[PID]],Batters[[#All],[PID]],0)),INDEX(Table3[[#All],[Rnk]],MATCH(Table5[[#This Row],[PID]],Table3[[#All],[PID]],0)))</f>
        <v>930</v>
      </c>
      <c r="U275" s="67">
        <f>IF($C275="B",VLOOKUP($A275,Bat!$A$4:$BA$1314,47,FALSE),VLOOKUP($A275,Pit!$A$4:$BF$1214,56,FALSE))</f>
        <v>263</v>
      </c>
      <c r="V275" s="50">
        <f>IF($C275="B",VLOOKUP($A275,Bat!$A$4:$BA$1314,48,FALSE),VLOOKUP($A275,Pit!$A$4:$BF$1214,57,FALSE))</f>
        <v>0</v>
      </c>
      <c r="W275" s="68">
        <f>IF(Table5[[#This Row],[posRnk]]=999,9999,Table5[[#This Row],[posRnk]]+Table5[[#This Row],[zRnk]]+IF($W$3&lt;&gt;Table5[[#This Row],[Type]],50,0))</f>
        <v>1192</v>
      </c>
      <c r="X275" s="51">
        <f>RANK(Table5[[#This Row],[zScore]],Table5[[#All],[zScore]])</f>
        <v>262</v>
      </c>
      <c r="Y275" s="50">
        <f>IFERROR(INDEX(DraftResults[[#All],[OVR]],MATCH(Table5[[#This Row],[PID]],DraftResults[[#All],[Player ID]],0)),"")</f>
        <v>341</v>
      </c>
      <c r="Z275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11</v>
      </c>
      <c r="AA275" s="50">
        <f>IFERROR(INDEX(DraftResults[[#All],[Pick in Round]],MATCH(Table5[[#This Row],[PID]],DraftResults[[#All],[Player ID]],0)),"")</f>
        <v>10</v>
      </c>
      <c r="AB275" s="50" t="str">
        <f>IFERROR(INDEX(DraftResults[[#All],[Team Name]],MATCH(Table5[[#This Row],[PID]],DraftResults[[#All],[Player ID]],0)),"")</f>
        <v>London Underground</v>
      </c>
      <c r="AC275" s="50">
        <f>IF(Table5[[#This Row],[Ovr]]="","",IF(Table5[[#This Row],[cmbList]]="","",Table5[[#This Row],[cmbList]]-Table5[[#This Row],[Ovr]]))</f>
        <v>851</v>
      </c>
      <c r="AD275" s="54" t="str">
        <f>IF(ISERROR(VLOOKUP($AB275&amp;"-"&amp;$E275&amp;" "&amp;F275,Bonuses!$B$1:$G$1006,4,FALSE)),"",INT(VLOOKUP($AB275&amp;"-"&amp;$E275&amp;" "&amp;$F275,Bonuses!$B$1:$G$1006,4,FALSE)))</f>
        <v/>
      </c>
      <c r="AE275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11.10 (341) - RP Bujana Sukarno</v>
      </c>
    </row>
    <row r="276" spans="1:31" s="50" customFormat="1" x14ac:dyDescent="0.3">
      <c r="A276" s="50">
        <v>9754</v>
      </c>
      <c r="B276" s="55">
        <f>COUNTIF(Table5[PID],A276)</f>
        <v>1</v>
      </c>
      <c r="C276" s="55" t="str">
        <f>IF(COUNTIF(Table3[[#All],[PID]],A276)&gt;0,"P","B")</f>
        <v>P</v>
      </c>
      <c r="D276" s="59" t="str">
        <f>IF($C276="B",INDEX(Batters[[#All],[POS]],MATCH(Table5[[#This Row],[PID]],Batters[[#All],[PID]],0)),INDEX(Table3[[#All],[POS]],MATCH(Table5[[#This Row],[PID]],Table3[[#All],[PID]],0)))</f>
        <v>SP</v>
      </c>
      <c r="E276" s="52" t="str">
        <f>IF($C276="B",INDEX(Batters[[#All],[First]],MATCH(Table5[[#This Row],[PID]],Batters[[#All],[PID]],0)),INDEX(Table3[[#All],[First]],MATCH(Table5[[#This Row],[PID]],Table3[[#All],[PID]],0)))</f>
        <v>Leonard</v>
      </c>
      <c r="F276" s="50" t="str">
        <f>IF($C276="B",INDEX(Batters[[#All],[Last]],MATCH(A276,Batters[[#All],[PID]],0)),INDEX(Table3[[#All],[Last]],MATCH(A276,Table3[[#All],[PID]],0)))</f>
        <v>Stewart</v>
      </c>
      <c r="G276" s="56">
        <f>IF($C276="B",INDEX(Batters[[#All],[Age]],MATCH(Table5[[#This Row],[PID]],Batters[[#All],[PID]],0)),INDEX(Table3[[#All],[Age]],MATCH(Table5[[#This Row],[PID]],Table3[[#All],[PID]],0)))</f>
        <v>17</v>
      </c>
      <c r="H276" s="52" t="str">
        <f>IF($C276="B",INDEX(Batters[[#All],[B]],MATCH(Table5[[#This Row],[PID]],Batters[[#All],[PID]],0)),INDEX(Table3[[#All],[B]],MATCH(Table5[[#This Row],[PID]],Table3[[#All],[PID]],0)))</f>
        <v>R</v>
      </c>
      <c r="I276" s="52" t="str">
        <f>IF($C276="B",INDEX(Batters[[#All],[T]],MATCH(Table5[[#This Row],[PID]],Batters[[#All],[PID]],0)),INDEX(Table3[[#All],[T]],MATCH(Table5[[#This Row],[PID]],Table3[[#All],[PID]],0)))</f>
        <v>R</v>
      </c>
      <c r="J276" s="52" t="str">
        <f>IF($C276="B",INDEX(Batters[[#All],[WE]],MATCH(Table5[[#This Row],[PID]],Batters[[#All],[PID]],0)),INDEX(Table3[[#All],[WE]],MATCH(Table5[[#This Row],[PID]],Table3[[#All],[PID]],0)))</f>
        <v>Normal</v>
      </c>
      <c r="K276" s="52" t="str">
        <f>IF($C276="B",INDEX(Batters[[#All],[INT]],MATCH(Table5[[#This Row],[PID]],Batters[[#All],[PID]],0)),INDEX(Table3[[#All],[INT]],MATCH(Table5[[#This Row],[PID]],Table3[[#All],[PID]],0)))</f>
        <v>High</v>
      </c>
      <c r="L276" s="60">
        <f>IF($C276="B",INDEX(Batters[[#All],[CON P]],MATCH(Table5[[#This Row],[PID]],Batters[[#All],[PID]],0)),INDEX(Table3[[#All],[STU P]],MATCH(Table5[[#This Row],[PID]],Table3[[#All],[PID]],0)))</f>
        <v>5</v>
      </c>
      <c r="M276" s="56">
        <f>IF($C276="B",INDEX(Batters[[#All],[GAP P]],MATCH(Table5[[#This Row],[PID]],Batters[[#All],[PID]],0)),INDEX(Table3[[#All],[MOV P]],MATCH(Table5[[#This Row],[PID]],Table3[[#All],[PID]],0)))</f>
        <v>1</v>
      </c>
      <c r="N276" s="56">
        <f>IF($C276="B",INDEX(Batters[[#All],[POW P]],MATCH(Table5[[#This Row],[PID]],Batters[[#All],[PID]],0)),INDEX(Table3[[#All],[CON P]],MATCH(Table5[[#This Row],[PID]],Table3[[#All],[PID]],0)))</f>
        <v>4</v>
      </c>
      <c r="O276" s="56" t="str">
        <f>IF($C276="B",INDEX(Batters[[#All],[EYE P]],MATCH(Table5[[#This Row],[PID]],Batters[[#All],[PID]],0)),INDEX(Table3[[#All],[VELO]],MATCH(Table5[[#This Row],[PID]],Table3[[#All],[PID]],0)))</f>
        <v>89-91 Mph</v>
      </c>
      <c r="P276" s="56">
        <f>IF($C276="B",INDEX(Batters[[#All],[K P]],MATCH(Table5[[#This Row],[PID]],Batters[[#All],[PID]],0)),INDEX(Table3[[#All],[STM]],MATCH(Table5[[#This Row],[PID]],Table3[[#All],[PID]],0)))</f>
        <v>6</v>
      </c>
      <c r="Q276" s="61">
        <f>IF($C276="B",INDEX(Batters[[#All],[Tot]],MATCH(Table5[[#This Row],[PID]],Batters[[#All],[PID]],0)),INDEX(Table3[[#All],[Tot]],MATCH(Table5[[#This Row],[PID]],Table3[[#All],[PID]],0)))</f>
        <v>41.380591998482046</v>
      </c>
      <c r="R276" s="52">
        <f>IF($C276="B",INDEX(Batters[[#All],[zScore]],MATCH(Table5[[#This Row],[PID]],Batters[[#All],[PID]],0)),INDEX(Table3[[#All],[zScore]],MATCH(Table5[[#This Row],[PID]],Table3[[#All],[PID]],0)))</f>
        <v>0.25477943354943083</v>
      </c>
      <c r="S276" s="58" t="str">
        <f>IF($C276="B",INDEX(Batters[[#All],[DEM]],MATCH(Table5[[#This Row],[PID]],Batters[[#All],[PID]],0)),INDEX(Table3[[#All],[DEM]],MATCH(Table5[[#This Row],[PID]],Table3[[#All],[PID]],0)))</f>
        <v>$90k</v>
      </c>
      <c r="T276" s="62">
        <f>IF($C276="B",INDEX(Batters[[#All],[Rnk]],MATCH(Table5[[#This Row],[PID]],Batters[[#All],[PID]],0)),INDEX(Table3[[#All],[Rnk]],MATCH(Table5[[#This Row],[PID]],Table3[[#All],[PID]],0)))</f>
        <v>900</v>
      </c>
      <c r="U276" s="67">
        <f>IF($C276="B",VLOOKUP($A276,Bat!$A$4:$BA$1314,47,FALSE),VLOOKUP($A276,Pit!$A$4:$BF$1214,56,FALSE))</f>
        <v>97</v>
      </c>
      <c r="V276" s="50">
        <f>IF($C276="B",VLOOKUP($A276,Bat!$A$4:$BA$1314,48,FALSE),VLOOKUP($A276,Pit!$A$4:$BF$1214,57,FALSE))</f>
        <v>0</v>
      </c>
      <c r="W276" s="68">
        <f>IF(Table5[[#This Row],[posRnk]]=999,9999,Table5[[#This Row],[posRnk]]+Table5[[#This Row],[zRnk]]+IF($W$3&lt;&gt;Table5[[#This Row],[Type]],50,0))</f>
        <v>1194</v>
      </c>
      <c r="X276" s="51">
        <f>RANK(Table5[[#This Row],[zScore]],Table5[[#All],[zScore]])</f>
        <v>294</v>
      </c>
      <c r="Y276" s="50">
        <f>IFERROR(INDEX(DraftResults[[#All],[OVR]],MATCH(Table5[[#This Row],[PID]],DraftResults[[#All],[Player ID]],0)),"")</f>
        <v>299</v>
      </c>
      <c r="Z276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10</v>
      </c>
      <c r="AA276" s="50">
        <f>IFERROR(INDEX(DraftResults[[#All],[Pick in Round]],MATCH(Table5[[#This Row],[PID]],DraftResults[[#All],[Player ID]],0)),"")</f>
        <v>2</v>
      </c>
      <c r="AB276" s="50" t="str">
        <f>IFERROR(INDEX(DraftResults[[#All],[Team Name]],MATCH(Table5[[#This Row],[PID]],DraftResults[[#All],[Player ID]],0)),"")</f>
        <v>Charleston Statesmen</v>
      </c>
      <c r="AC276" s="50">
        <f>IF(Table5[[#This Row],[Ovr]]="","",IF(Table5[[#This Row],[cmbList]]="","",Table5[[#This Row],[cmbList]]-Table5[[#This Row],[Ovr]]))</f>
        <v>895</v>
      </c>
      <c r="AD276" s="54" t="str">
        <f>IF(ISERROR(VLOOKUP($AB276&amp;"-"&amp;$E276&amp;" "&amp;F276,Bonuses!$B$1:$G$1006,4,FALSE)),"",INT(VLOOKUP($AB276&amp;"-"&amp;$E276&amp;" "&amp;$F276,Bonuses!$B$1:$G$1006,4,FALSE)))</f>
        <v/>
      </c>
      <c r="AE276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10.2 (299) - SP Leonard Stewart</v>
      </c>
    </row>
    <row r="277" spans="1:31" s="50" customFormat="1" x14ac:dyDescent="0.3">
      <c r="A277" s="50">
        <v>12769</v>
      </c>
      <c r="B277" s="50">
        <f>COUNTIF(Table5[PID],A277)</f>
        <v>1</v>
      </c>
      <c r="C277" s="50" t="str">
        <f>IF(COUNTIF(Table3[[#All],[PID]],A277)&gt;0,"P","B")</f>
        <v>B</v>
      </c>
      <c r="D277" s="59" t="str">
        <f>IF($C277="B",INDEX(Batters[[#All],[POS]],MATCH(Table5[[#This Row],[PID]],Batters[[#All],[PID]],0)),INDEX(Table3[[#All],[POS]],MATCH(Table5[[#This Row],[PID]],Table3[[#All],[PID]],0)))</f>
        <v>LF</v>
      </c>
      <c r="E277" s="52" t="str">
        <f>IF($C277="B",INDEX(Batters[[#All],[First]],MATCH(Table5[[#This Row],[PID]],Batters[[#All],[PID]],0)),INDEX(Table3[[#All],[First]],MATCH(Table5[[#This Row],[PID]],Table3[[#All],[PID]],0)))</f>
        <v>Brando</v>
      </c>
      <c r="F277" s="50" t="str">
        <f>IF($C277="B",INDEX(Batters[[#All],[Last]],MATCH(A277,Batters[[#All],[PID]],0)),INDEX(Table3[[#All],[Last]],MATCH(A277,Table3[[#All],[PID]],0)))</f>
        <v>Mangoni</v>
      </c>
      <c r="G277" s="56">
        <f>IF($C277="B",INDEX(Batters[[#All],[Age]],MATCH(Table5[[#This Row],[PID]],Batters[[#All],[PID]],0)),INDEX(Table3[[#All],[Age]],MATCH(Table5[[#This Row],[PID]],Table3[[#All],[PID]],0)))</f>
        <v>17</v>
      </c>
      <c r="H277" s="52" t="str">
        <f>IF($C277="B",INDEX(Batters[[#All],[B]],MATCH(Table5[[#This Row],[PID]],Batters[[#All],[PID]],0)),INDEX(Table3[[#All],[B]],MATCH(Table5[[#This Row],[PID]],Table3[[#All],[PID]],0)))</f>
        <v>R</v>
      </c>
      <c r="I277" s="52" t="str">
        <f>IF($C277="B",INDEX(Batters[[#All],[T]],MATCH(Table5[[#This Row],[PID]],Batters[[#All],[PID]],0)),INDEX(Table3[[#All],[T]],MATCH(Table5[[#This Row],[PID]],Table3[[#All],[PID]],0)))</f>
        <v>R</v>
      </c>
      <c r="J277" s="52" t="str">
        <f>IF($C277="B",INDEX(Batters[[#All],[WE]],MATCH(Table5[[#This Row],[PID]],Batters[[#All],[PID]],0)),INDEX(Table3[[#All],[WE]],MATCH(Table5[[#This Row],[PID]],Table3[[#All],[PID]],0)))</f>
        <v>Normal</v>
      </c>
      <c r="K277" s="52" t="str">
        <f>IF($C277="B",INDEX(Batters[[#All],[INT]],MATCH(Table5[[#This Row],[PID]],Batters[[#All],[PID]],0)),INDEX(Table3[[#All],[INT]],MATCH(Table5[[#This Row],[PID]],Table3[[#All],[PID]],0)))</f>
        <v>Normal</v>
      </c>
      <c r="L277" s="60">
        <f>IF($C277="B",INDEX(Batters[[#All],[CON P]],MATCH(Table5[[#This Row],[PID]],Batters[[#All],[PID]],0)),INDEX(Table3[[#All],[STU P]],MATCH(Table5[[#This Row],[PID]],Table3[[#All],[PID]],0)))</f>
        <v>4</v>
      </c>
      <c r="M277" s="56">
        <f>IF($C277="B",INDEX(Batters[[#All],[GAP P]],MATCH(Table5[[#This Row],[PID]],Batters[[#All],[PID]],0)),INDEX(Table3[[#All],[MOV P]],MATCH(Table5[[#This Row],[PID]],Table3[[#All],[PID]],0)))</f>
        <v>4</v>
      </c>
      <c r="N277" s="56">
        <f>IF($C277="B",INDEX(Batters[[#All],[POW P]],MATCH(Table5[[#This Row],[PID]],Batters[[#All],[PID]],0)),INDEX(Table3[[#All],[CON P]],MATCH(Table5[[#This Row],[PID]],Table3[[#All],[PID]],0)))</f>
        <v>3</v>
      </c>
      <c r="O277" s="56">
        <f>IF($C277="B",INDEX(Batters[[#All],[EYE P]],MATCH(Table5[[#This Row],[PID]],Batters[[#All],[PID]],0)),INDEX(Table3[[#All],[VELO]],MATCH(Table5[[#This Row],[PID]],Table3[[#All],[PID]],0)))</f>
        <v>4</v>
      </c>
      <c r="P277" s="56">
        <f>IF($C277="B",INDEX(Batters[[#All],[K P]],MATCH(Table5[[#This Row],[PID]],Batters[[#All],[PID]],0)),INDEX(Table3[[#All],[STM]],MATCH(Table5[[#This Row],[PID]],Table3[[#All],[PID]],0)))</f>
        <v>4</v>
      </c>
      <c r="Q277" s="61">
        <f>IF($C277="B",INDEX(Batters[[#All],[Tot]],MATCH(Table5[[#This Row],[PID]],Batters[[#All],[PID]],0)),INDEX(Table3[[#All],[Tot]],MATCH(Table5[[#This Row],[PID]],Table3[[#All],[PID]],0)))</f>
        <v>44.924573174355729</v>
      </c>
      <c r="R277" s="52">
        <f>IF($C277="B",INDEX(Batters[[#All],[zScore]],MATCH(Table5[[#This Row],[PID]],Batters[[#All],[PID]],0)),INDEX(Table3[[#All],[zScore]],MATCH(Table5[[#This Row],[PID]],Table3[[#All],[PID]],0)))</f>
        <v>0.24903365434562824</v>
      </c>
      <c r="S277" s="58" t="str">
        <f>IF($C277="B",INDEX(Batters[[#All],[DEM]],MATCH(Table5[[#This Row],[PID]],Batters[[#All],[PID]],0)),INDEX(Table3[[#All],[DEM]],MATCH(Table5[[#This Row],[PID]],Table3[[#All],[PID]],0)))</f>
        <v>$85k</v>
      </c>
      <c r="T277" s="62">
        <f>IF($C277="B",INDEX(Batters[[#All],[Rnk]],MATCH(Table5[[#This Row],[PID]],Batters[[#All],[PID]],0)),INDEX(Table3[[#All],[Rnk]],MATCH(Table5[[#This Row],[PID]],Table3[[#All],[PID]],0)))</f>
        <v>900</v>
      </c>
      <c r="U277" s="67">
        <f>IF($C277="B",VLOOKUP($A277,Bat!$A$4:$BA$1314,47,FALSE),VLOOKUP($A277,Pit!$A$4:$BF$1214,56,FALSE))</f>
        <v>151</v>
      </c>
      <c r="V277" s="50">
        <f>IF($C277="B",VLOOKUP($A277,Bat!$A$4:$BA$1314,48,FALSE),VLOOKUP($A277,Pit!$A$4:$BF$1214,57,FALSE))</f>
        <v>0</v>
      </c>
      <c r="W277" s="68">
        <f>IF(Table5[[#This Row],[posRnk]]=999,9999,Table5[[#This Row],[posRnk]]+Table5[[#This Row],[zRnk]]+IF($W$3&lt;&gt;Table5[[#This Row],[Type]],50,0))</f>
        <v>1245</v>
      </c>
      <c r="X277" s="51">
        <f>RANK(Table5[[#This Row],[zScore]],Table5[[#All],[zScore]])</f>
        <v>295</v>
      </c>
      <c r="Y277" s="50">
        <f>IFERROR(INDEX(DraftResults[[#All],[OVR]],MATCH(Table5[[#This Row],[PID]],DraftResults[[#All],[Player ID]],0)),"")</f>
        <v>534</v>
      </c>
      <c r="Z277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16</v>
      </c>
      <c r="AA277" s="50">
        <f>IFERROR(INDEX(DraftResults[[#All],[Pick in Round]],MATCH(Table5[[#This Row],[PID]],DraftResults[[#All],[Player ID]],0)),"")</f>
        <v>33</v>
      </c>
      <c r="AB277" s="50" t="str">
        <f>IFERROR(INDEX(DraftResults[[#All],[Team Name]],MATCH(Table5[[#This Row],[PID]],DraftResults[[#All],[Player ID]],0)),"")</f>
        <v>New Jersey Hitmen</v>
      </c>
      <c r="AC277" s="50">
        <f>IF(Table5[[#This Row],[Ovr]]="","",IF(Table5[[#This Row],[cmbList]]="","",Table5[[#This Row],[cmbList]]-Table5[[#This Row],[Ovr]]))</f>
        <v>711</v>
      </c>
      <c r="AD277" s="54" t="str">
        <f>IF(ISERROR(VLOOKUP($AB277&amp;"-"&amp;$E277&amp;" "&amp;F277,Bonuses!$B$1:$G$1006,4,FALSE)),"",INT(VLOOKUP($AB277&amp;"-"&amp;$E277&amp;" "&amp;$F277,Bonuses!$B$1:$G$1006,4,FALSE)))</f>
        <v/>
      </c>
      <c r="AE277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16.33 (534) - LF Brando Mangoni</v>
      </c>
    </row>
    <row r="278" spans="1:31" s="50" customFormat="1" x14ac:dyDescent="0.3">
      <c r="A278" s="67">
        <v>21066</v>
      </c>
      <c r="B278" s="68">
        <f>COUNTIF(Table5[PID],A278)</f>
        <v>1</v>
      </c>
      <c r="C278" s="68" t="str">
        <f>IF(COUNTIF(Table3[[#All],[PID]],A278)&gt;0,"P","B")</f>
        <v>B</v>
      </c>
      <c r="D278" s="59" t="str">
        <f>IF($C278="B",INDEX(Batters[[#All],[POS]],MATCH(Table5[[#This Row],[PID]],Batters[[#All],[PID]],0)),INDEX(Table3[[#All],[POS]],MATCH(Table5[[#This Row],[PID]],Table3[[#All],[PID]],0)))</f>
        <v>2B</v>
      </c>
      <c r="E278" s="52" t="str">
        <f>IF($C278="B",INDEX(Batters[[#All],[First]],MATCH(Table5[[#This Row],[PID]],Batters[[#All],[PID]],0)),INDEX(Table3[[#All],[First]],MATCH(Table5[[#This Row],[PID]],Table3[[#All],[PID]],0)))</f>
        <v>Jim</v>
      </c>
      <c r="F278" s="55" t="str">
        <f>IF($C278="B",INDEX(Batters[[#All],[Last]],MATCH(A278,Batters[[#All],[PID]],0)),INDEX(Table3[[#All],[Last]],MATCH(A278,Table3[[#All],[PID]],0)))</f>
        <v>Maddox</v>
      </c>
      <c r="G278" s="56">
        <f>IF($C278="B",INDEX(Batters[[#All],[Age]],MATCH(Table5[[#This Row],[PID]],Batters[[#All],[PID]],0)),INDEX(Table3[[#All],[Age]],MATCH(Table5[[#This Row],[PID]],Table3[[#All],[PID]],0)))</f>
        <v>16</v>
      </c>
      <c r="H278" s="52" t="str">
        <f>IF($C278="B",INDEX(Batters[[#All],[B]],MATCH(Table5[[#This Row],[PID]],Batters[[#All],[PID]],0)),INDEX(Table3[[#All],[B]],MATCH(Table5[[#This Row],[PID]],Table3[[#All],[PID]],0)))</f>
        <v>R</v>
      </c>
      <c r="I278" s="52" t="str">
        <f>IF($C278="B",INDEX(Batters[[#All],[T]],MATCH(Table5[[#This Row],[PID]],Batters[[#All],[PID]],0)),INDEX(Table3[[#All],[T]],MATCH(Table5[[#This Row],[PID]],Table3[[#All],[PID]],0)))</f>
        <v>R</v>
      </c>
      <c r="J278" s="69" t="str">
        <f>IF($C278="B",INDEX(Batters[[#All],[WE]],MATCH(Table5[[#This Row],[PID]],Batters[[#All],[PID]],0)),INDEX(Table3[[#All],[WE]],MATCH(Table5[[#This Row],[PID]],Table3[[#All],[PID]],0)))</f>
        <v>Normal</v>
      </c>
      <c r="K278" s="52" t="str">
        <f>IF($C278="B",INDEX(Batters[[#All],[INT]],MATCH(Table5[[#This Row],[PID]],Batters[[#All],[PID]],0)),INDEX(Table3[[#All],[INT]],MATCH(Table5[[#This Row],[PID]],Table3[[#All],[PID]],0)))</f>
        <v>Normal</v>
      </c>
      <c r="L278" s="60">
        <f>IF($C278="B",INDEX(Batters[[#All],[CON P]],MATCH(Table5[[#This Row],[PID]],Batters[[#All],[PID]],0)),INDEX(Table3[[#All],[STU P]],MATCH(Table5[[#This Row],[PID]],Table3[[#All],[PID]],0)))</f>
        <v>4</v>
      </c>
      <c r="M278" s="70">
        <f>IF($C278="B",INDEX(Batters[[#All],[GAP P]],MATCH(Table5[[#This Row],[PID]],Batters[[#All],[PID]],0)),INDEX(Table3[[#All],[MOV P]],MATCH(Table5[[#This Row],[PID]],Table3[[#All],[PID]],0)))</f>
        <v>4</v>
      </c>
      <c r="N278" s="70">
        <f>IF($C278="B",INDEX(Batters[[#All],[POW P]],MATCH(Table5[[#This Row],[PID]],Batters[[#All],[PID]],0)),INDEX(Table3[[#All],[CON P]],MATCH(Table5[[#This Row],[PID]],Table3[[#All],[PID]],0)))</f>
        <v>2</v>
      </c>
      <c r="O278" s="70">
        <f>IF($C278="B",INDEX(Batters[[#All],[EYE P]],MATCH(Table5[[#This Row],[PID]],Batters[[#All],[PID]],0)),INDEX(Table3[[#All],[VELO]],MATCH(Table5[[#This Row],[PID]],Table3[[#All],[PID]],0)))</f>
        <v>4</v>
      </c>
      <c r="P278" s="56">
        <f>IF($C278="B",INDEX(Batters[[#All],[K P]],MATCH(Table5[[#This Row],[PID]],Batters[[#All],[PID]],0)),INDEX(Table3[[#All],[STM]],MATCH(Table5[[#This Row],[PID]],Table3[[#All],[PID]],0)))</f>
        <v>5</v>
      </c>
      <c r="Q278" s="61">
        <f>IF($C278="B",INDEX(Batters[[#All],[Tot]],MATCH(Table5[[#This Row],[PID]],Batters[[#All],[PID]],0)),INDEX(Table3[[#All],[Tot]],MATCH(Table5[[#This Row],[PID]],Table3[[#All],[PID]],0)))</f>
        <v>44.899060368872952</v>
      </c>
      <c r="R278" s="52">
        <f>IF($C278="B",INDEX(Batters[[#All],[zScore]],MATCH(Table5[[#This Row],[PID]],Batters[[#All],[PID]],0)),INDEX(Table3[[#All],[zScore]],MATCH(Table5[[#This Row],[PID]],Table3[[#All],[PID]],0)))</f>
        <v>0.24530959835751187</v>
      </c>
      <c r="S278" s="75" t="str">
        <f>IF($C278="B",INDEX(Batters[[#All],[DEM]],MATCH(Table5[[#This Row],[PID]],Batters[[#All],[PID]],0)),INDEX(Table3[[#All],[DEM]],MATCH(Table5[[#This Row],[PID]],Table3[[#All],[PID]],0)))</f>
        <v>$38k</v>
      </c>
      <c r="T278" s="72">
        <f>IF($C278="B",INDEX(Batters[[#All],[Rnk]],MATCH(Table5[[#This Row],[PID]],Batters[[#All],[PID]],0)),INDEX(Table3[[#All],[Rnk]],MATCH(Table5[[#This Row],[PID]],Table3[[#All],[PID]],0)))</f>
        <v>900</v>
      </c>
      <c r="U278" s="67">
        <f>IF($C278="B",VLOOKUP($A278,Bat!$A$4:$BA$1314,47,FALSE),VLOOKUP($A278,Pit!$A$4:$BF$1214,56,FALSE))</f>
        <v>152</v>
      </c>
      <c r="V278" s="50">
        <f>IF($C278="B",VLOOKUP($A278,Bat!$A$4:$BA$1314,48,FALSE),VLOOKUP($A278,Pit!$A$4:$BF$1214,57,FALSE))</f>
        <v>0</v>
      </c>
      <c r="W278" s="68">
        <f>IF(Table5[[#This Row],[posRnk]]=999,9999,Table5[[#This Row],[posRnk]]+Table5[[#This Row],[zRnk]]+IF($W$3&lt;&gt;Table5[[#This Row],[Type]],50,0))</f>
        <v>1246</v>
      </c>
      <c r="X278" s="71">
        <f>RANK(Table5[[#This Row],[zScore]],Table5[[#All],[zScore]])</f>
        <v>296</v>
      </c>
      <c r="Y278" s="68">
        <f>IFERROR(INDEX(DraftResults[[#All],[OVR]],MATCH(Table5[[#This Row],[PID]],DraftResults[[#All],[Player ID]],0)),"")</f>
        <v>503</v>
      </c>
      <c r="Z278" s="7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16</v>
      </c>
      <c r="AA278" s="68">
        <f>IFERROR(INDEX(DraftResults[[#All],[Pick in Round]],MATCH(Table5[[#This Row],[PID]],DraftResults[[#All],[Player ID]],0)),"")</f>
        <v>2</v>
      </c>
      <c r="AB278" s="68" t="str">
        <f>IFERROR(INDEX(DraftResults[[#All],[Team Name]],MATCH(Table5[[#This Row],[PID]],DraftResults[[#All],[Player ID]],0)),"")</f>
        <v>Charleston Statesmen</v>
      </c>
      <c r="AC278" s="68">
        <f>IF(Table5[[#This Row],[Ovr]]="","",IF(Table5[[#This Row],[cmbList]]="","",Table5[[#This Row],[cmbList]]-Table5[[#This Row],[Ovr]]))</f>
        <v>743</v>
      </c>
      <c r="AD278" s="74" t="str">
        <f>IF(ISERROR(VLOOKUP($AB278&amp;"-"&amp;$E278&amp;" "&amp;F278,Bonuses!$B$1:$G$1006,4,FALSE)),"",INT(VLOOKUP($AB278&amp;"-"&amp;$E278&amp;" "&amp;$F278,Bonuses!$B$1:$G$1006,4,FALSE)))</f>
        <v/>
      </c>
      <c r="AE278" s="68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16.2 (503) - 2B Jim Maddox</v>
      </c>
    </row>
    <row r="279" spans="1:31" s="50" customFormat="1" x14ac:dyDescent="0.3">
      <c r="A279" s="67">
        <v>10036</v>
      </c>
      <c r="B279" s="68">
        <f>COUNTIF(Table5[PID],A279)</f>
        <v>1</v>
      </c>
      <c r="C279" s="68" t="str">
        <f>IF(COUNTIF(Table3[[#All],[PID]],A279)&gt;0,"P","B")</f>
        <v>P</v>
      </c>
      <c r="D279" s="59" t="str">
        <f>IF($C279="B",INDEX(Batters[[#All],[POS]],MATCH(Table5[[#This Row],[PID]],Batters[[#All],[PID]],0)),INDEX(Table3[[#All],[POS]],MATCH(Table5[[#This Row],[PID]],Table3[[#All],[PID]],0)))</f>
        <v>RP</v>
      </c>
      <c r="E279" s="52" t="str">
        <f>IF($C279="B",INDEX(Batters[[#All],[First]],MATCH(Table5[[#This Row],[PID]],Batters[[#All],[PID]],0)),INDEX(Table3[[#All],[First]],MATCH(Table5[[#This Row],[PID]],Table3[[#All],[PID]],0)))</f>
        <v>Aubrey</v>
      </c>
      <c r="F279" s="55" t="str">
        <f>IF($C279="B",INDEX(Batters[[#All],[Last]],MATCH(A279,Batters[[#All],[PID]],0)),INDEX(Table3[[#All],[Last]],MATCH(A279,Table3[[#All],[PID]],0)))</f>
        <v>Fox</v>
      </c>
      <c r="G279" s="56">
        <f>IF($C279="B",INDEX(Batters[[#All],[Age]],MATCH(Table5[[#This Row],[PID]],Batters[[#All],[PID]],0)),INDEX(Table3[[#All],[Age]],MATCH(Table5[[#This Row],[PID]],Table3[[#All],[PID]],0)))</f>
        <v>18</v>
      </c>
      <c r="H279" s="52" t="str">
        <f>IF($C279="B",INDEX(Batters[[#All],[B]],MATCH(Table5[[#This Row],[PID]],Batters[[#All],[PID]],0)),INDEX(Table3[[#All],[B]],MATCH(Table5[[#This Row],[PID]],Table3[[#All],[PID]],0)))</f>
        <v>L</v>
      </c>
      <c r="I279" s="52" t="str">
        <f>IF($C279="B",INDEX(Batters[[#All],[T]],MATCH(Table5[[#This Row],[PID]],Batters[[#All],[PID]],0)),INDEX(Table3[[#All],[T]],MATCH(Table5[[#This Row],[PID]],Table3[[#All],[PID]],0)))</f>
        <v>R</v>
      </c>
      <c r="J279" s="69" t="str">
        <f>IF($C279="B",INDEX(Batters[[#All],[WE]],MATCH(Table5[[#This Row],[PID]],Batters[[#All],[PID]],0)),INDEX(Table3[[#All],[WE]],MATCH(Table5[[#This Row],[PID]],Table3[[#All],[PID]],0)))</f>
        <v>Low</v>
      </c>
      <c r="K279" s="52" t="str">
        <f>IF($C279="B",INDEX(Batters[[#All],[INT]],MATCH(Table5[[#This Row],[PID]],Batters[[#All],[PID]],0)),INDEX(Table3[[#All],[INT]],MATCH(Table5[[#This Row],[PID]],Table3[[#All],[PID]],0)))</f>
        <v>Low</v>
      </c>
      <c r="L279" s="60">
        <f>IF($C279="B",INDEX(Batters[[#All],[CON P]],MATCH(Table5[[#This Row],[PID]],Batters[[#All],[PID]],0)),INDEX(Table3[[#All],[STU P]],MATCH(Table5[[#This Row],[PID]],Table3[[#All],[PID]],0)))</f>
        <v>4</v>
      </c>
      <c r="M279" s="70">
        <f>IF($C279="B",INDEX(Batters[[#All],[GAP P]],MATCH(Table5[[#This Row],[PID]],Batters[[#All],[PID]],0)),INDEX(Table3[[#All],[MOV P]],MATCH(Table5[[#This Row],[PID]],Table3[[#All],[PID]],0)))</f>
        <v>2</v>
      </c>
      <c r="N279" s="70">
        <f>IF($C279="B",INDEX(Batters[[#All],[POW P]],MATCH(Table5[[#This Row],[PID]],Batters[[#All],[PID]],0)),INDEX(Table3[[#All],[CON P]],MATCH(Table5[[#This Row],[PID]],Table3[[#All],[PID]],0)))</f>
        <v>5</v>
      </c>
      <c r="O279" s="70" t="str">
        <f>IF($C279="B",INDEX(Batters[[#All],[EYE P]],MATCH(Table5[[#This Row],[PID]],Batters[[#All],[PID]],0)),INDEX(Table3[[#All],[VELO]],MATCH(Table5[[#This Row],[PID]],Table3[[#All],[PID]],0)))</f>
        <v>89-91 Mph</v>
      </c>
      <c r="P279" s="56">
        <f>IF($C279="B",INDEX(Batters[[#All],[K P]],MATCH(Table5[[#This Row],[PID]],Batters[[#All],[PID]],0)),INDEX(Table3[[#All],[STM]],MATCH(Table5[[#This Row],[PID]],Table3[[#All],[PID]],0)))</f>
        <v>6</v>
      </c>
      <c r="Q279" s="61">
        <f>IF($C279="B",INDEX(Batters[[#All],[Tot]],MATCH(Table5[[#This Row],[PID]],Batters[[#All],[PID]],0)),INDEX(Table3[[#All],[Tot]],MATCH(Table5[[#This Row],[PID]],Table3[[#All],[PID]],0)))</f>
        <v>43.787357182358093</v>
      </c>
      <c r="R279" s="52">
        <f>IF($C279="B",INDEX(Batters[[#All],[zScore]],MATCH(Table5[[#This Row],[PID]],Batters[[#All],[PID]],0)),INDEX(Table3[[#All],[zScore]],MATCH(Table5[[#This Row],[PID]],Table3[[#All],[PID]],0)))</f>
        <v>0.42615804111522548</v>
      </c>
      <c r="S279" s="75" t="str">
        <f>IF($C279="B",INDEX(Batters[[#All],[DEM]],MATCH(Table5[[#This Row],[PID]],Batters[[#All],[PID]],0)),INDEX(Table3[[#All],[DEM]],MATCH(Table5[[#This Row],[PID]],Table3[[#All],[PID]],0)))</f>
        <v>$38k</v>
      </c>
      <c r="T279" s="72">
        <f>IF($C279="B",INDEX(Batters[[#All],[Rnk]],MATCH(Table5[[#This Row],[PID]],Batters[[#All],[PID]],0)),INDEX(Table3[[#All],[Rnk]],MATCH(Table5[[#This Row],[PID]],Table3[[#All],[PID]],0)))</f>
        <v>950</v>
      </c>
      <c r="U279" s="67">
        <f>IF($C279="B",VLOOKUP($A279,Bat!$A$4:$BA$1314,47,FALSE),VLOOKUP($A279,Pit!$A$4:$BF$1214,56,FALSE))</f>
        <v>407</v>
      </c>
      <c r="V279" s="50">
        <f>IF($C279="B",VLOOKUP($A279,Bat!$A$4:$BA$1314,48,FALSE),VLOOKUP($A279,Pit!$A$4:$BF$1214,57,FALSE))</f>
        <v>0</v>
      </c>
      <c r="W279" s="68">
        <f>IF(Table5[[#This Row],[posRnk]]=999,9999,Table5[[#This Row],[posRnk]]+Table5[[#This Row],[zRnk]]+IF($W$3&lt;&gt;Table5[[#This Row],[Type]],50,0))</f>
        <v>1196</v>
      </c>
      <c r="X279" s="71">
        <f>RANK(Table5[[#This Row],[zScore]],Table5[[#All],[zScore]])</f>
        <v>246</v>
      </c>
      <c r="Y279" s="68">
        <f>IFERROR(INDEX(DraftResults[[#All],[OVR]],MATCH(Table5[[#This Row],[PID]],DraftResults[[#All],[Player ID]],0)),"")</f>
        <v>597</v>
      </c>
      <c r="Z279" s="7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18</v>
      </c>
      <c r="AA279" s="68">
        <f>IFERROR(INDEX(DraftResults[[#All],[Pick in Round]],MATCH(Table5[[#This Row],[PID]],DraftResults[[#All],[Player ID]],0)),"")</f>
        <v>28</v>
      </c>
      <c r="AB279" s="68" t="str">
        <f>IFERROR(INDEX(DraftResults[[#All],[Team Name]],MATCH(Table5[[#This Row],[PID]],DraftResults[[#All],[Player ID]],0)),"")</f>
        <v>Amsterdam Lions</v>
      </c>
      <c r="AC279" s="68">
        <f>IF(Table5[[#This Row],[Ovr]]="","",IF(Table5[[#This Row],[cmbList]]="","",Table5[[#This Row],[cmbList]]-Table5[[#This Row],[Ovr]]))</f>
        <v>599</v>
      </c>
      <c r="AD279" s="74" t="str">
        <f>IF(ISERROR(VLOOKUP($AB279&amp;"-"&amp;$E279&amp;" "&amp;F279,Bonuses!$B$1:$G$1006,4,FALSE)),"",INT(VLOOKUP($AB279&amp;"-"&amp;$E279&amp;" "&amp;$F279,Bonuses!$B$1:$G$1006,4,FALSE)))</f>
        <v/>
      </c>
      <c r="AE279" s="68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18.28 (597) - RP Aubrey Fox</v>
      </c>
    </row>
    <row r="280" spans="1:31" s="50" customFormat="1" x14ac:dyDescent="0.3">
      <c r="A280" s="50">
        <v>13325</v>
      </c>
      <c r="B280" s="50">
        <f>COUNTIF(Table5[PID],A280)</f>
        <v>1</v>
      </c>
      <c r="C280" s="50" t="str">
        <f>IF(COUNTIF(Table3[[#All],[PID]],A280)&gt;0,"P","B")</f>
        <v>B</v>
      </c>
      <c r="D280" s="59" t="str">
        <f>IF($C280="B",INDEX(Batters[[#All],[POS]],MATCH(Table5[[#This Row],[PID]],Batters[[#All],[PID]],0)),INDEX(Table3[[#All],[POS]],MATCH(Table5[[#This Row],[PID]],Table3[[#All],[PID]],0)))</f>
        <v>SS</v>
      </c>
      <c r="E280" s="52" t="str">
        <f>IF($C280="B",INDEX(Batters[[#All],[First]],MATCH(Table5[[#This Row],[PID]],Batters[[#All],[PID]],0)),INDEX(Table3[[#All],[First]],MATCH(Table5[[#This Row],[PID]],Table3[[#All],[PID]],0)))</f>
        <v>Mitsuzuka</v>
      </c>
      <c r="F280" s="50" t="str">
        <f>IF($C280="B",INDEX(Batters[[#All],[Last]],MATCH(A280,Batters[[#All],[PID]],0)),INDEX(Table3[[#All],[Last]],MATCH(A280,Table3[[#All],[PID]],0)))</f>
        <v>Koyama</v>
      </c>
      <c r="G280" s="56">
        <f>IF($C280="B",INDEX(Batters[[#All],[Age]],MATCH(Table5[[#This Row],[PID]],Batters[[#All],[PID]],0)),INDEX(Table3[[#All],[Age]],MATCH(Table5[[#This Row],[PID]],Table3[[#All],[PID]],0)))</f>
        <v>17</v>
      </c>
      <c r="H280" s="52" t="str">
        <f>IF($C280="B",INDEX(Batters[[#All],[B]],MATCH(Table5[[#This Row],[PID]],Batters[[#All],[PID]],0)),INDEX(Table3[[#All],[B]],MATCH(Table5[[#This Row],[PID]],Table3[[#All],[PID]],0)))</f>
        <v>R</v>
      </c>
      <c r="I280" s="52" t="str">
        <f>IF($C280="B",INDEX(Batters[[#All],[T]],MATCH(Table5[[#This Row],[PID]],Batters[[#All],[PID]],0)),INDEX(Table3[[#All],[T]],MATCH(Table5[[#This Row],[PID]],Table3[[#All],[PID]],0)))</f>
        <v>R</v>
      </c>
      <c r="J280" s="52" t="str">
        <f>IF($C280="B",INDEX(Batters[[#All],[WE]],MATCH(Table5[[#This Row],[PID]],Batters[[#All],[PID]],0)),INDEX(Table3[[#All],[WE]],MATCH(Table5[[#This Row],[PID]],Table3[[#All],[PID]],0)))</f>
        <v>Low</v>
      </c>
      <c r="K280" s="52" t="str">
        <f>IF($C280="B",INDEX(Batters[[#All],[INT]],MATCH(Table5[[#This Row],[PID]],Batters[[#All],[PID]],0)),INDEX(Table3[[#All],[INT]],MATCH(Table5[[#This Row],[PID]],Table3[[#All],[PID]],0)))</f>
        <v>Normal</v>
      </c>
      <c r="L280" s="60">
        <f>IF($C280="B",INDEX(Batters[[#All],[CON P]],MATCH(Table5[[#This Row],[PID]],Batters[[#All],[PID]],0)),INDEX(Table3[[#All],[STU P]],MATCH(Table5[[#This Row],[PID]],Table3[[#All],[PID]],0)))</f>
        <v>4</v>
      </c>
      <c r="M280" s="56">
        <f>IF($C280="B",INDEX(Batters[[#All],[GAP P]],MATCH(Table5[[#This Row],[PID]],Batters[[#All],[PID]],0)),INDEX(Table3[[#All],[MOV P]],MATCH(Table5[[#This Row],[PID]],Table3[[#All],[PID]],0)))</f>
        <v>4</v>
      </c>
      <c r="N280" s="56">
        <f>IF($C280="B",INDEX(Batters[[#All],[POW P]],MATCH(Table5[[#This Row],[PID]],Batters[[#All],[PID]],0)),INDEX(Table3[[#All],[CON P]],MATCH(Table5[[#This Row],[PID]],Table3[[#All],[PID]],0)))</f>
        <v>2</v>
      </c>
      <c r="O280" s="56">
        <f>IF($C280="B",INDEX(Batters[[#All],[EYE P]],MATCH(Table5[[#This Row],[PID]],Batters[[#All],[PID]],0)),INDEX(Table3[[#All],[VELO]],MATCH(Table5[[#This Row],[PID]],Table3[[#All],[PID]],0)))</f>
        <v>6</v>
      </c>
      <c r="P280" s="56">
        <f>IF($C280="B",INDEX(Batters[[#All],[K P]],MATCH(Table5[[#This Row],[PID]],Batters[[#All],[PID]],0)),INDEX(Table3[[#All],[STM]],MATCH(Table5[[#This Row],[PID]],Table3[[#All],[PID]],0)))</f>
        <v>4</v>
      </c>
      <c r="Q280" s="61">
        <f>IF($C280="B",INDEX(Batters[[#All],[Tot]],MATCH(Table5[[#This Row],[PID]],Batters[[#All],[PID]],0)),INDEX(Table3[[#All],[Tot]],MATCH(Table5[[#This Row],[PID]],Table3[[#All],[PID]],0)))</f>
        <v>45.63486608028056</v>
      </c>
      <c r="R280" s="52">
        <f>IF($C280="B",INDEX(Batters[[#All],[zScore]],MATCH(Table5[[#This Row],[PID]],Batters[[#All],[PID]],0)),INDEX(Table3[[#All],[zScore]],MATCH(Table5[[#This Row],[PID]],Table3[[#All],[PID]],0)))</f>
        <v>0.35271376711925817</v>
      </c>
      <c r="S280" s="58" t="str">
        <f>IF($C280="B",INDEX(Batters[[#All],[DEM]],MATCH(Table5[[#This Row],[PID]],Batters[[#All],[PID]],0)),INDEX(Table3[[#All],[DEM]],MATCH(Table5[[#This Row],[PID]],Table3[[#All],[PID]],0)))</f>
        <v>$110k</v>
      </c>
      <c r="T280" s="62">
        <f>IF($C280="B",INDEX(Batters[[#All],[Rnk]],MATCH(Table5[[#This Row],[PID]],Batters[[#All],[PID]],0)),INDEX(Table3[[#All],[Rnk]],MATCH(Table5[[#This Row],[PID]],Table3[[#All],[PID]],0)))</f>
        <v>930</v>
      </c>
      <c r="U280" s="67">
        <f>IF($C280="B",VLOOKUP($A280,Bat!$A$4:$BA$1314,47,FALSE),VLOOKUP($A280,Pit!$A$4:$BF$1214,56,FALSE))</f>
        <v>309</v>
      </c>
      <c r="V280" s="50">
        <f>IF($C280="B",VLOOKUP($A280,Bat!$A$4:$BA$1314,48,FALSE),VLOOKUP($A280,Pit!$A$4:$BF$1214,57,FALSE))</f>
        <v>0</v>
      </c>
      <c r="W280" s="68">
        <f>IF(Table5[[#This Row],[posRnk]]=999,9999,Table5[[#This Row],[posRnk]]+Table5[[#This Row],[zRnk]]+IF($W$3&lt;&gt;Table5[[#This Row],[Type]],50,0))</f>
        <v>1247</v>
      </c>
      <c r="X280" s="51">
        <f>RANK(Table5[[#This Row],[zScore]],Table5[[#All],[zScore]])</f>
        <v>267</v>
      </c>
      <c r="Y280" s="50">
        <f>IFERROR(INDEX(DraftResults[[#All],[OVR]],MATCH(Table5[[#This Row],[PID]],DraftResults[[#All],[Player ID]],0)),"")</f>
        <v>367</v>
      </c>
      <c r="Z280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12</v>
      </c>
      <c r="AA280" s="50">
        <f>IFERROR(INDEX(DraftResults[[#All],[Pick in Round]],MATCH(Table5[[#This Row],[PID]],DraftResults[[#All],[Player ID]],0)),"")</f>
        <v>2</v>
      </c>
      <c r="AB280" s="50" t="str">
        <f>IFERROR(INDEX(DraftResults[[#All],[Team Name]],MATCH(Table5[[#This Row],[PID]],DraftResults[[#All],[Player ID]],0)),"")</f>
        <v>Charleston Statesmen</v>
      </c>
      <c r="AC280" s="50">
        <f>IF(Table5[[#This Row],[Ovr]]="","",IF(Table5[[#This Row],[cmbList]]="","",Table5[[#This Row],[cmbList]]-Table5[[#This Row],[Ovr]]))</f>
        <v>880</v>
      </c>
      <c r="AD280" s="54" t="str">
        <f>IF(ISERROR(VLOOKUP($AB280&amp;"-"&amp;$E280&amp;" "&amp;F280,Bonuses!$B$1:$G$1006,4,FALSE)),"",INT(VLOOKUP($AB280&amp;"-"&amp;$E280&amp;" "&amp;$F280,Bonuses!$B$1:$G$1006,4,FALSE)))</f>
        <v/>
      </c>
      <c r="AE280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12.2 (367) - SS Mitsuzuka Koyama</v>
      </c>
    </row>
    <row r="281" spans="1:31" s="50" customFormat="1" x14ac:dyDescent="0.3">
      <c r="A281" s="67">
        <v>12421</v>
      </c>
      <c r="B281" s="68">
        <f>COUNTIF(Table5[PID],A281)</f>
        <v>1</v>
      </c>
      <c r="C281" s="68" t="str">
        <f>IF(COUNTIF(Table3[[#All],[PID]],A281)&gt;0,"P","B")</f>
        <v>B</v>
      </c>
      <c r="D281" s="59" t="str">
        <f>IF($C281="B",INDEX(Batters[[#All],[POS]],MATCH(Table5[[#This Row],[PID]],Batters[[#All],[PID]],0)),INDEX(Table3[[#All],[POS]],MATCH(Table5[[#This Row],[PID]],Table3[[#All],[PID]],0)))</f>
        <v>LF</v>
      </c>
      <c r="E281" s="52" t="str">
        <f>IF($C281="B",INDEX(Batters[[#All],[First]],MATCH(Table5[[#This Row],[PID]],Batters[[#All],[PID]],0)),INDEX(Table3[[#All],[First]],MATCH(Table5[[#This Row],[PID]],Table3[[#All],[PID]],0)))</f>
        <v>Vincente</v>
      </c>
      <c r="F281" s="55" t="str">
        <f>IF($C281="B",INDEX(Batters[[#All],[Last]],MATCH(A281,Batters[[#All],[PID]],0)),INDEX(Table3[[#All],[Last]],MATCH(A281,Table3[[#All],[PID]],0)))</f>
        <v>Medellín</v>
      </c>
      <c r="G281" s="56">
        <f>IF($C281="B",INDEX(Batters[[#All],[Age]],MATCH(Table5[[#This Row],[PID]],Batters[[#All],[PID]],0)),INDEX(Table3[[#All],[Age]],MATCH(Table5[[#This Row],[PID]],Table3[[#All],[PID]],0)))</f>
        <v>17</v>
      </c>
      <c r="H281" s="52" t="str">
        <f>IF($C281="B",INDEX(Batters[[#All],[B]],MATCH(Table5[[#This Row],[PID]],Batters[[#All],[PID]],0)),INDEX(Table3[[#All],[B]],MATCH(Table5[[#This Row],[PID]],Table3[[#All],[PID]],0)))</f>
        <v>R</v>
      </c>
      <c r="I281" s="52" t="str">
        <f>IF($C281="B",INDEX(Batters[[#All],[T]],MATCH(Table5[[#This Row],[PID]],Batters[[#All],[PID]],0)),INDEX(Table3[[#All],[T]],MATCH(Table5[[#This Row],[PID]],Table3[[#All],[PID]],0)))</f>
        <v>R</v>
      </c>
      <c r="J281" s="69" t="str">
        <f>IF($C281="B",INDEX(Batters[[#All],[WE]],MATCH(Table5[[#This Row],[PID]],Batters[[#All],[PID]],0)),INDEX(Table3[[#All],[WE]],MATCH(Table5[[#This Row],[PID]],Table3[[#All],[PID]],0)))</f>
        <v>Normal</v>
      </c>
      <c r="K281" s="52" t="str">
        <f>IF($C281="B",INDEX(Batters[[#All],[INT]],MATCH(Table5[[#This Row],[PID]],Batters[[#All],[PID]],0)),INDEX(Table3[[#All],[INT]],MATCH(Table5[[#This Row],[PID]],Table3[[#All],[PID]],0)))</f>
        <v>Normal</v>
      </c>
      <c r="L281" s="60">
        <f>IF($C281="B",INDEX(Batters[[#All],[CON P]],MATCH(Table5[[#This Row],[PID]],Batters[[#All],[PID]],0)),INDEX(Table3[[#All],[STU P]],MATCH(Table5[[#This Row],[PID]],Table3[[#All],[PID]],0)))</f>
        <v>3</v>
      </c>
      <c r="M281" s="70">
        <f>IF($C281="B",INDEX(Batters[[#All],[GAP P]],MATCH(Table5[[#This Row],[PID]],Batters[[#All],[PID]],0)),INDEX(Table3[[#All],[MOV P]],MATCH(Table5[[#This Row],[PID]],Table3[[#All],[PID]],0)))</f>
        <v>5</v>
      </c>
      <c r="N281" s="70">
        <f>IF($C281="B",INDEX(Batters[[#All],[POW P]],MATCH(Table5[[#This Row],[PID]],Batters[[#All],[PID]],0)),INDEX(Table3[[#All],[CON P]],MATCH(Table5[[#This Row],[PID]],Table3[[#All],[PID]],0)))</f>
        <v>6</v>
      </c>
      <c r="O281" s="70">
        <f>IF($C281="B",INDEX(Batters[[#All],[EYE P]],MATCH(Table5[[#This Row],[PID]],Batters[[#All],[PID]],0)),INDEX(Table3[[#All],[VELO]],MATCH(Table5[[#This Row],[PID]],Table3[[#All],[PID]],0)))</f>
        <v>5</v>
      </c>
      <c r="P281" s="56">
        <f>IF($C281="B",INDEX(Batters[[#All],[K P]],MATCH(Table5[[#This Row],[PID]],Batters[[#All],[PID]],0)),INDEX(Table3[[#All],[STM]],MATCH(Table5[[#This Row],[PID]],Table3[[#All],[PID]],0)))</f>
        <v>2</v>
      </c>
      <c r="Q281" s="61">
        <f>IF($C281="B",INDEX(Batters[[#All],[Tot]],MATCH(Table5[[#This Row],[PID]],Batters[[#All],[PID]],0)),INDEX(Table3[[#All],[Tot]],MATCH(Table5[[#This Row],[PID]],Table3[[#All],[PID]],0)))</f>
        <v>44.808753154442982</v>
      </c>
      <c r="R281" s="52">
        <f>IF($C281="B",INDEX(Batters[[#All],[zScore]],MATCH(Table5[[#This Row],[PID]],Batters[[#All],[PID]],0)),INDEX(Table3[[#All],[zScore]],MATCH(Table5[[#This Row],[PID]],Table3[[#All],[PID]],0)))</f>
        <v>0.23212762497966916</v>
      </c>
      <c r="S281" s="75" t="str">
        <f>IF($C281="B",INDEX(Batters[[#All],[DEM]],MATCH(Table5[[#This Row],[PID]],Batters[[#All],[PID]],0)),INDEX(Table3[[#All],[DEM]],MATCH(Table5[[#This Row],[PID]],Table3[[#All],[PID]],0)))</f>
        <v>$65k</v>
      </c>
      <c r="T281" s="72">
        <f>IF($C281="B",INDEX(Batters[[#All],[Rnk]],MATCH(Table5[[#This Row],[PID]],Batters[[#All],[PID]],0)),INDEX(Table3[[#All],[Rnk]],MATCH(Table5[[#This Row],[PID]],Table3[[#All],[PID]],0)))</f>
        <v>900</v>
      </c>
      <c r="U281" s="67">
        <f>IF($C281="B",VLOOKUP($A281,Bat!$A$4:$BA$1314,47,FALSE),VLOOKUP($A281,Pit!$A$4:$BF$1214,56,FALSE))</f>
        <v>153</v>
      </c>
      <c r="V281" s="50">
        <f>IF($C281="B",VLOOKUP($A281,Bat!$A$4:$BA$1314,48,FALSE),VLOOKUP($A281,Pit!$A$4:$BF$1214,57,FALSE))</f>
        <v>0</v>
      </c>
      <c r="W281" s="68">
        <f>IF(Table5[[#This Row],[posRnk]]=999,9999,Table5[[#This Row],[posRnk]]+Table5[[#This Row],[zRnk]]+IF($W$3&lt;&gt;Table5[[#This Row],[Type]],50,0))</f>
        <v>1249</v>
      </c>
      <c r="X281" s="71">
        <f>RANK(Table5[[#This Row],[zScore]],Table5[[#All],[zScore]])</f>
        <v>299</v>
      </c>
      <c r="Y281" s="68">
        <f>IFERROR(INDEX(DraftResults[[#All],[OVR]],MATCH(Table5[[#This Row],[PID]],DraftResults[[#All],[Player ID]],0)),"")</f>
        <v>258</v>
      </c>
      <c r="Z281" s="7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8</v>
      </c>
      <c r="AA281" s="68">
        <f>IFERROR(INDEX(DraftResults[[#All],[Pick in Round]],MATCH(Table5[[#This Row],[PID]],DraftResults[[#All],[Player ID]],0)),"")</f>
        <v>25</v>
      </c>
      <c r="AB281" s="68" t="str">
        <f>IFERROR(INDEX(DraftResults[[#All],[Team Name]],MATCH(Table5[[#This Row],[PID]],DraftResults[[#All],[Player ID]],0)),"")</f>
        <v>Kalamazoo Badgers</v>
      </c>
      <c r="AC281" s="68">
        <f>IF(Table5[[#This Row],[Ovr]]="","",IF(Table5[[#This Row],[cmbList]]="","",Table5[[#This Row],[cmbList]]-Table5[[#This Row],[Ovr]]))</f>
        <v>991</v>
      </c>
      <c r="AD281" s="74" t="str">
        <f>IF(ISERROR(VLOOKUP($AB281&amp;"-"&amp;$E281&amp;" "&amp;F281,Bonuses!$B$1:$G$1006,4,FALSE)),"",INT(VLOOKUP($AB281&amp;"-"&amp;$E281&amp;" "&amp;$F281,Bonuses!$B$1:$G$1006,4,FALSE)))</f>
        <v/>
      </c>
      <c r="AE281" s="68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8.25 (258) - LF Vincente Medellín</v>
      </c>
    </row>
    <row r="282" spans="1:31" s="50" customFormat="1" x14ac:dyDescent="0.3">
      <c r="A282" s="50">
        <v>20622</v>
      </c>
      <c r="B282" s="50">
        <f>COUNTIF(Table5[PID],A282)</f>
        <v>1</v>
      </c>
      <c r="C282" s="50" t="str">
        <f>IF(COUNTIF(Table3[[#All],[PID]],A282)&gt;0,"P","B")</f>
        <v>B</v>
      </c>
      <c r="D282" s="59" t="str">
        <f>IF($C282="B",INDEX(Batters[[#All],[POS]],MATCH(Table5[[#This Row],[PID]],Batters[[#All],[PID]],0)),INDEX(Table3[[#All],[POS]],MATCH(Table5[[#This Row],[PID]],Table3[[#All],[PID]],0)))</f>
        <v>3B</v>
      </c>
      <c r="E282" s="52" t="str">
        <f>IF($C282="B",INDEX(Batters[[#All],[First]],MATCH(Table5[[#This Row],[PID]],Batters[[#All],[PID]],0)),INDEX(Table3[[#All],[First]],MATCH(Table5[[#This Row],[PID]],Table3[[#All],[PID]],0)))</f>
        <v>Decheng</v>
      </c>
      <c r="F282" s="50" t="str">
        <f>IF($C282="B",INDEX(Batters[[#All],[Last]],MATCH(A282,Batters[[#All],[PID]],0)),INDEX(Table3[[#All],[Last]],MATCH(A282,Table3[[#All],[PID]],0)))</f>
        <v>Cuan</v>
      </c>
      <c r="G282" s="56">
        <f>IF($C282="B",INDEX(Batters[[#All],[Age]],MATCH(Table5[[#This Row],[PID]],Batters[[#All],[PID]],0)),INDEX(Table3[[#All],[Age]],MATCH(Table5[[#This Row],[PID]],Table3[[#All],[PID]],0)))</f>
        <v>17</v>
      </c>
      <c r="H282" s="52" t="str">
        <f>IF($C282="B",INDEX(Batters[[#All],[B]],MATCH(Table5[[#This Row],[PID]],Batters[[#All],[PID]],0)),INDEX(Table3[[#All],[B]],MATCH(Table5[[#This Row],[PID]],Table3[[#All],[PID]],0)))</f>
        <v>R</v>
      </c>
      <c r="I282" s="52" t="str">
        <f>IF($C282="B",INDEX(Batters[[#All],[T]],MATCH(Table5[[#This Row],[PID]],Batters[[#All],[PID]],0)),INDEX(Table3[[#All],[T]],MATCH(Table5[[#This Row],[PID]],Table3[[#All],[PID]],0)))</f>
        <v>R</v>
      </c>
      <c r="J282" s="52" t="str">
        <f>IF($C282="B",INDEX(Batters[[#All],[WE]],MATCH(Table5[[#This Row],[PID]],Batters[[#All],[PID]],0)),INDEX(Table3[[#All],[WE]],MATCH(Table5[[#This Row],[PID]],Table3[[#All],[PID]],0)))</f>
        <v>Low</v>
      </c>
      <c r="K282" s="52" t="str">
        <f>IF($C282="B",INDEX(Batters[[#All],[INT]],MATCH(Table5[[#This Row],[PID]],Batters[[#All],[PID]],0)),INDEX(Table3[[#All],[INT]],MATCH(Table5[[#This Row],[PID]],Table3[[#All],[PID]],0)))</f>
        <v>Normal</v>
      </c>
      <c r="L282" s="60">
        <f>IF($C282="B",INDEX(Batters[[#All],[CON P]],MATCH(Table5[[#This Row],[PID]],Batters[[#All],[PID]],0)),INDEX(Table3[[#All],[STU P]],MATCH(Table5[[#This Row],[PID]],Table3[[#All],[PID]],0)))</f>
        <v>4</v>
      </c>
      <c r="M282" s="56">
        <f>IF($C282="B",INDEX(Batters[[#All],[GAP P]],MATCH(Table5[[#This Row],[PID]],Batters[[#All],[PID]],0)),INDEX(Table3[[#All],[MOV P]],MATCH(Table5[[#This Row],[PID]],Table3[[#All],[PID]],0)))</f>
        <v>4</v>
      </c>
      <c r="N282" s="56">
        <f>IF($C282="B",INDEX(Batters[[#All],[POW P]],MATCH(Table5[[#This Row],[PID]],Batters[[#All],[PID]],0)),INDEX(Table3[[#All],[CON P]],MATCH(Table5[[#This Row],[PID]],Table3[[#All],[PID]],0)))</f>
        <v>3</v>
      </c>
      <c r="O282" s="56">
        <f>IF($C282="B",INDEX(Batters[[#All],[EYE P]],MATCH(Table5[[#This Row],[PID]],Batters[[#All],[PID]],0)),INDEX(Table3[[#All],[VELO]],MATCH(Table5[[#This Row],[PID]],Table3[[#All],[PID]],0)))</f>
        <v>5</v>
      </c>
      <c r="P282" s="56">
        <f>IF($C282="B",INDEX(Batters[[#All],[K P]],MATCH(Table5[[#This Row],[PID]],Batters[[#All],[PID]],0)),INDEX(Table3[[#All],[STM]],MATCH(Table5[[#This Row],[PID]],Table3[[#All],[PID]],0)))</f>
        <v>4</v>
      </c>
      <c r="Q282" s="61">
        <f>IF($C282="B",INDEX(Batters[[#All],[Tot]],MATCH(Table5[[#This Row],[PID]],Batters[[#All],[PID]],0)),INDEX(Table3[[#All],[Tot]],MATCH(Table5[[#This Row],[PID]],Table3[[#All],[PID]],0)))</f>
        <v>45.547222807431609</v>
      </c>
      <c r="R282" s="52">
        <f>IF($C282="B",INDEX(Batters[[#All],[zScore]],MATCH(Table5[[#This Row],[PID]],Batters[[#All],[PID]],0)),INDEX(Table3[[#All],[zScore]],MATCH(Table5[[#This Row],[PID]],Table3[[#All],[PID]],0)))</f>
        <v>0.33992064425820734</v>
      </c>
      <c r="S282" s="58" t="str">
        <f>IF($C282="B",INDEX(Batters[[#All],[DEM]],MATCH(Table5[[#This Row],[PID]],Batters[[#All],[PID]],0)),INDEX(Table3[[#All],[DEM]],MATCH(Table5[[#This Row],[PID]],Table3[[#All],[PID]],0)))</f>
        <v>$80k</v>
      </c>
      <c r="T282" s="62">
        <f>IF($C282="B",INDEX(Batters[[#All],[Rnk]],MATCH(Table5[[#This Row],[PID]],Batters[[#All],[PID]],0)),INDEX(Table3[[#All],[Rnk]],MATCH(Table5[[#This Row],[PID]],Table3[[#All],[PID]],0)))</f>
        <v>930</v>
      </c>
      <c r="U282" s="67">
        <f>IF($C282="B",VLOOKUP($A282,Bat!$A$4:$BA$1314,47,FALSE),VLOOKUP($A282,Pit!$A$4:$BF$1214,56,FALSE))</f>
        <v>310</v>
      </c>
      <c r="V282" s="50">
        <f>IF($C282="B",VLOOKUP($A282,Bat!$A$4:$BA$1314,48,FALSE),VLOOKUP($A282,Pit!$A$4:$BF$1214,57,FALSE))</f>
        <v>0</v>
      </c>
      <c r="W282" s="68">
        <f>IF(Table5[[#This Row],[posRnk]]=999,9999,Table5[[#This Row],[posRnk]]+Table5[[#This Row],[zRnk]]+IF($W$3&lt;&gt;Table5[[#This Row],[Type]],50,0))</f>
        <v>1250</v>
      </c>
      <c r="X282" s="51">
        <f>RANK(Table5[[#This Row],[zScore]],Table5[[#All],[zScore]])</f>
        <v>270</v>
      </c>
      <c r="Y282" s="50">
        <f>IFERROR(INDEX(DraftResults[[#All],[OVR]],MATCH(Table5[[#This Row],[PID]],DraftResults[[#All],[Player ID]],0)),"")</f>
        <v>571</v>
      </c>
      <c r="Z282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18</v>
      </c>
      <c r="AA282" s="50">
        <f>IFERROR(INDEX(DraftResults[[#All],[Pick in Round]],MATCH(Table5[[#This Row],[PID]],DraftResults[[#All],[Player ID]],0)),"")</f>
        <v>2</v>
      </c>
      <c r="AB282" s="50" t="str">
        <f>IFERROR(INDEX(DraftResults[[#All],[Team Name]],MATCH(Table5[[#This Row],[PID]],DraftResults[[#All],[Player ID]],0)),"")</f>
        <v>Charleston Statesmen</v>
      </c>
      <c r="AC282" s="50">
        <f>IF(Table5[[#This Row],[Ovr]]="","",IF(Table5[[#This Row],[cmbList]]="","",Table5[[#This Row],[cmbList]]-Table5[[#This Row],[Ovr]]))</f>
        <v>679</v>
      </c>
      <c r="AD282" s="54" t="str">
        <f>IF(ISERROR(VLOOKUP($AB282&amp;"-"&amp;$E282&amp;" "&amp;F282,Bonuses!$B$1:$G$1006,4,FALSE)),"",INT(VLOOKUP($AB282&amp;"-"&amp;$E282&amp;" "&amp;$F282,Bonuses!$B$1:$G$1006,4,FALSE)))</f>
        <v/>
      </c>
      <c r="AE282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18.2 (571) - 3B Decheng Cuan</v>
      </c>
    </row>
    <row r="283" spans="1:31" s="50" customFormat="1" x14ac:dyDescent="0.3">
      <c r="A283" s="50">
        <v>9401</v>
      </c>
      <c r="B283" s="50">
        <f>COUNTIF(Table5[PID],A283)</f>
        <v>1</v>
      </c>
      <c r="C283" s="50" t="str">
        <f>IF(COUNTIF(Table3[[#All],[PID]],A283)&gt;0,"P","B")</f>
        <v>P</v>
      </c>
      <c r="D283" s="59" t="str">
        <f>IF($C283="B",INDEX(Batters[[#All],[POS]],MATCH(Table5[[#This Row],[PID]],Batters[[#All],[PID]],0)),INDEX(Table3[[#All],[POS]],MATCH(Table5[[#This Row],[PID]],Table3[[#All],[PID]],0)))</f>
        <v>RP</v>
      </c>
      <c r="E283" s="52" t="str">
        <f>IF($C283="B",INDEX(Batters[[#All],[First]],MATCH(Table5[[#This Row],[PID]],Batters[[#All],[PID]],0)),INDEX(Table3[[#All],[First]],MATCH(Table5[[#This Row],[PID]],Table3[[#All],[PID]],0)))</f>
        <v>Dennis</v>
      </c>
      <c r="F283" s="50" t="str">
        <f>IF($C283="B",INDEX(Batters[[#All],[Last]],MATCH(A283,Batters[[#All],[PID]],0)),INDEX(Table3[[#All],[Last]],MATCH(A283,Table3[[#All],[PID]],0)))</f>
        <v>Young</v>
      </c>
      <c r="G283" s="56">
        <f>IF($C283="B",INDEX(Batters[[#All],[Age]],MATCH(Table5[[#This Row],[PID]],Batters[[#All],[PID]],0)),INDEX(Table3[[#All],[Age]],MATCH(Table5[[#This Row],[PID]],Table3[[#All],[PID]],0)))</f>
        <v>18</v>
      </c>
      <c r="H283" s="52" t="str">
        <f>IF($C283="B",INDEX(Batters[[#All],[B]],MATCH(Table5[[#This Row],[PID]],Batters[[#All],[PID]],0)),INDEX(Table3[[#All],[B]],MATCH(Table5[[#This Row],[PID]],Table3[[#All],[PID]],0)))</f>
        <v>L</v>
      </c>
      <c r="I283" s="52" t="str">
        <f>IF($C283="B",INDEX(Batters[[#All],[T]],MATCH(Table5[[#This Row],[PID]],Batters[[#All],[PID]],0)),INDEX(Table3[[#All],[T]],MATCH(Table5[[#This Row],[PID]],Table3[[#All],[PID]],0)))</f>
        <v>L</v>
      </c>
      <c r="J283" s="52" t="str">
        <f>IF($C283="B",INDEX(Batters[[#All],[WE]],MATCH(Table5[[#This Row],[PID]],Batters[[#All],[PID]],0)),INDEX(Table3[[#All],[WE]],MATCH(Table5[[#This Row],[PID]],Table3[[#All],[PID]],0)))</f>
        <v>Normal</v>
      </c>
      <c r="K283" s="52" t="str">
        <f>IF($C283="B",INDEX(Batters[[#All],[INT]],MATCH(Table5[[#This Row],[PID]],Batters[[#All],[PID]],0)),INDEX(Table3[[#All],[INT]],MATCH(Table5[[#This Row],[PID]],Table3[[#All],[PID]],0)))</f>
        <v>High</v>
      </c>
      <c r="L283" s="60">
        <f>IF($C283="B",INDEX(Batters[[#All],[CON P]],MATCH(Table5[[#This Row],[PID]],Batters[[#All],[PID]],0)),INDEX(Table3[[#All],[STU P]],MATCH(Table5[[#This Row],[PID]],Table3[[#All],[PID]],0)))</f>
        <v>5</v>
      </c>
      <c r="M283" s="56">
        <f>IF($C283="B",INDEX(Batters[[#All],[GAP P]],MATCH(Table5[[#This Row],[PID]],Batters[[#All],[PID]],0)),INDEX(Table3[[#All],[MOV P]],MATCH(Table5[[#This Row],[PID]],Table3[[#All],[PID]],0)))</f>
        <v>1</v>
      </c>
      <c r="N283" s="56">
        <f>IF($C283="B",INDEX(Batters[[#All],[POW P]],MATCH(Table5[[#This Row],[PID]],Batters[[#All],[PID]],0)),INDEX(Table3[[#All],[CON P]],MATCH(Table5[[#This Row],[PID]],Table3[[#All],[PID]],0)))</f>
        <v>4</v>
      </c>
      <c r="O283" s="56" t="str">
        <f>IF($C283="B",INDEX(Batters[[#All],[EYE P]],MATCH(Table5[[#This Row],[PID]],Batters[[#All],[PID]],0)),INDEX(Table3[[#All],[VELO]],MATCH(Table5[[#This Row],[PID]],Table3[[#All],[PID]],0)))</f>
        <v>87-89 Mph</v>
      </c>
      <c r="P283" s="56">
        <f>IF($C283="B",INDEX(Batters[[#All],[K P]],MATCH(Table5[[#This Row],[PID]],Batters[[#All],[PID]],0)),INDEX(Table3[[#All],[STM]],MATCH(Table5[[#This Row],[PID]],Table3[[#All],[PID]],0)))</f>
        <v>6</v>
      </c>
      <c r="Q283" s="61">
        <f>IF($C283="B",INDEX(Batters[[#All],[Tot]],MATCH(Table5[[#This Row],[PID]],Batters[[#All],[PID]],0)),INDEX(Table3[[#All],[Tot]],MATCH(Table5[[#This Row],[PID]],Table3[[#All],[PID]],0)))</f>
        <v>40.931056806761333</v>
      </c>
      <c r="R283" s="52">
        <f>IF($C283="B",INDEX(Batters[[#All],[zScore]],MATCH(Table5[[#This Row],[PID]],Batters[[#All],[PID]],0)),INDEX(Table3[[#All],[zScore]],MATCH(Table5[[#This Row],[PID]],Table3[[#All],[PID]],0)))</f>
        <v>0.22880063991129973</v>
      </c>
      <c r="S283" s="58" t="str">
        <f>IF($C283="B",INDEX(Batters[[#All],[DEM]],MATCH(Table5[[#This Row],[PID]],Batters[[#All],[PID]],0)),INDEX(Table3[[#All],[DEM]],MATCH(Table5[[#This Row],[PID]],Table3[[#All],[PID]],0)))</f>
        <v>$70k</v>
      </c>
      <c r="T283" s="62">
        <f>IF($C283="B",INDEX(Batters[[#All],[Rnk]],MATCH(Table5[[#This Row],[PID]],Batters[[#All],[PID]],0)),INDEX(Table3[[#All],[Rnk]],MATCH(Table5[[#This Row],[PID]],Table3[[#All],[PID]],0)))</f>
        <v>900</v>
      </c>
      <c r="U283" s="67">
        <f>IF($C283="B",VLOOKUP($A283,Bat!$A$4:$BA$1314,47,FALSE),VLOOKUP($A283,Pit!$A$4:$BF$1214,56,FALSE))</f>
        <v>99</v>
      </c>
      <c r="V283" s="50">
        <f>IF($C283="B",VLOOKUP($A283,Bat!$A$4:$BA$1314,48,FALSE),VLOOKUP($A283,Pit!$A$4:$BF$1214,57,FALSE))</f>
        <v>0</v>
      </c>
      <c r="W283" s="68">
        <f>IF(Table5[[#This Row],[posRnk]]=999,9999,Table5[[#This Row],[posRnk]]+Table5[[#This Row],[zRnk]]+IF($W$3&lt;&gt;Table5[[#This Row],[Type]],50,0))</f>
        <v>1202</v>
      </c>
      <c r="X283" s="51">
        <f>RANK(Table5[[#This Row],[zScore]],Table5[[#All],[zScore]])</f>
        <v>302</v>
      </c>
      <c r="Y283" s="50">
        <f>IFERROR(INDEX(DraftResults[[#All],[OVR]],MATCH(Table5[[#This Row],[PID]],DraftResults[[#All],[Player ID]],0)),"")</f>
        <v>309</v>
      </c>
      <c r="Z283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10</v>
      </c>
      <c r="AA283" s="50">
        <f>IFERROR(INDEX(DraftResults[[#All],[Pick in Round]],MATCH(Table5[[#This Row],[PID]],DraftResults[[#All],[Player ID]],0)),"")</f>
        <v>12</v>
      </c>
      <c r="AB283" s="50" t="str">
        <f>IFERROR(INDEX(DraftResults[[#All],[Team Name]],MATCH(Table5[[#This Row],[PID]],DraftResults[[#All],[Player ID]],0)),"")</f>
        <v>Manchester Maulers</v>
      </c>
      <c r="AC283" s="50">
        <f>IF(Table5[[#This Row],[Ovr]]="","",IF(Table5[[#This Row],[cmbList]]="","",Table5[[#This Row],[cmbList]]-Table5[[#This Row],[Ovr]]))</f>
        <v>893</v>
      </c>
      <c r="AD283" s="54" t="str">
        <f>IF(ISERROR(VLOOKUP($AB283&amp;"-"&amp;$E283&amp;" "&amp;F283,Bonuses!$B$1:$G$1006,4,FALSE)),"",INT(VLOOKUP($AB283&amp;"-"&amp;$E283&amp;" "&amp;$F283,Bonuses!$B$1:$G$1006,4,FALSE)))</f>
        <v/>
      </c>
      <c r="AE283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10.12 (309) - RP Dennis Young</v>
      </c>
    </row>
    <row r="284" spans="1:31" s="50" customFormat="1" x14ac:dyDescent="0.3">
      <c r="A284" s="50">
        <v>8633</v>
      </c>
      <c r="B284" s="55">
        <f>COUNTIF(Table5[PID],A284)</f>
        <v>1</v>
      </c>
      <c r="C284" s="55" t="str">
        <f>IF(COUNTIF(Table3[[#All],[PID]],A284)&gt;0,"P","B")</f>
        <v>B</v>
      </c>
      <c r="D284" s="59" t="str">
        <f>IF($C284="B",INDEX(Batters[[#All],[POS]],MATCH(Table5[[#This Row],[PID]],Batters[[#All],[PID]],0)),INDEX(Table3[[#All],[POS]],MATCH(Table5[[#This Row],[PID]],Table3[[#All],[PID]],0)))</f>
        <v>1B</v>
      </c>
      <c r="E284" s="52" t="str">
        <f>IF($C284="B",INDEX(Batters[[#All],[First]],MATCH(Table5[[#This Row],[PID]],Batters[[#All],[PID]],0)),INDEX(Table3[[#All],[First]],MATCH(Table5[[#This Row],[PID]],Table3[[#All],[PID]],0)))</f>
        <v>Sadakuno</v>
      </c>
      <c r="F284" s="50" t="str">
        <f>IF($C284="B",INDEX(Batters[[#All],[Last]],MATCH(A284,Batters[[#All],[PID]],0)),INDEX(Table3[[#All],[Last]],MATCH(A284,Table3[[#All],[PID]],0)))</f>
        <v>Sai</v>
      </c>
      <c r="G284" s="56">
        <f>IF($C284="B",INDEX(Batters[[#All],[Age]],MATCH(Table5[[#This Row],[PID]],Batters[[#All],[PID]],0)),INDEX(Table3[[#All],[Age]],MATCH(Table5[[#This Row],[PID]],Table3[[#All],[PID]],0)))</f>
        <v>21</v>
      </c>
      <c r="H284" s="52" t="str">
        <f>IF($C284="B",INDEX(Batters[[#All],[B]],MATCH(Table5[[#This Row],[PID]],Batters[[#All],[PID]],0)),INDEX(Table3[[#All],[B]],MATCH(Table5[[#This Row],[PID]],Table3[[#All],[PID]],0)))</f>
        <v>S</v>
      </c>
      <c r="I284" s="52" t="str">
        <f>IF($C284="B",INDEX(Batters[[#All],[T]],MATCH(Table5[[#This Row],[PID]],Batters[[#All],[PID]],0)),INDEX(Table3[[#All],[T]],MATCH(Table5[[#This Row],[PID]],Table3[[#All],[PID]],0)))</f>
        <v>R</v>
      </c>
      <c r="J284" s="52" t="str">
        <f>IF($C284="B",INDEX(Batters[[#All],[WE]],MATCH(Table5[[#This Row],[PID]],Batters[[#All],[PID]],0)),INDEX(Table3[[#All],[WE]],MATCH(Table5[[#This Row],[PID]],Table3[[#All],[PID]],0)))</f>
        <v>Normal</v>
      </c>
      <c r="K284" s="52" t="str">
        <f>IF($C284="B",INDEX(Batters[[#All],[INT]],MATCH(Table5[[#This Row],[PID]],Batters[[#All],[PID]],0)),INDEX(Table3[[#All],[INT]],MATCH(Table5[[#This Row],[PID]],Table3[[#All],[PID]],0)))</f>
        <v>Normal</v>
      </c>
      <c r="L284" s="60">
        <f>IF($C284="B",INDEX(Batters[[#All],[CON P]],MATCH(Table5[[#This Row],[PID]],Batters[[#All],[PID]],0)),INDEX(Table3[[#All],[STU P]],MATCH(Table5[[#This Row],[PID]],Table3[[#All],[PID]],0)))</f>
        <v>3</v>
      </c>
      <c r="M284" s="56">
        <f>IF($C284="B",INDEX(Batters[[#All],[GAP P]],MATCH(Table5[[#This Row],[PID]],Batters[[#All],[PID]],0)),INDEX(Table3[[#All],[MOV P]],MATCH(Table5[[#This Row],[PID]],Table3[[#All],[PID]],0)))</f>
        <v>7</v>
      </c>
      <c r="N284" s="56">
        <f>IF($C284="B",INDEX(Batters[[#All],[POW P]],MATCH(Table5[[#This Row],[PID]],Batters[[#All],[PID]],0)),INDEX(Table3[[#All],[CON P]],MATCH(Table5[[#This Row],[PID]],Table3[[#All],[PID]],0)))</f>
        <v>8</v>
      </c>
      <c r="O284" s="56">
        <f>IF($C284="B",INDEX(Batters[[#All],[EYE P]],MATCH(Table5[[#This Row],[PID]],Batters[[#All],[PID]],0)),INDEX(Table3[[#All],[VELO]],MATCH(Table5[[#This Row],[PID]],Table3[[#All],[PID]],0)))</f>
        <v>7</v>
      </c>
      <c r="P284" s="56">
        <f>IF($C284="B",INDEX(Batters[[#All],[K P]],MATCH(Table5[[#This Row],[PID]],Batters[[#All],[PID]],0)),INDEX(Table3[[#All],[STM]],MATCH(Table5[[#This Row],[PID]],Table3[[#All],[PID]],0)))</f>
        <v>1</v>
      </c>
      <c r="Q284" s="61">
        <f>IF($C284="B",INDEX(Batters[[#All],[Tot]],MATCH(Table5[[#This Row],[PID]],Batters[[#All],[PID]],0)),INDEX(Table3[[#All],[Tot]],MATCH(Table5[[#This Row],[PID]],Table3[[#All],[PID]],0)))</f>
        <v>44.753571578423269</v>
      </c>
      <c r="R284" s="52">
        <f>IF($C284="B",INDEX(Batters[[#All],[zScore]],MATCH(Table5[[#This Row],[PID]],Batters[[#All],[PID]],0)),INDEX(Table3[[#All],[zScore]],MATCH(Table5[[#This Row],[PID]],Table3[[#All],[PID]],0)))</f>
        <v>0.22407287464072106</v>
      </c>
      <c r="S284" s="58" t="str">
        <f>IF($C284="B",INDEX(Batters[[#All],[DEM]],MATCH(Table5[[#This Row],[PID]],Batters[[#All],[PID]],0)),INDEX(Table3[[#All],[DEM]],MATCH(Table5[[#This Row],[PID]],Table3[[#All],[PID]],0)))</f>
        <v>$29k</v>
      </c>
      <c r="T284" s="62">
        <f>IF($C284="B",INDEX(Batters[[#All],[Rnk]],MATCH(Table5[[#This Row],[PID]],Batters[[#All],[PID]],0)),INDEX(Table3[[#All],[Rnk]],MATCH(Table5[[#This Row],[PID]],Table3[[#All],[PID]],0)))</f>
        <v>900</v>
      </c>
      <c r="U284" s="67">
        <f>IF($C284="B",VLOOKUP($A284,Bat!$A$4:$BA$1314,47,FALSE),VLOOKUP($A284,Pit!$A$4:$BF$1214,56,FALSE))</f>
        <v>154</v>
      </c>
      <c r="V284" s="50">
        <f>IF($C284="B",VLOOKUP($A284,Bat!$A$4:$BA$1314,48,FALSE),VLOOKUP($A284,Pit!$A$4:$BF$1214,57,FALSE))</f>
        <v>0</v>
      </c>
      <c r="W284" s="68">
        <f>IF(Table5[[#This Row],[posRnk]]=999,9999,Table5[[#This Row],[posRnk]]+Table5[[#This Row],[zRnk]]+IF($W$3&lt;&gt;Table5[[#This Row],[Type]],50,0))</f>
        <v>1253</v>
      </c>
      <c r="X284" s="51">
        <f>RANK(Table5[[#This Row],[zScore]],Table5[[#All],[zScore]])</f>
        <v>303</v>
      </c>
      <c r="Y284" s="50">
        <f>IFERROR(INDEX(DraftResults[[#All],[OVR]],MATCH(Table5[[#This Row],[PID]],DraftResults[[#All],[Player ID]],0)),"")</f>
        <v>43</v>
      </c>
      <c r="Z284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2</v>
      </c>
      <c r="AA284" s="50">
        <f>IFERROR(INDEX(DraftResults[[#All],[Pick in Round]],MATCH(Table5[[#This Row],[PID]],DraftResults[[#All],[Player ID]],0)),"")</f>
        <v>7</v>
      </c>
      <c r="AB284" s="50" t="str">
        <f>IFERROR(INDEX(DraftResults[[#All],[Team Name]],MATCH(Table5[[#This Row],[PID]],DraftResults[[#All],[Player ID]],0)),"")</f>
        <v>Hartford Harpoon</v>
      </c>
      <c r="AC284" s="50">
        <f>IF(Table5[[#This Row],[Ovr]]="","",IF(Table5[[#This Row],[cmbList]]="","",Table5[[#This Row],[cmbList]]-Table5[[#This Row],[Ovr]]))</f>
        <v>1210</v>
      </c>
      <c r="AD284" s="54" t="str">
        <f>IF(ISERROR(VLOOKUP($AB284&amp;"-"&amp;$E284&amp;" "&amp;F284,Bonuses!$B$1:$G$1006,4,FALSE)),"",INT(VLOOKUP($AB284&amp;"-"&amp;$E284&amp;" "&amp;$F284,Bonuses!$B$1:$G$1006,4,FALSE)))</f>
        <v/>
      </c>
      <c r="AE284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2.7 (43) - 1B Sadakuno Sai</v>
      </c>
    </row>
    <row r="285" spans="1:31" s="50" customFormat="1" x14ac:dyDescent="0.3">
      <c r="A285" s="50">
        <v>20293</v>
      </c>
      <c r="B285" s="50">
        <f>COUNTIF(Table5[PID],A285)</f>
        <v>1</v>
      </c>
      <c r="C285" s="50" t="str">
        <f>IF(COUNTIF(Table3[[#All],[PID]],A285)&gt;0,"P","B")</f>
        <v>P</v>
      </c>
      <c r="D285" s="59" t="str">
        <f>IF($C285="B",INDEX(Batters[[#All],[POS]],MATCH(Table5[[#This Row],[PID]],Batters[[#All],[PID]],0)),INDEX(Table3[[#All],[POS]],MATCH(Table5[[#This Row],[PID]],Table3[[#All],[PID]],0)))</f>
        <v>SP</v>
      </c>
      <c r="E285" s="52" t="str">
        <f>IF($C285="B",INDEX(Batters[[#All],[First]],MATCH(Table5[[#This Row],[PID]],Batters[[#All],[PID]],0)),INDEX(Table3[[#All],[First]],MATCH(Table5[[#This Row],[PID]],Table3[[#All],[PID]],0)))</f>
        <v>Zhu-lan</v>
      </c>
      <c r="F285" s="50" t="str">
        <f>IF($C285="B",INDEX(Batters[[#All],[Last]],MATCH(A285,Batters[[#All],[PID]],0)),INDEX(Table3[[#All],[Last]],MATCH(A285,Table3[[#All],[PID]],0)))</f>
        <v>Su</v>
      </c>
      <c r="G285" s="56">
        <f>IF($C285="B",INDEX(Batters[[#All],[Age]],MATCH(Table5[[#This Row],[PID]],Batters[[#All],[PID]],0)),INDEX(Table3[[#All],[Age]],MATCH(Table5[[#This Row],[PID]],Table3[[#All],[PID]],0)))</f>
        <v>21</v>
      </c>
      <c r="H285" s="52" t="str">
        <f>IF($C285="B",INDEX(Batters[[#All],[B]],MATCH(Table5[[#This Row],[PID]],Batters[[#All],[PID]],0)),INDEX(Table3[[#All],[B]],MATCH(Table5[[#This Row],[PID]],Table3[[#All],[PID]],0)))</f>
        <v>R</v>
      </c>
      <c r="I285" s="52" t="str">
        <f>IF($C285="B",INDEX(Batters[[#All],[T]],MATCH(Table5[[#This Row],[PID]],Batters[[#All],[PID]],0)),INDEX(Table3[[#All],[T]],MATCH(Table5[[#This Row],[PID]],Table3[[#All],[PID]],0)))</f>
        <v>L</v>
      </c>
      <c r="J285" s="52" t="str">
        <f>IF($C285="B",INDEX(Batters[[#All],[WE]],MATCH(Table5[[#This Row],[PID]],Batters[[#All],[PID]],0)),INDEX(Table3[[#All],[WE]],MATCH(Table5[[#This Row],[PID]],Table3[[#All],[PID]],0)))</f>
        <v>High</v>
      </c>
      <c r="K285" s="52" t="str">
        <f>IF($C285="B",INDEX(Batters[[#All],[INT]],MATCH(Table5[[#This Row],[PID]],Batters[[#All],[PID]],0)),INDEX(Table3[[#All],[INT]],MATCH(Table5[[#This Row],[PID]],Table3[[#All],[PID]],0)))</f>
        <v>Normal</v>
      </c>
      <c r="L285" s="60">
        <f>IF($C285="B",INDEX(Batters[[#All],[CON P]],MATCH(Table5[[#This Row],[PID]],Batters[[#All],[PID]],0)),INDEX(Table3[[#All],[STU P]],MATCH(Table5[[#This Row],[PID]],Table3[[#All],[PID]],0)))</f>
        <v>5</v>
      </c>
      <c r="M285" s="56">
        <f>IF($C285="B",INDEX(Batters[[#All],[GAP P]],MATCH(Table5[[#This Row],[PID]],Batters[[#All],[PID]],0)),INDEX(Table3[[#All],[MOV P]],MATCH(Table5[[#This Row],[PID]],Table3[[#All],[PID]],0)))</f>
        <v>2</v>
      </c>
      <c r="N285" s="56">
        <f>IF($C285="B",INDEX(Batters[[#All],[POW P]],MATCH(Table5[[#This Row],[PID]],Batters[[#All],[PID]],0)),INDEX(Table3[[#All],[CON P]],MATCH(Table5[[#This Row],[PID]],Table3[[#All],[PID]],0)))</f>
        <v>4</v>
      </c>
      <c r="O285" s="56" t="str">
        <f>IF($C285="B",INDEX(Batters[[#All],[EYE P]],MATCH(Table5[[#This Row],[PID]],Batters[[#All],[PID]],0)),INDEX(Table3[[#All],[VELO]],MATCH(Table5[[#This Row],[PID]],Table3[[#All],[PID]],0)))</f>
        <v>90-92 Mph</v>
      </c>
      <c r="P285" s="56">
        <f>IF($C285="B",INDEX(Batters[[#All],[K P]],MATCH(Table5[[#This Row],[PID]],Batters[[#All],[PID]],0)),INDEX(Table3[[#All],[STM]],MATCH(Table5[[#This Row],[PID]],Table3[[#All],[PID]],0)))</f>
        <v>8</v>
      </c>
      <c r="Q285" s="61">
        <f>IF($C285="B",INDEX(Batters[[#All],[Tot]],MATCH(Table5[[#This Row],[PID]],Batters[[#All],[PID]],0)),INDEX(Table3[[#All],[Tot]],MATCH(Table5[[#This Row],[PID]],Table3[[#All],[PID]],0)))</f>
        <v>40.876830681504714</v>
      </c>
      <c r="R285" s="52">
        <f>IF($C285="B",INDEX(Batters[[#All],[zScore]],MATCH(Table5[[#This Row],[PID]],Batters[[#All],[PID]],0)),INDEX(Table3[[#All],[zScore]],MATCH(Table5[[#This Row],[PID]],Table3[[#All],[PID]],0)))</f>
        <v>0.21890808489129251</v>
      </c>
      <c r="S285" s="58" t="str">
        <f>IF($C285="B",INDEX(Batters[[#All],[DEM]],MATCH(Table5[[#This Row],[PID]],Batters[[#All],[PID]],0)),INDEX(Table3[[#All],[DEM]],MATCH(Table5[[#This Row],[PID]],Table3[[#All],[PID]],0)))</f>
        <v>$320k</v>
      </c>
      <c r="T285" s="62">
        <f>IF($C285="B",INDEX(Batters[[#All],[Rnk]],MATCH(Table5[[#This Row],[PID]],Batters[[#All],[PID]],0)),INDEX(Table3[[#All],[Rnk]],MATCH(Table5[[#This Row],[PID]],Table3[[#All],[PID]],0)))</f>
        <v>900</v>
      </c>
      <c r="U285" s="67">
        <f>IF($C285="B",VLOOKUP($A285,Bat!$A$4:$BA$1314,47,FALSE),VLOOKUP($A285,Pit!$A$4:$BF$1214,56,FALSE))</f>
        <v>100</v>
      </c>
      <c r="V285" s="50">
        <f>IF($C285="B",VLOOKUP($A285,Bat!$A$4:$BA$1314,48,FALSE),VLOOKUP($A285,Pit!$A$4:$BF$1214,57,FALSE))</f>
        <v>0</v>
      </c>
      <c r="W285" s="68">
        <f>IF(Table5[[#This Row],[posRnk]]=999,9999,Table5[[#This Row],[posRnk]]+Table5[[#This Row],[zRnk]]+IF($W$3&lt;&gt;Table5[[#This Row],[Type]],50,0))</f>
        <v>1205</v>
      </c>
      <c r="X285" s="51">
        <f>RANK(Table5[[#This Row],[zScore]],Table5[[#All],[zScore]])</f>
        <v>305</v>
      </c>
      <c r="Y285" s="50">
        <f>IFERROR(INDEX(DraftResults[[#All],[OVR]],MATCH(Table5[[#This Row],[PID]],DraftResults[[#All],[Player ID]],0)),"")</f>
        <v>238</v>
      </c>
      <c r="Z285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8</v>
      </c>
      <c r="AA285" s="50">
        <f>IFERROR(INDEX(DraftResults[[#All],[Pick in Round]],MATCH(Table5[[#This Row],[PID]],DraftResults[[#All],[Player ID]],0)),"")</f>
        <v>5</v>
      </c>
      <c r="AB285" s="50" t="str">
        <f>IFERROR(INDEX(DraftResults[[#All],[Team Name]],MATCH(Table5[[#This Row],[PID]],DraftResults[[#All],[Player ID]],0)),"")</f>
        <v>Tempe Knights</v>
      </c>
      <c r="AC285" s="50">
        <f>IF(Table5[[#This Row],[Ovr]]="","",IF(Table5[[#This Row],[cmbList]]="","",Table5[[#This Row],[cmbList]]-Table5[[#This Row],[Ovr]]))</f>
        <v>967</v>
      </c>
      <c r="AD285" s="54" t="str">
        <f>IF(ISERROR(VLOOKUP($AB285&amp;"-"&amp;$E285&amp;" "&amp;F285,Bonuses!$B$1:$G$1006,4,FALSE)),"",INT(VLOOKUP($AB285&amp;"-"&amp;$E285&amp;" "&amp;$F285,Bonuses!$B$1:$G$1006,4,FALSE)))</f>
        <v/>
      </c>
      <c r="AE285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8.5 (238) - SP Zhu-lan Su</v>
      </c>
    </row>
    <row r="286" spans="1:31" s="50" customFormat="1" x14ac:dyDescent="0.3">
      <c r="A286" s="50">
        <v>13129</v>
      </c>
      <c r="B286" s="50">
        <f>COUNTIF(Table5[PID],A286)</f>
        <v>1</v>
      </c>
      <c r="C286" s="50" t="str">
        <f>IF(COUNTIF(Table3[[#All],[PID]],A286)&gt;0,"P","B")</f>
        <v>B</v>
      </c>
      <c r="D286" s="59" t="str">
        <f>IF($C286="B",INDEX(Batters[[#All],[POS]],MATCH(Table5[[#This Row],[PID]],Batters[[#All],[PID]],0)),INDEX(Table3[[#All],[POS]],MATCH(Table5[[#This Row],[PID]],Table3[[#All],[PID]],0)))</f>
        <v>3B</v>
      </c>
      <c r="E286" s="52" t="str">
        <f>IF($C286="B",INDEX(Batters[[#All],[First]],MATCH(Table5[[#This Row],[PID]],Batters[[#All],[PID]],0)),INDEX(Table3[[#All],[First]],MATCH(Table5[[#This Row],[PID]],Table3[[#All],[PID]],0)))</f>
        <v>Francis</v>
      </c>
      <c r="F286" s="50" t="str">
        <f>IF($C286="B",INDEX(Batters[[#All],[Last]],MATCH(A286,Batters[[#All],[PID]],0)),INDEX(Table3[[#All],[Last]],MATCH(A286,Table3[[#All],[PID]],0)))</f>
        <v>Jacobson</v>
      </c>
      <c r="G286" s="56">
        <f>IF($C286="B",INDEX(Batters[[#All],[Age]],MATCH(Table5[[#This Row],[PID]],Batters[[#All],[PID]],0)),INDEX(Table3[[#All],[Age]],MATCH(Table5[[#This Row],[PID]],Table3[[#All],[PID]],0)))</f>
        <v>17</v>
      </c>
      <c r="H286" s="52" t="str">
        <f>IF($C286="B",INDEX(Batters[[#All],[B]],MATCH(Table5[[#This Row],[PID]],Batters[[#All],[PID]],0)),INDEX(Table3[[#All],[B]],MATCH(Table5[[#This Row],[PID]],Table3[[#All],[PID]],0)))</f>
        <v>R</v>
      </c>
      <c r="I286" s="52" t="str">
        <f>IF($C286="B",INDEX(Batters[[#All],[T]],MATCH(Table5[[#This Row],[PID]],Batters[[#All],[PID]],0)),INDEX(Table3[[#All],[T]],MATCH(Table5[[#This Row],[PID]],Table3[[#All],[PID]],0)))</f>
        <v>R</v>
      </c>
      <c r="J286" s="52" t="str">
        <f>IF($C286="B",INDEX(Batters[[#All],[WE]],MATCH(Table5[[#This Row],[PID]],Batters[[#All],[PID]],0)),INDEX(Table3[[#All],[WE]],MATCH(Table5[[#This Row],[PID]],Table3[[#All],[PID]],0)))</f>
        <v>Normal</v>
      </c>
      <c r="K286" s="52" t="str">
        <f>IF($C286="B",INDEX(Batters[[#All],[INT]],MATCH(Table5[[#This Row],[PID]],Batters[[#All],[PID]],0)),INDEX(Table3[[#All],[INT]],MATCH(Table5[[#This Row],[PID]],Table3[[#All],[PID]],0)))</f>
        <v>Low</v>
      </c>
      <c r="L286" s="60">
        <f>IF($C286="B",INDEX(Batters[[#All],[CON P]],MATCH(Table5[[#This Row],[PID]],Batters[[#All],[PID]],0)),INDEX(Table3[[#All],[STU P]],MATCH(Table5[[#This Row],[PID]],Table3[[#All],[PID]],0)))</f>
        <v>4</v>
      </c>
      <c r="M286" s="56">
        <f>IF($C286="B",INDEX(Batters[[#All],[GAP P]],MATCH(Table5[[#This Row],[PID]],Batters[[#All],[PID]],0)),INDEX(Table3[[#All],[MOV P]],MATCH(Table5[[#This Row],[PID]],Table3[[#All],[PID]],0)))</f>
        <v>4</v>
      </c>
      <c r="N286" s="56">
        <f>IF($C286="B",INDEX(Batters[[#All],[POW P]],MATCH(Table5[[#This Row],[PID]],Batters[[#All],[PID]],0)),INDEX(Table3[[#All],[CON P]],MATCH(Table5[[#This Row],[PID]],Table3[[#All],[PID]],0)))</f>
        <v>2</v>
      </c>
      <c r="O286" s="56">
        <f>IF($C286="B",INDEX(Batters[[#All],[EYE P]],MATCH(Table5[[#This Row],[PID]],Batters[[#All],[PID]],0)),INDEX(Table3[[#All],[VELO]],MATCH(Table5[[#This Row],[PID]],Table3[[#All],[PID]],0)))</f>
        <v>5</v>
      </c>
      <c r="P286" s="56">
        <f>IF($C286="B",INDEX(Batters[[#All],[K P]],MATCH(Table5[[#This Row],[PID]],Batters[[#All],[PID]],0)),INDEX(Table3[[#All],[STM]],MATCH(Table5[[#This Row],[PID]],Table3[[#All],[PID]],0)))</f>
        <v>6</v>
      </c>
      <c r="Q286" s="61">
        <f>IF($C286="B",INDEX(Batters[[#All],[Tot]],MATCH(Table5[[#This Row],[PID]],Batters[[#All],[PID]],0)),INDEX(Table3[[#All],[Tot]],MATCH(Table5[[#This Row],[PID]],Table3[[#All],[PID]],0)))</f>
        <v>45.673849623737468</v>
      </c>
      <c r="R286" s="52">
        <f>IF($C286="B",INDEX(Batters[[#All],[zScore]],MATCH(Table5[[#This Row],[PID]],Batters[[#All],[PID]],0)),INDEX(Table3[[#All],[zScore]],MATCH(Table5[[#This Row],[PID]],Table3[[#All],[PID]],0)))</f>
        <v>0.35840412126501064</v>
      </c>
      <c r="S286" s="58" t="str">
        <f>IF($C286="B",INDEX(Batters[[#All],[DEM]],MATCH(Table5[[#This Row],[PID]],Batters[[#All],[PID]],0)),INDEX(Table3[[#All],[DEM]],MATCH(Table5[[#This Row],[PID]],Table3[[#All],[PID]],0)))</f>
        <v>$110k</v>
      </c>
      <c r="T286" s="62">
        <f>IF($C286="B",INDEX(Batters[[#All],[Rnk]],MATCH(Table5[[#This Row],[PID]],Batters[[#All],[PID]],0)),INDEX(Table3[[#All],[Rnk]],MATCH(Table5[[#This Row],[PID]],Table3[[#All],[PID]],0)))</f>
        <v>940</v>
      </c>
      <c r="U286" s="67">
        <f>IF($C286="B",VLOOKUP($A286,Bat!$A$4:$BA$1314,47,FALSE),VLOOKUP($A286,Pit!$A$4:$BF$1214,56,FALSE))</f>
        <v>408</v>
      </c>
      <c r="V286" s="50">
        <f>IF($C286="B",VLOOKUP($A286,Bat!$A$4:$BA$1314,48,FALSE),VLOOKUP($A286,Pit!$A$4:$BF$1214,57,FALSE))</f>
        <v>0</v>
      </c>
      <c r="W286" s="68">
        <f>IF(Table5[[#This Row],[posRnk]]=999,9999,Table5[[#This Row],[posRnk]]+Table5[[#This Row],[zRnk]]+IF($W$3&lt;&gt;Table5[[#This Row],[Type]],50,0))</f>
        <v>1256</v>
      </c>
      <c r="X286" s="51">
        <f>RANK(Table5[[#This Row],[zScore]],Table5[[#All],[zScore]])</f>
        <v>266</v>
      </c>
      <c r="Y286" s="50">
        <f>IFERROR(INDEX(DraftResults[[#All],[OVR]],MATCH(Table5[[#This Row],[PID]],DraftResults[[#All],[Player ID]],0)),"")</f>
        <v>336</v>
      </c>
      <c r="Z286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11</v>
      </c>
      <c r="AA286" s="50">
        <f>IFERROR(INDEX(DraftResults[[#All],[Pick in Round]],MATCH(Table5[[#This Row],[PID]],DraftResults[[#All],[Player ID]],0)),"")</f>
        <v>5</v>
      </c>
      <c r="AB286" s="50" t="str">
        <f>IFERROR(INDEX(DraftResults[[#All],[Team Name]],MATCH(Table5[[#This Row],[PID]],DraftResults[[#All],[Player ID]],0)),"")</f>
        <v>Tempe Knights</v>
      </c>
      <c r="AC286" s="50">
        <f>IF(Table5[[#This Row],[Ovr]]="","",IF(Table5[[#This Row],[cmbList]]="","",Table5[[#This Row],[cmbList]]-Table5[[#This Row],[Ovr]]))</f>
        <v>920</v>
      </c>
      <c r="AD286" s="54" t="str">
        <f>IF(ISERROR(VLOOKUP($AB286&amp;"-"&amp;$E286&amp;" "&amp;F286,Bonuses!$B$1:$G$1006,4,FALSE)),"",INT(VLOOKUP($AB286&amp;"-"&amp;$E286&amp;" "&amp;$F286,Bonuses!$B$1:$G$1006,4,FALSE)))</f>
        <v/>
      </c>
      <c r="AE286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11.5 (336) - 3B Francis Jacobson</v>
      </c>
    </row>
    <row r="287" spans="1:31" s="50" customFormat="1" x14ac:dyDescent="0.3">
      <c r="A287" s="67">
        <v>20860</v>
      </c>
      <c r="B287" s="68">
        <f>COUNTIF(Table5[PID],A287)</f>
        <v>1</v>
      </c>
      <c r="C287" s="68" t="str">
        <f>IF(COUNTIF(Table3[[#All],[PID]],A287)&gt;0,"P","B")</f>
        <v>P</v>
      </c>
      <c r="D287" s="59" t="str">
        <f>IF($C287="B",INDEX(Batters[[#All],[POS]],MATCH(Table5[[#This Row],[PID]],Batters[[#All],[PID]],0)),INDEX(Table3[[#All],[POS]],MATCH(Table5[[#This Row],[PID]],Table3[[#All],[PID]],0)))</f>
        <v>RP</v>
      </c>
      <c r="E287" s="52" t="str">
        <f>IF($C287="B",INDEX(Batters[[#All],[First]],MATCH(Table5[[#This Row],[PID]],Batters[[#All],[PID]],0)),INDEX(Table3[[#All],[First]],MATCH(Table5[[#This Row],[PID]],Table3[[#All],[PID]],0)))</f>
        <v>Ricardo</v>
      </c>
      <c r="F287" s="55" t="str">
        <f>IF($C287="B",INDEX(Batters[[#All],[Last]],MATCH(A287,Batters[[#All],[PID]],0)),INDEX(Table3[[#All],[Last]],MATCH(A287,Table3[[#All],[PID]],0)))</f>
        <v>Martínez</v>
      </c>
      <c r="G287" s="56">
        <f>IF($C287="B",INDEX(Batters[[#All],[Age]],MATCH(Table5[[#This Row],[PID]],Batters[[#All],[PID]],0)),INDEX(Table3[[#All],[Age]],MATCH(Table5[[#This Row],[PID]],Table3[[#All],[PID]],0)))</f>
        <v>17</v>
      </c>
      <c r="H287" s="52" t="str">
        <f>IF($C287="B",INDEX(Batters[[#All],[B]],MATCH(Table5[[#This Row],[PID]],Batters[[#All],[PID]],0)),INDEX(Table3[[#All],[B]],MATCH(Table5[[#This Row],[PID]],Table3[[#All],[PID]],0)))</f>
        <v>L</v>
      </c>
      <c r="I287" s="52" t="str">
        <f>IF($C287="B",INDEX(Batters[[#All],[T]],MATCH(Table5[[#This Row],[PID]],Batters[[#All],[PID]],0)),INDEX(Table3[[#All],[T]],MATCH(Table5[[#This Row],[PID]],Table3[[#All],[PID]],0)))</f>
        <v>L</v>
      </c>
      <c r="J287" s="69" t="str">
        <f>IF($C287="B",INDEX(Batters[[#All],[WE]],MATCH(Table5[[#This Row],[PID]],Batters[[#All],[PID]],0)),INDEX(Table3[[#All],[WE]],MATCH(Table5[[#This Row],[PID]],Table3[[#All],[PID]],0)))</f>
        <v>Low</v>
      </c>
      <c r="K287" s="52" t="str">
        <f>IF($C287="B",INDEX(Batters[[#All],[INT]],MATCH(Table5[[#This Row],[PID]],Batters[[#All],[PID]],0)),INDEX(Table3[[#All],[INT]],MATCH(Table5[[#This Row],[PID]],Table3[[#All],[PID]],0)))</f>
        <v>Normal</v>
      </c>
      <c r="L287" s="60">
        <f>IF($C287="B",INDEX(Batters[[#All],[CON P]],MATCH(Table5[[#This Row],[PID]],Batters[[#All],[PID]],0)),INDEX(Table3[[#All],[STU P]],MATCH(Table5[[#This Row],[PID]],Table3[[#All],[PID]],0)))</f>
        <v>5</v>
      </c>
      <c r="M287" s="70">
        <f>IF($C287="B",INDEX(Batters[[#All],[GAP P]],MATCH(Table5[[#This Row],[PID]],Batters[[#All],[PID]],0)),INDEX(Table3[[#All],[MOV P]],MATCH(Table5[[#This Row],[PID]],Table3[[#All],[PID]],0)))</f>
        <v>3</v>
      </c>
      <c r="N287" s="70">
        <f>IF($C287="B",INDEX(Batters[[#All],[POW P]],MATCH(Table5[[#This Row],[PID]],Batters[[#All],[PID]],0)),INDEX(Table3[[#All],[CON P]],MATCH(Table5[[#This Row],[PID]],Table3[[#All],[PID]],0)))</f>
        <v>3</v>
      </c>
      <c r="O287" s="70" t="str">
        <f>IF($C287="B",INDEX(Batters[[#All],[EYE P]],MATCH(Table5[[#This Row],[PID]],Batters[[#All],[PID]],0)),INDEX(Table3[[#All],[VELO]],MATCH(Table5[[#This Row],[PID]],Table3[[#All],[PID]],0)))</f>
        <v>89-91 Mph</v>
      </c>
      <c r="P287" s="56">
        <f>IF($C287="B",INDEX(Batters[[#All],[K P]],MATCH(Table5[[#This Row],[PID]],Batters[[#All],[PID]],0)),INDEX(Table3[[#All],[STM]],MATCH(Table5[[#This Row],[PID]],Table3[[#All],[PID]],0)))</f>
        <v>5</v>
      </c>
      <c r="Q287" s="61">
        <f>IF($C287="B",INDEX(Batters[[#All],[Tot]],MATCH(Table5[[#This Row],[PID]],Batters[[#All],[PID]],0)),INDEX(Table3[[#All],[Tot]],MATCH(Table5[[#This Row],[PID]],Table3[[#All],[PID]],0)))</f>
        <v>42.1970018941822</v>
      </c>
      <c r="R287" s="52">
        <f>IF($C287="B",INDEX(Batters[[#All],[zScore]],MATCH(Table5[[#This Row],[PID]],Batters[[#All],[PID]],0)),INDEX(Table3[[#All],[zScore]],MATCH(Table5[[#This Row],[PID]],Table3[[#All],[PID]],0)))</f>
        <v>0.31291355983037428</v>
      </c>
      <c r="S287" s="75" t="str">
        <f>IF($C287="B",INDEX(Batters[[#All],[DEM]],MATCH(Table5[[#This Row],[PID]],Batters[[#All],[PID]],0)),INDEX(Table3[[#All],[DEM]],MATCH(Table5[[#This Row],[PID]],Table3[[#All],[PID]],0)))</f>
        <v>$38k</v>
      </c>
      <c r="T287" s="72">
        <f>IF($C287="B",INDEX(Batters[[#All],[Rnk]],MATCH(Table5[[#This Row],[PID]],Batters[[#All],[PID]],0)),INDEX(Table3[[#All],[Rnk]],MATCH(Table5[[#This Row],[PID]],Table3[[#All],[PID]],0)))</f>
        <v>930</v>
      </c>
      <c r="U287" s="67">
        <f>IF($C287="B",VLOOKUP($A287,Bat!$A$4:$BA$1314,47,FALSE),VLOOKUP($A287,Pit!$A$4:$BF$1214,56,FALSE))</f>
        <v>264</v>
      </c>
      <c r="V287" s="50">
        <f>IF($C287="B",VLOOKUP($A287,Bat!$A$4:$BA$1314,48,FALSE),VLOOKUP($A287,Pit!$A$4:$BF$1214,57,FALSE))</f>
        <v>0</v>
      </c>
      <c r="W287" s="68">
        <f>IF(Table5[[#This Row],[posRnk]]=999,9999,Table5[[#This Row],[posRnk]]+Table5[[#This Row],[zRnk]]+IF($W$3&lt;&gt;Table5[[#This Row],[Type]],50,0))</f>
        <v>1208</v>
      </c>
      <c r="X287" s="71">
        <f>RANK(Table5[[#This Row],[zScore]],Table5[[#All],[zScore]])</f>
        <v>278</v>
      </c>
      <c r="Y287" s="68">
        <f>IFERROR(INDEX(DraftResults[[#All],[OVR]],MATCH(Table5[[#This Row],[PID]],DraftResults[[#All],[Player ID]],0)),"")</f>
        <v>623</v>
      </c>
      <c r="Z287" s="7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19</v>
      </c>
      <c r="AA287" s="68">
        <f>IFERROR(INDEX(DraftResults[[#All],[Pick in Round]],MATCH(Table5[[#This Row],[PID]],DraftResults[[#All],[Player ID]],0)),"")</f>
        <v>20</v>
      </c>
      <c r="AB287" s="68" t="str">
        <f>IFERROR(INDEX(DraftResults[[#All],[Team Name]],MATCH(Table5[[#This Row],[PID]],DraftResults[[#All],[Player ID]],0)),"")</f>
        <v>Amsterdam Lions</v>
      </c>
      <c r="AC287" s="68">
        <f>IF(Table5[[#This Row],[Ovr]]="","",IF(Table5[[#This Row],[cmbList]]="","",Table5[[#This Row],[cmbList]]-Table5[[#This Row],[Ovr]]))</f>
        <v>585</v>
      </c>
      <c r="AD287" s="74" t="str">
        <f>IF(ISERROR(VLOOKUP($AB287&amp;"-"&amp;$E287&amp;" "&amp;F287,Bonuses!$B$1:$G$1006,4,FALSE)),"",INT(VLOOKUP($AB287&amp;"-"&amp;$E287&amp;" "&amp;$F287,Bonuses!$B$1:$G$1006,4,FALSE)))</f>
        <v/>
      </c>
      <c r="AE287" s="68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19.20 (623) - RP Ricardo Martínez</v>
      </c>
    </row>
    <row r="288" spans="1:31" s="50" customFormat="1" x14ac:dyDescent="0.3">
      <c r="A288" s="67">
        <v>20428</v>
      </c>
      <c r="B288" s="68">
        <f>COUNTIF(Table5[PID],A288)</f>
        <v>1</v>
      </c>
      <c r="C288" s="68" t="str">
        <f>IF(COUNTIF(Table3[[#All],[PID]],A288)&gt;0,"P","B")</f>
        <v>P</v>
      </c>
      <c r="D288" s="59" t="str">
        <f>IF($C288="B",INDEX(Batters[[#All],[POS]],MATCH(Table5[[#This Row],[PID]],Batters[[#All],[PID]],0)),INDEX(Table3[[#All],[POS]],MATCH(Table5[[#This Row],[PID]],Table3[[#All],[PID]],0)))</f>
        <v>SP</v>
      </c>
      <c r="E288" s="52" t="str">
        <f>IF($C288="B",INDEX(Batters[[#All],[First]],MATCH(Table5[[#This Row],[PID]],Batters[[#All],[PID]],0)),INDEX(Table3[[#All],[First]],MATCH(Table5[[#This Row],[PID]],Table3[[#All],[PID]],0)))</f>
        <v>Hwui-ning</v>
      </c>
      <c r="F288" s="55" t="str">
        <f>IF($C288="B",INDEX(Batters[[#All],[Last]],MATCH(A288,Batters[[#All],[PID]],0)),INDEX(Table3[[#All],[Last]],MATCH(A288,Table3[[#All],[PID]],0)))</f>
        <v>Kim</v>
      </c>
      <c r="G288" s="56">
        <f>IF($C288="B",INDEX(Batters[[#All],[Age]],MATCH(Table5[[#This Row],[PID]],Batters[[#All],[PID]],0)),INDEX(Table3[[#All],[Age]],MATCH(Table5[[#This Row],[PID]],Table3[[#All],[PID]],0)))</f>
        <v>16</v>
      </c>
      <c r="H288" s="52" t="str">
        <f>IF($C288="B",INDEX(Batters[[#All],[B]],MATCH(Table5[[#This Row],[PID]],Batters[[#All],[PID]],0)),INDEX(Table3[[#All],[B]],MATCH(Table5[[#This Row],[PID]],Table3[[#All],[PID]],0)))</f>
        <v>R</v>
      </c>
      <c r="I288" s="52" t="str">
        <f>IF($C288="B",INDEX(Batters[[#All],[T]],MATCH(Table5[[#This Row],[PID]],Batters[[#All],[PID]],0)),INDEX(Table3[[#All],[T]],MATCH(Table5[[#This Row],[PID]],Table3[[#All],[PID]],0)))</f>
        <v>R</v>
      </c>
      <c r="J288" s="69" t="str">
        <f>IF($C288="B",INDEX(Batters[[#All],[WE]],MATCH(Table5[[#This Row],[PID]],Batters[[#All],[PID]],0)),INDEX(Table3[[#All],[WE]],MATCH(Table5[[#This Row],[PID]],Table3[[#All],[PID]],0)))</f>
        <v>Normal</v>
      </c>
      <c r="K288" s="52" t="str">
        <f>IF($C288="B",INDEX(Batters[[#All],[INT]],MATCH(Table5[[#This Row],[PID]],Batters[[#All],[PID]],0)),INDEX(Table3[[#All],[INT]],MATCH(Table5[[#This Row],[PID]],Table3[[#All],[PID]],0)))</f>
        <v>Normal</v>
      </c>
      <c r="L288" s="60">
        <f>IF($C288="B",INDEX(Batters[[#All],[CON P]],MATCH(Table5[[#This Row],[PID]],Batters[[#All],[PID]],0)),INDEX(Table3[[#All],[STU P]],MATCH(Table5[[#This Row],[PID]],Table3[[#All],[PID]],0)))</f>
        <v>4</v>
      </c>
      <c r="M288" s="70">
        <f>IF($C288="B",INDEX(Batters[[#All],[GAP P]],MATCH(Table5[[#This Row],[PID]],Batters[[#All],[PID]],0)),INDEX(Table3[[#All],[MOV P]],MATCH(Table5[[#This Row],[PID]],Table3[[#All],[PID]],0)))</f>
        <v>2</v>
      </c>
      <c r="N288" s="70">
        <f>IF($C288="B",INDEX(Batters[[#All],[POW P]],MATCH(Table5[[#This Row],[PID]],Batters[[#All],[PID]],0)),INDEX(Table3[[#All],[CON P]],MATCH(Table5[[#This Row],[PID]],Table3[[#All],[PID]],0)))</f>
        <v>4</v>
      </c>
      <c r="O288" s="70" t="str">
        <f>IF($C288="B",INDEX(Batters[[#All],[EYE P]],MATCH(Table5[[#This Row],[PID]],Batters[[#All],[PID]],0)),INDEX(Table3[[#All],[VELO]],MATCH(Table5[[#This Row],[PID]],Table3[[#All],[PID]],0)))</f>
        <v>94-96 Mph</v>
      </c>
      <c r="P288" s="56">
        <f>IF($C288="B",INDEX(Batters[[#All],[K P]],MATCH(Table5[[#This Row],[PID]],Batters[[#All],[PID]],0)),INDEX(Table3[[#All],[STM]],MATCH(Table5[[#This Row],[PID]],Table3[[#All],[PID]],0)))</f>
        <v>6</v>
      </c>
      <c r="Q288" s="61">
        <f>IF($C288="B",INDEX(Batters[[#All],[Tot]],MATCH(Table5[[#This Row],[PID]],Batters[[#All],[PID]],0)),INDEX(Table3[[#All],[Tot]],MATCH(Table5[[#This Row],[PID]],Table3[[#All],[PID]],0)))</f>
        <v>40.779443724770452</v>
      </c>
      <c r="R288" s="52">
        <f>IF($C288="B",INDEX(Batters[[#All],[zScore]],MATCH(Table5[[#This Row],[PID]],Batters[[#All],[PID]],0)),INDEX(Table3[[#All],[zScore]],MATCH(Table5[[#This Row],[PID]],Table3[[#All],[PID]],0)))</f>
        <v>0.21197344866171688</v>
      </c>
      <c r="S288" s="75" t="str">
        <f>IF($C288="B",INDEX(Batters[[#All],[DEM]],MATCH(Table5[[#This Row],[PID]],Batters[[#All],[PID]],0)),INDEX(Table3[[#All],[DEM]],MATCH(Table5[[#This Row],[PID]],Table3[[#All],[PID]],0)))</f>
        <v>$65k</v>
      </c>
      <c r="T288" s="72">
        <f>IF($C288="B",INDEX(Batters[[#All],[Rnk]],MATCH(Table5[[#This Row],[PID]],Batters[[#All],[PID]],0)),INDEX(Table3[[#All],[Rnk]],MATCH(Table5[[#This Row],[PID]],Table3[[#All],[PID]],0)))</f>
        <v>900</v>
      </c>
      <c r="U288" s="67">
        <f>IF($C288="B",VLOOKUP($A288,Bat!$A$4:$BA$1314,47,FALSE),VLOOKUP($A288,Pit!$A$4:$BF$1214,56,FALSE))</f>
        <v>101</v>
      </c>
      <c r="V288" s="50">
        <f>IF($C288="B",VLOOKUP($A288,Bat!$A$4:$BA$1314,48,FALSE),VLOOKUP($A288,Pit!$A$4:$BF$1214,57,FALSE))</f>
        <v>0</v>
      </c>
      <c r="W288" s="68">
        <f>IF(Table5[[#This Row],[posRnk]]=999,9999,Table5[[#This Row],[posRnk]]+Table5[[#This Row],[zRnk]]+IF($W$3&lt;&gt;Table5[[#This Row],[Type]],50,0))</f>
        <v>1209</v>
      </c>
      <c r="X288" s="71">
        <f>RANK(Table5[[#This Row],[zScore]],Table5[[#All],[zScore]])</f>
        <v>309</v>
      </c>
      <c r="Y288" s="68">
        <f>IFERROR(INDEX(DraftResults[[#All],[OVR]],MATCH(Table5[[#This Row],[PID]],DraftResults[[#All],[Player ID]],0)),"")</f>
        <v>482</v>
      </c>
      <c r="Z288" s="7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15</v>
      </c>
      <c r="AA288" s="68">
        <f>IFERROR(INDEX(DraftResults[[#All],[Pick in Round]],MATCH(Table5[[#This Row],[PID]],DraftResults[[#All],[Player ID]],0)),"")</f>
        <v>15</v>
      </c>
      <c r="AB288" s="68" t="str">
        <f>IFERROR(INDEX(DraftResults[[#All],[Team Name]],MATCH(Table5[[#This Row],[PID]],DraftResults[[#All],[Player ID]],0)),"")</f>
        <v>Niihama-shi Ghosts</v>
      </c>
      <c r="AC288" s="68">
        <f>IF(Table5[[#This Row],[Ovr]]="","",IF(Table5[[#This Row],[cmbList]]="","",Table5[[#This Row],[cmbList]]-Table5[[#This Row],[Ovr]]))</f>
        <v>727</v>
      </c>
      <c r="AD288" s="74" t="str">
        <f>IF(ISERROR(VLOOKUP($AB288&amp;"-"&amp;$E288&amp;" "&amp;F288,Bonuses!$B$1:$G$1006,4,FALSE)),"",INT(VLOOKUP($AB288&amp;"-"&amp;$E288&amp;" "&amp;$F288,Bonuses!$B$1:$G$1006,4,FALSE)))</f>
        <v/>
      </c>
      <c r="AE288" s="68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15.15 (482) - SP Hwui-ning Kim</v>
      </c>
    </row>
    <row r="289" spans="1:31" s="50" customFormat="1" x14ac:dyDescent="0.3">
      <c r="A289" s="50">
        <v>10394</v>
      </c>
      <c r="B289" s="55">
        <f>COUNTIF(Table5[PID],A289)</f>
        <v>1</v>
      </c>
      <c r="C289" s="55" t="str">
        <f>IF(COUNTIF(Table3[[#All],[PID]],A289)&gt;0,"P","B")</f>
        <v>P</v>
      </c>
      <c r="D289" s="59" t="str">
        <f>IF($C289="B",INDEX(Batters[[#All],[POS]],MATCH(Table5[[#This Row],[PID]],Batters[[#All],[PID]],0)),INDEX(Table3[[#All],[POS]],MATCH(Table5[[#This Row],[PID]],Table3[[#All],[PID]],0)))</f>
        <v>SP</v>
      </c>
      <c r="E289" s="52" t="str">
        <f>IF($C289="B",INDEX(Batters[[#All],[First]],MATCH(Table5[[#This Row],[PID]],Batters[[#All],[PID]],0)),INDEX(Table3[[#All],[First]],MATCH(Table5[[#This Row],[PID]],Table3[[#All],[PID]],0)))</f>
        <v>Mark</v>
      </c>
      <c r="F289" s="50" t="str">
        <f>IF($C289="B",INDEX(Batters[[#All],[Last]],MATCH(A289,Batters[[#All],[PID]],0)),INDEX(Table3[[#All],[Last]],MATCH(A289,Table3[[#All],[PID]],0)))</f>
        <v>Watson</v>
      </c>
      <c r="G289" s="56">
        <f>IF($C289="B",INDEX(Batters[[#All],[Age]],MATCH(Table5[[#This Row],[PID]],Batters[[#All],[PID]],0)),INDEX(Table3[[#All],[Age]],MATCH(Table5[[#This Row],[PID]],Table3[[#All],[PID]],0)))</f>
        <v>18</v>
      </c>
      <c r="H289" s="52" t="str">
        <f>IF($C289="B",INDEX(Batters[[#All],[B]],MATCH(Table5[[#This Row],[PID]],Batters[[#All],[PID]],0)),INDEX(Table3[[#All],[B]],MATCH(Table5[[#This Row],[PID]],Table3[[#All],[PID]],0)))</f>
        <v>R</v>
      </c>
      <c r="I289" s="52" t="str">
        <f>IF($C289="B",INDEX(Batters[[#All],[T]],MATCH(Table5[[#This Row],[PID]],Batters[[#All],[PID]],0)),INDEX(Table3[[#All],[T]],MATCH(Table5[[#This Row],[PID]],Table3[[#All],[PID]],0)))</f>
        <v>R</v>
      </c>
      <c r="J289" s="52" t="str">
        <f>IF($C289="B",INDEX(Batters[[#All],[WE]],MATCH(Table5[[#This Row],[PID]],Batters[[#All],[PID]],0)),INDEX(Table3[[#All],[WE]],MATCH(Table5[[#This Row],[PID]],Table3[[#All],[PID]],0)))</f>
        <v>Low</v>
      </c>
      <c r="K289" s="52" t="str">
        <f>IF($C289="B",INDEX(Batters[[#All],[INT]],MATCH(Table5[[#This Row],[PID]],Batters[[#All],[PID]],0)),INDEX(Table3[[#All],[INT]],MATCH(Table5[[#This Row],[PID]],Table3[[#All],[PID]],0)))</f>
        <v>Normal</v>
      </c>
      <c r="L289" s="60">
        <f>IF($C289="B",INDEX(Batters[[#All],[CON P]],MATCH(Table5[[#This Row],[PID]],Batters[[#All],[PID]],0)),INDEX(Table3[[#All],[STU P]],MATCH(Table5[[#This Row],[PID]],Table3[[#All],[PID]],0)))</f>
        <v>6</v>
      </c>
      <c r="M289" s="56">
        <f>IF($C289="B",INDEX(Batters[[#All],[GAP P]],MATCH(Table5[[#This Row],[PID]],Batters[[#All],[PID]],0)),INDEX(Table3[[#All],[MOV P]],MATCH(Table5[[#This Row],[PID]],Table3[[#All],[PID]],0)))</f>
        <v>1</v>
      </c>
      <c r="N289" s="56">
        <f>IF($C289="B",INDEX(Batters[[#All],[POW P]],MATCH(Table5[[#This Row],[PID]],Batters[[#All],[PID]],0)),INDEX(Table3[[#All],[CON P]],MATCH(Table5[[#This Row],[PID]],Table3[[#All],[PID]],0)))</f>
        <v>3</v>
      </c>
      <c r="O289" s="56" t="str">
        <f>IF($C289="B",INDEX(Batters[[#All],[EYE P]],MATCH(Table5[[#This Row],[PID]],Batters[[#All],[PID]],0)),INDEX(Table3[[#All],[VELO]],MATCH(Table5[[#This Row],[PID]],Table3[[#All],[PID]],0)))</f>
        <v>97-99 Mph</v>
      </c>
      <c r="P289" s="56">
        <f>IF($C289="B",INDEX(Batters[[#All],[K P]],MATCH(Table5[[#This Row],[PID]],Batters[[#All],[PID]],0)),INDEX(Table3[[#All],[STM]],MATCH(Table5[[#This Row],[PID]],Table3[[#All],[PID]],0)))</f>
        <v>8</v>
      </c>
      <c r="Q289" s="61">
        <f>IF($C289="B",INDEX(Batters[[#All],[Tot]],MATCH(Table5[[#This Row],[PID]],Batters[[#All],[PID]],0)),INDEX(Table3[[#All],[Tot]],MATCH(Table5[[#This Row],[PID]],Table3[[#All],[PID]],0)))</f>
        <v>42.183732282215459</v>
      </c>
      <c r="R289" s="52">
        <f>IF($C289="B",INDEX(Batters[[#All],[zScore]],MATCH(Table5[[#This Row],[PID]],Batters[[#All],[PID]],0)),INDEX(Table3[[#All],[zScore]],MATCH(Table5[[#This Row],[PID]],Table3[[#All],[PID]],0)))</f>
        <v>0.31196867013484686</v>
      </c>
      <c r="S289" s="58" t="str">
        <f>IF($C289="B",INDEX(Batters[[#All],[DEM]],MATCH(Table5[[#This Row],[PID]],Batters[[#All],[PID]],0)),INDEX(Table3[[#All],[DEM]],MATCH(Table5[[#This Row],[PID]],Table3[[#All],[PID]],0)))</f>
        <v>$65k</v>
      </c>
      <c r="T289" s="62">
        <f>IF($C289="B",INDEX(Batters[[#All],[Rnk]],MATCH(Table5[[#This Row],[PID]],Batters[[#All],[PID]],0)),INDEX(Table3[[#All],[Rnk]],MATCH(Table5[[#This Row],[PID]],Table3[[#All],[PID]],0)))</f>
        <v>930</v>
      </c>
      <c r="U289" s="67">
        <f>IF($C289="B",VLOOKUP($A289,Bat!$A$4:$BA$1314,47,FALSE),VLOOKUP($A289,Pit!$A$4:$BF$1214,56,FALSE))</f>
        <v>265</v>
      </c>
      <c r="V289" s="50">
        <f>IF($C289="B",VLOOKUP($A289,Bat!$A$4:$BA$1314,48,FALSE),VLOOKUP($A289,Pit!$A$4:$BF$1214,57,FALSE))</f>
        <v>0</v>
      </c>
      <c r="W289" s="68">
        <f>IF(Table5[[#This Row],[posRnk]]=999,9999,Table5[[#This Row],[posRnk]]+Table5[[#This Row],[zRnk]]+IF($W$3&lt;&gt;Table5[[#This Row],[Type]],50,0))</f>
        <v>1209</v>
      </c>
      <c r="X289" s="51">
        <f>RANK(Table5[[#This Row],[zScore]],Table5[[#All],[zScore]])</f>
        <v>279</v>
      </c>
      <c r="Y289" s="50">
        <f>IFERROR(INDEX(DraftResults[[#All],[OVR]],MATCH(Table5[[#This Row],[PID]],DraftResults[[#All],[Player ID]],0)),"")</f>
        <v>240</v>
      </c>
      <c r="Z289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8</v>
      </c>
      <c r="AA289" s="50">
        <f>IFERROR(INDEX(DraftResults[[#All],[Pick in Round]],MATCH(Table5[[#This Row],[PID]],DraftResults[[#All],[Player ID]],0)),"")</f>
        <v>7</v>
      </c>
      <c r="AB289" s="50" t="str">
        <f>IFERROR(INDEX(DraftResults[[#All],[Team Name]],MATCH(Table5[[#This Row],[PID]],DraftResults[[#All],[Player ID]],0)),"")</f>
        <v>Hartford Harpoon</v>
      </c>
      <c r="AC289" s="50">
        <f>IF(Table5[[#This Row],[Ovr]]="","",IF(Table5[[#This Row],[cmbList]]="","",Table5[[#This Row],[cmbList]]-Table5[[#This Row],[Ovr]]))</f>
        <v>969</v>
      </c>
      <c r="AD289" s="54" t="str">
        <f>IF(ISERROR(VLOOKUP($AB289&amp;"-"&amp;$E289&amp;" "&amp;F289,Bonuses!$B$1:$G$1006,4,FALSE)),"",INT(VLOOKUP($AB289&amp;"-"&amp;$E289&amp;" "&amp;$F289,Bonuses!$B$1:$G$1006,4,FALSE)))</f>
        <v/>
      </c>
      <c r="AE289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8.7 (240) - SP Mark Watson</v>
      </c>
    </row>
    <row r="290" spans="1:31" s="50" customFormat="1" x14ac:dyDescent="0.3">
      <c r="A290" s="50">
        <v>12846</v>
      </c>
      <c r="B290" s="55">
        <f>COUNTIF(Table5[PID],A290)</f>
        <v>1</v>
      </c>
      <c r="C290" s="55" t="str">
        <f>IF(COUNTIF(Table3[[#All],[PID]],A290)&gt;0,"P","B")</f>
        <v>B</v>
      </c>
      <c r="D290" s="59" t="str">
        <f>IF($C290="B",INDEX(Batters[[#All],[POS]],MATCH(Table5[[#This Row],[PID]],Batters[[#All],[PID]],0)),INDEX(Table3[[#All],[POS]],MATCH(Table5[[#This Row],[PID]],Table3[[#All],[PID]],0)))</f>
        <v>1B</v>
      </c>
      <c r="E290" s="52" t="str">
        <f>IF($C290="B",INDEX(Batters[[#All],[First]],MATCH(Table5[[#This Row],[PID]],Batters[[#All],[PID]],0)),INDEX(Table3[[#All],[First]],MATCH(Table5[[#This Row],[PID]],Table3[[#All],[PID]],0)))</f>
        <v>Heinrich</v>
      </c>
      <c r="F290" s="50" t="str">
        <f>IF($C290="B",INDEX(Batters[[#All],[Last]],MATCH(A290,Batters[[#All],[PID]],0)),INDEX(Table3[[#All],[Last]],MATCH(A290,Table3[[#All],[PID]],0)))</f>
        <v>Wesselingh</v>
      </c>
      <c r="G290" s="56">
        <f>IF($C290="B",INDEX(Batters[[#All],[Age]],MATCH(Table5[[#This Row],[PID]],Batters[[#All],[PID]],0)),INDEX(Table3[[#All],[Age]],MATCH(Table5[[#This Row],[PID]],Table3[[#All],[PID]],0)))</f>
        <v>17</v>
      </c>
      <c r="H290" s="52" t="str">
        <f>IF($C290="B",INDEX(Batters[[#All],[B]],MATCH(Table5[[#This Row],[PID]],Batters[[#All],[PID]],0)),INDEX(Table3[[#All],[B]],MATCH(Table5[[#This Row],[PID]],Table3[[#All],[PID]],0)))</f>
        <v>S</v>
      </c>
      <c r="I290" s="52" t="str">
        <f>IF($C290="B",INDEX(Batters[[#All],[T]],MATCH(Table5[[#This Row],[PID]],Batters[[#All],[PID]],0)),INDEX(Table3[[#All],[T]],MATCH(Table5[[#This Row],[PID]],Table3[[#All],[PID]],0)))</f>
        <v>R</v>
      </c>
      <c r="J290" s="52" t="str">
        <f>IF($C290="B",INDEX(Batters[[#All],[WE]],MATCH(Table5[[#This Row],[PID]],Batters[[#All],[PID]],0)),INDEX(Table3[[#All],[WE]],MATCH(Table5[[#This Row],[PID]],Table3[[#All],[PID]],0)))</f>
        <v>Normal</v>
      </c>
      <c r="K290" s="52" t="str">
        <f>IF($C290="B",INDEX(Batters[[#All],[INT]],MATCH(Table5[[#This Row],[PID]],Batters[[#All],[PID]],0)),INDEX(Table3[[#All],[INT]],MATCH(Table5[[#This Row],[PID]],Table3[[#All],[PID]],0)))</f>
        <v>Low</v>
      </c>
      <c r="L290" s="60">
        <f>IF($C290="B",INDEX(Batters[[#All],[CON P]],MATCH(Table5[[#This Row],[PID]],Batters[[#All],[PID]],0)),INDEX(Table3[[#All],[STU P]],MATCH(Table5[[#This Row],[PID]],Table3[[#All],[PID]],0)))</f>
        <v>4</v>
      </c>
      <c r="M290" s="56">
        <f>IF($C290="B",INDEX(Batters[[#All],[GAP P]],MATCH(Table5[[#This Row],[PID]],Batters[[#All],[PID]],0)),INDEX(Table3[[#All],[MOV P]],MATCH(Table5[[#This Row],[PID]],Table3[[#All],[PID]],0)))</f>
        <v>3</v>
      </c>
      <c r="N290" s="56">
        <f>IF($C290="B",INDEX(Batters[[#All],[POW P]],MATCH(Table5[[#This Row],[PID]],Batters[[#All],[PID]],0)),INDEX(Table3[[#All],[CON P]],MATCH(Table5[[#This Row],[PID]],Table3[[#All],[PID]],0)))</f>
        <v>3</v>
      </c>
      <c r="O290" s="56">
        <f>IF($C290="B",INDEX(Batters[[#All],[EYE P]],MATCH(Table5[[#This Row],[PID]],Batters[[#All],[PID]],0)),INDEX(Table3[[#All],[VELO]],MATCH(Table5[[#This Row],[PID]],Table3[[#All],[PID]],0)))</f>
        <v>5</v>
      </c>
      <c r="P290" s="56">
        <f>IF($C290="B",INDEX(Batters[[#All],[K P]],MATCH(Table5[[#This Row],[PID]],Batters[[#All],[PID]],0)),INDEX(Table3[[#All],[STM]],MATCH(Table5[[#This Row],[PID]],Table3[[#All],[PID]],0)))</f>
        <v>5</v>
      </c>
      <c r="Q290" s="61">
        <f>IF($C290="B",INDEX(Batters[[#All],[Tot]],MATCH(Table5[[#This Row],[PID]],Batters[[#All],[PID]],0)),INDEX(Table3[[#All],[Tot]],MATCH(Table5[[#This Row],[PID]],Table3[[#All],[PID]],0)))</f>
        <v>45.585676186758256</v>
      </c>
      <c r="R290" s="52">
        <f>IF($C290="B",INDEX(Batters[[#All],[zScore]],MATCH(Table5[[#This Row],[PID]],Batters[[#All],[PID]],0)),INDEX(Table3[[#All],[zScore]],MATCH(Table5[[#This Row],[PID]],Table3[[#All],[PID]],0)))</f>
        <v>0.34553361134806287</v>
      </c>
      <c r="S290" s="58" t="str">
        <f>IF($C290="B",INDEX(Batters[[#All],[DEM]],MATCH(Table5[[#This Row],[PID]],Batters[[#All],[PID]],0)),INDEX(Table3[[#All],[DEM]],MATCH(Table5[[#This Row],[PID]],Table3[[#All],[PID]],0)))</f>
        <v>$70k</v>
      </c>
      <c r="T290" s="62">
        <f>IF($C290="B",INDEX(Batters[[#All],[Rnk]],MATCH(Table5[[#This Row],[PID]],Batters[[#All],[PID]],0)),INDEX(Table3[[#All],[Rnk]],MATCH(Table5[[#This Row],[PID]],Table3[[#All],[PID]],0)))</f>
        <v>940</v>
      </c>
      <c r="U290" s="67">
        <f>IF($C290="B",VLOOKUP($A290,Bat!$A$4:$BA$1314,47,FALSE),VLOOKUP($A290,Pit!$A$4:$BF$1214,56,FALSE))</f>
        <v>409</v>
      </c>
      <c r="V290" s="50">
        <f>IF($C290="B",VLOOKUP($A290,Bat!$A$4:$BA$1314,48,FALSE),VLOOKUP($A290,Pit!$A$4:$BF$1214,57,FALSE))</f>
        <v>0</v>
      </c>
      <c r="W290" s="68">
        <f>IF(Table5[[#This Row],[posRnk]]=999,9999,Table5[[#This Row],[posRnk]]+Table5[[#This Row],[zRnk]]+IF($W$3&lt;&gt;Table5[[#This Row],[Type]],50,0))</f>
        <v>1259</v>
      </c>
      <c r="X290" s="51">
        <f>RANK(Table5[[#This Row],[zScore]],Table5[[#All],[zScore]])</f>
        <v>269</v>
      </c>
      <c r="Y290" s="50">
        <f>IFERROR(INDEX(DraftResults[[#All],[OVR]],MATCH(Table5[[#This Row],[PID]],DraftResults[[#All],[Player ID]],0)),"")</f>
        <v>631</v>
      </c>
      <c r="Z290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19</v>
      </c>
      <c r="AA290" s="50">
        <f>IFERROR(INDEX(DraftResults[[#All],[Pick in Round]],MATCH(Table5[[#This Row],[PID]],DraftResults[[#All],[Player ID]],0)),"")</f>
        <v>28</v>
      </c>
      <c r="AB290" s="50" t="str">
        <f>IFERROR(INDEX(DraftResults[[#All],[Team Name]],MATCH(Table5[[#This Row],[PID]],DraftResults[[#All],[Player ID]],0)),"")</f>
        <v>Amsterdam Lions</v>
      </c>
      <c r="AC290" s="50">
        <f>IF(Table5[[#This Row],[Ovr]]="","",IF(Table5[[#This Row],[cmbList]]="","",Table5[[#This Row],[cmbList]]-Table5[[#This Row],[Ovr]]))</f>
        <v>628</v>
      </c>
      <c r="AD290" s="54" t="str">
        <f>IF(ISERROR(VLOOKUP($AB290&amp;"-"&amp;$E290&amp;" "&amp;F290,Bonuses!$B$1:$G$1006,4,FALSE)),"",INT(VLOOKUP($AB290&amp;"-"&amp;$E290&amp;" "&amp;$F290,Bonuses!$B$1:$G$1006,4,FALSE)))</f>
        <v/>
      </c>
      <c r="AE290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19.28 (631) - 1B Heinrich Wesselingh</v>
      </c>
    </row>
    <row r="291" spans="1:31" s="50" customFormat="1" x14ac:dyDescent="0.3">
      <c r="A291" s="50">
        <v>11324</v>
      </c>
      <c r="B291" s="50">
        <f>COUNTIF(Table5[PID],A291)</f>
        <v>1</v>
      </c>
      <c r="C291" s="50" t="str">
        <f>IF(COUNTIF(Table3[[#All],[PID]],A291)&gt;0,"P","B")</f>
        <v>P</v>
      </c>
      <c r="D291" s="59" t="str">
        <f>IF($C291="B",INDEX(Batters[[#All],[POS]],MATCH(Table5[[#This Row],[PID]],Batters[[#All],[PID]],0)),INDEX(Table3[[#All],[POS]],MATCH(Table5[[#This Row],[PID]],Table3[[#All],[PID]],0)))</f>
        <v>RP</v>
      </c>
      <c r="E291" s="52" t="str">
        <f>IF($C291="B",INDEX(Batters[[#All],[First]],MATCH(Table5[[#This Row],[PID]],Batters[[#All],[PID]],0)),INDEX(Table3[[#All],[First]],MATCH(Table5[[#This Row],[PID]],Table3[[#All],[PID]],0)))</f>
        <v>Corey</v>
      </c>
      <c r="F291" s="50" t="str">
        <f>IF($C291="B",INDEX(Batters[[#All],[Last]],MATCH(A291,Batters[[#All],[PID]],0)),INDEX(Table3[[#All],[Last]],MATCH(A291,Table3[[#All],[PID]],0)))</f>
        <v>Richardson</v>
      </c>
      <c r="G291" s="56">
        <f>IF($C291="B",INDEX(Batters[[#All],[Age]],MATCH(Table5[[#This Row],[PID]],Batters[[#All],[PID]],0)),INDEX(Table3[[#All],[Age]],MATCH(Table5[[#This Row],[PID]],Table3[[#All],[PID]],0)))</f>
        <v>18</v>
      </c>
      <c r="H291" s="52" t="str">
        <f>IF($C291="B",INDEX(Batters[[#All],[B]],MATCH(Table5[[#This Row],[PID]],Batters[[#All],[PID]],0)),INDEX(Table3[[#All],[B]],MATCH(Table5[[#This Row],[PID]],Table3[[#All],[PID]],0)))</f>
        <v>R</v>
      </c>
      <c r="I291" s="52" t="str">
        <f>IF($C291="B",INDEX(Batters[[#All],[T]],MATCH(Table5[[#This Row],[PID]],Batters[[#All],[PID]],0)),INDEX(Table3[[#All],[T]],MATCH(Table5[[#This Row],[PID]],Table3[[#All],[PID]],0)))</f>
        <v>R</v>
      </c>
      <c r="J291" s="52" t="str">
        <f>IF($C291="B",INDEX(Batters[[#All],[WE]],MATCH(Table5[[#This Row],[PID]],Batters[[#All],[PID]],0)),INDEX(Table3[[#All],[WE]],MATCH(Table5[[#This Row],[PID]],Table3[[#All],[PID]],0)))</f>
        <v>Normal</v>
      </c>
      <c r="K291" s="52" t="str">
        <f>IF($C291="B",INDEX(Batters[[#All],[INT]],MATCH(Table5[[#This Row],[PID]],Batters[[#All],[PID]],0)),INDEX(Table3[[#All],[INT]],MATCH(Table5[[#This Row],[PID]],Table3[[#All],[PID]],0)))</f>
        <v>Normal</v>
      </c>
      <c r="L291" s="60">
        <f>IF($C291="B",INDEX(Batters[[#All],[CON P]],MATCH(Table5[[#This Row],[PID]],Batters[[#All],[PID]],0)),INDEX(Table3[[#All],[STU P]],MATCH(Table5[[#This Row],[PID]],Table3[[#All],[PID]],0)))</f>
        <v>5</v>
      </c>
      <c r="M291" s="56">
        <f>IF($C291="B",INDEX(Batters[[#All],[GAP P]],MATCH(Table5[[#This Row],[PID]],Batters[[#All],[PID]],0)),INDEX(Table3[[#All],[MOV P]],MATCH(Table5[[#This Row],[PID]],Table3[[#All],[PID]],0)))</f>
        <v>1</v>
      </c>
      <c r="N291" s="56">
        <f>IF($C291="B",INDEX(Batters[[#All],[POW P]],MATCH(Table5[[#This Row],[PID]],Batters[[#All],[PID]],0)),INDEX(Table3[[#All],[CON P]],MATCH(Table5[[#This Row],[PID]],Table3[[#All],[PID]],0)))</f>
        <v>4</v>
      </c>
      <c r="O291" s="56" t="str">
        <f>IF($C291="B",INDEX(Batters[[#All],[EYE P]],MATCH(Table5[[#This Row],[PID]],Batters[[#All],[PID]],0)),INDEX(Table3[[#All],[VELO]],MATCH(Table5[[#This Row],[PID]],Table3[[#All],[PID]],0)))</f>
        <v>87-89 Mph</v>
      </c>
      <c r="P291" s="56">
        <f>IF($C291="B",INDEX(Batters[[#All],[K P]],MATCH(Table5[[#This Row],[PID]],Batters[[#All],[PID]],0)),INDEX(Table3[[#All],[STM]],MATCH(Table5[[#This Row],[PID]],Table3[[#All],[PID]],0)))</f>
        <v>8</v>
      </c>
      <c r="Q291" s="61">
        <f>IF($C291="B",INDEX(Batters[[#All],[Tot]],MATCH(Table5[[#This Row],[PID]],Batters[[#All],[PID]],0)),INDEX(Table3[[#All],[Tot]],MATCH(Table5[[#This Row],[PID]],Table3[[#All],[PID]],0)))</f>
        <v>40.493391596678293</v>
      </c>
      <c r="R291" s="52">
        <f>IF($C291="B",INDEX(Batters[[#All],[zScore]],MATCH(Table5[[#This Row],[PID]],Batters[[#All],[PID]],0)),INDEX(Table3[[#All],[zScore]],MATCH(Table5[[#This Row],[PID]],Table3[[#All],[PID]],0)))</f>
        <v>0.19766354627511917</v>
      </c>
      <c r="S291" s="58" t="str">
        <f>IF($C291="B",INDEX(Batters[[#All],[DEM]],MATCH(Table5[[#This Row],[PID]],Batters[[#All],[PID]],0)),INDEX(Table3[[#All],[DEM]],MATCH(Table5[[#This Row],[PID]],Table3[[#All],[PID]],0)))</f>
        <v>$65k</v>
      </c>
      <c r="T291" s="62">
        <f>IF($C291="B",INDEX(Batters[[#All],[Rnk]],MATCH(Table5[[#This Row],[PID]],Batters[[#All],[PID]],0)),INDEX(Table3[[#All],[Rnk]],MATCH(Table5[[#This Row],[PID]],Table3[[#All],[PID]],0)))</f>
        <v>900</v>
      </c>
      <c r="U291" s="67">
        <f>IF($C291="B",VLOOKUP($A291,Bat!$A$4:$BA$1314,47,FALSE),VLOOKUP($A291,Pit!$A$4:$BF$1214,56,FALSE))</f>
        <v>104</v>
      </c>
      <c r="V291" s="50">
        <f>IF($C291="B",VLOOKUP($A291,Bat!$A$4:$BA$1314,48,FALSE),VLOOKUP($A291,Pit!$A$4:$BF$1214,57,FALSE))</f>
        <v>0</v>
      </c>
      <c r="W291" s="68">
        <f>IF(Table5[[#This Row],[posRnk]]=999,9999,Table5[[#This Row],[posRnk]]+Table5[[#This Row],[zRnk]]+IF($W$3&lt;&gt;Table5[[#This Row],[Type]],50,0))</f>
        <v>1211</v>
      </c>
      <c r="X291" s="51">
        <f>RANK(Table5[[#This Row],[zScore]],Table5[[#All],[zScore]])</f>
        <v>311</v>
      </c>
      <c r="Y291" s="50">
        <f>IFERROR(INDEX(DraftResults[[#All],[OVR]],MATCH(Table5[[#This Row],[PID]],DraftResults[[#All],[Player ID]],0)),"")</f>
        <v>338</v>
      </c>
      <c r="Z291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11</v>
      </c>
      <c r="AA291" s="50">
        <f>IFERROR(INDEX(DraftResults[[#All],[Pick in Round]],MATCH(Table5[[#This Row],[PID]],DraftResults[[#All],[Player ID]],0)),"")</f>
        <v>7</v>
      </c>
      <c r="AB291" s="50" t="str">
        <f>IFERROR(INDEX(DraftResults[[#All],[Team Name]],MATCH(Table5[[#This Row],[PID]],DraftResults[[#All],[Player ID]],0)),"")</f>
        <v>Hartford Harpoon</v>
      </c>
      <c r="AC291" s="50">
        <f>IF(Table5[[#This Row],[Ovr]]="","",IF(Table5[[#This Row],[cmbList]]="","",Table5[[#This Row],[cmbList]]-Table5[[#This Row],[Ovr]]))</f>
        <v>873</v>
      </c>
      <c r="AD291" s="54" t="str">
        <f>IF(ISERROR(VLOOKUP($AB291&amp;"-"&amp;$E291&amp;" "&amp;F291,Bonuses!$B$1:$G$1006,4,FALSE)),"",INT(VLOOKUP($AB291&amp;"-"&amp;$E291&amp;" "&amp;$F291,Bonuses!$B$1:$G$1006,4,FALSE)))</f>
        <v/>
      </c>
      <c r="AE291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11.7 (338) - RP Corey Richardson</v>
      </c>
    </row>
    <row r="292" spans="1:31" s="50" customFormat="1" x14ac:dyDescent="0.3">
      <c r="A292" s="50">
        <v>20377</v>
      </c>
      <c r="B292" s="50">
        <f>COUNTIF(Table5[PID],A292)</f>
        <v>1</v>
      </c>
      <c r="C292" s="50" t="str">
        <f>IF(COUNTIF(Table3[[#All],[PID]],A292)&gt;0,"P","B")</f>
        <v>P</v>
      </c>
      <c r="D292" s="59" t="str">
        <f>IF($C292="B",INDEX(Batters[[#All],[POS]],MATCH(Table5[[#This Row],[PID]],Batters[[#All],[PID]],0)),INDEX(Table3[[#All],[POS]],MATCH(Table5[[#This Row],[PID]],Table3[[#All],[PID]],0)))</f>
        <v>SP</v>
      </c>
      <c r="E292" s="52" t="str">
        <f>IF($C292="B",INDEX(Batters[[#All],[First]],MATCH(Table5[[#This Row],[PID]],Batters[[#All],[PID]],0)),INDEX(Table3[[#All],[First]],MATCH(Table5[[#This Row],[PID]],Table3[[#All],[PID]],0)))</f>
        <v>Feheen</v>
      </c>
      <c r="F292" s="50" t="str">
        <f>IF($C292="B",INDEX(Batters[[#All],[Last]],MATCH(A292,Batters[[#All],[PID]],0)),INDEX(Table3[[#All],[Last]],MATCH(A292,Table3[[#All],[PID]],0)))</f>
        <v>Silversides</v>
      </c>
      <c r="G292" s="56">
        <f>IF($C292="B",INDEX(Batters[[#All],[Age]],MATCH(Table5[[#This Row],[PID]],Batters[[#All],[PID]],0)),INDEX(Table3[[#All],[Age]],MATCH(Table5[[#This Row],[PID]],Table3[[#All],[PID]],0)))</f>
        <v>16</v>
      </c>
      <c r="H292" s="52" t="str">
        <f>IF($C292="B",INDEX(Batters[[#All],[B]],MATCH(Table5[[#This Row],[PID]],Batters[[#All],[PID]],0)),INDEX(Table3[[#All],[B]],MATCH(Table5[[#This Row],[PID]],Table3[[#All],[PID]],0)))</f>
        <v>R</v>
      </c>
      <c r="I292" s="52" t="str">
        <f>IF($C292="B",INDEX(Batters[[#All],[T]],MATCH(Table5[[#This Row],[PID]],Batters[[#All],[PID]],0)),INDEX(Table3[[#All],[T]],MATCH(Table5[[#This Row],[PID]],Table3[[#All],[PID]],0)))</f>
        <v>R</v>
      </c>
      <c r="J292" s="52" t="str">
        <f>IF($C292="B",INDEX(Batters[[#All],[WE]],MATCH(Table5[[#This Row],[PID]],Batters[[#All],[PID]],0)),INDEX(Table3[[#All],[WE]],MATCH(Table5[[#This Row],[PID]],Table3[[#All],[PID]],0)))</f>
        <v>Normal</v>
      </c>
      <c r="K292" s="52" t="str">
        <f>IF($C292="B",INDEX(Batters[[#All],[INT]],MATCH(Table5[[#This Row],[PID]],Batters[[#All],[PID]],0)),INDEX(Table3[[#All],[INT]],MATCH(Table5[[#This Row],[PID]],Table3[[#All],[PID]],0)))</f>
        <v>Normal</v>
      </c>
      <c r="L292" s="60">
        <f>IF($C292="B",INDEX(Batters[[#All],[CON P]],MATCH(Table5[[#This Row],[PID]],Batters[[#All],[PID]],0)),INDEX(Table3[[#All],[STU P]],MATCH(Table5[[#This Row],[PID]],Table3[[#All],[PID]],0)))</f>
        <v>5</v>
      </c>
      <c r="M292" s="56">
        <f>IF($C292="B",INDEX(Batters[[#All],[GAP P]],MATCH(Table5[[#This Row],[PID]],Batters[[#All],[PID]],0)),INDEX(Table3[[#All],[MOV P]],MATCH(Table5[[#This Row],[PID]],Table3[[#All],[PID]],0)))</f>
        <v>1</v>
      </c>
      <c r="N292" s="56">
        <f>IF($C292="B",INDEX(Batters[[#All],[POW P]],MATCH(Table5[[#This Row],[PID]],Batters[[#All],[PID]],0)),INDEX(Table3[[#All],[CON P]],MATCH(Table5[[#This Row],[PID]],Table3[[#All],[PID]],0)))</f>
        <v>4</v>
      </c>
      <c r="O292" s="56" t="str">
        <f>IF($C292="B",INDEX(Batters[[#All],[EYE P]],MATCH(Table5[[#This Row],[PID]],Batters[[#All],[PID]],0)),INDEX(Table3[[#All],[VELO]],MATCH(Table5[[#This Row],[PID]],Table3[[#All],[PID]],0)))</f>
        <v>92-94 Mph</v>
      </c>
      <c r="P292" s="56">
        <f>IF($C292="B",INDEX(Batters[[#All],[K P]],MATCH(Table5[[#This Row],[PID]],Batters[[#All],[PID]],0)),INDEX(Table3[[#All],[STM]],MATCH(Table5[[#This Row],[PID]],Table3[[#All],[PID]],0)))</f>
        <v>9</v>
      </c>
      <c r="Q292" s="61">
        <f>IF($C292="B",INDEX(Batters[[#All],[Tot]],MATCH(Table5[[#This Row],[PID]],Batters[[#All],[PID]],0)),INDEX(Table3[[#All],[Tot]],MATCH(Table5[[#This Row],[PID]],Table3[[#All],[PID]],0)))</f>
        <v>40.532329861580124</v>
      </c>
      <c r="R292" s="52">
        <f>IF($C292="B",INDEX(Batters[[#All],[zScore]],MATCH(Table5[[#This Row],[PID]],Batters[[#All],[PID]],0)),INDEX(Table3[[#All],[zScore]],MATCH(Table5[[#This Row],[PID]],Table3[[#All],[PID]],0)))</f>
        <v>0.19437720368215519</v>
      </c>
      <c r="S292" s="58" t="str">
        <f>IF($C292="B",INDEX(Batters[[#All],[DEM]],MATCH(Table5[[#This Row],[PID]],Batters[[#All],[PID]],0)),INDEX(Table3[[#All],[DEM]],MATCH(Table5[[#This Row],[PID]],Table3[[#All],[PID]],0)))</f>
        <v>$70k</v>
      </c>
      <c r="T292" s="62">
        <f>IF($C292="B",INDEX(Batters[[#All],[Rnk]],MATCH(Table5[[#This Row],[PID]],Batters[[#All],[PID]],0)),INDEX(Table3[[#All],[Rnk]],MATCH(Table5[[#This Row],[PID]],Table3[[#All],[PID]],0)))</f>
        <v>900</v>
      </c>
      <c r="U292" s="67">
        <f>IF($C292="B",VLOOKUP($A292,Bat!$A$4:$BA$1314,47,FALSE),VLOOKUP($A292,Pit!$A$4:$BF$1214,56,FALSE))</f>
        <v>105</v>
      </c>
      <c r="V292" s="50">
        <f>IF($C292="B",VLOOKUP($A292,Bat!$A$4:$BA$1314,48,FALSE),VLOOKUP($A292,Pit!$A$4:$BF$1214,57,FALSE))</f>
        <v>0</v>
      </c>
      <c r="W292" s="68">
        <f>IF(Table5[[#This Row],[posRnk]]=999,9999,Table5[[#This Row],[posRnk]]+Table5[[#This Row],[zRnk]]+IF($W$3&lt;&gt;Table5[[#This Row],[Type]],50,0))</f>
        <v>1212</v>
      </c>
      <c r="X292" s="51">
        <f>RANK(Table5[[#This Row],[zScore]],Table5[[#All],[zScore]])</f>
        <v>312</v>
      </c>
      <c r="Y292" s="50">
        <f>IFERROR(INDEX(DraftResults[[#All],[OVR]],MATCH(Table5[[#This Row],[PID]],DraftResults[[#All],[Player ID]],0)),"")</f>
        <v>249</v>
      </c>
      <c r="Z292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8</v>
      </c>
      <c r="AA292" s="50">
        <f>IFERROR(INDEX(DraftResults[[#All],[Pick in Round]],MATCH(Table5[[#This Row],[PID]],DraftResults[[#All],[Player ID]],0)),"")</f>
        <v>16</v>
      </c>
      <c r="AB292" s="50" t="str">
        <f>IFERROR(INDEX(DraftResults[[#All],[Team Name]],MATCH(Table5[[#This Row],[PID]],DraftResults[[#All],[Player ID]],0)),"")</f>
        <v>Madison Malts</v>
      </c>
      <c r="AC292" s="50">
        <f>IF(Table5[[#This Row],[Ovr]]="","",IF(Table5[[#This Row],[cmbList]]="","",Table5[[#This Row],[cmbList]]-Table5[[#This Row],[Ovr]]))</f>
        <v>963</v>
      </c>
      <c r="AD292" s="54" t="str">
        <f>IF(ISERROR(VLOOKUP($AB292&amp;"-"&amp;$E292&amp;" "&amp;F292,Bonuses!$B$1:$G$1006,4,FALSE)),"",INT(VLOOKUP($AB292&amp;"-"&amp;$E292&amp;" "&amp;$F292,Bonuses!$B$1:$G$1006,4,FALSE)))</f>
        <v/>
      </c>
      <c r="AE292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8.16 (249) - SP Feheen Silversides</v>
      </c>
    </row>
    <row r="293" spans="1:31" s="50" customFormat="1" x14ac:dyDescent="0.3">
      <c r="A293" s="50">
        <v>13140</v>
      </c>
      <c r="B293" s="50">
        <f>COUNTIF(Table5[PID],A293)</f>
        <v>1</v>
      </c>
      <c r="C293" s="50" t="str">
        <f>IF(COUNTIF(Table3[[#All],[PID]],A293)&gt;0,"P","B")</f>
        <v>B</v>
      </c>
      <c r="D293" s="59" t="str">
        <f>IF($C293="B",INDEX(Batters[[#All],[POS]],MATCH(Table5[[#This Row],[PID]],Batters[[#All],[PID]],0)),INDEX(Table3[[#All],[POS]],MATCH(Table5[[#This Row],[PID]],Table3[[#All],[PID]],0)))</f>
        <v>2B</v>
      </c>
      <c r="E293" s="52" t="str">
        <f>IF($C293="B",INDEX(Batters[[#All],[First]],MATCH(Table5[[#This Row],[PID]],Batters[[#All],[PID]],0)),INDEX(Table3[[#All],[First]],MATCH(Table5[[#This Row],[PID]],Table3[[#All],[PID]],0)))</f>
        <v>Clyde</v>
      </c>
      <c r="F293" s="50" t="str">
        <f>IF($C293="B",INDEX(Batters[[#All],[Last]],MATCH(A293,Batters[[#All],[PID]],0)),INDEX(Table3[[#All],[Last]],MATCH(A293,Table3[[#All],[PID]],0)))</f>
        <v>Hewer</v>
      </c>
      <c r="G293" s="56">
        <f>IF($C293="B",INDEX(Batters[[#All],[Age]],MATCH(Table5[[#This Row],[PID]],Batters[[#All],[PID]],0)),INDEX(Table3[[#All],[Age]],MATCH(Table5[[#This Row],[PID]],Table3[[#All],[PID]],0)))</f>
        <v>18</v>
      </c>
      <c r="H293" s="52" t="str">
        <f>IF($C293="B",INDEX(Batters[[#All],[B]],MATCH(Table5[[#This Row],[PID]],Batters[[#All],[PID]],0)),INDEX(Table3[[#All],[B]],MATCH(Table5[[#This Row],[PID]],Table3[[#All],[PID]],0)))</f>
        <v>R</v>
      </c>
      <c r="I293" s="52" t="str">
        <f>IF($C293="B",INDEX(Batters[[#All],[T]],MATCH(Table5[[#This Row],[PID]],Batters[[#All],[PID]],0)),INDEX(Table3[[#All],[T]],MATCH(Table5[[#This Row],[PID]],Table3[[#All],[PID]],0)))</f>
        <v>R</v>
      </c>
      <c r="J293" s="52" t="str">
        <f>IF($C293="B",INDEX(Batters[[#All],[WE]],MATCH(Table5[[#This Row],[PID]],Batters[[#All],[PID]],0)),INDEX(Table3[[#All],[WE]],MATCH(Table5[[#This Row],[PID]],Table3[[#All],[PID]],0)))</f>
        <v>High</v>
      </c>
      <c r="K293" s="52" t="str">
        <f>IF($C293="B",INDEX(Batters[[#All],[INT]],MATCH(Table5[[#This Row],[PID]],Batters[[#All],[PID]],0)),INDEX(Table3[[#All],[INT]],MATCH(Table5[[#This Row],[PID]],Table3[[#All],[PID]],0)))</f>
        <v>Normal</v>
      </c>
      <c r="L293" s="60">
        <f>IF($C293="B",INDEX(Batters[[#All],[CON P]],MATCH(Table5[[#This Row],[PID]],Batters[[#All],[PID]],0)),INDEX(Table3[[#All],[STU P]],MATCH(Table5[[#This Row],[PID]],Table3[[#All],[PID]],0)))</f>
        <v>3</v>
      </c>
      <c r="M293" s="56">
        <f>IF($C293="B",INDEX(Batters[[#All],[GAP P]],MATCH(Table5[[#This Row],[PID]],Batters[[#All],[PID]],0)),INDEX(Table3[[#All],[MOV P]],MATCH(Table5[[#This Row],[PID]],Table3[[#All],[PID]],0)))</f>
        <v>4</v>
      </c>
      <c r="N293" s="56">
        <f>IF($C293="B",INDEX(Batters[[#All],[POW P]],MATCH(Table5[[#This Row],[PID]],Batters[[#All],[PID]],0)),INDEX(Table3[[#All],[CON P]],MATCH(Table5[[#This Row],[PID]],Table3[[#All],[PID]],0)))</f>
        <v>4</v>
      </c>
      <c r="O293" s="56">
        <f>IF($C293="B",INDEX(Batters[[#All],[EYE P]],MATCH(Table5[[#This Row],[PID]],Batters[[#All],[PID]],0)),INDEX(Table3[[#All],[VELO]],MATCH(Table5[[#This Row],[PID]],Table3[[#All],[PID]],0)))</f>
        <v>6</v>
      </c>
      <c r="P293" s="56">
        <f>IF($C293="B",INDEX(Batters[[#All],[K P]],MATCH(Table5[[#This Row],[PID]],Batters[[#All],[PID]],0)),INDEX(Table3[[#All],[STM]],MATCH(Table5[[#This Row],[PID]],Table3[[#All],[PID]],0)))</f>
        <v>4</v>
      </c>
      <c r="Q293" s="61">
        <f>IF($C293="B",INDEX(Batters[[#All],[Tot]],MATCH(Table5[[#This Row],[PID]],Batters[[#All],[PID]],0)),INDEX(Table3[[#All],[Tot]],MATCH(Table5[[#This Row],[PID]],Table3[[#All],[PID]],0)))</f>
        <v>44.530054994787321</v>
      </c>
      <c r="R293" s="52">
        <f>IF($C293="B",INDEX(Batters[[#All],[zScore]],MATCH(Table5[[#This Row],[PID]],Batters[[#All],[PID]],0)),INDEX(Table3[[#All],[zScore]],MATCH(Table5[[#This Row],[PID]],Table3[[#All],[PID]],0)))</f>
        <v>0.19144658145259211</v>
      </c>
      <c r="S293" s="58" t="str">
        <f>IF($C293="B",INDEX(Batters[[#All],[DEM]],MATCH(Table5[[#This Row],[PID]],Batters[[#All],[PID]],0)),INDEX(Table3[[#All],[DEM]],MATCH(Table5[[#This Row],[PID]],Table3[[#All],[PID]],0)))</f>
        <v>$190k</v>
      </c>
      <c r="T293" s="62">
        <f>IF($C293="B",INDEX(Batters[[#All],[Rnk]],MATCH(Table5[[#This Row],[PID]],Batters[[#All],[PID]],0)),INDEX(Table3[[#All],[Rnk]],MATCH(Table5[[#This Row],[PID]],Table3[[#All],[PID]],0)))</f>
        <v>900</v>
      </c>
      <c r="U293" s="67">
        <f>IF($C293="B",VLOOKUP($A293,Bat!$A$4:$BA$1314,47,FALSE),VLOOKUP($A293,Pit!$A$4:$BF$1214,56,FALSE))</f>
        <v>149</v>
      </c>
      <c r="V293" s="50">
        <f>IF($C293="B",VLOOKUP($A293,Bat!$A$4:$BA$1314,48,FALSE),VLOOKUP($A293,Pit!$A$4:$BF$1214,57,FALSE))</f>
        <v>0</v>
      </c>
      <c r="W293" s="68">
        <f>IF(Table5[[#This Row],[posRnk]]=999,9999,Table5[[#This Row],[posRnk]]+Table5[[#This Row],[zRnk]]+IF($W$3&lt;&gt;Table5[[#This Row],[Type]],50,0))</f>
        <v>1264</v>
      </c>
      <c r="X293" s="51">
        <f>RANK(Table5[[#This Row],[zScore]],Table5[[#All],[zScore]])</f>
        <v>314</v>
      </c>
      <c r="Y293" s="50">
        <f>IFERROR(INDEX(DraftResults[[#All],[OVR]],MATCH(Table5[[#This Row],[PID]],DraftResults[[#All],[Player ID]],0)),"")</f>
        <v>226</v>
      </c>
      <c r="Z293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7</v>
      </c>
      <c r="AA293" s="50">
        <f>IFERROR(INDEX(DraftResults[[#All],[Pick in Round]],MATCH(Table5[[#This Row],[PID]],DraftResults[[#All],[Player ID]],0)),"")</f>
        <v>25</v>
      </c>
      <c r="AB293" s="50" t="str">
        <f>IFERROR(INDEX(DraftResults[[#All],[Team Name]],MATCH(Table5[[#This Row],[PID]],DraftResults[[#All],[Player ID]],0)),"")</f>
        <v>Kalamazoo Badgers</v>
      </c>
      <c r="AC293" s="50">
        <f>IF(Table5[[#This Row],[Ovr]]="","",IF(Table5[[#This Row],[cmbList]]="","",Table5[[#This Row],[cmbList]]-Table5[[#This Row],[Ovr]]))</f>
        <v>1038</v>
      </c>
      <c r="AD293" s="54" t="str">
        <f>IF(ISERROR(VLOOKUP($AB293&amp;"-"&amp;$E293&amp;" "&amp;F293,Bonuses!$B$1:$G$1006,4,FALSE)),"",INT(VLOOKUP($AB293&amp;"-"&amp;$E293&amp;" "&amp;$F293,Bonuses!$B$1:$G$1006,4,FALSE)))</f>
        <v/>
      </c>
      <c r="AE293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7.25 (226) - 2B Clyde Hewer</v>
      </c>
    </row>
    <row r="294" spans="1:31" s="50" customFormat="1" x14ac:dyDescent="0.3">
      <c r="A294" s="67">
        <v>11384</v>
      </c>
      <c r="B294" s="68">
        <f>COUNTIF(Table5[PID],A294)</f>
        <v>1</v>
      </c>
      <c r="C294" s="68" t="str">
        <f>IF(COUNTIF(Table3[[#All],[PID]],A294)&gt;0,"P","B")</f>
        <v>B</v>
      </c>
      <c r="D294" s="59" t="str">
        <f>IF($C294="B",INDEX(Batters[[#All],[POS]],MATCH(Table5[[#This Row],[PID]],Batters[[#All],[PID]],0)),INDEX(Table3[[#All],[POS]],MATCH(Table5[[#This Row],[PID]],Table3[[#All],[PID]],0)))</f>
        <v>1B</v>
      </c>
      <c r="E294" s="52" t="str">
        <f>IF($C294="B",INDEX(Batters[[#All],[First]],MATCH(Table5[[#This Row],[PID]],Batters[[#All],[PID]],0)),INDEX(Table3[[#All],[First]],MATCH(Table5[[#This Row],[PID]],Table3[[#All],[PID]],0)))</f>
        <v>José</v>
      </c>
      <c r="F294" s="55" t="str">
        <f>IF($C294="B",INDEX(Batters[[#All],[Last]],MATCH(A294,Batters[[#All],[PID]],0)),INDEX(Table3[[#All],[Last]],MATCH(A294,Table3[[#All],[PID]],0)))</f>
        <v>Flores</v>
      </c>
      <c r="G294" s="56">
        <f>IF($C294="B",INDEX(Batters[[#All],[Age]],MATCH(Table5[[#This Row],[PID]],Batters[[#All],[PID]],0)),INDEX(Table3[[#All],[Age]],MATCH(Table5[[#This Row],[PID]],Table3[[#All],[PID]],0)))</f>
        <v>17</v>
      </c>
      <c r="H294" s="52" t="str">
        <f>IF($C294="B",INDEX(Batters[[#All],[B]],MATCH(Table5[[#This Row],[PID]],Batters[[#All],[PID]],0)),INDEX(Table3[[#All],[B]],MATCH(Table5[[#This Row],[PID]],Table3[[#All],[PID]],0)))</f>
        <v>L</v>
      </c>
      <c r="I294" s="52" t="str">
        <f>IF($C294="B",INDEX(Batters[[#All],[T]],MATCH(Table5[[#This Row],[PID]],Batters[[#All],[PID]],0)),INDEX(Table3[[#All],[T]],MATCH(Table5[[#This Row],[PID]],Table3[[#All],[PID]],0)))</f>
        <v>L</v>
      </c>
      <c r="J294" s="69" t="str">
        <f>IF($C294="B",INDEX(Batters[[#All],[WE]],MATCH(Table5[[#This Row],[PID]],Batters[[#All],[PID]],0)),INDEX(Table3[[#All],[WE]],MATCH(Table5[[#This Row],[PID]],Table3[[#All],[PID]],0)))</f>
        <v>Low</v>
      </c>
      <c r="K294" s="52" t="str">
        <f>IF($C294="B",INDEX(Batters[[#All],[INT]],MATCH(Table5[[#This Row],[PID]],Batters[[#All],[PID]],0)),INDEX(Table3[[#All],[INT]],MATCH(Table5[[#This Row],[PID]],Table3[[#All],[PID]],0)))</f>
        <v>Normal</v>
      </c>
      <c r="L294" s="60">
        <f>IF($C294="B",INDEX(Batters[[#All],[CON P]],MATCH(Table5[[#This Row],[PID]],Batters[[#All],[PID]],0)),INDEX(Table3[[#All],[STU P]],MATCH(Table5[[#This Row],[PID]],Table3[[#All],[PID]],0)))</f>
        <v>4</v>
      </c>
      <c r="M294" s="70">
        <f>IF($C294="B",INDEX(Batters[[#All],[GAP P]],MATCH(Table5[[#This Row],[PID]],Batters[[#All],[PID]],0)),INDEX(Table3[[#All],[MOV P]],MATCH(Table5[[#This Row],[PID]],Table3[[#All],[PID]],0)))</f>
        <v>4</v>
      </c>
      <c r="N294" s="70">
        <f>IF($C294="B",INDEX(Batters[[#All],[POW P]],MATCH(Table5[[#This Row],[PID]],Batters[[#All],[PID]],0)),INDEX(Table3[[#All],[CON P]],MATCH(Table5[[#This Row],[PID]],Table3[[#All],[PID]],0)))</f>
        <v>3</v>
      </c>
      <c r="O294" s="70">
        <f>IF($C294="B",INDEX(Batters[[#All],[EYE P]],MATCH(Table5[[#This Row],[PID]],Batters[[#All],[PID]],0)),INDEX(Table3[[#All],[VELO]],MATCH(Table5[[#This Row],[PID]],Table3[[#All],[PID]],0)))</f>
        <v>4</v>
      </c>
      <c r="P294" s="56">
        <f>IF($C294="B",INDEX(Batters[[#All],[K P]],MATCH(Table5[[#This Row],[PID]],Batters[[#All],[PID]],0)),INDEX(Table3[[#All],[STM]],MATCH(Table5[[#This Row],[PID]],Table3[[#All],[PID]],0)))</f>
        <v>5</v>
      </c>
      <c r="Q294" s="61">
        <f>IF($C294="B",INDEX(Batters[[#All],[Tot]],MATCH(Table5[[#This Row],[PID]],Batters[[#All],[PID]],0)),INDEX(Table3[[#All],[Tot]],MATCH(Table5[[#This Row],[PID]],Table3[[#All],[PID]],0)))</f>
        <v>45.275574219751725</v>
      </c>
      <c r="R294" s="52">
        <f>IF($C294="B",INDEX(Batters[[#All],[zScore]],MATCH(Table5[[#This Row],[PID]],Batters[[#All],[PID]],0)),INDEX(Table3[[#All],[zScore]],MATCH(Table5[[#This Row],[PID]],Table3[[#All],[PID]],0)))</f>
        <v>0.30026861342625605</v>
      </c>
      <c r="S294" s="75" t="str">
        <f>IF($C294="B",INDEX(Batters[[#All],[DEM]],MATCH(Table5[[#This Row],[PID]],Batters[[#All],[PID]],0)),INDEX(Table3[[#All],[DEM]],MATCH(Table5[[#This Row],[PID]],Table3[[#All],[PID]],0)))</f>
        <v>$38k</v>
      </c>
      <c r="T294" s="72">
        <f>IF($C294="B",INDEX(Batters[[#All],[Rnk]],MATCH(Table5[[#This Row],[PID]],Batters[[#All],[PID]],0)),INDEX(Table3[[#All],[Rnk]],MATCH(Table5[[#This Row],[PID]],Table3[[#All],[PID]],0)))</f>
        <v>930</v>
      </c>
      <c r="U294" s="67">
        <f>IF($C294="B",VLOOKUP($A294,Bat!$A$4:$BA$1314,47,FALSE),VLOOKUP($A294,Pit!$A$4:$BF$1214,56,FALSE))</f>
        <v>312</v>
      </c>
      <c r="V294" s="50">
        <f>IF($C294="B",VLOOKUP($A294,Bat!$A$4:$BA$1314,48,FALSE),VLOOKUP($A294,Pit!$A$4:$BF$1214,57,FALSE))</f>
        <v>0</v>
      </c>
      <c r="W294" s="68">
        <f>IF(Table5[[#This Row],[posRnk]]=999,9999,Table5[[#This Row],[posRnk]]+Table5[[#This Row],[zRnk]]+IF($W$3&lt;&gt;Table5[[#This Row],[Type]],50,0))</f>
        <v>1264</v>
      </c>
      <c r="X294" s="71">
        <f>RANK(Table5[[#This Row],[zScore]],Table5[[#All],[zScore]])</f>
        <v>284</v>
      </c>
      <c r="Y294" s="68">
        <f>IFERROR(INDEX(DraftResults[[#All],[OVR]],MATCH(Table5[[#This Row],[PID]],DraftResults[[#All],[Player ID]],0)),"")</f>
        <v>665</v>
      </c>
      <c r="Z294" s="7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20</v>
      </c>
      <c r="AA294" s="68">
        <f>IFERROR(INDEX(DraftResults[[#All],[Pick in Round]],MATCH(Table5[[#This Row],[PID]],DraftResults[[#All],[Player ID]],0)),"")</f>
        <v>28</v>
      </c>
      <c r="AB294" s="68" t="str">
        <f>IFERROR(INDEX(DraftResults[[#All],[Team Name]],MATCH(Table5[[#This Row],[PID]],DraftResults[[#All],[Player ID]],0)),"")</f>
        <v>Amsterdam Lions</v>
      </c>
      <c r="AC294" s="68">
        <f>IF(Table5[[#This Row],[Ovr]]="","",IF(Table5[[#This Row],[cmbList]]="","",Table5[[#This Row],[cmbList]]-Table5[[#This Row],[Ovr]]))</f>
        <v>599</v>
      </c>
      <c r="AD294" s="74" t="str">
        <f>IF(ISERROR(VLOOKUP($AB294&amp;"-"&amp;$E294&amp;" "&amp;F294,Bonuses!$B$1:$G$1006,4,FALSE)),"",INT(VLOOKUP($AB294&amp;"-"&amp;$E294&amp;" "&amp;$F294,Bonuses!$B$1:$G$1006,4,FALSE)))</f>
        <v/>
      </c>
      <c r="AE294" s="68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20.28 (665) - 1B José Flores</v>
      </c>
    </row>
    <row r="295" spans="1:31" s="50" customFormat="1" x14ac:dyDescent="0.3">
      <c r="A295" s="50">
        <v>20288</v>
      </c>
      <c r="B295" s="50">
        <f>COUNTIF(Table5[PID],A295)</f>
        <v>1</v>
      </c>
      <c r="C295" s="50" t="str">
        <f>IF(COUNTIF(Table3[[#All],[PID]],A295)&gt;0,"P","B")</f>
        <v>B</v>
      </c>
      <c r="D295" s="59" t="str">
        <f>IF($C295="B",INDEX(Batters[[#All],[POS]],MATCH(Table5[[#This Row],[PID]],Batters[[#All],[PID]],0)),INDEX(Table3[[#All],[POS]],MATCH(Table5[[#This Row],[PID]],Table3[[#All],[PID]],0)))</f>
        <v>1B</v>
      </c>
      <c r="E295" s="52" t="str">
        <f>IF($C295="B",INDEX(Batters[[#All],[First]],MATCH(Table5[[#This Row],[PID]],Batters[[#All],[PID]],0)),INDEX(Table3[[#All],[First]],MATCH(Table5[[#This Row],[PID]],Table3[[#All],[PID]],0)))</f>
        <v>Rhys</v>
      </c>
      <c r="F295" s="50" t="str">
        <f>IF($C295="B",INDEX(Batters[[#All],[Last]],MATCH(A295,Batters[[#All],[PID]],0)),INDEX(Table3[[#All],[Last]],MATCH(A295,Table3[[#All],[PID]],0)))</f>
        <v>Whinnett</v>
      </c>
      <c r="G295" s="56">
        <f>IF($C295="B",INDEX(Batters[[#All],[Age]],MATCH(Table5[[#This Row],[PID]],Batters[[#All],[PID]],0)),INDEX(Table3[[#All],[Age]],MATCH(Table5[[#This Row],[PID]],Table3[[#All],[PID]],0)))</f>
        <v>21</v>
      </c>
      <c r="H295" s="52" t="str">
        <f>IF($C295="B",INDEX(Batters[[#All],[B]],MATCH(Table5[[#This Row],[PID]],Batters[[#All],[PID]],0)),INDEX(Table3[[#All],[B]],MATCH(Table5[[#This Row],[PID]],Table3[[#All],[PID]],0)))</f>
        <v>R</v>
      </c>
      <c r="I295" s="52" t="str">
        <f>IF($C295="B",INDEX(Batters[[#All],[T]],MATCH(Table5[[#This Row],[PID]],Batters[[#All],[PID]],0)),INDEX(Table3[[#All],[T]],MATCH(Table5[[#This Row],[PID]],Table3[[#All],[PID]],0)))</f>
        <v>R</v>
      </c>
      <c r="J295" s="52" t="str">
        <f>IF($C295="B",INDEX(Batters[[#All],[WE]],MATCH(Table5[[#This Row],[PID]],Batters[[#All],[PID]],0)),INDEX(Table3[[#All],[WE]],MATCH(Table5[[#This Row],[PID]],Table3[[#All],[PID]],0)))</f>
        <v>Low</v>
      </c>
      <c r="K295" s="52" t="str">
        <f>IF($C295="B",INDEX(Batters[[#All],[INT]],MATCH(Table5[[#This Row],[PID]],Batters[[#All],[PID]],0)),INDEX(Table3[[#All],[INT]],MATCH(Table5[[#This Row],[PID]],Table3[[#All],[PID]],0)))</f>
        <v>Low</v>
      </c>
      <c r="L295" s="60">
        <f>IF($C295="B",INDEX(Batters[[#All],[CON P]],MATCH(Table5[[#This Row],[PID]],Batters[[#All],[PID]],0)),INDEX(Table3[[#All],[STU P]],MATCH(Table5[[#This Row],[PID]],Table3[[#All],[PID]],0)))</f>
        <v>4</v>
      </c>
      <c r="M295" s="56">
        <f>IF($C295="B",INDEX(Batters[[#All],[GAP P]],MATCH(Table5[[#This Row],[PID]],Batters[[#All],[PID]],0)),INDEX(Table3[[#All],[MOV P]],MATCH(Table5[[#This Row],[PID]],Table3[[#All],[PID]],0)))</f>
        <v>7</v>
      </c>
      <c r="N295" s="56">
        <f>IF($C295="B",INDEX(Batters[[#All],[POW P]],MATCH(Table5[[#This Row],[PID]],Batters[[#All],[PID]],0)),INDEX(Table3[[#All],[CON P]],MATCH(Table5[[#This Row],[PID]],Table3[[#All],[PID]],0)))</f>
        <v>7</v>
      </c>
      <c r="O295" s="56">
        <f>IF($C295="B",INDEX(Batters[[#All],[EYE P]],MATCH(Table5[[#This Row],[PID]],Batters[[#All],[PID]],0)),INDEX(Table3[[#All],[VELO]],MATCH(Table5[[#This Row],[PID]],Table3[[#All],[PID]],0)))</f>
        <v>5</v>
      </c>
      <c r="P295" s="56">
        <f>IF($C295="B",INDEX(Batters[[#All],[K P]],MATCH(Table5[[#This Row],[PID]],Batters[[#All],[PID]],0)),INDEX(Table3[[#All],[STM]],MATCH(Table5[[#This Row],[PID]],Table3[[#All],[PID]],0)))</f>
        <v>3</v>
      </c>
      <c r="Q295" s="61">
        <f>IF($C295="B",INDEX(Batters[[#All],[Tot]],MATCH(Table5[[#This Row],[PID]],Batters[[#All],[PID]],0)),INDEX(Table3[[#All],[Tot]],MATCH(Table5[[#This Row],[PID]],Table3[[#All],[PID]],0)))</f>
        <v>45.726329909225349</v>
      </c>
      <c r="R295" s="52">
        <f>IF($C295="B",INDEX(Batters[[#All],[zScore]],MATCH(Table5[[#This Row],[PID]],Batters[[#All],[PID]],0)),INDEX(Table3[[#All],[zScore]],MATCH(Table5[[#This Row],[PID]],Table3[[#All],[PID]],0)))</f>
        <v>0.36606456933141956</v>
      </c>
      <c r="S295" s="58" t="str">
        <f>IF($C295="B",INDEX(Batters[[#All],[DEM]],MATCH(Table5[[#This Row],[PID]],Batters[[#All],[PID]],0)),INDEX(Table3[[#All],[DEM]],MATCH(Table5[[#This Row],[PID]],Table3[[#All],[PID]],0)))</f>
        <v>$180k</v>
      </c>
      <c r="T295" s="62">
        <f>IF($C295="B",INDEX(Batters[[#All],[Rnk]],MATCH(Table5[[#This Row],[PID]],Batters[[#All],[PID]],0)),INDEX(Table3[[#All],[Rnk]],MATCH(Table5[[#This Row],[PID]],Table3[[#All],[PID]],0)))</f>
        <v>950</v>
      </c>
      <c r="U295" s="67">
        <f>IF($C295="B",VLOOKUP($A295,Bat!$A$4:$BA$1314,47,FALSE),VLOOKUP($A295,Pit!$A$4:$BF$1214,56,FALSE))</f>
        <v>430</v>
      </c>
      <c r="V295" s="50">
        <f>IF($C295="B",VLOOKUP($A295,Bat!$A$4:$BA$1314,48,FALSE),VLOOKUP($A295,Pit!$A$4:$BF$1214,57,FALSE))</f>
        <v>0</v>
      </c>
      <c r="W295" s="68">
        <f>IF(Table5[[#This Row],[posRnk]]=999,9999,Table5[[#This Row],[posRnk]]+Table5[[#This Row],[zRnk]]+IF($W$3&lt;&gt;Table5[[#This Row],[Type]],50,0))</f>
        <v>1264</v>
      </c>
      <c r="X295" s="51">
        <f>RANK(Table5[[#This Row],[zScore]],Table5[[#All],[zScore]])</f>
        <v>264</v>
      </c>
      <c r="Y295" s="50">
        <f>IFERROR(INDEX(DraftResults[[#All],[OVR]],MATCH(Table5[[#This Row],[PID]],DraftResults[[#All],[Player ID]],0)),"")</f>
        <v>124</v>
      </c>
      <c r="Z295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4</v>
      </c>
      <c r="AA295" s="50">
        <f>IFERROR(INDEX(DraftResults[[#All],[Pick in Round]],MATCH(Table5[[#This Row],[PID]],DraftResults[[#All],[Player ID]],0)),"")</f>
        <v>19</v>
      </c>
      <c r="AB295" s="50" t="str">
        <f>IFERROR(INDEX(DraftResults[[#All],[Team Name]],MATCH(Table5[[#This Row],[PID]],DraftResults[[#All],[Player ID]],0)),"")</f>
        <v>Fargo Dinosaurs</v>
      </c>
      <c r="AC295" s="50">
        <f>IF(Table5[[#This Row],[Ovr]]="","",IF(Table5[[#This Row],[cmbList]]="","",Table5[[#This Row],[cmbList]]-Table5[[#This Row],[Ovr]]))</f>
        <v>1140</v>
      </c>
      <c r="AD295" s="54" t="str">
        <f>IF(ISERROR(VLOOKUP($AB295&amp;"-"&amp;$E295&amp;" "&amp;F295,Bonuses!$B$1:$G$1006,4,FALSE)),"",INT(VLOOKUP($AB295&amp;"-"&amp;$E295&amp;" "&amp;$F295,Bonuses!$B$1:$G$1006,4,FALSE)))</f>
        <v/>
      </c>
      <c r="AE295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4.19 (124) - 1B Rhys Whinnett</v>
      </c>
    </row>
    <row r="296" spans="1:31" s="50" customFormat="1" x14ac:dyDescent="0.3">
      <c r="A296" s="67">
        <v>20996</v>
      </c>
      <c r="B296" s="68">
        <f>COUNTIF(Table5[PID],A296)</f>
        <v>1</v>
      </c>
      <c r="C296" s="68" t="str">
        <f>IF(COUNTIF(Table3[[#All],[PID]],A296)&gt;0,"P","B")</f>
        <v>B</v>
      </c>
      <c r="D296" s="59" t="str">
        <f>IF($C296="B",INDEX(Batters[[#All],[POS]],MATCH(Table5[[#This Row],[PID]],Batters[[#All],[PID]],0)),INDEX(Table3[[#All],[POS]],MATCH(Table5[[#This Row],[PID]],Table3[[#All],[PID]],0)))</f>
        <v>RF</v>
      </c>
      <c r="E296" s="52" t="str">
        <f>IF($C296="B",INDEX(Batters[[#All],[First]],MATCH(Table5[[#This Row],[PID]],Batters[[#All],[PID]],0)),INDEX(Table3[[#All],[First]],MATCH(Table5[[#This Row],[PID]],Table3[[#All],[PID]],0)))</f>
        <v>Philip</v>
      </c>
      <c r="F296" s="55" t="str">
        <f>IF($C296="B",INDEX(Batters[[#All],[Last]],MATCH(A296,Batters[[#All],[PID]],0)),INDEX(Table3[[#All],[Last]],MATCH(A296,Table3[[#All],[PID]],0)))</f>
        <v>Fuller</v>
      </c>
      <c r="G296" s="56">
        <f>IF($C296="B",INDEX(Batters[[#All],[Age]],MATCH(Table5[[#This Row],[PID]],Batters[[#All],[PID]],0)),INDEX(Table3[[#All],[Age]],MATCH(Table5[[#This Row],[PID]],Table3[[#All],[PID]],0)))</f>
        <v>17</v>
      </c>
      <c r="H296" s="52" t="str">
        <f>IF($C296="B",INDEX(Batters[[#All],[B]],MATCH(Table5[[#This Row],[PID]],Batters[[#All],[PID]],0)),INDEX(Table3[[#All],[B]],MATCH(Table5[[#This Row],[PID]],Table3[[#All],[PID]],0)))</f>
        <v>R</v>
      </c>
      <c r="I296" s="52" t="str">
        <f>IF($C296="B",INDEX(Batters[[#All],[T]],MATCH(Table5[[#This Row],[PID]],Batters[[#All],[PID]],0)),INDEX(Table3[[#All],[T]],MATCH(Table5[[#This Row],[PID]],Table3[[#All],[PID]],0)))</f>
        <v>R</v>
      </c>
      <c r="J296" s="69" t="str">
        <f>IF($C296="B",INDEX(Batters[[#All],[WE]],MATCH(Table5[[#This Row],[PID]],Batters[[#All],[PID]],0)),INDEX(Table3[[#All],[WE]],MATCH(Table5[[#This Row],[PID]],Table3[[#All],[PID]],0)))</f>
        <v>Low</v>
      </c>
      <c r="K296" s="52" t="str">
        <f>IF($C296="B",INDEX(Batters[[#All],[INT]],MATCH(Table5[[#This Row],[PID]],Batters[[#All],[PID]],0)),INDEX(Table3[[#All],[INT]],MATCH(Table5[[#This Row],[PID]],Table3[[#All],[PID]],0)))</f>
        <v>High</v>
      </c>
      <c r="L296" s="60">
        <f>IF($C296="B",INDEX(Batters[[#All],[CON P]],MATCH(Table5[[#This Row],[PID]],Batters[[#All],[PID]],0)),INDEX(Table3[[#All],[STU P]],MATCH(Table5[[#This Row],[PID]],Table3[[#All],[PID]],0)))</f>
        <v>3</v>
      </c>
      <c r="M296" s="70">
        <f>IF($C296="B",INDEX(Batters[[#All],[GAP P]],MATCH(Table5[[#This Row],[PID]],Batters[[#All],[PID]],0)),INDEX(Table3[[#All],[MOV P]],MATCH(Table5[[#This Row],[PID]],Table3[[#All],[PID]],0)))</f>
        <v>5</v>
      </c>
      <c r="N296" s="70">
        <f>IF($C296="B",INDEX(Batters[[#All],[POW P]],MATCH(Table5[[#This Row],[PID]],Batters[[#All],[PID]],0)),INDEX(Table3[[#All],[CON P]],MATCH(Table5[[#This Row],[PID]],Table3[[#All],[PID]],0)))</f>
        <v>6</v>
      </c>
      <c r="O296" s="70">
        <f>IF($C296="B",INDEX(Batters[[#All],[EYE P]],MATCH(Table5[[#This Row],[PID]],Batters[[#All],[PID]],0)),INDEX(Table3[[#All],[VELO]],MATCH(Table5[[#This Row],[PID]],Table3[[#All],[PID]],0)))</f>
        <v>5</v>
      </c>
      <c r="P296" s="56">
        <f>IF($C296="B",INDEX(Batters[[#All],[K P]],MATCH(Table5[[#This Row],[PID]],Batters[[#All],[PID]],0)),INDEX(Table3[[#All],[STM]],MATCH(Table5[[#This Row],[PID]],Table3[[#All],[PID]],0)))</f>
        <v>2</v>
      </c>
      <c r="Q296" s="61">
        <f>IF($C296="B",INDEX(Batters[[#All],[Tot]],MATCH(Table5[[#This Row],[PID]],Batters[[#All],[PID]],0)),INDEX(Table3[[#All],[Tot]],MATCH(Table5[[#This Row],[PID]],Table3[[#All],[PID]],0)))</f>
        <v>45.105626452448263</v>
      </c>
      <c r="R296" s="52">
        <f>IF($C296="B",INDEX(Batters[[#All],[zScore]],MATCH(Table5[[#This Row],[PID]],Batters[[#All],[PID]],0)),INDEX(Table3[[#All],[zScore]],MATCH(Table5[[#This Row],[PID]],Table3[[#All],[PID]],0)))</f>
        <v>0.27546165909421561</v>
      </c>
      <c r="S296" s="75" t="str">
        <f>IF($C296="B",INDEX(Batters[[#All],[DEM]],MATCH(Table5[[#This Row],[PID]],Batters[[#All],[PID]],0)),INDEX(Table3[[#All],[DEM]],MATCH(Table5[[#This Row],[PID]],Table3[[#All],[PID]],0)))</f>
        <v>$65k</v>
      </c>
      <c r="T296" s="72">
        <f>IF($C296="B",INDEX(Batters[[#All],[Rnk]],MATCH(Table5[[#This Row],[PID]],Batters[[#All],[PID]],0)),INDEX(Table3[[#All],[Rnk]],MATCH(Table5[[#This Row],[PID]],Table3[[#All],[PID]],0)))</f>
        <v>930</v>
      </c>
      <c r="U296" s="67">
        <f>IF($C296="B",VLOOKUP($A296,Bat!$A$4:$BA$1314,47,FALSE),VLOOKUP($A296,Pit!$A$4:$BF$1214,56,FALSE))</f>
        <v>308</v>
      </c>
      <c r="V296" s="50">
        <f>IF($C296="B",VLOOKUP($A296,Bat!$A$4:$BA$1314,48,FALSE),VLOOKUP($A296,Pit!$A$4:$BF$1214,57,FALSE))</f>
        <v>0</v>
      </c>
      <c r="W296" s="68">
        <f>IF(Table5[[#This Row],[posRnk]]=999,9999,Table5[[#This Row],[posRnk]]+Table5[[#This Row],[zRnk]]+IF($W$3&lt;&gt;Table5[[#This Row],[Type]],50,0))</f>
        <v>1266</v>
      </c>
      <c r="X296" s="71">
        <f>RANK(Table5[[#This Row],[zScore]],Table5[[#All],[zScore]])</f>
        <v>286</v>
      </c>
      <c r="Y296" s="68">
        <f>IFERROR(INDEX(DraftResults[[#All],[OVR]],MATCH(Table5[[#This Row],[PID]],DraftResults[[#All],[Player ID]],0)),"")</f>
        <v>375</v>
      </c>
      <c r="Z296" s="7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12</v>
      </c>
      <c r="AA296" s="68">
        <f>IFERROR(INDEX(DraftResults[[#All],[Pick in Round]],MATCH(Table5[[#This Row],[PID]],DraftResults[[#All],[Player ID]],0)),"")</f>
        <v>10</v>
      </c>
      <c r="AB296" s="68" t="str">
        <f>IFERROR(INDEX(DraftResults[[#All],[Team Name]],MATCH(Table5[[#This Row],[PID]],DraftResults[[#All],[Player ID]],0)),"")</f>
        <v>London Underground</v>
      </c>
      <c r="AC296" s="68">
        <f>IF(Table5[[#This Row],[Ovr]]="","",IF(Table5[[#This Row],[cmbList]]="","",Table5[[#This Row],[cmbList]]-Table5[[#This Row],[Ovr]]))</f>
        <v>891</v>
      </c>
      <c r="AD296" s="74" t="str">
        <f>IF(ISERROR(VLOOKUP($AB296&amp;"-"&amp;$E296&amp;" "&amp;F296,Bonuses!$B$1:$G$1006,4,FALSE)),"",INT(VLOOKUP($AB296&amp;"-"&amp;$E296&amp;" "&amp;$F296,Bonuses!$B$1:$G$1006,4,FALSE)))</f>
        <v/>
      </c>
      <c r="AE296" s="68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12.10 (375) - RF Philip Fuller</v>
      </c>
    </row>
    <row r="297" spans="1:31" s="50" customFormat="1" x14ac:dyDescent="0.3">
      <c r="A297" s="67">
        <v>6216</v>
      </c>
      <c r="B297" s="68">
        <f>COUNTIF(Table5[PID],A297)</f>
        <v>1</v>
      </c>
      <c r="C297" s="68" t="str">
        <f>IF(COUNTIF(Table3[[#All],[PID]],A297)&gt;0,"P","B")</f>
        <v>P</v>
      </c>
      <c r="D297" s="59" t="str">
        <f>IF($C297="B",INDEX(Batters[[#All],[POS]],MATCH(Table5[[#This Row],[PID]],Batters[[#All],[PID]],0)),INDEX(Table3[[#All],[POS]],MATCH(Table5[[#This Row],[PID]],Table3[[#All],[PID]],0)))</f>
        <v>CL</v>
      </c>
      <c r="E297" s="52" t="str">
        <f>IF($C297="B",INDEX(Batters[[#All],[First]],MATCH(Table5[[#This Row],[PID]],Batters[[#All],[PID]],0)),INDEX(Table3[[#All],[First]],MATCH(Table5[[#This Row],[PID]],Table3[[#All],[PID]],0)))</f>
        <v>Juan</v>
      </c>
      <c r="F297" s="55" t="str">
        <f>IF($C297="B",INDEX(Batters[[#All],[Last]],MATCH(A297,Batters[[#All],[PID]],0)),INDEX(Table3[[#All],[Last]],MATCH(A297,Table3[[#All],[PID]],0)))</f>
        <v>Morales</v>
      </c>
      <c r="G297" s="56">
        <f>IF($C297="B",INDEX(Batters[[#All],[Age]],MATCH(Table5[[#This Row],[PID]],Batters[[#All],[PID]],0)),INDEX(Table3[[#All],[Age]],MATCH(Table5[[#This Row],[PID]],Table3[[#All],[PID]],0)))</f>
        <v>21</v>
      </c>
      <c r="H297" s="52" t="str">
        <f>IF($C297="B",INDEX(Batters[[#All],[B]],MATCH(Table5[[#This Row],[PID]],Batters[[#All],[PID]],0)),INDEX(Table3[[#All],[B]],MATCH(Table5[[#This Row],[PID]],Table3[[#All],[PID]],0)))</f>
        <v>R</v>
      </c>
      <c r="I297" s="52" t="str">
        <f>IF($C297="B",INDEX(Batters[[#All],[T]],MATCH(Table5[[#This Row],[PID]],Batters[[#All],[PID]],0)),INDEX(Table3[[#All],[T]],MATCH(Table5[[#This Row],[PID]],Table3[[#All],[PID]],0)))</f>
        <v>R</v>
      </c>
      <c r="J297" s="69" t="str">
        <f>IF($C297="B",INDEX(Batters[[#All],[WE]],MATCH(Table5[[#This Row],[PID]],Batters[[#All],[PID]],0)),INDEX(Table3[[#All],[WE]],MATCH(Table5[[#This Row],[PID]],Table3[[#All],[PID]],0)))</f>
        <v>Low</v>
      </c>
      <c r="K297" s="52" t="str">
        <f>IF($C297="B",INDEX(Batters[[#All],[INT]],MATCH(Table5[[#This Row],[PID]],Batters[[#All],[PID]],0)),INDEX(Table3[[#All],[INT]],MATCH(Table5[[#This Row],[PID]],Table3[[#All],[PID]],0)))</f>
        <v>Normal</v>
      </c>
      <c r="L297" s="60">
        <f>IF($C297="B",INDEX(Batters[[#All],[CON P]],MATCH(Table5[[#This Row],[PID]],Batters[[#All],[PID]],0)),INDEX(Table3[[#All],[STU P]],MATCH(Table5[[#This Row],[PID]],Table3[[#All],[PID]],0)))</f>
        <v>5</v>
      </c>
      <c r="M297" s="70">
        <f>IF($C297="B",INDEX(Batters[[#All],[GAP P]],MATCH(Table5[[#This Row],[PID]],Batters[[#All],[PID]],0)),INDEX(Table3[[#All],[MOV P]],MATCH(Table5[[#This Row],[PID]],Table3[[#All],[PID]],0)))</f>
        <v>3</v>
      </c>
      <c r="N297" s="70">
        <f>IF($C297="B",INDEX(Batters[[#All],[POW P]],MATCH(Table5[[#This Row],[PID]],Batters[[#All],[PID]],0)),INDEX(Table3[[#All],[CON P]],MATCH(Table5[[#This Row],[PID]],Table3[[#All],[PID]],0)))</f>
        <v>4</v>
      </c>
      <c r="O297" s="70" t="str">
        <f>IF($C297="B",INDEX(Batters[[#All],[EYE P]],MATCH(Table5[[#This Row],[PID]],Batters[[#All],[PID]],0)),INDEX(Table3[[#All],[VELO]],MATCH(Table5[[#This Row],[PID]],Table3[[#All],[PID]],0)))</f>
        <v>95-97 Mph</v>
      </c>
      <c r="P297" s="56">
        <f>IF($C297="B",INDEX(Batters[[#All],[K P]],MATCH(Table5[[#This Row],[PID]],Batters[[#All],[PID]],0)),INDEX(Table3[[#All],[STM]],MATCH(Table5[[#This Row],[PID]],Table3[[#All],[PID]],0)))</f>
        <v>8</v>
      </c>
      <c r="Q297" s="61">
        <f>IF($C297="B",INDEX(Batters[[#All],[Tot]],MATCH(Table5[[#This Row],[PID]],Batters[[#All],[PID]],0)),INDEX(Table3[[#All],[Tot]],MATCH(Table5[[#This Row],[PID]],Table3[[#All],[PID]],0)))</f>
        <v>41.537391602190063</v>
      </c>
      <c r="R297" s="52">
        <f>IF($C297="B",INDEX(Batters[[#All],[zScore]],MATCH(Table5[[#This Row],[PID]],Batters[[#All],[PID]],0)),INDEX(Table3[[#All],[zScore]],MATCH(Table5[[#This Row],[PID]],Table3[[#All],[PID]],0)))</f>
        <v>0.27193750083875762</v>
      </c>
      <c r="S297" s="75" t="str">
        <f>IF($C297="B",INDEX(Batters[[#All],[DEM]],MATCH(Table5[[#This Row],[PID]],Batters[[#All],[PID]],0)),INDEX(Table3[[#All],[DEM]],MATCH(Table5[[#This Row],[PID]],Table3[[#All],[PID]],0)))</f>
        <v>$47k</v>
      </c>
      <c r="T297" s="72">
        <f>IF($C297="B",INDEX(Batters[[#All],[Rnk]],MATCH(Table5[[#This Row],[PID]],Batters[[#All],[PID]],0)),INDEX(Table3[[#All],[Rnk]],MATCH(Table5[[#This Row],[PID]],Table3[[#All],[PID]],0)))</f>
        <v>930</v>
      </c>
      <c r="U297" s="67">
        <f>IF($C297="B",VLOOKUP($A297,Bat!$A$4:$BA$1314,47,FALSE),VLOOKUP($A297,Pit!$A$4:$BF$1214,56,FALSE))</f>
        <v>266</v>
      </c>
      <c r="V297" s="50">
        <f>IF($C297="B",VLOOKUP($A297,Bat!$A$4:$BA$1314,48,FALSE),VLOOKUP($A297,Pit!$A$4:$BF$1214,57,FALSE))</f>
        <v>0</v>
      </c>
      <c r="W297" s="68">
        <f>IF(Table5[[#This Row],[posRnk]]=999,9999,Table5[[#This Row],[posRnk]]+Table5[[#This Row],[zRnk]]+IF($W$3&lt;&gt;Table5[[#This Row],[Type]],50,0))</f>
        <v>1218</v>
      </c>
      <c r="X297" s="71">
        <f>RANK(Table5[[#This Row],[zScore]],Table5[[#All],[zScore]])</f>
        <v>288</v>
      </c>
      <c r="Y297" s="68">
        <f>IFERROR(INDEX(DraftResults[[#All],[OVR]],MATCH(Table5[[#This Row],[PID]],DraftResults[[#All],[Player ID]],0)),"")</f>
        <v>425</v>
      </c>
      <c r="Z297" s="7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13</v>
      </c>
      <c r="AA297" s="68">
        <f>IFERROR(INDEX(DraftResults[[#All],[Pick in Round]],MATCH(Table5[[#This Row],[PID]],DraftResults[[#All],[Player ID]],0)),"")</f>
        <v>26</v>
      </c>
      <c r="AB297" s="68" t="str">
        <f>IFERROR(INDEX(DraftResults[[#All],[Team Name]],MATCH(Table5[[#This Row],[PID]],DraftResults[[#All],[Player ID]],0)),"")</f>
        <v>Aurora Borealis</v>
      </c>
      <c r="AC297" s="68">
        <f>IF(Table5[[#This Row],[Ovr]]="","",IF(Table5[[#This Row],[cmbList]]="","",Table5[[#This Row],[cmbList]]-Table5[[#This Row],[Ovr]]))</f>
        <v>793</v>
      </c>
      <c r="AD297" s="74" t="str">
        <f>IF(ISERROR(VLOOKUP($AB297&amp;"-"&amp;$E297&amp;" "&amp;F297,Bonuses!$B$1:$G$1006,4,FALSE)),"",INT(VLOOKUP($AB297&amp;"-"&amp;$E297&amp;" "&amp;$F297,Bonuses!$B$1:$G$1006,4,FALSE)))</f>
        <v/>
      </c>
      <c r="AE297" s="68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13.26 (425) - CL Juan Morales</v>
      </c>
    </row>
    <row r="298" spans="1:31" s="50" customFormat="1" x14ac:dyDescent="0.3">
      <c r="A298" s="50">
        <v>8130</v>
      </c>
      <c r="B298" s="50">
        <f>COUNTIF(Table5[PID],A298)</f>
        <v>1</v>
      </c>
      <c r="C298" s="50" t="str">
        <f>IF(COUNTIF(Table3[[#All],[PID]],A298)&gt;0,"P","B")</f>
        <v>B</v>
      </c>
      <c r="D298" s="59" t="str">
        <f>IF($C298="B",INDEX(Batters[[#All],[POS]],MATCH(Table5[[#This Row],[PID]],Batters[[#All],[PID]],0)),INDEX(Table3[[#All],[POS]],MATCH(Table5[[#This Row],[PID]],Table3[[#All],[PID]],0)))</f>
        <v>2B</v>
      </c>
      <c r="E298" s="52" t="str">
        <f>IF($C298="B",INDEX(Batters[[#All],[First]],MATCH(Table5[[#This Row],[PID]],Batters[[#All],[PID]],0)),INDEX(Table3[[#All],[First]],MATCH(Table5[[#This Row],[PID]],Table3[[#All],[PID]],0)))</f>
        <v>An-shi</v>
      </c>
      <c r="F298" s="50" t="str">
        <f>IF($C298="B",INDEX(Batters[[#All],[Last]],MATCH(A298,Batters[[#All],[PID]],0)),INDEX(Table3[[#All],[Last]],MATCH(A298,Table3[[#All],[PID]],0)))</f>
        <v>Lan</v>
      </c>
      <c r="G298" s="56">
        <f>IF($C298="B",INDEX(Batters[[#All],[Age]],MATCH(Table5[[#This Row],[PID]],Batters[[#All],[PID]],0)),INDEX(Table3[[#All],[Age]],MATCH(Table5[[#This Row],[PID]],Table3[[#All],[PID]],0)))</f>
        <v>21</v>
      </c>
      <c r="H298" s="52" t="str">
        <f>IF($C298="B",INDEX(Batters[[#All],[B]],MATCH(Table5[[#This Row],[PID]],Batters[[#All],[PID]],0)),INDEX(Table3[[#All],[B]],MATCH(Table5[[#This Row],[PID]],Table3[[#All],[PID]],0)))</f>
        <v>R</v>
      </c>
      <c r="I298" s="52" t="str">
        <f>IF($C298="B",INDEX(Batters[[#All],[T]],MATCH(Table5[[#This Row],[PID]],Batters[[#All],[PID]],0)),INDEX(Table3[[#All],[T]],MATCH(Table5[[#This Row],[PID]],Table3[[#All],[PID]],0)))</f>
        <v>R</v>
      </c>
      <c r="J298" s="52" t="str">
        <f>IF($C298="B",INDEX(Batters[[#All],[WE]],MATCH(Table5[[#This Row],[PID]],Batters[[#All],[PID]],0)),INDEX(Table3[[#All],[WE]],MATCH(Table5[[#This Row],[PID]],Table3[[#All],[PID]],0)))</f>
        <v>Low</v>
      </c>
      <c r="K298" s="52" t="str">
        <f>IF($C298="B",INDEX(Batters[[#All],[INT]],MATCH(Table5[[#This Row],[PID]],Batters[[#All],[PID]],0)),INDEX(Table3[[#All],[INT]],MATCH(Table5[[#This Row],[PID]],Table3[[#All],[PID]],0)))</f>
        <v>Normal</v>
      </c>
      <c r="L298" s="60">
        <f>IF($C298="B",INDEX(Batters[[#All],[CON P]],MATCH(Table5[[#This Row],[PID]],Batters[[#All],[PID]],0)),INDEX(Table3[[#All],[STU P]],MATCH(Table5[[#This Row],[PID]],Table3[[#All],[PID]],0)))</f>
        <v>4</v>
      </c>
      <c r="M298" s="56">
        <f>IF($C298="B",INDEX(Batters[[#All],[GAP P]],MATCH(Table5[[#This Row],[PID]],Batters[[#All],[PID]],0)),INDEX(Table3[[#All],[MOV P]],MATCH(Table5[[#This Row],[PID]],Table3[[#All],[PID]],0)))</f>
        <v>6</v>
      </c>
      <c r="N298" s="56">
        <f>IF($C298="B",INDEX(Batters[[#All],[POW P]],MATCH(Table5[[#This Row],[PID]],Batters[[#All],[PID]],0)),INDEX(Table3[[#All],[CON P]],MATCH(Table5[[#This Row],[PID]],Table3[[#All],[PID]],0)))</f>
        <v>5</v>
      </c>
      <c r="O298" s="56">
        <f>IF($C298="B",INDEX(Batters[[#All],[EYE P]],MATCH(Table5[[#This Row],[PID]],Batters[[#All],[PID]],0)),INDEX(Table3[[#All],[VELO]],MATCH(Table5[[#This Row],[PID]],Table3[[#All],[PID]],0)))</f>
        <v>6</v>
      </c>
      <c r="P298" s="56">
        <f>IF($C298="B",INDEX(Batters[[#All],[K P]],MATCH(Table5[[#This Row],[PID]],Batters[[#All],[PID]],0)),INDEX(Table3[[#All],[STM]],MATCH(Table5[[#This Row],[PID]],Table3[[#All],[PID]],0)))</f>
        <v>4</v>
      </c>
      <c r="Q298" s="61">
        <f>IF($C298="B",INDEX(Batters[[#All],[Tot]],MATCH(Table5[[#This Row],[PID]],Batters[[#All],[PID]],0)),INDEX(Table3[[#All],[Tot]],MATCH(Table5[[#This Row],[PID]],Table3[[#All],[PID]],0)))</f>
        <v>45.077675411283224</v>
      </c>
      <c r="R298" s="52">
        <f>IF($C298="B",INDEX(Batters[[#All],[zScore]],MATCH(Table5[[#This Row],[PID]],Batters[[#All],[PID]],0)),INDEX(Table3[[#All],[zScore]],MATCH(Table5[[#This Row],[PID]],Table3[[#All],[PID]],0)))</f>
        <v>0.27138169845268506</v>
      </c>
      <c r="S298" s="58" t="str">
        <f>IF($C298="B",INDEX(Batters[[#All],[DEM]],MATCH(Table5[[#This Row],[PID]],Batters[[#All],[PID]],0)),INDEX(Table3[[#All],[DEM]],MATCH(Table5[[#This Row],[PID]],Table3[[#All],[PID]],0)))</f>
        <v>$22k</v>
      </c>
      <c r="T298" s="62">
        <f>IF($C298="B",INDEX(Batters[[#All],[Rnk]],MATCH(Table5[[#This Row],[PID]],Batters[[#All],[PID]],0)),INDEX(Table3[[#All],[Rnk]],MATCH(Table5[[#This Row],[PID]],Table3[[#All],[PID]],0)))</f>
        <v>930</v>
      </c>
      <c r="U298" s="67">
        <f>IF($C298="B",VLOOKUP($A298,Bat!$A$4:$BA$1314,47,FALSE),VLOOKUP($A298,Pit!$A$4:$BF$1214,56,FALSE))</f>
        <v>313</v>
      </c>
      <c r="V298" s="50">
        <f>IF($C298="B",VLOOKUP($A298,Bat!$A$4:$BA$1314,48,FALSE),VLOOKUP($A298,Pit!$A$4:$BF$1214,57,FALSE))</f>
        <v>0</v>
      </c>
      <c r="W298" s="68">
        <f>IF(Table5[[#This Row],[posRnk]]=999,9999,Table5[[#This Row],[posRnk]]+Table5[[#This Row],[zRnk]]+IF($W$3&lt;&gt;Table5[[#This Row],[Type]],50,0))</f>
        <v>1269</v>
      </c>
      <c r="X298" s="51">
        <f>RANK(Table5[[#This Row],[zScore]],Table5[[#All],[zScore]])</f>
        <v>289</v>
      </c>
      <c r="Y298" s="50">
        <f>IFERROR(INDEX(DraftResults[[#All],[OVR]],MATCH(Table5[[#This Row],[PID]],DraftResults[[#All],[Player ID]],0)),"")</f>
        <v>218</v>
      </c>
      <c r="Z298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7</v>
      </c>
      <c r="AA298" s="50">
        <f>IFERROR(INDEX(DraftResults[[#All],[Pick in Round]],MATCH(Table5[[#This Row],[PID]],DraftResults[[#All],[Player ID]],0)),"")</f>
        <v>17</v>
      </c>
      <c r="AB298" s="50" t="str">
        <f>IFERROR(INDEX(DraftResults[[#All],[Team Name]],MATCH(Table5[[#This Row],[PID]],DraftResults[[#All],[Player ID]],0)),"")</f>
        <v>Duluth Warriors</v>
      </c>
      <c r="AC298" s="50">
        <f>IF(Table5[[#This Row],[Ovr]]="","",IF(Table5[[#This Row],[cmbList]]="","",Table5[[#This Row],[cmbList]]-Table5[[#This Row],[Ovr]]))</f>
        <v>1051</v>
      </c>
      <c r="AD298" s="54" t="str">
        <f>IF(ISERROR(VLOOKUP($AB298&amp;"-"&amp;$E298&amp;" "&amp;F298,Bonuses!$B$1:$G$1006,4,FALSE)),"",INT(VLOOKUP($AB298&amp;"-"&amp;$E298&amp;" "&amp;$F298,Bonuses!$B$1:$G$1006,4,FALSE)))</f>
        <v/>
      </c>
      <c r="AE298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7.17 (218) - 2B An-shi Lan</v>
      </c>
    </row>
    <row r="299" spans="1:31" s="50" customFormat="1" x14ac:dyDescent="0.3">
      <c r="A299" s="50">
        <v>20545</v>
      </c>
      <c r="B299" s="50">
        <f>COUNTIF(Table5[PID],A299)</f>
        <v>1</v>
      </c>
      <c r="C299" s="50" t="str">
        <f>IF(COUNTIF(Table3[[#All],[PID]],A299)&gt;0,"P","B")</f>
        <v>B</v>
      </c>
      <c r="D299" s="59" t="str">
        <f>IF($C299="B",INDEX(Batters[[#All],[POS]],MATCH(Table5[[#This Row],[PID]],Batters[[#All],[PID]],0)),INDEX(Table3[[#All],[POS]],MATCH(Table5[[#This Row],[PID]],Table3[[#All],[PID]],0)))</f>
        <v>LF</v>
      </c>
      <c r="E299" s="52" t="str">
        <f>IF($C299="B",INDEX(Batters[[#All],[First]],MATCH(Table5[[#This Row],[PID]],Batters[[#All],[PID]],0)),INDEX(Table3[[#All],[First]],MATCH(Table5[[#This Row],[PID]],Table3[[#All],[PID]],0)))</f>
        <v>Allen</v>
      </c>
      <c r="F299" s="50" t="str">
        <f>IF($C299="B",INDEX(Batters[[#All],[Last]],MATCH(A299,Batters[[#All],[PID]],0)),INDEX(Table3[[#All],[Last]],MATCH(A299,Table3[[#All],[PID]],0)))</f>
        <v>Morrall</v>
      </c>
      <c r="G299" s="56">
        <f>IF($C299="B",INDEX(Batters[[#All],[Age]],MATCH(Table5[[#This Row],[PID]],Batters[[#All],[PID]],0)),INDEX(Table3[[#All],[Age]],MATCH(Table5[[#This Row],[PID]],Table3[[#All],[PID]],0)))</f>
        <v>17</v>
      </c>
      <c r="H299" s="52" t="str">
        <f>IF($C299="B",INDEX(Batters[[#All],[B]],MATCH(Table5[[#This Row],[PID]],Batters[[#All],[PID]],0)),INDEX(Table3[[#All],[B]],MATCH(Table5[[#This Row],[PID]],Table3[[#All],[PID]],0)))</f>
        <v>R</v>
      </c>
      <c r="I299" s="52" t="str">
        <f>IF($C299="B",INDEX(Batters[[#All],[T]],MATCH(Table5[[#This Row],[PID]],Batters[[#All],[PID]],0)),INDEX(Table3[[#All],[T]],MATCH(Table5[[#This Row],[PID]],Table3[[#All],[PID]],0)))</f>
        <v>R</v>
      </c>
      <c r="J299" s="52" t="str">
        <f>IF($C299="B",INDEX(Batters[[#All],[WE]],MATCH(Table5[[#This Row],[PID]],Batters[[#All],[PID]],0)),INDEX(Table3[[#All],[WE]],MATCH(Table5[[#This Row],[PID]],Table3[[#All],[PID]],0)))</f>
        <v>Low</v>
      </c>
      <c r="K299" s="52" t="str">
        <f>IF($C299="B",INDEX(Batters[[#All],[INT]],MATCH(Table5[[#This Row],[PID]],Batters[[#All],[PID]],0)),INDEX(Table3[[#All],[INT]],MATCH(Table5[[#This Row],[PID]],Table3[[#All],[PID]],0)))</f>
        <v>Normal</v>
      </c>
      <c r="L299" s="60">
        <f>IF($C299="B",INDEX(Batters[[#All],[CON P]],MATCH(Table5[[#This Row],[PID]],Batters[[#All],[PID]],0)),INDEX(Table3[[#All],[STU P]],MATCH(Table5[[#This Row],[PID]],Table3[[#All],[PID]],0)))</f>
        <v>3</v>
      </c>
      <c r="M299" s="56">
        <f>IF($C299="B",INDEX(Batters[[#All],[GAP P]],MATCH(Table5[[#This Row],[PID]],Batters[[#All],[PID]],0)),INDEX(Table3[[#All],[MOV P]],MATCH(Table5[[#This Row],[PID]],Table3[[#All],[PID]],0)))</f>
        <v>4</v>
      </c>
      <c r="N299" s="56">
        <f>IF($C299="B",INDEX(Batters[[#All],[POW P]],MATCH(Table5[[#This Row],[PID]],Batters[[#All],[PID]],0)),INDEX(Table3[[#All],[CON P]],MATCH(Table5[[#This Row],[PID]],Table3[[#All],[PID]],0)))</f>
        <v>7</v>
      </c>
      <c r="O299" s="56">
        <f>IF($C299="B",INDEX(Batters[[#All],[EYE P]],MATCH(Table5[[#This Row],[PID]],Batters[[#All],[PID]],0)),INDEX(Table3[[#All],[VELO]],MATCH(Table5[[#This Row],[PID]],Table3[[#All],[PID]],0)))</f>
        <v>5</v>
      </c>
      <c r="P299" s="56">
        <f>IF($C299="B",INDEX(Batters[[#All],[K P]],MATCH(Table5[[#This Row],[PID]],Batters[[#All],[PID]],0)),INDEX(Table3[[#All],[STM]],MATCH(Table5[[#This Row],[PID]],Table3[[#All],[PID]],0)))</f>
        <v>2</v>
      </c>
      <c r="Q299" s="61">
        <f>IF($C299="B",INDEX(Batters[[#All],[Tot]],MATCH(Table5[[#This Row],[PID]],Batters[[#All],[PID]],0)),INDEX(Table3[[#All],[Tot]],MATCH(Table5[[#This Row],[PID]],Table3[[#All],[PID]],0)))</f>
        <v>45.048562412449712</v>
      </c>
      <c r="R299" s="52">
        <f>IF($C299="B",INDEX(Batters[[#All],[zScore]],MATCH(Table5[[#This Row],[PID]],Batters[[#All],[PID]],0)),INDEX(Table3[[#All],[zScore]],MATCH(Table5[[#This Row],[PID]],Table3[[#All],[PID]],0)))</f>
        <v>0.26713212904679767</v>
      </c>
      <c r="S299" s="58" t="str">
        <f>IF($C299="B",INDEX(Batters[[#All],[DEM]],MATCH(Table5[[#This Row],[PID]],Batters[[#All],[PID]],0)),INDEX(Table3[[#All],[DEM]],MATCH(Table5[[#This Row],[PID]],Table3[[#All],[PID]],0)))</f>
        <v>$190k</v>
      </c>
      <c r="T299" s="62">
        <f>IF($C299="B",INDEX(Batters[[#All],[Rnk]],MATCH(Table5[[#This Row],[PID]],Batters[[#All],[PID]],0)),INDEX(Table3[[#All],[Rnk]],MATCH(Table5[[#This Row],[PID]],Table3[[#All],[PID]],0)))</f>
        <v>930</v>
      </c>
      <c r="U299" s="67">
        <f>IF($C299="B",VLOOKUP($A299,Bat!$A$4:$BA$1314,47,FALSE),VLOOKUP($A299,Pit!$A$4:$BF$1214,56,FALSE))</f>
        <v>314</v>
      </c>
      <c r="V299" s="50">
        <f>IF($C299="B",VLOOKUP($A299,Bat!$A$4:$BA$1314,48,FALSE),VLOOKUP($A299,Pit!$A$4:$BF$1214,57,FALSE))</f>
        <v>0</v>
      </c>
      <c r="W299" s="68">
        <f>IF(Table5[[#This Row],[posRnk]]=999,9999,Table5[[#This Row],[posRnk]]+Table5[[#This Row],[zRnk]]+IF($W$3&lt;&gt;Table5[[#This Row],[Type]],50,0))</f>
        <v>1270</v>
      </c>
      <c r="X299" s="51">
        <f>RANK(Table5[[#This Row],[zScore]],Table5[[#All],[zScore]])</f>
        <v>290</v>
      </c>
      <c r="Y299" s="50">
        <f>IFERROR(INDEX(DraftResults[[#All],[OVR]],MATCH(Table5[[#This Row],[PID]],DraftResults[[#All],[Player ID]],0)),"")</f>
        <v>312</v>
      </c>
      <c r="Z299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10</v>
      </c>
      <c r="AA299" s="50">
        <f>IFERROR(INDEX(DraftResults[[#All],[Pick in Round]],MATCH(Table5[[#This Row],[PID]],DraftResults[[#All],[Player ID]],0)),"")</f>
        <v>15</v>
      </c>
      <c r="AB299" s="50" t="str">
        <f>IFERROR(INDEX(DraftResults[[#All],[Team Name]],MATCH(Table5[[#This Row],[PID]],DraftResults[[#All],[Player ID]],0)),"")</f>
        <v>Niihama-shi Ghosts</v>
      </c>
      <c r="AC299" s="50">
        <f>IF(Table5[[#This Row],[Ovr]]="","",IF(Table5[[#This Row],[cmbList]]="","",Table5[[#This Row],[cmbList]]-Table5[[#This Row],[Ovr]]))</f>
        <v>958</v>
      </c>
      <c r="AD299" s="54" t="str">
        <f>IF(ISERROR(VLOOKUP($AB299&amp;"-"&amp;$E299&amp;" "&amp;F299,Bonuses!$B$1:$G$1006,4,FALSE)),"",INT(VLOOKUP($AB299&amp;"-"&amp;$E299&amp;" "&amp;$F299,Bonuses!$B$1:$G$1006,4,FALSE)))</f>
        <v/>
      </c>
      <c r="AE299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10.15 (312) - LF Allen Morrall</v>
      </c>
    </row>
    <row r="300" spans="1:31" s="50" customFormat="1" x14ac:dyDescent="0.3">
      <c r="A300" s="67">
        <v>11101</v>
      </c>
      <c r="B300" s="68">
        <f>COUNTIF(Table5[PID],A300)</f>
        <v>1</v>
      </c>
      <c r="C300" s="68" t="str">
        <f>IF(COUNTIF(Table3[[#All],[PID]],A300)&gt;0,"P","B")</f>
        <v>P</v>
      </c>
      <c r="D300" s="59" t="str">
        <f>IF($C300="B",INDEX(Batters[[#All],[POS]],MATCH(Table5[[#This Row],[PID]],Batters[[#All],[PID]],0)),INDEX(Table3[[#All],[POS]],MATCH(Table5[[#This Row],[PID]],Table3[[#All],[PID]],0)))</f>
        <v>RP</v>
      </c>
      <c r="E300" s="52" t="str">
        <f>IF($C300="B",INDEX(Batters[[#All],[First]],MATCH(Table5[[#This Row],[PID]],Batters[[#All],[PID]],0)),INDEX(Table3[[#All],[First]],MATCH(Table5[[#This Row],[PID]],Table3[[#All],[PID]],0)))</f>
        <v>Roberto</v>
      </c>
      <c r="F300" s="55" t="str">
        <f>IF($C300="B",INDEX(Batters[[#All],[Last]],MATCH(A300,Batters[[#All],[PID]],0)),INDEX(Table3[[#All],[Last]],MATCH(A300,Table3[[#All],[PID]],0)))</f>
        <v>Franco</v>
      </c>
      <c r="G300" s="56">
        <f>IF($C300="B",INDEX(Batters[[#All],[Age]],MATCH(Table5[[#This Row],[PID]],Batters[[#All],[PID]],0)),INDEX(Table3[[#All],[Age]],MATCH(Table5[[#This Row],[PID]],Table3[[#All],[PID]],0)))</f>
        <v>17</v>
      </c>
      <c r="H300" s="52" t="str">
        <f>IF($C300="B",INDEX(Batters[[#All],[B]],MATCH(Table5[[#This Row],[PID]],Batters[[#All],[PID]],0)),INDEX(Table3[[#All],[B]],MATCH(Table5[[#This Row],[PID]],Table3[[#All],[PID]],0)))</f>
        <v>R</v>
      </c>
      <c r="I300" s="52" t="str">
        <f>IF($C300="B",INDEX(Batters[[#All],[T]],MATCH(Table5[[#This Row],[PID]],Batters[[#All],[PID]],0)),INDEX(Table3[[#All],[T]],MATCH(Table5[[#This Row],[PID]],Table3[[#All],[PID]],0)))</f>
        <v>R</v>
      </c>
      <c r="J300" s="69" t="str">
        <f>IF($C300="B",INDEX(Batters[[#All],[WE]],MATCH(Table5[[#This Row],[PID]],Batters[[#All],[PID]],0)),INDEX(Table3[[#All],[WE]],MATCH(Table5[[#This Row],[PID]],Table3[[#All],[PID]],0)))</f>
        <v>Low</v>
      </c>
      <c r="K300" s="52" t="str">
        <f>IF($C300="B",INDEX(Batters[[#All],[INT]],MATCH(Table5[[#This Row],[PID]],Batters[[#All],[PID]],0)),INDEX(Table3[[#All],[INT]],MATCH(Table5[[#This Row],[PID]],Table3[[#All],[PID]],0)))</f>
        <v>Low</v>
      </c>
      <c r="L300" s="60">
        <f>IF($C300="B",INDEX(Batters[[#All],[CON P]],MATCH(Table5[[#This Row],[PID]],Batters[[#All],[PID]],0)),INDEX(Table3[[#All],[STU P]],MATCH(Table5[[#This Row],[PID]],Table3[[#All],[PID]],0)))</f>
        <v>7</v>
      </c>
      <c r="M300" s="70">
        <f>IF($C300="B",INDEX(Batters[[#All],[GAP P]],MATCH(Table5[[#This Row],[PID]],Batters[[#All],[PID]],0)),INDEX(Table3[[#All],[MOV P]],MATCH(Table5[[#This Row],[PID]],Table3[[#All],[PID]],0)))</f>
        <v>1</v>
      </c>
      <c r="N300" s="70">
        <f>IF($C300="B",INDEX(Batters[[#All],[POW P]],MATCH(Table5[[#This Row],[PID]],Batters[[#All],[PID]],0)),INDEX(Table3[[#All],[CON P]],MATCH(Table5[[#This Row],[PID]],Table3[[#All],[PID]],0)))</f>
        <v>3</v>
      </c>
      <c r="O300" s="70" t="str">
        <f>IF($C300="B",INDEX(Batters[[#All],[EYE P]],MATCH(Table5[[#This Row],[PID]],Batters[[#All],[PID]],0)),INDEX(Table3[[#All],[VELO]],MATCH(Table5[[#This Row],[PID]],Table3[[#All],[PID]],0)))</f>
        <v>97-99 Mph</v>
      </c>
      <c r="P300" s="56">
        <f>IF($C300="B",INDEX(Batters[[#All],[K P]],MATCH(Table5[[#This Row],[PID]],Batters[[#All],[PID]],0)),INDEX(Table3[[#All],[STM]],MATCH(Table5[[#This Row],[PID]],Table3[[#All],[PID]],0)))</f>
        <v>9</v>
      </c>
      <c r="Q300" s="61">
        <f>IF($C300="B",INDEX(Batters[[#All],[Tot]],MATCH(Table5[[#This Row],[PID]],Batters[[#All],[PID]],0)),INDEX(Table3[[#All],[Tot]],MATCH(Table5[[#This Row],[PID]],Table3[[#All],[PID]],0)))</f>
        <v>42.488135275055029</v>
      </c>
      <c r="R300" s="52">
        <f>IF($C300="B",INDEX(Batters[[#All],[zScore]],MATCH(Table5[[#This Row],[PID]],Batters[[#All],[PID]],0)),INDEX(Table3[[#All],[zScore]],MATCH(Table5[[#This Row],[PID]],Table3[[#All],[PID]],0)))</f>
        <v>0.33364430405260626</v>
      </c>
      <c r="S300" s="75" t="str">
        <f>IF($C300="B",INDEX(Batters[[#All],[DEM]],MATCH(Table5[[#This Row],[PID]],Batters[[#All],[PID]],0)),INDEX(Table3[[#All],[DEM]],MATCH(Table5[[#This Row],[PID]],Table3[[#All],[PID]],0)))</f>
        <v>$70k</v>
      </c>
      <c r="T300" s="72">
        <f>IF($C300="B",INDEX(Batters[[#All],[Rnk]],MATCH(Table5[[#This Row],[PID]],Batters[[#All],[PID]],0)),INDEX(Table3[[#All],[Rnk]],MATCH(Table5[[#This Row],[PID]],Table3[[#All],[PID]],0)))</f>
        <v>950</v>
      </c>
      <c r="U300" s="67">
        <f>IF($C300="B",VLOOKUP($A300,Bat!$A$4:$BA$1314,47,FALSE),VLOOKUP($A300,Pit!$A$4:$BF$1214,56,FALSE))</f>
        <v>408</v>
      </c>
      <c r="V300" s="50">
        <f>IF($C300="B",VLOOKUP($A300,Bat!$A$4:$BA$1314,48,FALSE),VLOOKUP($A300,Pit!$A$4:$BF$1214,57,FALSE))</f>
        <v>0</v>
      </c>
      <c r="W300" s="68">
        <f>IF(Table5[[#This Row],[posRnk]]=999,9999,Table5[[#This Row],[posRnk]]+Table5[[#This Row],[zRnk]]+IF($W$3&lt;&gt;Table5[[#This Row],[Type]],50,0))</f>
        <v>1221</v>
      </c>
      <c r="X300" s="71">
        <f>RANK(Table5[[#This Row],[zScore]],Table5[[#All],[zScore]])</f>
        <v>271</v>
      </c>
      <c r="Y300" s="68">
        <f>IFERROR(INDEX(DraftResults[[#All],[OVR]],MATCH(Table5[[#This Row],[PID]],DraftResults[[#All],[Player ID]],0)),"")</f>
        <v>121</v>
      </c>
      <c r="Z300" s="7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4</v>
      </c>
      <c r="AA300" s="68">
        <f>IFERROR(INDEX(DraftResults[[#All],[Pick in Round]],MATCH(Table5[[#This Row],[PID]],DraftResults[[#All],[Player ID]],0)),"")</f>
        <v>16</v>
      </c>
      <c r="AB300" s="68" t="str">
        <f>IFERROR(INDEX(DraftResults[[#All],[Team Name]],MATCH(Table5[[#This Row],[PID]],DraftResults[[#All],[Player ID]],0)),"")</f>
        <v>Madison Malts</v>
      </c>
      <c r="AC300" s="68">
        <f>IF(Table5[[#This Row],[Ovr]]="","",IF(Table5[[#This Row],[cmbList]]="","",Table5[[#This Row],[cmbList]]-Table5[[#This Row],[Ovr]]))</f>
        <v>1100</v>
      </c>
      <c r="AD300" s="74" t="str">
        <f>IF(ISERROR(VLOOKUP($AB300&amp;"-"&amp;$E300&amp;" "&amp;F300,Bonuses!$B$1:$G$1006,4,FALSE)),"",INT(VLOOKUP($AB300&amp;"-"&amp;$E300&amp;" "&amp;$F300,Bonuses!$B$1:$G$1006,4,FALSE)))</f>
        <v/>
      </c>
      <c r="AE300" s="68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4.16 (121) - RP Roberto Franco</v>
      </c>
    </row>
    <row r="301" spans="1:31" s="50" customFormat="1" x14ac:dyDescent="0.3">
      <c r="A301" s="67">
        <v>9863</v>
      </c>
      <c r="B301" s="68">
        <f>COUNTIF(Table5[PID],A301)</f>
        <v>1</v>
      </c>
      <c r="C301" s="68" t="str">
        <f>IF(COUNTIF(Table3[[#All],[PID]],A301)&gt;0,"P","B")</f>
        <v>B</v>
      </c>
      <c r="D301" s="59" t="str">
        <f>IF($C301="B",INDEX(Batters[[#All],[POS]],MATCH(Table5[[#This Row],[PID]],Batters[[#All],[PID]],0)),INDEX(Table3[[#All],[POS]],MATCH(Table5[[#This Row],[PID]],Table3[[#All],[PID]],0)))</f>
        <v>SS</v>
      </c>
      <c r="E301" s="52" t="str">
        <f>IF($C301="B",INDEX(Batters[[#All],[First]],MATCH(Table5[[#This Row],[PID]],Batters[[#All],[PID]],0)),INDEX(Table3[[#All],[First]],MATCH(Table5[[#This Row],[PID]],Table3[[#All],[PID]],0)))</f>
        <v>Fernando</v>
      </c>
      <c r="F301" s="55" t="str">
        <f>IF($C301="B",INDEX(Batters[[#All],[Last]],MATCH(A301,Batters[[#All],[PID]],0)),INDEX(Table3[[#All],[Last]],MATCH(A301,Table3[[#All],[PID]],0)))</f>
        <v>Martínez</v>
      </c>
      <c r="G301" s="56">
        <f>IF($C301="B",INDEX(Batters[[#All],[Age]],MATCH(Table5[[#This Row],[PID]],Batters[[#All],[PID]],0)),INDEX(Table3[[#All],[Age]],MATCH(Table5[[#This Row],[PID]],Table3[[#All],[PID]],0)))</f>
        <v>17</v>
      </c>
      <c r="H301" s="52" t="str">
        <f>IF($C301="B",INDEX(Batters[[#All],[B]],MATCH(Table5[[#This Row],[PID]],Batters[[#All],[PID]],0)),INDEX(Table3[[#All],[B]],MATCH(Table5[[#This Row],[PID]],Table3[[#All],[PID]],0)))</f>
        <v>R</v>
      </c>
      <c r="I301" s="52" t="str">
        <f>IF($C301="B",INDEX(Batters[[#All],[T]],MATCH(Table5[[#This Row],[PID]],Batters[[#All],[PID]],0)),INDEX(Table3[[#All],[T]],MATCH(Table5[[#This Row],[PID]],Table3[[#All],[PID]],0)))</f>
        <v>R</v>
      </c>
      <c r="J301" s="69" t="str">
        <f>IF($C301="B",INDEX(Batters[[#All],[WE]],MATCH(Table5[[#This Row],[PID]],Batters[[#All],[PID]],0)),INDEX(Table3[[#All],[WE]],MATCH(Table5[[#This Row],[PID]],Table3[[#All],[PID]],0)))</f>
        <v>Normal</v>
      </c>
      <c r="K301" s="52" t="str">
        <f>IF($C301="B",INDEX(Batters[[#All],[INT]],MATCH(Table5[[#This Row],[PID]],Batters[[#All],[PID]],0)),INDEX(Table3[[#All],[INT]],MATCH(Table5[[#This Row],[PID]],Table3[[#All],[PID]],0)))</f>
        <v>Normal</v>
      </c>
      <c r="L301" s="60">
        <f>IF($C301="B",INDEX(Batters[[#All],[CON P]],MATCH(Table5[[#This Row],[PID]],Batters[[#All],[PID]],0)),INDEX(Table3[[#All],[STU P]],MATCH(Table5[[#This Row],[PID]],Table3[[#All],[PID]],0)))</f>
        <v>4</v>
      </c>
      <c r="M301" s="70">
        <f>IF($C301="B",INDEX(Batters[[#All],[GAP P]],MATCH(Table5[[#This Row],[PID]],Batters[[#All],[PID]],0)),INDEX(Table3[[#All],[MOV P]],MATCH(Table5[[#This Row],[PID]],Table3[[#All],[PID]],0)))</f>
        <v>4</v>
      </c>
      <c r="N301" s="70">
        <f>IF($C301="B",INDEX(Batters[[#All],[POW P]],MATCH(Table5[[#This Row],[PID]],Batters[[#All],[PID]],0)),INDEX(Table3[[#All],[CON P]],MATCH(Table5[[#This Row],[PID]],Table3[[#All],[PID]],0)))</f>
        <v>2</v>
      </c>
      <c r="O301" s="70">
        <f>IF($C301="B",INDEX(Batters[[#All],[EYE P]],MATCH(Table5[[#This Row],[PID]],Batters[[#All],[PID]],0)),INDEX(Table3[[#All],[VELO]],MATCH(Table5[[#This Row],[PID]],Table3[[#All],[PID]],0)))</f>
        <v>4</v>
      </c>
      <c r="P301" s="56">
        <f>IF($C301="B",INDEX(Batters[[#All],[K P]],MATCH(Table5[[#This Row],[PID]],Batters[[#All],[PID]],0)),INDEX(Table3[[#All],[STM]],MATCH(Table5[[#This Row],[PID]],Table3[[#All],[PID]],0)))</f>
        <v>5</v>
      </c>
      <c r="Q301" s="61">
        <f>IF($C301="B",INDEX(Batters[[#All],[Tot]],MATCH(Table5[[#This Row],[PID]],Batters[[#All],[PID]],0)),INDEX(Table3[[#All],[Tot]],MATCH(Table5[[#This Row],[PID]],Table3[[#All],[PID]],0)))</f>
        <v>44.407063636836369</v>
      </c>
      <c r="R301" s="52">
        <f>IF($C301="B",INDEX(Batters[[#All],[zScore]],MATCH(Table5[[#This Row],[PID]],Batters[[#All],[PID]],0)),INDEX(Table3[[#All],[zScore]],MATCH(Table5[[#This Row],[PID]],Table3[[#All],[PID]],0)))</f>
        <v>0.17349376542955552</v>
      </c>
      <c r="S301" s="75" t="str">
        <f>IF($C301="B",INDEX(Batters[[#All],[DEM]],MATCH(Table5[[#This Row],[PID]],Batters[[#All],[PID]],0)),INDEX(Table3[[#All],[DEM]],MATCH(Table5[[#This Row],[PID]],Table3[[#All],[PID]],0)))</f>
        <v>$200k</v>
      </c>
      <c r="T301" s="72">
        <f>IF($C301="B",INDEX(Batters[[#All],[Rnk]],MATCH(Table5[[#This Row],[PID]],Batters[[#All],[PID]],0)),INDEX(Table3[[#All],[Rnk]],MATCH(Table5[[#This Row],[PID]],Table3[[#All],[PID]],0)))</f>
        <v>900</v>
      </c>
      <c r="U301" s="67">
        <f>IF($C301="B",VLOOKUP($A301,Bat!$A$4:$BA$1314,47,FALSE),VLOOKUP($A301,Pit!$A$4:$BF$1214,56,FALSE))</f>
        <v>158</v>
      </c>
      <c r="V301" s="50">
        <f>IF($C301="B",VLOOKUP($A301,Bat!$A$4:$BA$1314,48,FALSE),VLOOKUP($A301,Pit!$A$4:$BF$1214,57,FALSE))</f>
        <v>0</v>
      </c>
      <c r="W301" s="68">
        <f>IF(Table5[[#This Row],[posRnk]]=999,9999,Table5[[#This Row],[posRnk]]+Table5[[#This Row],[zRnk]]+IF($W$3&lt;&gt;Table5[[#This Row],[Type]],50,0))</f>
        <v>1273</v>
      </c>
      <c r="X301" s="71">
        <f>RANK(Table5[[#This Row],[zScore]],Table5[[#All],[zScore]])</f>
        <v>323</v>
      </c>
      <c r="Y301" s="68">
        <f>IFERROR(INDEX(DraftResults[[#All],[OVR]],MATCH(Table5[[#This Row],[PID]],DraftResults[[#All],[Player ID]],0)),"")</f>
        <v>134</v>
      </c>
      <c r="Z301" s="7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4</v>
      </c>
      <c r="AA301" s="68">
        <f>IFERROR(INDEX(DraftResults[[#All],[Pick in Round]],MATCH(Table5[[#This Row],[PID]],DraftResults[[#All],[Player ID]],0)),"")</f>
        <v>29</v>
      </c>
      <c r="AB301" s="68" t="str">
        <f>IFERROR(INDEX(DraftResults[[#All],[Team Name]],MATCH(Table5[[#This Row],[PID]],DraftResults[[#All],[Player ID]],0)),"")</f>
        <v>Charleston Statesmen</v>
      </c>
      <c r="AC301" s="68">
        <f>IF(Table5[[#This Row],[Ovr]]="","",IF(Table5[[#This Row],[cmbList]]="","",Table5[[#This Row],[cmbList]]-Table5[[#This Row],[Ovr]]))</f>
        <v>1139</v>
      </c>
      <c r="AD301" s="74" t="str">
        <f>IF(ISERROR(VLOOKUP($AB301&amp;"-"&amp;$E301&amp;" "&amp;F301,Bonuses!$B$1:$G$1006,4,FALSE)),"",INT(VLOOKUP($AB301&amp;"-"&amp;$E301&amp;" "&amp;$F301,Bonuses!$B$1:$G$1006,4,FALSE)))</f>
        <v/>
      </c>
      <c r="AE301" s="68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4.29 (134) - SS Fernando Martínez</v>
      </c>
    </row>
    <row r="302" spans="1:31" s="50" customFormat="1" x14ac:dyDescent="0.3">
      <c r="A302" s="50">
        <v>20568</v>
      </c>
      <c r="B302" s="50">
        <f>COUNTIF(Table5[PID],A302)</f>
        <v>1</v>
      </c>
      <c r="C302" s="50" t="str">
        <f>IF(COUNTIF(Table3[[#All],[PID]],A302)&gt;0,"P","B")</f>
        <v>B</v>
      </c>
      <c r="D302" s="59" t="str">
        <f>IF($C302="B",INDEX(Batters[[#All],[POS]],MATCH(Table5[[#This Row],[PID]],Batters[[#All],[PID]],0)),INDEX(Table3[[#All],[POS]],MATCH(Table5[[#This Row],[PID]],Table3[[#All],[PID]],0)))</f>
        <v>SS</v>
      </c>
      <c r="E302" s="52" t="str">
        <f>IF($C302="B",INDEX(Batters[[#All],[First]],MATCH(Table5[[#This Row],[PID]],Batters[[#All],[PID]],0)),INDEX(Table3[[#All],[First]],MATCH(Table5[[#This Row],[PID]],Table3[[#All],[PID]],0)))</f>
        <v>Kyle</v>
      </c>
      <c r="F302" s="50" t="str">
        <f>IF($C302="B",INDEX(Batters[[#All],[Last]],MATCH(A302,Batters[[#All],[PID]],0)),INDEX(Table3[[#All],[Last]],MATCH(A302,Table3[[#All],[PID]],0)))</f>
        <v>Cooper</v>
      </c>
      <c r="G302" s="56">
        <f>IF($C302="B",INDEX(Batters[[#All],[Age]],MATCH(Table5[[#This Row],[PID]],Batters[[#All],[PID]],0)),INDEX(Table3[[#All],[Age]],MATCH(Table5[[#This Row],[PID]],Table3[[#All],[PID]],0)))</f>
        <v>17</v>
      </c>
      <c r="H302" s="52" t="str">
        <f>IF($C302="B",INDEX(Batters[[#All],[B]],MATCH(Table5[[#This Row],[PID]],Batters[[#All],[PID]],0)),INDEX(Table3[[#All],[B]],MATCH(Table5[[#This Row],[PID]],Table3[[#All],[PID]],0)))</f>
        <v>R</v>
      </c>
      <c r="I302" s="52" t="str">
        <f>IF($C302="B",INDEX(Batters[[#All],[T]],MATCH(Table5[[#This Row],[PID]],Batters[[#All],[PID]],0)),INDEX(Table3[[#All],[T]],MATCH(Table5[[#This Row],[PID]],Table3[[#All],[PID]],0)))</f>
        <v>R</v>
      </c>
      <c r="J302" s="52" t="str">
        <f>IF($C302="B",INDEX(Batters[[#All],[WE]],MATCH(Table5[[#This Row],[PID]],Batters[[#All],[PID]],0)),INDEX(Table3[[#All],[WE]],MATCH(Table5[[#This Row],[PID]],Table3[[#All],[PID]],0)))</f>
        <v>Low</v>
      </c>
      <c r="K302" s="52" t="str">
        <f>IF($C302="B",INDEX(Batters[[#All],[INT]],MATCH(Table5[[#This Row],[PID]],Batters[[#All],[PID]],0)),INDEX(Table3[[#All],[INT]],MATCH(Table5[[#This Row],[PID]],Table3[[#All],[PID]],0)))</f>
        <v>Normal</v>
      </c>
      <c r="L302" s="60">
        <f>IF($C302="B",INDEX(Batters[[#All],[CON P]],MATCH(Table5[[#This Row],[PID]],Batters[[#All],[PID]],0)),INDEX(Table3[[#All],[STU P]],MATCH(Table5[[#This Row],[PID]],Table3[[#All],[PID]],0)))</f>
        <v>3</v>
      </c>
      <c r="M302" s="56">
        <f>IF($C302="B",INDEX(Batters[[#All],[GAP P]],MATCH(Table5[[#This Row],[PID]],Batters[[#All],[PID]],0)),INDEX(Table3[[#All],[MOV P]],MATCH(Table5[[#This Row],[PID]],Table3[[#All],[PID]],0)))</f>
        <v>5</v>
      </c>
      <c r="N302" s="56">
        <f>IF($C302="B",INDEX(Batters[[#All],[POW P]],MATCH(Table5[[#This Row],[PID]],Batters[[#All],[PID]],0)),INDEX(Table3[[#All],[CON P]],MATCH(Table5[[#This Row],[PID]],Table3[[#All],[PID]],0)))</f>
        <v>6</v>
      </c>
      <c r="O302" s="56">
        <f>IF($C302="B",INDEX(Batters[[#All],[EYE P]],MATCH(Table5[[#This Row],[PID]],Batters[[#All],[PID]],0)),INDEX(Table3[[#All],[VELO]],MATCH(Table5[[#This Row],[PID]],Table3[[#All],[PID]],0)))</f>
        <v>5</v>
      </c>
      <c r="P302" s="56">
        <f>IF($C302="B",INDEX(Batters[[#All],[K P]],MATCH(Table5[[#This Row],[PID]],Batters[[#All],[PID]],0)),INDEX(Table3[[#All],[STM]],MATCH(Table5[[#This Row],[PID]],Table3[[#All],[PID]],0)))</f>
        <v>3</v>
      </c>
      <c r="Q302" s="61">
        <f>IF($C302="B",INDEX(Batters[[#All],[Tot]],MATCH(Table5[[#This Row],[PID]],Batters[[#All],[PID]],0)),INDEX(Table3[[#All],[Tot]],MATCH(Table5[[#This Row],[PID]],Table3[[#All],[PID]],0)))</f>
        <v>44.974872289285152</v>
      </c>
      <c r="R302" s="52">
        <f>IF($C302="B",INDEX(Batters[[#All],[zScore]],MATCH(Table5[[#This Row],[PID]],Batters[[#All],[PID]],0)),INDEX(Table3[[#All],[zScore]],MATCH(Table5[[#This Row],[PID]],Table3[[#All],[PID]],0)))</f>
        <v>0.25637572106880102</v>
      </c>
      <c r="S302" s="58" t="str">
        <f>IF($C302="B",INDEX(Batters[[#All],[DEM]],MATCH(Table5[[#This Row],[PID]],Batters[[#All],[PID]],0)),INDEX(Table3[[#All],[DEM]],MATCH(Table5[[#This Row],[PID]],Table3[[#All],[PID]],0)))</f>
        <v>$330k</v>
      </c>
      <c r="T302" s="62">
        <f>IF($C302="B",INDEX(Batters[[#All],[Rnk]],MATCH(Table5[[#This Row],[PID]],Batters[[#All],[PID]],0)),INDEX(Table3[[#All],[Rnk]],MATCH(Table5[[#This Row],[PID]],Table3[[#All],[PID]],0)))</f>
        <v>930</v>
      </c>
      <c r="U302" s="67">
        <f>IF($C302="B",VLOOKUP($A302,Bat!$A$4:$BA$1314,47,FALSE),VLOOKUP($A302,Pit!$A$4:$BF$1214,56,FALSE))</f>
        <v>315</v>
      </c>
      <c r="V302" s="50">
        <f>IF($C302="B",VLOOKUP($A302,Bat!$A$4:$BA$1314,48,FALSE),VLOOKUP($A302,Pit!$A$4:$BF$1214,57,FALSE))</f>
        <v>0</v>
      </c>
      <c r="W302" s="68">
        <f>IF(Table5[[#This Row],[posRnk]]=999,9999,Table5[[#This Row],[posRnk]]+Table5[[#This Row],[zRnk]]+IF($W$3&lt;&gt;Table5[[#This Row],[Type]],50,0))</f>
        <v>1273</v>
      </c>
      <c r="X302" s="51">
        <f>RANK(Table5[[#This Row],[zScore]],Table5[[#All],[zScore]])</f>
        <v>293</v>
      </c>
      <c r="Y302" s="50">
        <f>IFERROR(INDEX(DraftResults[[#All],[OVR]],MATCH(Table5[[#This Row],[PID]],DraftResults[[#All],[Player ID]],0)),"")</f>
        <v>83</v>
      </c>
      <c r="Z302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3</v>
      </c>
      <c r="AA302" s="50">
        <f>IFERROR(INDEX(DraftResults[[#All],[Pick in Round]],MATCH(Table5[[#This Row],[PID]],DraftResults[[#All],[Player ID]],0)),"")</f>
        <v>11</v>
      </c>
      <c r="AB302" s="50" t="str">
        <f>IFERROR(INDEX(DraftResults[[#All],[Team Name]],MATCH(Table5[[#This Row],[PID]],DraftResults[[#All],[Player ID]],0)),"")</f>
        <v>Kalamazoo Badgers</v>
      </c>
      <c r="AC302" s="50">
        <f>IF(Table5[[#This Row],[Ovr]]="","",IF(Table5[[#This Row],[cmbList]]="","",Table5[[#This Row],[cmbList]]-Table5[[#This Row],[Ovr]]))</f>
        <v>1190</v>
      </c>
      <c r="AD302" s="54" t="str">
        <f>IF(ISERROR(VLOOKUP($AB302&amp;"-"&amp;$E302&amp;" "&amp;F302,Bonuses!$B$1:$G$1006,4,FALSE)),"",INT(VLOOKUP($AB302&amp;"-"&amp;$E302&amp;" "&amp;$F302,Bonuses!$B$1:$G$1006,4,FALSE)))</f>
        <v/>
      </c>
      <c r="AE302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3.11 (83) - SS Kyle Cooper</v>
      </c>
    </row>
    <row r="303" spans="1:31" s="50" customFormat="1" x14ac:dyDescent="0.3">
      <c r="A303" s="50">
        <v>12526</v>
      </c>
      <c r="B303" s="50">
        <f>COUNTIF(Table5[PID],A303)</f>
        <v>1</v>
      </c>
      <c r="C303" s="50" t="str">
        <f>IF(COUNTIF(Table3[[#All],[PID]],A303)&gt;0,"P","B")</f>
        <v>B</v>
      </c>
      <c r="D303" s="59" t="str">
        <f>IF($C303="B",INDEX(Batters[[#All],[POS]],MATCH(Table5[[#This Row],[PID]],Batters[[#All],[PID]],0)),INDEX(Table3[[#All],[POS]],MATCH(Table5[[#This Row],[PID]],Table3[[#All],[PID]],0)))</f>
        <v>C</v>
      </c>
      <c r="E303" s="52" t="str">
        <f>IF($C303="B",INDEX(Batters[[#All],[First]],MATCH(Table5[[#This Row],[PID]],Batters[[#All],[PID]],0)),INDEX(Table3[[#All],[First]],MATCH(Table5[[#This Row],[PID]],Table3[[#All],[PID]],0)))</f>
        <v>Mark</v>
      </c>
      <c r="F303" s="50" t="str">
        <f>IF($C303="B",INDEX(Batters[[#All],[Last]],MATCH(A303,Batters[[#All],[PID]],0)),INDEX(Table3[[#All],[Last]],MATCH(A303,Table3[[#All],[PID]],0)))</f>
        <v>Lea</v>
      </c>
      <c r="G303" s="56">
        <f>IF($C303="B",INDEX(Batters[[#All],[Age]],MATCH(Table5[[#This Row],[PID]],Batters[[#All],[PID]],0)),INDEX(Table3[[#All],[Age]],MATCH(Table5[[#This Row],[PID]],Table3[[#All],[PID]],0)))</f>
        <v>18</v>
      </c>
      <c r="H303" s="52" t="str">
        <f>IF($C303="B",INDEX(Batters[[#All],[B]],MATCH(Table5[[#This Row],[PID]],Batters[[#All],[PID]],0)),INDEX(Table3[[#All],[B]],MATCH(Table5[[#This Row],[PID]],Table3[[#All],[PID]],0)))</f>
        <v>R</v>
      </c>
      <c r="I303" s="52" t="str">
        <f>IF($C303="B",INDEX(Batters[[#All],[T]],MATCH(Table5[[#This Row],[PID]],Batters[[#All],[PID]],0)),INDEX(Table3[[#All],[T]],MATCH(Table5[[#This Row],[PID]],Table3[[#All],[PID]],0)))</f>
        <v>R</v>
      </c>
      <c r="J303" s="52" t="str">
        <f>IF($C303="B",INDEX(Batters[[#All],[WE]],MATCH(Table5[[#This Row],[PID]],Batters[[#All],[PID]],0)),INDEX(Table3[[#All],[WE]],MATCH(Table5[[#This Row],[PID]],Table3[[#All],[PID]],0)))</f>
        <v>Normal</v>
      </c>
      <c r="K303" s="52" t="str">
        <f>IF($C303="B",INDEX(Batters[[#All],[INT]],MATCH(Table5[[#This Row],[PID]],Batters[[#All],[PID]],0)),INDEX(Table3[[#All],[INT]],MATCH(Table5[[#This Row],[PID]],Table3[[#All],[PID]],0)))</f>
        <v>Normal</v>
      </c>
      <c r="L303" s="60">
        <f>IF($C303="B",INDEX(Batters[[#All],[CON P]],MATCH(Table5[[#This Row],[PID]],Batters[[#All],[PID]],0)),INDEX(Table3[[#All],[STU P]],MATCH(Table5[[#This Row],[PID]],Table3[[#All],[PID]],0)))</f>
        <v>3</v>
      </c>
      <c r="M303" s="56">
        <f>IF($C303="B",INDEX(Batters[[#All],[GAP P]],MATCH(Table5[[#This Row],[PID]],Batters[[#All],[PID]],0)),INDEX(Table3[[#All],[MOV P]],MATCH(Table5[[#This Row],[PID]],Table3[[#All],[PID]],0)))</f>
        <v>5</v>
      </c>
      <c r="N303" s="56">
        <f>IF($C303="B",INDEX(Batters[[#All],[POW P]],MATCH(Table5[[#This Row],[PID]],Batters[[#All],[PID]],0)),INDEX(Table3[[#All],[CON P]],MATCH(Table5[[#This Row],[PID]],Table3[[#All],[PID]],0)))</f>
        <v>4</v>
      </c>
      <c r="O303" s="56">
        <f>IF($C303="B",INDEX(Batters[[#All],[EYE P]],MATCH(Table5[[#This Row],[PID]],Batters[[#All],[PID]],0)),INDEX(Table3[[#All],[VELO]],MATCH(Table5[[#This Row],[PID]],Table3[[#All],[PID]],0)))</f>
        <v>6</v>
      </c>
      <c r="P303" s="56">
        <f>IF($C303="B",INDEX(Batters[[#All],[K P]],MATCH(Table5[[#This Row],[PID]],Batters[[#All],[PID]],0)),INDEX(Table3[[#All],[STM]],MATCH(Table5[[#This Row],[PID]],Table3[[#All],[PID]],0)))</f>
        <v>3</v>
      </c>
      <c r="Q303" s="61">
        <f>IF($C303="B",INDEX(Batters[[#All],[Tot]],MATCH(Table5[[#This Row],[PID]],Batters[[#All],[PID]],0)),INDEX(Table3[[#All],[Tot]],MATCH(Table5[[#This Row],[PID]],Table3[[#All],[PID]],0)))</f>
        <v>44.354710871385969</v>
      </c>
      <c r="R303" s="52">
        <f>IF($C303="B",INDEX(Batters[[#All],[zScore]],MATCH(Table5[[#This Row],[PID]],Batters[[#All],[PID]],0)),INDEX(Table3[[#All],[zScore]],MATCH(Table5[[#This Row],[PID]],Table3[[#All],[PID]],0)))</f>
        <v>0.16585193122195979</v>
      </c>
      <c r="S303" s="58" t="str">
        <f>IF($C303="B",INDEX(Batters[[#All],[DEM]],MATCH(Table5[[#This Row],[PID]],Batters[[#All],[PID]],0)),INDEX(Table3[[#All],[DEM]],MATCH(Table5[[#This Row],[PID]],Table3[[#All],[PID]],0)))</f>
        <v>$65k</v>
      </c>
      <c r="T303" s="62">
        <f>IF($C303="B",INDEX(Batters[[#All],[Rnk]],MATCH(Table5[[#This Row],[PID]],Batters[[#All],[PID]],0)),INDEX(Table3[[#All],[Rnk]],MATCH(Table5[[#This Row],[PID]],Table3[[#All],[PID]],0)))</f>
        <v>900</v>
      </c>
      <c r="U303" s="67">
        <f>IF($C303="B",VLOOKUP($A303,Bat!$A$4:$BA$1314,47,FALSE),VLOOKUP($A303,Pit!$A$4:$BF$1214,56,FALSE))</f>
        <v>159</v>
      </c>
      <c r="V303" s="50">
        <f>IF($C303="B",VLOOKUP($A303,Bat!$A$4:$BA$1314,48,FALSE),VLOOKUP($A303,Pit!$A$4:$BF$1214,57,FALSE))</f>
        <v>0</v>
      </c>
      <c r="W303" s="68">
        <f>IF(Table5[[#This Row],[posRnk]]=999,9999,Table5[[#This Row],[posRnk]]+Table5[[#This Row],[zRnk]]+IF($W$3&lt;&gt;Table5[[#This Row],[Type]],50,0))</f>
        <v>1275</v>
      </c>
      <c r="X303" s="51">
        <f>RANK(Table5[[#This Row],[zScore]],Table5[[#All],[zScore]])</f>
        <v>325</v>
      </c>
      <c r="Y303" s="50">
        <f>IFERROR(INDEX(DraftResults[[#All],[OVR]],MATCH(Table5[[#This Row],[PID]],DraftResults[[#All],[Player ID]],0)),"")</f>
        <v>368</v>
      </c>
      <c r="Z303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12</v>
      </c>
      <c r="AA303" s="50">
        <f>IFERROR(INDEX(DraftResults[[#All],[Pick in Round]],MATCH(Table5[[#This Row],[PID]],DraftResults[[#All],[Player ID]],0)),"")</f>
        <v>3</v>
      </c>
      <c r="AB303" s="50" t="str">
        <f>IFERROR(INDEX(DraftResults[[#All],[Team Name]],MATCH(Table5[[#This Row],[PID]],DraftResults[[#All],[Player ID]],0)),"")</f>
        <v>Okinawa Shisa</v>
      </c>
      <c r="AC303" s="50">
        <f>IF(Table5[[#This Row],[Ovr]]="","",IF(Table5[[#This Row],[cmbList]]="","",Table5[[#This Row],[cmbList]]-Table5[[#This Row],[Ovr]]))</f>
        <v>907</v>
      </c>
      <c r="AD303" s="54" t="str">
        <f>IF(ISERROR(VLOOKUP($AB303&amp;"-"&amp;$E303&amp;" "&amp;F303,Bonuses!$B$1:$G$1006,4,FALSE)),"",INT(VLOOKUP($AB303&amp;"-"&amp;$E303&amp;" "&amp;$F303,Bonuses!$B$1:$G$1006,4,FALSE)))</f>
        <v/>
      </c>
      <c r="AE303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12.3 (368) - C Mark Lea</v>
      </c>
    </row>
    <row r="304" spans="1:31" s="50" customFormat="1" x14ac:dyDescent="0.3">
      <c r="A304" s="67">
        <v>8835</v>
      </c>
      <c r="B304" s="68">
        <f>COUNTIF(Table5[PID],A304)</f>
        <v>1</v>
      </c>
      <c r="C304" s="68" t="str">
        <f>IF(COUNTIF(Table3[[#All],[PID]],A304)&gt;0,"P","B")</f>
        <v>B</v>
      </c>
      <c r="D304" s="59" t="str">
        <f>IF($C304="B",INDEX(Batters[[#All],[POS]],MATCH(Table5[[#This Row],[PID]],Batters[[#All],[PID]],0)),INDEX(Table3[[#All],[POS]],MATCH(Table5[[#This Row],[PID]],Table3[[#All],[PID]],0)))</f>
        <v>C</v>
      </c>
      <c r="E304" s="52" t="str">
        <f>IF($C304="B",INDEX(Batters[[#All],[First]],MATCH(Table5[[#This Row],[PID]],Batters[[#All],[PID]],0)),INDEX(Table3[[#All],[First]],MATCH(Table5[[#This Row],[PID]],Table3[[#All],[PID]],0)))</f>
        <v>Misao</v>
      </c>
      <c r="F304" s="55" t="str">
        <f>IF($C304="B",INDEX(Batters[[#All],[Last]],MATCH(A304,Batters[[#All],[PID]],0)),INDEX(Table3[[#All],[Last]],MATCH(A304,Table3[[#All],[PID]],0)))</f>
        <v>Takahashi</v>
      </c>
      <c r="G304" s="56">
        <f>IF($C304="B",INDEX(Batters[[#All],[Age]],MATCH(Table5[[#This Row],[PID]],Batters[[#All],[PID]],0)),INDEX(Table3[[#All],[Age]],MATCH(Table5[[#This Row],[PID]],Table3[[#All],[PID]],0)))</f>
        <v>21</v>
      </c>
      <c r="H304" s="52" t="str">
        <f>IF($C304="B",INDEX(Batters[[#All],[B]],MATCH(Table5[[#This Row],[PID]],Batters[[#All],[PID]],0)),INDEX(Table3[[#All],[B]],MATCH(Table5[[#This Row],[PID]],Table3[[#All],[PID]],0)))</f>
        <v>R</v>
      </c>
      <c r="I304" s="52" t="str">
        <f>IF($C304="B",INDEX(Batters[[#All],[T]],MATCH(Table5[[#This Row],[PID]],Batters[[#All],[PID]],0)),INDEX(Table3[[#All],[T]],MATCH(Table5[[#This Row],[PID]],Table3[[#All],[PID]],0)))</f>
        <v>R</v>
      </c>
      <c r="J304" s="69" t="str">
        <f>IF($C304="B",INDEX(Batters[[#All],[WE]],MATCH(Table5[[#This Row],[PID]],Batters[[#All],[PID]],0)),INDEX(Table3[[#All],[WE]],MATCH(Table5[[#This Row],[PID]],Table3[[#All],[PID]],0)))</f>
        <v>Normal</v>
      </c>
      <c r="K304" s="52" t="str">
        <f>IF($C304="B",INDEX(Batters[[#All],[INT]],MATCH(Table5[[#This Row],[PID]],Batters[[#All],[PID]],0)),INDEX(Table3[[#All],[INT]],MATCH(Table5[[#This Row],[PID]],Table3[[#All],[PID]],0)))</f>
        <v>Normal</v>
      </c>
      <c r="L304" s="60">
        <f>IF($C304="B",INDEX(Batters[[#All],[CON P]],MATCH(Table5[[#This Row],[PID]],Batters[[#All],[PID]],0)),INDEX(Table3[[#All],[STU P]],MATCH(Table5[[#This Row],[PID]],Table3[[#All],[PID]],0)))</f>
        <v>3</v>
      </c>
      <c r="M304" s="70">
        <f>IF($C304="B",INDEX(Batters[[#All],[GAP P]],MATCH(Table5[[#This Row],[PID]],Batters[[#All],[PID]],0)),INDEX(Table3[[#All],[MOV P]],MATCH(Table5[[#This Row],[PID]],Table3[[#All],[PID]],0)))</f>
        <v>6</v>
      </c>
      <c r="N304" s="70">
        <f>IF($C304="B",INDEX(Batters[[#All],[POW P]],MATCH(Table5[[#This Row],[PID]],Batters[[#All],[PID]],0)),INDEX(Table3[[#All],[CON P]],MATCH(Table5[[#This Row],[PID]],Table3[[#All],[PID]],0)))</f>
        <v>6</v>
      </c>
      <c r="O304" s="70">
        <f>IF($C304="B",INDEX(Batters[[#All],[EYE P]],MATCH(Table5[[#This Row],[PID]],Batters[[#All],[PID]],0)),INDEX(Table3[[#All],[VELO]],MATCH(Table5[[#This Row],[PID]],Table3[[#All],[PID]],0)))</f>
        <v>7</v>
      </c>
      <c r="P304" s="56">
        <f>IF($C304="B",INDEX(Batters[[#All],[K P]],MATCH(Table5[[#This Row],[PID]],Batters[[#All],[PID]],0)),INDEX(Table3[[#All],[STM]],MATCH(Table5[[#This Row],[PID]],Table3[[#All],[PID]],0)))</f>
        <v>3</v>
      </c>
      <c r="Q304" s="61">
        <f>IF($C304="B",INDEX(Batters[[#All],[Tot]],MATCH(Table5[[#This Row],[PID]],Batters[[#All],[PID]],0)),INDEX(Table3[[#All],[Tot]],MATCH(Table5[[#This Row],[PID]],Table3[[#All],[PID]],0)))</f>
        <v>44.315106457448287</v>
      </c>
      <c r="R304" s="52">
        <f>IF($C304="B",INDEX(Batters[[#All],[zScore]],MATCH(Table5[[#This Row],[PID]],Batters[[#All],[PID]],0)),INDEX(Table3[[#All],[zScore]],MATCH(Table5[[#This Row],[PID]],Table3[[#All],[PID]],0)))</f>
        <v>0.16007094978579314</v>
      </c>
      <c r="S304" s="75" t="str">
        <f>IF($C304="B",INDEX(Batters[[#All],[DEM]],MATCH(Table5[[#This Row],[PID]],Batters[[#All],[PID]],0)),INDEX(Table3[[#All],[DEM]],MATCH(Table5[[#This Row],[PID]],Table3[[#All],[PID]],0)))</f>
        <v>$75k</v>
      </c>
      <c r="T304" s="72">
        <f>IF($C304="B",INDEX(Batters[[#All],[Rnk]],MATCH(Table5[[#This Row],[PID]],Batters[[#All],[PID]],0)),INDEX(Table3[[#All],[Rnk]],MATCH(Table5[[#This Row],[PID]],Table3[[#All],[PID]],0)))</f>
        <v>900</v>
      </c>
      <c r="U304" s="67">
        <f>IF($C304="B",VLOOKUP($A304,Bat!$A$4:$BA$1314,47,FALSE),VLOOKUP($A304,Pit!$A$4:$BF$1214,56,FALSE))</f>
        <v>161</v>
      </c>
      <c r="V304" s="50">
        <f>IF($C304="B",VLOOKUP($A304,Bat!$A$4:$BA$1314,48,FALSE),VLOOKUP($A304,Pit!$A$4:$BF$1214,57,FALSE))</f>
        <v>0</v>
      </c>
      <c r="W304" s="68">
        <f>IF(Table5[[#This Row],[posRnk]]=999,9999,Table5[[#This Row],[posRnk]]+Table5[[#This Row],[zRnk]]+IF($W$3&lt;&gt;Table5[[#This Row],[Type]],50,0))</f>
        <v>1276</v>
      </c>
      <c r="X304" s="71">
        <f>RANK(Table5[[#This Row],[zScore]],Table5[[#All],[zScore]])</f>
        <v>326</v>
      </c>
      <c r="Y304" s="68">
        <f>IFERROR(INDEX(DraftResults[[#All],[OVR]],MATCH(Table5[[#This Row],[PID]],DraftResults[[#All],[Player ID]],0)),"")</f>
        <v>27</v>
      </c>
      <c r="Z304" s="7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1</v>
      </c>
      <c r="AA304" s="68">
        <f>IFERROR(INDEX(DraftResults[[#All],[Pick in Round]],MATCH(Table5[[#This Row],[PID]],DraftResults[[#All],[Player ID]],0)),"")</f>
        <v>27</v>
      </c>
      <c r="AB304" s="68" t="str">
        <f>IFERROR(INDEX(DraftResults[[#All],[Team Name]],MATCH(Table5[[#This Row],[PID]],DraftResults[[#All],[Player ID]],0)),"")</f>
        <v>Yuma Arroyos</v>
      </c>
      <c r="AC304" s="68">
        <f>IF(Table5[[#This Row],[Ovr]]="","",IF(Table5[[#This Row],[cmbList]]="","",Table5[[#This Row],[cmbList]]-Table5[[#This Row],[Ovr]]))</f>
        <v>1249</v>
      </c>
      <c r="AD304" s="74" t="str">
        <f>IF(ISERROR(VLOOKUP($AB304&amp;"-"&amp;$E304&amp;" "&amp;F304,Bonuses!$B$1:$G$1006,4,FALSE)),"",INT(VLOOKUP($AB304&amp;"-"&amp;$E304&amp;" "&amp;$F304,Bonuses!$B$1:$G$1006,4,FALSE)))</f>
        <v/>
      </c>
      <c r="AE304" s="68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1.27 (27) - C Misao Takahashi</v>
      </c>
    </row>
    <row r="305" spans="1:31" s="50" customFormat="1" x14ac:dyDescent="0.3">
      <c r="A305" s="50">
        <v>11264</v>
      </c>
      <c r="B305" s="50">
        <f>COUNTIF(Table5[PID],A305)</f>
        <v>1</v>
      </c>
      <c r="C305" s="50" t="str">
        <f>IF(COUNTIF(Table3[[#All],[PID]],A305)&gt;0,"P","B")</f>
        <v>P</v>
      </c>
      <c r="D305" s="59" t="str">
        <f>IF($C305="B",INDEX(Batters[[#All],[POS]],MATCH(Table5[[#This Row],[PID]],Batters[[#All],[PID]],0)),INDEX(Table3[[#All],[POS]],MATCH(Table5[[#This Row],[PID]],Table3[[#All],[PID]],0)))</f>
        <v>RP</v>
      </c>
      <c r="E305" s="52" t="str">
        <f>IF($C305="B",INDEX(Batters[[#All],[First]],MATCH(Table5[[#This Row],[PID]],Batters[[#All],[PID]],0)),INDEX(Table3[[#All],[First]],MATCH(Table5[[#This Row],[PID]],Table3[[#All],[PID]],0)))</f>
        <v>Carlos</v>
      </c>
      <c r="F305" s="50" t="str">
        <f>IF($C305="B",INDEX(Batters[[#All],[Last]],MATCH(A305,Batters[[#All],[PID]],0)),INDEX(Table3[[#All],[Last]],MATCH(A305,Table3[[#All],[PID]],0)))</f>
        <v>Miranda</v>
      </c>
      <c r="G305" s="56">
        <f>IF($C305="B",INDEX(Batters[[#All],[Age]],MATCH(Table5[[#This Row],[PID]],Batters[[#All],[PID]],0)),INDEX(Table3[[#All],[Age]],MATCH(Table5[[#This Row],[PID]],Table3[[#All],[PID]],0)))</f>
        <v>17</v>
      </c>
      <c r="H305" s="52" t="str">
        <f>IF($C305="B",INDEX(Batters[[#All],[B]],MATCH(Table5[[#This Row],[PID]],Batters[[#All],[PID]],0)),INDEX(Table3[[#All],[B]],MATCH(Table5[[#This Row],[PID]],Table3[[#All],[PID]],0)))</f>
        <v>R</v>
      </c>
      <c r="I305" s="52" t="str">
        <f>IF($C305="B",INDEX(Batters[[#All],[T]],MATCH(Table5[[#This Row],[PID]],Batters[[#All],[PID]],0)),INDEX(Table3[[#All],[T]],MATCH(Table5[[#This Row],[PID]],Table3[[#All],[PID]],0)))</f>
        <v>R</v>
      </c>
      <c r="J305" s="52" t="str">
        <f>IF($C305="B",INDEX(Batters[[#All],[WE]],MATCH(Table5[[#This Row],[PID]],Batters[[#All],[PID]],0)),INDEX(Table3[[#All],[WE]],MATCH(Table5[[#This Row],[PID]],Table3[[#All],[PID]],0)))</f>
        <v>Normal</v>
      </c>
      <c r="K305" s="52" t="str">
        <f>IF($C305="B",INDEX(Batters[[#All],[INT]],MATCH(Table5[[#This Row],[PID]],Batters[[#All],[PID]],0)),INDEX(Table3[[#All],[INT]],MATCH(Table5[[#This Row],[PID]],Table3[[#All],[PID]],0)))</f>
        <v>Normal</v>
      </c>
      <c r="L305" s="60">
        <f>IF($C305="B",INDEX(Batters[[#All],[CON P]],MATCH(Table5[[#This Row],[PID]],Batters[[#All],[PID]],0)),INDEX(Table3[[#All],[STU P]],MATCH(Table5[[#This Row],[PID]],Table3[[#All],[PID]],0)))</f>
        <v>5</v>
      </c>
      <c r="M305" s="56">
        <f>IF($C305="B",INDEX(Batters[[#All],[GAP P]],MATCH(Table5[[#This Row],[PID]],Batters[[#All],[PID]],0)),INDEX(Table3[[#All],[MOV P]],MATCH(Table5[[#This Row],[PID]],Table3[[#All],[PID]],0)))</f>
        <v>2</v>
      </c>
      <c r="N305" s="56">
        <f>IF($C305="B",INDEX(Batters[[#All],[POW P]],MATCH(Table5[[#This Row],[PID]],Batters[[#All],[PID]],0)),INDEX(Table3[[#All],[CON P]],MATCH(Table5[[#This Row],[PID]],Table3[[#All],[PID]],0)))</f>
        <v>3</v>
      </c>
      <c r="O305" s="56" t="str">
        <f>IF($C305="B",INDEX(Batters[[#All],[EYE P]],MATCH(Table5[[#This Row],[PID]],Batters[[#All],[PID]],0)),INDEX(Table3[[#All],[VELO]],MATCH(Table5[[#This Row],[PID]],Table3[[#All],[PID]],0)))</f>
        <v>90-92 Mph</v>
      </c>
      <c r="P305" s="56">
        <f>IF($C305="B",INDEX(Batters[[#All],[K P]],MATCH(Table5[[#This Row],[PID]],Batters[[#All],[PID]],0)),INDEX(Table3[[#All],[STM]],MATCH(Table5[[#This Row],[PID]],Table3[[#All],[PID]],0)))</f>
        <v>6</v>
      </c>
      <c r="Q305" s="61">
        <f>IF($C305="B",INDEX(Batters[[#All],[Tot]],MATCH(Table5[[#This Row],[PID]],Batters[[#All],[PID]],0)),INDEX(Table3[[#All],[Tot]],MATCH(Table5[[#This Row],[PID]],Table3[[#All],[PID]],0)))</f>
        <v>39.866724239092264</v>
      </c>
      <c r="R305" s="52">
        <f>IF($C305="B",INDEX(Batters[[#All],[zScore]],MATCH(Table5[[#This Row],[PID]],Batters[[#All],[PID]],0)),INDEX(Table3[[#All],[zScore]],MATCH(Table5[[#This Row],[PID]],Table3[[#All],[PID]],0)))</f>
        <v>0.15308015298189431</v>
      </c>
      <c r="S305" s="58" t="str">
        <f>IF($C305="B",INDEX(Batters[[#All],[DEM]],MATCH(Table5[[#This Row],[PID]],Batters[[#All],[PID]],0)),INDEX(Table3[[#All],[DEM]],MATCH(Table5[[#This Row],[PID]],Table3[[#All],[PID]],0)))</f>
        <v>$65k</v>
      </c>
      <c r="T305" s="62">
        <f>IF($C305="B",INDEX(Batters[[#All],[Rnk]],MATCH(Table5[[#This Row],[PID]],Batters[[#All],[PID]],0)),INDEX(Table3[[#All],[Rnk]],MATCH(Table5[[#This Row],[PID]],Table3[[#All],[PID]],0)))</f>
        <v>900</v>
      </c>
      <c r="U305" s="67">
        <f>IF($C305="B",VLOOKUP($A305,Bat!$A$4:$BA$1314,47,FALSE),VLOOKUP($A305,Pit!$A$4:$BF$1214,56,FALSE))</f>
        <v>109</v>
      </c>
      <c r="V305" s="50">
        <f>IF($C305="B",VLOOKUP($A305,Bat!$A$4:$BA$1314,48,FALSE),VLOOKUP($A305,Pit!$A$4:$BF$1214,57,FALSE))</f>
        <v>0</v>
      </c>
      <c r="W305" s="68">
        <f>IF(Table5[[#This Row],[posRnk]]=999,9999,Table5[[#This Row],[posRnk]]+Table5[[#This Row],[zRnk]]+IF($W$3&lt;&gt;Table5[[#This Row],[Type]],50,0))</f>
        <v>1227</v>
      </c>
      <c r="X305" s="51">
        <f>RANK(Table5[[#This Row],[zScore]],Table5[[#All],[zScore]])</f>
        <v>327</v>
      </c>
      <c r="Y305" s="50" t="str">
        <f>IFERROR(INDEX(DraftResults[[#All],[OVR]],MATCH(Table5[[#This Row],[PID]],DraftResults[[#All],[Player ID]],0)),"")</f>
        <v/>
      </c>
      <c r="Z305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/>
      </c>
      <c r="AA305" s="50" t="str">
        <f>IFERROR(INDEX(DraftResults[[#All],[Pick in Round]],MATCH(Table5[[#This Row],[PID]],DraftResults[[#All],[Player ID]],0)),"")</f>
        <v/>
      </c>
      <c r="AB305" s="50" t="str">
        <f>IFERROR(INDEX(DraftResults[[#All],[Team Name]],MATCH(Table5[[#This Row],[PID]],DraftResults[[#All],[Player ID]],0)),"")</f>
        <v/>
      </c>
      <c r="AC305" s="50" t="str">
        <f>IF(Table5[[#This Row],[Ovr]]="","",IF(Table5[[#This Row],[cmbList]]="","",Table5[[#This Row],[cmbList]]-Table5[[#This Row],[Ovr]]))</f>
        <v/>
      </c>
      <c r="AD305" s="54" t="str">
        <f>IF(ISERROR(VLOOKUP($AB305&amp;"-"&amp;$E305&amp;" "&amp;F305,Bonuses!$B$1:$G$1006,4,FALSE)),"",INT(VLOOKUP($AB305&amp;"-"&amp;$E305&amp;" "&amp;$F305,Bonuses!$B$1:$G$1006,4,FALSE)))</f>
        <v/>
      </c>
      <c r="AE305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/>
      </c>
    </row>
    <row r="306" spans="1:31" s="50" customFormat="1" x14ac:dyDescent="0.3">
      <c r="A306" s="67">
        <v>20352</v>
      </c>
      <c r="B306" s="68">
        <f>COUNTIF(Table5[PID],A306)</f>
        <v>1</v>
      </c>
      <c r="C306" s="68" t="str">
        <f>IF(COUNTIF(Table3[[#All],[PID]],A306)&gt;0,"P","B")</f>
        <v>P</v>
      </c>
      <c r="D306" s="59" t="str">
        <f>IF($C306="B",INDEX(Batters[[#All],[POS]],MATCH(Table5[[#This Row],[PID]],Batters[[#All],[PID]],0)),INDEX(Table3[[#All],[POS]],MATCH(Table5[[#This Row],[PID]],Table3[[#All],[PID]],0)))</f>
        <v>RP</v>
      </c>
      <c r="E306" s="52" t="str">
        <f>IF($C306="B",INDEX(Batters[[#All],[First]],MATCH(Table5[[#This Row],[PID]],Batters[[#All],[PID]],0)),INDEX(Table3[[#All],[First]],MATCH(Table5[[#This Row],[PID]],Table3[[#All],[PID]],0)))</f>
        <v>Lawrence</v>
      </c>
      <c r="F306" s="55" t="str">
        <f>IF($C306="B",INDEX(Batters[[#All],[Last]],MATCH(A306,Batters[[#All],[PID]],0)),INDEX(Table3[[#All],[Last]],MATCH(A306,Table3[[#All],[PID]],0)))</f>
        <v>Cox</v>
      </c>
      <c r="G306" s="56">
        <f>IF($C306="B",INDEX(Batters[[#All],[Age]],MATCH(Table5[[#This Row],[PID]],Batters[[#All],[PID]],0)),INDEX(Table3[[#All],[Age]],MATCH(Table5[[#This Row],[PID]],Table3[[#All],[PID]],0)))</f>
        <v>17</v>
      </c>
      <c r="H306" s="52" t="str">
        <f>IF($C306="B",INDEX(Batters[[#All],[B]],MATCH(Table5[[#This Row],[PID]],Batters[[#All],[PID]],0)),INDEX(Table3[[#All],[B]],MATCH(Table5[[#This Row],[PID]],Table3[[#All],[PID]],0)))</f>
        <v>R</v>
      </c>
      <c r="I306" s="52" t="str">
        <f>IF($C306="B",INDEX(Batters[[#All],[T]],MATCH(Table5[[#This Row],[PID]],Batters[[#All],[PID]],0)),INDEX(Table3[[#All],[T]],MATCH(Table5[[#This Row],[PID]],Table3[[#All],[PID]],0)))</f>
        <v>R</v>
      </c>
      <c r="J306" s="69" t="str">
        <f>IF($C306="B",INDEX(Batters[[#All],[WE]],MATCH(Table5[[#This Row],[PID]],Batters[[#All],[PID]],0)),INDEX(Table3[[#All],[WE]],MATCH(Table5[[#This Row],[PID]],Table3[[#All],[PID]],0)))</f>
        <v>High</v>
      </c>
      <c r="K306" s="52" t="str">
        <f>IF($C306="B",INDEX(Batters[[#All],[INT]],MATCH(Table5[[#This Row],[PID]],Batters[[#All],[PID]],0)),INDEX(Table3[[#All],[INT]],MATCH(Table5[[#This Row],[PID]],Table3[[#All],[PID]],0)))</f>
        <v>Normal</v>
      </c>
      <c r="L306" s="60">
        <f>IF($C306="B",INDEX(Batters[[#All],[CON P]],MATCH(Table5[[#This Row],[PID]],Batters[[#All],[PID]],0)),INDEX(Table3[[#All],[STU P]],MATCH(Table5[[#This Row],[PID]],Table3[[#All],[PID]],0)))</f>
        <v>5</v>
      </c>
      <c r="M306" s="70">
        <f>IF($C306="B",INDEX(Batters[[#All],[GAP P]],MATCH(Table5[[#This Row],[PID]],Batters[[#All],[PID]],0)),INDEX(Table3[[#All],[MOV P]],MATCH(Table5[[#This Row],[PID]],Table3[[#All],[PID]],0)))</f>
        <v>2</v>
      </c>
      <c r="N306" s="70">
        <f>IF($C306="B",INDEX(Batters[[#All],[POW P]],MATCH(Table5[[#This Row],[PID]],Batters[[#All],[PID]],0)),INDEX(Table3[[#All],[CON P]],MATCH(Table5[[#This Row],[PID]],Table3[[#All],[PID]],0)))</f>
        <v>3</v>
      </c>
      <c r="O306" s="70" t="str">
        <f>IF($C306="B",INDEX(Batters[[#All],[EYE P]],MATCH(Table5[[#This Row],[PID]],Batters[[#All],[PID]],0)),INDEX(Table3[[#All],[VELO]],MATCH(Table5[[#This Row],[PID]],Table3[[#All],[PID]],0)))</f>
        <v>88-90 Mph</v>
      </c>
      <c r="P306" s="56">
        <f>IF($C306="B",INDEX(Batters[[#All],[K P]],MATCH(Table5[[#This Row],[PID]],Batters[[#All],[PID]],0)),INDEX(Table3[[#All],[STM]],MATCH(Table5[[#This Row],[PID]],Table3[[#All],[PID]],0)))</f>
        <v>10</v>
      </c>
      <c r="Q306" s="61">
        <f>IF($C306="B",INDEX(Batters[[#All],[Tot]],MATCH(Table5[[#This Row],[PID]],Batters[[#All],[PID]],0)),INDEX(Table3[[#All],[Tot]],MATCH(Table5[[#This Row],[PID]],Table3[[#All],[PID]],0)))</f>
        <v>39.933639212385039</v>
      </c>
      <c r="R306" s="52">
        <f>IF($C306="B",INDEX(Batters[[#All],[zScore]],MATCH(Table5[[#This Row],[PID]],Batters[[#All],[PID]],0)),INDEX(Table3[[#All],[zScore]],MATCH(Table5[[#This Row],[PID]],Table3[[#All],[PID]],0)))</f>
        <v>0.15174621894417772</v>
      </c>
      <c r="S306" s="75" t="str">
        <f>IF($C306="B",INDEX(Batters[[#All],[DEM]],MATCH(Table5[[#This Row],[PID]],Batters[[#All],[PID]],0)),INDEX(Table3[[#All],[DEM]],MATCH(Table5[[#This Row],[PID]],Table3[[#All],[PID]],0)))</f>
        <v>$38k</v>
      </c>
      <c r="T306" s="72">
        <f>IF($C306="B",INDEX(Batters[[#All],[Rnk]],MATCH(Table5[[#This Row],[PID]],Batters[[#All],[PID]],0)),INDEX(Table3[[#All],[Rnk]],MATCH(Table5[[#This Row],[PID]],Table3[[#All],[PID]],0)))</f>
        <v>900</v>
      </c>
      <c r="U306" s="67">
        <f>IF($C306="B",VLOOKUP($A306,Bat!$A$4:$BA$1314,47,FALSE),VLOOKUP($A306,Pit!$A$4:$BF$1214,56,FALSE))</f>
        <v>102</v>
      </c>
      <c r="V306" s="50">
        <f>IF($C306="B",VLOOKUP($A306,Bat!$A$4:$BA$1314,48,FALSE),VLOOKUP($A306,Pit!$A$4:$BF$1214,57,FALSE))</f>
        <v>0</v>
      </c>
      <c r="W306" s="68">
        <f>IF(Table5[[#This Row],[posRnk]]=999,9999,Table5[[#This Row],[posRnk]]+Table5[[#This Row],[zRnk]]+IF($W$3&lt;&gt;Table5[[#This Row],[Type]],50,0))</f>
        <v>1228</v>
      </c>
      <c r="X306" s="71">
        <f>RANK(Table5[[#This Row],[zScore]],Table5[[#All],[zScore]])</f>
        <v>328</v>
      </c>
      <c r="Y306" s="68">
        <f>IFERROR(INDEX(DraftResults[[#All],[OVR]],MATCH(Table5[[#This Row],[PID]],DraftResults[[#All],[Player ID]],0)),"")</f>
        <v>337</v>
      </c>
      <c r="Z306" s="7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11</v>
      </c>
      <c r="AA306" s="68">
        <f>IFERROR(INDEX(DraftResults[[#All],[Pick in Round]],MATCH(Table5[[#This Row],[PID]],DraftResults[[#All],[Player ID]],0)),"")</f>
        <v>6</v>
      </c>
      <c r="AB306" s="68" t="str">
        <f>IFERROR(INDEX(DraftResults[[#All],[Team Name]],MATCH(Table5[[#This Row],[PID]],DraftResults[[#All],[Player ID]],0)),"")</f>
        <v>New Orleans Trendsetters</v>
      </c>
      <c r="AC306" s="68">
        <f>IF(Table5[[#This Row],[Ovr]]="","",IF(Table5[[#This Row],[cmbList]]="","",Table5[[#This Row],[cmbList]]-Table5[[#This Row],[Ovr]]))</f>
        <v>891</v>
      </c>
      <c r="AD306" s="74" t="str">
        <f>IF(ISERROR(VLOOKUP($AB306&amp;"-"&amp;$E306&amp;" "&amp;F306,Bonuses!$B$1:$G$1006,4,FALSE)),"",INT(VLOOKUP($AB306&amp;"-"&amp;$E306&amp;" "&amp;$F306,Bonuses!$B$1:$G$1006,4,FALSE)))</f>
        <v/>
      </c>
      <c r="AE306" s="68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11.6 (337) - RP Lawrence Cox</v>
      </c>
    </row>
    <row r="307" spans="1:31" s="50" customFormat="1" x14ac:dyDescent="0.3">
      <c r="A307" s="67">
        <v>20831</v>
      </c>
      <c r="B307" s="68">
        <f>COUNTIF(Table5[PID],A307)</f>
        <v>1</v>
      </c>
      <c r="C307" s="68" t="str">
        <f>IF(COUNTIF(Table3[[#All],[PID]],A307)&gt;0,"P","B")</f>
        <v>P</v>
      </c>
      <c r="D307" s="59" t="str">
        <f>IF($C307="B",INDEX(Batters[[#All],[POS]],MATCH(Table5[[#This Row],[PID]],Batters[[#All],[PID]],0)),INDEX(Table3[[#All],[POS]],MATCH(Table5[[#This Row],[PID]],Table3[[#All],[PID]],0)))</f>
        <v>RP</v>
      </c>
      <c r="E307" s="52" t="str">
        <f>IF($C307="B",INDEX(Batters[[#All],[First]],MATCH(Table5[[#This Row],[PID]],Batters[[#All],[PID]],0)),INDEX(Table3[[#All],[First]],MATCH(Table5[[#This Row],[PID]],Table3[[#All],[PID]],0)))</f>
        <v>Tim</v>
      </c>
      <c r="F307" s="55" t="str">
        <f>IF($C307="B",INDEX(Batters[[#All],[Last]],MATCH(A307,Batters[[#All],[PID]],0)),INDEX(Table3[[#All],[Last]],MATCH(A307,Table3[[#All],[PID]],0)))</f>
        <v>Patton</v>
      </c>
      <c r="G307" s="56">
        <f>IF($C307="B",INDEX(Batters[[#All],[Age]],MATCH(Table5[[#This Row],[PID]],Batters[[#All],[PID]],0)),INDEX(Table3[[#All],[Age]],MATCH(Table5[[#This Row],[PID]],Table3[[#All],[PID]],0)))</f>
        <v>17</v>
      </c>
      <c r="H307" s="52" t="str">
        <f>IF($C307="B",INDEX(Batters[[#All],[B]],MATCH(Table5[[#This Row],[PID]],Batters[[#All],[PID]],0)),INDEX(Table3[[#All],[B]],MATCH(Table5[[#This Row],[PID]],Table3[[#All],[PID]],0)))</f>
        <v>L</v>
      </c>
      <c r="I307" s="52" t="str">
        <f>IF($C307="B",INDEX(Batters[[#All],[T]],MATCH(Table5[[#This Row],[PID]],Batters[[#All],[PID]],0)),INDEX(Table3[[#All],[T]],MATCH(Table5[[#This Row],[PID]],Table3[[#All],[PID]],0)))</f>
        <v>L</v>
      </c>
      <c r="J307" s="69" t="str">
        <f>IF($C307="B",INDEX(Batters[[#All],[WE]],MATCH(Table5[[#This Row],[PID]],Batters[[#All],[PID]],0)),INDEX(Table3[[#All],[WE]],MATCH(Table5[[#This Row],[PID]],Table3[[#All],[PID]],0)))</f>
        <v>Low</v>
      </c>
      <c r="K307" s="52" t="str">
        <f>IF($C307="B",INDEX(Batters[[#All],[INT]],MATCH(Table5[[#This Row],[PID]],Batters[[#All],[PID]],0)),INDEX(Table3[[#All],[INT]],MATCH(Table5[[#This Row],[PID]],Table3[[#All],[PID]],0)))</f>
        <v>Normal</v>
      </c>
      <c r="L307" s="60">
        <f>IF($C307="B",INDEX(Batters[[#All],[CON P]],MATCH(Table5[[#This Row],[PID]],Batters[[#All],[PID]],0)),INDEX(Table3[[#All],[STU P]],MATCH(Table5[[#This Row],[PID]],Table3[[#All],[PID]],0)))</f>
        <v>5</v>
      </c>
      <c r="M307" s="70">
        <f>IF($C307="B",INDEX(Batters[[#All],[GAP P]],MATCH(Table5[[#This Row],[PID]],Batters[[#All],[PID]],0)),INDEX(Table3[[#All],[MOV P]],MATCH(Table5[[#This Row],[PID]],Table3[[#All],[PID]],0)))</f>
        <v>2</v>
      </c>
      <c r="N307" s="70">
        <f>IF($C307="B",INDEX(Batters[[#All],[POW P]],MATCH(Table5[[#This Row],[PID]],Batters[[#All],[PID]],0)),INDEX(Table3[[#All],[CON P]],MATCH(Table5[[#This Row],[PID]],Table3[[#All],[PID]],0)))</f>
        <v>4</v>
      </c>
      <c r="O307" s="70" t="str">
        <f>IF($C307="B",INDEX(Batters[[#All],[EYE P]],MATCH(Table5[[#This Row],[PID]],Batters[[#All],[PID]],0)),INDEX(Table3[[#All],[VELO]],MATCH(Table5[[#This Row],[PID]],Table3[[#All],[PID]],0)))</f>
        <v>87-89 Mph</v>
      </c>
      <c r="P307" s="56">
        <f>IF($C307="B",INDEX(Batters[[#All],[K P]],MATCH(Table5[[#This Row],[PID]],Batters[[#All],[PID]],0)),INDEX(Table3[[#All],[STM]],MATCH(Table5[[#This Row],[PID]],Table3[[#All],[PID]],0)))</f>
        <v>1</v>
      </c>
      <c r="Q307" s="61">
        <f>IF($C307="B",INDEX(Batters[[#All],[Tot]],MATCH(Table5[[#This Row],[PID]],Batters[[#All],[PID]],0)),INDEX(Table3[[#All],[Tot]],MATCH(Table5[[#This Row],[PID]],Table3[[#All],[PID]],0)))</f>
        <v>41.144565303480391</v>
      </c>
      <c r="R307" s="52">
        <f>IF($C307="B",INDEX(Batters[[#All],[zScore]],MATCH(Table5[[#This Row],[PID]],Batters[[#All],[PID]],0)),INDEX(Table3[[#All],[zScore]],MATCH(Table5[[#This Row],[PID]],Table3[[#All],[PID]],0)))</f>
        <v>0.23797267291954824</v>
      </c>
      <c r="S307" s="75" t="str">
        <f>IF($C307="B",INDEX(Batters[[#All],[DEM]],MATCH(Table5[[#This Row],[PID]],Batters[[#All],[PID]],0)),INDEX(Table3[[#All],[DEM]],MATCH(Table5[[#This Row],[PID]],Table3[[#All],[PID]],0)))</f>
        <v>$70k</v>
      </c>
      <c r="T307" s="72">
        <f>IF($C307="B",INDEX(Batters[[#All],[Rnk]],MATCH(Table5[[#This Row],[PID]],Batters[[#All],[PID]],0)),INDEX(Table3[[#All],[Rnk]],MATCH(Table5[[#This Row],[PID]],Table3[[#All],[PID]],0)))</f>
        <v>930</v>
      </c>
      <c r="U307" s="67">
        <f>IF($C307="B",VLOOKUP($A307,Bat!$A$4:$BA$1314,47,FALSE),VLOOKUP($A307,Pit!$A$4:$BF$1214,56,FALSE))</f>
        <v>267</v>
      </c>
      <c r="V307" s="50">
        <f>IF($C307="B",VLOOKUP($A307,Bat!$A$4:$BA$1314,48,FALSE),VLOOKUP($A307,Pit!$A$4:$BF$1214,57,FALSE))</f>
        <v>0</v>
      </c>
      <c r="W307" s="68">
        <f>IF(Table5[[#This Row],[posRnk]]=999,9999,Table5[[#This Row],[posRnk]]+Table5[[#This Row],[zRnk]]+IF($W$3&lt;&gt;Table5[[#This Row],[Type]],50,0))</f>
        <v>1228</v>
      </c>
      <c r="X307" s="71">
        <f>RANK(Table5[[#This Row],[zScore]],Table5[[#All],[zScore]])</f>
        <v>298</v>
      </c>
      <c r="Y307" s="68">
        <f>IFERROR(INDEX(DraftResults[[#All],[OVR]],MATCH(Table5[[#This Row],[PID]],DraftResults[[#All],[Player ID]],0)),"")</f>
        <v>457</v>
      </c>
      <c r="Z307" s="7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14</v>
      </c>
      <c r="AA307" s="68">
        <f>IFERROR(INDEX(DraftResults[[#All],[Pick in Round]],MATCH(Table5[[#This Row],[PID]],DraftResults[[#All],[Player ID]],0)),"")</f>
        <v>24</v>
      </c>
      <c r="AB307" s="68" t="str">
        <f>IFERROR(INDEX(DraftResults[[#All],[Team Name]],MATCH(Table5[[#This Row],[PID]],DraftResults[[#All],[Player ID]],0)),"")</f>
        <v>Reno Zephyrs</v>
      </c>
      <c r="AC307" s="68">
        <f>IF(Table5[[#This Row],[Ovr]]="","",IF(Table5[[#This Row],[cmbList]]="","",Table5[[#This Row],[cmbList]]-Table5[[#This Row],[Ovr]]))</f>
        <v>771</v>
      </c>
      <c r="AD307" s="74" t="str">
        <f>IF(ISERROR(VLOOKUP($AB307&amp;"-"&amp;$E307&amp;" "&amp;F307,Bonuses!$B$1:$G$1006,4,FALSE)),"",INT(VLOOKUP($AB307&amp;"-"&amp;$E307&amp;" "&amp;$F307,Bonuses!$B$1:$G$1006,4,FALSE)))</f>
        <v/>
      </c>
      <c r="AE307" s="68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14.24 (457) - RP Tim Patton</v>
      </c>
    </row>
    <row r="308" spans="1:31" s="50" customFormat="1" x14ac:dyDescent="0.3">
      <c r="A308" s="67">
        <v>12283</v>
      </c>
      <c r="B308" s="68">
        <f>COUNTIF(Table5[PID],A308)</f>
        <v>1</v>
      </c>
      <c r="C308" s="68" t="str">
        <f>IF(COUNTIF(Table3[[#All],[PID]],A308)&gt;0,"P","B")</f>
        <v>P</v>
      </c>
      <c r="D308" s="59" t="str">
        <f>IF($C308="B",INDEX(Batters[[#All],[POS]],MATCH(Table5[[#This Row],[PID]],Batters[[#All],[PID]],0)),INDEX(Table3[[#All],[POS]],MATCH(Table5[[#This Row],[PID]],Table3[[#All],[PID]],0)))</f>
        <v>RP</v>
      </c>
      <c r="E308" s="52" t="str">
        <f>IF($C308="B",INDEX(Batters[[#All],[First]],MATCH(Table5[[#This Row],[PID]],Batters[[#All],[PID]],0)),INDEX(Table3[[#All],[First]],MATCH(Table5[[#This Row],[PID]],Table3[[#All],[PID]],0)))</f>
        <v>Bill</v>
      </c>
      <c r="F308" s="55" t="str">
        <f>IF($C308="B",INDEX(Batters[[#All],[Last]],MATCH(A308,Batters[[#All],[PID]],0)),INDEX(Table3[[#All],[Last]],MATCH(A308,Table3[[#All],[PID]],0)))</f>
        <v>Kemsley</v>
      </c>
      <c r="G308" s="56">
        <f>IF($C308="B",INDEX(Batters[[#All],[Age]],MATCH(Table5[[#This Row],[PID]],Batters[[#All],[PID]],0)),INDEX(Table3[[#All],[Age]],MATCH(Table5[[#This Row],[PID]],Table3[[#All],[PID]],0)))</f>
        <v>18</v>
      </c>
      <c r="H308" s="52" t="str">
        <f>IF($C308="B",INDEX(Batters[[#All],[B]],MATCH(Table5[[#This Row],[PID]],Batters[[#All],[PID]],0)),INDEX(Table3[[#All],[B]],MATCH(Table5[[#This Row],[PID]],Table3[[#All],[PID]],0)))</f>
        <v>L</v>
      </c>
      <c r="I308" s="52" t="str">
        <f>IF($C308="B",INDEX(Batters[[#All],[T]],MATCH(Table5[[#This Row],[PID]],Batters[[#All],[PID]],0)),INDEX(Table3[[#All],[T]],MATCH(Table5[[#This Row],[PID]],Table3[[#All],[PID]],0)))</f>
        <v>L</v>
      </c>
      <c r="J308" s="69" t="str">
        <f>IF($C308="B",INDEX(Batters[[#All],[WE]],MATCH(Table5[[#This Row],[PID]],Batters[[#All],[PID]],0)),INDEX(Table3[[#All],[WE]],MATCH(Table5[[#This Row],[PID]],Table3[[#All],[PID]],0)))</f>
        <v>Normal</v>
      </c>
      <c r="K308" s="52" t="str">
        <f>IF($C308="B",INDEX(Batters[[#All],[INT]],MATCH(Table5[[#This Row],[PID]],Batters[[#All],[PID]],0)),INDEX(Table3[[#All],[INT]],MATCH(Table5[[#This Row],[PID]],Table3[[#All],[PID]],0)))</f>
        <v>Normal</v>
      </c>
      <c r="L308" s="60">
        <f>IF($C308="B",INDEX(Batters[[#All],[CON P]],MATCH(Table5[[#This Row],[PID]],Batters[[#All],[PID]],0)),INDEX(Table3[[#All],[STU P]],MATCH(Table5[[#This Row],[PID]],Table3[[#All],[PID]],0)))</f>
        <v>5</v>
      </c>
      <c r="M308" s="70">
        <f>IF($C308="B",INDEX(Batters[[#All],[GAP P]],MATCH(Table5[[#This Row],[PID]],Batters[[#All],[PID]],0)),INDEX(Table3[[#All],[MOV P]],MATCH(Table5[[#This Row],[PID]],Table3[[#All],[PID]],0)))</f>
        <v>2</v>
      </c>
      <c r="N308" s="70">
        <f>IF($C308="B",INDEX(Batters[[#All],[POW P]],MATCH(Table5[[#This Row],[PID]],Batters[[#All],[PID]],0)),INDEX(Table3[[#All],[CON P]],MATCH(Table5[[#This Row],[PID]],Table3[[#All],[PID]],0)))</f>
        <v>3</v>
      </c>
      <c r="O308" s="70" t="str">
        <f>IF($C308="B",INDEX(Batters[[#All],[EYE P]],MATCH(Table5[[#This Row],[PID]],Batters[[#All],[PID]],0)),INDEX(Table3[[#All],[VELO]],MATCH(Table5[[#This Row],[PID]],Table3[[#All],[PID]],0)))</f>
        <v>91-93 Mph</v>
      </c>
      <c r="P308" s="56">
        <f>IF($C308="B",INDEX(Batters[[#All],[K P]],MATCH(Table5[[#This Row],[PID]],Batters[[#All],[PID]],0)),INDEX(Table3[[#All],[STM]],MATCH(Table5[[#This Row],[PID]],Table3[[#All],[PID]],0)))</f>
        <v>6</v>
      </c>
      <c r="Q308" s="61">
        <f>IF($C308="B",INDEX(Batters[[#All],[Tot]],MATCH(Table5[[#This Row],[PID]],Batters[[#All],[PID]],0)),INDEX(Table3[[#All],[Tot]],MATCH(Table5[[#This Row],[PID]],Table3[[#All],[PID]],0)))</f>
        <v>39.904689047371548</v>
      </c>
      <c r="R308" s="52">
        <f>IF($C308="B",INDEX(Batters[[#All],[zScore]],MATCH(Table5[[#This Row],[PID]],Batters[[#All],[PID]],0)),INDEX(Table3[[#All],[zScore]],MATCH(Table5[[#This Row],[PID]],Table3[[#All],[PID]],0)))</f>
        <v>0.14968476359238403</v>
      </c>
      <c r="S308" s="75" t="str">
        <f>IF($C308="B",INDEX(Batters[[#All],[DEM]],MATCH(Table5[[#This Row],[PID]],Batters[[#All],[PID]],0)),INDEX(Table3[[#All],[DEM]],MATCH(Table5[[#This Row],[PID]],Table3[[#All],[PID]],0)))</f>
        <v>$38k</v>
      </c>
      <c r="T308" s="72">
        <f>IF($C308="B",INDEX(Batters[[#All],[Rnk]],MATCH(Table5[[#This Row],[PID]],Batters[[#All],[PID]],0)),INDEX(Table3[[#All],[Rnk]],MATCH(Table5[[#This Row],[PID]],Table3[[#All],[PID]],0)))</f>
        <v>900</v>
      </c>
      <c r="U308" s="67">
        <f>IF($C308="B",VLOOKUP($A308,Bat!$A$4:$BA$1314,47,FALSE),VLOOKUP($A308,Pit!$A$4:$BF$1214,56,FALSE))</f>
        <v>110</v>
      </c>
      <c r="V308" s="50">
        <f>IF($C308="B",VLOOKUP($A308,Bat!$A$4:$BA$1314,48,FALSE),VLOOKUP($A308,Pit!$A$4:$BF$1214,57,FALSE))</f>
        <v>0</v>
      </c>
      <c r="W308" s="68">
        <f>IF(Table5[[#This Row],[posRnk]]=999,9999,Table5[[#This Row],[posRnk]]+Table5[[#This Row],[zRnk]]+IF($W$3&lt;&gt;Table5[[#This Row],[Type]],50,0))</f>
        <v>1230</v>
      </c>
      <c r="X308" s="71">
        <f>RANK(Table5[[#This Row],[zScore]],Table5[[#All],[zScore]])</f>
        <v>330</v>
      </c>
      <c r="Y308" s="68" t="str">
        <f>IFERROR(INDEX(DraftResults[[#All],[OVR]],MATCH(Table5[[#This Row],[PID]],DraftResults[[#All],[Player ID]],0)),"")</f>
        <v/>
      </c>
      <c r="Z308" s="7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/>
      </c>
      <c r="AA308" s="68" t="str">
        <f>IFERROR(INDEX(DraftResults[[#All],[Pick in Round]],MATCH(Table5[[#This Row],[PID]],DraftResults[[#All],[Player ID]],0)),"")</f>
        <v/>
      </c>
      <c r="AB308" s="68" t="str">
        <f>IFERROR(INDEX(DraftResults[[#All],[Team Name]],MATCH(Table5[[#This Row],[PID]],DraftResults[[#All],[Player ID]],0)),"")</f>
        <v/>
      </c>
      <c r="AC308" s="68" t="str">
        <f>IF(Table5[[#This Row],[Ovr]]="","",IF(Table5[[#This Row],[cmbList]]="","",Table5[[#This Row],[cmbList]]-Table5[[#This Row],[Ovr]]))</f>
        <v/>
      </c>
      <c r="AD308" s="74" t="str">
        <f>IF(ISERROR(VLOOKUP($AB308&amp;"-"&amp;$E308&amp;" "&amp;F308,Bonuses!$B$1:$G$1006,4,FALSE)),"",INT(VLOOKUP($AB308&amp;"-"&amp;$E308&amp;" "&amp;$F308,Bonuses!$B$1:$G$1006,4,FALSE)))</f>
        <v/>
      </c>
      <c r="AE308" s="68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/>
      </c>
    </row>
    <row r="309" spans="1:31" s="50" customFormat="1" x14ac:dyDescent="0.3">
      <c r="A309" s="50">
        <v>20754</v>
      </c>
      <c r="B309" s="50">
        <f>COUNTIF(Table5[PID],A309)</f>
        <v>1</v>
      </c>
      <c r="C309" s="50" t="str">
        <f>IF(COUNTIF(Table3[[#All],[PID]],A309)&gt;0,"P","B")</f>
        <v>P</v>
      </c>
      <c r="D309" s="59" t="str">
        <f>IF($C309="B",INDEX(Batters[[#All],[POS]],MATCH(Table5[[#This Row],[PID]],Batters[[#All],[PID]],0)),INDEX(Table3[[#All],[POS]],MATCH(Table5[[#This Row],[PID]],Table3[[#All],[PID]],0)))</f>
        <v>SP</v>
      </c>
      <c r="E309" s="52" t="str">
        <f>IF($C309="B",INDEX(Batters[[#All],[First]],MATCH(Table5[[#This Row],[PID]],Batters[[#All],[PID]],0)),INDEX(Table3[[#All],[First]],MATCH(Table5[[#This Row],[PID]],Table3[[#All],[PID]],0)))</f>
        <v>Manny</v>
      </c>
      <c r="F309" s="50" t="str">
        <f>IF($C309="B",INDEX(Batters[[#All],[Last]],MATCH(A309,Batters[[#All],[PID]],0)),INDEX(Table3[[#All],[Last]],MATCH(A309,Table3[[#All],[PID]],0)))</f>
        <v>Guzmán</v>
      </c>
      <c r="G309" s="56">
        <f>IF($C309="B",INDEX(Batters[[#All],[Age]],MATCH(Table5[[#This Row],[PID]],Batters[[#All],[PID]],0)),INDEX(Table3[[#All],[Age]],MATCH(Table5[[#This Row],[PID]],Table3[[#All],[PID]],0)))</f>
        <v>18</v>
      </c>
      <c r="H309" s="52" t="str">
        <f>IF($C309="B",INDEX(Batters[[#All],[B]],MATCH(Table5[[#This Row],[PID]],Batters[[#All],[PID]],0)),INDEX(Table3[[#All],[B]],MATCH(Table5[[#This Row],[PID]],Table3[[#All],[PID]],0)))</f>
        <v>R</v>
      </c>
      <c r="I309" s="52" t="str">
        <f>IF($C309="B",INDEX(Batters[[#All],[T]],MATCH(Table5[[#This Row],[PID]],Batters[[#All],[PID]],0)),INDEX(Table3[[#All],[T]],MATCH(Table5[[#This Row],[PID]],Table3[[#All],[PID]],0)))</f>
        <v>R</v>
      </c>
      <c r="J309" s="52" t="str">
        <f>IF($C309="B",INDEX(Batters[[#All],[WE]],MATCH(Table5[[#This Row],[PID]],Batters[[#All],[PID]],0)),INDEX(Table3[[#All],[WE]],MATCH(Table5[[#This Row],[PID]],Table3[[#All],[PID]],0)))</f>
        <v>Low</v>
      </c>
      <c r="K309" s="52" t="str">
        <f>IF($C309="B",INDEX(Batters[[#All],[INT]],MATCH(Table5[[#This Row],[PID]],Batters[[#All],[PID]],0)),INDEX(Table3[[#All],[INT]],MATCH(Table5[[#This Row],[PID]],Table3[[#All],[PID]],0)))</f>
        <v>Normal</v>
      </c>
      <c r="L309" s="60">
        <f>IF($C309="B",INDEX(Batters[[#All],[CON P]],MATCH(Table5[[#This Row],[PID]],Batters[[#All],[PID]],0)),INDEX(Table3[[#All],[STU P]],MATCH(Table5[[#This Row],[PID]],Table3[[#All],[PID]],0)))</f>
        <v>5</v>
      </c>
      <c r="M309" s="56">
        <f>IF($C309="B",INDEX(Batters[[#All],[GAP P]],MATCH(Table5[[#This Row],[PID]],Batters[[#All],[PID]],0)),INDEX(Table3[[#All],[MOV P]],MATCH(Table5[[#This Row],[PID]],Table3[[#All],[PID]],0)))</f>
        <v>2</v>
      </c>
      <c r="N309" s="56">
        <f>IF($C309="B",INDEX(Batters[[#All],[POW P]],MATCH(Table5[[#This Row],[PID]],Batters[[#All],[PID]],0)),INDEX(Table3[[#All],[CON P]],MATCH(Table5[[#This Row],[PID]],Table3[[#All],[PID]],0)))</f>
        <v>3</v>
      </c>
      <c r="O309" s="56" t="str">
        <f>IF($C309="B",INDEX(Batters[[#All],[EYE P]],MATCH(Table5[[#This Row],[PID]],Batters[[#All],[PID]],0)),INDEX(Table3[[#All],[VELO]],MATCH(Table5[[#This Row],[PID]],Table3[[#All],[PID]],0)))</f>
        <v>93-95 Mph</v>
      </c>
      <c r="P309" s="56">
        <f>IF($C309="B",INDEX(Batters[[#All],[K P]],MATCH(Table5[[#This Row],[PID]],Batters[[#All],[PID]],0)),INDEX(Table3[[#All],[STM]],MATCH(Table5[[#This Row],[PID]],Table3[[#All],[PID]],0)))</f>
        <v>6</v>
      </c>
      <c r="Q309" s="61">
        <f>IF($C309="B",INDEX(Batters[[#All],[Tot]],MATCH(Table5[[#This Row],[PID]],Batters[[#All],[PID]],0)),INDEX(Table3[[#All],[Tot]],MATCH(Table5[[#This Row],[PID]],Table3[[#All],[PID]],0)))</f>
        <v>41.051360509391031</v>
      </c>
      <c r="R309" s="52">
        <f>IF($C309="B",INDEX(Batters[[#All],[zScore]],MATCH(Table5[[#This Row],[PID]],Batters[[#All],[PID]],0)),INDEX(Table3[[#All],[zScore]],MATCH(Table5[[#This Row],[PID]],Table3[[#All],[PID]],0)))</f>
        <v>0.23133583608290828</v>
      </c>
      <c r="S309" s="58" t="str">
        <f>IF($C309="B",INDEX(Batters[[#All],[DEM]],MATCH(Table5[[#This Row],[PID]],Batters[[#All],[PID]],0)),INDEX(Table3[[#All],[DEM]],MATCH(Table5[[#This Row],[PID]],Table3[[#All],[PID]],0)))</f>
        <v>$38k</v>
      </c>
      <c r="T309" s="62">
        <f>IF($C309="B",INDEX(Batters[[#All],[Rnk]],MATCH(Table5[[#This Row],[PID]],Batters[[#All],[PID]],0)),INDEX(Table3[[#All],[Rnk]],MATCH(Table5[[#This Row],[PID]],Table3[[#All],[PID]],0)))</f>
        <v>930</v>
      </c>
      <c r="U309" s="67">
        <f>IF($C309="B",VLOOKUP($A309,Bat!$A$4:$BA$1314,47,FALSE),VLOOKUP($A309,Pit!$A$4:$BF$1214,56,FALSE))</f>
        <v>268</v>
      </c>
      <c r="V309" s="50">
        <f>IF($C309="B",VLOOKUP($A309,Bat!$A$4:$BA$1314,48,FALSE),VLOOKUP($A309,Pit!$A$4:$BF$1214,57,FALSE))</f>
        <v>0</v>
      </c>
      <c r="W309" s="68">
        <f>IF(Table5[[#This Row],[posRnk]]=999,9999,Table5[[#This Row],[posRnk]]+Table5[[#This Row],[zRnk]]+IF($W$3&lt;&gt;Table5[[#This Row],[Type]],50,0))</f>
        <v>1230</v>
      </c>
      <c r="X309" s="51">
        <f>RANK(Table5[[#This Row],[zScore]],Table5[[#All],[zScore]])</f>
        <v>300</v>
      </c>
      <c r="Y309" s="50">
        <f>IFERROR(INDEX(DraftResults[[#All],[OVR]],MATCH(Table5[[#This Row],[PID]],DraftResults[[#All],[Player ID]],0)),"")</f>
        <v>366</v>
      </c>
      <c r="Z309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12</v>
      </c>
      <c r="AA309" s="50">
        <f>IFERROR(INDEX(DraftResults[[#All],[Pick in Round]],MATCH(Table5[[#This Row],[PID]],DraftResults[[#All],[Player ID]],0)),"")</f>
        <v>1</v>
      </c>
      <c r="AB309" s="50" t="str">
        <f>IFERROR(INDEX(DraftResults[[#All],[Team Name]],MATCH(Table5[[#This Row],[PID]],DraftResults[[#All],[Player ID]],0)),"")</f>
        <v>Yuma Arroyos</v>
      </c>
      <c r="AC309" s="50">
        <f>IF(Table5[[#This Row],[Ovr]]="","",IF(Table5[[#This Row],[cmbList]]="","",Table5[[#This Row],[cmbList]]-Table5[[#This Row],[Ovr]]))</f>
        <v>864</v>
      </c>
      <c r="AD309" s="54" t="str">
        <f>IF(ISERROR(VLOOKUP($AB309&amp;"-"&amp;$E309&amp;" "&amp;F309,Bonuses!$B$1:$G$1006,4,FALSE)),"",INT(VLOOKUP($AB309&amp;"-"&amp;$E309&amp;" "&amp;$F309,Bonuses!$B$1:$G$1006,4,FALSE)))</f>
        <v/>
      </c>
      <c r="AE309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12.1 (366) - SP Manny Guzmán</v>
      </c>
    </row>
    <row r="310" spans="1:31" s="50" customFormat="1" x14ac:dyDescent="0.3">
      <c r="A310" s="67">
        <v>10795</v>
      </c>
      <c r="B310" s="68">
        <f>COUNTIF(Table5[PID],A310)</f>
        <v>1</v>
      </c>
      <c r="C310" s="68" t="str">
        <f>IF(COUNTIF(Table3[[#All],[PID]],A310)&gt;0,"P","B")</f>
        <v>P</v>
      </c>
      <c r="D310" s="59" t="str">
        <f>IF($C310="B",INDEX(Batters[[#All],[POS]],MATCH(Table5[[#This Row],[PID]],Batters[[#All],[PID]],0)),INDEX(Table3[[#All],[POS]],MATCH(Table5[[#This Row],[PID]],Table3[[#All],[PID]],0)))</f>
        <v>RP</v>
      </c>
      <c r="E310" s="52" t="str">
        <f>IF($C310="B",INDEX(Batters[[#All],[First]],MATCH(Table5[[#This Row],[PID]],Batters[[#All],[PID]],0)),INDEX(Table3[[#All],[First]],MATCH(Table5[[#This Row],[PID]],Table3[[#All],[PID]],0)))</f>
        <v>Andy</v>
      </c>
      <c r="F310" s="55" t="str">
        <f>IF($C310="B",INDEX(Batters[[#All],[Last]],MATCH(A310,Batters[[#All],[PID]],0)),INDEX(Table3[[#All],[Last]],MATCH(A310,Table3[[#All],[PID]],0)))</f>
        <v>Sanders</v>
      </c>
      <c r="G310" s="56">
        <f>IF($C310="B",INDEX(Batters[[#All],[Age]],MATCH(Table5[[#This Row],[PID]],Batters[[#All],[PID]],0)),INDEX(Table3[[#All],[Age]],MATCH(Table5[[#This Row],[PID]],Table3[[#All],[PID]],0)))</f>
        <v>17</v>
      </c>
      <c r="H310" s="52" t="str">
        <f>IF($C310="B",INDEX(Batters[[#All],[B]],MATCH(Table5[[#This Row],[PID]],Batters[[#All],[PID]],0)),INDEX(Table3[[#All],[B]],MATCH(Table5[[#This Row],[PID]],Table3[[#All],[PID]],0)))</f>
        <v>R</v>
      </c>
      <c r="I310" s="52" t="str">
        <f>IF($C310="B",INDEX(Batters[[#All],[T]],MATCH(Table5[[#This Row],[PID]],Batters[[#All],[PID]],0)),INDEX(Table3[[#All],[T]],MATCH(Table5[[#This Row],[PID]],Table3[[#All],[PID]],0)))</f>
        <v>R</v>
      </c>
      <c r="J310" s="69" t="str">
        <f>IF($C310="B",INDEX(Batters[[#All],[WE]],MATCH(Table5[[#This Row],[PID]],Batters[[#All],[PID]],0)),INDEX(Table3[[#All],[WE]],MATCH(Table5[[#This Row],[PID]],Table3[[#All],[PID]],0)))</f>
        <v>Normal</v>
      </c>
      <c r="K310" s="52" t="str">
        <f>IF($C310="B",INDEX(Batters[[#All],[INT]],MATCH(Table5[[#This Row],[PID]],Batters[[#All],[PID]],0)),INDEX(Table3[[#All],[INT]],MATCH(Table5[[#This Row],[PID]],Table3[[#All],[PID]],0)))</f>
        <v>Normal</v>
      </c>
      <c r="L310" s="60">
        <f>IF($C310="B",INDEX(Batters[[#All],[CON P]],MATCH(Table5[[#This Row],[PID]],Batters[[#All],[PID]],0)),INDEX(Table3[[#All],[STU P]],MATCH(Table5[[#This Row],[PID]],Table3[[#All],[PID]],0)))</f>
        <v>4</v>
      </c>
      <c r="M310" s="70">
        <f>IF($C310="B",INDEX(Batters[[#All],[GAP P]],MATCH(Table5[[#This Row],[PID]],Batters[[#All],[PID]],0)),INDEX(Table3[[#All],[MOV P]],MATCH(Table5[[#This Row],[PID]],Table3[[#All],[PID]],0)))</f>
        <v>2</v>
      </c>
      <c r="N310" s="70">
        <f>IF($C310="B",INDEX(Batters[[#All],[POW P]],MATCH(Table5[[#This Row],[PID]],Batters[[#All],[PID]],0)),INDEX(Table3[[#All],[CON P]],MATCH(Table5[[#This Row],[PID]],Table3[[#All],[PID]],0)))</f>
        <v>4</v>
      </c>
      <c r="O310" s="70" t="str">
        <f>IF($C310="B",INDEX(Batters[[#All],[EYE P]],MATCH(Table5[[#This Row],[PID]],Batters[[#All],[PID]],0)),INDEX(Table3[[#All],[VELO]],MATCH(Table5[[#This Row],[PID]],Table3[[#All],[PID]],0)))</f>
        <v>85-87 Mph</v>
      </c>
      <c r="P310" s="56">
        <f>IF($C310="B",INDEX(Batters[[#All],[K P]],MATCH(Table5[[#This Row],[PID]],Batters[[#All],[PID]],0)),INDEX(Table3[[#All],[STM]],MATCH(Table5[[#This Row],[PID]],Table3[[#All],[PID]],0)))</f>
        <v>7</v>
      </c>
      <c r="Q310" s="61">
        <f>IF($C310="B",INDEX(Batters[[#All],[Tot]],MATCH(Table5[[#This Row],[PID]],Batters[[#All],[PID]],0)),INDEX(Table3[[#All],[Tot]],MATCH(Table5[[#This Row],[PID]],Table3[[#All],[PID]],0)))</f>
        <v>39.895430137806102</v>
      </c>
      <c r="R310" s="52">
        <f>IF($C310="B",INDEX(Batters[[#All],[zScore]],MATCH(Table5[[#This Row],[PID]],Batters[[#All],[PID]],0)),INDEX(Table3[[#All],[zScore]],MATCH(Table5[[#This Row],[PID]],Table3[[#All],[PID]],0)))</f>
        <v>0.14902546411458939</v>
      </c>
      <c r="S310" s="75" t="str">
        <f>IF($C310="B",INDEX(Batters[[#All],[DEM]],MATCH(Table5[[#This Row],[PID]],Batters[[#All],[PID]],0)),INDEX(Table3[[#All],[DEM]],MATCH(Table5[[#This Row],[PID]],Table3[[#All],[PID]],0)))</f>
        <v>$65k</v>
      </c>
      <c r="T310" s="72">
        <f>IF($C310="B",INDEX(Batters[[#All],[Rnk]],MATCH(Table5[[#This Row],[PID]],Batters[[#All],[PID]],0)),INDEX(Table3[[#All],[Rnk]],MATCH(Table5[[#This Row],[PID]],Table3[[#All],[PID]],0)))</f>
        <v>900</v>
      </c>
      <c r="U310" s="67">
        <f>IF($C310="B",VLOOKUP($A310,Bat!$A$4:$BA$1314,47,FALSE),VLOOKUP($A310,Pit!$A$4:$BF$1214,56,FALSE))</f>
        <v>111</v>
      </c>
      <c r="V310" s="50">
        <f>IF($C310="B",VLOOKUP($A310,Bat!$A$4:$BA$1314,48,FALSE),VLOOKUP($A310,Pit!$A$4:$BF$1214,57,FALSE))</f>
        <v>0</v>
      </c>
      <c r="W310" s="68">
        <f>IF(Table5[[#This Row],[posRnk]]=999,9999,Table5[[#This Row],[posRnk]]+Table5[[#This Row],[zRnk]]+IF($W$3&lt;&gt;Table5[[#This Row],[Type]],50,0))</f>
        <v>1231</v>
      </c>
      <c r="X310" s="71">
        <f>RANK(Table5[[#This Row],[zScore]],Table5[[#All],[zScore]])</f>
        <v>331</v>
      </c>
      <c r="Y310" s="68">
        <f>IFERROR(INDEX(DraftResults[[#All],[OVR]],MATCH(Table5[[#This Row],[PID]],DraftResults[[#All],[Player ID]],0)),"")</f>
        <v>491</v>
      </c>
      <c r="Z310" s="7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15</v>
      </c>
      <c r="AA310" s="68">
        <f>IFERROR(INDEX(DraftResults[[#All],[Pick in Round]],MATCH(Table5[[#This Row],[PID]],DraftResults[[#All],[Player ID]],0)),"")</f>
        <v>24</v>
      </c>
      <c r="AB310" s="68" t="str">
        <f>IFERROR(INDEX(DraftResults[[#All],[Team Name]],MATCH(Table5[[#This Row],[PID]],DraftResults[[#All],[Player ID]],0)),"")</f>
        <v>Reno Zephyrs</v>
      </c>
      <c r="AC310" s="68">
        <f>IF(Table5[[#This Row],[Ovr]]="","",IF(Table5[[#This Row],[cmbList]]="","",Table5[[#This Row],[cmbList]]-Table5[[#This Row],[Ovr]]))</f>
        <v>740</v>
      </c>
      <c r="AD310" s="74" t="str">
        <f>IF(ISERROR(VLOOKUP($AB310&amp;"-"&amp;$E310&amp;" "&amp;F310,Bonuses!$B$1:$G$1006,4,FALSE)),"",INT(VLOOKUP($AB310&amp;"-"&amp;$E310&amp;" "&amp;$F310,Bonuses!$B$1:$G$1006,4,FALSE)))</f>
        <v/>
      </c>
      <c r="AE310" s="68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15.24 (491) - RP Andy Sanders</v>
      </c>
    </row>
    <row r="311" spans="1:31" s="50" customFormat="1" x14ac:dyDescent="0.3">
      <c r="A311" s="50">
        <v>20447</v>
      </c>
      <c r="B311" s="50">
        <f>COUNTIF(Table5[PID],A311)</f>
        <v>1</v>
      </c>
      <c r="C311" s="50" t="str">
        <f>IF(COUNTIF(Table3[[#All],[PID]],A311)&gt;0,"P","B")</f>
        <v>B</v>
      </c>
      <c r="D311" s="59" t="str">
        <f>IF($C311="B",INDEX(Batters[[#All],[POS]],MATCH(Table5[[#This Row],[PID]],Batters[[#All],[PID]],0)),INDEX(Table3[[#All],[POS]],MATCH(Table5[[#This Row],[PID]],Table3[[#All],[PID]],0)))</f>
        <v>1B</v>
      </c>
      <c r="E311" s="52" t="str">
        <f>IF($C311="B",INDEX(Batters[[#All],[First]],MATCH(Table5[[#This Row],[PID]],Batters[[#All],[PID]],0)),INDEX(Table3[[#All],[First]],MATCH(Table5[[#This Row],[PID]],Table3[[#All],[PID]],0)))</f>
        <v>Jian-guo</v>
      </c>
      <c r="F311" s="50" t="str">
        <f>IF($C311="B",INDEX(Batters[[#All],[Last]],MATCH(A311,Batters[[#All],[PID]],0)),INDEX(Table3[[#All],[Last]],MATCH(A311,Table3[[#All],[PID]],0)))</f>
        <v>Niu</v>
      </c>
      <c r="G311" s="56">
        <f>IF($C311="B",INDEX(Batters[[#All],[Age]],MATCH(Table5[[#This Row],[PID]],Batters[[#All],[PID]],0)),INDEX(Table3[[#All],[Age]],MATCH(Table5[[#This Row],[PID]],Table3[[#All],[PID]],0)))</f>
        <v>17</v>
      </c>
      <c r="H311" s="52" t="str">
        <f>IF($C311="B",INDEX(Batters[[#All],[B]],MATCH(Table5[[#This Row],[PID]],Batters[[#All],[PID]],0)),INDEX(Table3[[#All],[B]],MATCH(Table5[[#This Row],[PID]],Table3[[#All],[PID]],0)))</f>
        <v>S</v>
      </c>
      <c r="I311" s="52" t="str">
        <f>IF($C311="B",INDEX(Batters[[#All],[T]],MATCH(Table5[[#This Row],[PID]],Batters[[#All],[PID]],0)),INDEX(Table3[[#All],[T]],MATCH(Table5[[#This Row],[PID]],Table3[[#All],[PID]],0)))</f>
        <v>R</v>
      </c>
      <c r="J311" s="52" t="str">
        <f>IF($C311="B",INDEX(Batters[[#All],[WE]],MATCH(Table5[[#This Row],[PID]],Batters[[#All],[PID]],0)),INDEX(Table3[[#All],[WE]],MATCH(Table5[[#This Row],[PID]],Table3[[#All],[PID]],0)))</f>
        <v>Low</v>
      </c>
      <c r="K311" s="52" t="str">
        <f>IF($C311="B",INDEX(Batters[[#All],[INT]],MATCH(Table5[[#This Row],[PID]],Batters[[#All],[PID]],0)),INDEX(Table3[[#All],[INT]],MATCH(Table5[[#This Row],[PID]],Table3[[#All],[PID]],0)))</f>
        <v>High</v>
      </c>
      <c r="L311" s="60">
        <f>IF($C311="B",INDEX(Batters[[#All],[CON P]],MATCH(Table5[[#This Row],[PID]],Batters[[#All],[PID]],0)),INDEX(Table3[[#All],[STU P]],MATCH(Table5[[#This Row],[PID]],Table3[[#All],[PID]],0)))</f>
        <v>3</v>
      </c>
      <c r="M311" s="56">
        <f>IF($C311="B",INDEX(Batters[[#All],[GAP P]],MATCH(Table5[[#This Row],[PID]],Batters[[#All],[PID]],0)),INDEX(Table3[[#All],[MOV P]],MATCH(Table5[[#This Row],[PID]],Table3[[#All],[PID]],0)))</f>
        <v>5</v>
      </c>
      <c r="N311" s="56">
        <f>IF($C311="B",INDEX(Batters[[#All],[POW P]],MATCH(Table5[[#This Row],[PID]],Batters[[#All],[PID]],0)),INDEX(Table3[[#All],[CON P]],MATCH(Table5[[#This Row],[PID]],Table3[[#All],[PID]],0)))</f>
        <v>6</v>
      </c>
      <c r="O311" s="56">
        <f>IF($C311="B",INDEX(Batters[[#All],[EYE P]],MATCH(Table5[[#This Row],[PID]],Batters[[#All],[PID]],0)),INDEX(Table3[[#All],[VELO]],MATCH(Table5[[#This Row],[PID]],Table3[[#All],[PID]],0)))</f>
        <v>5</v>
      </c>
      <c r="P311" s="56">
        <f>IF($C311="B",INDEX(Batters[[#All],[K P]],MATCH(Table5[[#This Row],[PID]],Batters[[#All],[PID]],0)),INDEX(Table3[[#All],[STM]],MATCH(Table5[[#This Row],[PID]],Table3[[#All],[PID]],0)))</f>
        <v>2</v>
      </c>
      <c r="Q311" s="61">
        <f>IF($C311="B",INDEX(Batters[[#All],[Tot]],MATCH(Table5[[#This Row],[PID]],Batters[[#All],[PID]],0)),INDEX(Table3[[#All],[Tot]],MATCH(Table5[[#This Row],[PID]],Table3[[#All],[PID]],0)))</f>
        <v>44.791476050039634</v>
      </c>
      <c r="R311" s="52">
        <f>IF($C311="B",INDEX(Batters[[#All],[zScore]],MATCH(Table5[[#This Row],[PID]],Batters[[#All],[PID]],0)),INDEX(Table3[[#All],[zScore]],MATCH(Table5[[#This Row],[PID]],Table3[[#All],[PID]],0)))</f>
        <v>0.22960571870973595</v>
      </c>
      <c r="S311" s="58" t="str">
        <f>IF($C311="B",INDEX(Batters[[#All],[DEM]],MATCH(Table5[[#This Row],[PID]],Batters[[#All],[PID]],0)),INDEX(Table3[[#All],[DEM]],MATCH(Table5[[#This Row],[PID]],Table3[[#All],[PID]],0)))</f>
        <v>$200k</v>
      </c>
      <c r="T311" s="62">
        <f>IF($C311="B",INDEX(Batters[[#All],[Rnk]],MATCH(Table5[[#This Row],[PID]],Batters[[#All],[PID]],0)),INDEX(Table3[[#All],[Rnk]],MATCH(Table5[[#This Row],[PID]],Table3[[#All],[PID]],0)))</f>
        <v>930</v>
      </c>
      <c r="U311" s="67">
        <f>IF($C311="B",VLOOKUP($A311,Bat!$A$4:$BA$1314,47,FALSE),VLOOKUP($A311,Pit!$A$4:$BF$1214,56,FALSE))</f>
        <v>311</v>
      </c>
      <c r="V311" s="50">
        <f>IF($C311="B",VLOOKUP($A311,Bat!$A$4:$BA$1314,48,FALSE),VLOOKUP($A311,Pit!$A$4:$BF$1214,57,FALSE))</f>
        <v>0</v>
      </c>
      <c r="W311" s="68">
        <f>IF(Table5[[#This Row],[posRnk]]=999,9999,Table5[[#This Row],[posRnk]]+Table5[[#This Row],[zRnk]]+IF($W$3&lt;&gt;Table5[[#This Row],[Type]],50,0))</f>
        <v>1281</v>
      </c>
      <c r="X311" s="51">
        <f>RANK(Table5[[#This Row],[zScore]],Table5[[#All],[zScore]])</f>
        <v>301</v>
      </c>
      <c r="Y311" s="50">
        <f>IFERROR(INDEX(DraftResults[[#All],[OVR]],MATCH(Table5[[#This Row],[PID]],DraftResults[[#All],[Player ID]],0)),"")</f>
        <v>352</v>
      </c>
      <c r="Z311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11</v>
      </c>
      <c r="AA311" s="50">
        <f>IFERROR(INDEX(DraftResults[[#All],[Pick in Round]],MATCH(Table5[[#This Row],[PID]],DraftResults[[#All],[Player ID]],0)),"")</f>
        <v>21</v>
      </c>
      <c r="AB311" s="50" t="str">
        <f>IFERROR(INDEX(DraftResults[[#All],[Team Name]],MATCH(Table5[[#This Row],[PID]],DraftResults[[#All],[Player ID]],0)),"")</f>
        <v>Neo-Tokyo Akira</v>
      </c>
      <c r="AC311" s="50">
        <f>IF(Table5[[#This Row],[Ovr]]="","",IF(Table5[[#This Row],[cmbList]]="","",Table5[[#This Row],[cmbList]]-Table5[[#This Row],[Ovr]]))</f>
        <v>929</v>
      </c>
      <c r="AD311" s="54" t="str">
        <f>IF(ISERROR(VLOOKUP($AB311&amp;"-"&amp;$E311&amp;" "&amp;F311,Bonuses!$B$1:$G$1006,4,FALSE)),"",INT(VLOOKUP($AB311&amp;"-"&amp;$E311&amp;" "&amp;$F311,Bonuses!$B$1:$G$1006,4,FALSE)))</f>
        <v/>
      </c>
      <c r="AE311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11.21 (352) - 1B Jian-guo Niu</v>
      </c>
    </row>
    <row r="312" spans="1:31" s="50" customFormat="1" x14ac:dyDescent="0.3">
      <c r="A312" s="67">
        <v>20500</v>
      </c>
      <c r="B312" s="68">
        <f>COUNTIF(Table5[PID],A312)</f>
        <v>1</v>
      </c>
      <c r="C312" s="68" t="str">
        <f>IF(COUNTIF(Table3[[#All],[PID]],A312)&gt;0,"P","B")</f>
        <v>P</v>
      </c>
      <c r="D312" s="59" t="str">
        <f>IF($C312="B",INDEX(Batters[[#All],[POS]],MATCH(Table5[[#This Row],[PID]],Batters[[#All],[PID]],0)),INDEX(Table3[[#All],[POS]],MATCH(Table5[[#This Row],[PID]],Table3[[#All],[PID]],0)))</f>
        <v>RP</v>
      </c>
      <c r="E312" s="52" t="str">
        <f>IF($C312="B",INDEX(Batters[[#All],[First]],MATCH(Table5[[#This Row],[PID]],Batters[[#All],[PID]],0)),INDEX(Table3[[#All],[First]],MATCH(Table5[[#This Row],[PID]],Table3[[#All],[PID]],0)))</f>
        <v>Datu</v>
      </c>
      <c r="F312" s="55" t="str">
        <f>IF($C312="B",INDEX(Batters[[#All],[Last]],MATCH(A312,Batters[[#All],[PID]],0)),INDEX(Table3[[#All],[Last]],MATCH(A312,Table3[[#All],[PID]],0)))</f>
        <v>Sy ba</v>
      </c>
      <c r="G312" s="56">
        <f>IF($C312="B",INDEX(Batters[[#All],[Age]],MATCH(Table5[[#This Row],[PID]],Batters[[#All],[PID]],0)),INDEX(Table3[[#All],[Age]],MATCH(Table5[[#This Row],[PID]],Table3[[#All],[PID]],0)))</f>
        <v>17</v>
      </c>
      <c r="H312" s="52" t="str">
        <f>IF($C312="B",INDEX(Batters[[#All],[B]],MATCH(Table5[[#This Row],[PID]],Batters[[#All],[PID]],0)),INDEX(Table3[[#All],[B]],MATCH(Table5[[#This Row],[PID]],Table3[[#All],[PID]],0)))</f>
        <v>R</v>
      </c>
      <c r="I312" s="52" t="str">
        <f>IF($C312="B",INDEX(Batters[[#All],[T]],MATCH(Table5[[#This Row],[PID]],Batters[[#All],[PID]],0)),INDEX(Table3[[#All],[T]],MATCH(Table5[[#This Row],[PID]],Table3[[#All],[PID]],0)))</f>
        <v>R</v>
      </c>
      <c r="J312" s="69" t="str">
        <f>IF($C312="B",INDEX(Batters[[#All],[WE]],MATCH(Table5[[#This Row],[PID]],Batters[[#All],[PID]],0)),INDEX(Table3[[#All],[WE]],MATCH(Table5[[#This Row],[PID]],Table3[[#All],[PID]],0)))</f>
        <v>High</v>
      </c>
      <c r="K312" s="52" t="str">
        <f>IF($C312="B",INDEX(Batters[[#All],[INT]],MATCH(Table5[[#This Row],[PID]],Batters[[#All],[PID]],0)),INDEX(Table3[[#All],[INT]],MATCH(Table5[[#This Row],[PID]],Table3[[#All],[PID]],0)))</f>
        <v>Normal</v>
      </c>
      <c r="L312" s="60">
        <f>IF($C312="B",INDEX(Batters[[#All],[CON P]],MATCH(Table5[[#This Row],[PID]],Batters[[#All],[PID]],0)),INDEX(Table3[[#All],[STU P]],MATCH(Table5[[#This Row],[PID]],Table3[[#All],[PID]],0)))</f>
        <v>5</v>
      </c>
      <c r="M312" s="70">
        <f>IF($C312="B",INDEX(Batters[[#All],[GAP P]],MATCH(Table5[[#This Row],[PID]],Batters[[#All],[PID]],0)),INDEX(Table3[[#All],[MOV P]],MATCH(Table5[[#This Row],[PID]],Table3[[#All],[PID]],0)))</f>
        <v>2</v>
      </c>
      <c r="N312" s="70">
        <f>IF($C312="B",INDEX(Batters[[#All],[POW P]],MATCH(Table5[[#This Row],[PID]],Batters[[#All],[PID]],0)),INDEX(Table3[[#All],[CON P]],MATCH(Table5[[#This Row],[PID]],Table3[[#All],[PID]],0)))</f>
        <v>3</v>
      </c>
      <c r="O312" s="70" t="str">
        <f>IF($C312="B",INDEX(Batters[[#All],[EYE P]],MATCH(Table5[[#This Row],[PID]],Batters[[#All],[PID]],0)),INDEX(Table3[[#All],[VELO]],MATCH(Table5[[#This Row],[PID]],Table3[[#All],[PID]],0)))</f>
        <v>91-93 Mph</v>
      </c>
      <c r="P312" s="56">
        <f>IF($C312="B",INDEX(Batters[[#All],[K P]],MATCH(Table5[[#This Row],[PID]],Batters[[#All],[PID]],0)),INDEX(Table3[[#All],[STM]],MATCH(Table5[[#This Row],[PID]],Table3[[#All],[PID]],0)))</f>
        <v>8</v>
      </c>
      <c r="Q312" s="61">
        <f>IF($C312="B",INDEX(Batters[[#All],[Tot]],MATCH(Table5[[#This Row],[PID]],Batters[[#All],[PID]],0)),INDEX(Table3[[#All],[Tot]],MATCH(Table5[[#This Row],[PID]],Table3[[#All],[PID]],0)))</f>
        <v>39.89455286909903</v>
      </c>
      <c r="R312" s="52">
        <f>IF($C312="B",INDEX(Batters[[#All],[zScore]],MATCH(Table5[[#This Row],[PID]],Batters[[#All],[PID]],0)),INDEX(Table3[[#All],[zScore]],MATCH(Table5[[#This Row],[PID]],Table3[[#All],[PID]],0)))</f>
        <v>0.14896299641292651</v>
      </c>
      <c r="S312" s="75" t="str">
        <f>IF($C312="B",INDEX(Batters[[#All],[DEM]],MATCH(Table5[[#This Row],[PID]],Batters[[#All],[PID]],0)),INDEX(Table3[[#All],[DEM]],MATCH(Table5[[#This Row],[PID]],Table3[[#All],[PID]],0)))</f>
        <v>$65k</v>
      </c>
      <c r="T312" s="72">
        <f>IF($C312="B",INDEX(Batters[[#All],[Rnk]],MATCH(Table5[[#This Row],[PID]],Batters[[#All],[PID]],0)),INDEX(Table3[[#All],[Rnk]],MATCH(Table5[[#This Row],[PID]],Table3[[#All],[PID]],0)))</f>
        <v>900</v>
      </c>
      <c r="U312" s="67">
        <f>IF($C312="B",VLOOKUP($A312,Bat!$A$4:$BA$1314,47,FALSE),VLOOKUP($A312,Pit!$A$4:$BF$1214,56,FALSE))</f>
        <v>103</v>
      </c>
      <c r="V312" s="50">
        <f>IF($C312="B",VLOOKUP($A312,Bat!$A$4:$BA$1314,48,FALSE),VLOOKUP($A312,Pit!$A$4:$BF$1214,57,FALSE))</f>
        <v>0</v>
      </c>
      <c r="W312" s="68">
        <f>IF(Table5[[#This Row],[posRnk]]=999,9999,Table5[[#This Row],[posRnk]]+Table5[[#This Row],[zRnk]]+IF($W$3&lt;&gt;Table5[[#This Row],[Type]],50,0))</f>
        <v>1232</v>
      </c>
      <c r="X312" s="71">
        <f>RANK(Table5[[#This Row],[zScore]],Table5[[#All],[zScore]])</f>
        <v>332</v>
      </c>
      <c r="Y312" s="68">
        <f>IFERROR(INDEX(DraftResults[[#All],[OVR]],MATCH(Table5[[#This Row],[PID]],DraftResults[[#All],[Player ID]],0)),"")</f>
        <v>400</v>
      </c>
      <c r="Z312" s="7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13</v>
      </c>
      <c r="AA312" s="68">
        <f>IFERROR(INDEX(DraftResults[[#All],[Pick in Round]],MATCH(Table5[[#This Row],[PID]],DraftResults[[#All],[Player ID]],0)),"")</f>
        <v>1</v>
      </c>
      <c r="AB312" s="68" t="str">
        <f>IFERROR(INDEX(DraftResults[[#All],[Team Name]],MATCH(Table5[[#This Row],[PID]],DraftResults[[#All],[Player ID]],0)),"")</f>
        <v>Yuma Arroyos</v>
      </c>
      <c r="AC312" s="68">
        <f>IF(Table5[[#This Row],[Ovr]]="","",IF(Table5[[#This Row],[cmbList]]="","",Table5[[#This Row],[cmbList]]-Table5[[#This Row],[Ovr]]))</f>
        <v>832</v>
      </c>
      <c r="AD312" s="74" t="str">
        <f>IF(ISERROR(VLOOKUP($AB312&amp;"-"&amp;$E312&amp;" "&amp;F312,Bonuses!$B$1:$G$1006,4,FALSE)),"",INT(VLOOKUP($AB312&amp;"-"&amp;$E312&amp;" "&amp;$F312,Bonuses!$B$1:$G$1006,4,FALSE)))</f>
        <v/>
      </c>
      <c r="AE312" s="68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13.1 (400) - RP Datu Sy ba</v>
      </c>
    </row>
    <row r="313" spans="1:31" s="50" customFormat="1" x14ac:dyDescent="0.3">
      <c r="A313" s="67">
        <v>12683</v>
      </c>
      <c r="B313" s="68">
        <f>COUNTIF(Table5[PID],A313)</f>
        <v>1</v>
      </c>
      <c r="C313" s="68" t="str">
        <f>IF(COUNTIF(Table3[[#All],[PID]],A313)&gt;0,"P","B")</f>
        <v>B</v>
      </c>
      <c r="D313" s="59" t="str">
        <f>IF($C313="B",INDEX(Batters[[#All],[POS]],MATCH(Table5[[#This Row],[PID]],Batters[[#All],[PID]],0)),INDEX(Table3[[#All],[POS]],MATCH(Table5[[#This Row],[PID]],Table3[[#All],[PID]],0)))</f>
        <v>C</v>
      </c>
      <c r="E313" s="52" t="str">
        <f>IF($C313="B",INDEX(Batters[[#All],[First]],MATCH(Table5[[#This Row],[PID]],Batters[[#All],[PID]],0)),INDEX(Table3[[#All],[First]],MATCH(Table5[[#This Row],[PID]],Table3[[#All],[PID]],0)))</f>
        <v>Arvin</v>
      </c>
      <c r="F313" s="55" t="str">
        <f>IF($C313="B",INDEX(Batters[[#All],[Last]],MATCH(A313,Batters[[#All],[PID]],0)),INDEX(Table3[[#All],[Last]],MATCH(A313,Table3[[#All],[PID]],0)))</f>
        <v>Graham</v>
      </c>
      <c r="G313" s="56">
        <f>IF($C313="B",INDEX(Batters[[#All],[Age]],MATCH(Table5[[#This Row],[PID]],Batters[[#All],[PID]],0)),INDEX(Table3[[#All],[Age]],MATCH(Table5[[#This Row],[PID]],Table3[[#All],[PID]],0)))</f>
        <v>17</v>
      </c>
      <c r="H313" s="52" t="str">
        <f>IF($C313="B",INDEX(Batters[[#All],[B]],MATCH(Table5[[#This Row],[PID]],Batters[[#All],[PID]],0)),INDEX(Table3[[#All],[B]],MATCH(Table5[[#This Row],[PID]],Table3[[#All],[PID]],0)))</f>
        <v>R</v>
      </c>
      <c r="I313" s="52" t="str">
        <f>IF($C313="B",INDEX(Batters[[#All],[T]],MATCH(Table5[[#This Row],[PID]],Batters[[#All],[PID]],0)),INDEX(Table3[[#All],[T]],MATCH(Table5[[#This Row],[PID]],Table3[[#All],[PID]],0)))</f>
        <v>R</v>
      </c>
      <c r="J313" s="69" t="str">
        <f>IF($C313="B",INDEX(Batters[[#All],[WE]],MATCH(Table5[[#This Row],[PID]],Batters[[#All],[PID]],0)),INDEX(Table3[[#All],[WE]],MATCH(Table5[[#This Row],[PID]],Table3[[#All],[PID]],0)))</f>
        <v>High</v>
      </c>
      <c r="K313" s="52" t="str">
        <f>IF($C313="B",INDEX(Batters[[#All],[INT]],MATCH(Table5[[#This Row],[PID]],Batters[[#All],[PID]],0)),INDEX(Table3[[#All],[INT]],MATCH(Table5[[#This Row],[PID]],Table3[[#All],[PID]],0)))</f>
        <v>Low</v>
      </c>
      <c r="L313" s="60">
        <f>IF($C313="B",INDEX(Batters[[#All],[CON P]],MATCH(Table5[[#This Row],[PID]],Batters[[#All],[PID]],0)),INDEX(Table3[[#All],[STU P]],MATCH(Table5[[#This Row],[PID]],Table3[[#All],[PID]],0)))</f>
        <v>3</v>
      </c>
      <c r="M313" s="70">
        <f>IF($C313="B",INDEX(Batters[[#All],[GAP P]],MATCH(Table5[[#This Row],[PID]],Batters[[#All],[PID]],0)),INDEX(Table3[[#All],[MOV P]],MATCH(Table5[[#This Row],[PID]],Table3[[#All],[PID]],0)))</f>
        <v>4</v>
      </c>
      <c r="N313" s="70">
        <f>IF($C313="B",INDEX(Batters[[#All],[POW P]],MATCH(Table5[[#This Row],[PID]],Batters[[#All],[PID]],0)),INDEX(Table3[[#All],[CON P]],MATCH(Table5[[#This Row],[PID]],Table3[[#All],[PID]],0)))</f>
        <v>4</v>
      </c>
      <c r="O313" s="70">
        <f>IF($C313="B",INDEX(Batters[[#All],[EYE P]],MATCH(Table5[[#This Row],[PID]],Batters[[#All],[PID]],0)),INDEX(Table3[[#All],[VELO]],MATCH(Table5[[#This Row],[PID]],Table3[[#All],[PID]],0)))</f>
        <v>5</v>
      </c>
      <c r="P313" s="56">
        <f>IF($C313="B",INDEX(Batters[[#All],[K P]],MATCH(Table5[[#This Row],[PID]],Batters[[#All],[PID]],0)),INDEX(Table3[[#All],[STM]],MATCH(Table5[[#This Row],[PID]],Table3[[#All],[PID]],0)))</f>
        <v>4</v>
      </c>
      <c r="Q313" s="61">
        <f>IF($C313="B",INDEX(Batters[[#All],[Tot]],MATCH(Table5[[#This Row],[PID]],Batters[[#All],[PID]],0)),INDEX(Table3[[#All],[Tot]],MATCH(Table5[[#This Row],[PID]],Table3[[#All],[PID]],0)))</f>
        <v>44.23546181772781</v>
      </c>
      <c r="R313" s="52">
        <f>IF($C313="B",INDEX(Batters[[#All],[zScore]],MATCH(Table5[[#This Row],[PID]],Batters[[#All],[PID]],0)),INDEX(Table3[[#All],[zScore]],MATCH(Table5[[#This Row],[PID]],Table3[[#All],[PID]],0)))</f>
        <v>0.14844537228226656</v>
      </c>
      <c r="S313" s="75" t="str">
        <f>IF($C313="B",INDEX(Batters[[#All],[DEM]],MATCH(Table5[[#This Row],[PID]],Batters[[#All],[PID]],0)),INDEX(Table3[[#All],[DEM]],MATCH(Table5[[#This Row],[PID]],Table3[[#All],[PID]],0)))</f>
        <v>$200k</v>
      </c>
      <c r="T313" s="72">
        <f>IF($C313="B",INDEX(Batters[[#All],[Rnk]],MATCH(Table5[[#This Row],[PID]],Batters[[#All],[PID]],0)),INDEX(Table3[[#All],[Rnk]],MATCH(Table5[[#This Row],[PID]],Table3[[#All],[PID]],0)))</f>
        <v>900</v>
      </c>
      <c r="U313" s="67">
        <f>IF($C313="B",VLOOKUP($A313,Bat!$A$4:$BA$1314,47,FALSE),VLOOKUP($A313,Pit!$A$4:$BF$1214,56,FALSE))</f>
        <v>162</v>
      </c>
      <c r="V313" s="50">
        <f>IF($C313="B",VLOOKUP($A313,Bat!$A$4:$BA$1314,48,FALSE),VLOOKUP($A313,Pit!$A$4:$BF$1214,57,FALSE))</f>
        <v>0</v>
      </c>
      <c r="W313" s="68">
        <f>IF(Table5[[#This Row],[posRnk]]=999,9999,Table5[[#This Row],[posRnk]]+Table5[[#This Row],[zRnk]]+IF($W$3&lt;&gt;Table5[[#This Row],[Type]],50,0))</f>
        <v>1283</v>
      </c>
      <c r="X313" s="71">
        <f>RANK(Table5[[#This Row],[zScore]],Table5[[#All],[zScore]])</f>
        <v>333</v>
      </c>
      <c r="Y313" s="68">
        <f>IFERROR(INDEX(DraftResults[[#All],[OVR]],MATCH(Table5[[#This Row],[PID]],DraftResults[[#All],[Player ID]],0)),"")</f>
        <v>541</v>
      </c>
      <c r="Z313" s="7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17</v>
      </c>
      <c r="AA313" s="68">
        <f>IFERROR(INDEX(DraftResults[[#All],[Pick in Round]],MATCH(Table5[[#This Row],[PID]],DraftResults[[#All],[Player ID]],0)),"")</f>
        <v>6</v>
      </c>
      <c r="AB313" s="68" t="str">
        <f>IFERROR(INDEX(DraftResults[[#All],[Team Name]],MATCH(Table5[[#This Row],[PID]],DraftResults[[#All],[Player ID]],0)),"")</f>
        <v>New Orleans Trendsetters</v>
      </c>
      <c r="AC313" s="68">
        <f>IF(Table5[[#This Row],[Ovr]]="","",IF(Table5[[#This Row],[cmbList]]="","",Table5[[#This Row],[cmbList]]-Table5[[#This Row],[Ovr]]))</f>
        <v>742</v>
      </c>
      <c r="AD313" s="74" t="str">
        <f>IF(ISERROR(VLOOKUP($AB313&amp;"-"&amp;$E313&amp;" "&amp;F313,Bonuses!$B$1:$G$1006,4,FALSE)),"",INT(VLOOKUP($AB313&amp;"-"&amp;$E313&amp;" "&amp;$F313,Bonuses!$B$1:$G$1006,4,FALSE)))</f>
        <v/>
      </c>
      <c r="AE313" s="68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17.6 (541) - C Arvin Graham</v>
      </c>
    </row>
    <row r="314" spans="1:31" s="50" customFormat="1" x14ac:dyDescent="0.3">
      <c r="A314" s="50">
        <v>11355</v>
      </c>
      <c r="B314" s="50">
        <f>COUNTIF(Table5[PID],A314)</f>
        <v>1</v>
      </c>
      <c r="C314" s="50" t="str">
        <f>IF(COUNTIF(Table3[[#All],[PID]],A314)&gt;0,"P","B")</f>
        <v>P</v>
      </c>
      <c r="D314" s="59" t="str">
        <f>IF($C314="B",INDEX(Batters[[#All],[POS]],MATCH(Table5[[#This Row],[PID]],Batters[[#All],[PID]],0)),INDEX(Table3[[#All],[POS]],MATCH(Table5[[#This Row],[PID]],Table3[[#All],[PID]],0)))</f>
        <v>SP</v>
      </c>
      <c r="E314" s="52" t="str">
        <f>IF($C314="B",INDEX(Batters[[#All],[First]],MATCH(Table5[[#This Row],[PID]],Batters[[#All],[PID]],0)),INDEX(Table3[[#All],[First]],MATCH(Table5[[#This Row],[PID]],Table3[[#All],[PID]],0)))</f>
        <v>Mark</v>
      </c>
      <c r="F314" s="50" t="str">
        <f>IF($C314="B",INDEX(Batters[[#All],[Last]],MATCH(A314,Batters[[#All],[PID]],0)),INDEX(Table3[[#All],[Last]],MATCH(A314,Table3[[#All],[PID]],0)))</f>
        <v>Gwilt</v>
      </c>
      <c r="G314" s="56">
        <f>IF($C314="B",INDEX(Batters[[#All],[Age]],MATCH(Table5[[#This Row],[PID]],Batters[[#All],[PID]],0)),INDEX(Table3[[#All],[Age]],MATCH(Table5[[#This Row],[PID]],Table3[[#All],[PID]],0)))</f>
        <v>17</v>
      </c>
      <c r="H314" s="52" t="str">
        <f>IF($C314="B",INDEX(Batters[[#All],[B]],MATCH(Table5[[#This Row],[PID]],Batters[[#All],[PID]],0)),INDEX(Table3[[#All],[B]],MATCH(Table5[[#This Row],[PID]],Table3[[#All],[PID]],0)))</f>
        <v>R</v>
      </c>
      <c r="I314" s="52" t="str">
        <f>IF($C314="B",INDEX(Batters[[#All],[T]],MATCH(Table5[[#This Row],[PID]],Batters[[#All],[PID]],0)),INDEX(Table3[[#All],[T]],MATCH(Table5[[#This Row],[PID]],Table3[[#All],[PID]],0)))</f>
        <v>R</v>
      </c>
      <c r="J314" s="52" t="str">
        <f>IF($C314="B",INDEX(Batters[[#All],[WE]],MATCH(Table5[[#This Row],[PID]],Batters[[#All],[PID]],0)),INDEX(Table3[[#All],[WE]],MATCH(Table5[[#This Row],[PID]],Table3[[#All],[PID]],0)))</f>
        <v>Normal</v>
      </c>
      <c r="K314" s="52" t="str">
        <f>IF($C314="B",INDEX(Batters[[#All],[INT]],MATCH(Table5[[#This Row],[PID]],Batters[[#All],[PID]],0)),INDEX(Table3[[#All],[INT]],MATCH(Table5[[#This Row],[PID]],Table3[[#All],[PID]],0)))</f>
        <v>Normal</v>
      </c>
      <c r="L314" s="60">
        <f>IF($C314="B",INDEX(Batters[[#All],[CON P]],MATCH(Table5[[#This Row],[PID]],Batters[[#All],[PID]],0)),INDEX(Table3[[#All],[STU P]],MATCH(Table5[[#This Row],[PID]],Table3[[#All],[PID]],0)))</f>
        <v>4</v>
      </c>
      <c r="M314" s="56">
        <f>IF($C314="B",INDEX(Batters[[#All],[GAP P]],MATCH(Table5[[#This Row],[PID]],Batters[[#All],[PID]],0)),INDEX(Table3[[#All],[MOV P]],MATCH(Table5[[#This Row],[PID]],Table3[[#All],[PID]],0)))</f>
        <v>2</v>
      </c>
      <c r="N314" s="56">
        <f>IF($C314="B",INDEX(Batters[[#All],[POW P]],MATCH(Table5[[#This Row],[PID]],Batters[[#All],[PID]],0)),INDEX(Table3[[#All],[CON P]],MATCH(Table5[[#This Row],[PID]],Table3[[#All],[PID]],0)))</f>
        <v>4</v>
      </c>
      <c r="O314" s="56" t="str">
        <f>IF($C314="B",INDEX(Batters[[#All],[EYE P]],MATCH(Table5[[#This Row],[PID]],Batters[[#All],[PID]],0)),INDEX(Table3[[#All],[VELO]],MATCH(Table5[[#This Row],[PID]],Table3[[#All],[PID]],0)))</f>
        <v>88-90 Mph</v>
      </c>
      <c r="P314" s="56">
        <f>IF($C314="B",INDEX(Batters[[#All],[K P]],MATCH(Table5[[#This Row],[PID]],Batters[[#All],[PID]],0)),INDEX(Table3[[#All],[STM]],MATCH(Table5[[#This Row],[PID]],Table3[[#All],[PID]],0)))</f>
        <v>7</v>
      </c>
      <c r="Q314" s="61">
        <f>IF($C314="B",INDEX(Batters[[#All],[Tot]],MATCH(Table5[[#This Row],[PID]],Batters[[#All],[PID]],0)),INDEX(Table3[[#All],[Tot]],MATCH(Table5[[#This Row],[PID]],Table3[[#All],[PID]],0)))</f>
        <v>39.845749891592767</v>
      </c>
      <c r="R314" s="52">
        <f>IF($C314="B",INDEX(Batters[[#All],[zScore]],MATCH(Table5[[#This Row],[PID]],Batters[[#All],[PID]],0)),INDEX(Table3[[#All],[zScore]],MATCH(Table5[[#This Row],[PID]],Table3[[#All],[PID]],0)))</f>
        <v>0.14548788118933895</v>
      </c>
      <c r="S314" s="58" t="str">
        <f>IF($C314="B",INDEX(Batters[[#All],[DEM]],MATCH(Table5[[#This Row],[PID]],Batters[[#All],[PID]],0)),INDEX(Table3[[#All],[DEM]],MATCH(Table5[[#This Row],[PID]],Table3[[#All],[PID]],0)))</f>
        <v>$80k</v>
      </c>
      <c r="T314" s="62">
        <f>IF($C314="B",INDEX(Batters[[#All],[Rnk]],MATCH(Table5[[#This Row],[PID]],Batters[[#All],[PID]],0)),INDEX(Table3[[#All],[Rnk]],MATCH(Table5[[#This Row],[PID]],Table3[[#All],[PID]],0)))</f>
        <v>900</v>
      </c>
      <c r="U314" s="67">
        <f>IF($C314="B",VLOOKUP($A314,Bat!$A$4:$BA$1314,47,FALSE),VLOOKUP($A314,Pit!$A$4:$BF$1214,56,FALSE))</f>
        <v>112</v>
      </c>
      <c r="V314" s="50">
        <f>IF($C314="B",VLOOKUP($A314,Bat!$A$4:$BA$1314,48,FALSE),VLOOKUP($A314,Pit!$A$4:$BF$1214,57,FALSE))</f>
        <v>0</v>
      </c>
      <c r="W314" s="68">
        <f>IF(Table5[[#This Row],[posRnk]]=999,9999,Table5[[#This Row],[posRnk]]+Table5[[#This Row],[zRnk]]+IF($W$3&lt;&gt;Table5[[#This Row],[Type]],50,0))</f>
        <v>1234</v>
      </c>
      <c r="X314" s="51">
        <f>RANK(Table5[[#This Row],[zScore]],Table5[[#All],[zScore]])</f>
        <v>334</v>
      </c>
      <c r="Y314" s="50">
        <f>IFERROR(INDEX(DraftResults[[#All],[OVR]],MATCH(Table5[[#This Row],[PID]],DraftResults[[#All],[Player ID]],0)),"")</f>
        <v>203</v>
      </c>
      <c r="Z314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7</v>
      </c>
      <c r="AA314" s="50">
        <f>IFERROR(INDEX(DraftResults[[#All],[Pick in Round]],MATCH(Table5[[#This Row],[PID]],DraftResults[[#All],[Player ID]],0)),"")</f>
        <v>2</v>
      </c>
      <c r="AB314" s="50" t="str">
        <f>IFERROR(INDEX(DraftResults[[#All],[Team Name]],MATCH(Table5[[#This Row],[PID]],DraftResults[[#All],[Player ID]],0)),"")</f>
        <v>Charleston Statesmen</v>
      </c>
      <c r="AC314" s="50">
        <f>IF(Table5[[#This Row],[Ovr]]="","",IF(Table5[[#This Row],[cmbList]]="","",Table5[[#This Row],[cmbList]]-Table5[[#This Row],[Ovr]]))</f>
        <v>1031</v>
      </c>
      <c r="AD314" s="54" t="str">
        <f>IF(ISERROR(VLOOKUP($AB314&amp;"-"&amp;$E314&amp;" "&amp;F314,Bonuses!$B$1:$G$1006,4,FALSE)),"",INT(VLOOKUP($AB314&amp;"-"&amp;$E314&amp;" "&amp;$F314,Bonuses!$B$1:$G$1006,4,FALSE)))</f>
        <v/>
      </c>
      <c r="AE314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7.2 (203) - SP Mark Gwilt</v>
      </c>
    </row>
    <row r="315" spans="1:31" s="50" customFormat="1" x14ac:dyDescent="0.3">
      <c r="A315" s="50">
        <v>20795</v>
      </c>
      <c r="B315" s="50">
        <f>COUNTIF(Table5[PID],A315)</f>
        <v>1</v>
      </c>
      <c r="C315" s="50" t="str">
        <f>IF(COUNTIF(Table3[[#All],[PID]],A315)&gt;0,"P","B")</f>
        <v>B</v>
      </c>
      <c r="D315" s="59" t="str">
        <f>IF($C315="B",INDEX(Batters[[#All],[POS]],MATCH(Table5[[#This Row],[PID]],Batters[[#All],[PID]],0)),INDEX(Table3[[#All],[POS]],MATCH(Table5[[#This Row],[PID]],Table3[[#All],[PID]],0)))</f>
        <v>2B</v>
      </c>
      <c r="E315" s="52" t="str">
        <f>IF($C315="B",INDEX(Batters[[#All],[First]],MATCH(Table5[[#This Row],[PID]],Batters[[#All],[PID]],0)),INDEX(Table3[[#All],[First]],MATCH(Table5[[#This Row],[PID]],Table3[[#All],[PID]],0)))</f>
        <v>Roberto</v>
      </c>
      <c r="F315" s="50" t="str">
        <f>IF($C315="B",INDEX(Batters[[#All],[Last]],MATCH(A315,Batters[[#All],[PID]],0)),INDEX(Table3[[#All],[Last]],MATCH(A315,Table3[[#All],[PID]],0)))</f>
        <v>Díaz</v>
      </c>
      <c r="G315" s="56">
        <f>IF($C315="B",INDEX(Batters[[#All],[Age]],MATCH(Table5[[#This Row],[PID]],Batters[[#All],[PID]],0)),INDEX(Table3[[#All],[Age]],MATCH(Table5[[#This Row],[PID]],Table3[[#All],[PID]],0)))</f>
        <v>17</v>
      </c>
      <c r="H315" s="52" t="str">
        <f>IF($C315="B",INDEX(Batters[[#All],[B]],MATCH(Table5[[#This Row],[PID]],Batters[[#All],[PID]],0)),INDEX(Table3[[#All],[B]],MATCH(Table5[[#This Row],[PID]],Table3[[#All],[PID]],0)))</f>
        <v>S</v>
      </c>
      <c r="I315" s="52" t="str">
        <f>IF($C315="B",INDEX(Batters[[#All],[T]],MATCH(Table5[[#This Row],[PID]],Batters[[#All],[PID]],0)),INDEX(Table3[[#All],[T]],MATCH(Table5[[#This Row],[PID]],Table3[[#All],[PID]],0)))</f>
        <v>R</v>
      </c>
      <c r="J315" s="52" t="str">
        <f>IF($C315="B",INDEX(Batters[[#All],[WE]],MATCH(Table5[[#This Row],[PID]],Batters[[#All],[PID]],0)),INDEX(Table3[[#All],[WE]],MATCH(Table5[[#This Row],[PID]],Table3[[#All],[PID]],0)))</f>
        <v>Low</v>
      </c>
      <c r="K315" s="52" t="str">
        <f>IF($C315="B",INDEX(Batters[[#All],[INT]],MATCH(Table5[[#This Row],[PID]],Batters[[#All],[PID]],0)),INDEX(Table3[[#All],[INT]],MATCH(Table5[[#This Row],[PID]],Table3[[#All],[PID]],0)))</f>
        <v>Normal</v>
      </c>
      <c r="L315" s="60">
        <f>IF($C315="B",INDEX(Batters[[#All],[CON P]],MATCH(Table5[[#This Row],[PID]],Batters[[#All],[PID]],0)),INDEX(Table3[[#All],[STU P]],MATCH(Table5[[#This Row],[PID]],Table3[[#All],[PID]],0)))</f>
        <v>3</v>
      </c>
      <c r="M315" s="56">
        <f>IF($C315="B",INDEX(Batters[[#All],[GAP P]],MATCH(Table5[[#This Row],[PID]],Batters[[#All],[PID]],0)),INDEX(Table3[[#All],[MOV P]],MATCH(Table5[[#This Row],[PID]],Table3[[#All],[PID]],0)))</f>
        <v>6</v>
      </c>
      <c r="N315" s="56">
        <f>IF($C315="B",INDEX(Batters[[#All],[POW P]],MATCH(Table5[[#This Row],[PID]],Batters[[#All],[PID]],0)),INDEX(Table3[[#All],[CON P]],MATCH(Table5[[#This Row],[PID]],Table3[[#All],[PID]],0)))</f>
        <v>4</v>
      </c>
      <c r="O315" s="56">
        <f>IF($C315="B",INDEX(Batters[[#All],[EYE P]],MATCH(Table5[[#This Row],[PID]],Batters[[#All],[PID]],0)),INDEX(Table3[[#All],[VELO]],MATCH(Table5[[#This Row],[PID]],Table3[[#All],[PID]],0)))</f>
        <v>5</v>
      </c>
      <c r="P315" s="56">
        <f>IF($C315="B",INDEX(Batters[[#All],[K P]],MATCH(Table5[[#This Row],[PID]],Batters[[#All],[PID]],0)),INDEX(Table3[[#All],[STM]],MATCH(Table5[[#This Row],[PID]],Table3[[#All],[PID]],0)))</f>
        <v>4</v>
      </c>
      <c r="Q315" s="61">
        <f>IF($C315="B",INDEX(Batters[[#All],[Tot]],MATCH(Table5[[#This Row],[PID]],Batters[[#All],[PID]],0)),INDEX(Table3[[#All],[Tot]],MATCH(Table5[[#This Row],[PID]],Table3[[#All],[PID]],0)))</f>
        <v>44.732061145468549</v>
      </c>
      <c r="R315" s="52">
        <f>IF($C315="B",INDEX(Batters[[#All],[zScore]],MATCH(Table5[[#This Row],[PID]],Batters[[#All],[PID]],0)),INDEX(Table3[[#All],[zScore]],MATCH(Table5[[#This Row],[PID]],Table3[[#All],[PID]],0)))</f>
        <v>0.22093303740462875</v>
      </c>
      <c r="S315" s="58" t="str">
        <f>IF($C315="B",INDEX(Batters[[#All],[DEM]],MATCH(Table5[[#This Row],[PID]],Batters[[#All],[PID]],0)),INDEX(Table3[[#All],[DEM]],MATCH(Table5[[#This Row],[PID]],Table3[[#All],[PID]],0)))</f>
        <v>$200k</v>
      </c>
      <c r="T315" s="62">
        <f>IF($C315="B",INDEX(Batters[[#All],[Rnk]],MATCH(Table5[[#This Row],[PID]],Batters[[#All],[PID]],0)),INDEX(Table3[[#All],[Rnk]],MATCH(Table5[[#This Row],[PID]],Table3[[#All],[PID]],0)))</f>
        <v>930</v>
      </c>
      <c r="U315" s="67">
        <f>IF($C315="B",VLOOKUP($A315,Bat!$A$4:$BA$1314,47,FALSE),VLOOKUP($A315,Pit!$A$4:$BF$1214,56,FALSE))</f>
        <v>316</v>
      </c>
      <c r="V315" s="50">
        <f>IF($C315="B",VLOOKUP($A315,Bat!$A$4:$BA$1314,48,FALSE),VLOOKUP($A315,Pit!$A$4:$BF$1214,57,FALSE))</f>
        <v>0</v>
      </c>
      <c r="W315" s="68">
        <f>IF(Table5[[#This Row],[posRnk]]=999,9999,Table5[[#This Row],[posRnk]]+Table5[[#This Row],[zRnk]]+IF($W$3&lt;&gt;Table5[[#This Row],[Type]],50,0))</f>
        <v>1284</v>
      </c>
      <c r="X315" s="51">
        <f>RANK(Table5[[#This Row],[zScore]],Table5[[#All],[zScore]])</f>
        <v>304</v>
      </c>
      <c r="Y315" s="50">
        <f>IFERROR(INDEX(DraftResults[[#All],[OVR]],MATCH(Table5[[#This Row],[PID]],DraftResults[[#All],[Player ID]],0)),"")</f>
        <v>314</v>
      </c>
      <c r="Z315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10</v>
      </c>
      <c r="AA315" s="50">
        <f>IFERROR(INDEX(DraftResults[[#All],[Pick in Round]],MATCH(Table5[[#This Row],[PID]],DraftResults[[#All],[Player ID]],0)),"")</f>
        <v>17</v>
      </c>
      <c r="AB315" s="50" t="str">
        <f>IFERROR(INDEX(DraftResults[[#All],[Team Name]],MATCH(Table5[[#This Row],[PID]],DraftResults[[#All],[Player ID]],0)),"")</f>
        <v>Duluth Warriors</v>
      </c>
      <c r="AC315" s="50">
        <f>IF(Table5[[#This Row],[Ovr]]="","",IF(Table5[[#This Row],[cmbList]]="","",Table5[[#This Row],[cmbList]]-Table5[[#This Row],[Ovr]]))</f>
        <v>970</v>
      </c>
      <c r="AD315" s="54" t="str">
        <f>IF(ISERROR(VLOOKUP($AB315&amp;"-"&amp;$E315&amp;" "&amp;F315,Bonuses!$B$1:$G$1006,4,FALSE)),"",INT(VLOOKUP($AB315&amp;"-"&amp;$E315&amp;" "&amp;$F315,Bonuses!$B$1:$G$1006,4,FALSE)))</f>
        <v/>
      </c>
      <c r="AE315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10.17 (314) - 2B Roberto Díaz</v>
      </c>
    </row>
    <row r="316" spans="1:31" s="50" customFormat="1" x14ac:dyDescent="0.3">
      <c r="A316" s="67">
        <v>11931</v>
      </c>
      <c r="B316" s="68">
        <f>COUNTIF(Table5[PID],A316)</f>
        <v>1</v>
      </c>
      <c r="C316" s="68" t="str">
        <f>IF(COUNTIF(Table3[[#All],[PID]],A316)&gt;0,"P","B")</f>
        <v>B</v>
      </c>
      <c r="D316" s="59" t="str">
        <f>IF($C316="B",INDEX(Batters[[#All],[POS]],MATCH(Table5[[#This Row],[PID]],Batters[[#All],[PID]],0)),INDEX(Table3[[#All],[POS]],MATCH(Table5[[#This Row],[PID]],Table3[[#All],[PID]],0)))</f>
        <v>RF</v>
      </c>
      <c r="E316" s="52" t="str">
        <f>IF($C316="B",INDEX(Batters[[#All],[First]],MATCH(Table5[[#This Row],[PID]],Batters[[#All],[PID]],0)),INDEX(Table3[[#All],[First]],MATCH(Table5[[#This Row],[PID]],Table3[[#All],[PID]],0)))</f>
        <v>Juan</v>
      </c>
      <c r="F316" s="55" t="str">
        <f>IF($C316="B",INDEX(Batters[[#All],[Last]],MATCH(A316,Batters[[#All],[PID]],0)),INDEX(Table3[[#All],[Last]],MATCH(A316,Table3[[#All],[PID]],0)))</f>
        <v>Gonzáles</v>
      </c>
      <c r="G316" s="56">
        <f>IF($C316="B",INDEX(Batters[[#All],[Age]],MATCH(Table5[[#This Row],[PID]],Batters[[#All],[PID]],0)),INDEX(Table3[[#All],[Age]],MATCH(Table5[[#This Row],[PID]],Table3[[#All],[PID]],0)))</f>
        <v>18</v>
      </c>
      <c r="H316" s="52" t="str">
        <f>IF($C316="B",INDEX(Batters[[#All],[B]],MATCH(Table5[[#This Row],[PID]],Batters[[#All],[PID]],0)),INDEX(Table3[[#All],[B]],MATCH(Table5[[#This Row],[PID]],Table3[[#All],[PID]],0)))</f>
        <v>R</v>
      </c>
      <c r="I316" s="52" t="str">
        <f>IF($C316="B",INDEX(Batters[[#All],[T]],MATCH(Table5[[#This Row],[PID]],Batters[[#All],[PID]],0)),INDEX(Table3[[#All],[T]],MATCH(Table5[[#This Row],[PID]],Table3[[#All],[PID]],0)))</f>
        <v>L</v>
      </c>
      <c r="J316" s="69" t="str">
        <f>IF($C316="B",INDEX(Batters[[#All],[WE]],MATCH(Table5[[#This Row],[PID]],Batters[[#All],[PID]],0)),INDEX(Table3[[#All],[WE]],MATCH(Table5[[#This Row],[PID]],Table3[[#All],[PID]],0)))</f>
        <v>Low</v>
      </c>
      <c r="K316" s="52" t="str">
        <f>IF($C316="B",INDEX(Batters[[#All],[INT]],MATCH(Table5[[#This Row],[PID]],Batters[[#All],[PID]],0)),INDEX(Table3[[#All],[INT]],MATCH(Table5[[#This Row],[PID]],Table3[[#All],[PID]],0)))</f>
        <v>Normal</v>
      </c>
      <c r="L316" s="60">
        <f>IF($C316="B",INDEX(Batters[[#All],[CON P]],MATCH(Table5[[#This Row],[PID]],Batters[[#All],[PID]],0)),INDEX(Table3[[#All],[STU P]],MATCH(Table5[[#This Row],[PID]],Table3[[#All],[PID]],0)))</f>
        <v>4</v>
      </c>
      <c r="M316" s="70">
        <f>IF($C316="B",INDEX(Batters[[#All],[GAP P]],MATCH(Table5[[#This Row],[PID]],Batters[[#All],[PID]],0)),INDEX(Table3[[#All],[MOV P]],MATCH(Table5[[#This Row],[PID]],Table3[[#All],[PID]],0)))</f>
        <v>4</v>
      </c>
      <c r="N316" s="70">
        <f>IF($C316="B",INDEX(Batters[[#All],[POW P]],MATCH(Table5[[#This Row],[PID]],Batters[[#All],[PID]],0)),INDEX(Table3[[#All],[CON P]],MATCH(Table5[[#This Row],[PID]],Table3[[#All],[PID]],0)))</f>
        <v>2</v>
      </c>
      <c r="O316" s="70">
        <f>IF($C316="B",INDEX(Batters[[#All],[EYE P]],MATCH(Table5[[#This Row],[PID]],Batters[[#All],[PID]],0)),INDEX(Table3[[#All],[VELO]],MATCH(Table5[[#This Row],[PID]],Table3[[#All],[PID]],0)))</f>
        <v>5</v>
      </c>
      <c r="P316" s="56">
        <f>IF($C316="B",INDEX(Batters[[#All],[K P]],MATCH(Table5[[#This Row],[PID]],Batters[[#All],[PID]],0)),INDEX(Table3[[#All],[STM]],MATCH(Table5[[#This Row],[PID]],Table3[[#All],[PID]],0)))</f>
        <v>4</v>
      </c>
      <c r="Q316" s="61">
        <f>IF($C316="B",INDEX(Batters[[#All],[Tot]],MATCH(Table5[[#This Row],[PID]],Batters[[#All],[PID]],0)),INDEX(Table3[[#All],[Tot]],MATCH(Table5[[#This Row],[PID]],Table3[[#All],[PID]],0)))</f>
        <v>44.717459102109167</v>
      </c>
      <c r="R316" s="52">
        <f>IF($C316="B",INDEX(Batters[[#All],[zScore]],MATCH(Table5[[#This Row],[PID]],Batters[[#All],[PID]],0)),INDEX(Table3[[#All],[zScore]],MATCH(Table5[[#This Row],[PID]],Table3[[#All],[PID]],0)))</f>
        <v>0.21880160473847401</v>
      </c>
      <c r="S316" s="75" t="str">
        <f>IF($C316="B",INDEX(Batters[[#All],[DEM]],MATCH(Table5[[#This Row],[PID]],Batters[[#All],[PID]],0)),INDEX(Table3[[#All],[DEM]],MATCH(Table5[[#This Row],[PID]],Table3[[#All],[PID]],0)))</f>
        <v>$65k</v>
      </c>
      <c r="T316" s="72">
        <f>IF($C316="B",INDEX(Batters[[#All],[Rnk]],MATCH(Table5[[#This Row],[PID]],Batters[[#All],[PID]],0)),INDEX(Table3[[#All],[Rnk]],MATCH(Table5[[#This Row],[PID]],Table3[[#All],[PID]],0)))</f>
        <v>930</v>
      </c>
      <c r="U316" s="67">
        <f>IF($C316="B",VLOOKUP($A316,Bat!$A$4:$BA$1314,47,FALSE),VLOOKUP($A316,Pit!$A$4:$BF$1214,56,FALSE))</f>
        <v>317</v>
      </c>
      <c r="V316" s="50">
        <f>IF($C316="B",VLOOKUP($A316,Bat!$A$4:$BA$1314,48,FALSE),VLOOKUP($A316,Pit!$A$4:$BF$1214,57,FALSE))</f>
        <v>0</v>
      </c>
      <c r="W316" s="68">
        <f>IF(Table5[[#This Row],[posRnk]]=999,9999,Table5[[#This Row],[posRnk]]+Table5[[#This Row],[zRnk]]+IF($W$3&lt;&gt;Table5[[#This Row],[Type]],50,0))</f>
        <v>1286</v>
      </c>
      <c r="X316" s="71">
        <f>RANK(Table5[[#This Row],[zScore]],Table5[[#All],[zScore]])</f>
        <v>306</v>
      </c>
      <c r="Y316" s="68">
        <f>IFERROR(INDEX(DraftResults[[#All],[OVR]],MATCH(Table5[[#This Row],[PID]],DraftResults[[#All],[Player ID]],0)),"")</f>
        <v>658</v>
      </c>
      <c r="Z316" s="7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20</v>
      </c>
      <c r="AA316" s="68">
        <f>IFERROR(INDEX(DraftResults[[#All],[Pick in Round]],MATCH(Table5[[#This Row],[PID]],DraftResults[[#All],[Player ID]],0)),"")</f>
        <v>21</v>
      </c>
      <c r="AB316" s="68" t="str">
        <f>IFERROR(INDEX(DraftResults[[#All],[Team Name]],MATCH(Table5[[#This Row],[PID]],DraftResults[[#All],[Player ID]],0)),"")</f>
        <v>Neo-Tokyo Akira</v>
      </c>
      <c r="AC316" s="68">
        <f>IF(Table5[[#This Row],[Ovr]]="","",IF(Table5[[#This Row],[cmbList]]="","",Table5[[#This Row],[cmbList]]-Table5[[#This Row],[Ovr]]))</f>
        <v>628</v>
      </c>
      <c r="AD316" s="74" t="str">
        <f>IF(ISERROR(VLOOKUP($AB316&amp;"-"&amp;$E316&amp;" "&amp;F316,Bonuses!$B$1:$G$1006,4,FALSE)),"",INT(VLOOKUP($AB316&amp;"-"&amp;$E316&amp;" "&amp;$F316,Bonuses!$B$1:$G$1006,4,FALSE)))</f>
        <v/>
      </c>
      <c r="AE316" s="68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20.21 (658) - RF Juan Gonzáles</v>
      </c>
    </row>
    <row r="317" spans="1:31" s="50" customFormat="1" x14ac:dyDescent="0.3">
      <c r="A317" s="50">
        <v>11865</v>
      </c>
      <c r="B317" s="55">
        <f>COUNTIF(Table5[PID],A317)</f>
        <v>1</v>
      </c>
      <c r="C317" s="55" t="str">
        <f>IF(COUNTIF(Table3[[#All],[PID]],A317)&gt;0,"P","B")</f>
        <v>P</v>
      </c>
      <c r="D317" s="59" t="str">
        <f>IF($C317="B",INDEX(Batters[[#All],[POS]],MATCH(Table5[[#This Row],[PID]],Batters[[#All],[PID]],0)),INDEX(Table3[[#All],[POS]],MATCH(Table5[[#This Row],[PID]],Table3[[#All],[PID]],0)))</f>
        <v>CL</v>
      </c>
      <c r="E317" s="52" t="str">
        <f>IF($C317="B",INDEX(Batters[[#All],[First]],MATCH(Table5[[#This Row],[PID]],Batters[[#All],[PID]],0)),INDEX(Table3[[#All],[First]],MATCH(Table5[[#This Row],[PID]],Table3[[#All],[PID]],0)))</f>
        <v>Kosami</v>
      </c>
      <c r="F317" s="50" t="str">
        <f>IF($C317="B",INDEX(Batters[[#All],[Last]],MATCH(A317,Batters[[#All],[PID]],0)),INDEX(Table3[[#All],[Last]],MATCH(A317,Table3[[#All],[PID]],0)))</f>
        <v>Yamaguchi</v>
      </c>
      <c r="G317" s="56">
        <f>IF($C317="B",INDEX(Batters[[#All],[Age]],MATCH(Table5[[#This Row],[PID]],Batters[[#All],[PID]],0)),INDEX(Table3[[#All],[Age]],MATCH(Table5[[#This Row],[PID]],Table3[[#All],[PID]],0)))</f>
        <v>21</v>
      </c>
      <c r="H317" s="52" t="str">
        <f>IF($C317="B",INDEX(Batters[[#All],[B]],MATCH(Table5[[#This Row],[PID]],Batters[[#All],[PID]],0)),INDEX(Table3[[#All],[B]],MATCH(Table5[[#This Row],[PID]],Table3[[#All],[PID]],0)))</f>
        <v>R</v>
      </c>
      <c r="I317" s="52" t="str">
        <f>IF($C317="B",INDEX(Batters[[#All],[T]],MATCH(Table5[[#This Row],[PID]],Batters[[#All],[PID]],0)),INDEX(Table3[[#All],[T]],MATCH(Table5[[#This Row],[PID]],Table3[[#All],[PID]],0)))</f>
        <v>R</v>
      </c>
      <c r="J317" s="52" t="str">
        <f>IF($C317="B",INDEX(Batters[[#All],[WE]],MATCH(Table5[[#This Row],[PID]],Batters[[#All],[PID]],0)),INDEX(Table3[[#All],[WE]],MATCH(Table5[[#This Row],[PID]],Table3[[#All],[PID]],0)))</f>
        <v>High</v>
      </c>
      <c r="K317" s="52" t="str">
        <f>IF($C317="B",INDEX(Batters[[#All],[INT]],MATCH(Table5[[#This Row],[PID]],Batters[[#All],[PID]],0)),INDEX(Table3[[#All],[INT]],MATCH(Table5[[#This Row],[PID]],Table3[[#All],[PID]],0)))</f>
        <v>Normal</v>
      </c>
      <c r="L317" s="60">
        <f>IF($C317="B",INDEX(Batters[[#All],[CON P]],MATCH(Table5[[#This Row],[PID]],Batters[[#All],[PID]],0)),INDEX(Table3[[#All],[STU P]],MATCH(Table5[[#This Row],[PID]],Table3[[#All],[PID]],0)))</f>
        <v>5</v>
      </c>
      <c r="M317" s="56">
        <f>IF($C317="B",INDEX(Batters[[#All],[GAP P]],MATCH(Table5[[#This Row],[PID]],Batters[[#All],[PID]],0)),INDEX(Table3[[#All],[MOV P]],MATCH(Table5[[#This Row],[PID]],Table3[[#All],[PID]],0)))</f>
        <v>2</v>
      </c>
      <c r="N317" s="56">
        <f>IF($C317="B",INDEX(Batters[[#All],[POW P]],MATCH(Table5[[#This Row],[PID]],Batters[[#All],[PID]],0)),INDEX(Table3[[#All],[CON P]],MATCH(Table5[[#This Row],[PID]],Table3[[#All],[PID]],0)))</f>
        <v>4</v>
      </c>
      <c r="O317" s="56" t="str">
        <f>IF($C317="B",INDEX(Batters[[#All],[EYE P]],MATCH(Table5[[#This Row],[PID]],Batters[[#All],[PID]],0)),INDEX(Table3[[#All],[VELO]],MATCH(Table5[[#This Row],[PID]],Table3[[#All],[PID]],0)))</f>
        <v>92-94 Mph</v>
      </c>
      <c r="P317" s="56">
        <f>IF($C317="B",INDEX(Batters[[#All],[K P]],MATCH(Table5[[#This Row],[PID]],Batters[[#All],[PID]],0)),INDEX(Table3[[#All],[STM]],MATCH(Table5[[#This Row],[PID]],Table3[[#All],[PID]],0)))</f>
        <v>8</v>
      </c>
      <c r="Q317" s="61">
        <f>IF($C317="B",INDEX(Batters[[#All],[Tot]],MATCH(Table5[[#This Row],[PID]],Batters[[#All],[PID]],0)),INDEX(Table3[[#All],[Tot]],MATCH(Table5[[#This Row],[PID]],Table3[[#All],[PID]],0)))</f>
        <v>39.789428303392057</v>
      </c>
      <c r="R317" s="52">
        <f>IF($C317="B",INDEX(Batters[[#All],[zScore]],MATCH(Table5[[#This Row],[PID]],Batters[[#All],[PID]],0)),INDEX(Table3[[#All],[zScore]],MATCH(Table5[[#This Row],[PID]],Table3[[#All],[PID]],0)))</f>
        <v>0.14147738800687282</v>
      </c>
      <c r="S317" s="58" t="str">
        <f>IF($C317="B",INDEX(Batters[[#All],[DEM]],MATCH(Table5[[#This Row],[PID]],Batters[[#All],[PID]],0)),INDEX(Table3[[#All],[DEM]],MATCH(Table5[[#This Row],[PID]],Table3[[#All],[PID]],0)))</f>
        <v>-</v>
      </c>
      <c r="T317" s="62">
        <f>IF($C317="B",INDEX(Batters[[#All],[Rnk]],MATCH(Table5[[#This Row],[PID]],Batters[[#All],[PID]],0)),INDEX(Table3[[#All],[Rnk]],MATCH(Table5[[#This Row],[PID]],Table3[[#All],[PID]],0)))</f>
        <v>900</v>
      </c>
      <c r="U317" s="67">
        <f>IF($C317="B",VLOOKUP($A317,Bat!$A$4:$BA$1314,47,FALSE),VLOOKUP($A317,Pit!$A$4:$BF$1214,56,FALSE))</f>
        <v>106</v>
      </c>
      <c r="V317" s="50">
        <f>IF($C317="B",VLOOKUP($A317,Bat!$A$4:$BA$1314,48,FALSE),VLOOKUP($A317,Pit!$A$4:$BF$1214,57,FALSE))</f>
        <v>0</v>
      </c>
      <c r="W317" s="68">
        <f>IF(Table5[[#This Row],[posRnk]]=999,9999,Table5[[#This Row],[posRnk]]+Table5[[#This Row],[zRnk]]+IF($W$3&lt;&gt;Table5[[#This Row],[Type]],50,0))</f>
        <v>1237</v>
      </c>
      <c r="X317" s="51">
        <f>RANK(Table5[[#This Row],[zScore]],Table5[[#All],[zScore]])</f>
        <v>337</v>
      </c>
      <c r="Y317" s="50">
        <f>IFERROR(INDEX(DraftResults[[#All],[OVR]],MATCH(Table5[[#This Row],[PID]],DraftResults[[#All],[Player ID]],0)),"")</f>
        <v>143</v>
      </c>
      <c r="Z317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5</v>
      </c>
      <c r="AA317" s="50">
        <f>IFERROR(INDEX(DraftResults[[#All],[Pick in Round]],MATCH(Table5[[#This Row],[PID]],DraftResults[[#All],[Player ID]],0)),"")</f>
        <v>6</v>
      </c>
      <c r="AB317" s="50" t="str">
        <f>IFERROR(INDEX(DraftResults[[#All],[Team Name]],MATCH(Table5[[#This Row],[PID]],DraftResults[[#All],[Player ID]],0)),"")</f>
        <v>New Orleans Trendsetters</v>
      </c>
      <c r="AC317" s="50">
        <f>IF(Table5[[#This Row],[Ovr]]="","",IF(Table5[[#This Row],[cmbList]]="","",Table5[[#This Row],[cmbList]]-Table5[[#This Row],[Ovr]]))</f>
        <v>1094</v>
      </c>
      <c r="AD317" s="54" t="str">
        <f>IF(ISERROR(VLOOKUP($AB317&amp;"-"&amp;$E317&amp;" "&amp;F317,Bonuses!$B$1:$G$1006,4,FALSE)),"",INT(VLOOKUP($AB317&amp;"-"&amp;$E317&amp;" "&amp;$F317,Bonuses!$B$1:$G$1006,4,FALSE)))</f>
        <v/>
      </c>
      <c r="AE317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5.6 (143) - CL Kosami Yamaguchi</v>
      </c>
    </row>
    <row r="318" spans="1:31" s="50" customFormat="1" x14ac:dyDescent="0.3">
      <c r="A318" s="67">
        <v>20370</v>
      </c>
      <c r="B318" s="68">
        <f>COUNTIF(Table5[PID],A318)</f>
        <v>1</v>
      </c>
      <c r="C318" s="68" t="str">
        <f>IF(COUNTIF(Table3[[#All],[PID]],A318)&gt;0,"P","B")</f>
        <v>B</v>
      </c>
      <c r="D318" s="59" t="str">
        <f>IF($C318="B",INDEX(Batters[[#All],[POS]],MATCH(Table5[[#This Row],[PID]],Batters[[#All],[PID]],0)),INDEX(Table3[[#All],[POS]],MATCH(Table5[[#This Row],[PID]],Table3[[#All],[PID]],0)))</f>
        <v>LF</v>
      </c>
      <c r="E318" s="52" t="str">
        <f>IF($C318="B",INDEX(Batters[[#All],[First]],MATCH(Table5[[#This Row],[PID]],Batters[[#All],[PID]],0)),INDEX(Table3[[#All],[First]],MATCH(Table5[[#This Row],[PID]],Table3[[#All],[PID]],0)))</f>
        <v>Mike</v>
      </c>
      <c r="F318" s="55" t="str">
        <f>IF($C318="B",INDEX(Batters[[#All],[Last]],MATCH(A318,Batters[[#All],[PID]],0)),INDEX(Table3[[#All],[Last]],MATCH(A318,Table3[[#All],[PID]],0)))</f>
        <v>Quinn</v>
      </c>
      <c r="G318" s="56">
        <f>IF($C318="B",INDEX(Batters[[#All],[Age]],MATCH(Table5[[#This Row],[PID]],Batters[[#All],[PID]],0)),INDEX(Table3[[#All],[Age]],MATCH(Table5[[#This Row],[PID]],Table3[[#All],[PID]],0)))</f>
        <v>17</v>
      </c>
      <c r="H318" s="52" t="str">
        <f>IF($C318="B",INDEX(Batters[[#All],[B]],MATCH(Table5[[#This Row],[PID]],Batters[[#All],[PID]],0)),INDEX(Table3[[#All],[B]],MATCH(Table5[[#This Row],[PID]],Table3[[#All],[PID]],0)))</f>
        <v>L</v>
      </c>
      <c r="I318" s="52" t="str">
        <f>IF($C318="B",INDEX(Batters[[#All],[T]],MATCH(Table5[[#This Row],[PID]],Batters[[#All],[PID]],0)),INDEX(Table3[[#All],[T]],MATCH(Table5[[#This Row],[PID]],Table3[[#All],[PID]],0)))</f>
        <v>R</v>
      </c>
      <c r="J318" s="69" t="str">
        <f>IF($C318="B",INDEX(Batters[[#All],[WE]],MATCH(Table5[[#This Row],[PID]],Batters[[#All],[PID]],0)),INDEX(Table3[[#All],[WE]],MATCH(Table5[[#This Row],[PID]],Table3[[#All],[PID]],0)))</f>
        <v>Low</v>
      </c>
      <c r="K318" s="52" t="str">
        <f>IF($C318="B",INDEX(Batters[[#All],[INT]],MATCH(Table5[[#This Row],[PID]],Batters[[#All],[PID]],0)),INDEX(Table3[[#All],[INT]],MATCH(Table5[[#This Row],[PID]],Table3[[#All],[PID]],0)))</f>
        <v>Normal</v>
      </c>
      <c r="L318" s="60">
        <f>IF($C318="B",INDEX(Batters[[#All],[CON P]],MATCH(Table5[[#This Row],[PID]],Batters[[#All],[PID]],0)),INDEX(Table3[[#All],[STU P]],MATCH(Table5[[#This Row],[PID]],Table3[[#All],[PID]],0)))</f>
        <v>4</v>
      </c>
      <c r="M318" s="70">
        <f>IF($C318="B",INDEX(Batters[[#All],[GAP P]],MATCH(Table5[[#This Row],[PID]],Batters[[#All],[PID]],0)),INDEX(Table3[[#All],[MOV P]],MATCH(Table5[[#This Row],[PID]],Table3[[#All],[PID]],0)))</f>
        <v>4</v>
      </c>
      <c r="N318" s="70">
        <f>IF($C318="B",INDEX(Batters[[#All],[POW P]],MATCH(Table5[[#This Row],[PID]],Batters[[#All],[PID]],0)),INDEX(Table3[[#All],[CON P]],MATCH(Table5[[#This Row],[PID]],Table3[[#All],[PID]],0)))</f>
        <v>2</v>
      </c>
      <c r="O318" s="70">
        <f>IF($C318="B",INDEX(Batters[[#All],[EYE P]],MATCH(Table5[[#This Row],[PID]],Batters[[#All],[PID]],0)),INDEX(Table3[[#All],[VELO]],MATCH(Table5[[#This Row],[PID]],Table3[[#All],[PID]],0)))</f>
        <v>5</v>
      </c>
      <c r="P318" s="56">
        <f>IF($C318="B",INDEX(Batters[[#All],[K P]],MATCH(Table5[[#This Row],[PID]],Batters[[#All],[PID]],0)),INDEX(Table3[[#All],[STM]],MATCH(Table5[[#This Row],[PID]],Table3[[#All],[PID]],0)))</f>
        <v>4</v>
      </c>
      <c r="Q318" s="61">
        <f>IF($C318="B",INDEX(Batters[[#All],[Tot]],MATCH(Table5[[#This Row],[PID]],Batters[[#All],[PID]],0)),INDEX(Table3[[#All],[Tot]],MATCH(Table5[[#This Row],[PID]],Table3[[#All],[PID]],0)))</f>
        <v>44.708351480165589</v>
      </c>
      <c r="R318" s="52">
        <f>IF($C318="B",INDEX(Batters[[#All],[zScore]],MATCH(Table5[[#This Row],[PID]],Batters[[#All],[PID]],0)),INDEX(Table3[[#All],[zScore]],MATCH(Table5[[#This Row],[PID]],Table3[[#All],[PID]],0)))</f>
        <v>0.21747218237998905</v>
      </c>
      <c r="S318" s="75" t="str">
        <f>IF($C318="B",INDEX(Batters[[#All],[DEM]],MATCH(Table5[[#This Row],[PID]],Batters[[#All],[PID]],0)),INDEX(Table3[[#All],[DEM]],MATCH(Table5[[#This Row],[PID]],Table3[[#All],[PID]],0)))</f>
        <v>$75k</v>
      </c>
      <c r="T318" s="72">
        <f>IF($C318="B",INDEX(Batters[[#All],[Rnk]],MATCH(Table5[[#This Row],[PID]],Batters[[#All],[PID]],0)),INDEX(Table3[[#All],[Rnk]],MATCH(Table5[[#This Row],[PID]],Table3[[#All],[PID]],0)))</f>
        <v>930</v>
      </c>
      <c r="U318" s="67">
        <f>IF($C318="B",VLOOKUP($A318,Bat!$A$4:$BA$1314,47,FALSE),VLOOKUP($A318,Pit!$A$4:$BF$1214,56,FALSE))</f>
        <v>318</v>
      </c>
      <c r="V318" s="50">
        <f>IF($C318="B",VLOOKUP($A318,Bat!$A$4:$BA$1314,48,FALSE),VLOOKUP($A318,Pit!$A$4:$BF$1214,57,FALSE))</f>
        <v>0</v>
      </c>
      <c r="W318" s="68">
        <f>IF(Table5[[#This Row],[posRnk]]=999,9999,Table5[[#This Row],[posRnk]]+Table5[[#This Row],[zRnk]]+IF($W$3&lt;&gt;Table5[[#This Row],[Type]],50,0))</f>
        <v>1287</v>
      </c>
      <c r="X318" s="71">
        <f>RANK(Table5[[#This Row],[zScore]],Table5[[#All],[zScore]])</f>
        <v>307</v>
      </c>
      <c r="Y318" s="68">
        <f>IFERROR(INDEX(DraftResults[[#All],[OVR]],MATCH(Table5[[#This Row],[PID]],DraftResults[[#All],[Player ID]],0)),"")</f>
        <v>498</v>
      </c>
      <c r="Z318" s="7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15</v>
      </c>
      <c r="AA318" s="68">
        <f>IFERROR(INDEX(DraftResults[[#All],[Pick in Round]],MATCH(Table5[[#This Row],[PID]],DraftResults[[#All],[Player ID]],0)),"")</f>
        <v>31</v>
      </c>
      <c r="AB318" s="68" t="str">
        <f>IFERROR(INDEX(DraftResults[[#All],[Team Name]],MATCH(Table5[[#This Row],[PID]],DraftResults[[#All],[Player ID]],0)),"")</f>
        <v>West Virginia Alleghenies</v>
      </c>
      <c r="AC318" s="68">
        <f>IF(Table5[[#This Row],[Ovr]]="","",IF(Table5[[#This Row],[cmbList]]="","",Table5[[#This Row],[cmbList]]-Table5[[#This Row],[Ovr]]))</f>
        <v>789</v>
      </c>
      <c r="AD318" s="74" t="str">
        <f>IF(ISERROR(VLOOKUP($AB318&amp;"-"&amp;$E318&amp;" "&amp;F318,Bonuses!$B$1:$G$1006,4,FALSE)),"",INT(VLOOKUP($AB318&amp;"-"&amp;$E318&amp;" "&amp;$F318,Bonuses!$B$1:$G$1006,4,FALSE)))</f>
        <v/>
      </c>
      <c r="AE318" s="68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15.31 (498) - LF Mike Quinn</v>
      </c>
    </row>
    <row r="319" spans="1:31" s="50" customFormat="1" x14ac:dyDescent="0.3">
      <c r="A319" s="50">
        <v>20565</v>
      </c>
      <c r="B319" s="50">
        <f>COUNTIF(Table5[PID],A319)</f>
        <v>1</v>
      </c>
      <c r="C319" s="50" t="str">
        <f>IF(COUNTIF(Table3[[#All],[PID]],A319)&gt;0,"P","B")</f>
        <v>B</v>
      </c>
      <c r="D319" s="59" t="str">
        <f>IF($C319="B",INDEX(Batters[[#All],[POS]],MATCH(Table5[[#This Row],[PID]],Batters[[#All],[PID]],0)),INDEX(Table3[[#All],[POS]],MATCH(Table5[[#This Row],[PID]],Table3[[#All],[PID]],0)))</f>
        <v>1B</v>
      </c>
      <c r="E319" s="52" t="str">
        <f>IF($C319="B",INDEX(Batters[[#All],[First]],MATCH(Table5[[#This Row],[PID]],Batters[[#All],[PID]],0)),INDEX(Table3[[#All],[First]],MATCH(Table5[[#This Row],[PID]],Table3[[#All],[PID]],0)))</f>
        <v>Blair</v>
      </c>
      <c r="F319" s="50" t="str">
        <f>IF($C319="B",INDEX(Batters[[#All],[Last]],MATCH(A319,Batters[[#All],[PID]],0)),INDEX(Table3[[#All],[Last]],MATCH(A319,Table3[[#All],[PID]],0)))</f>
        <v>Dale</v>
      </c>
      <c r="G319" s="56">
        <f>IF($C319="B",INDEX(Batters[[#All],[Age]],MATCH(Table5[[#This Row],[PID]],Batters[[#All],[PID]],0)),INDEX(Table3[[#All],[Age]],MATCH(Table5[[#This Row],[PID]],Table3[[#All],[PID]],0)))</f>
        <v>16</v>
      </c>
      <c r="H319" s="52" t="str">
        <f>IF($C319="B",INDEX(Batters[[#All],[B]],MATCH(Table5[[#This Row],[PID]],Batters[[#All],[PID]],0)),INDEX(Table3[[#All],[B]],MATCH(Table5[[#This Row],[PID]],Table3[[#All],[PID]],0)))</f>
        <v>S</v>
      </c>
      <c r="I319" s="52" t="str">
        <f>IF($C319="B",INDEX(Batters[[#All],[T]],MATCH(Table5[[#This Row],[PID]],Batters[[#All],[PID]],0)),INDEX(Table3[[#All],[T]],MATCH(Table5[[#This Row],[PID]],Table3[[#All],[PID]],0)))</f>
        <v>R</v>
      </c>
      <c r="J319" s="52" t="str">
        <f>IF($C319="B",INDEX(Batters[[#All],[WE]],MATCH(Table5[[#This Row],[PID]],Batters[[#All],[PID]],0)),INDEX(Table3[[#All],[WE]],MATCH(Table5[[#This Row],[PID]],Table3[[#All],[PID]],0)))</f>
        <v>Normal</v>
      </c>
      <c r="K319" s="52" t="str">
        <f>IF($C319="B",INDEX(Batters[[#All],[INT]],MATCH(Table5[[#This Row],[PID]],Batters[[#All],[PID]],0)),INDEX(Table3[[#All],[INT]],MATCH(Table5[[#This Row],[PID]],Table3[[#All],[PID]],0)))</f>
        <v>Normal</v>
      </c>
      <c r="L319" s="60">
        <f>IF($C319="B",INDEX(Batters[[#All],[CON P]],MATCH(Table5[[#This Row],[PID]],Batters[[#All],[PID]],0)),INDEX(Table3[[#All],[STU P]],MATCH(Table5[[#This Row],[PID]],Table3[[#All],[PID]],0)))</f>
        <v>3</v>
      </c>
      <c r="M319" s="56">
        <f>IF($C319="B",INDEX(Batters[[#All],[GAP P]],MATCH(Table5[[#This Row],[PID]],Batters[[#All],[PID]],0)),INDEX(Table3[[#All],[MOV P]],MATCH(Table5[[#This Row],[PID]],Table3[[#All],[PID]],0)))</f>
        <v>4</v>
      </c>
      <c r="N319" s="56">
        <f>IF($C319="B",INDEX(Batters[[#All],[POW P]],MATCH(Table5[[#This Row],[PID]],Batters[[#All],[PID]],0)),INDEX(Table3[[#All],[CON P]],MATCH(Table5[[#This Row],[PID]],Table3[[#All],[PID]],0)))</f>
        <v>5</v>
      </c>
      <c r="O319" s="56">
        <f>IF($C319="B",INDEX(Batters[[#All],[EYE P]],MATCH(Table5[[#This Row],[PID]],Batters[[#All],[PID]],0)),INDEX(Table3[[#All],[VELO]],MATCH(Table5[[#This Row],[PID]],Table3[[#All],[PID]],0)))</f>
        <v>5</v>
      </c>
      <c r="P319" s="56">
        <f>IF($C319="B",INDEX(Batters[[#All],[K P]],MATCH(Table5[[#This Row],[PID]],Batters[[#All],[PID]],0)),INDEX(Table3[[#All],[STM]],MATCH(Table5[[#This Row],[PID]],Table3[[#All],[PID]],0)))</f>
        <v>4</v>
      </c>
      <c r="Q319" s="61">
        <f>IF($C319="B",INDEX(Batters[[#All],[Tot]],MATCH(Table5[[#This Row],[PID]],Batters[[#All],[PID]],0)),INDEX(Table3[[#All],[Tot]],MATCH(Table5[[#This Row],[PID]],Table3[[#All],[PID]],0)))</f>
        <v>44.178532272597728</v>
      </c>
      <c r="R319" s="52">
        <f>IF($C319="B",INDEX(Batters[[#All],[zScore]],MATCH(Table5[[#This Row],[PID]],Batters[[#All],[PID]],0)),INDEX(Table3[[#All],[zScore]],MATCH(Table5[[#This Row],[PID]],Table3[[#All],[PID]],0)))</f>
        <v>0.14013547419655631</v>
      </c>
      <c r="S319" s="58" t="str">
        <f>IF($C319="B",INDEX(Batters[[#All],[DEM]],MATCH(Table5[[#This Row],[PID]],Batters[[#All],[PID]],0)),INDEX(Table3[[#All],[DEM]],MATCH(Table5[[#This Row],[PID]],Table3[[#All],[PID]],0)))</f>
        <v>$70k</v>
      </c>
      <c r="T319" s="62">
        <f>IF($C319="B",INDEX(Batters[[#All],[Rnk]],MATCH(Table5[[#This Row],[PID]],Batters[[#All],[PID]],0)),INDEX(Table3[[#All],[Rnk]],MATCH(Table5[[#This Row],[PID]],Table3[[#All],[PID]],0)))</f>
        <v>900</v>
      </c>
      <c r="U319" s="67">
        <f>IF($C319="B",VLOOKUP($A319,Bat!$A$4:$BA$1314,47,FALSE),VLOOKUP($A319,Pit!$A$4:$BF$1214,56,FALSE))</f>
        <v>163</v>
      </c>
      <c r="V319" s="50">
        <f>IF($C319="B",VLOOKUP($A319,Bat!$A$4:$BA$1314,48,FALSE),VLOOKUP($A319,Pit!$A$4:$BF$1214,57,FALSE))</f>
        <v>0</v>
      </c>
      <c r="W319" s="68">
        <f>IF(Table5[[#This Row],[posRnk]]=999,9999,Table5[[#This Row],[posRnk]]+Table5[[#This Row],[zRnk]]+IF($W$3&lt;&gt;Table5[[#This Row],[Type]],50,0))</f>
        <v>1288</v>
      </c>
      <c r="X319" s="51">
        <f>RANK(Table5[[#This Row],[zScore]],Table5[[#All],[zScore]])</f>
        <v>338</v>
      </c>
      <c r="Y319" s="50">
        <f>IFERROR(INDEX(DraftResults[[#All],[OVR]],MATCH(Table5[[#This Row],[PID]],DraftResults[[#All],[Player ID]],0)),"")</f>
        <v>435</v>
      </c>
      <c r="Z319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14</v>
      </c>
      <c r="AA319" s="50">
        <f>IFERROR(INDEX(DraftResults[[#All],[Pick in Round]],MATCH(Table5[[#This Row],[PID]],DraftResults[[#All],[Player ID]],0)),"")</f>
        <v>2</v>
      </c>
      <c r="AB319" s="50" t="str">
        <f>IFERROR(INDEX(DraftResults[[#All],[Team Name]],MATCH(Table5[[#This Row],[PID]],DraftResults[[#All],[Player ID]],0)),"")</f>
        <v>Charleston Statesmen</v>
      </c>
      <c r="AC319" s="50">
        <f>IF(Table5[[#This Row],[Ovr]]="","",IF(Table5[[#This Row],[cmbList]]="","",Table5[[#This Row],[cmbList]]-Table5[[#This Row],[Ovr]]))</f>
        <v>853</v>
      </c>
      <c r="AD319" s="54" t="str">
        <f>IF(ISERROR(VLOOKUP($AB319&amp;"-"&amp;$E319&amp;" "&amp;F319,Bonuses!$B$1:$G$1006,4,FALSE)),"",INT(VLOOKUP($AB319&amp;"-"&amp;$E319&amp;" "&amp;$F319,Bonuses!$B$1:$G$1006,4,FALSE)))</f>
        <v/>
      </c>
      <c r="AE319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14.2 (435) - 1B Blair Dale</v>
      </c>
    </row>
    <row r="320" spans="1:31" s="50" customFormat="1" x14ac:dyDescent="0.3">
      <c r="A320" s="50">
        <v>11307</v>
      </c>
      <c r="B320" s="50">
        <f>COUNTIF(Table5[PID],A320)</f>
        <v>1</v>
      </c>
      <c r="C320" s="50" t="str">
        <f>IF(COUNTIF(Table3[[#All],[PID]],A320)&gt;0,"P","B")</f>
        <v>B</v>
      </c>
      <c r="D320" s="59" t="str">
        <f>IF($C320="B",INDEX(Batters[[#All],[POS]],MATCH(Table5[[#This Row],[PID]],Batters[[#All],[PID]],0)),INDEX(Table3[[#All],[POS]],MATCH(Table5[[#This Row],[PID]],Table3[[#All],[PID]],0)))</f>
        <v>3B</v>
      </c>
      <c r="E320" s="52" t="str">
        <f>IF($C320="B",INDEX(Batters[[#All],[First]],MATCH(Table5[[#This Row],[PID]],Batters[[#All],[PID]],0)),INDEX(Table3[[#All],[First]],MATCH(Table5[[#This Row],[PID]],Table3[[#All],[PID]],0)))</f>
        <v>Randy</v>
      </c>
      <c r="F320" s="50" t="str">
        <f>IF($C320="B",INDEX(Batters[[#All],[Last]],MATCH(A320,Batters[[#All],[PID]],0)),INDEX(Table3[[#All],[Last]],MATCH(A320,Table3[[#All],[PID]],0)))</f>
        <v>Price</v>
      </c>
      <c r="G320" s="56">
        <f>IF($C320="B",INDEX(Batters[[#All],[Age]],MATCH(Table5[[#This Row],[PID]],Batters[[#All],[PID]],0)),INDEX(Table3[[#All],[Age]],MATCH(Table5[[#This Row],[PID]],Table3[[#All],[PID]],0)))</f>
        <v>17</v>
      </c>
      <c r="H320" s="52" t="str">
        <f>IF($C320="B",INDEX(Batters[[#All],[B]],MATCH(Table5[[#This Row],[PID]],Batters[[#All],[PID]],0)),INDEX(Table3[[#All],[B]],MATCH(Table5[[#This Row],[PID]],Table3[[#All],[PID]],0)))</f>
        <v>R</v>
      </c>
      <c r="I320" s="52" t="str">
        <f>IF($C320="B",INDEX(Batters[[#All],[T]],MATCH(Table5[[#This Row],[PID]],Batters[[#All],[PID]],0)),INDEX(Table3[[#All],[T]],MATCH(Table5[[#This Row],[PID]],Table3[[#All],[PID]],0)))</f>
        <v>R</v>
      </c>
      <c r="J320" s="52" t="str">
        <f>IF($C320="B",INDEX(Batters[[#All],[WE]],MATCH(Table5[[#This Row],[PID]],Batters[[#All],[PID]],0)),INDEX(Table3[[#All],[WE]],MATCH(Table5[[#This Row],[PID]],Table3[[#All],[PID]],0)))</f>
        <v>Low</v>
      </c>
      <c r="K320" s="52" t="str">
        <f>IF($C320="B",INDEX(Batters[[#All],[INT]],MATCH(Table5[[#This Row],[PID]],Batters[[#All],[PID]],0)),INDEX(Table3[[#All],[INT]],MATCH(Table5[[#This Row],[PID]],Table3[[#All],[PID]],0)))</f>
        <v>Normal</v>
      </c>
      <c r="L320" s="60">
        <f>IF($C320="B",INDEX(Batters[[#All],[CON P]],MATCH(Table5[[#This Row],[PID]],Batters[[#All],[PID]],0)),INDEX(Table3[[#All],[STU P]],MATCH(Table5[[#This Row],[PID]],Table3[[#All],[PID]],0)))</f>
        <v>3</v>
      </c>
      <c r="M320" s="56">
        <f>IF($C320="B",INDEX(Batters[[#All],[GAP P]],MATCH(Table5[[#This Row],[PID]],Batters[[#All],[PID]],0)),INDEX(Table3[[#All],[MOV P]],MATCH(Table5[[#This Row],[PID]],Table3[[#All],[PID]],0)))</f>
        <v>6</v>
      </c>
      <c r="N320" s="56">
        <f>IF($C320="B",INDEX(Batters[[#All],[POW P]],MATCH(Table5[[#This Row],[PID]],Batters[[#All],[PID]],0)),INDEX(Table3[[#All],[CON P]],MATCH(Table5[[#This Row],[PID]],Table3[[#All],[PID]],0)))</f>
        <v>6</v>
      </c>
      <c r="O320" s="56">
        <f>IF($C320="B",INDEX(Batters[[#All],[EYE P]],MATCH(Table5[[#This Row],[PID]],Batters[[#All],[PID]],0)),INDEX(Table3[[#All],[VELO]],MATCH(Table5[[#This Row],[PID]],Table3[[#All],[PID]],0)))</f>
        <v>5</v>
      </c>
      <c r="P320" s="56">
        <f>IF($C320="B",INDEX(Batters[[#All],[K P]],MATCH(Table5[[#This Row],[PID]],Batters[[#All],[PID]],0)),INDEX(Table3[[#All],[STM]],MATCH(Table5[[#This Row],[PID]],Table3[[#All],[PID]],0)))</f>
        <v>1</v>
      </c>
      <c r="Q320" s="61">
        <f>IF($C320="B",INDEX(Batters[[#All],[Tot]],MATCH(Table5[[#This Row],[PID]],Batters[[#All],[PID]],0)),INDEX(Table3[[#All],[Tot]],MATCH(Table5[[#This Row],[PID]],Table3[[#All],[PID]],0)))</f>
        <v>44.604815596734369</v>
      </c>
      <c r="R320" s="52">
        <f>IF($C320="B",INDEX(Batters[[#All],[zScore]],MATCH(Table5[[#This Row],[PID]],Batters[[#All],[PID]],0)),INDEX(Table3[[#All],[zScore]],MATCH(Table5[[#This Row],[PID]],Table3[[#All],[PID]],0)))</f>
        <v>0.20235924519488591</v>
      </c>
      <c r="S320" s="58" t="str">
        <f>IF($C320="B",INDEX(Batters[[#All],[DEM]],MATCH(Table5[[#This Row],[PID]],Batters[[#All],[PID]],0)),INDEX(Table3[[#All],[DEM]],MATCH(Table5[[#This Row],[PID]],Table3[[#All],[PID]],0)))</f>
        <v>$500k</v>
      </c>
      <c r="T320" s="62">
        <f>IF($C320="B",INDEX(Batters[[#All],[Rnk]],MATCH(Table5[[#This Row],[PID]],Batters[[#All],[PID]],0)),INDEX(Table3[[#All],[Rnk]],MATCH(Table5[[#This Row],[PID]],Table3[[#All],[PID]],0)))</f>
        <v>930</v>
      </c>
      <c r="U320" s="67">
        <f>IF($C320="B",VLOOKUP($A320,Bat!$A$4:$BA$1314,47,FALSE),VLOOKUP($A320,Pit!$A$4:$BF$1214,56,FALSE))</f>
        <v>319</v>
      </c>
      <c r="V320" s="50">
        <f>IF($C320="B",VLOOKUP($A320,Bat!$A$4:$BA$1314,48,FALSE),VLOOKUP($A320,Pit!$A$4:$BF$1214,57,FALSE))</f>
        <v>0</v>
      </c>
      <c r="W320" s="68">
        <f>IF(Table5[[#This Row],[posRnk]]=999,9999,Table5[[#This Row],[posRnk]]+Table5[[#This Row],[zRnk]]+IF($W$3&lt;&gt;Table5[[#This Row],[Type]],50,0))</f>
        <v>1290</v>
      </c>
      <c r="X320" s="51">
        <f>RANK(Table5[[#This Row],[zScore]],Table5[[#All],[zScore]])</f>
        <v>310</v>
      </c>
      <c r="Y320" s="50">
        <f>IFERROR(INDEX(DraftResults[[#All],[OVR]],MATCH(Table5[[#This Row],[PID]],DraftResults[[#All],[Player ID]],0)),"")</f>
        <v>302</v>
      </c>
      <c r="Z320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10</v>
      </c>
      <c r="AA320" s="50">
        <f>IFERROR(INDEX(DraftResults[[#All],[Pick in Round]],MATCH(Table5[[#This Row],[PID]],DraftResults[[#All],[Player ID]],0)),"")</f>
        <v>5</v>
      </c>
      <c r="AB320" s="50" t="str">
        <f>IFERROR(INDEX(DraftResults[[#All],[Team Name]],MATCH(Table5[[#This Row],[PID]],DraftResults[[#All],[Player ID]],0)),"")</f>
        <v>Tempe Knights</v>
      </c>
      <c r="AC320" s="50">
        <f>IF(Table5[[#This Row],[Ovr]]="","",IF(Table5[[#This Row],[cmbList]]="","",Table5[[#This Row],[cmbList]]-Table5[[#This Row],[Ovr]]))</f>
        <v>988</v>
      </c>
      <c r="AD320" s="54" t="str">
        <f>IF(ISERROR(VLOOKUP($AB320&amp;"-"&amp;$E320&amp;" "&amp;F320,Bonuses!$B$1:$G$1006,4,FALSE)),"",INT(VLOOKUP($AB320&amp;"-"&amp;$E320&amp;" "&amp;$F320,Bonuses!$B$1:$G$1006,4,FALSE)))</f>
        <v/>
      </c>
      <c r="AE320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10.5 (302) - 3B Randy Price</v>
      </c>
    </row>
    <row r="321" spans="1:31" s="50" customFormat="1" x14ac:dyDescent="0.3">
      <c r="A321" s="50">
        <v>20304</v>
      </c>
      <c r="B321" s="50">
        <f>COUNTIF(Table5[PID],A321)</f>
        <v>1</v>
      </c>
      <c r="C321" s="50" t="str">
        <f>IF(COUNTIF(Table3[[#All],[PID]],A321)&gt;0,"P","B")</f>
        <v>P</v>
      </c>
      <c r="D321" s="59" t="str">
        <f>IF($C321="B",INDEX(Batters[[#All],[POS]],MATCH(Table5[[#This Row],[PID]],Batters[[#All],[PID]],0)),INDEX(Table3[[#All],[POS]],MATCH(Table5[[#This Row],[PID]],Table3[[#All],[PID]],0)))</f>
        <v>RP</v>
      </c>
      <c r="E321" s="52" t="str">
        <f>IF($C321="B",INDEX(Batters[[#All],[First]],MATCH(Table5[[#This Row],[PID]],Batters[[#All],[PID]],0)),INDEX(Table3[[#All],[First]],MATCH(Table5[[#This Row],[PID]],Table3[[#All],[PID]],0)))</f>
        <v>Seung-cheol</v>
      </c>
      <c r="F321" s="50" t="str">
        <f>IF($C321="B",INDEX(Batters[[#All],[Last]],MATCH(A321,Batters[[#All],[PID]],0)),INDEX(Table3[[#All],[Last]],MATCH(A321,Table3[[#All],[PID]],0)))</f>
        <v>Yun</v>
      </c>
      <c r="G321" s="56">
        <f>IF($C321="B",INDEX(Batters[[#All],[Age]],MATCH(Table5[[#This Row],[PID]],Batters[[#All],[PID]],0)),INDEX(Table3[[#All],[Age]],MATCH(Table5[[#This Row],[PID]],Table3[[#All],[PID]],0)))</f>
        <v>18</v>
      </c>
      <c r="H321" s="52" t="str">
        <f>IF($C321="B",INDEX(Batters[[#All],[B]],MATCH(Table5[[#This Row],[PID]],Batters[[#All],[PID]],0)),INDEX(Table3[[#All],[B]],MATCH(Table5[[#This Row],[PID]],Table3[[#All],[PID]],0)))</f>
        <v>R</v>
      </c>
      <c r="I321" s="52" t="str">
        <f>IF($C321="B",INDEX(Batters[[#All],[T]],MATCH(Table5[[#This Row],[PID]],Batters[[#All],[PID]],0)),INDEX(Table3[[#All],[T]],MATCH(Table5[[#This Row],[PID]],Table3[[#All],[PID]],0)))</f>
        <v>R</v>
      </c>
      <c r="J321" s="52" t="str">
        <f>IF($C321="B",INDEX(Batters[[#All],[WE]],MATCH(Table5[[#This Row],[PID]],Batters[[#All],[PID]],0)),INDEX(Table3[[#All],[WE]],MATCH(Table5[[#This Row],[PID]],Table3[[#All],[PID]],0)))</f>
        <v>Normal</v>
      </c>
      <c r="K321" s="52" t="str">
        <f>IF($C321="B",INDEX(Batters[[#All],[INT]],MATCH(Table5[[#This Row],[PID]],Batters[[#All],[PID]],0)),INDEX(Table3[[#All],[INT]],MATCH(Table5[[#This Row],[PID]],Table3[[#All],[PID]],0)))</f>
        <v>High</v>
      </c>
      <c r="L321" s="60">
        <f>IF($C321="B",INDEX(Batters[[#All],[CON P]],MATCH(Table5[[#This Row],[PID]],Batters[[#All],[PID]],0)),INDEX(Table3[[#All],[STU P]],MATCH(Table5[[#This Row],[PID]],Table3[[#All],[PID]],0)))</f>
        <v>5</v>
      </c>
      <c r="M321" s="56">
        <f>IF($C321="B",INDEX(Batters[[#All],[GAP P]],MATCH(Table5[[#This Row],[PID]],Batters[[#All],[PID]],0)),INDEX(Table3[[#All],[MOV P]],MATCH(Table5[[#This Row],[PID]],Table3[[#All],[PID]],0)))</f>
        <v>1</v>
      </c>
      <c r="N321" s="56">
        <f>IF($C321="B",INDEX(Batters[[#All],[POW P]],MATCH(Table5[[#This Row],[PID]],Batters[[#All],[PID]],0)),INDEX(Table3[[#All],[CON P]],MATCH(Table5[[#This Row],[PID]],Table3[[#All],[PID]],0)))</f>
        <v>4</v>
      </c>
      <c r="O321" s="56" t="str">
        <f>IF($C321="B",INDEX(Batters[[#All],[EYE P]],MATCH(Table5[[#This Row],[PID]],Batters[[#All],[PID]],0)),INDEX(Table3[[#All],[VELO]],MATCH(Table5[[#This Row],[PID]],Table3[[#All],[PID]],0)))</f>
        <v>92-94 Mph</v>
      </c>
      <c r="P321" s="56">
        <f>IF($C321="B",INDEX(Batters[[#All],[K P]],MATCH(Table5[[#This Row],[PID]],Batters[[#All],[PID]],0)),INDEX(Table3[[#All],[STM]],MATCH(Table5[[#This Row],[PID]],Table3[[#All],[PID]],0)))</f>
        <v>1</v>
      </c>
      <c r="Q321" s="61">
        <f>IF($C321="B",INDEX(Batters[[#All],[Tot]],MATCH(Table5[[#This Row],[PID]],Batters[[#All],[PID]],0)),INDEX(Table3[[#All],[Tot]],MATCH(Table5[[#This Row],[PID]],Table3[[#All],[PID]],0)))</f>
        <v>39.405713368501125</v>
      </c>
      <c r="R321" s="52">
        <f>IF($C321="B",INDEX(Batters[[#All],[zScore]],MATCH(Table5[[#This Row],[PID]],Batters[[#All],[PID]],0)),INDEX(Table3[[#All],[zScore]],MATCH(Table5[[#This Row],[PID]],Table3[[#All],[PID]],0)))</f>
        <v>0.12028216421287641</v>
      </c>
      <c r="S321" s="58" t="str">
        <f>IF($C321="B",INDEX(Batters[[#All],[DEM]],MATCH(Table5[[#This Row],[PID]],Batters[[#All],[PID]],0)),INDEX(Table3[[#All],[DEM]],MATCH(Table5[[#This Row],[PID]],Table3[[#All],[PID]],0)))</f>
        <v>$38k</v>
      </c>
      <c r="T321" s="62">
        <f>IF($C321="B",INDEX(Batters[[#All],[Rnk]],MATCH(Table5[[#This Row],[PID]],Batters[[#All],[PID]],0)),INDEX(Table3[[#All],[Rnk]],MATCH(Table5[[#This Row],[PID]],Table3[[#All],[PID]],0)))</f>
        <v>900</v>
      </c>
      <c r="U321" s="67">
        <f>IF($C321="B",VLOOKUP($A321,Bat!$A$4:$BA$1314,47,FALSE),VLOOKUP($A321,Pit!$A$4:$BF$1214,56,FALSE))</f>
        <v>107</v>
      </c>
      <c r="V321" s="50">
        <f>IF($C321="B",VLOOKUP($A321,Bat!$A$4:$BA$1314,48,FALSE),VLOOKUP($A321,Pit!$A$4:$BF$1214,57,FALSE))</f>
        <v>0</v>
      </c>
      <c r="W321" s="68">
        <f>IF(Table5[[#This Row],[posRnk]]=999,9999,Table5[[#This Row],[posRnk]]+Table5[[#This Row],[zRnk]]+IF($W$3&lt;&gt;Table5[[#This Row],[Type]],50,0))</f>
        <v>1242</v>
      </c>
      <c r="X321" s="51">
        <f>RANK(Table5[[#This Row],[zScore]],Table5[[#All],[zScore]])</f>
        <v>342</v>
      </c>
      <c r="Y321" s="50">
        <f>IFERROR(INDEX(DraftResults[[#All],[OVR]],MATCH(Table5[[#This Row],[PID]],DraftResults[[#All],[Player ID]],0)),"")</f>
        <v>614</v>
      </c>
      <c r="Z321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19</v>
      </c>
      <c r="AA321" s="50">
        <f>IFERROR(INDEX(DraftResults[[#All],[Pick in Round]],MATCH(Table5[[#This Row],[PID]],DraftResults[[#All],[Player ID]],0)),"")</f>
        <v>11</v>
      </c>
      <c r="AB321" s="50" t="str">
        <f>IFERROR(INDEX(DraftResults[[#All],[Team Name]],MATCH(Table5[[#This Row],[PID]],DraftResults[[#All],[Player ID]],0)),"")</f>
        <v>Arlington Bureaucrats</v>
      </c>
      <c r="AC321" s="50">
        <f>IF(Table5[[#This Row],[Ovr]]="","",IF(Table5[[#This Row],[cmbList]]="","",Table5[[#This Row],[cmbList]]-Table5[[#This Row],[Ovr]]))</f>
        <v>628</v>
      </c>
      <c r="AD321" s="54" t="str">
        <f>IF(ISERROR(VLOOKUP($AB321&amp;"-"&amp;$E321&amp;" "&amp;F321,Bonuses!$B$1:$G$1006,4,FALSE)),"",INT(VLOOKUP($AB321&amp;"-"&amp;$E321&amp;" "&amp;$F321,Bonuses!$B$1:$G$1006,4,FALSE)))</f>
        <v/>
      </c>
      <c r="AE321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19.11 (614) - RP Seung-cheol Yun</v>
      </c>
    </row>
    <row r="322" spans="1:31" s="50" customFormat="1" x14ac:dyDescent="0.3">
      <c r="A322" s="50">
        <v>7645</v>
      </c>
      <c r="B322" s="50">
        <f>COUNTIF(Table5[PID],A322)</f>
        <v>1</v>
      </c>
      <c r="C322" s="50" t="str">
        <f>IF(COUNTIF(Table3[[#All],[PID]],A322)&gt;0,"P","B")</f>
        <v>B</v>
      </c>
      <c r="D322" s="59" t="str">
        <f>IF($C322="B",INDEX(Batters[[#All],[POS]],MATCH(Table5[[#This Row],[PID]],Batters[[#All],[PID]],0)),INDEX(Table3[[#All],[POS]],MATCH(Table5[[#This Row],[PID]],Table3[[#All],[PID]],0)))</f>
        <v>CF</v>
      </c>
      <c r="E322" s="52" t="str">
        <f>IF($C322="B",INDEX(Batters[[#All],[First]],MATCH(Table5[[#This Row],[PID]],Batters[[#All],[PID]],0)),INDEX(Table3[[#All],[First]],MATCH(Table5[[#This Row],[PID]],Table3[[#All],[PID]],0)))</f>
        <v>Toshiki</v>
      </c>
      <c r="F322" s="50" t="str">
        <f>IF($C322="B",INDEX(Batters[[#All],[Last]],MATCH(A322,Batters[[#All],[PID]],0)),INDEX(Table3[[#All],[Last]],MATCH(A322,Table3[[#All],[PID]],0)))</f>
        <v>Asai</v>
      </c>
      <c r="G322" s="56">
        <f>IF($C322="B",INDEX(Batters[[#All],[Age]],MATCH(Table5[[#This Row],[PID]],Batters[[#All],[PID]],0)),INDEX(Table3[[#All],[Age]],MATCH(Table5[[#This Row],[PID]],Table3[[#All],[PID]],0)))</f>
        <v>21</v>
      </c>
      <c r="H322" s="52" t="str">
        <f>IF($C322="B",INDEX(Batters[[#All],[B]],MATCH(Table5[[#This Row],[PID]],Batters[[#All],[PID]],0)),INDEX(Table3[[#All],[B]],MATCH(Table5[[#This Row],[PID]],Table3[[#All],[PID]],0)))</f>
        <v>R</v>
      </c>
      <c r="I322" s="52" t="str">
        <f>IF($C322="B",INDEX(Batters[[#All],[T]],MATCH(Table5[[#This Row],[PID]],Batters[[#All],[PID]],0)),INDEX(Table3[[#All],[T]],MATCH(Table5[[#This Row],[PID]],Table3[[#All],[PID]],0)))</f>
        <v>R</v>
      </c>
      <c r="J322" s="52" t="str">
        <f>IF($C322="B",INDEX(Batters[[#All],[WE]],MATCH(Table5[[#This Row],[PID]],Batters[[#All],[PID]],0)),INDEX(Table3[[#All],[WE]],MATCH(Table5[[#This Row],[PID]],Table3[[#All],[PID]],0)))</f>
        <v>High</v>
      </c>
      <c r="K322" s="52" t="str">
        <f>IF($C322="B",INDEX(Batters[[#All],[INT]],MATCH(Table5[[#This Row],[PID]],Batters[[#All],[PID]],0)),INDEX(Table3[[#All],[INT]],MATCH(Table5[[#This Row],[PID]],Table3[[#All],[PID]],0)))</f>
        <v>Normal</v>
      </c>
      <c r="L322" s="60">
        <f>IF($C322="B",INDEX(Batters[[#All],[CON P]],MATCH(Table5[[#This Row],[PID]],Batters[[#All],[PID]],0)),INDEX(Table3[[#All],[STU P]],MATCH(Table5[[#This Row],[PID]],Table3[[#All],[PID]],0)))</f>
        <v>4</v>
      </c>
      <c r="M322" s="56">
        <f>IF($C322="B",INDEX(Batters[[#All],[GAP P]],MATCH(Table5[[#This Row],[PID]],Batters[[#All],[PID]],0)),INDEX(Table3[[#All],[MOV P]],MATCH(Table5[[#This Row],[PID]],Table3[[#All],[PID]],0)))</f>
        <v>6</v>
      </c>
      <c r="N322" s="56">
        <f>IF($C322="B",INDEX(Batters[[#All],[POW P]],MATCH(Table5[[#This Row],[PID]],Batters[[#All],[PID]],0)),INDEX(Table3[[#All],[CON P]],MATCH(Table5[[#This Row],[PID]],Table3[[#All],[PID]],0)))</f>
        <v>3</v>
      </c>
      <c r="O322" s="56">
        <f>IF($C322="B",INDEX(Batters[[#All],[EYE P]],MATCH(Table5[[#This Row],[PID]],Batters[[#All],[PID]],0)),INDEX(Table3[[#All],[VELO]],MATCH(Table5[[#This Row],[PID]],Table3[[#All],[PID]],0)))</f>
        <v>5</v>
      </c>
      <c r="P322" s="56">
        <f>IF($C322="B",INDEX(Batters[[#All],[K P]],MATCH(Table5[[#This Row],[PID]],Batters[[#All],[PID]],0)),INDEX(Table3[[#All],[STM]],MATCH(Table5[[#This Row],[PID]],Table3[[#All],[PID]],0)))</f>
        <v>4</v>
      </c>
      <c r="Q322" s="61">
        <f>IF($C322="B",INDEX(Batters[[#All],[Tot]],MATCH(Table5[[#This Row],[PID]],Batters[[#All],[PID]],0)),INDEX(Table3[[#All],[Tot]],MATCH(Table5[[#This Row],[PID]],Table3[[#All],[PID]],0)))</f>
        <v>43.994766733473838</v>
      </c>
      <c r="R322" s="52">
        <f>IF($C322="B",INDEX(Batters[[#All],[zScore]],MATCH(Table5[[#This Row],[PID]],Batters[[#All],[PID]],0)),INDEX(Table3[[#All],[zScore]],MATCH(Table5[[#This Row],[PID]],Table3[[#All],[PID]],0)))</f>
        <v>0.11331156583235238</v>
      </c>
      <c r="S322" s="58" t="str">
        <f>IF($C322="B",INDEX(Batters[[#All],[DEM]],MATCH(Table5[[#This Row],[PID]],Batters[[#All],[PID]],0)),INDEX(Table3[[#All],[DEM]],MATCH(Table5[[#This Row],[PID]],Table3[[#All],[PID]],0)))</f>
        <v>$80k</v>
      </c>
      <c r="T322" s="62">
        <f>IF($C322="B",INDEX(Batters[[#All],[Rnk]],MATCH(Table5[[#This Row],[PID]],Batters[[#All],[PID]],0)),INDEX(Table3[[#All],[Rnk]],MATCH(Table5[[#This Row],[PID]],Table3[[#All],[PID]],0)))</f>
        <v>900</v>
      </c>
      <c r="U322" s="67">
        <f>IF($C322="B",VLOOKUP($A322,Bat!$A$4:$BA$1314,47,FALSE),VLOOKUP($A322,Pit!$A$4:$BF$1214,56,FALSE))</f>
        <v>155</v>
      </c>
      <c r="V322" s="50">
        <f>IF($C322="B",VLOOKUP($A322,Bat!$A$4:$BA$1314,48,FALSE),VLOOKUP($A322,Pit!$A$4:$BF$1214,57,FALSE))</f>
        <v>0</v>
      </c>
      <c r="W322" s="68">
        <f>IF(Table5[[#This Row],[posRnk]]=999,9999,Table5[[#This Row],[posRnk]]+Table5[[#This Row],[zRnk]]+IF($W$3&lt;&gt;Table5[[#This Row],[Type]],50,0))</f>
        <v>1294</v>
      </c>
      <c r="X322" s="51">
        <f>RANK(Table5[[#This Row],[zScore]],Table5[[#All],[zScore]])</f>
        <v>344</v>
      </c>
      <c r="Y322" s="50">
        <f>IFERROR(INDEX(DraftResults[[#All],[OVR]],MATCH(Table5[[#This Row],[PID]],DraftResults[[#All],[Player ID]],0)),"")</f>
        <v>139</v>
      </c>
      <c r="Z322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5</v>
      </c>
      <c r="AA322" s="50">
        <f>IFERROR(INDEX(DraftResults[[#All],[Pick in Round]],MATCH(Table5[[#This Row],[PID]],DraftResults[[#All],[Player ID]],0)),"")</f>
        <v>2</v>
      </c>
      <c r="AB322" s="50" t="str">
        <f>IFERROR(INDEX(DraftResults[[#All],[Team Name]],MATCH(Table5[[#This Row],[PID]],DraftResults[[#All],[Player ID]],0)),"")</f>
        <v>Charleston Statesmen</v>
      </c>
      <c r="AC322" s="50">
        <f>IF(Table5[[#This Row],[Ovr]]="","",IF(Table5[[#This Row],[cmbList]]="","",Table5[[#This Row],[cmbList]]-Table5[[#This Row],[Ovr]]))</f>
        <v>1155</v>
      </c>
      <c r="AD322" s="54" t="str">
        <f>IF(ISERROR(VLOOKUP($AB322&amp;"-"&amp;$E322&amp;" "&amp;F322,Bonuses!$B$1:$G$1006,4,FALSE)),"",INT(VLOOKUP($AB322&amp;"-"&amp;$E322&amp;" "&amp;$F322,Bonuses!$B$1:$G$1006,4,FALSE)))</f>
        <v/>
      </c>
      <c r="AE322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5.2 (139) - CF Toshiki Asai</v>
      </c>
    </row>
    <row r="323" spans="1:31" s="50" customFormat="1" x14ac:dyDescent="0.3">
      <c r="A323" s="67">
        <v>13509</v>
      </c>
      <c r="B323" s="68">
        <f>COUNTIF(Table5[PID],A323)</f>
        <v>1</v>
      </c>
      <c r="C323" s="68" t="str">
        <f>IF(COUNTIF(Table3[[#All],[PID]],A323)&gt;0,"P","B")</f>
        <v>B</v>
      </c>
      <c r="D323" s="59" t="str">
        <f>IF($C323="B",INDEX(Batters[[#All],[POS]],MATCH(Table5[[#This Row],[PID]],Batters[[#All],[PID]],0)),INDEX(Table3[[#All],[POS]],MATCH(Table5[[#This Row],[PID]],Table3[[#All],[PID]],0)))</f>
        <v>C</v>
      </c>
      <c r="E323" s="52" t="str">
        <f>IF($C323="B",INDEX(Batters[[#All],[First]],MATCH(Table5[[#This Row],[PID]],Batters[[#All],[PID]],0)),INDEX(Table3[[#All],[First]],MATCH(Table5[[#This Row],[PID]],Table3[[#All],[PID]],0)))</f>
        <v>Takamasa</v>
      </c>
      <c r="F323" s="55" t="str">
        <f>IF($C323="B",INDEX(Batters[[#All],[Last]],MATCH(A323,Batters[[#All],[PID]],0)),INDEX(Table3[[#All],[Last]],MATCH(A323,Table3[[#All],[PID]],0)))</f>
        <v>Yamamoto</v>
      </c>
      <c r="G323" s="56">
        <f>IF($C323="B",INDEX(Batters[[#All],[Age]],MATCH(Table5[[#This Row],[PID]],Batters[[#All],[PID]],0)),INDEX(Table3[[#All],[Age]],MATCH(Table5[[#This Row],[PID]],Table3[[#All],[PID]],0)))</f>
        <v>18</v>
      </c>
      <c r="H323" s="52" t="str">
        <f>IF($C323="B",INDEX(Batters[[#All],[B]],MATCH(Table5[[#This Row],[PID]],Batters[[#All],[PID]],0)),INDEX(Table3[[#All],[B]],MATCH(Table5[[#This Row],[PID]],Table3[[#All],[PID]],0)))</f>
        <v>L</v>
      </c>
      <c r="I323" s="52" t="str">
        <f>IF($C323="B",INDEX(Batters[[#All],[T]],MATCH(Table5[[#This Row],[PID]],Batters[[#All],[PID]],0)),INDEX(Table3[[#All],[T]],MATCH(Table5[[#This Row],[PID]],Table3[[#All],[PID]],0)))</f>
        <v>R</v>
      </c>
      <c r="J323" s="69" t="str">
        <f>IF($C323="B",INDEX(Batters[[#All],[WE]],MATCH(Table5[[#This Row],[PID]],Batters[[#All],[PID]],0)),INDEX(Table3[[#All],[WE]],MATCH(Table5[[#This Row],[PID]],Table3[[#All],[PID]],0)))</f>
        <v>Low</v>
      </c>
      <c r="K323" s="52" t="str">
        <f>IF($C323="B",INDEX(Batters[[#All],[INT]],MATCH(Table5[[#This Row],[PID]],Batters[[#All],[PID]],0)),INDEX(Table3[[#All],[INT]],MATCH(Table5[[#This Row],[PID]],Table3[[#All],[PID]],0)))</f>
        <v>Normal</v>
      </c>
      <c r="L323" s="60">
        <f>IF($C323="B",INDEX(Batters[[#All],[CON P]],MATCH(Table5[[#This Row],[PID]],Batters[[#All],[PID]],0)),INDEX(Table3[[#All],[STU P]],MATCH(Table5[[#This Row],[PID]],Table3[[#All],[PID]],0)))</f>
        <v>3</v>
      </c>
      <c r="M323" s="70">
        <f>IF($C323="B",INDEX(Batters[[#All],[GAP P]],MATCH(Table5[[#This Row],[PID]],Batters[[#All],[PID]],0)),INDEX(Table3[[#All],[MOV P]],MATCH(Table5[[#This Row],[PID]],Table3[[#All],[PID]],0)))</f>
        <v>4</v>
      </c>
      <c r="N323" s="70">
        <f>IF($C323="B",INDEX(Batters[[#All],[POW P]],MATCH(Table5[[#This Row],[PID]],Batters[[#All],[PID]],0)),INDEX(Table3[[#All],[CON P]],MATCH(Table5[[#This Row],[PID]],Table3[[#All],[PID]],0)))</f>
        <v>4</v>
      </c>
      <c r="O323" s="70">
        <f>IF($C323="B",INDEX(Batters[[#All],[EYE P]],MATCH(Table5[[#This Row],[PID]],Batters[[#All],[PID]],0)),INDEX(Table3[[#All],[VELO]],MATCH(Table5[[#This Row],[PID]],Table3[[#All],[PID]],0)))</f>
        <v>7</v>
      </c>
      <c r="P323" s="56">
        <f>IF($C323="B",INDEX(Batters[[#All],[K P]],MATCH(Table5[[#This Row],[PID]],Batters[[#All],[PID]],0)),INDEX(Table3[[#All],[STM]],MATCH(Table5[[#This Row],[PID]],Table3[[#All],[PID]],0)))</f>
        <v>3</v>
      </c>
      <c r="Q323" s="61">
        <f>IF($C323="B",INDEX(Batters[[#All],[Tot]],MATCH(Table5[[#This Row],[PID]],Batters[[#All],[PID]],0)),INDEX(Table3[[#All],[Tot]],MATCH(Table5[[#This Row],[PID]],Table3[[#All],[PID]],0)))</f>
        <v>44.526373517097291</v>
      </c>
      <c r="R323" s="52">
        <f>IF($C323="B",INDEX(Batters[[#All],[zScore]],MATCH(Table5[[#This Row],[PID]],Batters[[#All],[PID]],0)),INDEX(Table3[[#All],[zScore]],MATCH(Table5[[#This Row],[PID]],Table3[[#All],[PID]],0)))</f>
        <v>0.19090920311347026</v>
      </c>
      <c r="S323" s="75" t="str">
        <f>IF($C323="B",INDEX(Batters[[#All],[DEM]],MATCH(Table5[[#This Row],[PID]],Batters[[#All],[PID]],0)),INDEX(Table3[[#All],[DEM]],MATCH(Table5[[#This Row],[PID]],Table3[[#All],[PID]],0)))</f>
        <v>$80k</v>
      </c>
      <c r="T323" s="72">
        <f>IF($C323="B",INDEX(Batters[[#All],[Rnk]],MATCH(Table5[[#This Row],[PID]],Batters[[#All],[PID]],0)),INDEX(Table3[[#All],[Rnk]],MATCH(Table5[[#This Row],[PID]],Table3[[#All],[PID]],0)))</f>
        <v>930</v>
      </c>
      <c r="U323" s="67">
        <f>IF($C323="B",VLOOKUP($A323,Bat!$A$4:$BA$1314,47,FALSE),VLOOKUP($A323,Pit!$A$4:$BF$1214,56,FALSE))</f>
        <v>320</v>
      </c>
      <c r="V323" s="50">
        <f>IF($C323="B",VLOOKUP($A323,Bat!$A$4:$BA$1314,48,FALSE),VLOOKUP($A323,Pit!$A$4:$BF$1214,57,FALSE))</f>
        <v>0</v>
      </c>
      <c r="W323" s="68">
        <f>IF(Table5[[#This Row],[posRnk]]=999,9999,Table5[[#This Row],[posRnk]]+Table5[[#This Row],[zRnk]]+IF($W$3&lt;&gt;Table5[[#This Row],[Type]],50,0))</f>
        <v>1295</v>
      </c>
      <c r="X323" s="71">
        <f>RANK(Table5[[#This Row],[zScore]],Table5[[#All],[zScore]])</f>
        <v>315</v>
      </c>
      <c r="Y323" s="68" t="str">
        <f>IFERROR(INDEX(DraftResults[[#All],[OVR]],MATCH(Table5[[#This Row],[PID]],DraftResults[[#All],[Player ID]],0)),"")</f>
        <v/>
      </c>
      <c r="Z323" s="7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/>
      </c>
      <c r="AA323" s="68" t="str">
        <f>IFERROR(INDEX(DraftResults[[#All],[Pick in Round]],MATCH(Table5[[#This Row],[PID]],DraftResults[[#All],[Player ID]],0)),"")</f>
        <v/>
      </c>
      <c r="AB323" s="68" t="str">
        <f>IFERROR(INDEX(DraftResults[[#All],[Team Name]],MATCH(Table5[[#This Row],[PID]],DraftResults[[#All],[Player ID]],0)),"")</f>
        <v/>
      </c>
      <c r="AC323" s="68" t="str">
        <f>IF(Table5[[#This Row],[Ovr]]="","",IF(Table5[[#This Row],[cmbList]]="","",Table5[[#This Row],[cmbList]]-Table5[[#This Row],[Ovr]]))</f>
        <v/>
      </c>
      <c r="AD323" s="74" t="str">
        <f>IF(ISERROR(VLOOKUP($AB323&amp;"-"&amp;$E323&amp;" "&amp;F323,Bonuses!$B$1:$G$1006,4,FALSE)),"",INT(VLOOKUP($AB323&amp;"-"&amp;$E323&amp;" "&amp;$F323,Bonuses!$B$1:$G$1006,4,FALSE)))</f>
        <v/>
      </c>
      <c r="AE323" s="68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/>
      </c>
    </row>
    <row r="324" spans="1:31" s="50" customFormat="1" x14ac:dyDescent="0.3">
      <c r="A324" s="50">
        <v>20902</v>
      </c>
      <c r="B324" s="50">
        <f>COUNTIF(Table5[PID],A324)</f>
        <v>1</v>
      </c>
      <c r="C324" s="50" t="str">
        <f>IF(COUNTIF(Table3[[#All],[PID]],A324)&gt;0,"P","B")</f>
        <v>P</v>
      </c>
      <c r="D324" s="59" t="str">
        <f>IF($C324="B",INDEX(Batters[[#All],[POS]],MATCH(Table5[[#This Row],[PID]],Batters[[#All],[PID]],0)),INDEX(Table3[[#All],[POS]],MATCH(Table5[[#This Row],[PID]],Table3[[#All],[PID]],0)))</f>
        <v>RP</v>
      </c>
      <c r="E324" s="52" t="str">
        <f>IF($C324="B",INDEX(Batters[[#All],[First]],MATCH(Table5[[#This Row],[PID]],Batters[[#All],[PID]],0)),INDEX(Table3[[#All],[First]],MATCH(Table5[[#This Row],[PID]],Table3[[#All],[PID]],0)))</f>
        <v>John</v>
      </c>
      <c r="F324" s="50" t="str">
        <f>IF($C324="B",INDEX(Batters[[#All],[Last]],MATCH(A324,Batters[[#All],[PID]],0)),INDEX(Table3[[#All],[Last]],MATCH(A324,Table3[[#All],[PID]],0)))</f>
        <v>Smith</v>
      </c>
      <c r="G324" s="56">
        <f>IF($C324="B",INDEX(Batters[[#All],[Age]],MATCH(Table5[[#This Row],[PID]],Batters[[#All],[PID]],0)),INDEX(Table3[[#All],[Age]],MATCH(Table5[[#This Row],[PID]],Table3[[#All],[PID]],0)))</f>
        <v>16</v>
      </c>
      <c r="H324" s="52" t="str">
        <f>IF($C324="B",INDEX(Batters[[#All],[B]],MATCH(Table5[[#This Row],[PID]],Batters[[#All],[PID]],0)),INDEX(Table3[[#All],[B]],MATCH(Table5[[#This Row],[PID]],Table3[[#All],[PID]],0)))</f>
        <v>R</v>
      </c>
      <c r="I324" s="52" t="str">
        <f>IF($C324="B",INDEX(Batters[[#All],[T]],MATCH(Table5[[#This Row],[PID]],Batters[[#All],[PID]],0)),INDEX(Table3[[#All],[T]],MATCH(Table5[[#This Row],[PID]],Table3[[#All],[PID]],0)))</f>
        <v>R</v>
      </c>
      <c r="J324" s="52" t="str">
        <f>IF($C324="B",INDEX(Batters[[#All],[WE]],MATCH(Table5[[#This Row],[PID]],Batters[[#All],[PID]],0)),INDEX(Table3[[#All],[WE]],MATCH(Table5[[#This Row],[PID]],Table3[[#All],[PID]],0)))</f>
        <v>Low</v>
      </c>
      <c r="K324" s="52" t="str">
        <f>IF($C324="B",INDEX(Batters[[#All],[INT]],MATCH(Table5[[#This Row],[PID]],Batters[[#All],[PID]],0)),INDEX(Table3[[#All],[INT]],MATCH(Table5[[#This Row],[PID]],Table3[[#All],[PID]],0)))</f>
        <v>Normal</v>
      </c>
      <c r="L324" s="60">
        <f>IF($C324="B",INDEX(Batters[[#All],[CON P]],MATCH(Table5[[#This Row],[PID]],Batters[[#All],[PID]],0)),INDEX(Table3[[#All],[STU P]],MATCH(Table5[[#This Row],[PID]],Table3[[#All],[PID]],0)))</f>
        <v>5</v>
      </c>
      <c r="M324" s="56">
        <f>IF($C324="B",INDEX(Batters[[#All],[GAP P]],MATCH(Table5[[#This Row],[PID]],Batters[[#All],[PID]],0)),INDEX(Table3[[#All],[MOV P]],MATCH(Table5[[#This Row],[PID]],Table3[[#All],[PID]],0)))</f>
        <v>1</v>
      </c>
      <c r="N324" s="56">
        <f>IF($C324="B",INDEX(Batters[[#All],[POW P]],MATCH(Table5[[#This Row],[PID]],Batters[[#All],[PID]],0)),INDEX(Table3[[#All],[CON P]],MATCH(Table5[[#This Row],[PID]],Table3[[#All],[PID]],0)))</f>
        <v>4</v>
      </c>
      <c r="O324" s="56" t="str">
        <f>IF($C324="B",INDEX(Batters[[#All],[EYE P]],MATCH(Table5[[#This Row],[PID]],Batters[[#All],[PID]],0)),INDEX(Table3[[#All],[VELO]],MATCH(Table5[[#This Row],[PID]],Table3[[#All],[PID]],0)))</f>
        <v>90-92 Mph</v>
      </c>
      <c r="P324" s="56">
        <f>IF($C324="B",INDEX(Batters[[#All],[K P]],MATCH(Table5[[#This Row],[PID]],Batters[[#All],[PID]],0)),INDEX(Table3[[#All],[STM]],MATCH(Table5[[#This Row],[PID]],Table3[[#All],[PID]],0)))</f>
        <v>6</v>
      </c>
      <c r="Q324" s="61">
        <f>IF($C324="B",INDEX(Batters[[#All],[Tot]],MATCH(Table5[[#This Row],[PID]],Batters[[#All],[PID]],0)),INDEX(Table3[[#All],[Tot]],MATCH(Table5[[#This Row],[PID]],Table3[[#All],[PID]],0)))</f>
        <v>40.48105680676133</v>
      </c>
      <c r="R324" s="52">
        <f>IF($C324="B",INDEX(Batters[[#All],[zScore]],MATCH(Table5[[#This Row],[PID]],Batters[[#All],[PID]],0)),INDEX(Table3[[#All],[zScore]],MATCH(Table5[[#This Row],[PID]],Table3[[#All],[PID]],0)))</f>
        <v>0.19072620158217551</v>
      </c>
      <c r="S324" s="58" t="str">
        <f>IF($C324="B",INDEX(Batters[[#All],[DEM]],MATCH(Table5[[#This Row],[PID]],Batters[[#All],[PID]],0)),INDEX(Table3[[#All],[DEM]],MATCH(Table5[[#This Row],[PID]],Table3[[#All],[PID]],0)))</f>
        <v>$65k</v>
      </c>
      <c r="T324" s="62">
        <f>IF($C324="B",INDEX(Batters[[#All],[Rnk]],MATCH(Table5[[#This Row],[PID]],Batters[[#All],[PID]],0)),INDEX(Table3[[#All],[Rnk]],MATCH(Table5[[#This Row],[PID]],Table3[[#All],[PID]],0)))</f>
        <v>930</v>
      </c>
      <c r="U324" s="67">
        <f>IF($C324="B",VLOOKUP($A324,Bat!$A$4:$BA$1314,47,FALSE),VLOOKUP($A324,Pit!$A$4:$BF$1214,56,FALSE))</f>
        <v>270</v>
      </c>
      <c r="V324" s="50">
        <f>IF($C324="B",VLOOKUP($A324,Bat!$A$4:$BA$1314,48,FALSE),VLOOKUP($A324,Pit!$A$4:$BF$1214,57,FALSE))</f>
        <v>0</v>
      </c>
      <c r="W324" s="68">
        <f>IF(Table5[[#This Row],[posRnk]]=999,9999,Table5[[#This Row],[posRnk]]+Table5[[#This Row],[zRnk]]+IF($W$3&lt;&gt;Table5[[#This Row],[Type]],50,0))</f>
        <v>1246</v>
      </c>
      <c r="X324" s="51">
        <f>RANK(Table5[[#This Row],[zScore]],Table5[[#All],[zScore]])</f>
        <v>316</v>
      </c>
      <c r="Y324" s="50">
        <f>IFERROR(INDEX(DraftResults[[#All],[OVR]],MATCH(Table5[[#This Row],[PID]],DraftResults[[#All],[Player ID]],0)),"")</f>
        <v>321</v>
      </c>
      <c r="Z324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10</v>
      </c>
      <c r="AA324" s="50">
        <f>IFERROR(INDEX(DraftResults[[#All],[Pick in Round]],MATCH(Table5[[#This Row],[PID]],DraftResults[[#All],[Player ID]],0)),"")</f>
        <v>24</v>
      </c>
      <c r="AB324" s="50" t="str">
        <f>IFERROR(INDEX(DraftResults[[#All],[Team Name]],MATCH(Table5[[#This Row],[PID]],DraftResults[[#All],[Player ID]],0)),"")</f>
        <v>Reno Zephyrs</v>
      </c>
      <c r="AC324" s="50">
        <f>IF(Table5[[#This Row],[Ovr]]="","",IF(Table5[[#This Row],[cmbList]]="","",Table5[[#This Row],[cmbList]]-Table5[[#This Row],[Ovr]]))</f>
        <v>925</v>
      </c>
      <c r="AD324" s="54" t="str">
        <f>IF(ISERROR(VLOOKUP($AB324&amp;"-"&amp;$E324&amp;" "&amp;F324,Bonuses!$B$1:$G$1006,4,FALSE)),"",INT(VLOOKUP($AB324&amp;"-"&amp;$E324&amp;" "&amp;$F324,Bonuses!$B$1:$G$1006,4,FALSE)))</f>
        <v/>
      </c>
      <c r="AE324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10.24 (321) - RP John Smith</v>
      </c>
    </row>
    <row r="325" spans="1:31" s="50" customFormat="1" x14ac:dyDescent="0.3">
      <c r="A325" s="50">
        <v>9519</v>
      </c>
      <c r="B325" s="50">
        <f>COUNTIF(Table5[PID],A325)</f>
        <v>1</v>
      </c>
      <c r="C325" s="50" t="str">
        <f>IF(COUNTIF(Table3[[#All],[PID]],A325)&gt;0,"P","B")</f>
        <v>B</v>
      </c>
      <c r="D325" s="59" t="str">
        <f>IF($C325="B",INDEX(Batters[[#All],[POS]],MATCH(Table5[[#This Row],[PID]],Batters[[#All],[PID]],0)),INDEX(Table3[[#All],[POS]],MATCH(Table5[[#This Row],[PID]],Table3[[#All],[PID]],0)))</f>
        <v>1B</v>
      </c>
      <c r="E325" s="52" t="str">
        <f>IF($C325="B",INDEX(Batters[[#All],[First]],MATCH(Table5[[#This Row],[PID]],Batters[[#All],[PID]],0)),INDEX(Table3[[#All],[First]],MATCH(Table5[[#This Row],[PID]],Table3[[#All],[PID]],0)))</f>
        <v>Palmer</v>
      </c>
      <c r="F325" s="50" t="str">
        <f>IF($C325="B",INDEX(Batters[[#All],[Last]],MATCH(A325,Batters[[#All],[PID]],0)),INDEX(Table3[[#All],[Last]],MATCH(A325,Table3[[#All],[PID]],0)))</f>
        <v>Crosby</v>
      </c>
      <c r="G325" s="56">
        <f>IF($C325="B",INDEX(Batters[[#All],[Age]],MATCH(Table5[[#This Row],[PID]],Batters[[#All],[PID]],0)),INDEX(Table3[[#All],[Age]],MATCH(Table5[[#This Row],[PID]],Table3[[#All],[PID]],0)))</f>
        <v>17</v>
      </c>
      <c r="H325" s="52" t="str">
        <f>IF($C325="B",INDEX(Batters[[#All],[B]],MATCH(Table5[[#This Row],[PID]],Batters[[#All],[PID]],0)),INDEX(Table3[[#All],[B]],MATCH(Table5[[#This Row],[PID]],Table3[[#All],[PID]],0)))</f>
        <v>L</v>
      </c>
      <c r="I325" s="52" t="str">
        <f>IF($C325="B",INDEX(Batters[[#All],[T]],MATCH(Table5[[#This Row],[PID]],Batters[[#All],[PID]],0)),INDEX(Table3[[#All],[T]],MATCH(Table5[[#This Row],[PID]],Table3[[#All],[PID]],0)))</f>
        <v>L</v>
      </c>
      <c r="J325" s="52" t="str">
        <f>IF($C325="B",INDEX(Batters[[#All],[WE]],MATCH(Table5[[#This Row],[PID]],Batters[[#All],[PID]],0)),INDEX(Table3[[#All],[WE]],MATCH(Table5[[#This Row],[PID]],Table3[[#All],[PID]],0)))</f>
        <v>High</v>
      </c>
      <c r="K325" s="52" t="str">
        <f>IF($C325="B",INDEX(Batters[[#All],[INT]],MATCH(Table5[[#This Row],[PID]],Batters[[#All],[PID]],0)),INDEX(Table3[[#All],[INT]],MATCH(Table5[[#This Row],[PID]],Table3[[#All],[PID]],0)))</f>
        <v>Normal</v>
      </c>
      <c r="L325" s="60">
        <f>IF($C325="B",INDEX(Batters[[#All],[CON P]],MATCH(Table5[[#This Row],[PID]],Batters[[#All],[PID]],0)),INDEX(Table3[[#All],[STU P]],MATCH(Table5[[#This Row],[PID]],Table3[[#All],[PID]],0)))</f>
        <v>3</v>
      </c>
      <c r="M325" s="56">
        <f>IF($C325="B",INDEX(Batters[[#All],[GAP P]],MATCH(Table5[[#This Row],[PID]],Batters[[#All],[PID]],0)),INDEX(Table3[[#All],[MOV P]],MATCH(Table5[[#This Row],[PID]],Table3[[#All],[PID]],0)))</f>
        <v>4</v>
      </c>
      <c r="N325" s="56">
        <f>IF($C325="B",INDEX(Batters[[#All],[POW P]],MATCH(Table5[[#This Row],[PID]],Batters[[#All],[PID]],0)),INDEX(Table3[[#All],[CON P]],MATCH(Table5[[#This Row],[PID]],Table3[[#All],[PID]],0)))</f>
        <v>5</v>
      </c>
      <c r="O325" s="56">
        <f>IF($C325="B",INDEX(Batters[[#All],[EYE P]],MATCH(Table5[[#This Row],[PID]],Batters[[#All],[PID]],0)),INDEX(Table3[[#All],[VELO]],MATCH(Table5[[#This Row],[PID]],Table3[[#All],[PID]],0)))</f>
        <v>5</v>
      </c>
      <c r="P325" s="56">
        <f>IF($C325="B",INDEX(Batters[[#All],[K P]],MATCH(Table5[[#This Row],[PID]],Batters[[#All],[PID]],0)),INDEX(Table3[[#All],[STM]],MATCH(Table5[[#This Row],[PID]],Table3[[#All],[PID]],0)))</f>
        <v>3</v>
      </c>
      <c r="Q325" s="61">
        <f>IF($C325="B",INDEX(Batters[[#All],[Tot]],MATCH(Table5[[#This Row],[PID]],Batters[[#All],[PID]],0)),INDEX(Table3[[#All],[Tot]],MATCH(Table5[[#This Row],[PID]],Table3[[#All],[PID]],0)))</f>
        <v>43.934726563806279</v>
      </c>
      <c r="R325" s="52">
        <f>IF($C325="B",INDEX(Batters[[#All],[zScore]],MATCH(Table5[[#This Row],[PID]],Batters[[#All],[PID]],0)),INDEX(Table3[[#All],[zScore]],MATCH(Table5[[#This Row],[PID]],Table3[[#All],[PID]],0)))</f>
        <v>0.10454761576308452</v>
      </c>
      <c r="S325" s="58" t="str">
        <f>IF($C325="B",INDEX(Batters[[#All],[DEM]],MATCH(Table5[[#This Row],[PID]],Batters[[#All],[PID]],0)),INDEX(Table3[[#All],[DEM]],MATCH(Table5[[#This Row],[PID]],Table3[[#All],[PID]],0)))</f>
        <v>$65k</v>
      </c>
      <c r="T325" s="62">
        <f>IF($C325="B",INDEX(Batters[[#All],[Rnk]],MATCH(Table5[[#This Row],[PID]],Batters[[#All],[PID]],0)),INDEX(Table3[[#All],[Rnk]],MATCH(Table5[[#This Row],[PID]],Table3[[#All],[PID]],0)))</f>
        <v>900</v>
      </c>
      <c r="U325" s="67">
        <f>IF($C325="B",VLOOKUP($A325,Bat!$A$4:$BA$1314,47,FALSE),VLOOKUP($A325,Pit!$A$4:$BF$1214,56,FALSE))</f>
        <v>156</v>
      </c>
      <c r="V325" s="50">
        <f>IF($C325="B",VLOOKUP($A325,Bat!$A$4:$BA$1314,48,FALSE),VLOOKUP($A325,Pit!$A$4:$BF$1214,57,FALSE))</f>
        <v>0</v>
      </c>
      <c r="W325" s="68">
        <f>IF(Table5[[#This Row],[posRnk]]=999,9999,Table5[[#This Row],[posRnk]]+Table5[[#This Row],[zRnk]]+IF($W$3&lt;&gt;Table5[[#This Row],[Type]],50,0))</f>
        <v>1297</v>
      </c>
      <c r="X325" s="51">
        <f>RANK(Table5[[#This Row],[zScore]],Table5[[#All],[zScore]])</f>
        <v>347</v>
      </c>
      <c r="Y325" s="50">
        <f>IFERROR(INDEX(DraftResults[[#All],[OVR]],MATCH(Table5[[#This Row],[PID]],DraftResults[[#All],[Player ID]],0)),"")</f>
        <v>475</v>
      </c>
      <c r="Z325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15</v>
      </c>
      <c r="AA325" s="50">
        <f>IFERROR(INDEX(DraftResults[[#All],[Pick in Round]],MATCH(Table5[[#This Row],[PID]],DraftResults[[#All],[Player ID]],0)),"")</f>
        <v>8</v>
      </c>
      <c r="AB325" s="50" t="str">
        <f>IFERROR(INDEX(DraftResults[[#All],[Team Name]],MATCH(Table5[[#This Row],[PID]],DraftResults[[#All],[Player ID]],0)),"")</f>
        <v>Gloucester Fishermen</v>
      </c>
      <c r="AC325" s="50">
        <f>IF(Table5[[#This Row],[Ovr]]="","",IF(Table5[[#This Row],[cmbList]]="","",Table5[[#This Row],[cmbList]]-Table5[[#This Row],[Ovr]]))</f>
        <v>822</v>
      </c>
      <c r="AD325" s="54" t="str">
        <f>IF(ISERROR(VLOOKUP($AB325&amp;"-"&amp;$E325&amp;" "&amp;F325,Bonuses!$B$1:$G$1006,4,FALSE)),"",INT(VLOOKUP($AB325&amp;"-"&amp;$E325&amp;" "&amp;$F325,Bonuses!$B$1:$G$1006,4,FALSE)))</f>
        <v/>
      </c>
      <c r="AE325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15.8 (475) - 1B Palmer Crosby</v>
      </c>
    </row>
    <row r="326" spans="1:31" s="50" customFormat="1" x14ac:dyDescent="0.3">
      <c r="A326" s="67">
        <v>20600</v>
      </c>
      <c r="B326" s="68">
        <f>COUNTIF(Table5[PID],A326)</f>
        <v>1</v>
      </c>
      <c r="C326" s="68" t="str">
        <f>IF(COUNTIF(Table3[[#All],[PID]],A326)&gt;0,"P","B")</f>
        <v>B</v>
      </c>
      <c r="D326" s="59" t="str">
        <f>IF($C326="B",INDEX(Batters[[#All],[POS]],MATCH(Table5[[#This Row],[PID]],Batters[[#All],[PID]],0)),INDEX(Table3[[#All],[POS]],MATCH(Table5[[#This Row],[PID]],Table3[[#All],[PID]],0)))</f>
        <v>1B</v>
      </c>
      <c r="E326" s="52" t="str">
        <f>IF($C326="B",INDEX(Batters[[#All],[First]],MATCH(Table5[[#This Row],[PID]],Batters[[#All],[PID]],0)),INDEX(Table3[[#All],[First]],MATCH(Table5[[#This Row],[PID]],Table3[[#All],[PID]],0)))</f>
        <v>Dwaine</v>
      </c>
      <c r="F326" s="55" t="str">
        <f>IF($C326="B",INDEX(Batters[[#All],[Last]],MATCH(A326,Batters[[#All],[PID]],0)),INDEX(Table3[[#All],[Last]],MATCH(A326,Table3[[#All],[PID]],0)))</f>
        <v>Truslove</v>
      </c>
      <c r="G326" s="56">
        <f>IF($C326="B",INDEX(Batters[[#All],[Age]],MATCH(Table5[[#This Row],[PID]],Batters[[#All],[PID]],0)),INDEX(Table3[[#All],[Age]],MATCH(Table5[[#This Row],[PID]],Table3[[#All],[PID]],0)))</f>
        <v>17</v>
      </c>
      <c r="H326" s="52" t="str">
        <f>IF($C326="B",INDEX(Batters[[#All],[B]],MATCH(Table5[[#This Row],[PID]],Batters[[#All],[PID]],0)),INDEX(Table3[[#All],[B]],MATCH(Table5[[#This Row],[PID]],Table3[[#All],[PID]],0)))</f>
        <v>L</v>
      </c>
      <c r="I326" s="52" t="str">
        <f>IF($C326="B",INDEX(Batters[[#All],[T]],MATCH(Table5[[#This Row],[PID]],Batters[[#All],[PID]],0)),INDEX(Table3[[#All],[T]],MATCH(Table5[[#This Row],[PID]],Table3[[#All],[PID]],0)))</f>
        <v>R</v>
      </c>
      <c r="J326" s="69" t="str">
        <f>IF($C326="B",INDEX(Batters[[#All],[WE]],MATCH(Table5[[#This Row],[PID]],Batters[[#All],[PID]],0)),INDEX(Table3[[#All],[WE]],MATCH(Table5[[#This Row],[PID]],Table3[[#All],[PID]],0)))</f>
        <v>Low</v>
      </c>
      <c r="K326" s="52" t="str">
        <f>IF($C326="B",INDEX(Batters[[#All],[INT]],MATCH(Table5[[#This Row],[PID]],Batters[[#All],[PID]],0)),INDEX(Table3[[#All],[INT]],MATCH(Table5[[#This Row],[PID]],Table3[[#All],[PID]],0)))</f>
        <v>Normal</v>
      </c>
      <c r="L326" s="60">
        <f>IF($C326="B",INDEX(Batters[[#All],[CON P]],MATCH(Table5[[#This Row],[PID]],Batters[[#All],[PID]],0)),INDEX(Table3[[#All],[STU P]],MATCH(Table5[[#This Row],[PID]],Table3[[#All],[PID]],0)))</f>
        <v>5</v>
      </c>
      <c r="M326" s="70">
        <f>IF($C326="B",INDEX(Batters[[#All],[GAP P]],MATCH(Table5[[#This Row],[PID]],Batters[[#All],[PID]],0)),INDEX(Table3[[#All],[MOV P]],MATCH(Table5[[#This Row],[PID]],Table3[[#All],[PID]],0)))</f>
        <v>2</v>
      </c>
      <c r="N326" s="70">
        <f>IF($C326="B",INDEX(Batters[[#All],[POW P]],MATCH(Table5[[#This Row],[PID]],Batters[[#All],[PID]],0)),INDEX(Table3[[#All],[CON P]],MATCH(Table5[[#This Row],[PID]],Table3[[#All],[PID]],0)))</f>
        <v>2</v>
      </c>
      <c r="O326" s="70">
        <f>IF($C326="B",INDEX(Batters[[#All],[EYE P]],MATCH(Table5[[#This Row],[PID]],Batters[[#All],[PID]],0)),INDEX(Table3[[#All],[VELO]],MATCH(Table5[[#This Row],[PID]],Table3[[#All],[PID]],0)))</f>
        <v>1</v>
      </c>
      <c r="P326" s="56">
        <f>IF($C326="B",INDEX(Batters[[#All],[K P]],MATCH(Table5[[#This Row],[PID]],Batters[[#All],[PID]],0)),INDEX(Table3[[#All],[STM]],MATCH(Table5[[#This Row],[PID]],Table3[[#All],[PID]],0)))</f>
        <v>7</v>
      </c>
      <c r="Q326" s="61">
        <f>IF($C326="B",INDEX(Batters[[#All],[Tot]],MATCH(Table5[[#This Row],[PID]],Batters[[#All],[PID]],0)),INDEX(Table3[[#All],[Tot]],MATCH(Table5[[#This Row],[PID]],Table3[[#All],[PID]],0)))</f>
        <v>44.514432812267394</v>
      </c>
      <c r="R326" s="52">
        <f>IF($C326="B",INDEX(Batters[[#All],[zScore]],MATCH(Table5[[#This Row],[PID]],Batters[[#All],[PID]],0)),INDEX(Table3[[#All],[zScore]],MATCH(Table5[[#This Row],[PID]],Table3[[#All],[PID]],0)))</f>
        <v>0.18916624100159563</v>
      </c>
      <c r="S326" s="75" t="str">
        <f>IF($C326="B",INDEX(Batters[[#All],[DEM]],MATCH(Table5[[#This Row],[PID]],Batters[[#All],[PID]],0)),INDEX(Table3[[#All],[DEM]],MATCH(Table5[[#This Row],[PID]],Table3[[#All],[PID]],0)))</f>
        <v>$65k</v>
      </c>
      <c r="T326" s="72">
        <f>IF($C326="B",INDEX(Batters[[#All],[Rnk]],MATCH(Table5[[#This Row],[PID]],Batters[[#All],[PID]],0)),INDEX(Table3[[#All],[Rnk]],MATCH(Table5[[#This Row],[PID]],Table3[[#All],[PID]],0)))</f>
        <v>930</v>
      </c>
      <c r="U326" s="67">
        <f>IF($C326="B",VLOOKUP($A326,Bat!$A$4:$BA$1314,47,FALSE),VLOOKUP($A326,Pit!$A$4:$BF$1214,56,FALSE))</f>
        <v>321</v>
      </c>
      <c r="V326" s="50">
        <f>IF($C326="B",VLOOKUP($A326,Bat!$A$4:$BA$1314,48,FALSE),VLOOKUP($A326,Pit!$A$4:$BF$1214,57,FALSE))</f>
        <v>0</v>
      </c>
      <c r="W326" s="68">
        <f>IF(Table5[[#This Row],[posRnk]]=999,9999,Table5[[#This Row],[posRnk]]+Table5[[#This Row],[zRnk]]+IF($W$3&lt;&gt;Table5[[#This Row],[Type]],50,0))</f>
        <v>1297</v>
      </c>
      <c r="X326" s="71">
        <f>RANK(Table5[[#This Row],[zScore]],Table5[[#All],[zScore]])</f>
        <v>317</v>
      </c>
      <c r="Y326" s="68">
        <f>IFERROR(INDEX(DraftResults[[#All],[OVR]],MATCH(Table5[[#This Row],[PID]],DraftResults[[#All],[Player ID]],0)),"")</f>
        <v>193</v>
      </c>
      <c r="Z326" s="7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6</v>
      </c>
      <c r="AA326" s="68">
        <f>IFERROR(INDEX(DraftResults[[#All],[Pick in Round]],MATCH(Table5[[#This Row],[PID]],DraftResults[[#All],[Player ID]],0)),"")</f>
        <v>24</v>
      </c>
      <c r="AB326" s="68" t="str">
        <f>IFERROR(INDEX(DraftResults[[#All],[Team Name]],MATCH(Table5[[#This Row],[PID]],DraftResults[[#All],[Player ID]],0)),"")</f>
        <v>Reno Zephyrs</v>
      </c>
      <c r="AC326" s="68">
        <f>IF(Table5[[#This Row],[Ovr]]="","",IF(Table5[[#This Row],[cmbList]]="","",Table5[[#This Row],[cmbList]]-Table5[[#This Row],[Ovr]]))</f>
        <v>1104</v>
      </c>
      <c r="AD326" s="74" t="str">
        <f>IF(ISERROR(VLOOKUP($AB326&amp;"-"&amp;$E326&amp;" "&amp;F326,Bonuses!$B$1:$G$1006,4,FALSE)),"",INT(VLOOKUP($AB326&amp;"-"&amp;$E326&amp;" "&amp;$F326,Bonuses!$B$1:$G$1006,4,FALSE)))</f>
        <v/>
      </c>
      <c r="AE326" s="68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6.24 (193) - 1B Dwaine Truslove</v>
      </c>
    </row>
    <row r="327" spans="1:31" s="50" customFormat="1" x14ac:dyDescent="0.3">
      <c r="A327" s="50">
        <v>20575</v>
      </c>
      <c r="B327" s="50">
        <f>COUNTIF(Table5[PID],A327)</f>
        <v>1</v>
      </c>
      <c r="C327" s="50" t="str">
        <f>IF(COUNTIF(Table3[[#All],[PID]],A327)&gt;0,"P","B")</f>
        <v>P</v>
      </c>
      <c r="D327" s="59" t="str">
        <f>IF($C327="B",INDEX(Batters[[#All],[POS]],MATCH(Table5[[#This Row],[PID]],Batters[[#All],[PID]],0)),INDEX(Table3[[#All],[POS]],MATCH(Table5[[#This Row],[PID]],Table3[[#All],[PID]],0)))</f>
        <v>RP</v>
      </c>
      <c r="E327" s="52" t="str">
        <f>IF($C327="B",INDEX(Batters[[#All],[First]],MATCH(Table5[[#This Row],[PID]],Batters[[#All],[PID]],0)),INDEX(Table3[[#All],[First]],MATCH(Table5[[#This Row],[PID]],Table3[[#All],[PID]],0)))</f>
        <v>Koto</v>
      </c>
      <c r="F327" s="50" t="str">
        <f>IF($C327="B",INDEX(Batters[[#All],[Last]],MATCH(A327,Batters[[#All],[PID]],0)),INDEX(Table3[[#All],[Last]],MATCH(A327,Table3[[#All],[PID]],0)))</f>
        <v>Nishi</v>
      </c>
      <c r="G327" s="56">
        <f>IF($C327="B",INDEX(Batters[[#All],[Age]],MATCH(Table5[[#This Row],[PID]],Batters[[#All],[PID]],0)),INDEX(Table3[[#All],[Age]],MATCH(Table5[[#This Row],[PID]],Table3[[#All],[PID]],0)))</f>
        <v>17</v>
      </c>
      <c r="H327" s="52" t="str">
        <f>IF($C327="B",INDEX(Batters[[#All],[B]],MATCH(Table5[[#This Row],[PID]],Batters[[#All],[PID]],0)),INDEX(Table3[[#All],[B]],MATCH(Table5[[#This Row],[PID]],Table3[[#All],[PID]],0)))</f>
        <v>L</v>
      </c>
      <c r="I327" s="52" t="str">
        <f>IF($C327="B",INDEX(Batters[[#All],[T]],MATCH(Table5[[#This Row],[PID]],Batters[[#All],[PID]],0)),INDEX(Table3[[#All],[T]],MATCH(Table5[[#This Row],[PID]],Table3[[#All],[PID]],0)))</f>
        <v>R</v>
      </c>
      <c r="J327" s="52" t="str">
        <f>IF($C327="B",INDEX(Batters[[#All],[WE]],MATCH(Table5[[#This Row],[PID]],Batters[[#All],[PID]],0)),INDEX(Table3[[#All],[WE]],MATCH(Table5[[#This Row],[PID]],Table3[[#All],[PID]],0)))</f>
        <v>High</v>
      </c>
      <c r="K327" s="52" t="str">
        <f>IF($C327="B",INDEX(Batters[[#All],[INT]],MATCH(Table5[[#This Row],[PID]],Batters[[#All],[PID]],0)),INDEX(Table3[[#All],[INT]],MATCH(Table5[[#This Row],[PID]],Table3[[#All],[PID]],0)))</f>
        <v>Normal</v>
      </c>
      <c r="L327" s="60">
        <f>IF($C327="B",INDEX(Batters[[#All],[CON P]],MATCH(Table5[[#This Row],[PID]],Batters[[#All],[PID]],0)),INDEX(Table3[[#All],[STU P]],MATCH(Table5[[#This Row],[PID]],Table3[[#All],[PID]],0)))</f>
        <v>4</v>
      </c>
      <c r="M327" s="56">
        <f>IF($C327="B",INDEX(Batters[[#All],[GAP P]],MATCH(Table5[[#This Row],[PID]],Batters[[#All],[PID]],0)),INDEX(Table3[[#All],[MOV P]],MATCH(Table5[[#This Row],[PID]],Table3[[#All],[PID]],0)))</f>
        <v>2</v>
      </c>
      <c r="N327" s="56">
        <f>IF($C327="B",INDEX(Batters[[#All],[POW P]],MATCH(Table5[[#This Row],[PID]],Batters[[#All],[PID]],0)),INDEX(Table3[[#All],[CON P]],MATCH(Table5[[#This Row],[PID]],Table3[[#All],[PID]],0)))</f>
        <v>4</v>
      </c>
      <c r="O327" s="56" t="str">
        <f>IF($C327="B",INDEX(Batters[[#All],[EYE P]],MATCH(Table5[[#This Row],[PID]],Batters[[#All],[PID]],0)),INDEX(Table3[[#All],[VELO]],MATCH(Table5[[#This Row],[PID]],Table3[[#All],[PID]],0)))</f>
        <v>87-89 Mph</v>
      </c>
      <c r="P327" s="56">
        <f>IF($C327="B",INDEX(Batters[[#All],[K P]],MATCH(Table5[[#This Row],[PID]],Batters[[#All],[PID]],0)),INDEX(Table3[[#All],[STM]],MATCH(Table5[[#This Row],[PID]],Table3[[#All],[PID]],0)))</f>
        <v>5</v>
      </c>
      <c r="Q327" s="61">
        <f>IF($C327="B",INDEX(Batters[[#All],[Tot]],MATCH(Table5[[#This Row],[PID]],Batters[[#All],[PID]],0)),INDEX(Table3[[#All],[Tot]],MATCH(Table5[[#This Row],[PID]],Table3[[#All],[PID]],0)))</f>
        <v>39.183603633922395</v>
      </c>
      <c r="R327" s="52">
        <f>IF($C327="B",INDEX(Batters[[#All],[zScore]],MATCH(Table5[[#This Row],[PID]],Batters[[#All],[PID]],0)),INDEX(Table3[[#All],[zScore]],MATCH(Table5[[#This Row],[PID]],Table3[[#All],[PID]],0)))</f>
        <v>0.10448047048955544</v>
      </c>
      <c r="S327" s="58" t="str">
        <f>IF($C327="B",INDEX(Batters[[#All],[DEM]],MATCH(Table5[[#This Row],[PID]],Batters[[#All],[PID]],0)),INDEX(Table3[[#All],[DEM]],MATCH(Table5[[#This Row],[PID]],Table3[[#All],[PID]],0)))</f>
        <v>$38k</v>
      </c>
      <c r="T327" s="62">
        <f>IF($C327="B",INDEX(Batters[[#All],[Rnk]],MATCH(Table5[[#This Row],[PID]],Batters[[#All],[PID]],0)),INDEX(Table3[[#All],[Rnk]],MATCH(Table5[[#This Row],[PID]],Table3[[#All],[PID]],0)))</f>
        <v>900</v>
      </c>
      <c r="U327" s="67">
        <f>IF($C327="B",VLOOKUP($A327,Bat!$A$4:$BA$1314,47,FALSE),VLOOKUP($A327,Pit!$A$4:$BF$1214,56,FALSE))</f>
        <v>108</v>
      </c>
      <c r="V327" s="50">
        <f>IF($C327="B",VLOOKUP($A327,Bat!$A$4:$BA$1314,48,FALSE),VLOOKUP($A327,Pit!$A$4:$BF$1214,57,FALSE))</f>
        <v>0</v>
      </c>
      <c r="W327" s="68">
        <f>IF(Table5[[#This Row],[posRnk]]=999,9999,Table5[[#This Row],[posRnk]]+Table5[[#This Row],[zRnk]]+IF($W$3&lt;&gt;Table5[[#This Row],[Type]],50,0))</f>
        <v>1248</v>
      </c>
      <c r="X327" s="51">
        <f>RANK(Table5[[#This Row],[zScore]],Table5[[#All],[zScore]])</f>
        <v>348</v>
      </c>
      <c r="Y327" s="50">
        <f>IFERROR(INDEX(DraftResults[[#All],[OVR]],MATCH(Table5[[#This Row],[PID]],DraftResults[[#All],[Player ID]],0)),"")</f>
        <v>374</v>
      </c>
      <c r="Z327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12</v>
      </c>
      <c r="AA327" s="50">
        <f>IFERROR(INDEX(DraftResults[[#All],[Pick in Round]],MATCH(Table5[[#This Row],[PID]],DraftResults[[#All],[Player ID]],0)),"")</f>
        <v>9</v>
      </c>
      <c r="AB327" s="50" t="str">
        <f>IFERROR(INDEX(DraftResults[[#All],[Team Name]],MATCH(Table5[[#This Row],[PID]],DraftResults[[#All],[Player ID]],0)),"")</f>
        <v>Gloucester Fishermen</v>
      </c>
      <c r="AC327" s="50">
        <f>IF(Table5[[#This Row],[Ovr]]="","",IF(Table5[[#This Row],[cmbList]]="","",Table5[[#This Row],[cmbList]]-Table5[[#This Row],[Ovr]]))</f>
        <v>874</v>
      </c>
      <c r="AD327" s="54" t="str">
        <f>IF(ISERROR(VLOOKUP($AB327&amp;"-"&amp;$E327&amp;" "&amp;F327,Bonuses!$B$1:$G$1006,4,FALSE)),"",INT(VLOOKUP($AB327&amp;"-"&amp;$E327&amp;" "&amp;$F327,Bonuses!$B$1:$G$1006,4,FALSE)))</f>
        <v/>
      </c>
      <c r="AE327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12.9 (374) - RP Koto Nishi</v>
      </c>
    </row>
    <row r="328" spans="1:31" s="50" customFormat="1" x14ac:dyDescent="0.3">
      <c r="A328" s="67">
        <v>10953</v>
      </c>
      <c r="B328" s="68">
        <f>COUNTIF(Table5[PID],A328)</f>
        <v>1</v>
      </c>
      <c r="C328" s="68" t="str">
        <f>IF(COUNTIF(Table3[[#All],[PID]],A328)&gt;0,"P","B")</f>
        <v>P</v>
      </c>
      <c r="D328" s="59" t="str">
        <f>IF($C328="B",INDEX(Batters[[#All],[POS]],MATCH(Table5[[#This Row],[PID]],Batters[[#All],[PID]],0)),INDEX(Table3[[#All],[POS]],MATCH(Table5[[#This Row],[PID]],Table3[[#All],[PID]],0)))</f>
        <v>RP</v>
      </c>
      <c r="E328" s="52" t="str">
        <f>IF($C328="B",INDEX(Batters[[#All],[First]],MATCH(Table5[[#This Row],[PID]],Batters[[#All],[PID]],0)),INDEX(Table3[[#All],[First]],MATCH(Table5[[#This Row],[PID]],Table3[[#All],[PID]],0)))</f>
        <v>Marcos</v>
      </c>
      <c r="F328" s="55" t="str">
        <f>IF($C328="B",INDEX(Batters[[#All],[Last]],MATCH(A328,Batters[[#All],[PID]],0)),INDEX(Table3[[#All],[Last]],MATCH(A328,Table3[[#All],[PID]],0)))</f>
        <v>Árias</v>
      </c>
      <c r="G328" s="56">
        <f>IF($C328="B",INDEX(Batters[[#All],[Age]],MATCH(Table5[[#This Row],[PID]],Batters[[#All],[PID]],0)),INDEX(Table3[[#All],[Age]],MATCH(Table5[[#This Row],[PID]],Table3[[#All],[PID]],0)))</f>
        <v>18</v>
      </c>
      <c r="H328" s="52" t="str">
        <f>IF($C328="B",INDEX(Batters[[#All],[B]],MATCH(Table5[[#This Row],[PID]],Batters[[#All],[PID]],0)),INDEX(Table3[[#All],[B]],MATCH(Table5[[#This Row],[PID]],Table3[[#All],[PID]],0)))</f>
        <v>L</v>
      </c>
      <c r="I328" s="52" t="str">
        <f>IF($C328="B",INDEX(Batters[[#All],[T]],MATCH(Table5[[#This Row],[PID]],Batters[[#All],[PID]],0)),INDEX(Table3[[#All],[T]],MATCH(Table5[[#This Row],[PID]],Table3[[#All],[PID]],0)))</f>
        <v>L</v>
      </c>
      <c r="J328" s="69" t="str">
        <f>IF($C328="B",INDEX(Batters[[#All],[WE]],MATCH(Table5[[#This Row],[PID]],Batters[[#All],[PID]],0)),INDEX(Table3[[#All],[WE]],MATCH(Table5[[#This Row],[PID]],Table3[[#All],[PID]],0)))</f>
        <v>Low</v>
      </c>
      <c r="K328" s="52" t="str">
        <f>IF($C328="B",INDEX(Batters[[#All],[INT]],MATCH(Table5[[#This Row],[PID]],Batters[[#All],[PID]],0)),INDEX(Table3[[#All],[INT]],MATCH(Table5[[#This Row],[PID]],Table3[[#All],[PID]],0)))</f>
        <v>Normal</v>
      </c>
      <c r="L328" s="60">
        <f>IF($C328="B",INDEX(Batters[[#All],[CON P]],MATCH(Table5[[#This Row],[PID]],Batters[[#All],[PID]],0)),INDEX(Table3[[#All],[STU P]],MATCH(Table5[[#This Row],[PID]],Table3[[#All],[PID]],0)))</f>
        <v>5</v>
      </c>
      <c r="M328" s="70">
        <f>IF($C328="B",INDEX(Batters[[#All],[GAP P]],MATCH(Table5[[#This Row],[PID]],Batters[[#All],[PID]],0)),INDEX(Table3[[#All],[MOV P]],MATCH(Table5[[#This Row],[PID]],Table3[[#All],[PID]],0)))</f>
        <v>1</v>
      </c>
      <c r="N328" s="70">
        <f>IF($C328="B",INDEX(Batters[[#All],[POW P]],MATCH(Table5[[#This Row],[PID]],Batters[[#All],[PID]],0)),INDEX(Table3[[#All],[CON P]],MATCH(Table5[[#This Row],[PID]],Table3[[#All],[PID]],0)))</f>
        <v>4</v>
      </c>
      <c r="O328" s="70" t="str">
        <f>IF($C328="B",INDEX(Batters[[#All],[EYE P]],MATCH(Table5[[#This Row],[PID]],Batters[[#All],[PID]],0)),INDEX(Table3[[#All],[VELO]],MATCH(Table5[[#This Row],[PID]],Table3[[#All],[PID]],0)))</f>
        <v>88-90 Mph</v>
      </c>
      <c r="P328" s="56">
        <f>IF($C328="B",INDEX(Batters[[#All],[K P]],MATCH(Table5[[#This Row],[PID]],Batters[[#All],[PID]],0)),INDEX(Table3[[#All],[STM]],MATCH(Table5[[#This Row],[PID]],Table3[[#All],[PID]],0)))</f>
        <v>7</v>
      </c>
      <c r="Q328" s="61">
        <f>IF($C328="B",INDEX(Batters[[#All],[Tot]],MATCH(Table5[[#This Row],[PID]],Batters[[#All],[PID]],0)),INDEX(Table3[[#All],[Tot]],MATCH(Table5[[#This Row],[PID]],Table3[[#All],[PID]],0)))</f>
        <v>40.193391596678289</v>
      </c>
      <c r="R328" s="52">
        <f>IF($C328="B",INDEX(Batters[[#All],[zScore]],MATCH(Table5[[#This Row],[PID]],Batters[[#All],[PID]],0)),INDEX(Table3[[#All],[zScore]],MATCH(Table5[[#This Row],[PID]],Table3[[#All],[PID]],0)))</f>
        <v>0.176320455995949</v>
      </c>
      <c r="S328" s="75" t="str">
        <f>IF($C328="B",INDEX(Batters[[#All],[DEM]],MATCH(Table5[[#This Row],[PID]],Batters[[#All],[PID]],0)),INDEX(Table3[[#All],[DEM]],MATCH(Table5[[#This Row],[PID]],Table3[[#All],[PID]],0)))</f>
        <v>$65k</v>
      </c>
      <c r="T328" s="72">
        <f>IF($C328="B",INDEX(Batters[[#All],[Rnk]],MATCH(Table5[[#This Row],[PID]],Batters[[#All],[PID]],0)),INDEX(Table3[[#All],[Rnk]],MATCH(Table5[[#This Row],[PID]],Table3[[#All],[PID]],0)))</f>
        <v>930</v>
      </c>
      <c r="U328" s="67">
        <f>IF($C328="B",VLOOKUP($A328,Bat!$A$4:$BA$1314,47,FALSE),VLOOKUP($A328,Pit!$A$4:$BF$1214,56,FALSE))</f>
        <v>272</v>
      </c>
      <c r="V328" s="50">
        <f>IF($C328="B",VLOOKUP($A328,Bat!$A$4:$BA$1314,48,FALSE),VLOOKUP($A328,Pit!$A$4:$BF$1214,57,FALSE))</f>
        <v>0</v>
      </c>
      <c r="W328" s="68">
        <f>IF(Table5[[#This Row],[posRnk]]=999,9999,Table5[[#This Row],[posRnk]]+Table5[[#This Row],[zRnk]]+IF($W$3&lt;&gt;Table5[[#This Row],[Type]],50,0))</f>
        <v>1249</v>
      </c>
      <c r="X328" s="71">
        <f>RANK(Table5[[#This Row],[zScore]],Table5[[#All],[zScore]])</f>
        <v>319</v>
      </c>
      <c r="Y328" s="68" t="str">
        <f>IFERROR(INDEX(DraftResults[[#All],[OVR]],MATCH(Table5[[#This Row],[PID]],DraftResults[[#All],[Player ID]],0)),"")</f>
        <v/>
      </c>
      <c r="Z328" s="7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/>
      </c>
      <c r="AA328" s="68" t="str">
        <f>IFERROR(INDEX(DraftResults[[#All],[Pick in Round]],MATCH(Table5[[#This Row],[PID]],DraftResults[[#All],[Player ID]],0)),"")</f>
        <v/>
      </c>
      <c r="AB328" s="68" t="str">
        <f>IFERROR(INDEX(DraftResults[[#All],[Team Name]],MATCH(Table5[[#This Row],[PID]],DraftResults[[#All],[Player ID]],0)),"")</f>
        <v/>
      </c>
      <c r="AC328" s="68" t="str">
        <f>IF(Table5[[#This Row],[Ovr]]="","",IF(Table5[[#This Row],[cmbList]]="","",Table5[[#This Row],[cmbList]]-Table5[[#This Row],[Ovr]]))</f>
        <v/>
      </c>
      <c r="AD328" s="74" t="str">
        <f>IF(ISERROR(VLOOKUP($AB328&amp;"-"&amp;$E328&amp;" "&amp;F328,Bonuses!$B$1:$G$1006,4,FALSE)),"",INT(VLOOKUP($AB328&amp;"-"&amp;$E328&amp;" "&amp;$F328,Bonuses!$B$1:$G$1006,4,FALSE)))</f>
        <v/>
      </c>
      <c r="AE328" s="68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/>
      </c>
    </row>
    <row r="329" spans="1:31" s="50" customFormat="1" x14ac:dyDescent="0.3">
      <c r="A329" s="50">
        <v>11232</v>
      </c>
      <c r="B329" s="50">
        <f>COUNTIF(Table5[PID],A329)</f>
        <v>1</v>
      </c>
      <c r="C329" s="50" t="str">
        <f>IF(COUNTIF(Table3[[#All],[PID]],A329)&gt;0,"P","B")</f>
        <v>B</v>
      </c>
      <c r="D329" s="59" t="str">
        <f>IF($C329="B",INDEX(Batters[[#All],[POS]],MATCH(Table5[[#This Row],[PID]],Batters[[#All],[PID]],0)),INDEX(Table3[[#All],[POS]],MATCH(Table5[[#This Row],[PID]],Table3[[#All],[PID]],0)))</f>
        <v>LF</v>
      </c>
      <c r="E329" s="52" t="str">
        <f>IF($C329="B",INDEX(Batters[[#All],[First]],MATCH(Table5[[#This Row],[PID]],Batters[[#All],[PID]],0)),INDEX(Table3[[#All],[First]],MATCH(Table5[[#This Row],[PID]],Table3[[#All],[PID]],0)))</f>
        <v>Carlos</v>
      </c>
      <c r="F329" s="50" t="str">
        <f>IF($C329="B",INDEX(Batters[[#All],[Last]],MATCH(A329,Batters[[#All],[PID]],0)),INDEX(Table3[[#All],[Last]],MATCH(A329,Table3[[#All],[PID]],0)))</f>
        <v>Marroquín</v>
      </c>
      <c r="G329" s="56">
        <f>IF($C329="B",INDEX(Batters[[#All],[Age]],MATCH(Table5[[#This Row],[PID]],Batters[[#All],[PID]],0)),INDEX(Table3[[#All],[Age]],MATCH(Table5[[#This Row],[PID]],Table3[[#All],[PID]],0)))</f>
        <v>17</v>
      </c>
      <c r="H329" s="52" t="str">
        <f>IF($C329="B",INDEX(Batters[[#All],[B]],MATCH(Table5[[#This Row],[PID]],Batters[[#All],[PID]],0)),INDEX(Table3[[#All],[B]],MATCH(Table5[[#This Row],[PID]],Table3[[#All],[PID]],0)))</f>
        <v>R</v>
      </c>
      <c r="I329" s="52" t="str">
        <f>IF($C329="B",INDEX(Batters[[#All],[T]],MATCH(Table5[[#This Row],[PID]],Batters[[#All],[PID]],0)),INDEX(Table3[[#All],[T]],MATCH(Table5[[#This Row],[PID]],Table3[[#All],[PID]],0)))</f>
        <v>R</v>
      </c>
      <c r="J329" s="52" t="str">
        <f>IF($C329="B",INDEX(Batters[[#All],[WE]],MATCH(Table5[[#This Row],[PID]],Batters[[#All],[PID]],0)),INDEX(Table3[[#All],[WE]],MATCH(Table5[[#This Row],[PID]],Table3[[#All],[PID]],0)))</f>
        <v>Low</v>
      </c>
      <c r="K329" s="52" t="str">
        <f>IF($C329="B",INDEX(Batters[[#All],[INT]],MATCH(Table5[[#This Row],[PID]],Batters[[#All],[PID]],0)),INDEX(Table3[[#All],[INT]],MATCH(Table5[[#This Row],[PID]],Table3[[#All],[PID]],0)))</f>
        <v>Normal</v>
      </c>
      <c r="L329" s="60">
        <f>IF($C329="B",INDEX(Batters[[#All],[CON P]],MATCH(Table5[[#This Row],[PID]],Batters[[#All],[PID]],0)),INDEX(Table3[[#All],[STU P]],MATCH(Table5[[#This Row],[PID]],Table3[[#All],[PID]],0)))</f>
        <v>3</v>
      </c>
      <c r="M329" s="56">
        <f>IF($C329="B",INDEX(Batters[[#All],[GAP P]],MATCH(Table5[[#This Row],[PID]],Batters[[#All],[PID]],0)),INDEX(Table3[[#All],[MOV P]],MATCH(Table5[[#This Row],[PID]],Table3[[#All],[PID]],0)))</f>
        <v>5</v>
      </c>
      <c r="N329" s="56">
        <f>IF($C329="B",INDEX(Batters[[#All],[POW P]],MATCH(Table5[[#This Row],[PID]],Batters[[#All],[PID]],0)),INDEX(Table3[[#All],[CON P]],MATCH(Table5[[#This Row],[PID]],Table3[[#All],[PID]],0)))</f>
        <v>5</v>
      </c>
      <c r="O329" s="56">
        <f>IF($C329="B",INDEX(Batters[[#All],[EYE P]],MATCH(Table5[[#This Row],[PID]],Batters[[#All],[PID]],0)),INDEX(Table3[[#All],[VELO]],MATCH(Table5[[#This Row],[PID]],Table3[[#All],[PID]],0)))</f>
        <v>6</v>
      </c>
      <c r="P329" s="56">
        <f>IF($C329="B",INDEX(Batters[[#All],[K P]],MATCH(Table5[[#This Row],[PID]],Batters[[#All],[PID]],0)),INDEX(Table3[[#All],[STM]],MATCH(Table5[[#This Row],[PID]],Table3[[#All],[PID]],0)))</f>
        <v>2</v>
      </c>
      <c r="Q329" s="61">
        <f>IF($C329="B",INDEX(Batters[[#All],[Tot]],MATCH(Table5[[#This Row],[PID]],Batters[[#All],[PID]],0)),INDEX(Table3[[#All],[Tot]],MATCH(Table5[[#This Row],[PID]],Table3[[#All],[PID]],0)))</f>
        <v>44.411040745944042</v>
      </c>
      <c r="R329" s="52">
        <f>IF($C329="B",INDEX(Batters[[#All],[zScore]],MATCH(Table5[[#This Row],[PID]],Batters[[#All],[PID]],0)),INDEX(Table3[[#All],[zScore]],MATCH(Table5[[#This Row],[PID]],Table3[[#All],[PID]],0)))</f>
        <v>0.17407429652786302</v>
      </c>
      <c r="S329" s="58" t="str">
        <f>IF($C329="B",INDEX(Batters[[#All],[DEM]],MATCH(Table5[[#This Row],[PID]],Batters[[#All],[PID]],0)),INDEX(Table3[[#All],[DEM]],MATCH(Table5[[#This Row],[PID]],Table3[[#All],[PID]],0)))</f>
        <v>$70k</v>
      </c>
      <c r="T329" s="62">
        <f>IF($C329="B",INDEX(Batters[[#All],[Rnk]],MATCH(Table5[[#This Row],[PID]],Batters[[#All],[PID]],0)),INDEX(Table3[[#All],[Rnk]],MATCH(Table5[[#This Row],[PID]],Table3[[#All],[PID]],0)))</f>
        <v>930</v>
      </c>
      <c r="U329" s="67">
        <f>IF($C329="B",VLOOKUP($A329,Bat!$A$4:$BA$1314,47,FALSE),VLOOKUP($A329,Pit!$A$4:$BF$1214,56,FALSE))</f>
        <v>322</v>
      </c>
      <c r="V329" s="50">
        <f>IF($C329="B",VLOOKUP($A329,Bat!$A$4:$BA$1314,48,FALSE),VLOOKUP($A329,Pit!$A$4:$BF$1214,57,FALSE))</f>
        <v>0</v>
      </c>
      <c r="W329" s="68">
        <f>IF(Table5[[#This Row],[posRnk]]=999,9999,Table5[[#This Row],[posRnk]]+Table5[[#This Row],[zRnk]]+IF($W$3&lt;&gt;Table5[[#This Row],[Type]],50,0))</f>
        <v>1300</v>
      </c>
      <c r="X329" s="51">
        <f>RANK(Table5[[#This Row],[zScore]],Table5[[#All],[zScore]])</f>
        <v>320</v>
      </c>
      <c r="Y329" s="50">
        <f>IFERROR(INDEX(DraftResults[[#All],[OVR]],MATCH(Table5[[#This Row],[PID]],DraftResults[[#All],[Player ID]],0)),"")</f>
        <v>511</v>
      </c>
      <c r="Z329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16</v>
      </c>
      <c r="AA329" s="50">
        <f>IFERROR(INDEX(DraftResults[[#All],[Pick in Round]],MATCH(Table5[[#This Row],[PID]],DraftResults[[#All],[Player ID]],0)),"")</f>
        <v>10</v>
      </c>
      <c r="AB329" s="50" t="str">
        <f>IFERROR(INDEX(DraftResults[[#All],[Team Name]],MATCH(Table5[[#This Row],[PID]],DraftResults[[#All],[Player ID]],0)),"")</f>
        <v>London Underground</v>
      </c>
      <c r="AC329" s="50">
        <f>IF(Table5[[#This Row],[Ovr]]="","",IF(Table5[[#This Row],[cmbList]]="","",Table5[[#This Row],[cmbList]]-Table5[[#This Row],[Ovr]]))</f>
        <v>789</v>
      </c>
      <c r="AD329" s="54" t="str">
        <f>IF(ISERROR(VLOOKUP($AB329&amp;"-"&amp;$E329&amp;" "&amp;F329,Bonuses!$B$1:$G$1006,4,FALSE)),"",INT(VLOOKUP($AB329&amp;"-"&amp;$E329&amp;" "&amp;$F329,Bonuses!$B$1:$G$1006,4,FALSE)))</f>
        <v/>
      </c>
      <c r="AE329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16.10 (511) - LF Carlos Marroquín</v>
      </c>
    </row>
    <row r="330" spans="1:31" s="50" customFormat="1" x14ac:dyDescent="0.3">
      <c r="A330" s="50">
        <v>13283</v>
      </c>
      <c r="B330" s="55">
        <f>COUNTIF(Table5[PID],A330)</f>
        <v>1</v>
      </c>
      <c r="C330" s="55" t="str">
        <f>IF(COUNTIF(Table3[[#All],[PID]],A330)&gt;0,"P","B")</f>
        <v>P</v>
      </c>
      <c r="D330" s="59" t="str">
        <f>IF($C330="B",INDEX(Batters[[#All],[POS]],MATCH(Table5[[#This Row],[PID]],Batters[[#All],[PID]],0)),INDEX(Table3[[#All],[POS]],MATCH(Table5[[#This Row],[PID]],Table3[[#All],[PID]],0)))</f>
        <v>RP</v>
      </c>
      <c r="E330" s="52" t="str">
        <f>IF($C330="B",INDEX(Batters[[#All],[First]],MATCH(Table5[[#This Row],[PID]],Batters[[#All],[PID]],0)),INDEX(Table3[[#All],[First]],MATCH(Table5[[#This Row],[PID]],Table3[[#All],[PID]],0)))</f>
        <v>Hidekazu</v>
      </c>
      <c r="F330" s="50" t="str">
        <f>IF($C330="B",INDEX(Batters[[#All],[Last]],MATCH(A330,Batters[[#All],[PID]],0)),INDEX(Table3[[#All],[Last]],MATCH(A330,Table3[[#All],[PID]],0)))</f>
        <v>Kato</v>
      </c>
      <c r="G330" s="56">
        <f>IF($C330="B",INDEX(Batters[[#All],[Age]],MATCH(Table5[[#This Row],[PID]],Batters[[#All],[PID]],0)),INDEX(Table3[[#All],[Age]],MATCH(Table5[[#This Row],[PID]],Table3[[#All],[PID]],0)))</f>
        <v>17</v>
      </c>
      <c r="H330" s="52" t="str">
        <f>IF($C330="B",INDEX(Batters[[#All],[B]],MATCH(Table5[[#This Row],[PID]],Batters[[#All],[PID]],0)),INDEX(Table3[[#All],[B]],MATCH(Table5[[#This Row],[PID]],Table3[[#All],[PID]],0)))</f>
        <v>L</v>
      </c>
      <c r="I330" s="52" t="str">
        <f>IF($C330="B",INDEX(Batters[[#All],[T]],MATCH(Table5[[#This Row],[PID]],Batters[[#All],[PID]],0)),INDEX(Table3[[#All],[T]],MATCH(Table5[[#This Row],[PID]],Table3[[#All],[PID]],0)))</f>
        <v>R</v>
      </c>
      <c r="J330" s="52" t="str">
        <f>IF($C330="B",INDEX(Batters[[#All],[WE]],MATCH(Table5[[#This Row],[PID]],Batters[[#All],[PID]],0)),INDEX(Table3[[#All],[WE]],MATCH(Table5[[#This Row],[PID]],Table3[[#All],[PID]],0)))</f>
        <v>Low</v>
      </c>
      <c r="K330" s="52" t="str">
        <f>IF($C330="B",INDEX(Batters[[#All],[INT]],MATCH(Table5[[#This Row],[PID]],Batters[[#All],[PID]],0)),INDEX(Table3[[#All],[INT]],MATCH(Table5[[#This Row],[PID]],Table3[[#All],[PID]],0)))</f>
        <v>Normal</v>
      </c>
      <c r="L330" s="60">
        <f>IF($C330="B",INDEX(Batters[[#All],[CON P]],MATCH(Table5[[#This Row],[PID]],Batters[[#All],[PID]],0)),INDEX(Table3[[#All],[STU P]],MATCH(Table5[[#This Row],[PID]],Table3[[#All],[PID]],0)))</f>
        <v>5</v>
      </c>
      <c r="M330" s="56">
        <f>IF($C330="B",INDEX(Batters[[#All],[GAP P]],MATCH(Table5[[#This Row],[PID]],Batters[[#All],[PID]],0)),INDEX(Table3[[#All],[MOV P]],MATCH(Table5[[#This Row],[PID]],Table3[[#All],[PID]],0)))</f>
        <v>1</v>
      </c>
      <c r="N330" s="56">
        <f>IF($C330="B",INDEX(Batters[[#All],[POW P]],MATCH(Table5[[#This Row],[PID]],Batters[[#All],[PID]],0)),INDEX(Table3[[#All],[CON P]],MATCH(Table5[[#This Row],[PID]],Table3[[#All],[PID]],0)))</f>
        <v>4</v>
      </c>
      <c r="O330" s="56" t="str">
        <f>IF($C330="B",INDEX(Batters[[#All],[EYE P]],MATCH(Table5[[#This Row],[PID]],Batters[[#All],[PID]],0)),INDEX(Table3[[#All],[VELO]],MATCH(Table5[[#This Row],[PID]],Table3[[#All],[PID]],0)))</f>
        <v>90-92 Mph</v>
      </c>
      <c r="P330" s="56">
        <f>IF($C330="B",INDEX(Batters[[#All],[K P]],MATCH(Table5[[#This Row],[PID]],Batters[[#All],[PID]],0)),INDEX(Table3[[#All],[STM]],MATCH(Table5[[#This Row],[PID]],Table3[[#All],[PID]],0)))</f>
        <v>8</v>
      </c>
      <c r="Q330" s="61">
        <f>IF($C330="B",INDEX(Batters[[#All],[Tot]],MATCH(Table5[[#This Row],[PID]],Batters[[#All],[PID]],0)),INDEX(Table3[[#All],[Tot]],MATCH(Table5[[#This Row],[PID]],Table3[[#All],[PID]],0)))</f>
        <v>40.241855709889109</v>
      </c>
      <c r="R330" s="52">
        <f>IF($C330="B",INDEX(Batters[[#All],[zScore]],MATCH(Table5[[#This Row],[PID]],Batters[[#All],[PID]],0)),INDEX(Table3[[#All],[zScore]],MATCH(Table5[[#This Row],[PID]],Table3[[#All],[PID]],0)))</f>
        <v>0.17369340121394339</v>
      </c>
      <c r="S330" s="58" t="str">
        <f>IF($C330="B",INDEX(Batters[[#All],[DEM]],MATCH(Table5[[#This Row],[PID]],Batters[[#All],[PID]],0)),INDEX(Table3[[#All],[DEM]],MATCH(Table5[[#This Row],[PID]],Table3[[#All],[PID]],0)))</f>
        <v>$38k</v>
      </c>
      <c r="T330" s="62">
        <f>IF($C330="B",INDEX(Batters[[#All],[Rnk]],MATCH(Table5[[#This Row],[PID]],Batters[[#All],[PID]],0)),INDEX(Table3[[#All],[Rnk]],MATCH(Table5[[#This Row],[PID]],Table3[[#All],[PID]],0)))</f>
        <v>930</v>
      </c>
      <c r="U330" s="67">
        <f>IF($C330="B",VLOOKUP($A330,Bat!$A$4:$BA$1314,47,FALSE),VLOOKUP($A330,Pit!$A$4:$BF$1214,56,FALSE))</f>
        <v>273</v>
      </c>
      <c r="V330" s="50">
        <f>IF($C330="B",VLOOKUP($A330,Bat!$A$4:$BA$1314,48,FALSE),VLOOKUP($A330,Pit!$A$4:$BF$1214,57,FALSE))</f>
        <v>0</v>
      </c>
      <c r="W330" s="68">
        <f>IF(Table5[[#This Row],[posRnk]]=999,9999,Table5[[#This Row],[posRnk]]+Table5[[#This Row],[zRnk]]+IF($W$3&lt;&gt;Table5[[#This Row],[Type]],50,0))</f>
        <v>1252</v>
      </c>
      <c r="X330" s="51">
        <f>RANK(Table5[[#This Row],[zScore]],Table5[[#All],[zScore]])</f>
        <v>322</v>
      </c>
      <c r="Y330" s="50">
        <f>IFERROR(INDEX(DraftResults[[#All],[OVR]],MATCH(Table5[[#This Row],[PID]],DraftResults[[#All],[Player ID]],0)),"")</f>
        <v>477</v>
      </c>
      <c r="Z330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15</v>
      </c>
      <c r="AA330" s="50">
        <f>IFERROR(INDEX(DraftResults[[#All],[Pick in Round]],MATCH(Table5[[#This Row],[PID]],DraftResults[[#All],[Player ID]],0)),"")</f>
        <v>10</v>
      </c>
      <c r="AB330" s="50" t="str">
        <f>IFERROR(INDEX(DraftResults[[#All],[Team Name]],MATCH(Table5[[#This Row],[PID]],DraftResults[[#All],[Player ID]],0)),"")</f>
        <v>London Underground</v>
      </c>
      <c r="AC330" s="50">
        <f>IF(Table5[[#This Row],[Ovr]]="","",IF(Table5[[#This Row],[cmbList]]="","",Table5[[#This Row],[cmbList]]-Table5[[#This Row],[Ovr]]))</f>
        <v>775</v>
      </c>
      <c r="AD330" s="54" t="str">
        <f>IF(ISERROR(VLOOKUP($AB330&amp;"-"&amp;$E330&amp;" "&amp;F330,Bonuses!$B$1:$G$1006,4,FALSE)),"",INT(VLOOKUP($AB330&amp;"-"&amp;$E330&amp;" "&amp;$F330,Bonuses!$B$1:$G$1006,4,FALSE)))</f>
        <v/>
      </c>
      <c r="AE330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15.10 (477) - RP Hidekazu Kato</v>
      </c>
    </row>
    <row r="331" spans="1:31" s="50" customFormat="1" x14ac:dyDescent="0.3">
      <c r="A331" s="67">
        <v>11986</v>
      </c>
      <c r="B331" s="68">
        <f>COUNTIF(Table5[PID],A331)</f>
        <v>1</v>
      </c>
      <c r="C331" s="68" t="str">
        <f>IF(COUNTIF(Table3[[#All],[PID]],A331)&gt;0,"P","B")</f>
        <v>B</v>
      </c>
      <c r="D331" s="59" t="str">
        <f>IF($C331="B",INDEX(Batters[[#All],[POS]],MATCH(Table5[[#This Row],[PID]],Batters[[#All],[PID]],0)),INDEX(Table3[[#All],[POS]],MATCH(Table5[[#This Row],[PID]],Table3[[#All],[PID]],0)))</f>
        <v>1B</v>
      </c>
      <c r="E331" s="52" t="str">
        <f>IF($C331="B",INDEX(Batters[[#All],[First]],MATCH(Table5[[#This Row],[PID]],Batters[[#All],[PID]],0)),INDEX(Table3[[#All],[First]],MATCH(Table5[[#This Row],[PID]],Table3[[#All],[PID]],0)))</f>
        <v>Raúl</v>
      </c>
      <c r="F331" s="55" t="str">
        <f>IF($C331="B",INDEX(Batters[[#All],[Last]],MATCH(A331,Batters[[#All],[PID]],0)),INDEX(Table3[[#All],[Last]],MATCH(A331,Table3[[#All],[PID]],0)))</f>
        <v>Hernández</v>
      </c>
      <c r="G331" s="56">
        <f>IF($C331="B",INDEX(Batters[[#All],[Age]],MATCH(Table5[[#This Row],[PID]],Batters[[#All],[PID]],0)),INDEX(Table3[[#All],[Age]],MATCH(Table5[[#This Row],[PID]],Table3[[#All],[PID]],0)))</f>
        <v>17</v>
      </c>
      <c r="H331" s="52" t="str">
        <f>IF($C331="B",INDEX(Batters[[#All],[B]],MATCH(Table5[[#This Row],[PID]],Batters[[#All],[PID]],0)),INDEX(Table3[[#All],[B]],MATCH(Table5[[#This Row],[PID]],Table3[[#All],[PID]],0)))</f>
        <v>R</v>
      </c>
      <c r="I331" s="52" t="str">
        <f>IF($C331="B",INDEX(Batters[[#All],[T]],MATCH(Table5[[#This Row],[PID]],Batters[[#All],[PID]],0)),INDEX(Table3[[#All],[T]],MATCH(Table5[[#This Row],[PID]],Table3[[#All],[PID]],0)))</f>
        <v>R</v>
      </c>
      <c r="J331" s="69" t="str">
        <f>IF($C331="B",INDEX(Batters[[#All],[WE]],MATCH(Table5[[#This Row],[PID]],Batters[[#All],[PID]],0)),INDEX(Table3[[#All],[WE]],MATCH(Table5[[#This Row],[PID]],Table3[[#All],[PID]],0)))</f>
        <v>High</v>
      </c>
      <c r="K331" s="52" t="str">
        <f>IF($C331="B",INDEX(Batters[[#All],[INT]],MATCH(Table5[[#This Row],[PID]],Batters[[#All],[PID]],0)),INDEX(Table3[[#All],[INT]],MATCH(Table5[[#This Row],[PID]],Table3[[#All],[PID]],0)))</f>
        <v>Normal</v>
      </c>
      <c r="L331" s="60">
        <f>IF($C331="B",INDEX(Batters[[#All],[CON P]],MATCH(Table5[[#This Row],[PID]],Batters[[#All],[PID]],0)),INDEX(Table3[[#All],[STU P]],MATCH(Table5[[#This Row],[PID]],Table3[[#All],[PID]],0)))</f>
        <v>4</v>
      </c>
      <c r="M331" s="70">
        <f>IF($C331="B",INDEX(Batters[[#All],[GAP P]],MATCH(Table5[[#This Row],[PID]],Batters[[#All],[PID]],0)),INDEX(Table3[[#All],[MOV P]],MATCH(Table5[[#This Row],[PID]],Table3[[#All],[PID]],0)))</f>
        <v>4</v>
      </c>
      <c r="N331" s="70">
        <f>IF($C331="B",INDEX(Batters[[#All],[POW P]],MATCH(Table5[[#This Row],[PID]],Batters[[#All],[PID]],0)),INDEX(Table3[[#All],[CON P]],MATCH(Table5[[#This Row],[PID]],Table3[[#All],[PID]],0)))</f>
        <v>2</v>
      </c>
      <c r="O331" s="70">
        <f>IF($C331="B",INDEX(Batters[[#All],[EYE P]],MATCH(Table5[[#This Row],[PID]],Batters[[#All],[PID]],0)),INDEX(Table3[[#All],[VELO]],MATCH(Table5[[#This Row],[PID]],Table3[[#All],[PID]],0)))</f>
        <v>3</v>
      </c>
      <c r="P331" s="56">
        <f>IF($C331="B",INDEX(Batters[[#All],[K P]],MATCH(Table5[[#This Row],[PID]],Batters[[#All],[PID]],0)),INDEX(Table3[[#All],[STM]],MATCH(Table5[[#This Row],[PID]],Table3[[#All],[PID]],0)))</f>
        <v>5</v>
      </c>
      <c r="Q331" s="61">
        <f>IF($C331="B",INDEX(Batters[[#All],[Tot]],MATCH(Table5[[#This Row],[PID]],Batters[[#All],[PID]],0)),INDEX(Table3[[#All],[Tot]],MATCH(Table5[[#This Row],[PID]],Table3[[#All],[PID]],0)))</f>
        <v>43.842576447738729</v>
      </c>
      <c r="R331" s="52">
        <f>IF($C331="B",INDEX(Batters[[#All],[zScore]],MATCH(Table5[[#This Row],[PID]],Batters[[#All],[PID]],0)),INDEX(Table3[[#All],[zScore]],MATCH(Table5[[#This Row],[PID]],Table3[[#All],[PID]],0)))</f>
        <v>9.1096637516938556E-2</v>
      </c>
      <c r="S331" s="75" t="str">
        <f>IF($C331="B",INDEX(Batters[[#All],[DEM]],MATCH(Table5[[#This Row],[PID]],Batters[[#All],[PID]],0)),INDEX(Table3[[#All],[DEM]],MATCH(Table5[[#This Row],[PID]],Table3[[#All],[PID]],0)))</f>
        <v>$65k</v>
      </c>
      <c r="T331" s="72">
        <f>IF($C331="B",INDEX(Batters[[#All],[Rnk]],MATCH(Table5[[#This Row],[PID]],Batters[[#All],[PID]],0)),INDEX(Table3[[#All],[Rnk]],MATCH(Table5[[#This Row],[PID]],Table3[[#All],[PID]],0)))</f>
        <v>900</v>
      </c>
      <c r="U331" s="67">
        <f>IF($C331="B",VLOOKUP($A331,Bat!$A$4:$BA$1314,47,FALSE),VLOOKUP($A331,Pit!$A$4:$BF$1214,56,FALSE))</f>
        <v>157</v>
      </c>
      <c r="V331" s="50">
        <f>IF($C331="B",VLOOKUP($A331,Bat!$A$4:$BA$1314,48,FALSE),VLOOKUP($A331,Pit!$A$4:$BF$1214,57,FALSE))</f>
        <v>0</v>
      </c>
      <c r="W331" s="68">
        <f>IF(Table5[[#This Row],[posRnk]]=999,9999,Table5[[#This Row],[posRnk]]+Table5[[#This Row],[zRnk]]+IF($W$3&lt;&gt;Table5[[#This Row],[Type]],50,0))</f>
        <v>1303</v>
      </c>
      <c r="X331" s="71">
        <f>RANK(Table5[[#This Row],[zScore]],Table5[[#All],[zScore]])</f>
        <v>353</v>
      </c>
      <c r="Y331" s="68" t="str">
        <f>IFERROR(INDEX(DraftResults[[#All],[OVR]],MATCH(Table5[[#This Row],[PID]],DraftResults[[#All],[Player ID]],0)),"")</f>
        <v/>
      </c>
      <c r="Z331" s="7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/>
      </c>
      <c r="AA331" s="68" t="str">
        <f>IFERROR(INDEX(DraftResults[[#All],[Pick in Round]],MATCH(Table5[[#This Row],[PID]],DraftResults[[#All],[Player ID]],0)),"")</f>
        <v/>
      </c>
      <c r="AB331" s="68" t="str">
        <f>IFERROR(INDEX(DraftResults[[#All],[Team Name]],MATCH(Table5[[#This Row],[PID]],DraftResults[[#All],[Player ID]],0)),"")</f>
        <v/>
      </c>
      <c r="AC331" s="68" t="str">
        <f>IF(Table5[[#This Row],[Ovr]]="","",IF(Table5[[#This Row],[cmbList]]="","",Table5[[#This Row],[cmbList]]-Table5[[#This Row],[Ovr]]))</f>
        <v/>
      </c>
      <c r="AD331" s="74" t="str">
        <f>IF(ISERROR(VLOOKUP($AB331&amp;"-"&amp;$E331&amp;" "&amp;F331,Bonuses!$B$1:$G$1006,4,FALSE)),"",INT(VLOOKUP($AB331&amp;"-"&amp;$E331&amp;" "&amp;$F331,Bonuses!$B$1:$G$1006,4,FALSE)))</f>
        <v/>
      </c>
      <c r="AE331" s="68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/>
      </c>
    </row>
    <row r="332" spans="1:31" s="50" customFormat="1" x14ac:dyDescent="0.3">
      <c r="A332" s="67">
        <v>20765</v>
      </c>
      <c r="B332" s="68">
        <f>COUNTIF(Table5[PID],A332)</f>
        <v>1</v>
      </c>
      <c r="C332" s="68" t="str">
        <f>IF(COUNTIF(Table3[[#All],[PID]],A332)&gt;0,"P","B")</f>
        <v>B</v>
      </c>
      <c r="D332" s="59" t="str">
        <f>IF($C332="B",INDEX(Batters[[#All],[POS]],MATCH(Table5[[#This Row],[PID]],Batters[[#All],[PID]],0)),INDEX(Table3[[#All],[POS]],MATCH(Table5[[#This Row],[PID]],Table3[[#All],[PID]],0)))</f>
        <v>1B</v>
      </c>
      <c r="E332" s="52" t="str">
        <f>IF($C332="B",INDEX(Batters[[#All],[First]],MATCH(Table5[[#This Row],[PID]],Batters[[#All],[PID]],0)),INDEX(Table3[[#All],[First]],MATCH(Table5[[#This Row],[PID]],Table3[[#All],[PID]],0)))</f>
        <v>Andrew</v>
      </c>
      <c r="F332" s="55" t="str">
        <f>IF($C332="B",INDEX(Batters[[#All],[Last]],MATCH(A332,Batters[[#All],[PID]],0)),INDEX(Table3[[#All],[Last]],MATCH(A332,Table3[[#All],[PID]],0)))</f>
        <v>Roy</v>
      </c>
      <c r="G332" s="56">
        <f>IF($C332="B",INDEX(Batters[[#All],[Age]],MATCH(Table5[[#This Row],[PID]],Batters[[#All],[PID]],0)),INDEX(Table3[[#All],[Age]],MATCH(Table5[[#This Row],[PID]],Table3[[#All],[PID]],0)))</f>
        <v>16</v>
      </c>
      <c r="H332" s="52" t="str">
        <f>IF($C332="B",INDEX(Batters[[#All],[B]],MATCH(Table5[[#This Row],[PID]],Batters[[#All],[PID]],0)),INDEX(Table3[[#All],[B]],MATCH(Table5[[#This Row],[PID]],Table3[[#All],[PID]],0)))</f>
        <v>R</v>
      </c>
      <c r="I332" s="52" t="str">
        <f>IF($C332="B",INDEX(Batters[[#All],[T]],MATCH(Table5[[#This Row],[PID]],Batters[[#All],[PID]],0)),INDEX(Table3[[#All],[T]],MATCH(Table5[[#This Row],[PID]],Table3[[#All],[PID]],0)))</f>
        <v>R</v>
      </c>
      <c r="J332" s="69" t="str">
        <f>IF($C332="B",INDEX(Batters[[#All],[WE]],MATCH(Table5[[#This Row],[PID]],Batters[[#All],[PID]],0)),INDEX(Table3[[#All],[WE]],MATCH(Table5[[#This Row],[PID]],Table3[[#All],[PID]],0)))</f>
        <v>Normal</v>
      </c>
      <c r="K332" s="52" t="str">
        <f>IF($C332="B",INDEX(Batters[[#All],[INT]],MATCH(Table5[[#This Row],[PID]],Batters[[#All],[PID]],0)),INDEX(Table3[[#All],[INT]],MATCH(Table5[[#This Row],[PID]],Table3[[#All],[PID]],0)))</f>
        <v>Low</v>
      </c>
      <c r="L332" s="60">
        <f>IF($C332="B",INDEX(Batters[[#All],[CON P]],MATCH(Table5[[#This Row],[PID]],Batters[[#All],[PID]],0)),INDEX(Table3[[#All],[STU P]],MATCH(Table5[[#This Row],[PID]],Table3[[#All],[PID]],0)))</f>
        <v>3</v>
      </c>
      <c r="M332" s="70">
        <f>IF($C332="B",INDEX(Batters[[#All],[GAP P]],MATCH(Table5[[#This Row],[PID]],Batters[[#All],[PID]],0)),INDEX(Table3[[#All],[MOV P]],MATCH(Table5[[#This Row],[PID]],Table3[[#All],[PID]],0)))</f>
        <v>3</v>
      </c>
      <c r="N332" s="70">
        <f>IF($C332="B",INDEX(Batters[[#All],[POW P]],MATCH(Table5[[#This Row],[PID]],Batters[[#All],[PID]],0)),INDEX(Table3[[#All],[CON P]],MATCH(Table5[[#This Row],[PID]],Table3[[#All],[PID]],0)))</f>
        <v>6</v>
      </c>
      <c r="O332" s="70">
        <f>IF($C332="B",INDEX(Batters[[#All],[EYE P]],MATCH(Table5[[#This Row],[PID]],Batters[[#All],[PID]],0)),INDEX(Table3[[#All],[VELO]],MATCH(Table5[[#This Row],[PID]],Table3[[#All],[PID]],0)))</f>
        <v>6</v>
      </c>
      <c r="P332" s="56">
        <f>IF($C332="B",INDEX(Batters[[#All],[K P]],MATCH(Table5[[#This Row],[PID]],Batters[[#All],[PID]],0)),INDEX(Table3[[#All],[STM]],MATCH(Table5[[#This Row],[PID]],Table3[[#All],[PID]],0)))</f>
        <v>2</v>
      </c>
      <c r="Q332" s="61">
        <f>IF($C332="B",INDEX(Batters[[#All],[Tot]],MATCH(Table5[[#This Row],[PID]],Batters[[#All],[PID]],0)),INDEX(Table3[[#All],[Tot]],MATCH(Table5[[#This Row],[PID]],Table3[[#All],[PID]],0)))</f>
        <v>44.534958471016751</v>
      </c>
      <c r="R332" s="52">
        <f>IF($C332="B",INDEX(Batters[[#All],[zScore]],MATCH(Table5[[#This Row],[PID]],Batters[[#All],[PID]],0)),INDEX(Table3[[#All],[zScore]],MATCH(Table5[[#This Row],[PID]],Table3[[#All],[PID]],0)))</f>
        <v>0.19216233260850171</v>
      </c>
      <c r="S332" s="75" t="str">
        <f>IF($C332="B",INDEX(Batters[[#All],[DEM]],MATCH(Table5[[#This Row],[PID]],Batters[[#All],[PID]],0)),INDEX(Table3[[#All],[DEM]],MATCH(Table5[[#This Row],[PID]],Table3[[#All],[PID]],0)))</f>
        <v>$65k</v>
      </c>
      <c r="T332" s="72">
        <f>IF($C332="B",INDEX(Batters[[#All],[Rnk]],MATCH(Table5[[#This Row],[PID]],Batters[[#All],[PID]],0)),INDEX(Table3[[#All],[Rnk]],MATCH(Table5[[#This Row],[PID]],Table3[[#All],[PID]],0)))</f>
        <v>940</v>
      </c>
      <c r="U332" s="67">
        <f>IF($C332="B",VLOOKUP($A332,Bat!$A$4:$BA$1314,47,FALSE),VLOOKUP($A332,Pit!$A$4:$BF$1214,56,FALSE))</f>
        <v>410</v>
      </c>
      <c r="V332" s="50">
        <f>IF($C332="B",VLOOKUP($A332,Bat!$A$4:$BA$1314,48,FALSE),VLOOKUP($A332,Pit!$A$4:$BF$1214,57,FALSE))</f>
        <v>0</v>
      </c>
      <c r="W332" s="68">
        <f>IF(Table5[[#This Row],[posRnk]]=999,9999,Table5[[#This Row],[posRnk]]+Table5[[#This Row],[zRnk]]+IF($W$3&lt;&gt;Table5[[#This Row],[Type]],50,0))</f>
        <v>1303</v>
      </c>
      <c r="X332" s="71">
        <f>RANK(Table5[[#This Row],[zScore]],Table5[[#All],[zScore]])</f>
        <v>313</v>
      </c>
      <c r="Y332" s="68">
        <f>IFERROR(INDEX(DraftResults[[#All],[OVR]],MATCH(Table5[[#This Row],[PID]],DraftResults[[#All],[Player ID]],0)),"")</f>
        <v>537</v>
      </c>
      <c r="Z332" s="7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17</v>
      </c>
      <c r="AA332" s="68">
        <f>IFERROR(INDEX(DraftResults[[#All],[Pick in Round]],MATCH(Table5[[#This Row],[PID]],DraftResults[[#All],[Player ID]],0)),"")</f>
        <v>2</v>
      </c>
      <c r="AB332" s="68" t="str">
        <f>IFERROR(INDEX(DraftResults[[#All],[Team Name]],MATCH(Table5[[#This Row],[PID]],DraftResults[[#All],[Player ID]],0)),"")</f>
        <v>Charleston Statesmen</v>
      </c>
      <c r="AC332" s="68">
        <f>IF(Table5[[#This Row],[Ovr]]="","",IF(Table5[[#This Row],[cmbList]]="","",Table5[[#This Row],[cmbList]]-Table5[[#This Row],[Ovr]]))</f>
        <v>766</v>
      </c>
      <c r="AD332" s="74" t="str">
        <f>IF(ISERROR(VLOOKUP($AB332&amp;"-"&amp;$E332&amp;" "&amp;F332,Bonuses!$B$1:$G$1006,4,FALSE)),"",INT(VLOOKUP($AB332&amp;"-"&amp;$E332&amp;" "&amp;$F332,Bonuses!$B$1:$G$1006,4,FALSE)))</f>
        <v/>
      </c>
      <c r="AE332" s="68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17.2 (537) - 1B Andrew Roy</v>
      </c>
    </row>
    <row r="333" spans="1:31" s="50" customFormat="1" x14ac:dyDescent="0.3">
      <c r="A333" s="50">
        <v>7725</v>
      </c>
      <c r="B333" s="50">
        <f>COUNTIF(Table5[PID],A333)</f>
        <v>1</v>
      </c>
      <c r="C333" s="50" t="str">
        <f>IF(COUNTIF(Table3[[#All],[PID]],A333)&gt;0,"P","B")</f>
        <v>P</v>
      </c>
      <c r="D333" s="59" t="str">
        <f>IF($C333="B",INDEX(Batters[[#All],[POS]],MATCH(Table5[[#This Row],[PID]],Batters[[#All],[PID]],0)),INDEX(Table3[[#All],[POS]],MATCH(Table5[[#This Row],[PID]],Table3[[#All],[PID]],0)))</f>
        <v>RP</v>
      </c>
      <c r="E333" s="52" t="str">
        <f>IF($C333="B",INDEX(Batters[[#All],[First]],MATCH(Table5[[#This Row],[PID]],Batters[[#All],[PID]],0)),INDEX(Table3[[#All],[First]],MATCH(Table5[[#This Row],[PID]],Table3[[#All],[PID]],0)))</f>
        <v>Carlos</v>
      </c>
      <c r="F333" s="50" t="str">
        <f>IF($C333="B",INDEX(Batters[[#All],[Last]],MATCH(A333,Batters[[#All],[PID]],0)),INDEX(Table3[[#All],[Last]],MATCH(A333,Table3[[#All],[PID]],0)))</f>
        <v>Marte</v>
      </c>
      <c r="G333" s="56">
        <f>IF($C333="B",INDEX(Batters[[#All],[Age]],MATCH(Table5[[#This Row],[PID]],Batters[[#All],[PID]],0)),INDEX(Table3[[#All],[Age]],MATCH(Table5[[#This Row],[PID]],Table3[[#All],[PID]],0)))</f>
        <v>21</v>
      </c>
      <c r="H333" s="52" t="str">
        <f>IF($C333="B",INDEX(Batters[[#All],[B]],MATCH(Table5[[#This Row],[PID]],Batters[[#All],[PID]],0)),INDEX(Table3[[#All],[B]],MATCH(Table5[[#This Row],[PID]],Table3[[#All],[PID]],0)))</f>
        <v>R</v>
      </c>
      <c r="I333" s="52" t="str">
        <f>IF($C333="B",INDEX(Batters[[#All],[T]],MATCH(Table5[[#This Row],[PID]],Batters[[#All],[PID]],0)),INDEX(Table3[[#All],[T]],MATCH(Table5[[#This Row],[PID]],Table3[[#All],[PID]],0)))</f>
        <v>L</v>
      </c>
      <c r="J333" s="52" t="str">
        <f>IF($C333="B",INDEX(Batters[[#All],[WE]],MATCH(Table5[[#This Row],[PID]],Batters[[#All],[PID]],0)),INDEX(Table3[[#All],[WE]],MATCH(Table5[[#This Row],[PID]],Table3[[#All],[PID]],0)))</f>
        <v>High</v>
      </c>
      <c r="K333" s="52" t="str">
        <f>IF($C333="B",INDEX(Batters[[#All],[INT]],MATCH(Table5[[#This Row],[PID]],Batters[[#All],[PID]],0)),INDEX(Table3[[#All],[INT]],MATCH(Table5[[#This Row],[PID]],Table3[[#All],[PID]],0)))</f>
        <v>Normal</v>
      </c>
      <c r="L333" s="60">
        <f>IF($C333="B",INDEX(Batters[[#All],[CON P]],MATCH(Table5[[#This Row],[PID]],Batters[[#All],[PID]],0)),INDEX(Table3[[#All],[STU P]],MATCH(Table5[[#This Row],[PID]],Table3[[#All],[PID]],0)))</f>
        <v>4</v>
      </c>
      <c r="M333" s="56">
        <f>IF($C333="B",INDEX(Batters[[#All],[GAP P]],MATCH(Table5[[#This Row],[PID]],Batters[[#All],[PID]],0)),INDEX(Table3[[#All],[MOV P]],MATCH(Table5[[#This Row],[PID]],Table3[[#All],[PID]],0)))</f>
        <v>3</v>
      </c>
      <c r="N333" s="56">
        <f>IF($C333="B",INDEX(Batters[[#All],[POW P]],MATCH(Table5[[#This Row],[PID]],Batters[[#All],[PID]],0)),INDEX(Table3[[#All],[CON P]],MATCH(Table5[[#This Row],[PID]],Table3[[#All],[PID]],0)))</f>
        <v>4</v>
      </c>
      <c r="O333" s="56" t="str">
        <f>IF($C333="B",INDEX(Batters[[#All],[EYE P]],MATCH(Table5[[#This Row],[PID]],Batters[[#All],[PID]],0)),INDEX(Table3[[#All],[VELO]],MATCH(Table5[[#This Row],[PID]],Table3[[#All],[PID]],0)))</f>
        <v>85-87 Mph</v>
      </c>
      <c r="P333" s="56">
        <f>IF($C333="B",INDEX(Batters[[#All],[K P]],MATCH(Table5[[#This Row],[PID]],Batters[[#All],[PID]],0)),INDEX(Table3[[#All],[STM]],MATCH(Table5[[#This Row],[PID]],Table3[[#All],[PID]],0)))</f>
        <v>7</v>
      </c>
      <c r="Q333" s="61">
        <f>IF($C333="B",INDEX(Batters[[#All],[Tot]],MATCH(Table5[[#This Row],[PID]],Batters[[#All],[PID]],0)),INDEX(Table3[[#All],[Tot]],MATCH(Table5[[#This Row],[PID]],Table3[[#All],[PID]],0)))</f>
        <v>39.02865636084092</v>
      </c>
      <c r="R333" s="52">
        <f>IF($C333="B",INDEX(Batters[[#All],[zScore]],MATCH(Table5[[#This Row],[PID]],Batters[[#All],[PID]],0)),INDEX(Table3[[#All],[zScore]],MATCH(Table5[[#This Row],[PID]],Table3[[#All],[PID]],0)))</f>
        <v>8.7305075284796502E-2</v>
      </c>
      <c r="S333" s="58" t="str">
        <f>IF($C333="B",INDEX(Batters[[#All],[DEM]],MATCH(Table5[[#This Row],[PID]],Batters[[#All],[PID]],0)),INDEX(Table3[[#All],[DEM]],MATCH(Table5[[#This Row],[PID]],Table3[[#All],[PID]],0)))</f>
        <v>-</v>
      </c>
      <c r="T333" s="62">
        <f>IF($C333="B",INDEX(Batters[[#All],[Rnk]],MATCH(Table5[[#This Row],[PID]],Batters[[#All],[PID]],0)),INDEX(Table3[[#All],[Rnk]],MATCH(Table5[[#This Row],[PID]],Table3[[#All],[PID]],0)))</f>
        <v>900</v>
      </c>
      <c r="U333" s="67">
        <f>IF($C333="B",VLOOKUP($A333,Bat!$A$4:$BA$1314,47,FALSE),VLOOKUP($A333,Pit!$A$4:$BF$1214,56,FALSE))</f>
        <v>113</v>
      </c>
      <c r="V333" s="50">
        <f>IF($C333="B",VLOOKUP($A333,Bat!$A$4:$BA$1314,48,FALSE),VLOOKUP($A333,Pit!$A$4:$BF$1214,57,FALSE))</f>
        <v>0</v>
      </c>
      <c r="W333" s="68">
        <f>IF(Table5[[#This Row],[posRnk]]=999,9999,Table5[[#This Row],[posRnk]]+Table5[[#This Row],[zRnk]]+IF($W$3&lt;&gt;Table5[[#This Row],[Type]],50,0))</f>
        <v>1254</v>
      </c>
      <c r="X333" s="51">
        <f>RANK(Table5[[#This Row],[zScore]],Table5[[#All],[zScore]])</f>
        <v>354</v>
      </c>
      <c r="Y333" s="50">
        <f>IFERROR(INDEX(DraftResults[[#All],[OVR]],MATCH(Table5[[#This Row],[PID]],DraftResults[[#All],[Player ID]],0)),"")</f>
        <v>346</v>
      </c>
      <c r="Z333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11</v>
      </c>
      <c r="AA333" s="50">
        <f>IFERROR(INDEX(DraftResults[[#All],[Pick in Round]],MATCH(Table5[[#This Row],[PID]],DraftResults[[#All],[Player ID]],0)),"")</f>
        <v>15</v>
      </c>
      <c r="AB333" s="50" t="str">
        <f>IFERROR(INDEX(DraftResults[[#All],[Team Name]],MATCH(Table5[[#This Row],[PID]],DraftResults[[#All],[Player ID]],0)),"")</f>
        <v>Niihama-shi Ghosts</v>
      </c>
      <c r="AC333" s="50">
        <f>IF(Table5[[#This Row],[Ovr]]="","",IF(Table5[[#This Row],[cmbList]]="","",Table5[[#This Row],[cmbList]]-Table5[[#This Row],[Ovr]]))</f>
        <v>908</v>
      </c>
      <c r="AD333" s="54" t="str">
        <f>IF(ISERROR(VLOOKUP($AB333&amp;"-"&amp;$E333&amp;" "&amp;F333,Bonuses!$B$1:$G$1006,4,FALSE)),"",INT(VLOOKUP($AB333&amp;"-"&amp;$E333&amp;" "&amp;$F333,Bonuses!$B$1:$G$1006,4,FALSE)))</f>
        <v/>
      </c>
      <c r="AE333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11.15 (346) - RP Carlos Marte</v>
      </c>
    </row>
    <row r="334" spans="1:31" s="50" customFormat="1" x14ac:dyDescent="0.3">
      <c r="A334" s="50">
        <v>9579</v>
      </c>
      <c r="B334" s="50">
        <f>COUNTIF(Table5[PID],A334)</f>
        <v>1</v>
      </c>
      <c r="C334" s="50" t="str">
        <f>IF(COUNTIF(Table3[[#All],[PID]],A334)&gt;0,"P","B")</f>
        <v>P</v>
      </c>
      <c r="D334" s="59" t="str">
        <f>IF($C334="B",INDEX(Batters[[#All],[POS]],MATCH(Table5[[#This Row],[PID]],Batters[[#All],[PID]],0)),INDEX(Table3[[#All],[POS]],MATCH(Table5[[#This Row],[PID]],Table3[[#All],[PID]],0)))</f>
        <v>SP</v>
      </c>
      <c r="E334" s="52" t="str">
        <f>IF($C334="B",INDEX(Batters[[#All],[First]],MATCH(Table5[[#This Row],[PID]],Batters[[#All],[PID]],0)),INDEX(Table3[[#All],[First]],MATCH(Table5[[#This Row],[PID]],Table3[[#All],[PID]],0)))</f>
        <v>Austin</v>
      </c>
      <c r="F334" s="50" t="str">
        <f>IF($C334="B",INDEX(Batters[[#All],[Last]],MATCH(A334,Batters[[#All],[PID]],0)),INDEX(Table3[[#All],[Last]],MATCH(A334,Table3[[#All],[PID]],0)))</f>
        <v>Hawkins</v>
      </c>
      <c r="G334" s="56">
        <f>IF($C334="B",INDEX(Batters[[#All],[Age]],MATCH(Table5[[#This Row],[PID]],Batters[[#All],[PID]],0)),INDEX(Table3[[#All],[Age]],MATCH(Table5[[#This Row],[PID]],Table3[[#All],[PID]],0)))</f>
        <v>17</v>
      </c>
      <c r="H334" s="52" t="str">
        <f>IF($C334="B",INDEX(Batters[[#All],[B]],MATCH(Table5[[#This Row],[PID]],Batters[[#All],[PID]],0)),INDEX(Table3[[#All],[B]],MATCH(Table5[[#This Row],[PID]],Table3[[#All],[PID]],0)))</f>
        <v>R</v>
      </c>
      <c r="I334" s="52" t="str">
        <f>IF($C334="B",INDEX(Batters[[#All],[T]],MATCH(Table5[[#This Row],[PID]],Batters[[#All],[PID]],0)),INDEX(Table3[[#All],[T]],MATCH(Table5[[#This Row],[PID]],Table3[[#All],[PID]],0)))</f>
        <v>R</v>
      </c>
      <c r="J334" s="52" t="str">
        <f>IF($C334="B",INDEX(Batters[[#All],[WE]],MATCH(Table5[[#This Row],[PID]],Batters[[#All],[PID]],0)),INDEX(Table3[[#All],[WE]],MATCH(Table5[[#This Row],[PID]],Table3[[#All],[PID]],0)))</f>
        <v>Low</v>
      </c>
      <c r="K334" s="52" t="str">
        <f>IF($C334="B",INDEX(Batters[[#All],[INT]],MATCH(Table5[[#This Row],[PID]],Batters[[#All],[PID]],0)),INDEX(Table3[[#All],[INT]],MATCH(Table5[[#This Row],[PID]],Table3[[#All],[PID]],0)))</f>
        <v>High</v>
      </c>
      <c r="L334" s="60">
        <f>IF($C334="B",INDEX(Batters[[#All],[CON P]],MATCH(Table5[[#This Row],[PID]],Batters[[#All],[PID]],0)),INDEX(Table3[[#All],[STU P]],MATCH(Table5[[#This Row],[PID]],Table3[[#All],[PID]],0)))</f>
        <v>5</v>
      </c>
      <c r="M334" s="56">
        <f>IF($C334="B",INDEX(Batters[[#All],[GAP P]],MATCH(Table5[[#This Row],[PID]],Batters[[#All],[PID]],0)),INDEX(Table3[[#All],[MOV P]],MATCH(Table5[[#This Row],[PID]],Table3[[#All],[PID]],0)))</f>
        <v>2</v>
      </c>
      <c r="N334" s="56">
        <f>IF($C334="B",INDEX(Batters[[#All],[POW P]],MATCH(Table5[[#This Row],[PID]],Batters[[#All],[PID]],0)),INDEX(Table3[[#All],[CON P]],MATCH(Table5[[#This Row],[PID]],Table3[[#All],[PID]],0)))</f>
        <v>3</v>
      </c>
      <c r="O334" s="56" t="str">
        <f>IF($C334="B",INDEX(Batters[[#All],[EYE P]],MATCH(Table5[[#This Row],[PID]],Batters[[#All],[PID]],0)),INDEX(Table3[[#All],[VELO]],MATCH(Table5[[#This Row],[PID]],Table3[[#All],[PID]],0)))</f>
        <v>95-97 Mph</v>
      </c>
      <c r="P334" s="56">
        <f>IF($C334="B",INDEX(Batters[[#All],[K P]],MATCH(Table5[[#This Row],[PID]],Batters[[#All],[PID]],0)),INDEX(Table3[[#All],[STM]],MATCH(Table5[[#This Row],[PID]],Table3[[#All],[PID]],0)))</f>
        <v>10</v>
      </c>
      <c r="Q334" s="61">
        <f>IF($C334="B",INDEX(Batters[[#All],[Tot]],MATCH(Table5[[#This Row],[PID]],Batters[[#All],[PID]],0)),INDEX(Table3[[#All],[Tot]],MATCH(Table5[[#This Row],[PID]],Table3[[#All],[PID]],0)))</f>
        <v>40.17782117300429</v>
      </c>
      <c r="R334" s="52">
        <f>IF($C334="B",INDEX(Batters[[#All],[zScore]],MATCH(Table5[[#This Row],[PID]],Batters[[#All],[PID]],0)),INDEX(Table3[[#All],[zScore]],MATCH(Table5[[#This Row],[PID]],Table3[[#All],[PID]],0)))</f>
        <v>0.16913369184098034</v>
      </c>
      <c r="S334" s="58" t="str">
        <f>IF($C334="B",INDEX(Batters[[#All],[DEM]],MATCH(Table5[[#This Row],[PID]],Batters[[#All],[PID]],0)),INDEX(Table3[[#All],[DEM]],MATCH(Table5[[#This Row],[PID]],Table3[[#All],[PID]],0)))</f>
        <v>$90k</v>
      </c>
      <c r="T334" s="62">
        <f>IF($C334="B",INDEX(Batters[[#All],[Rnk]],MATCH(Table5[[#This Row],[PID]],Batters[[#All],[PID]],0)),INDEX(Table3[[#All],[Rnk]],MATCH(Table5[[#This Row],[PID]],Table3[[#All],[PID]],0)))</f>
        <v>930</v>
      </c>
      <c r="U334" s="67">
        <f>IF($C334="B",VLOOKUP($A334,Bat!$A$4:$BA$1314,47,FALSE),VLOOKUP($A334,Pit!$A$4:$BF$1214,56,FALSE))</f>
        <v>269</v>
      </c>
      <c r="V334" s="50">
        <f>IF($C334="B",VLOOKUP($A334,Bat!$A$4:$BA$1314,48,FALSE),VLOOKUP($A334,Pit!$A$4:$BF$1214,57,FALSE))</f>
        <v>0</v>
      </c>
      <c r="W334" s="68">
        <f>IF(Table5[[#This Row],[posRnk]]=999,9999,Table5[[#This Row],[posRnk]]+Table5[[#This Row],[zRnk]]+IF($W$3&lt;&gt;Table5[[#This Row],[Type]],50,0))</f>
        <v>1254</v>
      </c>
      <c r="X334" s="51">
        <f>RANK(Table5[[#This Row],[zScore]],Table5[[#All],[zScore]])</f>
        <v>324</v>
      </c>
      <c r="Y334" s="50">
        <f>IFERROR(INDEX(DraftResults[[#All],[OVR]],MATCH(Table5[[#This Row],[PID]],DraftResults[[#All],[Player ID]],0)),"")</f>
        <v>184</v>
      </c>
      <c r="Z334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6</v>
      </c>
      <c r="AA334" s="50">
        <f>IFERROR(INDEX(DraftResults[[#All],[Pick in Round]],MATCH(Table5[[#This Row],[PID]],DraftResults[[#All],[Player ID]],0)),"")</f>
        <v>15</v>
      </c>
      <c r="AB334" s="50" t="str">
        <f>IFERROR(INDEX(DraftResults[[#All],[Team Name]],MATCH(Table5[[#This Row],[PID]],DraftResults[[#All],[Player ID]],0)),"")</f>
        <v>Scottish Claymores</v>
      </c>
      <c r="AC334" s="50">
        <f>IF(Table5[[#This Row],[Ovr]]="","",IF(Table5[[#This Row],[cmbList]]="","",Table5[[#This Row],[cmbList]]-Table5[[#This Row],[Ovr]]))</f>
        <v>1070</v>
      </c>
      <c r="AD334" s="54" t="str">
        <f>IF(ISERROR(VLOOKUP($AB334&amp;"-"&amp;$E334&amp;" "&amp;F334,Bonuses!$B$1:$G$1006,4,FALSE)),"",INT(VLOOKUP($AB334&amp;"-"&amp;$E334&amp;" "&amp;$F334,Bonuses!$B$1:$G$1006,4,FALSE)))</f>
        <v/>
      </c>
      <c r="AE334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6.15 (184) - SP Austin Hawkins</v>
      </c>
    </row>
    <row r="335" spans="1:31" s="50" customFormat="1" x14ac:dyDescent="0.3">
      <c r="A335" s="50">
        <v>13484</v>
      </c>
      <c r="B335" s="55">
        <f>COUNTIF(Table5[PID],A335)</f>
        <v>1</v>
      </c>
      <c r="C335" s="55" t="str">
        <f>IF(COUNTIF(Table3[[#All],[PID]],A335)&gt;0,"P","B")</f>
        <v>P</v>
      </c>
      <c r="D335" s="59" t="str">
        <f>IF($C335="B",INDEX(Batters[[#All],[POS]],MATCH(Table5[[#This Row],[PID]],Batters[[#All],[PID]],0)),INDEX(Table3[[#All],[POS]],MATCH(Table5[[#This Row],[PID]],Table3[[#All],[PID]],0)))</f>
        <v>RP</v>
      </c>
      <c r="E335" s="52" t="str">
        <f>IF($C335="B",INDEX(Batters[[#All],[First]],MATCH(Table5[[#This Row],[PID]],Batters[[#All],[PID]],0)),INDEX(Table3[[#All],[First]],MATCH(Table5[[#This Row],[PID]],Table3[[#All],[PID]],0)))</f>
        <v>Daryl</v>
      </c>
      <c r="F335" s="50" t="str">
        <f>IF($C335="B",INDEX(Batters[[#All],[Last]],MATCH(A335,Batters[[#All],[PID]],0)),INDEX(Table3[[#All],[Last]],MATCH(A335,Table3[[#All],[PID]],0)))</f>
        <v>Balmer</v>
      </c>
      <c r="G335" s="56">
        <f>IF($C335="B",INDEX(Batters[[#All],[Age]],MATCH(Table5[[#This Row],[PID]],Batters[[#All],[PID]],0)),INDEX(Table3[[#All],[Age]],MATCH(Table5[[#This Row],[PID]],Table3[[#All],[PID]],0)))</f>
        <v>21</v>
      </c>
      <c r="H335" s="52" t="str">
        <f>IF($C335="B",INDEX(Batters[[#All],[B]],MATCH(Table5[[#This Row],[PID]],Batters[[#All],[PID]],0)),INDEX(Table3[[#All],[B]],MATCH(Table5[[#This Row],[PID]],Table3[[#All],[PID]],0)))</f>
        <v>R</v>
      </c>
      <c r="I335" s="52" t="str">
        <f>IF($C335="B",INDEX(Batters[[#All],[T]],MATCH(Table5[[#This Row],[PID]],Batters[[#All],[PID]],0)),INDEX(Table3[[#All],[T]],MATCH(Table5[[#This Row],[PID]],Table3[[#All],[PID]],0)))</f>
        <v>R</v>
      </c>
      <c r="J335" s="52" t="str">
        <f>IF($C335="B",INDEX(Batters[[#All],[WE]],MATCH(Table5[[#This Row],[PID]],Batters[[#All],[PID]],0)),INDEX(Table3[[#All],[WE]],MATCH(Table5[[#This Row],[PID]],Table3[[#All],[PID]],0)))</f>
        <v>High</v>
      </c>
      <c r="K335" s="52" t="str">
        <f>IF($C335="B",INDEX(Batters[[#All],[INT]],MATCH(Table5[[#This Row],[PID]],Batters[[#All],[PID]],0)),INDEX(Table3[[#All],[INT]],MATCH(Table5[[#This Row],[PID]],Table3[[#All],[PID]],0)))</f>
        <v>Normal</v>
      </c>
      <c r="L335" s="60">
        <f>IF($C335="B",INDEX(Batters[[#All],[CON P]],MATCH(Table5[[#This Row],[PID]],Batters[[#All],[PID]],0)),INDEX(Table3[[#All],[STU P]],MATCH(Table5[[#This Row],[PID]],Table3[[#All],[PID]],0)))</f>
        <v>5</v>
      </c>
      <c r="M335" s="56">
        <f>IF($C335="B",INDEX(Batters[[#All],[GAP P]],MATCH(Table5[[#This Row],[PID]],Batters[[#All],[PID]],0)),INDEX(Table3[[#All],[MOV P]],MATCH(Table5[[#This Row],[PID]],Table3[[#All],[PID]],0)))</f>
        <v>3</v>
      </c>
      <c r="N335" s="56">
        <f>IF($C335="B",INDEX(Batters[[#All],[POW P]],MATCH(Table5[[#This Row],[PID]],Batters[[#All],[PID]],0)),INDEX(Table3[[#All],[CON P]],MATCH(Table5[[#This Row],[PID]],Table3[[#All],[PID]],0)))</f>
        <v>3</v>
      </c>
      <c r="O335" s="56" t="str">
        <f>IF($C335="B",INDEX(Batters[[#All],[EYE P]],MATCH(Table5[[#This Row],[PID]],Batters[[#All],[PID]],0)),INDEX(Table3[[#All],[VELO]],MATCH(Table5[[#This Row],[PID]],Table3[[#All],[PID]],0)))</f>
        <v>90-92 Mph</v>
      </c>
      <c r="P335" s="56">
        <f>IF($C335="B",INDEX(Batters[[#All],[K P]],MATCH(Table5[[#This Row],[PID]],Batters[[#All],[PID]],0)),INDEX(Table3[[#All],[STM]],MATCH(Table5[[#This Row],[PID]],Table3[[#All],[PID]],0)))</f>
        <v>7</v>
      </c>
      <c r="Q335" s="61">
        <f>IF($C335="B",INDEX(Batters[[#All],[Tot]],MATCH(Table5[[#This Row],[PID]],Batters[[#All],[PID]],0)),INDEX(Table3[[#All],[Tot]],MATCH(Table5[[#This Row],[PID]],Table3[[#All],[PID]],0)))</f>
        <v>38.881359884272158</v>
      </c>
      <c r="R335" s="52">
        <f>IF($C335="B",INDEX(Batters[[#All],[zScore]],MATCH(Table5[[#This Row],[PID]],Batters[[#All],[PID]],0)),INDEX(Table3[[#All],[zScore]],MATCH(Table5[[#This Row],[PID]],Table3[[#All],[PID]],0)))</f>
        <v>7.6816530235691197E-2</v>
      </c>
      <c r="S335" s="58" t="str">
        <f>IF($C335="B",INDEX(Batters[[#All],[DEM]],MATCH(Table5[[#This Row],[PID]],Batters[[#All],[PID]],0)),INDEX(Table3[[#All],[DEM]],MATCH(Table5[[#This Row],[PID]],Table3[[#All],[PID]],0)))</f>
        <v>-</v>
      </c>
      <c r="T335" s="62">
        <f>IF($C335="B",INDEX(Batters[[#All],[Rnk]],MATCH(Table5[[#This Row],[PID]],Batters[[#All],[PID]],0)),INDEX(Table3[[#All],[Rnk]],MATCH(Table5[[#This Row],[PID]],Table3[[#All],[PID]],0)))</f>
        <v>900</v>
      </c>
      <c r="U335" s="67">
        <f>IF($C335="B",VLOOKUP($A335,Bat!$A$4:$BA$1314,47,FALSE),VLOOKUP($A335,Pit!$A$4:$BF$1214,56,FALSE))</f>
        <v>114</v>
      </c>
      <c r="V335" s="50">
        <f>IF($C335="B",VLOOKUP($A335,Bat!$A$4:$BA$1314,48,FALSE),VLOOKUP($A335,Pit!$A$4:$BF$1214,57,FALSE))</f>
        <v>0</v>
      </c>
      <c r="W335" s="68">
        <f>IF(Table5[[#This Row],[posRnk]]=999,9999,Table5[[#This Row],[posRnk]]+Table5[[#This Row],[zRnk]]+IF($W$3&lt;&gt;Table5[[#This Row],[Type]],50,0))</f>
        <v>1257</v>
      </c>
      <c r="X335" s="51">
        <f>RANK(Table5[[#This Row],[zScore]],Table5[[#All],[zScore]])</f>
        <v>357</v>
      </c>
      <c r="Y335" s="50">
        <f>IFERROR(INDEX(DraftResults[[#All],[OVR]],MATCH(Table5[[#This Row],[PID]],DraftResults[[#All],[Player ID]],0)),"")</f>
        <v>522</v>
      </c>
      <c r="Z335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16</v>
      </c>
      <c r="AA335" s="50">
        <f>IFERROR(INDEX(DraftResults[[#All],[Pick in Round]],MATCH(Table5[[#This Row],[PID]],DraftResults[[#All],[Player ID]],0)),"")</f>
        <v>21</v>
      </c>
      <c r="AB335" s="50" t="str">
        <f>IFERROR(INDEX(DraftResults[[#All],[Team Name]],MATCH(Table5[[#This Row],[PID]],DraftResults[[#All],[Player ID]],0)),"")</f>
        <v>Neo-Tokyo Akira</v>
      </c>
      <c r="AC335" s="50">
        <f>IF(Table5[[#This Row],[Ovr]]="","",IF(Table5[[#This Row],[cmbList]]="","",Table5[[#This Row],[cmbList]]-Table5[[#This Row],[Ovr]]))</f>
        <v>735</v>
      </c>
      <c r="AD335" s="54" t="str">
        <f>IF(ISERROR(VLOOKUP($AB335&amp;"-"&amp;$E335&amp;" "&amp;F335,Bonuses!$B$1:$G$1006,4,FALSE)),"",INT(VLOOKUP($AB335&amp;"-"&amp;$E335&amp;" "&amp;$F335,Bonuses!$B$1:$G$1006,4,FALSE)))</f>
        <v/>
      </c>
      <c r="AE335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16.21 (522) - RP Daryl Balmer</v>
      </c>
    </row>
    <row r="336" spans="1:31" s="50" customFormat="1" x14ac:dyDescent="0.3">
      <c r="A336" s="50">
        <v>12449</v>
      </c>
      <c r="B336" s="50">
        <f>COUNTIF(Table5[PID],A336)</f>
        <v>1</v>
      </c>
      <c r="C336" s="50" t="str">
        <f>IF(COUNTIF(Table3[[#All],[PID]],A336)&gt;0,"P","B")</f>
        <v>B</v>
      </c>
      <c r="D336" s="59" t="str">
        <f>IF($C336="B",INDEX(Batters[[#All],[POS]],MATCH(Table5[[#This Row],[PID]],Batters[[#All],[PID]],0)),INDEX(Table3[[#All],[POS]],MATCH(Table5[[#This Row],[PID]],Table3[[#All],[PID]],0)))</f>
        <v>C</v>
      </c>
      <c r="E336" s="52" t="str">
        <f>IF($C336="B",INDEX(Batters[[#All],[First]],MATCH(Table5[[#This Row],[PID]],Batters[[#All],[PID]],0)),INDEX(Table3[[#All],[First]],MATCH(Table5[[#This Row],[PID]],Table3[[#All],[PID]],0)))</f>
        <v>Javier</v>
      </c>
      <c r="F336" s="50" t="str">
        <f>IF($C336="B",INDEX(Batters[[#All],[Last]],MATCH(A336,Batters[[#All],[PID]],0)),INDEX(Table3[[#All],[Last]],MATCH(A336,Table3[[#All],[PID]],0)))</f>
        <v>Campos</v>
      </c>
      <c r="G336" s="56">
        <f>IF($C336="B",INDEX(Batters[[#All],[Age]],MATCH(Table5[[#This Row],[PID]],Batters[[#All],[PID]],0)),INDEX(Table3[[#All],[Age]],MATCH(Table5[[#This Row],[PID]],Table3[[#All],[PID]],0)))</f>
        <v>17</v>
      </c>
      <c r="H336" s="52" t="str">
        <f>IF($C336="B",INDEX(Batters[[#All],[B]],MATCH(Table5[[#This Row],[PID]],Batters[[#All],[PID]],0)),INDEX(Table3[[#All],[B]],MATCH(Table5[[#This Row],[PID]],Table3[[#All],[PID]],0)))</f>
        <v>R</v>
      </c>
      <c r="I336" s="52" t="str">
        <f>IF($C336="B",INDEX(Batters[[#All],[T]],MATCH(Table5[[#This Row],[PID]],Batters[[#All],[PID]],0)),INDEX(Table3[[#All],[T]],MATCH(Table5[[#This Row],[PID]],Table3[[#All],[PID]],0)))</f>
        <v>R</v>
      </c>
      <c r="J336" s="52" t="str">
        <f>IF($C336="B",INDEX(Batters[[#All],[WE]],MATCH(Table5[[#This Row],[PID]],Batters[[#All],[PID]],0)),INDEX(Table3[[#All],[WE]],MATCH(Table5[[#This Row],[PID]],Table3[[#All],[PID]],0)))</f>
        <v>Normal</v>
      </c>
      <c r="K336" s="52" t="str">
        <f>IF($C336="B",INDEX(Batters[[#All],[INT]],MATCH(Table5[[#This Row],[PID]],Batters[[#All],[PID]],0)),INDEX(Table3[[#All],[INT]],MATCH(Table5[[#This Row],[PID]],Table3[[#All],[PID]],0)))</f>
        <v>Normal</v>
      </c>
      <c r="L336" s="60">
        <f>IF($C336="B",INDEX(Batters[[#All],[CON P]],MATCH(Table5[[#This Row],[PID]],Batters[[#All],[PID]],0)),INDEX(Table3[[#All],[STU P]],MATCH(Table5[[#This Row],[PID]],Table3[[#All],[PID]],0)))</f>
        <v>3</v>
      </c>
      <c r="M336" s="56">
        <f>IF($C336="B",INDEX(Batters[[#All],[GAP P]],MATCH(Table5[[#This Row],[PID]],Batters[[#All],[PID]],0)),INDEX(Table3[[#All],[MOV P]],MATCH(Table5[[#This Row],[PID]],Table3[[#All],[PID]],0)))</f>
        <v>4</v>
      </c>
      <c r="N336" s="56">
        <f>IF($C336="B",INDEX(Batters[[#All],[POW P]],MATCH(Table5[[#This Row],[PID]],Batters[[#All],[PID]],0)),INDEX(Table3[[#All],[CON P]],MATCH(Table5[[#This Row],[PID]],Table3[[#All],[PID]],0)))</f>
        <v>4</v>
      </c>
      <c r="O336" s="56">
        <f>IF($C336="B",INDEX(Batters[[#All],[EYE P]],MATCH(Table5[[#This Row],[PID]],Batters[[#All],[PID]],0)),INDEX(Table3[[#All],[VELO]],MATCH(Table5[[#This Row],[PID]],Table3[[#All],[PID]],0)))</f>
        <v>6</v>
      </c>
      <c r="P336" s="56">
        <f>IF($C336="B",INDEX(Batters[[#All],[K P]],MATCH(Table5[[#This Row],[PID]],Batters[[#All],[PID]],0)),INDEX(Table3[[#All],[STM]],MATCH(Table5[[#This Row],[PID]],Table3[[#All],[PID]],0)))</f>
        <v>3</v>
      </c>
      <c r="Q336" s="61">
        <f>IF($C336="B",INDEX(Batters[[#All],[Tot]],MATCH(Table5[[#This Row],[PID]],Batters[[#All],[PID]],0)),INDEX(Table3[[#All],[Tot]],MATCH(Table5[[#This Row],[PID]],Table3[[#All],[PID]],0)))</f>
        <v>43.736886327999656</v>
      </c>
      <c r="R336" s="52">
        <f>IF($C336="B",INDEX(Batters[[#All],[zScore]],MATCH(Table5[[#This Row],[PID]],Batters[[#All],[PID]],0)),INDEX(Table3[[#All],[zScore]],MATCH(Table5[[#This Row],[PID]],Table3[[#All],[PID]],0)))</f>
        <v>7.5669250530244939E-2</v>
      </c>
      <c r="S336" s="58" t="str">
        <f>IF($C336="B",INDEX(Batters[[#All],[DEM]],MATCH(Table5[[#This Row],[PID]],Batters[[#All],[PID]],0)),INDEX(Table3[[#All],[DEM]],MATCH(Table5[[#This Row],[PID]],Table3[[#All],[PID]],0)))</f>
        <v>$75k</v>
      </c>
      <c r="T336" s="62">
        <f>IF($C336="B",INDEX(Batters[[#All],[Rnk]],MATCH(Table5[[#This Row],[PID]],Batters[[#All],[PID]],0)),INDEX(Table3[[#All],[Rnk]],MATCH(Table5[[#This Row],[PID]],Table3[[#All],[PID]],0)))</f>
        <v>900</v>
      </c>
      <c r="U336" s="67">
        <f>IF($C336="B",VLOOKUP($A336,Bat!$A$4:$BA$1314,47,FALSE),VLOOKUP($A336,Pit!$A$4:$BF$1214,56,FALSE))</f>
        <v>166</v>
      </c>
      <c r="V336" s="50">
        <f>IF($C336="B",VLOOKUP($A336,Bat!$A$4:$BA$1314,48,FALSE),VLOOKUP($A336,Pit!$A$4:$BF$1214,57,FALSE))</f>
        <v>0</v>
      </c>
      <c r="W336" s="68">
        <f>IF(Table5[[#This Row],[posRnk]]=999,9999,Table5[[#This Row],[posRnk]]+Table5[[#This Row],[zRnk]]+IF($W$3&lt;&gt;Table5[[#This Row],[Type]],50,0))</f>
        <v>1308</v>
      </c>
      <c r="X336" s="51">
        <f>RANK(Table5[[#This Row],[zScore]],Table5[[#All],[zScore]])</f>
        <v>358</v>
      </c>
      <c r="Y336" s="50" t="str">
        <f>IFERROR(INDEX(DraftResults[[#All],[OVR]],MATCH(Table5[[#This Row],[PID]],DraftResults[[#All],[Player ID]],0)),"")</f>
        <v/>
      </c>
      <c r="Z336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/>
      </c>
      <c r="AA336" s="50" t="str">
        <f>IFERROR(INDEX(DraftResults[[#All],[Pick in Round]],MATCH(Table5[[#This Row],[PID]],DraftResults[[#All],[Player ID]],0)),"")</f>
        <v/>
      </c>
      <c r="AB336" s="50" t="str">
        <f>IFERROR(INDEX(DraftResults[[#All],[Team Name]],MATCH(Table5[[#This Row],[PID]],DraftResults[[#All],[Player ID]],0)),"")</f>
        <v/>
      </c>
      <c r="AC336" s="50" t="str">
        <f>IF(Table5[[#This Row],[Ovr]]="","",IF(Table5[[#This Row],[cmbList]]="","",Table5[[#This Row],[cmbList]]-Table5[[#This Row],[Ovr]]))</f>
        <v/>
      </c>
      <c r="AD336" s="54" t="str">
        <f>IF(ISERROR(VLOOKUP($AB336&amp;"-"&amp;$E336&amp;" "&amp;F336,Bonuses!$B$1:$G$1006,4,FALSE)),"",INT(VLOOKUP($AB336&amp;"-"&amp;$E336&amp;" "&amp;$F336,Bonuses!$B$1:$G$1006,4,FALSE)))</f>
        <v/>
      </c>
      <c r="AE336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/>
      </c>
    </row>
    <row r="337" spans="1:31" s="50" customFormat="1" x14ac:dyDescent="0.3">
      <c r="A337" s="50">
        <v>20325</v>
      </c>
      <c r="B337" s="50">
        <f>COUNTIF(Table5[PID],A337)</f>
        <v>1</v>
      </c>
      <c r="C337" s="50" t="str">
        <f>IF(COUNTIF(Table3[[#All],[PID]],A337)&gt;0,"P","B")</f>
        <v>P</v>
      </c>
      <c r="D337" s="59" t="str">
        <f>IF($C337="B",INDEX(Batters[[#All],[POS]],MATCH(Table5[[#This Row],[PID]],Batters[[#All],[PID]],0)),INDEX(Table3[[#All],[POS]],MATCH(Table5[[#This Row],[PID]],Table3[[#All],[PID]],0)))</f>
        <v>CL</v>
      </c>
      <c r="E337" s="52" t="str">
        <f>IF($C337="B",INDEX(Batters[[#All],[First]],MATCH(Table5[[#This Row],[PID]],Batters[[#All],[PID]],0)),INDEX(Table3[[#All],[First]],MATCH(Table5[[#This Row],[PID]],Table3[[#All],[PID]],0)))</f>
        <v>Malcolm</v>
      </c>
      <c r="F337" s="50" t="str">
        <f>IF($C337="B",INDEX(Batters[[#All],[Last]],MATCH(A337,Batters[[#All],[PID]],0)),INDEX(Table3[[#All],[Last]],MATCH(A337,Table3[[#All],[PID]],0)))</f>
        <v>Atkins</v>
      </c>
      <c r="G337" s="56">
        <f>IF($C337="B",INDEX(Batters[[#All],[Age]],MATCH(Table5[[#This Row],[PID]],Batters[[#All],[PID]],0)),INDEX(Table3[[#All],[Age]],MATCH(Table5[[#This Row],[PID]],Table3[[#All],[PID]],0)))</f>
        <v>17</v>
      </c>
      <c r="H337" s="52" t="str">
        <f>IF($C337="B",INDEX(Batters[[#All],[B]],MATCH(Table5[[#This Row],[PID]],Batters[[#All],[PID]],0)),INDEX(Table3[[#All],[B]],MATCH(Table5[[#This Row],[PID]],Table3[[#All],[PID]],0)))</f>
        <v>R</v>
      </c>
      <c r="I337" s="52" t="str">
        <f>IF($C337="B",INDEX(Batters[[#All],[T]],MATCH(Table5[[#This Row],[PID]],Batters[[#All],[PID]],0)),INDEX(Table3[[#All],[T]],MATCH(Table5[[#This Row],[PID]],Table3[[#All],[PID]],0)))</f>
        <v>R</v>
      </c>
      <c r="J337" s="52" t="str">
        <f>IF($C337="B",INDEX(Batters[[#All],[WE]],MATCH(Table5[[#This Row],[PID]],Batters[[#All],[PID]],0)),INDEX(Table3[[#All],[WE]],MATCH(Table5[[#This Row],[PID]],Table3[[#All],[PID]],0)))</f>
        <v>Normal</v>
      </c>
      <c r="K337" s="52" t="str">
        <f>IF($C337="B",INDEX(Batters[[#All],[INT]],MATCH(Table5[[#This Row],[PID]],Batters[[#All],[PID]],0)),INDEX(Table3[[#All],[INT]],MATCH(Table5[[#This Row],[PID]],Table3[[#All],[PID]],0)))</f>
        <v>Low</v>
      </c>
      <c r="L337" s="60">
        <f>IF($C337="B",INDEX(Batters[[#All],[CON P]],MATCH(Table5[[#This Row],[PID]],Batters[[#All],[PID]],0)),INDEX(Table3[[#All],[STU P]],MATCH(Table5[[#This Row],[PID]],Table3[[#All],[PID]],0)))</f>
        <v>5</v>
      </c>
      <c r="M337" s="56">
        <f>IF($C337="B",INDEX(Batters[[#All],[GAP P]],MATCH(Table5[[#This Row],[PID]],Batters[[#All],[PID]],0)),INDEX(Table3[[#All],[MOV P]],MATCH(Table5[[#This Row],[PID]],Table3[[#All],[PID]],0)))</f>
        <v>1</v>
      </c>
      <c r="N337" s="56">
        <f>IF($C337="B",INDEX(Batters[[#All],[POW P]],MATCH(Table5[[#This Row],[PID]],Batters[[#All],[PID]],0)),INDEX(Table3[[#All],[CON P]],MATCH(Table5[[#This Row],[PID]],Table3[[#All],[PID]],0)))</f>
        <v>4</v>
      </c>
      <c r="O337" s="56" t="str">
        <f>IF($C337="B",INDEX(Batters[[#All],[EYE P]],MATCH(Table5[[#This Row],[PID]],Batters[[#All],[PID]],0)),INDEX(Table3[[#All],[VELO]],MATCH(Table5[[#This Row],[PID]],Table3[[#All],[PID]],0)))</f>
        <v>88-90 Mph</v>
      </c>
      <c r="P337" s="56">
        <f>IF($C337="B",INDEX(Batters[[#All],[K P]],MATCH(Table5[[#This Row],[PID]],Batters[[#All],[PID]],0)),INDEX(Table3[[#All],[STM]],MATCH(Table5[[#This Row],[PID]],Table3[[#All],[PID]],0)))</f>
        <v>8</v>
      </c>
      <c r="Q337" s="61">
        <f>IF($C337="B",INDEX(Batters[[#All],[Tot]],MATCH(Table5[[#This Row],[PID]],Batters[[#All],[PID]],0)),INDEX(Table3[[#All],[Tot]],MATCH(Table5[[#This Row],[PID]],Table3[[#All],[PID]],0)))</f>
        <v>40.232329861580126</v>
      </c>
      <c r="R337" s="52">
        <f>IF($C337="B",INDEX(Batters[[#All],[zScore]],MATCH(Table5[[#This Row],[PID]],Batters[[#All],[PID]],0)),INDEX(Table3[[#All],[zScore]],MATCH(Table5[[#This Row],[PID]],Table3[[#All],[PID]],0)))</f>
        <v>0.17909066567299614</v>
      </c>
      <c r="S337" s="58" t="str">
        <f>IF($C337="B",INDEX(Batters[[#All],[DEM]],MATCH(Table5[[#This Row],[PID]],Batters[[#All],[PID]],0)),INDEX(Table3[[#All],[DEM]],MATCH(Table5[[#This Row],[PID]],Table3[[#All],[PID]],0)))</f>
        <v>$38k</v>
      </c>
      <c r="T337" s="62">
        <f>IF($C337="B",INDEX(Batters[[#All],[Rnk]],MATCH(Table5[[#This Row],[PID]],Batters[[#All],[PID]],0)),INDEX(Table3[[#All],[Rnk]],MATCH(Table5[[#This Row],[PID]],Table3[[#All],[PID]],0)))</f>
        <v>940</v>
      </c>
      <c r="U337" s="67">
        <f>IF($C337="B",VLOOKUP($A337,Bat!$A$4:$BA$1314,47,FALSE),VLOOKUP($A337,Pit!$A$4:$BF$1214,56,FALSE))</f>
        <v>389</v>
      </c>
      <c r="V337" s="50">
        <f>IF($C337="B",VLOOKUP($A337,Bat!$A$4:$BA$1314,48,FALSE),VLOOKUP($A337,Pit!$A$4:$BF$1214,57,FALSE))</f>
        <v>0</v>
      </c>
      <c r="W337" s="68">
        <f>IF(Table5[[#This Row],[posRnk]]=999,9999,Table5[[#This Row],[posRnk]]+Table5[[#This Row],[zRnk]]+IF($W$3&lt;&gt;Table5[[#This Row],[Type]],50,0))</f>
        <v>1258</v>
      </c>
      <c r="X337" s="51">
        <f>RANK(Table5[[#This Row],[zScore]],Table5[[#All],[zScore]])</f>
        <v>318</v>
      </c>
      <c r="Y337" s="50">
        <f>IFERROR(INDEX(DraftResults[[#All],[OVR]],MATCH(Table5[[#This Row],[PID]],DraftResults[[#All],[Player ID]],0)),"")</f>
        <v>404</v>
      </c>
      <c r="Z337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13</v>
      </c>
      <c r="AA337" s="50">
        <f>IFERROR(INDEX(DraftResults[[#All],[Pick in Round]],MATCH(Table5[[#This Row],[PID]],DraftResults[[#All],[Player ID]],0)),"")</f>
        <v>5</v>
      </c>
      <c r="AB337" s="50" t="str">
        <f>IFERROR(INDEX(DraftResults[[#All],[Team Name]],MATCH(Table5[[#This Row],[PID]],DraftResults[[#All],[Player ID]],0)),"")</f>
        <v>Tempe Knights</v>
      </c>
      <c r="AC337" s="50">
        <f>IF(Table5[[#This Row],[Ovr]]="","",IF(Table5[[#This Row],[cmbList]]="","",Table5[[#This Row],[cmbList]]-Table5[[#This Row],[Ovr]]))</f>
        <v>854</v>
      </c>
      <c r="AD337" s="54" t="str">
        <f>IF(ISERROR(VLOOKUP($AB337&amp;"-"&amp;$E337&amp;" "&amp;F337,Bonuses!$B$1:$G$1006,4,FALSE)),"",INT(VLOOKUP($AB337&amp;"-"&amp;$E337&amp;" "&amp;$F337,Bonuses!$B$1:$G$1006,4,FALSE)))</f>
        <v/>
      </c>
      <c r="AE337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13.5 (404) - CL Malcolm Atkins</v>
      </c>
    </row>
    <row r="338" spans="1:31" s="50" customFormat="1" x14ac:dyDescent="0.3">
      <c r="A338" s="50">
        <v>20635</v>
      </c>
      <c r="B338" s="50">
        <f>COUNTIF(Table5[PID],A338)</f>
        <v>1</v>
      </c>
      <c r="C338" s="50" t="str">
        <f>IF(COUNTIF(Table3[[#All],[PID]],A338)&gt;0,"P","B")</f>
        <v>P</v>
      </c>
      <c r="D338" s="59" t="str">
        <f>IF($C338="B",INDEX(Batters[[#All],[POS]],MATCH(Table5[[#This Row],[PID]],Batters[[#All],[PID]],0)),INDEX(Table3[[#All],[POS]],MATCH(Table5[[#This Row],[PID]],Table3[[#All],[PID]],0)))</f>
        <v>RP</v>
      </c>
      <c r="E338" s="52" t="str">
        <f>IF($C338="B",INDEX(Batters[[#All],[First]],MATCH(Table5[[#This Row],[PID]],Batters[[#All],[PID]],0)),INDEX(Table3[[#All],[First]],MATCH(Table5[[#This Row],[PID]],Table3[[#All],[PID]],0)))</f>
        <v>Pyeong-kyu</v>
      </c>
      <c r="F338" s="50" t="str">
        <f>IF($C338="B",INDEX(Batters[[#All],[Last]],MATCH(A338,Batters[[#All],[PID]],0)),INDEX(Table3[[#All],[Last]],MATCH(A338,Table3[[#All],[PID]],0)))</f>
        <v>Han</v>
      </c>
      <c r="G338" s="56">
        <f>IF($C338="B",INDEX(Batters[[#All],[Age]],MATCH(Table5[[#This Row],[PID]],Batters[[#All],[PID]],0)),INDEX(Table3[[#All],[Age]],MATCH(Table5[[#This Row],[PID]],Table3[[#All],[PID]],0)))</f>
        <v>17</v>
      </c>
      <c r="H338" s="52" t="str">
        <f>IF($C338="B",INDEX(Batters[[#All],[B]],MATCH(Table5[[#This Row],[PID]],Batters[[#All],[PID]],0)),INDEX(Table3[[#All],[B]],MATCH(Table5[[#This Row],[PID]],Table3[[#All],[PID]],0)))</f>
        <v>L</v>
      </c>
      <c r="I338" s="52" t="str">
        <f>IF($C338="B",INDEX(Batters[[#All],[T]],MATCH(Table5[[#This Row],[PID]],Batters[[#All],[PID]],0)),INDEX(Table3[[#All],[T]],MATCH(Table5[[#This Row],[PID]],Table3[[#All],[PID]],0)))</f>
        <v>L</v>
      </c>
      <c r="J338" s="52" t="str">
        <f>IF($C338="B",INDEX(Batters[[#All],[WE]],MATCH(Table5[[#This Row],[PID]],Batters[[#All],[PID]],0)),INDEX(Table3[[#All],[WE]],MATCH(Table5[[#This Row],[PID]],Table3[[#All],[PID]],0)))</f>
        <v>Low</v>
      </c>
      <c r="K338" s="52" t="str">
        <f>IF($C338="B",INDEX(Batters[[#All],[INT]],MATCH(Table5[[#This Row],[PID]],Batters[[#All],[PID]],0)),INDEX(Table3[[#All],[INT]],MATCH(Table5[[#This Row],[PID]],Table3[[#All],[PID]],0)))</f>
        <v>Low</v>
      </c>
      <c r="L338" s="60">
        <f>IF($C338="B",INDEX(Batters[[#All],[CON P]],MATCH(Table5[[#This Row],[PID]],Batters[[#All],[PID]],0)),INDEX(Table3[[#All],[STU P]],MATCH(Table5[[#This Row],[PID]],Table3[[#All],[PID]],0)))</f>
        <v>4</v>
      </c>
      <c r="M338" s="56">
        <f>IF($C338="B",INDEX(Batters[[#All],[GAP P]],MATCH(Table5[[#This Row],[PID]],Batters[[#All],[PID]],0)),INDEX(Table3[[#All],[MOV P]],MATCH(Table5[[#This Row],[PID]],Table3[[#All],[PID]],0)))</f>
        <v>2</v>
      </c>
      <c r="N338" s="56">
        <f>IF($C338="B",INDEX(Batters[[#All],[POW P]],MATCH(Table5[[#This Row],[PID]],Batters[[#All],[PID]],0)),INDEX(Table3[[#All],[CON P]],MATCH(Table5[[#This Row],[PID]],Table3[[#All],[PID]],0)))</f>
        <v>5</v>
      </c>
      <c r="O338" s="56" t="str">
        <f>IF($C338="B",INDEX(Batters[[#All],[EYE P]],MATCH(Table5[[#This Row],[PID]],Batters[[#All],[PID]],0)),INDEX(Table3[[#All],[VELO]],MATCH(Table5[[#This Row],[PID]],Table3[[#All],[PID]],0)))</f>
        <v>91-93 Mph</v>
      </c>
      <c r="P338" s="56">
        <f>IF($C338="B",INDEX(Batters[[#All],[K P]],MATCH(Table5[[#This Row],[PID]],Batters[[#All],[PID]],0)),INDEX(Table3[[#All],[STM]],MATCH(Table5[[#This Row],[PID]],Table3[[#All],[PID]],0)))</f>
        <v>3</v>
      </c>
      <c r="Q338" s="61">
        <f>IF($C338="B",INDEX(Batters[[#All],[Tot]],MATCH(Table5[[#This Row],[PID]],Batters[[#All],[PID]],0)),INDEX(Table3[[#All],[Tot]],MATCH(Table5[[#This Row],[PID]],Table3[[#All],[PID]],0)))</f>
        <v>40.832044503697958</v>
      </c>
      <c r="R338" s="52">
        <f>IF($C338="B",INDEX(Batters[[#All],[zScore]],MATCH(Table5[[#This Row],[PID]],Batters[[#All],[PID]],0)),INDEX(Table3[[#All],[zScore]],MATCH(Table5[[#This Row],[PID]],Table3[[#All],[PID]],0)))</f>
        <v>0.21571899405595191</v>
      </c>
      <c r="S338" s="58" t="str">
        <f>IF($C338="B",INDEX(Batters[[#All],[DEM]],MATCH(Table5[[#This Row],[PID]],Batters[[#All],[PID]],0)),INDEX(Table3[[#All],[DEM]],MATCH(Table5[[#This Row],[PID]],Table3[[#All],[PID]],0)))</f>
        <v>$65k</v>
      </c>
      <c r="T338" s="62">
        <f>IF($C338="B",INDEX(Batters[[#All],[Rnk]],MATCH(Table5[[#This Row],[PID]],Batters[[#All],[PID]],0)),INDEX(Table3[[#All],[Rnk]],MATCH(Table5[[#This Row],[PID]],Table3[[#All],[PID]],0)))</f>
        <v>950</v>
      </c>
      <c r="U338" s="67">
        <f>IF($C338="B",VLOOKUP($A338,Bat!$A$4:$BA$1314,47,FALSE),VLOOKUP($A338,Pit!$A$4:$BF$1214,56,FALSE))</f>
        <v>409</v>
      </c>
      <c r="V338" s="50">
        <f>IF($C338="B",VLOOKUP($A338,Bat!$A$4:$BA$1314,48,FALSE),VLOOKUP($A338,Pit!$A$4:$BF$1214,57,FALSE))</f>
        <v>0</v>
      </c>
      <c r="W338" s="68">
        <f>IF(Table5[[#This Row],[posRnk]]=999,9999,Table5[[#This Row],[posRnk]]+Table5[[#This Row],[zRnk]]+IF($W$3&lt;&gt;Table5[[#This Row],[Type]],50,0))</f>
        <v>1258</v>
      </c>
      <c r="X338" s="51">
        <f>RANK(Table5[[#This Row],[zScore]],Table5[[#All],[zScore]])</f>
        <v>308</v>
      </c>
      <c r="Y338" s="50">
        <f>IFERROR(INDEX(DraftResults[[#All],[OVR]],MATCH(Table5[[#This Row],[PID]],DraftResults[[#All],[Player ID]],0)),"")</f>
        <v>355</v>
      </c>
      <c r="Z338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11</v>
      </c>
      <c r="AA338" s="50">
        <f>IFERROR(INDEX(DraftResults[[#All],[Pick in Round]],MATCH(Table5[[#This Row],[PID]],DraftResults[[#All],[Player ID]],0)),"")</f>
        <v>24</v>
      </c>
      <c r="AB338" s="50" t="str">
        <f>IFERROR(INDEX(DraftResults[[#All],[Team Name]],MATCH(Table5[[#This Row],[PID]],DraftResults[[#All],[Player ID]],0)),"")</f>
        <v>Reno Zephyrs</v>
      </c>
      <c r="AC338" s="50">
        <f>IF(Table5[[#This Row],[Ovr]]="","",IF(Table5[[#This Row],[cmbList]]="","",Table5[[#This Row],[cmbList]]-Table5[[#This Row],[Ovr]]))</f>
        <v>903</v>
      </c>
      <c r="AD338" s="54" t="str">
        <f>IF(ISERROR(VLOOKUP($AB338&amp;"-"&amp;$E338&amp;" "&amp;F338,Bonuses!$B$1:$G$1006,4,FALSE)),"",INT(VLOOKUP($AB338&amp;"-"&amp;$E338&amp;" "&amp;$F338,Bonuses!$B$1:$G$1006,4,FALSE)))</f>
        <v/>
      </c>
      <c r="AE338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11.24 (355) - RP Pyeong-kyu Han</v>
      </c>
    </row>
    <row r="339" spans="1:31" s="50" customFormat="1" x14ac:dyDescent="0.3">
      <c r="A339" s="50">
        <v>9973</v>
      </c>
      <c r="B339" s="50">
        <f>COUNTIF(Table5[PID],A339)</f>
        <v>1</v>
      </c>
      <c r="C339" s="50" t="str">
        <f>IF(COUNTIF(Table3[[#All],[PID]],A339)&gt;0,"P","B")</f>
        <v>B</v>
      </c>
      <c r="D339" s="59" t="str">
        <f>IF($C339="B",INDEX(Batters[[#All],[POS]],MATCH(Table5[[#This Row],[PID]],Batters[[#All],[PID]],0)),INDEX(Table3[[#All],[POS]],MATCH(Table5[[#This Row],[PID]],Table3[[#All],[PID]],0)))</f>
        <v>RF</v>
      </c>
      <c r="E339" s="52" t="str">
        <f>IF($C339="B",INDEX(Batters[[#All],[First]],MATCH(Table5[[#This Row],[PID]],Batters[[#All],[PID]],0)),INDEX(Table3[[#All],[First]],MATCH(Table5[[#This Row],[PID]],Table3[[#All],[PID]],0)))</f>
        <v>Lawrence</v>
      </c>
      <c r="F339" s="50" t="str">
        <f>IF($C339="B",INDEX(Batters[[#All],[Last]],MATCH(A339,Batters[[#All],[PID]],0)),INDEX(Table3[[#All],[Last]],MATCH(A339,Table3[[#All],[PID]],0)))</f>
        <v>Powell</v>
      </c>
      <c r="G339" s="56">
        <f>IF($C339="B",INDEX(Batters[[#All],[Age]],MATCH(Table5[[#This Row],[PID]],Batters[[#All],[PID]],0)),INDEX(Table3[[#All],[Age]],MATCH(Table5[[#This Row],[PID]],Table3[[#All],[PID]],0)))</f>
        <v>17</v>
      </c>
      <c r="H339" s="52" t="str">
        <f>IF($C339="B",INDEX(Batters[[#All],[B]],MATCH(Table5[[#This Row],[PID]],Batters[[#All],[PID]],0)),INDEX(Table3[[#All],[B]],MATCH(Table5[[#This Row],[PID]],Table3[[#All],[PID]],0)))</f>
        <v>L</v>
      </c>
      <c r="I339" s="52" t="str">
        <f>IF($C339="B",INDEX(Batters[[#All],[T]],MATCH(Table5[[#This Row],[PID]],Batters[[#All],[PID]],0)),INDEX(Table3[[#All],[T]],MATCH(Table5[[#This Row],[PID]],Table3[[#All],[PID]],0)))</f>
        <v>L</v>
      </c>
      <c r="J339" s="52" t="str">
        <f>IF($C339="B",INDEX(Batters[[#All],[WE]],MATCH(Table5[[#This Row],[PID]],Batters[[#All],[PID]],0)),INDEX(Table3[[#All],[WE]],MATCH(Table5[[#This Row],[PID]],Table3[[#All],[PID]],0)))</f>
        <v>Normal</v>
      </c>
      <c r="K339" s="52" t="str">
        <f>IF($C339="B",INDEX(Batters[[#All],[INT]],MATCH(Table5[[#This Row],[PID]],Batters[[#All],[PID]],0)),INDEX(Table3[[#All],[INT]],MATCH(Table5[[#This Row],[PID]],Table3[[#All],[PID]],0)))</f>
        <v>Normal</v>
      </c>
      <c r="L339" s="60">
        <f>IF($C339="B",INDEX(Batters[[#All],[CON P]],MATCH(Table5[[#This Row],[PID]],Batters[[#All],[PID]],0)),INDEX(Table3[[#All],[STU P]],MATCH(Table5[[#This Row],[PID]],Table3[[#All],[PID]],0)))</f>
        <v>3</v>
      </c>
      <c r="M339" s="56">
        <f>IF($C339="B",INDEX(Batters[[#All],[GAP P]],MATCH(Table5[[#This Row],[PID]],Batters[[#All],[PID]],0)),INDEX(Table3[[#All],[MOV P]],MATCH(Table5[[#This Row],[PID]],Table3[[#All],[PID]],0)))</f>
        <v>5</v>
      </c>
      <c r="N339" s="56">
        <f>IF($C339="B",INDEX(Batters[[#All],[POW P]],MATCH(Table5[[#This Row],[PID]],Batters[[#All],[PID]],0)),INDEX(Table3[[#All],[CON P]],MATCH(Table5[[#This Row],[PID]],Table3[[#All],[PID]],0)))</f>
        <v>3</v>
      </c>
      <c r="O339" s="56">
        <f>IF($C339="B",INDEX(Batters[[#All],[EYE P]],MATCH(Table5[[#This Row],[PID]],Batters[[#All],[PID]],0)),INDEX(Table3[[#All],[VELO]],MATCH(Table5[[#This Row],[PID]],Table3[[#All],[PID]],0)))</f>
        <v>6</v>
      </c>
      <c r="P339" s="56">
        <f>IF($C339="B",INDEX(Batters[[#All],[K P]],MATCH(Table5[[#This Row],[PID]],Batters[[#All],[PID]],0)),INDEX(Table3[[#All],[STM]],MATCH(Table5[[#This Row],[PID]],Table3[[#All],[PID]],0)))</f>
        <v>3</v>
      </c>
      <c r="Q339" s="61">
        <f>IF($C339="B",INDEX(Batters[[#All],[Tot]],MATCH(Table5[[#This Row],[PID]],Batters[[#All],[PID]],0)),INDEX(Table3[[#All],[Tot]],MATCH(Table5[[#This Row],[PID]],Table3[[#All],[PID]],0)))</f>
        <v>43.668923184067268</v>
      </c>
      <c r="R339" s="52">
        <f>IF($C339="B",INDEX(Batters[[#All],[zScore]],MATCH(Table5[[#This Row],[PID]],Batters[[#All],[PID]],0)),INDEX(Table3[[#All],[zScore]],MATCH(Table5[[#This Row],[PID]],Table3[[#All],[PID]],0)))</f>
        <v>6.574879888475689E-2</v>
      </c>
      <c r="S339" s="58" t="str">
        <f>IF($C339="B",INDEX(Batters[[#All],[DEM]],MATCH(Table5[[#This Row],[PID]],Batters[[#All],[PID]],0)),INDEX(Table3[[#All],[DEM]],MATCH(Table5[[#This Row],[PID]],Table3[[#All],[PID]],0)))</f>
        <v>$65k</v>
      </c>
      <c r="T339" s="62">
        <f>IF($C339="B",INDEX(Batters[[#All],[Rnk]],MATCH(Table5[[#This Row],[PID]],Batters[[#All],[PID]],0)),INDEX(Table3[[#All],[Rnk]],MATCH(Table5[[#This Row],[PID]],Table3[[#All],[PID]],0)))</f>
        <v>900</v>
      </c>
      <c r="U339" s="67">
        <f>IF($C339="B",VLOOKUP($A339,Bat!$A$4:$BA$1314,47,FALSE),VLOOKUP($A339,Pit!$A$4:$BF$1214,56,FALSE))</f>
        <v>167</v>
      </c>
      <c r="V339" s="50">
        <f>IF($C339="B",VLOOKUP($A339,Bat!$A$4:$BA$1314,48,FALSE),VLOOKUP($A339,Pit!$A$4:$BF$1214,57,FALSE))</f>
        <v>0</v>
      </c>
      <c r="W339" s="68">
        <f>IF(Table5[[#This Row],[posRnk]]=999,9999,Table5[[#This Row],[posRnk]]+Table5[[#This Row],[zRnk]]+IF($W$3&lt;&gt;Table5[[#This Row],[Type]],50,0))</f>
        <v>1309</v>
      </c>
      <c r="X339" s="51">
        <f>RANK(Table5[[#This Row],[zScore]],Table5[[#All],[zScore]])</f>
        <v>359</v>
      </c>
      <c r="Y339" s="50">
        <f>IFERROR(INDEX(DraftResults[[#All],[OVR]],MATCH(Table5[[#This Row],[PID]],DraftResults[[#All],[Player ID]],0)),"")</f>
        <v>379</v>
      </c>
      <c r="Z339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12</v>
      </c>
      <c r="AA339" s="50">
        <f>IFERROR(INDEX(DraftResults[[#All],[Pick in Round]],MATCH(Table5[[#This Row],[PID]],DraftResults[[#All],[Player ID]],0)),"")</f>
        <v>14</v>
      </c>
      <c r="AB339" s="50" t="str">
        <f>IFERROR(INDEX(DraftResults[[#All],[Team Name]],MATCH(Table5[[#This Row],[PID]],DraftResults[[#All],[Player ID]],0)),"")</f>
        <v>San Antonio Calzones of Laredo</v>
      </c>
      <c r="AC339" s="50">
        <f>IF(Table5[[#This Row],[Ovr]]="","",IF(Table5[[#This Row],[cmbList]]="","",Table5[[#This Row],[cmbList]]-Table5[[#This Row],[Ovr]]))</f>
        <v>930</v>
      </c>
      <c r="AD339" s="54" t="str">
        <f>IF(ISERROR(VLOOKUP($AB339&amp;"-"&amp;$E339&amp;" "&amp;F339,Bonuses!$B$1:$G$1006,4,FALSE)),"",INT(VLOOKUP($AB339&amp;"-"&amp;$E339&amp;" "&amp;$F339,Bonuses!$B$1:$G$1006,4,FALSE)))</f>
        <v/>
      </c>
      <c r="AE339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12.14 (379) - RF Lawrence Powell</v>
      </c>
    </row>
    <row r="340" spans="1:31" s="50" customFormat="1" x14ac:dyDescent="0.3">
      <c r="A340" s="67">
        <v>12431</v>
      </c>
      <c r="B340" s="68">
        <f>COUNTIF(Table5[PID],A340)</f>
        <v>1</v>
      </c>
      <c r="C340" s="68" t="str">
        <f>IF(COUNTIF(Table3[[#All],[PID]],A340)&gt;0,"P","B")</f>
        <v>B</v>
      </c>
      <c r="D340" s="59" t="str">
        <f>IF($C340="B",INDEX(Batters[[#All],[POS]],MATCH(Table5[[#This Row],[PID]],Batters[[#All],[PID]],0)),INDEX(Table3[[#All],[POS]],MATCH(Table5[[#This Row],[PID]],Table3[[#All],[PID]],0)))</f>
        <v>2B</v>
      </c>
      <c r="E340" s="52" t="str">
        <f>IF($C340="B",INDEX(Batters[[#All],[First]],MATCH(Table5[[#This Row],[PID]],Batters[[#All],[PID]],0)),INDEX(Table3[[#All],[First]],MATCH(Table5[[#This Row],[PID]],Table3[[#All],[PID]],0)))</f>
        <v>Jorge</v>
      </c>
      <c r="F340" s="55" t="str">
        <f>IF($C340="B",INDEX(Batters[[#All],[Last]],MATCH(A340,Batters[[#All],[PID]],0)),INDEX(Table3[[#All],[Last]],MATCH(A340,Table3[[#All],[PID]],0)))</f>
        <v>Nevárez</v>
      </c>
      <c r="G340" s="56">
        <f>IF($C340="B",INDEX(Batters[[#All],[Age]],MATCH(Table5[[#This Row],[PID]],Batters[[#All],[PID]],0)),INDEX(Table3[[#All],[Age]],MATCH(Table5[[#This Row],[PID]],Table3[[#All],[PID]],0)))</f>
        <v>21</v>
      </c>
      <c r="H340" s="52" t="str">
        <f>IF($C340="B",INDEX(Batters[[#All],[B]],MATCH(Table5[[#This Row],[PID]],Batters[[#All],[PID]],0)),INDEX(Table3[[#All],[B]],MATCH(Table5[[#This Row],[PID]],Table3[[#All],[PID]],0)))</f>
        <v>R</v>
      </c>
      <c r="I340" s="52" t="str">
        <f>IF($C340="B",INDEX(Batters[[#All],[T]],MATCH(Table5[[#This Row],[PID]],Batters[[#All],[PID]],0)),INDEX(Table3[[#All],[T]],MATCH(Table5[[#This Row],[PID]],Table3[[#All],[PID]],0)))</f>
        <v>R</v>
      </c>
      <c r="J340" s="69" t="str">
        <f>IF($C340="B",INDEX(Batters[[#All],[WE]],MATCH(Table5[[#This Row],[PID]],Batters[[#All],[PID]],0)),INDEX(Table3[[#All],[WE]],MATCH(Table5[[#This Row],[PID]],Table3[[#All],[PID]],0)))</f>
        <v>High</v>
      </c>
      <c r="K340" s="52" t="str">
        <f>IF($C340="B",INDEX(Batters[[#All],[INT]],MATCH(Table5[[#This Row],[PID]],Batters[[#All],[PID]],0)),INDEX(Table3[[#All],[INT]],MATCH(Table5[[#This Row],[PID]],Table3[[#All],[PID]],0)))</f>
        <v>Normal</v>
      </c>
      <c r="L340" s="60">
        <f>IF($C340="B",INDEX(Batters[[#All],[CON P]],MATCH(Table5[[#This Row],[PID]],Batters[[#All],[PID]],0)),INDEX(Table3[[#All],[STU P]],MATCH(Table5[[#This Row],[PID]],Table3[[#All],[PID]],0)))</f>
        <v>4</v>
      </c>
      <c r="M340" s="70">
        <f>IF($C340="B",INDEX(Batters[[#All],[GAP P]],MATCH(Table5[[#This Row],[PID]],Batters[[#All],[PID]],0)),INDEX(Table3[[#All],[MOV P]],MATCH(Table5[[#This Row],[PID]],Table3[[#All],[PID]],0)))</f>
        <v>4</v>
      </c>
      <c r="N340" s="70">
        <f>IF($C340="B",INDEX(Batters[[#All],[POW P]],MATCH(Table5[[#This Row],[PID]],Batters[[#All],[PID]],0)),INDEX(Table3[[#All],[CON P]],MATCH(Table5[[#This Row],[PID]],Table3[[#All],[PID]],0)))</f>
        <v>4</v>
      </c>
      <c r="O340" s="70">
        <f>IF($C340="B",INDEX(Batters[[#All],[EYE P]],MATCH(Table5[[#This Row],[PID]],Batters[[#All],[PID]],0)),INDEX(Table3[[#All],[VELO]],MATCH(Table5[[#This Row],[PID]],Table3[[#All],[PID]],0)))</f>
        <v>5</v>
      </c>
      <c r="P340" s="56">
        <f>IF($C340="B",INDEX(Batters[[#All],[K P]],MATCH(Table5[[#This Row],[PID]],Batters[[#All],[PID]],0)),INDEX(Table3[[#All],[STM]],MATCH(Table5[[#This Row],[PID]],Table3[[#All],[PID]],0)))</f>
        <v>5</v>
      </c>
      <c r="Q340" s="61">
        <f>IF($C340="B",INDEX(Batters[[#All],[Tot]],MATCH(Table5[[#This Row],[PID]],Batters[[#All],[PID]],0)),INDEX(Table3[[#All],[Tot]],MATCH(Table5[[#This Row],[PID]],Table3[[#All],[PID]],0)))</f>
        <v>43.651586781548595</v>
      </c>
      <c r="R340" s="52">
        <f>IF($C340="B",INDEX(Batters[[#All],[zScore]],MATCH(Table5[[#This Row],[PID]],Batters[[#All],[PID]],0)),INDEX(Table3[[#All],[zScore]],MATCH(Table5[[#This Row],[PID]],Table3[[#All],[PID]],0)))</f>
        <v>6.3218236981024079E-2</v>
      </c>
      <c r="S340" s="75" t="str">
        <f>IF($C340="B",INDEX(Batters[[#All],[DEM]],MATCH(Table5[[#This Row],[PID]],Batters[[#All],[PID]],0)),INDEX(Table3[[#All],[DEM]],MATCH(Table5[[#This Row],[PID]],Table3[[#All],[PID]],0)))</f>
        <v>$85k</v>
      </c>
      <c r="T340" s="72">
        <f>IF($C340="B",INDEX(Batters[[#All],[Rnk]],MATCH(Table5[[#This Row],[PID]],Batters[[#All],[PID]],0)),INDEX(Table3[[#All],[Rnk]],MATCH(Table5[[#This Row],[PID]],Table3[[#All],[PID]],0)))</f>
        <v>900</v>
      </c>
      <c r="U340" s="67">
        <f>IF($C340="B",VLOOKUP($A340,Bat!$A$4:$BA$1314,47,FALSE),VLOOKUP($A340,Pit!$A$4:$BF$1214,56,FALSE))</f>
        <v>160</v>
      </c>
      <c r="V340" s="50">
        <f>IF($C340="B",VLOOKUP($A340,Bat!$A$4:$BA$1314,48,FALSE),VLOOKUP($A340,Pit!$A$4:$BF$1214,57,FALSE))</f>
        <v>0</v>
      </c>
      <c r="W340" s="68">
        <f>IF(Table5[[#This Row],[posRnk]]=999,9999,Table5[[#This Row],[posRnk]]+Table5[[#This Row],[zRnk]]+IF($W$3&lt;&gt;Table5[[#This Row],[Type]],50,0))</f>
        <v>1311</v>
      </c>
      <c r="X340" s="71">
        <f>RANK(Table5[[#This Row],[zScore]],Table5[[#All],[zScore]])</f>
        <v>361</v>
      </c>
      <c r="Y340" s="68">
        <f>IFERROR(INDEX(DraftResults[[#All],[OVR]],MATCH(Table5[[#This Row],[PID]],DraftResults[[#All],[Player ID]],0)),"")</f>
        <v>91</v>
      </c>
      <c r="Z340" s="7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3</v>
      </c>
      <c r="AA340" s="68">
        <f>IFERROR(INDEX(DraftResults[[#All],[Pick in Round]],MATCH(Table5[[#This Row],[PID]],DraftResults[[#All],[Player ID]],0)),"")</f>
        <v>19</v>
      </c>
      <c r="AB340" s="68" t="str">
        <f>IFERROR(INDEX(DraftResults[[#All],[Team Name]],MATCH(Table5[[#This Row],[PID]],DraftResults[[#All],[Player ID]],0)),"")</f>
        <v>San Juan Coqui</v>
      </c>
      <c r="AC340" s="68">
        <f>IF(Table5[[#This Row],[Ovr]]="","",IF(Table5[[#This Row],[cmbList]]="","",Table5[[#This Row],[cmbList]]-Table5[[#This Row],[Ovr]]))</f>
        <v>1220</v>
      </c>
      <c r="AD340" s="74" t="str">
        <f>IF(ISERROR(VLOOKUP($AB340&amp;"-"&amp;$E340&amp;" "&amp;F340,Bonuses!$B$1:$G$1006,4,FALSE)),"",INT(VLOOKUP($AB340&amp;"-"&amp;$E340&amp;" "&amp;$F340,Bonuses!$B$1:$G$1006,4,FALSE)))</f>
        <v/>
      </c>
      <c r="AE340" s="68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3.19 (91) - 2B Jorge Nevárez</v>
      </c>
    </row>
    <row r="341" spans="1:31" s="50" customFormat="1" x14ac:dyDescent="0.3">
      <c r="A341" s="50">
        <v>21017</v>
      </c>
      <c r="B341" s="55">
        <f>COUNTIF(Table5[PID],A341)</f>
        <v>1</v>
      </c>
      <c r="C341" s="55" t="str">
        <f>IF(COUNTIF(Table3[[#All],[PID]],A341)&gt;0,"P","B")</f>
        <v>B</v>
      </c>
      <c r="D341" s="59" t="str">
        <f>IF($C341="B",INDEX(Batters[[#All],[POS]],MATCH(Table5[[#This Row],[PID]],Batters[[#All],[PID]],0)),INDEX(Table3[[#All],[POS]],MATCH(Table5[[#This Row],[PID]],Table3[[#All],[PID]],0)))</f>
        <v>1B</v>
      </c>
      <c r="E341" s="52" t="str">
        <f>IF($C341="B",INDEX(Batters[[#All],[First]],MATCH(Table5[[#This Row],[PID]],Batters[[#All],[PID]],0)),INDEX(Table3[[#All],[First]],MATCH(Table5[[#This Row],[PID]],Table3[[#All],[PID]],0)))</f>
        <v>Francisco</v>
      </c>
      <c r="F341" s="50" t="str">
        <f>IF($C341="B",INDEX(Batters[[#All],[Last]],MATCH(A341,Batters[[#All],[PID]],0)),INDEX(Table3[[#All],[Last]],MATCH(A341,Table3[[#All],[PID]],0)))</f>
        <v>Pérez</v>
      </c>
      <c r="G341" s="56">
        <f>IF($C341="B",INDEX(Batters[[#All],[Age]],MATCH(Table5[[#This Row],[PID]],Batters[[#All],[PID]],0)),INDEX(Table3[[#All],[Age]],MATCH(Table5[[#This Row],[PID]],Table3[[#All],[PID]],0)))</f>
        <v>17</v>
      </c>
      <c r="H341" s="52" t="str">
        <f>IF($C341="B",INDEX(Batters[[#All],[B]],MATCH(Table5[[#This Row],[PID]],Batters[[#All],[PID]],0)),INDEX(Table3[[#All],[B]],MATCH(Table5[[#This Row],[PID]],Table3[[#All],[PID]],0)))</f>
        <v>L</v>
      </c>
      <c r="I341" s="52" t="str">
        <f>IF($C341="B",INDEX(Batters[[#All],[T]],MATCH(Table5[[#This Row],[PID]],Batters[[#All],[PID]],0)),INDEX(Table3[[#All],[T]],MATCH(Table5[[#This Row],[PID]],Table3[[#All],[PID]],0)))</f>
        <v>R</v>
      </c>
      <c r="J341" s="52" t="str">
        <f>IF($C341="B",INDEX(Batters[[#All],[WE]],MATCH(Table5[[#This Row],[PID]],Batters[[#All],[PID]],0)),INDEX(Table3[[#All],[WE]],MATCH(Table5[[#This Row],[PID]],Table3[[#All],[PID]],0)))</f>
        <v>Normal</v>
      </c>
      <c r="K341" s="52" t="str">
        <f>IF($C341="B",INDEX(Batters[[#All],[INT]],MATCH(Table5[[#This Row],[PID]],Batters[[#All],[PID]],0)),INDEX(Table3[[#All],[INT]],MATCH(Table5[[#This Row],[PID]],Table3[[#All],[PID]],0)))</f>
        <v>Normal</v>
      </c>
      <c r="L341" s="60">
        <f>IF($C341="B",INDEX(Batters[[#All],[CON P]],MATCH(Table5[[#This Row],[PID]],Batters[[#All],[PID]],0)),INDEX(Table3[[#All],[STU P]],MATCH(Table5[[#This Row],[PID]],Table3[[#All],[PID]],0)))</f>
        <v>3</v>
      </c>
      <c r="M341" s="56">
        <f>IF($C341="B",INDEX(Batters[[#All],[GAP P]],MATCH(Table5[[#This Row],[PID]],Batters[[#All],[PID]],0)),INDEX(Table3[[#All],[MOV P]],MATCH(Table5[[#This Row],[PID]],Table3[[#All],[PID]],0)))</f>
        <v>4</v>
      </c>
      <c r="N341" s="56">
        <f>IF($C341="B",INDEX(Batters[[#All],[POW P]],MATCH(Table5[[#This Row],[PID]],Batters[[#All],[PID]],0)),INDEX(Table3[[#All],[CON P]],MATCH(Table5[[#This Row],[PID]],Table3[[#All],[PID]],0)))</f>
        <v>5</v>
      </c>
      <c r="O341" s="56">
        <f>IF($C341="B",INDEX(Batters[[#All],[EYE P]],MATCH(Table5[[#This Row],[PID]],Batters[[#All],[PID]],0)),INDEX(Table3[[#All],[VELO]],MATCH(Table5[[#This Row],[PID]],Table3[[#All],[PID]],0)))</f>
        <v>5</v>
      </c>
      <c r="P341" s="56">
        <f>IF($C341="B",INDEX(Batters[[#All],[K P]],MATCH(Table5[[#This Row],[PID]],Batters[[#All],[PID]],0)),INDEX(Table3[[#All],[STM]],MATCH(Table5[[#This Row],[PID]],Table3[[#All],[PID]],0)))</f>
        <v>3</v>
      </c>
      <c r="Q341" s="61">
        <f>IF($C341="B",INDEX(Batters[[#All],[Tot]],MATCH(Table5[[#This Row],[PID]],Batters[[#All],[PID]],0)),INDEX(Table3[[#All],[Tot]],MATCH(Table5[[#This Row],[PID]],Table3[[#All],[PID]],0)))</f>
        <v>43.639832551768151</v>
      </c>
      <c r="R341" s="52">
        <f>IF($C341="B",INDEX(Batters[[#All],[zScore]],MATCH(Table5[[#This Row],[PID]],Batters[[#All],[PID]],0)),INDEX(Table3[[#All],[zScore]],MATCH(Table5[[#This Row],[PID]],Table3[[#All],[PID]],0)))</f>
        <v>6.150249427961451E-2</v>
      </c>
      <c r="S341" s="58" t="str">
        <f>IF($C341="B",INDEX(Batters[[#All],[DEM]],MATCH(Table5[[#This Row],[PID]],Batters[[#All],[PID]],0)),INDEX(Table3[[#All],[DEM]],MATCH(Table5[[#This Row],[PID]],Table3[[#All],[PID]],0)))</f>
        <v>$200k</v>
      </c>
      <c r="T341" s="62">
        <f>IF($C341="B",INDEX(Batters[[#All],[Rnk]],MATCH(Table5[[#This Row],[PID]],Batters[[#All],[PID]],0)),INDEX(Table3[[#All],[Rnk]],MATCH(Table5[[#This Row],[PID]],Table3[[#All],[PID]],0)))</f>
        <v>900</v>
      </c>
      <c r="U341" s="67">
        <f>IF($C341="B",VLOOKUP($A341,Bat!$A$4:$BA$1314,47,FALSE),VLOOKUP($A341,Pit!$A$4:$BF$1214,56,FALSE))</f>
        <v>168</v>
      </c>
      <c r="V341" s="50">
        <f>IF($C341="B",VLOOKUP($A341,Bat!$A$4:$BA$1314,48,FALSE),VLOOKUP($A341,Pit!$A$4:$BF$1214,57,FALSE))</f>
        <v>0</v>
      </c>
      <c r="W341" s="68">
        <f>IF(Table5[[#This Row],[posRnk]]=999,9999,Table5[[#This Row],[posRnk]]+Table5[[#This Row],[zRnk]]+IF($W$3&lt;&gt;Table5[[#This Row],[Type]],50,0))</f>
        <v>1312</v>
      </c>
      <c r="X341" s="51">
        <f>RANK(Table5[[#This Row],[zScore]],Table5[[#All],[zScore]])</f>
        <v>362</v>
      </c>
      <c r="Y341" s="50">
        <f>IFERROR(INDEX(DraftResults[[#All],[OVR]],MATCH(Table5[[#This Row],[PID]],DraftResults[[#All],[Player ID]],0)),"")</f>
        <v>444</v>
      </c>
      <c r="Z341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14</v>
      </c>
      <c r="AA341" s="50">
        <f>IFERROR(INDEX(DraftResults[[#All],[Pick in Round]],MATCH(Table5[[#This Row],[PID]],DraftResults[[#All],[Player ID]],0)),"")</f>
        <v>11</v>
      </c>
      <c r="AB341" s="50" t="str">
        <f>IFERROR(INDEX(DraftResults[[#All],[Team Name]],MATCH(Table5[[#This Row],[PID]],DraftResults[[#All],[Player ID]],0)),"")</f>
        <v>Arlington Bureaucrats</v>
      </c>
      <c r="AC341" s="50">
        <f>IF(Table5[[#This Row],[Ovr]]="","",IF(Table5[[#This Row],[cmbList]]="","",Table5[[#This Row],[cmbList]]-Table5[[#This Row],[Ovr]]))</f>
        <v>868</v>
      </c>
      <c r="AD341" s="54" t="str">
        <f>IF(ISERROR(VLOOKUP($AB341&amp;"-"&amp;$E341&amp;" "&amp;F341,Bonuses!$B$1:$G$1006,4,FALSE)),"",INT(VLOOKUP($AB341&amp;"-"&amp;$E341&amp;" "&amp;$F341,Bonuses!$B$1:$G$1006,4,FALSE)))</f>
        <v/>
      </c>
      <c r="AE341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14.11 (444) - 1B Francisco Pérez</v>
      </c>
    </row>
    <row r="342" spans="1:31" s="50" customFormat="1" x14ac:dyDescent="0.3">
      <c r="A342" s="50">
        <v>12052</v>
      </c>
      <c r="B342" s="50">
        <f>COUNTIF(Table5[PID],A342)</f>
        <v>1</v>
      </c>
      <c r="C342" s="50" t="str">
        <f>IF(COUNTIF(Table3[[#All],[PID]],A342)&gt;0,"P","B")</f>
        <v>B</v>
      </c>
      <c r="D342" s="59" t="str">
        <f>IF($C342="B",INDEX(Batters[[#All],[POS]],MATCH(Table5[[#This Row],[PID]],Batters[[#All],[PID]],0)),INDEX(Table3[[#All],[POS]],MATCH(Table5[[#This Row],[PID]],Table3[[#All],[PID]],0)))</f>
        <v>3B</v>
      </c>
      <c r="E342" s="52" t="str">
        <f>IF($C342="B",INDEX(Batters[[#All],[First]],MATCH(Table5[[#This Row],[PID]],Batters[[#All],[PID]],0)),INDEX(Table3[[#All],[First]],MATCH(Table5[[#This Row],[PID]],Table3[[#All],[PID]],0)))</f>
        <v>Edward</v>
      </c>
      <c r="F342" s="50" t="str">
        <f>IF($C342="B",INDEX(Batters[[#All],[Last]],MATCH(A342,Batters[[#All],[PID]],0)),INDEX(Table3[[#All],[Last]],MATCH(A342,Table3[[#All],[PID]],0)))</f>
        <v>Crawford</v>
      </c>
      <c r="G342" s="56">
        <f>IF($C342="B",INDEX(Batters[[#All],[Age]],MATCH(Table5[[#This Row],[PID]],Batters[[#All],[PID]],0)),INDEX(Table3[[#All],[Age]],MATCH(Table5[[#This Row],[PID]],Table3[[#All],[PID]],0)))</f>
        <v>21</v>
      </c>
      <c r="H342" s="52" t="str">
        <f>IF($C342="B",INDEX(Batters[[#All],[B]],MATCH(Table5[[#This Row],[PID]],Batters[[#All],[PID]],0)),INDEX(Table3[[#All],[B]],MATCH(Table5[[#This Row],[PID]],Table3[[#All],[PID]],0)))</f>
        <v>R</v>
      </c>
      <c r="I342" s="52" t="str">
        <f>IF($C342="B",INDEX(Batters[[#All],[T]],MATCH(Table5[[#This Row],[PID]],Batters[[#All],[PID]],0)),INDEX(Table3[[#All],[T]],MATCH(Table5[[#This Row],[PID]],Table3[[#All],[PID]],0)))</f>
        <v>R</v>
      </c>
      <c r="J342" s="52" t="str">
        <f>IF($C342="B",INDEX(Batters[[#All],[WE]],MATCH(Table5[[#This Row],[PID]],Batters[[#All],[PID]],0)),INDEX(Table3[[#All],[WE]],MATCH(Table5[[#This Row],[PID]],Table3[[#All],[PID]],0)))</f>
        <v>Normal</v>
      </c>
      <c r="K342" s="52" t="str">
        <f>IF($C342="B",INDEX(Batters[[#All],[INT]],MATCH(Table5[[#This Row],[PID]],Batters[[#All],[PID]],0)),INDEX(Table3[[#All],[INT]],MATCH(Table5[[#This Row],[PID]],Table3[[#All],[PID]],0)))</f>
        <v>Normal</v>
      </c>
      <c r="L342" s="60">
        <f>IF($C342="B",INDEX(Batters[[#All],[CON P]],MATCH(Table5[[#This Row],[PID]],Batters[[#All],[PID]],0)),INDEX(Table3[[#All],[STU P]],MATCH(Table5[[#This Row],[PID]],Table3[[#All],[PID]],0)))</f>
        <v>4</v>
      </c>
      <c r="M342" s="56">
        <f>IF($C342="B",INDEX(Batters[[#All],[GAP P]],MATCH(Table5[[#This Row],[PID]],Batters[[#All],[PID]],0)),INDEX(Table3[[#All],[MOV P]],MATCH(Table5[[#This Row],[PID]],Table3[[#All],[PID]],0)))</f>
        <v>5</v>
      </c>
      <c r="N342" s="56">
        <f>IF($C342="B",INDEX(Batters[[#All],[POW P]],MATCH(Table5[[#This Row],[PID]],Batters[[#All],[PID]],0)),INDEX(Table3[[#All],[CON P]],MATCH(Table5[[#This Row],[PID]],Table3[[#All],[PID]],0)))</f>
        <v>3</v>
      </c>
      <c r="O342" s="56">
        <f>IF($C342="B",INDEX(Batters[[#All],[EYE P]],MATCH(Table5[[#This Row],[PID]],Batters[[#All],[PID]],0)),INDEX(Table3[[#All],[VELO]],MATCH(Table5[[#This Row],[PID]],Table3[[#All],[PID]],0)))</f>
        <v>5</v>
      </c>
      <c r="P342" s="56">
        <f>IF($C342="B",INDEX(Batters[[#All],[K P]],MATCH(Table5[[#This Row],[PID]],Batters[[#All],[PID]],0)),INDEX(Table3[[#All],[STM]],MATCH(Table5[[#This Row],[PID]],Table3[[#All],[PID]],0)))</f>
        <v>4</v>
      </c>
      <c r="Q342" s="61">
        <f>IF($C342="B",INDEX(Batters[[#All],[Tot]],MATCH(Table5[[#This Row],[PID]],Batters[[#All],[PID]],0)),INDEX(Table3[[#All],[Tot]],MATCH(Table5[[#This Row],[PID]],Table3[[#All],[PID]],0)))</f>
        <v>43.617196946476319</v>
      </c>
      <c r="R342" s="52">
        <f>IF($C342="B",INDEX(Batters[[#All],[zScore]],MATCH(Table5[[#This Row],[PID]],Batters[[#All],[PID]],0)),INDEX(Table3[[#All],[zScore]],MATCH(Table5[[#This Row],[PID]],Table3[[#All],[PID]],0)))</f>
        <v>5.819841776444673E-2</v>
      </c>
      <c r="S342" s="58" t="str">
        <f>IF($C342="B",INDEX(Batters[[#All],[DEM]],MATCH(Table5[[#This Row],[PID]],Batters[[#All],[PID]],0)),INDEX(Table3[[#All],[DEM]],MATCH(Table5[[#This Row],[PID]],Table3[[#All],[PID]],0)))</f>
        <v>$130k</v>
      </c>
      <c r="T342" s="62">
        <f>IF($C342="B",INDEX(Batters[[#All],[Rnk]],MATCH(Table5[[#This Row],[PID]],Batters[[#All],[PID]],0)),INDEX(Table3[[#All],[Rnk]],MATCH(Table5[[#This Row],[PID]],Table3[[#All],[PID]],0)))</f>
        <v>900</v>
      </c>
      <c r="U342" s="67">
        <f>IF($C342="B",VLOOKUP($A342,Bat!$A$4:$BA$1314,47,FALSE),VLOOKUP($A342,Pit!$A$4:$BF$1214,56,FALSE))</f>
        <v>169</v>
      </c>
      <c r="V342" s="50">
        <f>IF($C342="B",VLOOKUP($A342,Bat!$A$4:$BA$1314,48,FALSE),VLOOKUP($A342,Pit!$A$4:$BF$1214,57,FALSE))</f>
        <v>0</v>
      </c>
      <c r="W342" s="68">
        <f>IF(Table5[[#This Row],[posRnk]]=999,9999,Table5[[#This Row],[posRnk]]+Table5[[#This Row],[zRnk]]+IF($W$3&lt;&gt;Table5[[#This Row],[Type]],50,0))</f>
        <v>1314</v>
      </c>
      <c r="X342" s="51">
        <f>RANK(Table5[[#This Row],[zScore]],Table5[[#All],[zScore]])</f>
        <v>364</v>
      </c>
      <c r="Y342" s="50">
        <f>IFERROR(INDEX(DraftResults[[#All],[OVR]],MATCH(Table5[[#This Row],[PID]],DraftResults[[#All],[Player ID]],0)),"")</f>
        <v>221</v>
      </c>
      <c r="Z342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7</v>
      </c>
      <c r="AA342" s="50">
        <f>IFERROR(INDEX(DraftResults[[#All],[Pick in Round]],MATCH(Table5[[#This Row],[PID]],DraftResults[[#All],[Player ID]],0)),"")</f>
        <v>20</v>
      </c>
      <c r="AB342" s="50" t="str">
        <f>IFERROR(INDEX(DraftResults[[#All],[Team Name]],MATCH(Table5[[#This Row],[PID]],DraftResults[[#All],[Player ID]],0)),"")</f>
        <v>Crystal Lake Sandgnats</v>
      </c>
      <c r="AC342" s="50">
        <f>IF(Table5[[#This Row],[Ovr]]="","",IF(Table5[[#This Row],[cmbList]]="","",Table5[[#This Row],[cmbList]]-Table5[[#This Row],[Ovr]]))</f>
        <v>1093</v>
      </c>
      <c r="AD342" s="54" t="str">
        <f>IF(ISERROR(VLOOKUP($AB342&amp;"-"&amp;$E342&amp;" "&amp;F342,Bonuses!$B$1:$G$1006,4,FALSE)),"",INT(VLOOKUP($AB342&amp;"-"&amp;$E342&amp;" "&amp;$F342,Bonuses!$B$1:$G$1006,4,FALSE)))</f>
        <v/>
      </c>
      <c r="AE342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7.20 (221) - 3B Edward Crawford</v>
      </c>
    </row>
    <row r="343" spans="1:31" s="50" customFormat="1" x14ac:dyDescent="0.3">
      <c r="A343" s="50">
        <v>14112</v>
      </c>
      <c r="B343" s="50">
        <f>COUNTIF(Table5[PID],A343)</f>
        <v>1</v>
      </c>
      <c r="C343" s="50" t="str">
        <f>IF(COUNTIF(Table3[[#All],[PID]],A343)&gt;0,"P","B")</f>
        <v>P</v>
      </c>
      <c r="D343" s="59" t="str">
        <f>IF($C343="B",INDEX(Batters[[#All],[POS]],MATCH(Table5[[#This Row],[PID]],Batters[[#All],[PID]],0)),INDEX(Table3[[#All],[POS]],MATCH(Table5[[#This Row],[PID]],Table3[[#All],[PID]],0)))</f>
        <v>CL</v>
      </c>
      <c r="E343" s="52" t="str">
        <f>IF($C343="B",INDEX(Batters[[#All],[First]],MATCH(Table5[[#This Row],[PID]],Batters[[#All],[PID]],0)),INDEX(Table3[[#All],[First]],MATCH(Table5[[#This Row],[PID]],Table3[[#All],[PID]],0)))</f>
        <v>Pablo</v>
      </c>
      <c r="F343" s="50" t="str">
        <f>IF($C343="B",INDEX(Batters[[#All],[Last]],MATCH(A343,Batters[[#All],[PID]],0)),INDEX(Table3[[#All],[Last]],MATCH(A343,Table3[[#All],[PID]],0)))</f>
        <v>Gonzáles</v>
      </c>
      <c r="G343" s="56">
        <f>IF($C343="B",INDEX(Batters[[#All],[Age]],MATCH(Table5[[#This Row],[PID]],Batters[[#All],[PID]],0)),INDEX(Table3[[#All],[Age]],MATCH(Table5[[#This Row],[PID]],Table3[[#All],[PID]],0)))</f>
        <v>21</v>
      </c>
      <c r="H343" s="52" t="str">
        <f>IF($C343="B",INDEX(Batters[[#All],[B]],MATCH(Table5[[#This Row],[PID]],Batters[[#All],[PID]],0)),INDEX(Table3[[#All],[B]],MATCH(Table5[[#This Row],[PID]],Table3[[#All],[PID]],0)))</f>
        <v>R</v>
      </c>
      <c r="I343" s="52" t="str">
        <f>IF($C343="B",INDEX(Batters[[#All],[T]],MATCH(Table5[[#This Row],[PID]],Batters[[#All],[PID]],0)),INDEX(Table3[[#All],[T]],MATCH(Table5[[#This Row],[PID]],Table3[[#All],[PID]],0)))</f>
        <v>R</v>
      </c>
      <c r="J343" s="52" t="str">
        <f>IF($C343="B",INDEX(Batters[[#All],[WE]],MATCH(Table5[[#This Row],[PID]],Batters[[#All],[PID]],0)),INDEX(Table3[[#All],[WE]],MATCH(Table5[[#This Row],[PID]],Table3[[#All],[PID]],0)))</f>
        <v>High</v>
      </c>
      <c r="K343" s="52" t="str">
        <f>IF($C343="B",INDEX(Batters[[#All],[INT]],MATCH(Table5[[#This Row],[PID]],Batters[[#All],[PID]],0)),INDEX(Table3[[#All],[INT]],MATCH(Table5[[#This Row],[PID]],Table3[[#All],[PID]],0)))</f>
        <v>Normal</v>
      </c>
      <c r="L343" s="60">
        <f>IF($C343="B",INDEX(Batters[[#All],[CON P]],MATCH(Table5[[#This Row],[PID]],Batters[[#All],[PID]],0)),INDEX(Table3[[#All],[STU P]],MATCH(Table5[[#This Row],[PID]],Table3[[#All],[PID]],0)))</f>
        <v>3</v>
      </c>
      <c r="M343" s="56">
        <f>IF($C343="B",INDEX(Batters[[#All],[GAP P]],MATCH(Table5[[#This Row],[PID]],Batters[[#All],[PID]],0)),INDEX(Table3[[#All],[MOV P]],MATCH(Table5[[#This Row],[PID]],Table3[[#All],[PID]],0)))</f>
        <v>4</v>
      </c>
      <c r="N343" s="56">
        <f>IF($C343="B",INDEX(Batters[[#All],[POW P]],MATCH(Table5[[#This Row],[PID]],Batters[[#All],[PID]],0)),INDEX(Table3[[#All],[CON P]],MATCH(Table5[[#This Row],[PID]],Table3[[#All],[PID]],0)))</f>
        <v>4</v>
      </c>
      <c r="O343" s="56" t="str">
        <f>IF($C343="B",INDEX(Batters[[#All],[EYE P]],MATCH(Table5[[#This Row],[PID]],Batters[[#All],[PID]],0)),INDEX(Table3[[#All],[VELO]],MATCH(Table5[[#This Row],[PID]],Table3[[#All],[PID]],0)))</f>
        <v>86-88 Mph</v>
      </c>
      <c r="P343" s="56">
        <f>IF($C343="B",INDEX(Batters[[#All],[K P]],MATCH(Table5[[#This Row],[PID]],Batters[[#All],[PID]],0)),INDEX(Table3[[#All],[STM]],MATCH(Table5[[#This Row],[PID]],Table3[[#All],[PID]],0)))</f>
        <v>10</v>
      </c>
      <c r="Q343" s="61">
        <f>IF($C343="B",INDEX(Batters[[#All],[Tot]],MATCH(Table5[[#This Row],[PID]],Batters[[#All],[PID]],0)),INDEX(Table3[[#All],[Tot]],MATCH(Table5[[#This Row],[PID]],Table3[[#All],[PID]],0)))</f>
        <v>38.618232455680932</v>
      </c>
      <c r="R343" s="52">
        <f>IF($C343="B",INDEX(Batters[[#All],[zScore]],MATCH(Table5[[#This Row],[PID]],Batters[[#All],[PID]],0)),INDEX(Table3[[#All],[zScore]],MATCH(Table5[[#This Row],[PID]],Table3[[#All],[PID]],0)))</f>
        <v>5.8080006778214281E-2</v>
      </c>
      <c r="S343" s="58" t="str">
        <f>IF($C343="B",INDEX(Batters[[#All],[DEM]],MATCH(Table5[[#This Row],[PID]],Batters[[#All],[PID]],0)),INDEX(Table3[[#All],[DEM]],MATCH(Table5[[#This Row],[PID]],Table3[[#All],[PID]],0)))</f>
        <v>-</v>
      </c>
      <c r="T343" s="62">
        <f>IF($C343="B",INDEX(Batters[[#All],[Rnk]],MATCH(Table5[[#This Row],[PID]],Batters[[#All],[PID]],0)),INDEX(Table3[[#All],[Rnk]],MATCH(Table5[[#This Row],[PID]],Table3[[#All],[PID]],0)))</f>
        <v>900</v>
      </c>
      <c r="U343" s="67">
        <f>IF($C343="B",VLOOKUP($A343,Bat!$A$4:$BA$1314,47,FALSE),VLOOKUP($A343,Pit!$A$4:$BF$1214,56,FALSE))</f>
        <v>115</v>
      </c>
      <c r="V343" s="50">
        <f>IF($C343="B",VLOOKUP($A343,Bat!$A$4:$BA$1314,48,FALSE),VLOOKUP($A343,Pit!$A$4:$BF$1214,57,FALSE))</f>
        <v>0</v>
      </c>
      <c r="W343" s="68">
        <f>IF(Table5[[#This Row],[posRnk]]=999,9999,Table5[[#This Row],[posRnk]]+Table5[[#This Row],[zRnk]]+IF($W$3&lt;&gt;Table5[[#This Row],[Type]],50,0))</f>
        <v>1265</v>
      </c>
      <c r="X343" s="51">
        <f>RANK(Table5[[#This Row],[zScore]],Table5[[#All],[zScore]])</f>
        <v>365</v>
      </c>
      <c r="Y343" s="50">
        <f>IFERROR(INDEX(DraftResults[[#All],[OVR]],MATCH(Table5[[#This Row],[PID]],DraftResults[[#All],[Player ID]],0)),"")</f>
        <v>230</v>
      </c>
      <c r="Z343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7</v>
      </c>
      <c r="AA343" s="50">
        <f>IFERROR(INDEX(DraftResults[[#All],[Pick in Round]],MATCH(Table5[[#This Row],[PID]],DraftResults[[#All],[Player ID]],0)),"")</f>
        <v>29</v>
      </c>
      <c r="AB343" s="50" t="str">
        <f>IFERROR(INDEX(DraftResults[[#All],[Team Name]],MATCH(Table5[[#This Row],[PID]],DraftResults[[#All],[Player ID]],0)),"")</f>
        <v>Bakersfield Bears</v>
      </c>
      <c r="AC343" s="50">
        <f>IF(Table5[[#This Row],[Ovr]]="","",IF(Table5[[#This Row],[cmbList]]="","",Table5[[#This Row],[cmbList]]-Table5[[#This Row],[Ovr]]))</f>
        <v>1035</v>
      </c>
      <c r="AD343" s="54" t="str">
        <f>IF(ISERROR(VLOOKUP($AB343&amp;"-"&amp;$E343&amp;" "&amp;F343,Bonuses!$B$1:$G$1006,4,FALSE)),"",INT(VLOOKUP($AB343&amp;"-"&amp;$E343&amp;" "&amp;$F343,Bonuses!$B$1:$G$1006,4,FALSE)))</f>
        <v/>
      </c>
      <c r="AE343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7.29 (230) - CL Pablo Gonzáles</v>
      </c>
    </row>
    <row r="344" spans="1:31" s="50" customFormat="1" x14ac:dyDescent="0.3">
      <c r="A344" s="50">
        <v>8242</v>
      </c>
      <c r="B344" s="50">
        <f>COUNTIF(Table5[PID],A344)</f>
        <v>1</v>
      </c>
      <c r="C344" s="50" t="str">
        <f>IF(COUNTIF(Table3[[#All],[PID]],A344)&gt;0,"P","B")</f>
        <v>B</v>
      </c>
      <c r="D344" s="59" t="str">
        <f>IF($C344="B",INDEX(Batters[[#All],[POS]],MATCH(Table5[[#This Row],[PID]],Batters[[#All],[PID]],0)),INDEX(Table3[[#All],[POS]],MATCH(Table5[[#This Row],[PID]],Table3[[#All],[PID]],0)))</f>
        <v>1B</v>
      </c>
      <c r="E344" s="52" t="str">
        <f>IF($C344="B",INDEX(Batters[[#All],[First]],MATCH(Table5[[#This Row],[PID]],Batters[[#All],[PID]],0)),INDEX(Table3[[#All],[First]],MATCH(Table5[[#This Row],[PID]],Table3[[#All],[PID]],0)))</f>
        <v>Bert</v>
      </c>
      <c r="F344" s="50" t="str">
        <f>IF($C344="B",INDEX(Batters[[#All],[Last]],MATCH(A344,Batters[[#All],[PID]],0)),INDEX(Table3[[#All],[Last]],MATCH(A344,Table3[[#All],[PID]],0)))</f>
        <v>Loetzsch</v>
      </c>
      <c r="G344" s="56">
        <f>IF($C344="B",INDEX(Batters[[#All],[Age]],MATCH(Table5[[#This Row],[PID]],Batters[[#All],[PID]],0)),INDEX(Table3[[#All],[Age]],MATCH(Table5[[#This Row],[PID]],Table3[[#All],[PID]],0)))</f>
        <v>21</v>
      </c>
      <c r="H344" s="52" t="str">
        <f>IF($C344="B",INDEX(Batters[[#All],[B]],MATCH(Table5[[#This Row],[PID]],Batters[[#All],[PID]],0)),INDEX(Table3[[#All],[B]],MATCH(Table5[[#This Row],[PID]],Table3[[#All],[PID]],0)))</f>
        <v>L</v>
      </c>
      <c r="I344" s="52" t="str">
        <f>IF($C344="B",INDEX(Batters[[#All],[T]],MATCH(Table5[[#This Row],[PID]],Batters[[#All],[PID]],0)),INDEX(Table3[[#All],[T]],MATCH(Table5[[#This Row],[PID]],Table3[[#All],[PID]],0)))</f>
        <v>R</v>
      </c>
      <c r="J344" s="52" t="str">
        <f>IF($C344="B",INDEX(Batters[[#All],[WE]],MATCH(Table5[[#This Row],[PID]],Batters[[#All],[PID]],0)),INDEX(Table3[[#All],[WE]],MATCH(Table5[[#This Row],[PID]],Table3[[#All],[PID]],0)))</f>
        <v>Low</v>
      </c>
      <c r="K344" s="52" t="str">
        <f>IF($C344="B",INDEX(Batters[[#All],[INT]],MATCH(Table5[[#This Row],[PID]],Batters[[#All],[PID]],0)),INDEX(Table3[[#All],[INT]],MATCH(Table5[[#This Row],[PID]],Table3[[#All],[PID]],0)))</f>
        <v>Normal</v>
      </c>
      <c r="L344" s="60">
        <f>IF($C344="B",INDEX(Batters[[#All],[CON P]],MATCH(Table5[[#This Row],[PID]],Batters[[#All],[PID]],0)),INDEX(Table3[[#All],[STU P]],MATCH(Table5[[#This Row],[PID]],Table3[[#All],[PID]],0)))</f>
        <v>4</v>
      </c>
      <c r="M344" s="56">
        <f>IF($C344="B",INDEX(Batters[[#All],[GAP P]],MATCH(Table5[[#This Row],[PID]],Batters[[#All],[PID]],0)),INDEX(Table3[[#All],[MOV P]],MATCH(Table5[[#This Row],[PID]],Table3[[#All],[PID]],0)))</f>
        <v>5</v>
      </c>
      <c r="N344" s="56">
        <f>IF($C344="B",INDEX(Batters[[#All],[POW P]],MATCH(Table5[[#This Row],[PID]],Batters[[#All],[PID]],0)),INDEX(Table3[[#All],[CON P]],MATCH(Table5[[#This Row],[PID]],Table3[[#All],[PID]],0)))</f>
        <v>5</v>
      </c>
      <c r="O344" s="56">
        <f>IF($C344="B",INDEX(Batters[[#All],[EYE P]],MATCH(Table5[[#This Row],[PID]],Batters[[#All],[PID]],0)),INDEX(Table3[[#All],[VELO]],MATCH(Table5[[#This Row],[PID]],Table3[[#All],[PID]],0)))</f>
        <v>5</v>
      </c>
      <c r="P344" s="56">
        <f>IF($C344="B",INDEX(Batters[[#All],[K P]],MATCH(Table5[[#This Row],[PID]],Batters[[#All],[PID]],0)),INDEX(Table3[[#All],[STM]],MATCH(Table5[[#This Row],[PID]],Table3[[#All],[PID]],0)))</f>
        <v>5</v>
      </c>
      <c r="Q344" s="61">
        <f>IF($C344="B",INDEX(Batters[[#All],[Tot]],MATCH(Table5[[#This Row],[PID]],Batters[[#All],[PID]],0)),INDEX(Table3[[#All],[Tot]],MATCH(Table5[[#This Row],[PID]],Table3[[#All],[PID]],0)))</f>
        <v>44.205973300863853</v>
      </c>
      <c r="R344" s="52">
        <f>IF($C344="B",INDEX(Batters[[#All],[zScore]],MATCH(Table5[[#This Row],[PID]],Batters[[#All],[PID]],0)),INDEX(Table3[[#All],[zScore]],MATCH(Table5[[#This Row],[PID]],Table3[[#All],[PID]],0)))</f>
        <v>0.14414098921933666</v>
      </c>
      <c r="S344" s="58" t="str">
        <f>IF($C344="B",INDEX(Batters[[#All],[DEM]],MATCH(Table5[[#This Row],[PID]],Batters[[#All],[PID]],0)),INDEX(Table3[[#All],[DEM]],MATCH(Table5[[#This Row],[PID]],Table3[[#All],[PID]],0)))</f>
        <v>$40k</v>
      </c>
      <c r="T344" s="62">
        <f>IF($C344="B",INDEX(Batters[[#All],[Rnk]],MATCH(Table5[[#This Row],[PID]],Batters[[#All],[PID]],0)),INDEX(Table3[[#All],[Rnk]],MATCH(Table5[[#This Row],[PID]],Table3[[#All],[PID]],0)))</f>
        <v>930</v>
      </c>
      <c r="U344" s="67">
        <f>IF($C344="B",VLOOKUP($A344,Bat!$A$4:$BA$1314,47,FALSE),VLOOKUP($A344,Pit!$A$4:$BF$1214,56,FALSE))</f>
        <v>324</v>
      </c>
      <c r="V344" s="50">
        <f>IF($C344="B",VLOOKUP($A344,Bat!$A$4:$BA$1314,48,FALSE),VLOOKUP($A344,Pit!$A$4:$BF$1214,57,FALSE))</f>
        <v>0</v>
      </c>
      <c r="W344" s="68">
        <f>IF(Table5[[#This Row],[posRnk]]=999,9999,Table5[[#This Row],[posRnk]]+Table5[[#This Row],[zRnk]]+IF($W$3&lt;&gt;Table5[[#This Row],[Type]],50,0))</f>
        <v>1315</v>
      </c>
      <c r="X344" s="51">
        <f>RANK(Table5[[#This Row],[zScore]],Table5[[#All],[zScore]])</f>
        <v>335</v>
      </c>
      <c r="Y344" s="50">
        <f>IFERROR(INDEX(DraftResults[[#All],[OVR]],MATCH(Table5[[#This Row],[PID]],DraftResults[[#All],[Player ID]],0)),"")</f>
        <v>177</v>
      </c>
      <c r="Z344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6</v>
      </c>
      <c r="AA344" s="50">
        <f>IFERROR(INDEX(DraftResults[[#All],[Pick in Round]],MATCH(Table5[[#This Row],[PID]],DraftResults[[#All],[Player ID]],0)),"")</f>
        <v>8</v>
      </c>
      <c r="AB344" s="50" t="str">
        <f>IFERROR(INDEX(DraftResults[[#All],[Team Name]],MATCH(Table5[[#This Row],[PID]],DraftResults[[#All],[Player ID]],0)),"")</f>
        <v>Gloucester Fishermen</v>
      </c>
      <c r="AC344" s="50">
        <f>IF(Table5[[#This Row],[Ovr]]="","",IF(Table5[[#This Row],[cmbList]]="","",Table5[[#This Row],[cmbList]]-Table5[[#This Row],[Ovr]]))</f>
        <v>1138</v>
      </c>
      <c r="AD344" s="54" t="str">
        <f>IF(ISERROR(VLOOKUP($AB344&amp;"-"&amp;$E344&amp;" "&amp;F344,Bonuses!$B$1:$G$1006,4,FALSE)),"",INT(VLOOKUP($AB344&amp;"-"&amp;$E344&amp;" "&amp;$F344,Bonuses!$B$1:$G$1006,4,FALSE)))</f>
        <v/>
      </c>
      <c r="AE344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6.8 (177) - 1B Bert Loetzsch</v>
      </c>
    </row>
    <row r="345" spans="1:31" s="50" customFormat="1" x14ac:dyDescent="0.3">
      <c r="A345" s="50">
        <v>20562</v>
      </c>
      <c r="B345" s="50">
        <f>COUNTIF(Table5[PID],A345)</f>
        <v>1</v>
      </c>
      <c r="C345" s="50" t="str">
        <f>IF(COUNTIF(Table3[[#All],[PID]],A345)&gt;0,"P","B")</f>
        <v>B</v>
      </c>
      <c r="D345" s="59" t="str">
        <f>IF($C345="B",INDEX(Batters[[#All],[POS]],MATCH(Table5[[#This Row],[PID]],Batters[[#All],[PID]],0)),INDEX(Table3[[#All],[POS]],MATCH(Table5[[#This Row],[PID]],Table3[[#All],[PID]],0)))</f>
        <v>C</v>
      </c>
      <c r="E345" s="52" t="str">
        <f>IF($C345="B",INDEX(Batters[[#All],[First]],MATCH(Table5[[#This Row],[PID]],Batters[[#All],[PID]],0)),INDEX(Table3[[#All],[First]],MATCH(Table5[[#This Row],[PID]],Table3[[#All],[PID]],0)))</f>
        <v>Chun-hua</v>
      </c>
      <c r="F345" s="50" t="str">
        <f>IF($C345="B",INDEX(Batters[[#All],[Last]],MATCH(A345,Batters[[#All],[PID]],0)),INDEX(Table3[[#All],[Last]],MATCH(A345,Table3[[#All],[PID]],0)))</f>
        <v>Zhu</v>
      </c>
      <c r="G345" s="56">
        <f>IF($C345="B",INDEX(Batters[[#All],[Age]],MATCH(Table5[[#This Row],[PID]],Batters[[#All],[PID]],0)),INDEX(Table3[[#All],[Age]],MATCH(Table5[[#This Row],[PID]],Table3[[#All],[PID]],0)))</f>
        <v>17</v>
      </c>
      <c r="H345" s="52" t="str">
        <f>IF($C345="B",INDEX(Batters[[#All],[B]],MATCH(Table5[[#This Row],[PID]],Batters[[#All],[PID]],0)),INDEX(Table3[[#All],[B]],MATCH(Table5[[#This Row],[PID]],Table3[[#All],[PID]],0)))</f>
        <v>R</v>
      </c>
      <c r="I345" s="52" t="str">
        <f>IF($C345="B",INDEX(Batters[[#All],[T]],MATCH(Table5[[#This Row],[PID]],Batters[[#All],[PID]],0)),INDEX(Table3[[#All],[T]],MATCH(Table5[[#This Row],[PID]],Table3[[#All],[PID]],0)))</f>
        <v>R</v>
      </c>
      <c r="J345" s="52" t="str">
        <f>IF($C345="B",INDEX(Batters[[#All],[WE]],MATCH(Table5[[#This Row],[PID]],Batters[[#All],[PID]],0)),INDEX(Table3[[#All],[WE]],MATCH(Table5[[#This Row],[PID]],Table3[[#All],[PID]],0)))</f>
        <v>Low</v>
      </c>
      <c r="K345" s="52" t="str">
        <f>IF($C345="B",INDEX(Batters[[#All],[INT]],MATCH(Table5[[#This Row],[PID]],Batters[[#All],[PID]],0)),INDEX(Table3[[#All],[INT]],MATCH(Table5[[#This Row],[PID]],Table3[[#All],[PID]],0)))</f>
        <v>Normal</v>
      </c>
      <c r="L345" s="60">
        <f>IF($C345="B",INDEX(Batters[[#All],[CON P]],MATCH(Table5[[#This Row],[PID]],Batters[[#All],[PID]],0)),INDEX(Table3[[#All],[STU P]],MATCH(Table5[[#This Row],[PID]],Table3[[#All],[PID]],0)))</f>
        <v>3</v>
      </c>
      <c r="M345" s="56">
        <f>IF($C345="B",INDEX(Batters[[#All],[GAP P]],MATCH(Table5[[#This Row],[PID]],Batters[[#All],[PID]],0)),INDEX(Table3[[#All],[MOV P]],MATCH(Table5[[#This Row],[PID]],Table3[[#All],[PID]],0)))</f>
        <v>6</v>
      </c>
      <c r="N345" s="56">
        <f>IF($C345="B",INDEX(Batters[[#All],[POW P]],MATCH(Table5[[#This Row],[PID]],Batters[[#All],[PID]],0)),INDEX(Table3[[#All],[CON P]],MATCH(Table5[[#This Row],[PID]],Table3[[#All],[PID]],0)))</f>
        <v>4</v>
      </c>
      <c r="O345" s="56">
        <f>IF($C345="B",INDEX(Batters[[#All],[EYE P]],MATCH(Table5[[#This Row],[PID]],Batters[[#All],[PID]],0)),INDEX(Table3[[#All],[VELO]],MATCH(Table5[[#This Row],[PID]],Table3[[#All],[PID]],0)))</f>
        <v>6</v>
      </c>
      <c r="P345" s="56">
        <f>IF($C345="B",INDEX(Batters[[#All],[K P]],MATCH(Table5[[#This Row],[PID]],Batters[[#All],[PID]],0)),INDEX(Table3[[#All],[STM]],MATCH(Table5[[#This Row],[PID]],Table3[[#All],[PID]],0)))</f>
        <v>2</v>
      </c>
      <c r="Q345" s="61">
        <f>IF($C345="B",INDEX(Batters[[#All],[Tot]],MATCH(Table5[[#This Row],[PID]],Batters[[#All],[PID]],0)),INDEX(Table3[[#All],[Tot]],MATCH(Table5[[#This Row],[PID]],Table3[[#All],[PID]],0)))</f>
        <v>44.196204304006365</v>
      </c>
      <c r="R345" s="52">
        <f>IF($C345="B",INDEX(Batters[[#All],[zScore]],MATCH(Table5[[#This Row],[PID]],Batters[[#All],[PID]],0)),INDEX(Table3[[#All],[zScore]],MATCH(Table5[[#This Row],[PID]],Table3[[#All],[PID]],0)))</f>
        <v>0.14271502721490012</v>
      </c>
      <c r="S345" s="58" t="str">
        <f>IF($C345="B",INDEX(Batters[[#All],[DEM]],MATCH(Table5[[#This Row],[PID]],Batters[[#All],[PID]],0)),INDEX(Table3[[#All],[DEM]],MATCH(Table5[[#This Row],[PID]],Table3[[#All],[PID]],0)))</f>
        <v>$100k</v>
      </c>
      <c r="T345" s="62">
        <f>IF($C345="B",INDEX(Batters[[#All],[Rnk]],MATCH(Table5[[#This Row],[PID]],Batters[[#All],[PID]],0)),INDEX(Table3[[#All],[Rnk]],MATCH(Table5[[#This Row],[PID]],Table3[[#All],[PID]],0)))</f>
        <v>930</v>
      </c>
      <c r="U345" s="67">
        <f>IF($C345="B",VLOOKUP($A345,Bat!$A$4:$BA$1314,47,FALSE),VLOOKUP($A345,Pit!$A$4:$BF$1214,56,FALSE))</f>
        <v>325</v>
      </c>
      <c r="V345" s="50">
        <f>IF($C345="B",VLOOKUP($A345,Bat!$A$4:$BA$1314,48,FALSE),VLOOKUP($A345,Pit!$A$4:$BF$1214,57,FALSE))</f>
        <v>0</v>
      </c>
      <c r="W345" s="68">
        <f>IF(Table5[[#This Row],[posRnk]]=999,9999,Table5[[#This Row],[posRnk]]+Table5[[#This Row],[zRnk]]+IF($W$3&lt;&gt;Table5[[#This Row],[Type]],50,0))</f>
        <v>1316</v>
      </c>
      <c r="X345" s="51">
        <f>RANK(Table5[[#This Row],[zScore]],Table5[[#All],[zScore]])</f>
        <v>336</v>
      </c>
      <c r="Y345" s="50" t="str">
        <f>IFERROR(INDEX(DraftResults[[#All],[OVR]],MATCH(Table5[[#This Row],[PID]],DraftResults[[#All],[Player ID]],0)),"")</f>
        <v/>
      </c>
      <c r="Z345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/>
      </c>
      <c r="AA345" s="50" t="str">
        <f>IFERROR(INDEX(DraftResults[[#All],[Pick in Round]],MATCH(Table5[[#This Row],[PID]],DraftResults[[#All],[Player ID]],0)),"")</f>
        <v/>
      </c>
      <c r="AB345" s="50" t="str">
        <f>IFERROR(INDEX(DraftResults[[#All],[Team Name]],MATCH(Table5[[#This Row],[PID]],DraftResults[[#All],[Player ID]],0)),"")</f>
        <v/>
      </c>
      <c r="AC345" s="50" t="str">
        <f>IF(Table5[[#This Row],[Ovr]]="","",IF(Table5[[#This Row],[cmbList]]="","",Table5[[#This Row],[cmbList]]-Table5[[#This Row],[Ovr]]))</f>
        <v/>
      </c>
      <c r="AD345" s="54" t="str">
        <f>IF(ISERROR(VLOOKUP($AB345&amp;"-"&amp;$E345&amp;" "&amp;F345,Bonuses!$B$1:$G$1006,4,FALSE)),"",INT(VLOOKUP($AB345&amp;"-"&amp;$E345&amp;" "&amp;$F345,Bonuses!$B$1:$G$1006,4,FALSE)))</f>
        <v/>
      </c>
      <c r="AE345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/>
      </c>
    </row>
    <row r="346" spans="1:31" s="50" customFormat="1" x14ac:dyDescent="0.3">
      <c r="A346" s="50">
        <v>12869</v>
      </c>
      <c r="B346" s="50">
        <f>COUNTIF(Table5[PID],A346)</f>
        <v>1</v>
      </c>
      <c r="C346" s="50" t="str">
        <f>IF(COUNTIF(Table3[[#All],[PID]],A346)&gt;0,"P","B")</f>
        <v>B</v>
      </c>
      <c r="D346" s="59" t="str">
        <f>IF($C346="B",INDEX(Batters[[#All],[POS]],MATCH(Table5[[#This Row],[PID]],Batters[[#All],[PID]],0)),INDEX(Table3[[#All],[POS]],MATCH(Table5[[#This Row],[PID]],Table3[[#All],[PID]],0)))</f>
        <v>C</v>
      </c>
      <c r="E346" s="52" t="str">
        <f>IF($C346="B",INDEX(Batters[[#All],[First]],MATCH(Table5[[#This Row],[PID]],Batters[[#All],[PID]],0)),INDEX(Table3[[#All],[First]],MATCH(Table5[[#This Row],[PID]],Table3[[#All],[PID]],0)))</f>
        <v>Maik</v>
      </c>
      <c r="F346" s="50" t="str">
        <f>IF($C346="B",INDEX(Batters[[#All],[Last]],MATCH(A346,Batters[[#All],[PID]],0)),INDEX(Table3[[#All],[Last]],MATCH(A346,Table3[[#All],[PID]],0)))</f>
        <v>Herbst</v>
      </c>
      <c r="G346" s="56">
        <f>IF($C346="B",INDEX(Batters[[#All],[Age]],MATCH(Table5[[#This Row],[PID]],Batters[[#All],[PID]],0)),INDEX(Table3[[#All],[Age]],MATCH(Table5[[#This Row],[PID]],Table3[[#All],[PID]],0)))</f>
        <v>17</v>
      </c>
      <c r="H346" s="52" t="str">
        <f>IF($C346="B",INDEX(Batters[[#All],[B]],MATCH(Table5[[#This Row],[PID]],Batters[[#All],[PID]],0)),INDEX(Table3[[#All],[B]],MATCH(Table5[[#This Row],[PID]],Table3[[#All],[PID]],0)))</f>
        <v>R</v>
      </c>
      <c r="I346" s="52" t="str">
        <f>IF($C346="B",INDEX(Batters[[#All],[T]],MATCH(Table5[[#This Row],[PID]],Batters[[#All],[PID]],0)),INDEX(Table3[[#All],[T]],MATCH(Table5[[#This Row],[PID]],Table3[[#All],[PID]],0)))</f>
        <v>R</v>
      </c>
      <c r="J346" s="52" t="str">
        <f>IF($C346="B",INDEX(Batters[[#All],[WE]],MATCH(Table5[[#This Row],[PID]],Batters[[#All],[PID]],0)),INDEX(Table3[[#All],[WE]],MATCH(Table5[[#This Row],[PID]],Table3[[#All],[PID]],0)))</f>
        <v>Normal</v>
      </c>
      <c r="K346" s="52" t="str">
        <f>IF($C346="B",INDEX(Batters[[#All],[INT]],MATCH(Table5[[#This Row],[PID]],Batters[[#All],[PID]],0)),INDEX(Table3[[#All],[INT]],MATCH(Table5[[#This Row],[PID]],Table3[[#All],[PID]],0)))</f>
        <v>Normal</v>
      </c>
      <c r="L346" s="60">
        <f>IF($C346="B",INDEX(Batters[[#All],[CON P]],MATCH(Table5[[#This Row],[PID]],Batters[[#All],[PID]],0)),INDEX(Table3[[#All],[STU P]],MATCH(Table5[[#This Row],[PID]],Table3[[#All],[PID]],0)))</f>
        <v>3</v>
      </c>
      <c r="M346" s="56">
        <f>IF($C346="B",INDEX(Batters[[#All],[GAP P]],MATCH(Table5[[#This Row],[PID]],Batters[[#All],[PID]],0)),INDEX(Table3[[#All],[MOV P]],MATCH(Table5[[#This Row],[PID]],Table3[[#All],[PID]],0)))</f>
        <v>5</v>
      </c>
      <c r="N346" s="56">
        <f>IF($C346="B",INDEX(Batters[[#All],[POW P]],MATCH(Table5[[#This Row],[PID]],Batters[[#All],[PID]],0)),INDEX(Table3[[#All],[CON P]],MATCH(Table5[[#This Row],[PID]],Table3[[#All],[PID]],0)))</f>
        <v>3</v>
      </c>
      <c r="O346" s="56">
        <f>IF($C346="B",INDEX(Batters[[#All],[EYE P]],MATCH(Table5[[#This Row],[PID]],Batters[[#All],[PID]],0)),INDEX(Table3[[#All],[VELO]],MATCH(Table5[[#This Row],[PID]],Table3[[#All],[PID]],0)))</f>
        <v>6</v>
      </c>
      <c r="P346" s="56">
        <f>IF($C346="B",INDEX(Batters[[#All],[K P]],MATCH(Table5[[#This Row],[PID]],Batters[[#All],[PID]],0)),INDEX(Table3[[#All],[STM]],MATCH(Table5[[#This Row],[PID]],Table3[[#All],[PID]],0)))</f>
        <v>3</v>
      </c>
      <c r="Q346" s="61">
        <f>IF($C346="B",INDEX(Batters[[#All],[Tot]],MATCH(Table5[[#This Row],[PID]],Batters[[#All],[PID]],0)),INDEX(Table3[[#All],[Tot]],MATCH(Table5[[#This Row],[PID]],Table3[[#All],[PID]],0)))</f>
        <v>43.583637748697711</v>
      </c>
      <c r="R346" s="52">
        <f>IF($C346="B",INDEX(Batters[[#All],[zScore]],MATCH(Table5[[#This Row],[PID]],Batters[[#All],[PID]],0)),INDEX(Table3[[#All],[zScore]],MATCH(Table5[[#This Row],[PID]],Table3[[#All],[PID]],0)))</f>
        <v>5.329984510342841E-2</v>
      </c>
      <c r="S346" s="58" t="str">
        <f>IF($C346="B",INDEX(Batters[[#All],[DEM]],MATCH(Table5[[#This Row],[PID]],Batters[[#All],[PID]],0)),INDEX(Table3[[#All],[DEM]],MATCH(Table5[[#This Row],[PID]],Table3[[#All],[PID]],0)))</f>
        <v>$65k</v>
      </c>
      <c r="T346" s="62">
        <f>IF($C346="B",INDEX(Batters[[#All],[Rnk]],MATCH(Table5[[#This Row],[PID]],Batters[[#All],[PID]],0)),INDEX(Table3[[#All],[Rnk]],MATCH(Table5[[#This Row],[PID]],Table3[[#All],[PID]],0)))</f>
        <v>900</v>
      </c>
      <c r="U346" s="67">
        <f>IF($C346="B",VLOOKUP($A346,Bat!$A$4:$BA$1314,47,FALSE),VLOOKUP($A346,Pit!$A$4:$BF$1214,56,FALSE))</f>
        <v>170</v>
      </c>
      <c r="V346" s="50">
        <f>IF($C346="B",VLOOKUP($A346,Bat!$A$4:$BA$1314,48,FALSE),VLOOKUP($A346,Pit!$A$4:$BF$1214,57,FALSE))</f>
        <v>0</v>
      </c>
      <c r="W346" s="68">
        <f>IF(Table5[[#This Row],[posRnk]]=999,9999,Table5[[#This Row],[posRnk]]+Table5[[#This Row],[zRnk]]+IF($W$3&lt;&gt;Table5[[#This Row],[Type]],50,0))</f>
        <v>1317</v>
      </c>
      <c r="X346" s="51">
        <f>RANK(Table5[[#This Row],[zScore]],Table5[[#All],[zScore]])</f>
        <v>367</v>
      </c>
      <c r="Y346" s="50" t="str">
        <f>IFERROR(INDEX(DraftResults[[#All],[OVR]],MATCH(Table5[[#This Row],[PID]],DraftResults[[#All],[Player ID]],0)),"")</f>
        <v/>
      </c>
      <c r="Z346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/>
      </c>
      <c r="AA346" s="50" t="str">
        <f>IFERROR(INDEX(DraftResults[[#All],[Pick in Round]],MATCH(Table5[[#This Row],[PID]],DraftResults[[#All],[Player ID]],0)),"")</f>
        <v/>
      </c>
      <c r="AB346" s="50" t="str">
        <f>IFERROR(INDEX(DraftResults[[#All],[Team Name]],MATCH(Table5[[#This Row],[PID]],DraftResults[[#All],[Player ID]],0)),"")</f>
        <v/>
      </c>
      <c r="AC346" s="50" t="str">
        <f>IF(Table5[[#This Row],[Ovr]]="","",IF(Table5[[#This Row],[cmbList]]="","",Table5[[#This Row],[cmbList]]-Table5[[#This Row],[Ovr]]))</f>
        <v/>
      </c>
      <c r="AD346" s="54" t="str">
        <f>IF(ISERROR(VLOOKUP($AB346&amp;"-"&amp;$E346&amp;" "&amp;F346,Bonuses!$B$1:$G$1006,4,FALSE)),"",INT(VLOOKUP($AB346&amp;"-"&amp;$E346&amp;" "&amp;$F346,Bonuses!$B$1:$G$1006,4,FALSE)))</f>
        <v/>
      </c>
      <c r="AE346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/>
      </c>
    </row>
    <row r="347" spans="1:31" s="50" customFormat="1" x14ac:dyDescent="0.3">
      <c r="A347" s="50">
        <v>9661</v>
      </c>
      <c r="B347" s="50">
        <f>COUNTIF(Table5[PID],A347)</f>
        <v>1</v>
      </c>
      <c r="C347" s="50" t="str">
        <f>IF(COUNTIF(Table3[[#All],[PID]],A347)&gt;0,"P","B")</f>
        <v>P</v>
      </c>
      <c r="D347" s="59" t="str">
        <f>IF($C347="B",INDEX(Batters[[#All],[POS]],MATCH(Table5[[#This Row],[PID]],Batters[[#All],[PID]],0)),INDEX(Table3[[#All],[POS]],MATCH(Table5[[#This Row],[PID]],Table3[[#All],[PID]],0)))</f>
        <v>RP</v>
      </c>
      <c r="E347" s="52" t="str">
        <f>IF($C347="B",INDEX(Batters[[#All],[First]],MATCH(Table5[[#This Row],[PID]],Batters[[#All],[PID]],0)),INDEX(Table3[[#All],[First]],MATCH(Table5[[#This Row],[PID]],Table3[[#All],[PID]],0)))</f>
        <v>Dennis</v>
      </c>
      <c r="F347" s="50" t="str">
        <f>IF($C347="B",INDEX(Batters[[#All],[Last]],MATCH(A347,Batters[[#All],[PID]],0)),INDEX(Table3[[#All],[Last]],MATCH(A347,Table3[[#All],[PID]],0)))</f>
        <v>Underwood</v>
      </c>
      <c r="G347" s="56">
        <f>IF($C347="B",INDEX(Batters[[#All],[Age]],MATCH(Table5[[#This Row],[PID]],Batters[[#All],[PID]],0)),INDEX(Table3[[#All],[Age]],MATCH(Table5[[#This Row],[PID]],Table3[[#All],[PID]],0)))</f>
        <v>18</v>
      </c>
      <c r="H347" s="52" t="str">
        <f>IF($C347="B",INDEX(Batters[[#All],[B]],MATCH(Table5[[#This Row],[PID]],Batters[[#All],[PID]],0)),INDEX(Table3[[#All],[B]],MATCH(Table5[[#This Row],[PID]],Table3[[#All],[PID]],0)))</f>
        <v>S</v>
      </c>
      <c r="I347" s="52" t="str">
        <f>IF($C347="B",INDEX(Batters[[#All],[T]],MATCH(Table5[[#This Row],[PID]],Batters[[#All],[PID]],0)),INDEX(Table3[[#All],[T]],MATCH(Table5[[#This Row],[PID]],Table3[[#All],[PID]],0)))</f>
        <v>R</v>
      </c>
      <c r="J347" s="52" t="str">
        <f>IF($C347="B",INDEX(Batters[[#All],[WE]],MATCH(Table5[[#This Row],[PID]],Batters[[#All],[PID]],0)),INDEX(Table3[[#All],[WE]],MATCH(Table5[[#This Row],[PID]],Table3[[#All],[PID]],0)))</f>
        <v>Normal</v>
      </c>
      <c r="K347" s="52" t="str">
        <f>IF($C347="B",INDEX(Batters[[#All],[INT]],MATCH(Table5[[#This Row],[PID]],Batters[[#All],[PID]],0)),INDEX(Table3[[#All],[INT]],MATCH(Table5[[#This Row],[PID]],Table3[[#All],[PID]],0)))</f>
        <v>Normal</v>
      </c>
      <c r="L347" s="60">
        <f>IF($C347="B",INDEX(Batters[[#All],[CON P]],MATCH(Table5[[#This Row],[PID]],Batters[[#All],[PID]],0)),INDEX(Table3[[#All],[STU P]],MATCH(Table5[[#This Row],[PID]],Table3[[#All],[PID]],0)))</f>
        <v>5</v>
      </c>
      <c r="M347" s="56">
        <f>IF($C347="B",INDEX(Batters[[#All],[GAP P]],MATCH(Table5[[#This Row],[PID]],Batters[[#All],[PID]],0)),INDEX(Table3[[#All],[MOV P]],MATCH(Table5[[#This Row],[PID]],Table3[[#All],[PID]],0)))</f>
        <v>2</v>
      </c>
      <c r="N347" s="56">
        <f>IF($C347="B",INDEX(Batters[[#All],[POW P]],MATCH(Table5[[#This Row],[PID]],Batters[[#All],[PID]],0)),INDEX(Table3[[#All],[CON P]],MATCH(Table5[[#This Row],[PID]],Table3[[#All],[PID]],0)))</f>
        <v>3</v>
      </c>
      <c r="O347" s="56" t="str">
        <f>IF($C347="B",INDEX(Batters[[#All],[EYE P]],MATCH(Table5[[#This Row],[PID]],Batters[[#All],[PID]],0)),INDEX(Table3[[#All],[VELO]],MATCH(Table5[[#This Row],[PID]],Table3[[#All],[PID]],0)))</f>
        <v>87-89 Mph</v>
      </c>
      <c r="P347" s="56">
        <f>IF($C347="B",INDEX(Batters[[#All],[K P]],MATCH(Table5[[#This Row],[PID]],Batters[[#All],[PID]],0)),INDEX(Table3[[#All],[STM]],MATCH(Table5[[#This Row],[PID]],Table3[[#All],[PID]],0)))</f>
        <v>6</v>
      </c>
      <c r="Q347" s="61">
        <f>IF($C347="B",INDEX(Batters[[#All],[Tot]],MATCH(Table5[[#This Row],[PID]],Batters[[#All],[PID]],0)),INDEX(Table3[[#All],[Tot]],MATCH(Table5[[#This Row],[PID]],Table3[[#All],[PID]],0)))</f>
        <v>38.536083423796128</v>
      </c>
      <c r="R347" s="52">
        <f>IF($C347="B",INDEX(Batters[[#All],[zScore]],MATCH(Table5[[#This Row],[PID]],Batters[[#All],[PID]],0)),INDEX(Table3[[#All],[zScore]],MATCH(Table5[[#This Row],[PID]],Table3[[#All],[PID]],0)))</f>
        <v>5.2230417964309966E-2</v>
      </c>
      <c r="S347" s="58" t="str">
        <f>IF($C347="B",INDEX(Batters[[#All],[DEM]],MATCH(Table5[[#This Row],[PID]],Batters[[#All],[PID]],0)),INDEX(Table3[[#All],[DEM]],MATCH(Table5[[#This Row],[PID]],Table3[[#All],[PID]],0)))</f>
        <v>$90k</v>
      </c>
      <c r="T347" s="62">
        <f>IF($C347="B",INDEX(Batters[[#All],[Rnk]],MATCH(Table5[[#This Row],[PID]],Batters[[#All],[PID]],0)),INDEX(Table3[[#All],[Rnk]],MATCH(Table5[[#This Row],[PID]],Table3[[#All],[PID]],0)))</f>
        <v>900</v>
      </c>
      <c r="U347" s="67">
        <f>IF($C347="B",VLOOKUP($A347,Bat!$A$4:$BA$1314,47,FALSE),VLOOKUP($A347,Pit!$A$4:$BF$1214,56,FALSE))</f>
        <v>120</v>
      </c>
      <c r="V347" s="50">
        <f>IF($C347="B",VLOOKUP($A347,Bat!$A$4:$BA$1314,48,FALSE),VLOOKUP($A347,Pit!$A$4:$BF$1214,57,FALSE))</f>
        <v>0</v>
      </c>
      <c r="W347" s="68">
        <f>IF(Table5[[#This Row],[posRnk]]=999,9999,Table5[[#This Row],[posRnk]]+Table5[[#This Row],[zRnk]]+IF($W$3&lt;&gt;Table5[[#This Row],[Type]],50,0))</f>
        <v>1268</v>
      </c>
      <c r="X347" s="51">
        <f>RANK(Table5[[#This Row],[zScore]],Table5[[#All],[zScore]])</f>
        <v>368</v>
      </c>
      <c r="Y347" s="50">
        <f>IFERROR(INDEX(DraftResults[[#All],[OVR]],MATCH(Table5[[#This Row],[PID]],DraftResults[[#All],[Player ID]],0)),"")</f>
        <v>661</v>
      </c>
      <c r="Z347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20</v>
      </c>
      <c r="AA347" s="50">
        <f>IFERROR(INDEX(DraftResults[[#All],[Pick in Round]],MATCH(Table5[[#This Row],[PID]],DraftResults[[#All],[Player ID]],0)),"")</f>
        <v>24</v>
      </c>
      <c r="AB347" s="50" t="str">
        <f>IFERROR(INDEX(DraftResults[[#All],[Team Name]],MATCH(Table5[[#This Row],[PID]],DraftResults[[#All],[Player ID]],0)),"")</f>
        <v>Reno Zephyrs</v>
      </c>
      <c r="AC347" s="50">
        <f>IF(Table5[[#This Row],[Ovr]]="","",IF(Table5[[#This Row],[cmbList]]="","",Table5[[#This Row],[cmbList]]-Table5[[#This Row],[Ovr]]))</f>
        <v>607</v>
      </c>
      <c r="AD347" s="54" t="str">
        <f>IF(ISERROR(VLOOKUP($AB347&amp;"-"&amp;$E347&amp;" "&amp;F347,Bonuses!$B$1:$G$1006,4,FALSE)),"",INT(VLOOKUP($AB347&amp;"-"&amp;$E347&amp;" "&amp;$F347,Bonuses!$B$1:$G$1006,4,FALSE)))</f>
        <v/>
      </c>
      <c r="AE347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20.24 (661) - RP Dennis Underwood</v>
      </c>
    </row>
    <row r="348" spans="1:31" s="50" customFormat="1" x14ac:dyDescent="0.3">
      <c r="A348" s="50">
        <v>20209</v>
      </c>
      <c r="B348" s="50">
        <f>COUNTIF(Table5[PID],A348)</f>
        <v>1</v>
      </c>
      <c r="C348" s="50" t="str">
        <f>IF(COUNTIF(Table3[[#All],[PID]],A348)&gt;0,"P","B")</f>
        <v>P</v>
      </c>
      <c r="D348" s="59" t="str">
        <f>IF($C348="B",INDEX(Batters[[#All],[POS]],MATCH(Table5[[#This Row],[PID]],Batters[[#All],[PID]],0)),INDEX(Table3[[#All],[POS]],MATCH(Table5[[#This Row],[PID]],Table3[[#All],[PID]],0)))</f>
        <v>RP</v>
      </c>
      <c r="E348" s="52" t="str">
        <f>IF($C348="B",INDEX(Batters[[#All],[First]],MATCH(Table5[[#This Row],[PID]],Batters[[#All],[PID]],0)),INDEX(Table3[[#All],[First]],MATCH(Table5[[#This Row],[PID]],Table3[[#All],[PID]],0)))</f>
        <v>Wu-sheng</v>
      </c>
      <c r="F348" s="50" t="str">
        <f>IF($C348="B",INDEX(Batters[[#All],[Last]],MATCH(A348,Batters[[#All],[PID]],0)),INDEX(Table3[[#All],[Last]],MATCH(A348,Table3[[#All],[PID]],0)))</f>
        <v>Sang</v>
      </c>
      <c r="G348" s="56">
        <f>IF($C348="B",INDEX(Batters[[#All],[Age]],MATCH(Table5[[#This Row],[PID]],Batters[[#All],[PID]],0)),INDEX(Table3[[#All],[Age]],MATCH(Table5[[#This Row],[PID]],Table3[[#All],[PID]],0)))</f>
        <v>21</v>
      </c>
      <c r="H348" s="52" t="str">
        <f>IF($C348="B",INDEX(Batters[[#All],[B]],MATCH(Table5[[#This Row],[PID]],Batters[[#All],[PID]],0)),INDEX(Table3[[#All],[B]],MATCH(Table5[[#This Row],[PID]],Table3[[#All],[PID]],0)))</f>
        <v>R</v>
      </c>
      <c r="I348" s="52" t="str">
        <f>IF($C348="B",INDEX(Batters[[#All],[T]],MATCH(Table5[[#This Row],[PID]],Batters[[#All],[PID]],0)),INDEX(Table3[[#All],[T]],MATCH(Table5[[#This Row],[PID]],Table3[[#All],[PID]],0)))</f>
        <v>R</v>
      </c>
      <c r="J348" s="52" t="str">
        <f>IF($C348="B",INDEX(Batters[[#All],[WE]],MATCH(Table5[[#This Row],[PID]],Batters[[#All],[PID]],0)),INDEX(Table3[[#All],[WE]],MATCH(Table5[[#This Row],[PID]],Table3[[#All],[PID]],0)))</f>
        <v>Low</v>
      </c>
      <c r="K348" s="52" t="str">
        <f>IF($C348="B",INDEX(Batters[[#All],[INT]],MATCH(Table5[[#This Row],[PID]],Batters[[#All],[PID]],0)),INDEX(Table3[[#All],[INT]],MATCH(Table5[[#This Row],[PID]],Table3[[#All],[PID]],0)))</f>
        <v>High</v>
      </c>
      <c r="L348" s="60">
        <f>IF($C348="B",INDEX(Batters[[#All],[CON P]],MATCH(Table5[[#This Row],[PID]],Batters[[#All],[PID]],0)),INDEX(Table3[[#All],[STU P]],MATCH(Table5[[#This Row],[PID]],Table3[[#All],[PID]],0)))</f>
        <v>5</v>
      </c>
      <c r="M348" s="56">
        <f>IF($C348="B",INDEX(Batters[[#All],[GAP P]],MATCH(Table5[[#This Row],[PID]],Batters[[#All],[PID]],0)),INDEX(Table3[[#All],[MOV P]],MATCH(Table5[[#This Row],[PID]],Table3[[#All],[PID]],0)))</f>
        <v>2</v>
      </c>
      <c r="N348" s="56">
        <f>IF($C348="B",INDEX(Batters[[#All],[POW P]],MATCH(Table5[[#This Row],[PID]],Batters[[#All],[PID]],0)),INDEX(Table3[[#All],[CON P]],MATCH(Table5[[#This Row],[PID]],Table3[[#All],[PID]],0)))</f>
        <v>4</v>
      </c>
      <c r="O348" s="56" t="str">
        <f>IF($C348="B",INDEX(Batters[[#All],[EYE P]],MATCH(Table5[[#This Row],[PID]],Batters[[#All],[PID]],0)),INDEX(Table3[[#All],[VELO]],MATCH(Table5[[#This Row],[PID]],Table3[[#All],[PID]],0)))</f>
        <v>89-91 Mph</v>
      </c>
      <c r="P348" s="56">
        <f>IF($C348="B",INDEX(Batters[[#All],[K P]],MATCH(Table5[[#This Row],[PID]],Batters[[#All],[PID]],0)),INDEX(Table3[[#All],[STM]],MATCH(Table5[[#This Row],[PID]],Table3[[#All],[PID]],0)))</f>
        <v>6</v>
      </c>
      <c r="Q348" s="61">
        <f>IF($C348="B",INDEX(Batters[[#All],[Tot]],MATCH(Table5[[#This Row],[PID]],Batters[[#All],[PID]],0)),INDEX(Table3[[#All],[Tot]],MATCH(Table5[[#This Row],[PID]],Table3[[#All],[PID]],0)))</f>
        <v>39.724445106187801</v>
      </c>
      <c r="R348" s="52">
        <f>IF($C348="B",INDEX(Batters[[#All],[zScore]],MATCH(Table5[[#This Row],[PID]],Batters[[#All],[PID]],0)),INDEX(Table3[[#All],[zScore]],MATCH(Table5[[#This Row],[PID]],Table3[[#All],[PID]],0)))</f>
        <v>0.1368501273473583</v>
      </c>
      <c r="S348" s="58" t="str">
        <f>IF($C348="B",INDEX(Batters[[#All],[DEM]],MATCH(Table5[[#This Row],[PID]],Batters[[#All],[PID]],0)),INDEX(Table3[[#All],[DEM]],MATCH(Table5[[#This Row],[PID]],Table3[[#All],[PID]],0)))</f>
        <v>-</v>
      </c>
      <c r="T348" s="62">
        <f>IF($C348="B",INDEX(Batters[[#All],[Rnk]],MATCH(Table5[[#This Row],[PID]],Batters[[#All],[PID]],0)),INDEX(Table3[[#All],[Rnk]],MATCH(Table5[[#This Row],[PID]],Table3[[#All],[PID]],0)))</f>
        <v>930</v>
      </c>
      <c r="U348" s="67">
        <f>IF($C348="B",VLOOKUP($A348,Bat!$A$4:$BA$1314,47,FALSE),VLOOKUP($A348,Pit!$A$4:$BF$1214,56,FALSE))</f>
        <v>271</v>
      </c>
      <c r="V348" s="50">
        <f>IF($C348="B",VLOOKUP($A348,Bat!$A$4:$BA$1314,48,FALSE),VLOOKUP($A348,Pit!$A$4:$BF$1214,57,FALSE))</f>
        <v>0</v>
      </c>
      <c r="W348" s="68">
        <f>IF(Table5[[#This Row],[posRnk]]=999,9999,Table5[[#This Row],[posRnk]]+Table5[[#This Row],[zRnk]]+IF($W$3&lt;&gt;Table5[[#This Row],[Type]],50,0))</f>
        <v>1269</v>
      </c>
      <c r="X348" s="51">
        <f>RANK(Table5[[#This Row],[zScore]],Table5[[#All],[zScore]])</f>
        <v>339</v>
      </c>
      <c r="Y348" s="50">
        <f>IFERROR(INDEX(DraftResults[[#All],[OVR]],MATCH(Table5[[#This Row],[PID]],DraftResults[[#All],[Player ID]],0)),"")</f>
        <v>363</v>
      </c>
      <c r="Z348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11</v>
      </c>
      <c r="AA348" s="50">
        <f>IFERROR(INDEX(DraftResults[[#All],[Pick in Round]],MATCH(Table5[[#This Row],[PID]],DraftResults[[#All],[Player ID]],0)),"")</f>
        <v>32</v>
      </c>
      <c r="AB348" s="50" t="str">
        <f>IFERROR(INDEX(DraftResults[[#All],[Team Name]],MATCH(Table5[[#This Row],[PID]],DraftResults[[#All],[Player ID]],0)),"")</f>
        <v>Florida Farstriders</v>
      </c>
      <c r="AC348" s="50">
        <f>IF(Table5[[#This Row],[Ovr]]="","",IF(Table5[[#This Row],[cmbList]]="","",Table5[[#This Row],[cmbList]]-Table5[[#This Row],[Ovr]]))</f>
        <v>906</v>
      </c>
      <c r="AD348" s="54" t="str">
        <f>IF(ISERROR(VLOOKUP($AB348&amp;"-"&amp;$E348&amp;" "&amp;F348,Bonuses!$B$1:$G$1006,4,FALSE)),"",INT(VLOOKUP($AB348&amp;"-"&amp;$E348&amp;" "&amp;$F348,Bonuses!$B$1:$G$1006,4,FALSE)))</f>
        <v/>
      </c>
      <c r="AE348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11.32 (363) - RP Wu-sheng Sang</v>
      </c>
    </row>
    <row r="349" spans="1:31" s="50" customFormat="1" x14ac:dyDescent="0.3">
      <c r="A349" s="50">
        <v>11667</v>
      </c>
      <c r="B349" s="50">
        <f>COUNTIF(Table5[PID],A349)</f>
        <v>1</v>
      </c>
      <c r="C349" s="50" t="str">
        <f>IF(COUNTIF(Table3[[#All],[PID]],A349)&gt;0,"P","B")</f>
        <v>P</v>
      </c>
      <c r="D349" s="59" t="str">
        <f>IF($C349="B",INDEX(Batters[[#All],[POS]],MATCH(Table5[[#This Row],[PID]],Batters[[#All],[PID]],0)),INDEX(Table3[[#All],[POS]],MATCH(Table5[[#This Row],[PID]],Table3[[#All],[PID]],0)))</f>
        <v>SP</v>
      </c>
      <c r="E349" s="52" t="str">
        <f>IF($C349="B",INDEX(Batters[[#All],[First]],MATCH(Table5[[#This Row],[PID]],Batters[[#All],[PID]],0)),INDEX(Table3[[#All],[First]],MATCH(Table5[[#This Row],[PID]],Table3[[#All],[PID]],0)))</f>
        <v>Duane</v>
      </c>
      <c r="F349" s="50" t="str">
        <f>IF($C349="B",INDEX(Batters[[#All],[Last]],MATCH(A349,Batters[[#All],[PID]],0)),INDEX(Table3[[#All],[Last]],MATCH(A349,Table3[[#All],[PID]],0)))</f>
        <v>Wilkinson</v>
      </c>
      <c r="G349" s="56">
        <f>IF($C349="B",INDEX(Batters[[#All],[Age]],MATCH(Table5[[#This Row],[PID]],Batters[[#All],[PID]],0)),INDEX(Table3[[#All],[Age]],MATCH(Table5[[#This Row],[PID]],Table3[[#All],[PID]],0)))</f>
        <v>18</v>
      </c>
      <c r="H349" s="52" t="str">
        <f>IF($C349="B",INDEX(Batters[[#All],[B]],MATCH(Table5[[#This Row],[PID]],Batters[[#All],[PID]],0)),INDEX(Table3[[#All],[B]],MATCH(Table5[[#This Row],[PID]],Table3[[#All],[PID]],0)))</f>
        <v>S</v>
      </c>
      <c r="I349" s="52" t="str">
        <f>IF($C349="B",INDEX(Batters[[#All],[T]],MATCH(Table5[[#This Row],[PID]],Batters[[#All],[PID]],0)),INDEX(Table3[[#All],[T]],MATCH(Table5[[#This Row],[PID]],Table3[[#All],[PID]],0)))</f>
        <v>R</v>
      </c>
      <c r="J349" s="52" t="str">
        <f>IF($C349="B",INDEX(Batters[[#All],[WE]],MATCH(Table5[[#This Row],[PID]],Batters[[#All],[PID]],0)),INDEX(Table3[[#All],[WE]],MATCH(Table5[[#This Row],[PID]],Table3[[#All],[PID]],0)))</f>
        <v>Normal</v>
      </c>
      <c r="K349" s="52" t="str">
        <f>IF($C349="B",INDEX(Batters[[#All],[INT]],MATCH(Table5[[#This Row],[PID]],Batters[[#All],[PID]],0)),INDEX(Table3[[#All],[INT]],MATCH(Table5[[#This Row],[PID]],Table3[[#All],[PID]],0)))</f>
        <v>Normal</v>
      </c>
      <c r="L349" s="60">
        <f>IF($C349="B",INDEX(Batters[[#All],[CON P]],MATCH(Table5[[#This Row],[PID]],Batters[[#All],[PID]],0)),INDEX(Table3[[#All],[STU P]],MATCH(Table5[[#This Row],[PID]],Table3[[#All],[PID]],0)))</f>
        <v>4</v>
      </c>
      <c r="M349" s="56">
        <f>IF($C349="B",INDEX(Batters[[#All],[GAP P]],MATCH(Table5[[#This Row],[PID]],Batters[[#All],[PID]],0)),INDEX(Table3[[#All],[MOV P]],MATCH(Table5[[#This Row],[PID]],Table3[[#All],[PID]],0)))</f>
        <v>2</v>
      </c>
      <c r="N349" s="56">
        <f>IF($C349="B",INDEX(Batters[[#All],[POW P]],MATCH(Table5[[#This Row],[PID]],Batters[[#All],[PID]],0)),INDEX(Table3[[#All],[CON P]],MATCH(Table5[[#This Row],[PID]],Table3[[#All],[PID]],0)))</f>
        <v>4</v>
      </c>
      <c r="O349" s="56" t="str">
        <f>IF($C349="B",INDEX(Batters[[#All],[EYE P]],MATCH(Table5[[#This Row],[PID]],Batters[[#All],[PID]],0)),INDEX(Table3[[#All],[VELO]],MATCH(Table5[[#This Row],[PID]],Table3[[#All],[PID]],0)))</f>
        <v>89-91 Mph</v>
      </c>
      <c r="P349" s="56">
        <f>IF($C349="B",INDEX(Batters[[#All],[K P]],MATCH(Table5[[#This Row],[PID]],Batters[[#All],[PID]],0)),INDEX(Table3[[#All],[STM]],MATCH(Table5[[#This Row],[PID]],Table3[[#All],[PID]],0)))</f>
        <v>7</v>
      </c>
      <c r="Q349" s="61">
        <f>IF($C349="B",INDEX(Batters[[#All],[Tot]],MATCH(Table5[[#This Row],[PID]],Batters[[#All],[PID]],0)),INDEX(Table3[[#All],[Tot]],MATCH(Table5[[#This Row],[PID]],Table3[[#All],[PID]],0)))</f>
        <v>38.508199435095932</v>
      </c>
      <c r="R349" s="52">
        <f>IF($C349="B",INDEX(Batters[[#All],[zScore]],MATCH(Table5[[#This Row],[PID]],Batters[[#All],[PID]],0)),INDEX(Table3[[#All],[zScore]],MATCH(Table5[[#This Row],[PID]],Table3[[#All],[PID]],0)))</f>
        <v>5.0244881864305396E-2</v>
      </c>
      <c r="S349" s="58" t="str">
        <f>IF($C349="B",INDEX(Batters[[#All],[DEM]],MATCH(Table5[[#This Row],[PID]],Batters[[#All],[PID]],0)),INDEX(Table3[[#All],[DEM]],MATCH(Table5[[#This Row],[PID]],Table3[[#All],[PID]],0)))</f>
        <v>-</v>
      </c>
      <c r="T349" s="62">
        <f>IF($C349="B",INDEX(Batters[[#All],[Rnk]],MATCH(Table5[[#This Row],[PID]],Batters[[#All],[PID]],0)),INDEX(Table3[[#All],[Rnk]],MATCH(Table5[[#This Row],[PID]],Table3[[#All],[PID]],0)))</f>
        <v>900</v>
      </c>
      <c r="U349" s="67">
        <f>IF($C349="B",VLOOKUP($A349,Bat!$A$4:$BA$1314,47,FALSE),VLOOKUP($A349,Pit!$A$4:$BF$1214,56,FALSE))</f>
        <v>121</v>
      </c>
      <c r="V349" s="50">
        <f>IF($C349="B",VLOOKUP($A349,Bat!$A$4:$BA$1314,48,FALSE),VLOOKUP($A349,Pit!$A$4:$BF$1214,57,FALSE))</f>
        <v>0</v>
      </c>
      <c r="W349" s="68">
        <f>IF(Table5[[#This Row],[posRnk]]=999,9999,Table5[[#This Row],[posRnk]]+Table5[[#This Row],[zRnk]]+IF($W$3&lt;&gt;Table5[[#This Row],[Type]],50,0))</f>
        <v>1270</v>
      </c>
      <c r="X349" s="51">
        <f>RANK(Table5[[#This Row],[zScore]],Table5[[#All],[zScore]])</f>
        <v>370</v>
      </c>
      <c r="Y349" s="50">
        <f>IFERROR(INDEX(DraftResults[[#All],[OVR]],MATCH(Table5[[#This Row],[PID]],DraftResults[[#All],[Player ID]],0)),"")</f>
        <v>539</v>
      </c>
      <c r="Z349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17</v>
      </c>
      <c r="AA349" s="50">
        <f>IFERROR(INDEX(DraftResults[[#All],[Pick in Round]],MATCH(Table5[[#This Row],[PID]],DraftResults[[#All],[Player ID]],0)),"")</f>
        <v>4</v>
      </c>
      <c r="AB349" s="50" t="str">
        <f>IFERROR(INDEX(DraftResults[[#All],[Team Name]],MATCH(Table5[[#This Row],[PID]],DraftResults[[#All],[Player ID]],0)),"")</f>
        <v>Palm Springs Codgers</v>
      </c>
      <c r="AC349" s="50">
        <f>IF(Table5[[#This Row],[Ovr]]="","",IF(Table5[[#This Row],[cmbList]]="","",Table5[[#This Row],[cmbList]]-Table5[[#This Row],[Ovr]]))</f>
        <v>731</v>
      </c>
      <c r="AD349" s="54" t="str">
        <f>IF(ISERROR(VLOOKUP($AB349&amp;"-"&amp;$E349&amp;" "&amp;F349,Bonuses!$B$1:$G$1006,4,FALSE)),"",INT(VLOOKUP($AB349&amp;"-"&amp;$E349&amp;" "&amp;$F349,Bonuses!$B$1:$G$1006,4,FALSE)))</f>
        <v/>
      </c>
      <c r="AE349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17.4 (539) - SP Duane Wilkinson</v>
      </c>
    </row>
    <row r="350" spans="1:31" s="50" customFormat="1" x14ac:dyDescent="0.3">
      <c r="A350" s="67">
        <v>13072</v>
      </c>
      <c r="B350" s="68">
        <f>COUNTIF(Table5[PID],A350)</f>
        <v>1</v>
      </c>
      <c r="C350" s="68" t="str">
        <f>IF(COUNTIF(Table3[[#All],[PID]],A350)&gt;0,"P","B")</f>
        <v>P</v>
      </c>
      <c r="D350" s="59" t="str">
        <f>IF($C350="B",INDEX(Batters[[#All],[POS]],MATCH(Table5[[#This Row],[PID]],Batters[[#All],[PID]],0)),INDEX(Table3[[#All],[POS]],MATCH(Table5[[#This Row],[PID]],Table3[[#All],[PID]],0)))</f>
        <v>SP</v>
      </c>
      <c r="E350" s="52" t="str">
        <f>IF($C350="B",INDEX(Batters[[#All],[First]],MATCH(Table5[[#This Row],[PID]],Batters[[#All],[PID]],0)),INDEX(Table3[[#All],[First]],MATCH(Table5[[#This Row],[PID]],Table3[[#All],[PID]],0)))</f>
        <v>Govaart</v>
      </c>
      <c r="F350" s="55" t="str">
        <f>IF($C350="B",INDEX(Batters[[#All],[Last]],MATCH(A350,Batters[[#All],[PID]],0)),INDEX(Table3[[#All],[Last]],MATCH(A350,Table3[[#All],[PID]],0)))</f>
        <v>Heijmans</v>
      </c>
      <c r="G350" s="56">
        <f>IF($C350="B",INDEX(Batters[[#All],[Age]],MATCH(Table5[[#This Row],[PID]],Batters[[#All],[PID]],0)),INDEX(Table3[[#All],[Age]],MATCH(Table5[[#This Row],[PID]],Table3[[#All],[PID]],0)))</f>
        <v>17</v>
      </c>
      <c r="H350" s="52" t="str">
        <f>IF($C350="B",INDEX(Batters[[#All],[B]],MATCH(Table5[[#This Row],[PID]],Batters[[#All],[PID]],0)),INDEX(Table3[[#All],[B]],MATCH(Table5[[#This Row],[PID]],Table3[[#All],[PID]],0)))</f>
        <v>L</v>
      </c>
      <c r="I350" s="52" t="str">
        <f>IF($C350="B",INDEX(Batters[[#All],[T]],MATCH(Table5[[#This Row],[PID]],Batters[[#All],[PID]],0)),INDEX(Table3[[#All],[T]],MATCH(Table5[[#This Row],[PID]],Table3[[#All],[PID]],0)))</f>
        <v>L</v>
      </c>
      <c r="J350" s="69" t="str">
        <f>IF($C350="B",INDEX(Batters[[#All],[WE]],MATCH(Table5[[#This Row],[PID]],Batters[[#All],[PID]],0)),INDEX(Table3[[#All],[WE]],MATCH(Table5[[#This Row],[PID]],Table3[[#All],[PID]],0)))</f>
        <v>Low</v>
      </c>
      <c r="K350" s="52" t="str">
        <f>IF($C350="B",INDEX(Batters[[#All],[INT]],MATCH(Table5[[#This Row],[PID]],Batters[[#All],[PID]],0)),INDEX(Table3[[#All],[INT]],MATCH(Table5[[#This Row],[PID]],Table3[[#All],[PID]],0)))</f>
        <v>Normal</v>
      </c>
      <c r="L350" s="60">
        <f>IF($C350="B",INDEX(Batters[[#All],[CON P]],MATCH(Table5[[#This Row],[PID]],Batters[[#All],[PID]],0)),INDEX(Table3[[#All],[STU P]],MATCH(Table5[[#This Row],[PID]],Table3[[#All],[PID]],0)))</f>
        <v>5</v>
      </c>
      <c r="M350" s="70">
        <f>IF($C350="B",INDEX(Batters[[#All],[GAP P]],MATCH(Table5[[#This Row],[PID]],Batters[[#All],[PID]],0)),INDEX(Table3[[#All],[MOV P]],MATCH(Table5[[#This Row],[PID]],Table3[[#All],[PID]],0)))</f>
        <v>2</v>
      </c>
      <c r="N350" s="70">
        <f>IF($C350="B",INDEX(Batters[[#All],[POW P]],MATCH(Table5[[#This Row],[PID]],Batters[[#All],[PID]],0)),INDEX(Table3[[#All],[CON P]],MATCH(Table5[[#This Row],[PID]],Table3[[#All],[PID]],0)))</f>
        <v>3</v>
      </c>
      <c r="O350" s="70" t="str">
        <f>IF($C350="B",INDEX(Batters[[#All],[EYE P]],MATCH(Table5[[#This Row],[PID]],Batters[[#All],[PID]],0)),INDEX(Table3[[#All],[VELO]],MATCH(Table5[[#This Row],[PID]],Table3[[#All],[PID]],0)))</f>
        <v>90-92 Mph</v>
      </c>
      <c r="P350" s="56">
        <f>IF($C350="B",INDEX(Batters[[#All],[K P]],MATCH(Table5[[#This Row],[PID]],Batters[[#All],[PID]],0)),INDEX(Table3[[#All],[STM]],MATCH(Table5[[#This Row],[PID]],Table3[[#All],[PID]],0)))</f>
        <v>7</v>
      </c>
      <c r="Q350" s="61">
        <f>IF($C350="B",INDEX(Batters[[#All],[Tot]],MATCH(Table5[[#This Row],[PID]],Batters[[#All],[PID]],0)),INDEX(Table3[[#All],[Tot]],MATCH(Table5[[#This Row],[PID]],Table3[[#All],[PID]],0)))</f>
        <v>39.644700947483202</v>
      </c>
      <c r="R350" s="52">
        <f>IF($C350="B",INDEX(Batters[[#All],[zScore]],MATCH(Table5[[#This Row],[PID]],Batters[[#All],[PID]],0)),INDEX(Table3[[#All],[zScore]],MATCH(Table5[[#This Row],[PID]],Table3[[#All],[PID]],0)))</f>
        <v>0.1311717824170521</v>
      </c>
      <c r="S350" s="75" t="str">
        <f>IF($C350="B",INDEX(Batters[[#All],[DEM]],MATCH(Table5[[#This Row],[PID]],Batters[[#All],[PID]],0)),INDEX(Table3[[#All],[DEM]],MATCH(Table5[[#This Row],[PID]],Table3[[#All],[PID]],0)))</f>
        <v>$38k</v>
      </c>
      <c r="T350" s="72">
        <f>IF($C350="B",INDEX(Batters[[#All],[Rnk]],MATCH(Table5[[#This Row],[PID]],Batters[[#All],[PID]],0)),INDEX(Table3[[#All],[Rnk]],MATCH(Table5[[#This Row],[PID]],Table3[[#All],[PID]],0)))</f>
        <v>930</v>
      </c>
      <c r="U350" s="67">
        <f>IF($C350="B",VLOOKUP($A350,Bat!$A$4:$BA$1314,47,FALSE),VLOOKUP($A350,Pit!$A$4:$BF$1214,56,FALSE))</f>
        <v>275</v>
      </c>
      <c r="V350" s="50">
        <f>IF($C350="B",VLOOKUP($A350,Bat!$A$4:$BA$1314,48,FALSE),VLOOKUP($A350,Pit!$A$4:$BF$1214,57,FALSE))</f>
        <v>0</v>
      </c>
      <c r="W350" s="68">
        <f>IF(Table5[[#This Row],[posRnk]]=999,9999,Table5[[#This Row],[posRnk]]+Table5[[#This Row],[zRnk]]+IF($W$3&lt;&gt;Table5[[#This Row],[Type]],50,0))</f>
        <v>1270</v>
      </c>
      <c r="X350" s="71">
        <f>RANK(Table5[[#This Row],[zScore]],Table5[[#All],[zScore]])</f>
        <v>340</v>
      </c>
      <c r="Y350" s="68">
        <f>IFERROR(INDEX(DraftResults[[#All],[OVR]],MATCH(Table5[[#This Row],[PID]],DraftResults[[#All],[Player ID]],0)),"")</f>
        <v>378</v>
      </c>
      <c r="Z350" s="7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12</v>
      </c>
      <c r="AA350" s="68">
        <f>IFERROR(INDEX(DraftResults[[#All],[Pick in Round]],MATCH(Table5[[#This Row],[PID]],DraftResults[[#All],[Player ID]],0)),"")</f>
        <v>13</v>
      </c>
      <c r="AB350" s="68" t="str">
        <f>IFERROR(INDEX(DraftResults[[#All],[Team Name]],MATCH(Table5[[#This Row],[PID]],DraftResults[[#All],[Player ID]],0)),"")</f>
        <v>Scottish Claymores</v>
      </c>
      <c r="AC350" s="68">
        <f>IF(Table5[[#This Row],[Ovr]]="","",IF(Table5[[#This Row],[cmbList]]="","",Table5[[#This Row],[cmbList]]-Table5[[#This Row],[Ovr]]))</f>
        <v>892</v>
      </c>
      <c r="AD350" s="74" t="str">
        <f>IF(ISERROR(VLOOKUP($AB350&amp;"-"&amp;$E350&amp;" "&amp;F350,Bonuses!$B$1:$G$1006,4,FALSE)),"",INT(VLOOKUP($AB350&amp;"-"&amp;$E350&amp;" "&amp;$F350,Bonuses!$B$1:$G$1006,4,FALSE)))</f>
        <v/>
      </c>
      <c r="AE350" s="68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12.13 (378) - SP Govaart Heijmans</v>
      </c>
    </row>
    <row r="351" spans="1:31" s="50" customFormat="1" x14ac:dyDescent="0.3">
      <c r="A351" s="50">
        <v>12483</v>
      </c>
      <c r="B351" s="50">
        <f>COUNTIF(Table5[PID],A351)</f>
        <v>1</v>
      </c>
      <c r="C351" s="50" t="str">
        <f>IF(COUNTIF(Table3[[#All],[PID]],A351)&gt;0,"P","B")</f>
        <v>P</v>
      </c>
      <c r="D351" s="59" t="str">
        <f>IF($C351="B",INDEX(Batters[[#All],[POS]],MATCH(Table5[[#This Row],[PID]],Batters[[#All],[PID]],0)),INDEX(Table3[[#All],[POS]],MATCH(Table5[[#This Row],[PID]],Table3[[#All],[PID]],0)))</f>
        <v>RP</v>
      </c>
      <c r="E351" s="52" t="str">
        <f>IF($C351="B",INDEX(Batters[[#All],[First]],MATCH(Table5[[#This Row],[PID]],Batters[[#All],[PID]],0)),INDEX(Table3[[#All],[First]],MATCH(Table5[[#This Row],[PID]],Table3[[#All],[PID]],0)))</f>
        <v>Dan</v>
      </c>
      <c r="F351" s="50" t="str">
        <f>IF($C351="B",INDEX(Batters[[#All],[Last]],MATCH(A351,Batters[[#All],[PID]],0)),INDEX(Table3[[#All],[Last]],MATCH(A351,Table3[[#All],[PID]],0)))</f>
        <v>Ford</v>
      </c>
      <c r="G351" s="56">
        <f>IF($C351="B",INDEX(Batters[[#All],[Age]],MATCH(Table5[[#This Row],[PID]],Batters[[#All],[PID]],0)),INDEX(Table3[[#All],[Age]],MATCH(Table5[[#This Row],[PID]],Table3[[#All],[PID]],0)))</f>
        <v>17</v>
      </c>
      <c r="H351" s="52" t="str">
        <f>IF($C351="B",INDEX(Batters[[#All],[B]],MATCH(Table5[[#This Row],[PID]],Batters[[#All],[PID]],0)),INDEX(Table3[[#All],[B]],MATCH(Table5[[#This Row],[PID]],Table3[[#All],[PID]],0)))</f>
        <v>R</v>
      </c>
      <c r="I351" s="52" t="str">
        <f>IF($C351="B",INDEX(Batters[[#All],[T]],MATCH(Table5[[#This Row],[PID]],Batters[[#All],[PID]],0)),INDEX(Table3[[#All],[T]],MATCH(Table5[[#This Row],[PID]],Table3[[#All],[PID]],0)))</f>
        <v>R</v>
      </c>
      <c r="J351" s="52" t="str">
        <f>IF($C351="B",INDEX(Batters[[#All],[WE]],MATCH(Table5[[#This Row],[PID]],Batters[[#All],[PID]],0)),INDEX(Table3[[#All],[WE]],MATCH(Table5[[#This Row],[PID]],Table3[[#All],[PID]],0)))</f>
        <v>Normal</v>
      </c>
      <c r="K351" s="52" t="str">
        <f>IF($C351="B",INDEX(Batters[[#All],[INT]],MATCH(Table5[[#This Row],[PID]],Batters[[#All],[PID]],0)),INDEX(Table3[[#All],[INT]],MATCH(Table5[[#This Row],[PID]],Table3[[#All],[PID]],0)))</f>
        <v>Normal</v>
      </c>
      <c r="L351" s="60">
        <f>IF($C351="B",INDEX(Batters[[#All],[CON P]],MATCH(Table5[[#This Row],[PID]],Batters[[#All],[PID]],0)),INDEX(Table3[[#All],[STU P]],MATCH(Table5[[#This Row],[PID]],Table3[[#All],[PID]],0)))</f>
        <v>3</v>
      </c>
      <c r="M351" s="56">
        <f>IF($C351="B",INDEX(Batters[[#All],[GAP P]],MATCH(Table5[[#This Row],[PID]],Batters[[#All],[PID]],0)),INDEX(Table3[[#All],[MOV P]],MATCH(Table5[[#This Row],[PID]],Table3[[#All],[PID]],0)))</f>
        <v>3</v>
      </c>
      <c r="N351" s="56">
        <f>IF($C351="B",INDEX(Batters[[#All],[POW P]],MATCH(Table5[[#This Row],[PID]],Batters[[#All],[PID]],0)),INDEX(Table3[[#All],[CON P]],MATCH(Table5[[#This Row],[PID]],Table3[[#All],[PID]],0)))</f>
        <v>4</v>
      </c>
      <c r="O351" s="56" t="str">
        <f>IF($C351="B",INDEX(Batters[[#All],[EYE P]],MATCH(Table5[[#This Row],[PID]],Batters[[#All],[PID]],0)),INDEX(Table3[[#All],[VELO]],MATCH(Table5[[#This Row],[PID]],Table3[[#All],[PID]],0)))</f>
        <v>89-91 Mph</v>
      </c>
      <c r="P351" s="56">
        <f>IF($C351="B",INDEX(Batters[[#All],[K P]],MATCH(Table5[[#This Row],[PID]],Batters[[#All],[PID]],0)),INDEX(Table3[[#All],[STM]],MATCH(Table5[[#This Row],[PID]],Table3[[#All],[PID]],0)))</f>
        <v>6</v>
      </c>
      <c r="Q351" s="61">
        <f>IF($C351="B",INDEX(Batters[[#All],[Tot]],MATCH(Table5[[#This Row],[PID]],Batters[[#All],[PID]],0)),INDEX(Table3[[#All],[Tot]],MATCH(Table5[[#This Row],[PID]],Table3[[#All],[PID]],0)))</f>
        <v>38.457793786760142</v>
      </c>
      <c r="R351" s="52">
        <f>IF($C351="B",INDEX(Batters[[#All],[zScore]],MATCH(Table5[[#This Row],[PID]],Batters[[#All],[PID]],0)),INDEX(Table3[[#All],[zScore]],MATCH(Table5[[#This Row],[PID]],Table3[[#All],[PID]],0)))</f>
        <v>4.6655645206275159E-2</v>
      </c>
      <c r="S351" s="58" t="str">
        <f>IF($C351="B",INDEX(Batters[[#All],[DEM]],MATCH(Table5[[#This Row],[PID]],Batters[[#All],[PID]],0)),INDEX(Table3[[#All],[DEM]],MATCH(Table5[[#This Row],[PID]],Table3[[#All],[PID]],0)))</f>
        <v>$75k</v>
      </c>
      <c r="T351" s="62">
        <f>IF($C351="B",INDEX(Batters[[#All],[Rnk]],MATCH(Table5[[#This Row],[PID]],Batters[[#All],[PID]],0)),INDEX(Table3[[#All],[Rnk]],MATCH(Table5[[#This Row],[PID]],Table3[[#All],[PID]],0)))</f>
        <v>900</v>
      </c>
      <c r="U351" s="67">
        <f>IF($C351="B",VLOOKUP($A351,Bat!$A$4:$BA$1314,47,FALSE),VLOOKUP($A351,Pit!$A$4:$BF$1214,56,FALSE))</f>
        <v>122</v>
      </c>
      <c r="V351" s="50">
        <f>IF($C351="B",VLOOKUP($A351,Bat!$A$4:$BA$1314,48,FALSE),VLOOKUP($A351,Pit!$A$4:$BF$1214,57,FALSE))</f>
        <v>0</v>
      </c>
      <c r="W351" s="68">
        <f>IF(Table5[[#This Row],[posRnk]]=999,9999,Table5[[#This Row],[posRnk]]+Table5[[#This Row],[zRnk]]+IF($W$3&lt;&gt;Table5[[#This Row],[Type]],50,0))</f>
        <v>1271</v>
      </c>
      <c r="X351" s="51">
        <f>RANK(Table5[[#This Row],[zScore]],Table5[[#All],[zScore]])</f>
        <v>371</v>
      </c>
      <c r="Y351" s="50">
        <f>IFERROR(INDEX(DraftResults[[#All],[OVR]],MATCH(Table5[[#This Row],[PID]],DraftResults[[#All],[Player ID]],0)),"")</f>
        <v>340</v>
      </c>
      <c r="Z351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11</v>
      </c>
      <c r="AA351" s="50">
        <f>IFERROR(INDEX(DraftResults[[#All],[Pick in Round]],MATCH(Table5[[#This Row],[PID]],DraftResults[[#All],[Player ID]],0)),"")</f>
        <v>9</v>
      </c>
      <c r="AB351" s="50" t="str">
        <f>IFERROR(INDEX(DraftResults[[#All],[Team Name]],MATCH(Table5[[#This Row],[PID]],DraftResults[[#All],[Player ID]],0)),"")</f>
        <v>Gloucester Fishermen</v>
      </c>
      <c r="AC351" s="50">
        <f>IF(Table5[[#This Row],[Ovr]]="","",IF(Table5[[#This Row],[cmbList]]="","",Table5[[#This Row],[cmbList]]-Table5[[#This Row],[Ovr]]))</f>
        <v>931</v>
      </c>
      <c r="AD351" s="54" t="str">
        <f>IF(ISERROR(VLOOKUP($AB351&amp;"-"&amp;$E351&amp;" "&amp;F351,Bonuses!$B$1:$G$1006,4,FALSE)),"",INT(VLOOKUP($AB351&amp;"-"&amp;$E351&amp;" "&amp;$F351,Bonuses!$B$1:$G$1006,4,FALSE)))</f>
        <v/>
      </c>
      <c r="AE351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11.9 (340) - RP Dan Ford</v>
      </c>
    </row>
    <row r="352" spans="1:31" s="50" customFormat="1" x14ac:dyDescent="0.3">
      <c r="A352" s="50">
        <v>20991</v>
      </c>
      <c r="B352" s="50">
        <f>COUNTIF(Table5[PID],A352)</f>
        <v>1</v>
      </c>
      <c r="C352" s="50" t="str">
        <f>IF(COUNTIF(Table3[[#All],[PID]],A352)&gt;0,"P","B")</f>
        <v>B</v>
      </c>
      <c r="D352" s="59" t="str">
        <f>IF($C352="B",INDEX(Batters[[#All],[POS]],MATCH(Table5[[#This Row],[PID]],Batters[[#All],[PID]],0)),INDEX(Table3[[#All],[POS]],MATCH(Table5[[#This Row],[PID]],Table3[[#All],[PID]],0)))</f>
        <v>2B</v>
      </c>
      <c r="E352" s="52" t="str">
        <f>IF($C352="B",INDEX(Batters[[#All],[First]],MATCH(Table5[[#This Row],[PID]],Batters[[#All],[PID]],0)),INDEX(Table3[[#All],[First]],MATCH(Table5[[#This Row],[PID]],Table3[[#All],[PID]],0)))</f>
        <v>John</v>
      </c>
      <c r="F352" s="50" t="str">
        <f>IF($C352="B",INDEX(Batters[[#All],[Last]],MATCH(A352,Batters[[#All],[PID]],0)),INDEX(Table3[[#All],[Last]],MATCH(A352,Table3[[#All],[PID]],0)))</f>
        <v>Lynch</v>
      </c>
      <c r="G352" s="56">
        <f>IF($C352="B",INDEX(Batters[[#All],[Age]],MATCH(Table5[[#This Row],[PID]],Batters[[#All],[PID]],0)),INDEX(Table3[[#All],[Age]],MATCH(Table5[[#This Row],[PID]],Table3[[#All],[PID]],0)))</f>
        <v>16</v>
      </c>
      <c r="H352" s="52" t="str">
        <f>IF($C352="B",INDEX(Batters[[#All],[B]],MATCH(Table5[[#This Row],[PID]],Batters[[#All],[PID]],0)),INDEX(Table3[[#All],[B]],MATCH(Table5[[#This Row],[PID]],Table3[[#All],[PID]],0)))</f>
        <v>R</v>
      </c>
      <c r="I352" s="52" t="str">
        <f>IF($C352="B",INDEX(Batters[[#All],[T]],MATCH(Table5[[#This Row],[PID]],Batters[[#All],[PID]],0)),INDEX(Table3[[#All],[T]],MATCH(Table5[[#This Row],[PID]],Table3[[#All],[PID]],0)))</f>
        <v>R</v>
      </c>
      <c r="J352" s="52" t="str">
        <f>IF($C352="B",INDEX(Batters[[#All],[WE]],MATCH(Table5[[#This Row],[PID]],Batters[[#All],[PID]],0)),INDEX(Table3[[#All],[WE]],MATCH(Table5[[#This Row],[PID]],Table3[[#All],[PID]],0)))</f>
        <v>Low</v>
      </c>
      <c r="K352" s="52" t="str">
        <f>IF($C352="B",INDEX(Batters[[#All],[INT]],MATCH(Table5[[#This Row],[PID]],Batters[[#All],[PID]],0)),INDEX(Table3[[#All],[INT]],MATCH(Table5[[#This Row],[PID]],Table3[[#All],[PID]],0)))</f>
        <v>Normal</v>
      </c>
      <c r="L352" s="60">
        <f>IF($C352="B",INDEX(Batters[[#All],[CON P]],MATCH(Table5[[#This Row],[PID]],Batters[[#All],[PID]],0)),INDEX(Table3[[#All],[STU P]],MATCH(Table5[[#This Row],[PID]],Table3[[#All],[PID]],0)))</f>
        <v>4</v>
      </c>
      <c r="M352" s="56">
        <f>IF($C352="B",INDEX(Batters[[#All],[GAP P]],MATCH(Table5[[#This Row],[PID]],Batters[[#All],[PID]],0)),INDEX(Table3[[#All],[MOV P]],MATCH(Table5[[#This Row],[PID]],Table3[[#All],[PID]],0)))</f>
        <v>4</v>
      </c>
      <c r="N352" s="56">
        <f>IF($C352="B",INDEX(Batters[[#All],[POW P]],MATCH(Table5[[#This Row],[PID]],Batters[[#All],[PID]],0)),INDEX(Table3[[#All],[CON P]],MATCH(Table5[[#This Row],[PID]],Table3[[#All],[PID]],0)))</f>
        <v>2</v>
      </c>
      <c r="O352" s="56">
        <f>IF($C352="B",INDEX(Batters[[#All],[EYE P]],MATCH(Table5[[#This Row],[PID]],Batters[[#All],[PID]],0)),INDEX(Table3[[#All],[VELO]],MATCH(Table5[[#This Row],[PID]],Table3[[#All],[PID]],0)))</f>
        <v>4</v>
      </c>
      <c r="P352" s="56">
        <f>IF($C352="B",INDEX(Batters[[#All],[K P]],MATCH(Table5[[#This Row],[PID]],Batters[[#All],[PID]],0)),INDEX(Table3[[#All],[STM]],MATCH(Table5[[#This Row],[PID]],Table3[[#All],[PID]],0)))</f>
        <v>5</v>
      </c>
      <c r="Q352" s="61">
        <f>IF($C352="B",INDEX(Batters[[#All],[Tot]],MATCH(Table5[[#This Row],[PID]],Batters[[#All],[PID]],0)),INDEX(Table3[[#All],[Tot]],MATCH(Table5[[#This Row],[PID]],Table3[[#All],[PID]],0)))</f>
        <v>44.094091047853702</v>
      </c>
      <c r="R352" s="52">
        <f>IF($C352="B",INDEX(Batters[[#All],[zScore]],MATCH(Table5[[#This Row],[PID]],Batters[[#All],[PID]],0)),INDEX(Table3[[#All],[zScore]],MATCH(Table5[[#This Row],[PID]],Table3[[#All],[PID]],0)))</f>
        <v>0.12780974824438052</v>
      </c>
      <c r="S352" s="58" t="str">
        <f>IF($C352="B",INDEX(Batters[[#All],[DEM]],MATCH(Table5[[#This Row],[PID]],Batters[[#All],[PID]],0)),INDEX(Table3[[#All],[DEM]],MATCH(Table5[[#This Row],[PID]],Table3[[#All],[PID]],0)))</f>
        <v>$38k</v>
      </c>
      <c r="T352" s="62">
        <f>IF($C352="B",INDEX(Batters[[#All],[Rnk]],MATCH(Table5[[#This Row],[PID]],Batters[[#All],[PID]],0)),INDEX(Table3[[#All],[Rnk]],MATCH(Table5[[#This Row],[PID]],Table3[[#All],[PID]],0)))</f>
        <v>930</v>
      </c>
      <c r="U352" s="67">
        <f>IF($C352="B",VLOOKUP($A352,Bat!$A$4:$BA$1314,47,FALSE),VLOOKUP($A352,Pit!$A$4:$BF$1214,56,FALSE))</f>
        <v>326</v>
      </c>
      <c r="V352" s="50">
        <f>IF($C352="B",VLOOKUP($A352,Bat!$A$4:$BA$1314,48,FALSE),VLOOKUP($A352,Pit!$A$4:$BF$1214,57,FALSE))</f>
        <v>0</v>
      </c>
      <c r="W352" s="68">
        <f>IF(Table5[[#This Row],[posRnk]]=999,9999,Table5[[#This Row],[posRnk]]+Table5[[#This Row],[zRnk]]+IF($W$3&lt;&gt;Table5[[#This Row],[Type]],50,0))</f>
        <v>1321</v>
      </c>
      <c r="X352" s="51">
        <f>RANK(Table5[[#This Row],[zScore]],Table5[[#All],[zScore]])</f>
        <v>341</v>
      </c>
      <c r="Y352" s="50">
        <f>IFERROR(INDEX(DraftResults[[#All],[OVR]],MATCH(Table5[[#This Row],[PID]],DraftResults[[#All],[Player ID]],0)),"")</f>
        <v>469</v>
      </c>
      <c r="Z352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15</v>
      </c>
      <c r="AA352" s="50">
        <f>IFERROR(INDEX(DraftResults[[#All],[Pick in Round]],MATCH(Table5[[#This Row],[PID]],DraftResults[[#All],[Player ID]],0)),"")</f>
        <v>2</v>
      </c>
      <c r="AB352" s="50" t="str">
        <f>IFERROR(INDEX(DraftResults[[#All],[Team Name]],MATCH(Table5[[#This Row],[PID]],DraftResults[[#All],[Player ID]],0)),"")</f>
        <v>Charleston Statesmen</v>
      </c>
      <c r="AC352" s="50">
        <f>IF(Table5[[#This Row],[Ovr]]="","",IF(Table5[[#This Row],[cmbList]]="","",Table5[[#This Row],[cmbList]]-Table5[[#This Row],[Ovr]]))</f>
        <v>852</v>
      </c>
      <c r="AD352" s="54" t="str">
        <f>IF(ISERROR(VLOOKUP($AB352&amp;"-"&amp;$E352&amp;" "&amp;F352,Bonuses!$B$1:$G$1006,4,FALSE)),"",INT(VLOOKUP($AB352&amp;"-"&amp;$E352&amp;" "&amp;$F352,Bonuses!$B$1:$G$1006,4,FALSE)))</f>
        <v/>
      </c>
      <c r="AE352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15.2 (469) - 2B John Lynch</v>
      </c>
    </row>
    <row r="353" spans="1:31" s="50" customFormat="1" x14ac:dyDescent="0.3">
      <c r="A353" s="50">
        <v>12818</v>
      </c>
      <c r="B353" s="50">
        <f>COUNTIF(Table5[PID],A353)</f>
        <v>1</v>
      </c>
      <c r="C353" s="50" t="str">
        <f>IF(COUNTIF(Table3[[#All],[PID]],A353)&gt;0,"P","B")</f>
        <v>P</v>
      </c>
      <c r="D353" s="59" t="str">
        <f>IF($C353="B",INDEX(Batters[[#All],[POS]],MATCH(Table5[[#This Row],[PID]],Batters[[#All],[PID]],0)),INDEX(Table3[[#All],[POS]],MATCH(Table5[[#This Row],[PID]],Table3[[#All],[PID]],0)))</f>
        <v>SP</v>
      </c>
      <c r="E353" s="52" t="str">
        <f>IF($C353="B",INDEX(Batters[[#All],[First]],MATCH(Table5[[#This Row],[PID]],Batters[[#All],[PID]],0)),INDEX(Table3[[#All],[First]],MATCH(Table5[[#This Row],[PID]],Table3[[#All],[PID]],0)))</f>
        <v>Francis</v>
      </c>
      <c r="F353" s="50" t="str">
        <f>IF($C353="B",INDEX(Batters[[#All],[Last]],MATCH(A353,Batters[[#All],[PID]],0)),INDEX(Table3[[#All],[Last]],MATCH(A353,Table3[[#All],[PID]],0)))</f>
        <v>Vick</v>
      </c>
      <c r="G353" s="56">
        <f>IF($C353="B",INDEX(Batters[[#All],[Age]],MATCH(Table5[[#This Row],[PID]],Batters[[#All],[PID]],0)),INDEX(Table3[[#All],[Age]],MATCH(Table5[[#This Row],[PID]],Table3[[#All],[PID]],0)))</f>
        <v>17</v>
      </c>
      <c r="H353" s="52" t="str">
        <f>IF($C353="B",INDEX(Batters[[#All],[B]],MATCH(Table5[[#This Row],[PID]],Batters[[#All],[PID]],0)),INDEX(Table3[[#All],[B]],MATCH(Table5[[#This Row],[PID]],Table3[[#All],[PID]],0)))</f>
        <v>L</v>
      </c>
      <c r="I353" s="52" t="str">
        <f>IF($C353="B",INDEX(Batters[[#All],[T]],MATCH(Table5[[#This Row],[PID]],Batters[[#All],[PID]],0)),INDEX(Table3[[#All],[T]],MATCH(Table5[[#This Row],[PID]],Table3[[#All],[PID]],0)))</f>
        <v>L</v>
      </c>
      <c r="J353" s="52" t="str">
        <f>IF($C353="B",INDEX(Batters[[#All],[WE]],MATCH(Table5[[#This Row],[PID]],Batters[[#All],[PID]],0)),INDEX(Table3[[#All],[WE]],MATCH(Table5[[#This Row],[PID]],Table3[[#All],[PID]],0)))</f>
        <v>Normal</v>
      </c>
      <c r="K353" s="52" t="str">
        <f>IF($C353="B",INDEX(Batters[[#All],[INT]],MATCH(Table5[[#This Row],[PID]],Batters[[#All],[PID]],0)),INDEX(Table3[[#All],[INT]],MATCH(Table5[[#This Row],[PID]],Table3[[#All],[PID]],0)))</f>
        <v>High</v>
      </c>
      <c r="L353" s="60">
        <f>IF($C353="B",INDEX(Batters[[#All],[CON P]],MATCH(Table5[[#This Row],[PID]],Batters[[#All],[PID]],0)),INDEX(Table3[[#All],[STU P]],MATCH(Table5[[#This Row],[PID]],Table3[[#All],[PID]],0)))</f>
        <v>5</v>
      </c>
      <c r="M353" s="56">
        <f>IF($C353="B",INDEX(Batters[[#All],[GAP P]],MATCH(Table5[[#This Row],[PID]],Batters[[#All],[PID]],0)),INDEX(Table3[[#All],[MOV P]],MATCH(Table5[[#This Row],[PID]],Table3[[#All],[PID]],0)))</f>
        <v>2</v>
      </c>
      <c r="N353" s="56">
        <f>IF($C353="B",INDEX(Batters[[#All],[POW P]],MATCH(Table5[[#This Row],[PID]],Batters[[#All],[PID]],0)),INDEX(Table3[[#All],[CON P]],MATCH(Table5[[#This Row],[PID]],Table3[[#All],[PID]],0)))</f>
        <v>3</v>
      </c>
      <c r="O353" s="56" t="str">
        <f>IF($C353="B",INDEX(Batters[[#All],[EYE P]],MATCH(Table5[[#This Row],[PID]],Batters[[#All],[PID]],0)),INDEX(Table3[[#All],[VELO]],MATCH(Table5[[#This Row],[PID]],Table3[[#All],[PID]],0)))</f>
        <v>86-88 Mph</v>
      </c>
      <c r="P353" s="56">
        <f>IF($C353="B",INDEX(Batters[[#All],[K P]],MATCH(Table5[[#This Row],[PID]],Batters[[#All],[PID]],0)),INDEX(Table3[[#All],[STM]],MATCH(Table5[[#This Row],[PID]],Table3[[#All],[PID]],0)))</f>
        <v>4</v>
      </c>
      <c r="Q353" s="61">
        <f>IF($C353="B",INDEX(Batters[[#All],[Tot]],MATCH(Table5[[#This Row],[PID]],Batters[[#All],[PID]],0)),INDEX(Table3[[#All],[Tot]],MATCH(Table5[[#This Row],[PID]],Table3[[#All],[PID]],0)))</f>
        <v>38.42734260510359</v>
      </c>
      <c r="R353" s="52">
        <f>IF($C353="B",INDEX(Batters[[#All],[zScore]],MATCH(Table5[[#This Row],[PID]],Batters[[#All],[PID]],0)),INDEX(Table3[[#All],[zScore]],MATCH(Table5[[#This Row],[PID]],Table3[[#All],[PID]],0)))</f>
        <v>4.4487306913036088E-2</v>
      </c>
      <c r="S353" s="58" t="str">
        <f>IF($C353="B",INDEX(Batters[[#All],[DEM]],MATCH(Table5[[#This Row],[PID]],Batters[[#All],[PID]],0)),INDEX(Table3[[#All],[DEM]],MATCH(Table5[[#This Row],[PID]],Table3[[#All],[PID]],0)))</f>
        <v>$65k</v>
      </c>
      <c r="T353" s="62">
        <f>IF($C353="B",INDEX(Batters[[#All],[Rnk]],MATCH(Table5[[#This Row],[PID]],Batters[[#All],[PID]],0)),INDEX(Table3[[#All],[Rnk]],MATCH(Table5[[#This Row],[PID]],Table3[[#All],[PID]],0)))</f>
        <v>900</v>
      </c>
      <c r="U353" s="67">
        <f>IF($C353="B",VLOOKUP($A353,Bat!$A$4:$BA$1314,47,FALSE),VLOOKUP($A353,Pit!$A$4:$BF$1214,56,FALSE))</f>
        <v>116</v>
      </c>
      <c r="V353" s="50">
        <f>IF($C353="B",VLOOKUP($A353,Bat!$A$4:$BA$1314,48,FALSE),VLOOKUP($A353,Pit!$A$4:$BF$1214,57,FALSE))</f>
        <v>0</v>
      </c>
      <c r="W353" s="68">
        <f>IF(Table5[[#This Row],[posRnk]]=999,9999,Table5[[#This Row],[posRnk]]+Table5[[#This Row],[zRnk]]+IF($W$3&lt;&gt;Table5[[#This Row],[Type]],50,0))</f>
        <v>1272</v>
      </c>
      <c r="X353" s="51">
        <f>RANK(Table5[[#This Row],[zScore]],Table5[[#All],[zScore]])</f>
        <v>372</v>
      </c>
      <c r="Y353" s="50">
        <f>IFERROR(INDEX(DraftResults[[#All],[OVR]],MATCH(Table5[[#This Row],[PID]],DraftResults[[#All],[Player ID]],0)),"")</f>
        <v>333</v>
      </c>
      <c r="Z353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11</v>
      </c>
      <c r="AA353" s="50">
        <f>IFERROR(INDEX(DraftResults[[#All],[Pick in Round]],MATCH(Table5[[#This Row],[PID]],DraftResults[[#All],[Player ID]],0)),"")</f>
        <v>2</v>
      </c>
      <c r="AB353" s="50" t="str">
        <f>IFERROR(INDEX(DraftResults[[#All],[Team Name]],MATCH(Table5[[#This Row],[PID]],DraftResults[[#All],[Player ID]],0)),"")</f>
        <v>Charleston Statesmen</v>
      </c>
      <c r="AC353" s="50">
        <f>IF(Table5[[#This Row],[Ovr]]="","",IF(Table5[[#This Row],[cmbList]]="","",Table5[[#This Row],[cmbList]]-Table5[[#This Row],[Ovr]]))</f>
        <v>939</v>
      </c>
      <c r="AD353" s="54" t="str">
        <f>IF(ISERROR(VLOOKUP($AB353&amp;"-"&amp;$E353&amp;" "&amp;F353,Bonuses!$B$1:$G$1006,4,FALSE)),"",INT(VLOOKUP($AB353&amp;"-"&amp;$E353&amp;" "&amp;$F353,Bonuses!$B$1:$G$1006,4,FALSE)))</f>
        <v/>
      </c>
      <c r="AE353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11.2 (333) - SP Francis Vick</v>
      </c>
    </row>
    <row r="354" spans="1:31" s="50" customFormat="1" x14ac:dyDescent="0.3">
      <c r="A354" s="67">
        <v>12340</v>
      </c>
      <c r="B354" s="68">
        <f>COUNTIF(Table5[PID],A354)</f>
        <v>1</v>
      </c>
      <c r="C354" s="68" t="str">
        <f>IF(COUNTIF(Table3[[#All],[PID]],A354)&gt;0,"P","B")</f>
        <v>P</v>
      </c>
      <c r="D354" s="59" t="str">
        <f>IF($C354="B",INDEX(Batters[[#All],[POS]],MATCH(Table5[[#This Row],[PID]],Batters[[#All],[PID]],0)),INDEX(Table3[[#All],[POS]],MATCH(Table5[[#This Row],[PID]],Table3[[#All],[PID]],0)))</f>
        <v>RP</v>
      </c>
      <c r="E354" s="52" t="str">
        <f>IF($C354="B",INDEX(Batters[[#All],[First]],MATCH(Table5[[#This Row],[PID]],Batters[[#All],[PID]],0)),INDEX(Table3[[#All],[First]],MATCH(Table5[[#This Row],[PID]],Table3[[#All],[PID]],0)))</f>
        <v>Jorge</v>
      </c>
      <c r="F354" s="55" t="str">
        <f>IF($C354="B",INDEX(Batters[[#All],[Last]],MATCH(A354,Batters[[#All],[PID]],0)),INDEX(Table3[[#All],[Last]],MATCH(A354,Table3[[#All],[PID]],0)))</f>
        <v>Martínez</v>
      </c>
      <c r="G354" s="56">
        <f>IF($C354="B",INDEX(Batters[[#All],[Age]],MATCH(Table5[[#This Row],[PID]],Batters[[#All],[PID]],0)),INDEX(Table3[[#All],[Age]],MATCH(Table5[[#This Row],[PID]],Table3[[#All],[PID]],0)))</f>
        <v>17</v>
      </c>
      <c r="H354" s="52" t="str">
        <f>IF($C354="B",INDEX(Batters[[#All],[B]],MATCH(Table5[[#This Row],[PID]],Batters[[#All],[PID]],0)),INDEX(Table3[[#All],[B]],MATCH(Table5[[#This Row],[PID]],Table3[[#All],[PID]],0)))</f>
        <v>R</v>
      </c>
      <c r="I354" s="52" t="str">
        <f>IF($C354="B",INDEX(Batters[[#All],[T]],MATCH(Table5[[#This Row],[PID]],Batters[[#All],[PID]],0)),INDEX(Table3[[#All],[T]],MATCH(Table5[[#This Row],[PID]],Table3[[#All],[PID]],0)))</f>
        <v>R</v>
      </c>
      <c r="J354" s="69" t="str">
        <f>IF($C354="B",INDEX(Batters[[#All],[WE]],MATCH(Table5[[#This Row],[PID]],Batters[[#All],[PID]],0)),INDEX(Table3[[#All],[WE]],MATCH(Table5[[#This Row],[PID]],Table3[[#All],[PID]],0)))</f>
        <v>High</v>
      </c>
      <c r="K354" s="52" t="str">
        <f>IF($C354="B",INDEX(Batters[[#All],[INT]],MATCH(Table5[[#This Row],[PID]],Batters[[#All],[PID]],0)),INDEX(Table3[[#All],[INT]],MATCH(Table5[[#This Row],[PID]],Table3[[#All],[PID]],0)))</f>
        <v>Normal</v>
      </c>
      <c r="L354" s="60">
        <f>IF($C354="B",INDEX(Batters[[#All],[CON P]],MATCH(Table5[[#This Row],[PID]],Batters[[#All],[PID]],0)),INDEX(Table3[[#All],[STU P]],MATCH(Table5[[#This Row],[PID]],Table3[[#All],[PID]],0)))</f>
        <v>4</v>
      </c>
      <c r="M354" s="70">
        <f>IF($C354="B",INDEX(Batters[[#All],[GAP P]],MATCH(Table5[[#This Row],[PID]],Batters[[#All],[PID]],0)),INDEX(Table3[[#All],[MOV P]],MATCH(Table5[[#This Row],[PID]],Table3[[#All],[PID]],0)))</f>
        <v>3</v>
      </c>
      <c r="N354" s="70">
        <f>IF($C354="B",INDEX(Batters[[#All],[POW P]],MATCH(Table5[[#This Row],[PID]],Batters[[#All],[PID]],0)),INDEX(Table3[[#All],[CON P]],MATCH(Table5[[#This Row],[PID]],Table3[[#All],[PID]],0)))</f>
        <v>3</v>
      </c>
      <c r="O354" s="70" t="str">
        <f>IF($C354="B",INDEX(Batters[[#All],[EYE P]],MATCH(Table5[[#This Row],[PID]],Batters[[#All],[PID]],0)),INDEX(Table3[[#All],[VELO]],MATCH(Table5[[#This Row],[PID]],Table3[[#All],[PID]],0)))</f>
        <v>86-88 Mph</v>
      </c>
      <c r="P354" s="56">
        <f>IF($C354="B",INDEX(Batters[[#All],[K P]],MATCH(Table5[[#This Row],[PID]],Batters[[#All],[PID]],0)),INDEX(Table3[[#All],[STM]],MATCH(Table5[[#This Row],[PID]],Table3[[#All],[PID]],0)))</f>
        <v>4</v>
      </c>
      <c r="Q354" s="61">
        <f>IF($C354="B",INDEX(Batters[[#All],[Tot]],MATCH(Table5[[#This Row],[PID]],Batters[[#All],[PID]],0)),INDEX(Table3[[#All],[Tot]],MATCH(Table5[[#This Row],[PID]],Table3[[#All],[PID]],0)))</f>
        <v>38.249732104091137</v>
      </c>
      <c r="R354" s="52">
        <f>IF($C354="B",INDEX(Batters[[#All],[zScore]],MATCH(Table5[[#This Row],[PID]],Batters[[#All],[PID]],0)),INDEX(Table3[[#All],[zScore]],MATCH(Table5[[#This Row],[PID]],Table3[[#All],[PID]],0)))</f>
        <v>3.8041455921772049E-2</v>
      </c>
      <c r="S354" s="75" t="str">
        <f>IF($C354="B",INDEX(Batters[[#All],[DEM]],MATCH(Table5[[#This Row],[PID]],Batters[[#All],[PID]],0)),INDEX(Table3[[#All],[DEM]],MATCH(Table5[[#This Row],[PID]],Table3[[#All],[PID]],0)))</f>
        <v>-</v>
      </c>
      <c r="T354" s="72">
        <f>IF($C354="B",INDEX(Batters[[#All],[Rnk]],MATCH(Table5[[#This Row],[PID]],Batters[[#All],[PID]],0)),INDEX(Table3[[#All],[Rnk]],MATCH(Table5[[#This Row],[PID]],Table3[[#All],[PID]],0)))</f>
        <v>900</v>
      </c>
      <c r="U354" s="67">
        <f>IF($C354="B",VLOOKUP($A354,Bat!$A$4:$BA$1314,47,FALSE),VLOOKUP($A354,Pit!$A$4:$BF$1214,56,FALSE))</f>
        <v>117</v>
      </c>
      <c r="V354" s="50">
        <f>IF($C354="B",VLOOKUP($A354,Bat!$A$4:$BA$1314,48,FALSE),VLOOKUP($A354,Pit!$A$4:$BF$1214,57,FALSE))</f>
        <v>0</v>
      </c>
      <c r="W354" s="68">
        <f>IF(Table5[[#This Row],[posRnk]]=999,9999,Table5[[#This Row],[posRnk]]+Table5[[#This Row],[zRnk]]+IF($W$3&lt;&gt;Table5[[#This Row],[Type]],50,0))</f>
        <v>1273</v>
      </c>
      <c r="X354" s="71">
        <f>RANK(Table5[[#This Row],[zScore]],Table5[[#All],[zScore]])</f>
        <v>373</v>
      </c>
      <c r="Y354" s="68">
        <f>IFERROR(INDEX(DraftResults[[#All],[OVR]],MATCH(Table5[[#This Row],[PID]],DraftResults[[#All],[Player ID]],0)),"")</f>
        <v>442</v>
      </c>
      <c r="Z354" s="7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14</v>
      </c>
      <c r="AA354" s="68">
        <f>IFERROR(INDEX(DraftResults[[#All],[Pick in Round]],MATCH(Table5[[#This Row],[PID]],DraftResults[[#All],[Player ID]],0)),"")</f>
        <v>9</v>
      </c>
      <c r="AB354" s="68" t="str">
        <f>IFERROR(INDEX(DraftResults[[#All],[Team Name]],MATCH(Table5[[#This Row],[PID]],DraftResults[[#All],[Player ID]],0)),"")</f>
        <v>Gloucester Fishermen</v>
      </c>
      <c r="AC354" s="68">
        <f>IF(Table5[[#This Row],[Ovr]]="","",IF(Table5[[#This Row],[cmbList]]="","",Table5[[#This Row],[cmbList]]-Table5[[#This Row],[Ovr]]))</f>
        <v>831</v>
      </c>
      <c r="AD354" s="74" t="str">
        <f>IF(ISERROR(VLOOKUP($AB354&amp;"-"&amp;$E354&amp;" "&amp;F354,Bonuses!$B$1:$G$1006,4,FALSE)),"",INT(VLOOKUP($AB354&amp;"-"&amp;$E354&amp;" "&amp;$F354,Bonuses!$B$1:$G$1006,4,FALSE)))</f>
        <v/>
      </c>
      <c r="AE354" s="68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14.9 (442) - RP Jorge Martínez</v>
      </c>
    </row>
    <row r="355" spans="1:31" s="50" customFormat="1" x14ac:dyDescent="0.3">
      <c r="A355" s="50">
        <v>13041</v>
      </c>
      <c r="B355" s="50">
        <f>COUNTIF(Table5[PID],A355)</f>
        <v>1</v>
      </c>
      <c r="C355" s="50" t="str">
        <f>IF(COUNTIF(Table3[[#All],[PID]],A355)&gt;0,"P","B")</f>
        <v>P</v>
      </c>
      <c r="D355" s="59" t="str">
        <f>IF($C355="B",INDEX(Batters[[#All],[POS]],MATCH(Table5[[#This Row],[PID]],Batters[[#All],[PID]],0)),INDEX(Table3[[#All],[POS]],MATCH(Table5[[#This Row],[PID]],Table3[[#All],[PID]],0)))</f>
        <v>SP</v>
      </c>
      <c r="E355" s="52" t="str">
        <f>IF($C355="B",INDEX(Batters[[#All],[First]],MATCH(Table5[[#This Row],[PID]],Batters[[#All],[PID]],0)),INDEX(Table3[[#All],[First]],MATCH(Table5[[#This Row],[PID]],Table3[[#All],[PID]],0)))</f>
        <v>Gabriel</v>
      </c>
      <c r="F355" s="50" t="str">
        <f>IF($C355="B",INDEX(Batters[[#All],[Last]],MATCH(A355,Batters[[#All],[PID]],0)),INDEX(Table3[[#All],[Last]],MATCH(A355,Table3[[#All],[PID]],0)))</f>
        <v>Martínez</v>
      </c>
      <c r="G355" s="56">
        <f>IF($C355="B",INDEX(Batters[[#All],[Age]],MATCH(Table5[[#This Row],[PID]],Batters[[#All],[PID]],0)),INDEX(Table3[[#All],[Age]],MATCH(Table5[[#This Row],[PID]],Table3[[#All],[PID]],0)))</f>
        <v>18</v>
      </c>
      <c r="H355" s="52" t="str">
        <f>IF($C355="B",INDEX(Batters[[#All],[B]],MATCH(Table5[[#This Row],[PID]],Batters[[#All],[PID]],0)),INDEX(Table3[[#All],[B]],MATCH(Table5[[#This Row],[PID]],Table3[[#All],[PID]],0)))</f>
        <v>R</v>
      </c>
      <c r="I355" s="52" t="str">
        <f>IF($C355="B",INDEX(Batters[[#All],[T]],MATCH(Table5[[#This Row],[PID]],Batters[[#All],[PID]],0)),INDEX(Table3[[#All],[T]],MATCH(Table5[[#This Row],[PID]],Table3[[#All],[PID]],0)))</f>
        <v>R</v>
      </c>
      <c r="J355" s="52" t="str">
        <f>IF($C355="B",INDEX(Batters[[#All],[WE]],MATCH(Table5[[#This Row],[PID]],Batters[[#All],[PID]],0)),INDEX(Table3[[#All],[WE]],MATCH(Table5[[#This Row],[PID]],Table3[[#All],[PID]],0)))</f>
        <v>Low</v>
      </c>
      <c r="K355" s="52" t="str">
        <f>IF($C355="B",INDEX(Batters[[#All],[INT]],MATCH(Table5[[#This Row],[PID]],Batters[[#All],[PID]],0)),INDEX(Table3[[#All],[INT]],MATCH(Table5[[#This Row],[PID]],Table3[[#All],[PID]],0)))</f>
        <v>High</v>
      </c>
      <c r="L355" s="60">
        <f>IF($C355="B",INDEX(Batters[[#All],[CON P]],MATCH(Table5[[#This Row],[PID]],Batters[[#All],[PID]],0)),INDEX(Table3[[#All],[STU P]],MATCH(Table5[[#This Row],[PID]],Table3[[#All],[PID]],0)))</f>
        <v>6</v>
      </c>
      <c r="M355" s="56">
        <f>IF($C355="B",INDEX(Batters[[#All],[GAP P]],MATCH(Table5[[#This Row],[PID]],Batters[[#All],[PID]],0)),INDEX(Table3[[#All],[MOV P]],MATCH(Table5[[#This Row],[PID]],Table3[[#All],[PID]],0)))</f>
        <v>1</v>
      </c>
      <c r="N355" s="56">
        <f>IF($C355="B",INDEX(Batters[[#All],[POW P]],MATCH(Table5[[#This Row],[PID]],Batters[[#All],[PID]],0)),INDEX(Table3[[#All],[CON P]],MATCH(Table5[[#This Row],[PID]],Table3[[#All],[PID]],0)))</f>
        <v>3</v>
      </c>
      <c r="O355" s="56" t="str">
        <f>IF($C355="B",INDEX(Batters[[#All],[EYE P]],MATCH(Table5[[#This Row],[PID]],Batters[[#All],[PID]],0)),INDEX(Table3[[#All],[VELO]],MATCH(Table5[[#This Row],[PID]],Table3[[#All],[PID]],0)))</f>
        <v>91-93 Mph</v>
      </c>
      <c r="P355" s="56">
        <f>IF($C355="B",INDEX(Batters[[#All],[K P]],MATCH(Table5[[#This Row],[PID]],Batters[[#All],[PID]],0)),INDEX(Table3[[#All],[STM]],MATCH(Table5[[#This Row],[PID]],Table3[[#All],[PID]],0)))</f>
        <v>10</v>
      </c>
      <c r="Q355" s="61">
        <f>IF($C355="B",INDEX(Batters[[#All],[Tot]],MATCH(Table5[[#This Row],[PID]],Batters[[#All],[PID]],0)),INDEX(Table3[[#All],[Tot]],MATCH(Table5[[#This Row],[PID]],Table3[[#All],[PID]],0)))</f>
        <v>39.429745030681389</v>
      </c>
      <c r="R355" s="52">
        <f>IF($C355="B",INDEX(Batters[[#All],[zScore]],MATCH(Table5[[#This Row],[PID]],Batters[[#All],[PID]],0)),INDEX(Table3[[#All],[zScore]],MATCH(Table5[[#This Row],[PID]],Table3[[#All],[PID]],0)))</f>
        <v>0.11586540938310481</v>
      </c>
      <c r="S355" s="58" t="str">
        <f>IF($C355="B",INDEX(Batters[[#All],[DEM]],MATCH(Table5[[#This Row],[PID]],Batters[[#All],[PID]],0)),INDEX(Table3[[#All],[DEM]],MATCH(Table5[[#This Row],[PID]],Table3[[#All],[PID]],0)))</f>
        <v>$70k</v>
      </c>
      <c r="T355" s="62">
        <f>IF($C355="B",INDEX(Batters[[#All],[Rnk]],MATCH(Table5[[#This Row],[PID]],Batters[[#All],[PID]],0)),INDEX(Table3[[#All],[Rnk]],MATCH(Table5[[#This Row],[PID]],Table3[[#All],[PID]],0)))</f>
        <v>930</v>
      </c>
      <c r="U355" s="67">
        <f>IF($C355="B",VLOOKUP($A355,Bat!$A$4:$BA$1314,47,FALSE),VLOOKUP($A355,Pit!$A$4:$BF$1214,56,FALSE))</f>
        <v>274</v>
      </c>
      <c r="V355" s="50">
        <f>IF($C355="B",VLOOKUP($A355,Bat!$A$4:$BA$1314,48,FALSE),VLOOKUP($A355,Pit!$A$4:$BF$1214,57,FALSE))</f>
        <v>0</v>
      </c>
      <c r="W355" s="68">
        <f>IF(Table5[[#This Row],[posRnk]]=999,9999,Table5[[#This Row],[posRnk]]+Table5[[#This Row],[zRnk]]+IF($W$3&lt;&gt;Table5[[#This Row],[Type]],50,0))</f>
        <v>1273</v>
      </c>
      <c r="X355" s="51">
        <f>RANK(Table5[[#This Row],[zScore]],Table5[[#All],[zScore]])</f>
        <v>343</v>
      </c>
      <c r="Y355" s="50">
        <f>IFERROR(INDEX(DraftResults[[#All],[OVR]],MATCH(Table5[[#This Row],[PID]],DraftResults[[#All],[Player ID]],0)),"")</f>
        <v>217</v>
      </c>
      <c r="Z355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7</v>
      </c>
      <c r="AA355" s="50">
        <f>IFERROR(INDEX(DraftResults[[#All],[Pick in Round]],MATCH(Table5[[#This Row],[PID]],DraftResults[[#All],[Player ID]],0)),"")</f>
        <v>16</v>
      </c>
      <c r="AB355" s="50" t="str">
        <f>IFERROR(INDEX(DraftResults[[#All],[Team Name]],MATCH(Table5[[#This Row],[PID]],DraftResults[[#All],[Player ID]],0)),"")</f>
        <v>Madison Malts</v>
      </c>
      <c r="AC355" s="50">
        <f>IF(Table5[[#This Row],[Ovr]]="","",IF(Table5[[#This Row],[cmbList]]="","",Table5[[#This Row],[cmbList]]-Table5[[#This Row],[Ovr]]))</f>
        <v>1056</v>
      </c>
      <c r="AD355" s="54" t="str">
        <f>IF(ISERROR(VLOOKUP($AB355&amp;"-"&amp;$E355&amp;" "&amp;F355,Bonuses!$B$1:$G$1006,4,FALSE)),"",INT(VLOOKUP($AB355&amp;"-"&amp;$E355&amp;" "&amp;$F355,Bonuses!$B$1:$G$1006,4,FALSE)))</f>
        <v/>
      </c>
      <c r="AE355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7.16 (217) - SP Gabriel Martínez</v>
      </c>
    </row>
    <row r="356" spans="1:31" s="50" customFormat="1" x14ac:dyDescent="0.3">
      <c r="A356" s="50">
        <v>20854</v>
      </c>
      <c r="B356" s="50">
        <f>COUNTIF(Table5[PID],A356)</f>
        <v>1</v>
      </c>
      <c r="C356" s="50" t="str">
        <f>IF(COUNTIF(Table3[[#All],[PID]],A356)&gt;0,"P","B")</f>
        <v>P</v>
      </c>
      <c r="D356" s="59" t="str">
        <f>IF($C356="B",INDEX(Batters[[#All],[POS]],MATCH(Table5[[#This Row],[PID]],Batters[[#All],[PID]],0)),INDEX(Table3[[#All],[POS]],MATCH(Table5[[#This Row],[PID]],Table3[[#All],[PID]],0)))</f>
        <v>RP</v>
      </c>
      <c r="E356" s="52" t="str">
        <f>IF($C356="B",INDEX(Batters[[#All],[First]],MATCH(Table5[[#This Row],[PID]],Batters[[#All],[PID]],0)),INDEX(Table3[[#All],[First]],MATCH(Table5[[#This Row],[PID]],Table3[[#All],[PID]],0)))</f>
        <v>Emílio</v>
      </c>
      <c r="F356" s="50" t="str">
        <f>IF($C356="B",INDEX(Batters[[#All],[Last]],MATCH(A356,Batters[[#All],[PID]],0)),INDEX(Table3[[#All],[Last]],MATCH(A356,Table3[[#All],[PID]],0)))</f>
        <v>Galván</v>
      </c>
      <c r="G356" s="56">
        <f>IF($C356="B",INDEX(Batters[[#All],[Age]],MATCH(Table5[[#This Row],[PID]],Batters[[#All],[PID]],0)),INDEX(Table3[[#All],[Age]],MATCH(Table5[[#This Row],[PID]],Table3[[#All],[PID]],0)))</f>
        <v>17</v>
      </c>
      <c r="H356" s="52" t="str">
        <f>IF($C356="B",INDEX(Batters[[#All],[B]],MATCH(Table5[[#This Row],[PID]],Batters[[#All],[PID]],0)),INDEX(Table3[[#All],[B]],MATCH(Table5[[#This Row],[PID]],Table3[[#All],[PID]],0)))</f>
        <v>R</v>
      </c>
      <c r="I356" s="52" t="str">
        <f>IF($C356="B",INDEX(Batters[[#All],[T]],MATCH(Table5[[#This Row],[PID]],Batters[[#All],[PID]],0)),INDEX(Table3[[#All],[T]],MATCH(Table5[[#This Row],[PID]],Table3[[#All],[PID]],0)))</f>
        <v>R</v>
      </c>
      <c r="J356" s="52" t="str">
        <f>IF($C356="B",INDEX(Batters[[#All],[WE]],MATCH(Table5[[#This Row],[PID]],Batters[[#All],[PID]],0)),INDEX(Table3[[#All],[WE]],MATCH(Table5[[#This Row],[PID]],Table3[[#All],[PID]],0)))</f>
        <v>Low</v>
      </c>
      <c r="K356" s="52" t="str">
        <f>IF($C356="B",INDEX(Batters[[#All],[INT]],MATCH(Table5[[#This Row],[PID]],Batters[[#All],[PID]],0)),INDEX(Table3[[#All],[INT]],MATCH(Table5[[#This Row],[PID]],Table3[[#All],[PID]],0)))</f>
        <v>Normal</v>
      </c>
      <c r="L356" s="60">
        <f>IF($C356="B",INDEX(Batters[[#All],[CON P]],MATCH(Table5[[#This Row],[PID]],Batters[[#All],[PID]],0)),INDEX(Table3[[#All],[STU P]],MATCH(Table5[[#This Row],[PID]],Table3[[#All],[PID]],0)))</f>
        <v>5</v>
      </c>
      <c r="M356" s="56">
        <f>IF($C356="B",INDEX(Batters[[#All],[GAP P]],MATCH(Table5[[#This Row],[PID]],Batters[[#All],[PID]],0)),INDEX(Table3[[#All],[MOV P]],MATCH(Table5[[#This Row],[PID]],Table3[[#All],[PID]],0)))</f>
        <v>2</v>
      </c>
      <c r="N356" s="56">
        <f>IF($C356="B",INDEX(Batters[[#All],[POW P]],MATCH(Table5[[#This Row],[PID]],Batters[[#All],[PID]],0)),INDEX(Table3[[#All],[CON P]],MATCH(Table5[[#This Row],[PID]],Table3[[#All],[PID]],0)))</f>
        <v>3</v>
      </c>
      <c r="O356" s="56" t="str">
        <f>IF($C356="B",INDEX(Batters[[#All],[EYE P]],MATCH(Table5[[#This Row],[PID]],Batters[[#All],[PID]],0)),INDEX(Table3[[#All],[VELO]],MATCH(Table5[[#This Row],[PID]],Table3[[#All],[PID]],0)))</f>
        <v>93-95 Mph</v>
      </c>
      <c r="P356" s="56">
        <f>IF($C356="B",INDEX(Batters[[#All],[K P]],MATCH(Table5[[#This Row],[PID]],Batters[[#All],[PID]],0)),INDEX(Table3[[#All],[STM]],MATCH(Table5[[#This Row],[PID]],Table3[[#All],[PID]],0)))</f>
        <v>6</v>
      </c>
      <c r="Q356" s="61">
        <f>IF($C356="B",INDEX(Batters[[#All],[Tot]],MATCH(Table5[[#This Row],[PID]],Batters[[#All],[PID]],0)),INDEX(Table3[[#All],[Tot]],MATCH(Table5[[#This Row],[PID]],Table3[[#All],[PID]],0)))</f>
        <v>39.302306273555843</v>
      </c>
      <c r="R356" s="52">
        <f>IF($C356="B",INDEX(Batters[[#All],[zScore]],MATCH(Table5[[#This Row],[PID]],Batters[[#All],[PID]],0)),INDEX(Table3[[#All],[zScore]],MATCH(Table5[[#This Row],[PID]],Table3[[#All],[PID]],0)))</f>
        <v>0.10679087361517492</v>
      </c>
      <c r="S356" s="58" t="str">
        <f>IF($C356="B",INDEX(Batters[[#All],[DEM]],MATCH(Table5[[#This Row],[PID]],Batters[[#All],[PID]],0)),INDEX(Table3[[#All],[DEM]],MATCH(Table5[[#This Row],[PID]],Table3[[#All],[PID]],0)))</f>
        <v>$70k</v>
      </c>
      <c r="T356" s="62">
        <f>IF($C356="B",INDEX(Batters[[#All],[Rnk]],MATCH(Table5[[#This Row],[PID]],Batters[[#All],[PID]],0)),INDEX(Table3[[#All],[Rnk]],MATCH(Table5[[#This Row],[PID]],Table3[[#All],[PID]],0)))</f>
        <v>930</v>
      </c>
      <c r="U356" s="67">
        <f>IF($C356="B",VLOOKUP($A356,Bat!$A$4:$BA$1314,47,FALSE),VLOOKUP($A356,Pit!$A$4:$BF$1214,56,FALSE))</f>
        <v>276</v>
      </c>
      <c r="V356" s="50">
        <f>IF($C356="B",VLOOKUP($A356,Bat!$A$4:$BA$1314,48,FALSE),VLOOKUP($A356,Pit!$A$4:$BF$1214,57,FALSE))</f>
        <v>0</v>
      </c>
      <c r="W356" s="68">
        <f>IF(Table5[[#This Row],[posRnk]]=999,9999,Table5[[#This Row],[posRnk]]+Table5[[#This Row],[zRnk]]+IF($W$3&lt;&gt;Table5[[#This Row],[Type]],50,0))</f>
        <v>1275</v>
      </c>
      <c r="X356" s="51">
        <f>RANK(Table5[[#This Row],[zScore]],Table5[[#All],[zScore]])</f>
        <v>345</v>
      </c>
      <c r="Y356" s="50">
        <f>IFERROR(INDEX(DraftResults[[#All],[OVR]],MATCH(Table5[[#This Row],[PID]],DraftResults[[#All],[Player ID]],0)),"")</f>
        <v>574</v>
      </c>
      <c r="Z356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18</v>
      </c>
      <c r="AA356" s="50">
        <f>IFERROR(INDEX(DraftResults[[#All],[Pick in Round]],MATCH(Table5[[#This Row],[PID]],DraftResults[[#All],[Player ID]],0)),"")</f>
        <v>5</v>
      </c>
      <c r="AB356" s="50" t="str">
        <f>IFERROR(INDEX(DraftResults[[#All],[Team Name]],MATCH(Table5[[#This Row],[PID]],DraftResults[[#All],[Player ID]],0)),"")</f>
        <v>Tempe Knights</v>
      </c>
      <c r="AC356" s="50">
        <f>IF(Table5[[#This Row],[Ovr]]="","",IF(Table5[[#This Row],[cmbList]]="","",Table5[[#This Row],[cmbList]]-Table5[[#This Row],[Ovr]]))</f>
        <v>701</v>
      </c>
      <c r="AD356" s="54" t="str">
        <f>IF(ISERROR(VLOOKUP($AB356&amp;"-"&amp;$E356&amp;" "&amp;F356,Bonuses!$B$1:$G$1006,4,FALSE)),"",INT(VLOOKUP($AB356&amp;"-"&amp;$E356&amp;" "&amp;$F356,Bonuses!$B$1:$G$1006,4,FALSE)))</f>
        <v/>
      </c>
      <c r="AE356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18.5 (574) - RP Emílio Galván</v>
      </c>
    </row>
    <row r="357" spans="1:31" s="50" customFormat="1" x14ac:dyDescent="0.3">
      <c r="A357" s="50">
        <v>5638</v>
      </c>
      <c r="B357" s="50">
        <f>COUNTIF(Table5[PID],A357)</f>
        <v>1</v>
      </c>
      <c r="C357" s="50" t="str">
        <f>IF(COUNTIF(Table3[[#All],[PID]],A357)&gt;0,"P","B")</f>
        <v>P</v>
      </c>
      <c r="D357" s="59" t="str">
        <f>IF($C357="B",INDEX(Batters[[#All],[POS]],MATCH(Table5[[#This Row],[PID]],Batters[[#All],[PID]],0)),INDEX(Table3[[#All],[POS]],MATCH(Table5[[#This Row],[PID]],Table3[[#All],[PID]],0)))</f>
        <v>CL</v>
      </c>
      <c r="E357" s="52" t="str">
        <f>IF($C357="B",INDEX(Batters[[#All],[First]],MATCH(Table5[[#This Row],[PID]],Batters[[#All],[PID]],0)),INDEX(Table3[[#All],[First]],MATCH(Table5[[#This Row],[PID]],Table3[[#All],[PID]],0)))</f>
        <v>Pedro</v>
      </c>
      <c r="F357" s="50" t="str">
        <f>IF($C357="B",INDEX(Batters[[#All],[Last]],MATCH(A357,Batters[[#All],[PID]],0)),INDEX(Table3[[#All],[Last]],MATCH(A357,Table3[[#All],[PID]],0)))</f>
        <v>Díaz</v>
      </c>
      <c r="G357" s="56">
        <f>IF($C357="B",INDEX(Batters[[#All],[Age]],MATCH(Table5[[#This Row],[PID]],Batters[[#All],[PID]],0)),INDEX(Table3[[#All],[Age]],MATCH(Table5[[#This Row],[PID]],Table3[[#All],[PID]],0)))</f>
        <v>21</v>
      </c>
      <c r="H357" s="52" t="str">
        <f>IF($C357="B",INDEX(Batters[[#All],[B]],MATCH(Table5[[#This Row],[PID]],Batters[[#All],[PID]],0)),INDEX(Table3[[#All],[B]],MATCH(Table5[[#This Row],[PID]],Table3[[#All],[PID]],0)))</f>
        <v>L</v>
      </c>
      <c r="I357" s="52" t="str">
        <f>IF($C357="B",INDEX(Batters[[#All],[T]],MATCH(Table5[[#This Row],[PID]],Batters[[#All],[PID]],0)),INDEX(Table3[[#All],[T]],MATCH(Table5[[#This Row],[PID]],Table3[[#All],[PID]],0)))</f>
        <v>R</v>
      </c>
      <c r="J357" s="52" t="str">
        <f>IF($C357="B",INDEX(Batters[[#All],[WE]],MATCH(Table5[[#This Row],[PID]],Batters[[#All],[PID]],0)),INDEX(Table3[[#All],[WE]],MATCH(Table5[[#This Row],[PID]],Table3[[#All],[PID]],0)))</f>
        <v>High</v>
      </c>
      <c r="K357" s="52" t="str">
        <f>IF($C357="B",INDEX(Batters[[#All],[INT]],MATCH(Table5[[#This Row],[PID]],Batters[[#All],[PID]],0)),INDEX(Table3[[#All],[INT]],MATCH(Table5[[#This Row],[PID]],Table3[[#All],[PID]],0)))</f>
        <v>Normal</v>
      </c>
      <c r="L357" s="60">
        <f>IF($C357="B",INDEX(Batters[[#All],[CON P]],MATCH(Table5[[#This Row],[PID]],Batters[[#All],[PID]],0)),INDEX(Table3[[#All],[STU P]],MATCH(Table5[[#This Row],[PID]],Table3[[#All],[PID]],0)))</f>
        <v>5</v>
      </c>
      <c r="M357" s="56">
        <f>IF($C357="B",INDEX(Batters[[#All],[GAP P]],MATCH(Table5[[#This Row],[PID]],Batters[[#All],[PID]],0)),INDEX(Table3[[#All],[MOV P]],MATCH(Table5[[#This Row],[PID]],Table3[[#All],[PID]],0)))</f>
        <v>2</v>
      </c>
      <c r="N357" s="56">
        <f>IF($C357="B",INDEX(Batters[[#All],[POW P]],MATCH(Table5[[#This Row],[PID]],Batters[[#All],[PID]],0)),INDEX(Table3[[#All],[CON P]],MATCH(Table5[[#This Row],[PID]],Table3[[#All],[PID]],0)))</f>
        <v>4</v>
      </c>
      <c r="O357" s="56" t="str">
        <f>IF($C357="B",INDEX(Batters[[#All],[EYE P]],MATCH(Table5[[#This Row],[PID]],Batters[[#All],[PID]],0)),INDEX(Table3[[#All],[VELO]],MATCH(Table5[[#This Row],[PID]],Table3[[#All],[PID]],0)))</f>
        <v>90-92 Mph</v>
      </c>
      <c r="P357" s="56">
        <f>IF($C357="B",INDEX(Batters[[#All],[K P]],MATCH(Table5[[#This Row],[PID]],Batters[[#All],[PID]],0)),INDEX(Table3[[#All],[STM]],MATCH(Table5[[#This Row],[PID]],Table3[[#All],[PID]],0)))</f>
        <v>3</v>
      </c>
      <c r="Q357" s="61">
        <f>IF($C357="B",INDEX(Batters[[#All],[Tot]],MATCH(Table5[[#This Row],[PID]],Batters[[#All],[PID]],0)),INDEX(Table3[[#All],[Tot]],MATCH(Table5[[#This Row],[PID]],Table3[[#All],[PID]],0)))</f>
        <v>38.202088914344159</v>
      </c>
      <c r="R357" s="52">
        <f>IF($C357="B",INDEX(Batters[[#All],[zScore]],MATCH(Table5[[#This Row],[PID]],Batters[[#All],[PID]],0)),INDEX(Table3[[#All],[zScore]],MATCH(Table5[[#This Row],[PID]],Table3[[#All],[PID]],0)))</f>
        <v>2.8447659950370262E-2</v>
      </c>
      <c r="S357" s="58" t="str">
        <f>IF($C357="B",INDEX(Batters[[#All],[DEM]],MATCH(Table5[[#This Row],[PID]],Batters[[#All],[PID]],0)),INDEX(Table3[[#All],[DEM]],MATCH(Table5[[#This Row],[PID]],Table3[[#All],[PID]],0)))</f>
        <v>$20k</v>
      </c>
      <c r="T357" s="62">
        <f>IF($C357="B",INDEX(Batters[[#All],[Rnk]],MATCH(Table5[[#This Row],[PID]],Batters[[#All],[PID]],0)),INDEX(Table3[[#All],[Rnk]],MATCH(Table5[[#This Row],[PID]],Table3[[#All],[PID]],0)))</f>
        <v>900</v>
      </c>
      <c r="U357" s="67">
        <f>IF($C357="B",VLOOKUP($A357,Bat!$A$4:$BA$1314,47,FALSE),VLOOKUP($A357,Pit!$A$4:$BF$1214,56,FALSE))</f>
        <v>118</v>
      </c>
      <c r="V357" s="50">
        <f>IF($C357="B",VLOOKUP($A357,Bat!$A$4:$BA$1314,48,FALSE),VLOOKUP($A357,Pit!$A$4:$BF$1214,57,FALSE))</f>
        <v>0</v>
      </c>
      <c r="W357" s="68">
        <f>IF(Table5[[#This Row],[posRnk]]=999,9999,Table5[[#This Row],[posRnk]]+Table5[[#This Row],[zRnk]]+IF($W$3&lt;&gt;Table5[[#This Row],[Type]],50,0))</f>
        <v>1276</v>
      </c>
      <c r="X357" s="51">
        <f>RANK(Table5[[#This Row],[zScore]],Table5[[#All],[zScore]])</f>
        <v>376</v>
      </c>
      <c r="Y357" s="50">
        <f>IFERROR(INDEX(DraftResults[[#All],[OVR]],MATCH(Table5[[#This Row],[PID]],DraftResults[[#All],[Player ID]],0)),"")</f>
        <v>392</v>
      </c>
      <c r="Z357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12</v>
      </c>
      <c r="AA357" s="50">
        <f>IFERROR(INDEX(DraftResults[[#All],[Pick in Round]],MATCH(Table5[[#This Row],[PID]],DraftResults[[#All],[Player ID]],0)),"")</f>
        <v>27</v>
      </c>
      <c r="AB357" s="50" t="str">
        <f>IFERROR(INDEX(DraftResults[[#All],[Team Name]],MATCH(Table5[[#This Row],[PID]],DraftResults[[#All],[Player ID]],0)),"")</f>
        <v>Havana Leones</v>
      </c>
      <c r="AC357" s="50">
        <f>IF(Table5[[#This Row],[Ovr]]="","",IF(Table5[[#This Row],[cmbList]]="","",Table5[[#This Row],[cmbList]]-Table5[[#This Row],[Ovr]]))</f>
        <v>884</v>
      </c>
      <c r="AD357" s="54" t="str">
        <f>IF(ISERROR(VLOOKUP($AB357&amp;"-"&amp;$E357&amp;" "&amp;F357,Bonuses!$B$1:$G$1006,4,FALSE)),"",INT(VLOOKUP($AB357&amp;"-"&amp;$E357&amp;" "&amp;$F357,Bonuses!$B$1:$G$1006,4,FALSE)))</f>
        <v/>
      </c>
      <c r="AE357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12.27 (392) - CL Pedro Díaz</v>
      </c>
    </row>
    <row r="358" spans="1:31" s="50" customFormat="1" x14ac:dyDescent="0.3">
      <c r="A358" s="50">
        <v>11321</v>
      </c>
      <c r="B358" s="50">
        <f>COUNTIF(Table5[PID],A358)</f>
        <v>1</v>
      </c>
      <c r="C358" s="50" t="str">
        <f>IF(COUNTIF(Table3[[#All],[PID]],A358)&gt;0,"P","B")</f>
        <v>B</v>
      </c>
      <c r="D358" s="59" t="str">
        <f>IF($C358="B",INDEX(Batters[[#All],[POS]],MATCH(Table5[[#This Row],[PID]],Batters[[#All],[PID]],0)),INDEX(Table3[[#All],[POS]],MATCH(Table5[[#This Row],[PID]],Table3[[#All],[PID]],0)))</f>
        <v>C</v>
      </c>
      <c r="E358" s="52" t="str">
        <f>IF($C358="B",INDEX(Batters[[#All],[First]],MATCH(Table5[[#This Row],[PID]],Batters[[#All],[PID]],0)),INDEX(Table3[[#All],[First]],MATCH(Table5[[#This Row],[PID]],Table3[[#All],[PID]],0)))</f>
        <v>Ron</v>
      </c>
      <c r="F358" s="50" t="str">
        <f>IF($C358="B",INDEX(Batters[[#All],[Last]],MATCH(A358,Batters[[#All],[PID]],0)),INDEX(Table3[[#All],[Last]],MATCH(A358,Table3[[#All],[PID]],0)))</f>
        <v>Whitaker</v>
      </c>
      <c r="G358" s="56">
        <f>IF($C358="B",INDEX(Batters[[#All],[Age]],MATCH(Table5[[#This Row],[PID]],Batters[[#All],[PID]],0)),INDEX(Table3[[#All],[Age]],MATCH(Table5[[#This Row],[PID]],Table3[[#All],[PID]],0)))</f>
        <v>17</v>
      </c>
      <c r="H358" s="52" t="str">
        <f>IF($C358="B",INDEX(Batters[[#All],[B]],MATCH(Table5[[#This Row],[PID]],Batters[[#All],[PID]],0)),INDEX(Table3[[#All],[B]],MATCH(Table5[[#This Row],[PID]],Table3[[#All],[PID]],0)))</f>
        <v>R</v>
      </c>
      <c r="I358" s="52" t="str">
        <f>IF($C358="B",INDEX(Batters[[#All],[T]],MATCH(Table5[[#This Row],[PID]],Batters[[#All],[PID]],0)),INDEX(Table3[[#All],[T]],MATCH(Table5[[#This Row],[PID]],Table3[[#All],[PID]],0)))</f>
        <v>R</v>
      </c>
      <c r="J358" s="52" t="str">
        <f>IF($C358="B",INDEX(Batters[[#All],[WE]],MATCH(Table5[[#This Row],[PID]],Batters[[#All],[PID]],0)),INDEX(Table3[[#All],[WE]],MATCH(Table5[[#This Row],[PID]],Table3[[#All],[PID]],0)))</f>
        <v>Low</v>
      </c>
      <c r="K358" s="52" t="str">
        <f>IF($C358="B",INDEX(Batters[[#All],[INT]],MATCH(Table5[[#This Row],[PID]],Batters[[#All],[PID]],0)),INDEX(Table3[[#All],[INT]],MATCH(Table5[[#This Row],[PID]],Table3[[#All],[PID]],0)))</f>
        <v>Normal</v>
      </c>
      <c r="L358" s="60">
        <f>IF($C358="B",INDEX(Batters[[#All],[CON P]],MATCH(Table5[[#This Row],[PID]],Batters[[#All],[PID]],0)),INDEX(Table3[[#All],[STU P]],MATCH(Table5[[#This Row],[PID]],Table3[[#All],[PID]],0)))</f>
        <v>3</v>
      </c>
      <c r="M358" s="56">
        <f>IF($C358="B",INDEX(Batters[[#All],[GAP P]],MATCH(Table5[[#This Row],[PID]],Batters[[#All],[PID]],0)),INDEX(Table3[[#All],[MOV P]],MATCH(Table5[[#This Row],[PID]],Table3[[#All],[PID]],0)))</f>
        <v>4</v>
      </c>
      <c r="N358" s="56">
        <f>IF($C358="B",INDEX(Batters[[#All],[POW P]],MATCH(Table5[[#This Row],[PID]],Batters[[#All],[PID]],0)),INDEX(Table3[[#All],[CON P]],MATCH(Table5[[#This Row],[PID]],Table3[[#All],[PID]],0)))</f>
        <v>5</v>
      </c>
      <c r="O358" s="56">
        <f>IF($C358="B",INDEX(Batters[[#All],[EYE P]],MATCH(Table5[[#This Row],[PID]],Batters[[#All],[PID]],0)),INDEX(Table3[[#All],[VELO]],MATCH(Table5[[#This Row],[PID]],Table3[[#All],[PID]],0)))</f>
        <v>6</v>
      </c>
      <c r="P358" s="56">
        <f>IF($C358="B",INDEX(Batters[[#All],[K P]],MATCH(Table5[[#This Row],[PID]],Batters[[#All],[PID]],0)),INDEX(Table3[[#All],[STM]],MATCH(Table5[[#This Row],[PID]],Table3[[#All],[PID]],0)))</f>
        <v>2</v>
      </c>
      <c r="Q358" s="61">
        <f>IF($C358="B",INDEX(Batters[[#All],[Tot]],MATCH(Table5[[#This Row],[PID]],Batters[[#All],[PID]],0)),INDEX(Table3[[#All],[Tot]],MATCH(Table5[[#This Row],[PID]],Table3[[#All],[PID]],0)))</f>
        <v>43.94512202907908</v>
      </c>
      <c r="R358" s="52">
        <f>IF($C358="B",INDEX(Batters[[#All],[zScore]],MATCH(Table5[[#This Row],[PID]],Batters[[#All],[PID]],0)),INDEX(Table3[[#All],[zScore]],MATCH(Table5[[#This Row],[PID]],Table3[[#All],[PID]],0)))</f>
        <v>0.10606502217785786</v>
      </c>
      <c r="S358" s="58" t="str">
        <f>IF($C358="B",INDEX(Batters[[#All],[DEM]],MATCH(Table5[[#This Row],[PID]],Batters[[#All],[PID]],0)),INDEX(Table3[[#All],[DEM]],MATCH(Table5[[#This Row],[PID]],Table3[[#All],[PID]],0)))</f>
        <v>$200k</v>
      </c>
      <c r="T358" s="62">
        <f>IF($C358="B",INDEX(Batters[[#All],[Rnk]],MATCH(Table5[[#This Row],[PID]],Batters[[#All],[PID]],0)),INDEX(Table3[[#All],[Rnk]],MATCH(Table5[[#This Row],[PID]],Table3[[#All],[PID]],0)))</f>
        <v>930</v>
      </c>
      <c r="U358" s="67">
        <f>IF($C358="B",VLOOKUP($A358,Bat!$A$4:$BA$1314,47,FALSE),VLOOKUP($A358,Pit!$A$4:$BF$1214,56,FALSE))</f>
        <v>327</v>
      </c>
      <c r="V358" s="50">
        <f>IF($C358="B",VLOOKUP($A358,Bat!$A$4:$BA$1314,48,FALSE),VLOOKUP($A358,Pit!$A$4:$BF$1214,57,FALSE))</f>
        <v>0</v>
      </c>
      <c r="W358" s="68">
        <f>IF(Table5[[#This Row],[posRnk]]=999,9999,Table5[[#This Row],[posRnk]]+Table5[[#This Row],[zRnk]]+IF($W$3&lt;&gt;Table5[[#This Row],[Type]],50,0))</f>
        <v>1326</v>
      </c>
      <c r="X358" s="51">
        <f>RANK(Table5[[#This Row],[zScore]],Table5[[#All],[zScore]])</f>
        <v>346</v>
      </c>
      <c r="Y358" s="50" t="str">
        <f>IFERROR(INDEX(DraftResults[[#All],[OVR]],MATCH(Table5[[#This Row],[PID]],DraftResults[[#All],[Player ID]],0)),"")</f>
        <v/>
      </c>
      <c r="Z358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/>
      </c>
      <c r="AA358" s="50" t="str">
        <f>IFERROR(INDEX(DraftResults[[#All],[Pick in Round]],MATCH(Table5[[#This Row],[PID]],DraftResults[[#All],[Player ID]],0)),"")</f>
        <v/>
      </c>
      <c r="AB358" s="50" t="str">
        <f>IFERROR(INDEX(DraftResults[[#All],[Team Name]],MATCH(Table5[[#This Row],[PID]],DraftResults[[#All],[Player ID]],0)),"")</f>
        <v/>
      </c>
      <c r="AC358" s="50" t="str">
        <f>IF(Table5[[#This Row],[Ovr]]="","",IF(Table5[[#This Row],[cmbList]]="","",Table5[[#This Row],[cmbList]]-Table5[[#This Row],[Ovr]]))</f>
        <v/>
      </c>
      <c r="AD358" s="54" t="str">
        <f>IF(ISERROR(VLOOKUP($AB358&amp;"-"&amp;$E358&amp;" "&amp;F358,Bonuses!$B$1:$G$1006,4,FALSE)),"",INT(VLOOKUP($AB358&amp;"-"&amp;$E358&amp;" "&amp;$F358,Bonuses!$B$1:$G$1006,4,FALSE)))</f>
        <v/>
      </c>
      <c r="AE358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/>
      </c>
    </row>
    <row r="359" spans="1:31" s="50" customFormat="1" x14ac:dyDescent="0.3">
      <c r="A359" s="50">
        <v>20783</v>
      </c>
      <c r="B359" s="55">
        <f>COUNTIF(Table5[PID],A359)</f>
        <v>1</v>
      </c>
      <c r="C359" s="55" t="str">
        <f>IF(COUNTIF(Table3[[#All],[PID]],A359)&gt;0,"P","B")</f>
        <v>P</v>
      </c>
      <c r="D359" s="59" t="str">
        <f>IF($C359="B",INDEX(Batters[[#All],[POS]],MATCH(Table5[[#This Row],[PID]],Batters[[#All],[PID]],0)),INDEX(Table3[[#All],[POS]],MATCH(Table5[[#This Row],[PID]],Table3[[#All],[PID]],0)))</f>
        <v>RP</v>
      </c>
      <c r="E359" s="52" t="str">
        <f>IF($C359="B",INDEX(Batters[[#All],[First]],MATCH(Table5[[#This Row],[PID]],Batters[[#All],[PID]],0)),INDEX(Table3[[#All],[First]],MATCH(Table5[[#This Row],[PID]],Table3[[#All],[PID]],0)))</f>
        <v>Eric</v>
      </c>
      <c r="F359" s="50" t="str">
        <f>IF($C359="B",INDEX(Batters[[#All],[Last]],MATCH(A359,Batters[[#All],[PID]],0)),INDEX(Table3[[#All],[Last]],MATCH(A359,Table3[[#All],[PID]],0)))</f>
        <v>Kirk</v>
      </c>
      <c r="G359" s="56">
        <f>IF($C359="B",INDEX(Batters[[#All],[Age]],MATCH(Table5[[#This Row],[PID]],Batters[[#All],[PID]],0)),INDEX(Table3[[#All],[Age]],MATCH(Table5[[#This Row],[PID]],Table3[[#All],[PID]],0)))</f>
        <v>17</v>
      </c>
      <c r="H359" s="52" t="str">
        <f>IF($C359="B",INDEX(Batters[[#All],[B]],MATCH(Table5[[#This Row],[PID]],Batters[[#All],[PID]],0)),INDEX(Table3[[#All],[B]],MATCH(Table5[[#This Row],[PID]],Table3[[#All],[PID]],0)))</f>
        <v>R</v>
      </c>
      <c r="I359" s="52" t="str">
        <f>IF($C359="B",INDEX(Batters[[#All],[T]],MATCH(Table5[[#This Row],[PID]],Batters[[#All],[PID]],0)),INDEX(Table3[[#All],[T]],MATCH(Table5[[#This Row],[PID]],Table3[[#All],[PID]],0)))</f>
        <v>R</v>
      </c>
      <c r="J359" s="52" t="str">
        <f>IF($C359="B",INDEX(Batters[[#All],[WE]],MATCH(Table5[[#This Row],[PID]],Batters[[#All],[PID]],0)),INDEX(Table3[[#All],[WE]],MATCH(Table5[[#This Row],[PID]],Table3[[#All],[PID]],0)))</f>
        <v>High</v>
      </c>
      <c r="K359" s="52" t="str">
        <f>IF($C359="B",INDEX(Batters[[#All],[INT]],MATCH(Table5[[#This Row],[PID]],Batters[[#All],[PID]],0)),INDEX(Table3[[#All],[INT]],MATCH(Table5[[#This Row],[PID]],Table3[[#All],[PID]],0)))</f>
        <v>Normal</v>
      </c>
      <c r="L359" s="60">
        <f>IF($C359="B",INDEX(Batters[[#All],[CON P]],MATCH(Table5[[#This Row],[PID]],Batters[[#All],[PID]],0)),INDEX(Table3[[#All],[STU P]],MATCH(Table5[[#This Row],[PID]],Table3[[#All],[PID]],0)))</f>
        <v>4</v>
      </c>
      <c r="M359" s="56">
        <f>IF($C359="B",INDEX(Batters[[#All],[GAP P]],MATCH(Table5[[#This Row],[PID]],Batters[[#All],[PID]],0)),INDEX(Table3[[#All],[MOV P]],MATCH(Table5[[#This Row],[PID]],Table3[[#All],[PID]],0)))</f>
        <v>3</v>
      </c>
      <c r="N359" s="56">
        <f>IF($C359="B",INDEX(Batters[[#All],[POW P]],MATCH(Table5[[#This Row],[PID]],Batters[[#All],[PID]],0)),INDEX(Table3[[#All],[CON P]],MATCH(Table5[[#This Row],[PID]],Table3[[#All],[PID]],0)))</f>
        <v>3</v>
      </c>
      <c r="O359" s="56" t="str">
        <f>IF($C359="B",INDEX(Batters[[#All],[EYE P]],MATCH(Table5[[#This Row],[PID]],Batters[[#All],[PID]],0)),INDEX(Table3[[#All],[VELO]],MATCH(Table5[[#This Row],[PID]],Table3[[#All],[PID]],0)))</f>
        <v>86-88 Mph</v>
      </c>
      <c r="P359" s="56">
        <f>IF($C359="B",INDEX(Batters[[#All],[K P]],MATCH(Table5[[#This Row],[PID]],Batters[[#All],[PID]],0)),INDEX(Table3[[#All],[STM]],MATCH(Table5[[#This Row],[PID]],Table3[[#All],[PID]],0)))</f>
        <v>4</v>
      </c>
      <c r="Q359" s="61">
        <f>IF($C359="B",INDEX(Batters[[#All],[Tot]],MATCH(Table5[[#This Row],[PID]],Batters[[#All],[PID]],0)),INDEX(Table3[[#All],[Tot]],MATCH(Table5[[#This Row],[PID]],Table3[[#All],[PID]],0)))</f>
        <v>38.024732104091136</v>
      </c>
      <c r="R359" s="52">
        <f>IF($C359="B",INDEX(Batters[[#All],[zScore]],MATCH(Table5[[#This Row],[PID]],Batters[[#All],[PID]],0)),INDEX(Table3[[#All],[zScore]],MATCH(Table5[[#This Row],[PID]],Table3[[#All],[PID]],0)))</f>
        <v>2.2034138212394548E-2</v>
      </c>
      <c r="S359" s="58" t="str">
        <f>IF($C359="B",INDEX(Batters[[#All],[DEM]],MATCH(Table5[[#This Row],[PID]],Batters[[#All],[PID]],0)),INDEX(Table3[[#All],[DEM]],MATCH(Table5[[#This Row],[PID]],Table3[[#All],[PID]],0)))</f>
        <v>$65k</v>
      </c>
      <c r="T359" s="62">
        <f>IF($C359="B",INDEX(Batters[[#All],[Rnk]],MATCH(Table5[[#This Row],[PID]],Batters[[#All],[PID]],0)),INDEX(Table3[[#All],[Rnk]],MATCH(Table5[[#This Row],[PID]],Table3[[#All],[PID]],0)))</f>
        <v>900</v>
      </c>
      <c r="U359" s="67">
        <f>IF($C359="B",VLOOKUP($A359,Bat!$A$4:$BA$1314,47,FALSE),VLOOKUP($A359,Pit!$A$4:$BF$1214,56,FALSE))</f>
        <v>119</v>
      </c>
      <c r="V359" s="50">
        <f>IF($C359="B",VLOOKUP($A359,Bat!$A$4:$BA$1314,48,FALSE),VLOOKUP($A359,Pit!$A$4:$BF$1214,57,FALSE))</f>
        <v>0</v>
      </c>
      <c r="W359" s="68">
        <f>IF(Table5[[#This Row],[posRnk]]=999,9999,Table5[[#This Row],[posRnk]]+Table5[[#This Row],[zRnk]]+IF($W$3&lt;&gt;Table5[[#This Row],[Type]],50,0))</f>
        <v>1278</v>
      </c>
      <c r="X359" s="51">
        <f>RANK(Table5[[#This Row],[zScore]],Table5[[#All],[zScore]])</f>
        <v>378</v>
      </c>
      <c r="Y359" s="50" t="str">
        <f>IFERROR(INDEX(DraftResults[[#All],[OVR]],MATCH(Table5[[#This Row],[PID]],DraftResults[[#All],[Player ID]],0)),"")</f>
        <v/>
      </c>
      <c r="Z359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/>
      </c>
      <c r="AA359" s="50" t="str">
        <f>IFERROR(INDEX(DraftResults[[#All],[Pick in Round]],MATCH(Table5[[#This Row],[PID]],DraftResults[[#All],[Player ID]],0)),"")</f>
        <v/>
      </c>
      <c r="AB359" s="50" t="str">
        <f>IFERROR(INDEX(DraftResults[[#All],[Team Name]],MATCH(Table5[[#This Row],[PID]],DraftResults[[#All],[Player ID]],0)),"")</f>
        <v/>
      </c>
      <c r="AC359" s="50" t="str">
        <f>IF(Table5[[#This Row],[Ovr]]="","",IF(Table5[[#This Row],[cmbList]]="","",Table5[[#This Row],[cmbList]]-Table5[[#This Row],[Ovr]]))</f>
        <v/>
      </c>
      <c r="AD359" s="54" t="str">
        <f>IF(ISERROR(VLOOKUP($AB359&amp;"-"&amp;$E359&amp;" "&amp;F359,Bonuses!$B$1:$G$1006,4,FALSE)),"",INT(VLOOKUP($AB359&amp;"-"&amp;$E359&amp;" "&amp;$F359,Bonuses!$B$1:$G$1006,4,FALSE)))</f>
        <v/>
      </c>
      <c r="AE359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/>
      </c>
    </row>
    <row r="360" spans="1:31" s="50" customFormat="1" x14ac:dyDescent="0.3">
      <c r="A360" s="67">
        <v>13331</v>
      </c>
      <c r="B360" s="68">
        <f>COUNTIF(Table5[PID],A360)</f>
        <v>1</v>
      </c>
      <c r="C360" s="68" t="str">
        <f>IF(COUNTIF(Table3[[#All],[PID]],A360)&gt;0,"P","B")</f>
        <v>B</v>
      </c>
      <c r="D360" s="59" t="str">
        <f>IF($C360="B",INDEX(Batters[[#All],[POS]],MATCH(Table5[[#This Row],[PID]],Batters[[#All],[PID]],0)),INDEX(Table3[[#All],[POS]],MATCH(Table5[[#This Row],[PID]],Table3[[#All],[PID]],0)))</f>
        <v>C</v>
      </c>
      <c r="E360" s="52" t="str">
        <f>IF($C360="B",INDEX(Batters[[#All],[First]],MATCH(Table5[[#This Row],[PID]],Batters[[#All],[PID]],0)),INDEX(Table3[[#All],[First]],MATCH(Table5[[#This Row],[PID]],Table3[[#All],[PID]],0)))</f>
        <v>Yoshitora</v>
      </c>
      <c r="F360" s="55" t="str">
        <f>IF($C360="B",INDEX(Batters[[#All],[Last]],MATCH(A360,Batters[[#All],[PID]],0)),INDEX(Table3[[#All],[Last]],MATCH(A360,Table3[[#All],[PID]],0)))</f>
        <v>Mori</v>
      </c>
      <c r="G360" s="56">
        <f>IF($C360="B",INDEX(Batters[[#All],[Age]],MATCH(Table5[[#This Row],[PID]],Batters[[#All],[PID]],0)),INDEX(Table3[[#All],[Age]],MATCH(Table5[[#This Row],[PID]],Table3[[#All],[PID]],0)))</f>
        <v>18</v>
      </c>
      <c r="H360" s="52" t="str">
        <f>IF($C360="B",INDEX(Batters[[#All],[B]],MATCH(Table5[[#This Row],[PID]],Batters[[#All],[PID]],0)),INDEX(Table3[[#All],[B]],MATCH(Table5[[#This Row],[PID]],Table3[[#All],[PID]],0)))</f>
        <v>R</v>
      </c>
      <c r="I360" s="52" t="str">
        <f>IF($C360="B",INDEX(Batters[[#All],[T]],MATCH(Table5[[#This Row],[PID]],Batters[[#All],[PID]],0)),INDEX(Table3[[#All],[T]],MATCH(Table5[[#This Row],[PID]],Table3[[#All],[PID]],0)))</f>
        <v>R</v>
      </c>
      <c r="J360" s="69" t="str">
        <f>IF($C360="B",INDEX(Batters[[#All],[WE]],MATCH(Table5[[#This Row],[PID]],Batters[[#All],[PID]],0)),INDEX(Table3[[#All],[WE]],MATCH(Table5[[#This Row],[PID]],Table3[[#All],[PID]],0)))</f>
        <v>Normal</v>
      </c>
      <c r="K360" s="52" t="str">
        <f>IF($C360="B",INDEX(Batters[[#All],[INT]],MATCH(Table5[[#This Row],[PID]],Batters[[#All],[PID]],0)),INDEX(Table3[[#All],[INT]],MATCH(Table5[[#This Row],[PID]],Table3[[#All],[PID]],0)))</f>
        <v>Normal</v>
      </c>
      <c r="L360" s="60">
        <f>IF($C360="B",INDEX(Batters[[#All],[CON P]],MATCH(Table5[[#This Row],[PID]],Batters[[#All],[PID]],0)),INDEX(Table3[[#All],[STU P]],MATCH(Table5[[#This Row],[PID]],Table3[[#All],[PID]],0)))</f>
        <v>3</v>
      </c>
      <c r="M360" s="70">
        <f>IF($C360="B",INDEX(Batters[[#All],[GAP P]],MATCH(Table5[[#This Row],[PID]],Batters[[#All],[PID]],0)),INDEX(Table3[[#All],[MOV P]],MATCH(Table5[[#This Row],[PID]],Table3[[#All],[PID]],0)))</f>
        <v>4</v>
      </c>
      <c r="N360" s="70">
        <f>IF($C360="B",INDEX(Batters[[#All],[POW P]],MATCH(Table5[[#This Row],[PID]],Batters[[#All],[PID]],0)),INDEX(Table3[[#All],[CON P]],MATCH(Table5[[#This Row],[PID]],Table3[[#All],[PID]],0)))</f>
        <v>3</v>
      </c>
      <c r="O360" s="70">
        <f>IF($C360="B",INDEX(Batters[[#All],[EYE P]],MATCH(Table5[[#This Row],[PID]],Batters[[#All],[PID]],0)),INDEX(Table3[[#All],[VELO]],MATCH(Table5[[#This Row],[PID]],Table3[[#All],[PID]],0)))</f>
        <v>6</v>
      </c>
      <c r="P360" s="56">
        <f>IF($C360="B",INDEX(Batters[[#All],[K P]],MATCH(Table5[[#This Row],[PID]],Batters[[#All],[PID]],0)),INDEX(Table3[[#All],[STM]],MATCH(Table5[[#This Row],[PID]],Table3[[#All],[PID]],0)))</f>
        <v>2</v>
      </c>
      <c r="Q360" s="61">
        <f>IF($C360="B",INDEX(Batters[[#All],[Tot]],MATCH(Table5[[#This Row],[PID]],Batters[[#All],[PID]],0)),INDEX(Table3[[#All],[Tot]],MATCH(Table5[[#This Row],[PID]],Table3[[#All],[PID]],0)))</f>
        <v>43.346540184543578</v>
      </c>
      <c r="R360" s="52">
        <f>IF($C360="B",INDEX(Batters[[#All],[zScore]],MATCH(Table5[[#This Row],[PID]],Batters[[#All],[PID]],0)),INDEX(Table3[[#All],[zScore]],MATCH(Table5[[#This Row],[PID]],Table3[[#All],[PID]],0)))</f>
        <v>1.8691161861905201E-2</v>
      </c>
      <c r="S360" s="75" t="str">
        <f>IF($C360="B",INDEX(Batters[[#All],[DEM]],MATCH(Table5[[#This Row],[PID]],Batters[[#All],[PID]],0)),INDEX(Table3[[#All],[DEM]],MATCH(Table5[[#This Row],[PID]],Table3[[#All],[PID]],0)))</f>
        <v>$190k</v>
      </c>
      <c r="T360" s="72">
        <f>IF($C360="B",INDEX(Batters[[#All],[Rnk]],MATCH(Table5[[#This Row],[PID]],Batters[[#All],[PID]],0)),INDEX(Table3[[#All],[Rnk]],MATCH(Table5[[#This Row],[PID]],Table3[[#All],[PID]],0)))</f>
        <v>900</v>
      </c>
      <c r="U360" s="67">
        <f>IF($C360="B",VLOOKUP($A360,Bat!$A$4:$BA$1314,47,FALSE),VLOOKUP($A360,Pit!$A$4:$BF$1214,56,FALSE))</f>
        <v>171</v>
      </c>
      <c r="V360" s="50">
        <f>IF($C360="B",VLOOKUP($A360,Bat!$A$4:$BA$1314,48,FALSE),VLOOKUP($A360,Pit!$A$4:$BF$1214,57,FALSE))</f>
        <v>0</v>
      </c>
      <c r="W360" s="68">
        <f>IF(Table5[[#This Row],[posRnk]]=999,9999,Table5[[#This Row],[posRnk]]+Table5[[#This Row],[zRnk]]+IF($W$3&lt;&gt;Table5[[#This Row],[Type]],50,0))</f>
        <v>1329</v>
      </c>
      <c r="X360" s="71">
        <f>RANK(Table5[[#This Row],[zScore]],Table5[[#All],[zScore]])</f>
        <v>379</v>
      </c>
      <c r="Y360" s="68" t="str">
        <f>IFERROR(INDEX(DraftResults[[#All],[OVR]],MATCH(Table5[[#This Row],[PID]],DraftResults[[#All],[Player ID]],0)),"")</f>
        <v/>
      </c>
      <c r="Z360" s="7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/>
      </c>
      <c r="AA360" s="68" t="str">
        <f>IFERROR(INDEX(DraftResults[[#All],[Pick in Round]],MATCH(Table5[[#This Row],[PID]],DraftResults[[#All],[Player ID]],0)),"")</f>
        <v/>
      </c>
      <c r="AB360" s="68" t="str">
        <f>IFERROR(INDEX(DraftResults[[#All],[Team Name]],MATCH(Table5[[#This Row],[PID]],DraftResults[[#All],[Player ID]],0)),"")</f>
        <v/>
      </c>
      <c r="AC360" s="68" t="str">
        <f>IF(Table5[[#This Row],[Ovr]]="","",IF(Table5[[#This Row],[cmbList]]="","",Table5[[#This Row],[cmbList]]-Table5[[#This Row],[Ovr]]))</f>
        <v/>
      </c>
      <c r="AD360" s="74" t="str">
        <f>IF(ISERROR(VLOOKUP($AB360&amp;"-"&amp;$E360&amp;" "&amp;F360,Bonuses!$B$1:$G$1006,4,FALSE)),"",INT(VLOOKUP($AB360&amp;"-"&amp;$E360&amp;" "&amp;$F360,Bonuses!$B$1:$G$1006,4,FALSE)))</f>
        <v/>
      </c>
      <c r="AE360" s="68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/>
      </c>
    </row>
    <row r="361" spans="1:31" s="50" customFormat="1" x14ac:dyDescent="0.3">
      <c r="A361" s="50">
        <v>20323</v>
      </c>
      <c r="B361" s="50">
        <f>COUNTIF(Table5[PID],A361)</f>
        <v>1</v>
      </c>
      <c r="C361" s="50" t="str">
        <f>IF(COUNTIF(Table3[[#All],[PID]],A361)&gt;0,"P","B")</f>
        <v>P</v>
      </c>
      <c r="D361" s="59" t="str">
        <f>IF($C361="B",INDEX(Batters[[#All],[POS]],MATCH(Table5[[#This Row],[PID]],Batters[[#All],[PID]],0)),INDEX(Table3[[#All],[POS]],MATCH(Table5[[#This Row],[PID]],Table3[[#All],[PID]],0)))</f>
        <v>SP</v>
      </c>
      <c r="E361" s="52" t="str">
        <f>IF($C361="B",INDEX(Batters[[#All],[First]],MATCH(Table5[[#This Row],[PID]],Batters[[#All],[PID]],0)),INDEX(Table3[[#All],[First]],MATCH(Table5[[#This Row],[PID]],Table3[[#All],[PID]],0)))</f>
        <v>Young-chul</v>
      </c>
      <c r="F361" s="50" t="str">
        <f>IF($C361="B",INDEX(Batters[[#All],[Last]],MATCH(A361,Batters[[#All],[PID]],0)),INDEX(Table3[[#All],[Last]],MATCH(A361,Table3[[#All],[PID]],0)))</f>
        <v>Kim</v>
      </c>
      <c r="G361" s="56">
        <f>IF($C361="B",INDEX(Batters[[#All],[Age]],MATCH(Table5[[#This Row],[PID]],Batters[[#All],[PID]],0)),INDEX(Table3[[#All],[Age]],MATCH(Table5[[#This Row],[PID]],Table3[[#All],[PID]],0)))</f>
        <v>17</v>
      </c>
      <c r="H361" s="52" t="str">
        <f>IF($C361="B",INDEX(Batters[[#All],[B]],MATCH(Table5[[#This Row],[PID]],Batters[[#All],[PID]],0)),INDEX(Table3[[#All],[B]],MATCH(Table5[[#This Row],[PID]],Table3[[#All],[PID]],0)))</f>
        <v>R</v>
      </c>
      <c r="I361" s="52" t="str">
        <f>IF($C361="B",INDEX(Batters[[#All],[T]],MATCH(Table5[[#This Row],[PID]],Batters[[#All],[PID]],0)),INDEX(Table3[[#All],[T]],MATCH(Table5[[#This Row],[PID]],Table3[[#All],[PID]],0)))</f>
        <v>R</v>
      </c>
      <c r="J361" s="52" t="str">
        <f>IF($C361="B",INDEX(Batters[[#All],[WE]],MATCH(Table5[[#This Row],[PID]],Batters[[#All],[PID]],0)),INDEX(Table3[[#All],[WE]],MATCH(Table5[[#This Row],[PID]],Table3[[#All],[PID]],0)))</f>
        <v>Low</v>
      </c>
      <c r="K361" s="52" t="str">
        <f>IF($C361="B",INDEX(Batters[[#All],[INT]],MATCH(Table5[[#This Row],[PID]],Batters[[#All],[PID]],0)),INDEX(Table3[[#All],[INT]],MATCH(Table5[[#This Row],[PID]],Table3[[#All],[PID]],0)))</f>
        <v>Normal</v>
      </c>
      <c r="L361" s="60">
        <f>IF($C361="B",INDEX(Batters[[#All],[CON P]],MATCH(Table5[[#This Row],[PID]],Batters[[#All],[PID]],0)),INDEX(Table3[[#All],[STU P]],MATCH(Table5[[#This Row],[PID]],Table3[[#All],[PID]],0)))</f>
        <v>4</v>
      </c>
      <c r="M361" s="56">
        <f>IF($C361="B",INDEX(Batters[[#All],[GAP P]],MATCH(Table5[[#This Row],[PID]],Batters[[#All],[PID]],0)),INDEX(Table3[[#All],[MOV P]],MATCH(Table5[[#This Row],[PID]],Table3[[#All],[PID]],0)))</f>
        <v>2</v>
      </c>
      <c r="N361" s="56">
        <f>IF($C361="B",INDEX(Batters[[#All],[POW P]],MATCH(Table5[[#This Row],[PID]],Batters[[#All],[PID]],0)),INDEX(Table3[[#All],[CON P]],MATCH(Table5[[#This Row],[PID]],Table3[[#All],[PID]],0)))</f>
        <v>4</v>
      </c>
      <c r="O361" s="56" t="str">
        <f>IF($C361="B",INDEX(Batters[[#All],[EYE P]],MATCH(Table5[[#This Row],[PID]],Batters[[#All],[PID]],0)),INDEX(Table3[[#All],[VELO]],MATCH(Table5[[#This Row],[PID]],Table3[[#All],[PID]],0)))</f>
        <v>90-92 Mph</v>
      </c>
      <c r="P361" s="56">
        <f>IF($C361="B",INDEX(Batters[[#All],[K P]],MATCH(Table5[[#This Row],[PID]],Batters[[#All],[PID]],0)),INDEX(Table3[[#All],[STM]],MATCH(Table5[[#This Row],[PID]],Table3[[#All],[PID]],0)))</f>
        <v>9</v>
      </c>
      <c r="Q361" s="61">
        <f>IF($C361="B",INDEX(Batters[[#All],[Tot]],MATCH(Table5[[#This Row],[PID]],Batters[[#All],[PID]],0)),INDEX(Table3[[#All],[Tot]],MATCH(Table5[[#This Row],[PID]],Table3[[#All],[PID]],0)))</f>
        <v>39.247285778381944</v>
      </c>
      <c r="R361" s="52">
        <f>IF($C361="B",INDEX(Batters[[#All],[zScore]],MATCH(Table5[[#This Row],[PID]],Batters[[#All],[PID]],0)),INDEX(Table3[[#All],[zScore]],MATCH(Table5[[#This Row],[PID]],Table3[[#All],[PID]],0)))</f>
        <v>0.10287302740663969</v>
      </c>
      <c r="S361" s="58" t="str">
        <f>IF($C361="B",INDEX(Batters[[#All],[DEM]],MATCH(Table5[[#This Row],[PID]],Batters[[#All],[PID]],0)),INDEX(Table3[[#All],[DEM]],MATCH(Table5[[#This Row],[PID]],Table3[[#All],[PID]],0)))</f>
        <v>$75k</v>
      </c>
      <c r="T361" s="62">
        <f>IF($C361="B",INDEX(Batters[[#All],[Rnk]],MATCH(Table5[[#This Row],[PID]],Batters[[#All],[PID]],0)),INDEX(Table3[[#All],[Rnk]],MATCH(Table5[[#This Row],[PID]],Table3[[#All],[PID]],0)))</f>
        <v>930</v>
      </c>
      <c r="U361" s="67">
        <f>IF($C361="B",VLOOKUP($A361,Bat!$A$4:$BA$1314,47,FALSE),VLOOKUP($A361,Pit!$A$4:$BF$1214,56,FALSE))</f>
        <v>277</v>
      </c>
      <c r="V361" s="50">
        <f>IF($C361="B",VLOOKUP($A361,Bat!$A$4:$BA$1314,48,FALSE),VLOOKUP($A361,Pit!$A$4:$BF$1214,57,FALSE))</f>
        <v>0</v>
      </c>
      <c r="W361" s="68">
        <f>IF(Table5[[#This Row],[posRnk]]=999,9999,Table5[[#This Row],[posRnk]]+Table5[[#This Row],[zRnk]]+IF($W$3&lt;&gt;Table5[[#This Row],[Type]],50,0))</f>
        <v>1279</v>
      </c>
      <c r="X361" s="51">
        <f>RANK(Table5[[#This Row],[zScore]],Table5[[#All],[zScore]])</f>
        <v>349</v>
      </c>
      <c r="Y361" s="50">
        <f>IFERROR(INDEX(DraftResults[[#All],[OVR]],MATCH(Table5[[#This Row],[PID]],DraftResults[[#All],[Player ID]],0)),"")</f>
        <v>428</v>
      </c>
      <c r="Z361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13</v>
      </c>
      <c r="AA361" s="50">
        <f>IFERROR(INDEX(DraftResults[[#All],[Pick in Round]],MATCH(Table5[[#This Row],[PID]],DraftResults[[#All],[Player ID]],0)),"")</f>
        <v>29</v>
      </c>
      <c r="AB361" s="50" t="str">
        <f>IFERROR(INDEX(DraftResults[[#All],[Team Name]],MATCH(Table5[[#This Row],[PID]],DraftResults[[#All],[Player ID]],0)),"")</f>
        <v>Shin Seiki Evas</v>
      </c>
      <c r="AC361" s="50">
        <f>IF(Table5[[#This Row],[Ovr]]="","",IF(Table5[[#This Row],[cmbList]]="","",Table5[[#This Row],[cmbList]]-Table5[[#This Row],[Ovr]]))</f>
        <v>851</v>
      </c>
      <c r="AD361" s="54" t="str">
        <f>IF(ISERROR(VLOOKUP($AB361&amp;"-"&amp;$E361&amp;" "&amp;F361,Bonuses!$B$1:$G$1006,4,FALSE)),"",INT(VLOOKUP($AB361&amp;"-"&amp;$E361&amp;" "&amp;$F361,Bonuses!$B$1:$G$1006,4,FALSE)))</f>
        <v/>
      </c>
      <c r="AE361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13.29 (428) - SP Young-chul Kim</v>
      </c>
    </row>
    <row r="362" spans="1:31" s="50" customFormat="1" x14ac:dyDescent="0.3">
      <c r="A362" s="67">
        <v>10447</v>
      </c>
      <c r="B362" s="68">
        <f>COUNTIF(Table5[PID],A362)</f>
        <v>1</v>
      </c>
      <c r="C362" s="68" t="str">
        <f>IF(COUNTIF(Table3[[#All],[PID]],A362)&gt;0,"P","B")</f>
        <v>P</v>
      </c>
      <c r="D362" s="59" t="str">
        <f>IF($C362="B",INDEX(Batters[[#All],[POS]],MATCH(Table5[[#This Row],[PID]],Batters[[#All],[PID]],0)),INDEX(Table3[[#All],[POS]],MATCH(Table5[[#This Row],[PID]],Table3[[#All],[PID]],0)))</f>
        <v>RP</v>
      </c>
      <c r="E362" s="52" t="str">
        <f>IF($C362="B",INDEX(Batters[[#All],[First]],MATCH(Table5[[#This Row],[PID]],Batters[[#All],[PID]],0)),INDEX(Table3[[#All],[First]],MATCH(Table5[[#This Row],[PID]],Table3[[#All],[PID]],0)))</f>
        <v>John</v>
      </c>
      <c r="F362" s="55" t="str">
        <f>IF($C362="B",INDEX(Batters[[#All],[Last]],MATCH(A362,Batters[[#All],[PID]],0)),INDEX(Table3[[#All],[Last]],MATCH(A362,Table3[[#All],[PID]],0)))</f>
        <v>Reid</v>
      </c>
      <c r="G362" s="56">
        <f>IF($C362="B",INDEX(Batters[[#All],[Age]],MATCH(Table5[[#This Row],[PID]],Batters[[#All],[PID]],0)),INDEX(Table3[[#All],[Age]],MATCH(Table5[[#This Row],[PID]],Table3[[#All],[PID]],0)))</f>
        <v>17</v>
      </c>
      <c r="H362" s="52" t="str">
        <f>IF($C362="B",INDEX(Batters[[#All],[B]],MATCH(Table5[[#This Row],[PID]],Batters[[#All],[PID]],0)),INDEX(Table3[[#All],[B]],MATCH(Table5[[#This Row],[PID]],Table3[[#All],[PID]],0)))</f>
        <v>S</v>
      </c>
      <c r="I362" s="52" t="str">
        <f>IF($C362="B",INDEX(Batters[[#All],[T]],MATCH(Table5[[#This Row],[PID]],Batters[[#All],[PID]],0)),INDEX(Table3[[#All],[T]],MATCH(Table5[[#This Row],[PID]],Table3[[#All],[PID]],0)))</f>
        <v>R</v>
      </c>
      <c r="J362" s="69" t="str">
        <f>IF($C362="B",INDEX(Batters[[#All],[WE]],MATCH(Table5[[#This Row],[PID]],Batters[[#All],[PID]],0)),INDEX(Table3[[#All],[WE]],MATCH(Table5[[#This Row],[PID]],Table3[[#All],[PID]],0)))</f>
        <v>Low</v>
      </c>
      <c r="K362" s="52" t="str">
        <f>IF($C362="B",INDEX(Batters[[#All],[INT]],MATCH(Table5[[#This Row],[PID]],Batters[[#All],[PID]],0)),INDEX(Table3[[#All],[INT]],MATCH(Table5[[#This Row],[PID]],Table3[[#All],[PID]],0)))</f>
        <v>Low</v>
      </c>
      <c r="L362" s="60">
        <f>IF($C362="B",INDEX(Batters[[#All],[CON P]],MATCH(Table5[[#This Row],[PID]],Batters[[#All],[PID]],0)),INDEX(Table3[[#All],[STU P]],MATCH(Table5[[#This Row],[PID]],Table3[[#All],[PID]],0)))</f>
        <v>4</v>
      </c>
      <c r="M362" s="70">
        <f>IF($C362="B",INDEX(Batters[[#All],[GAP P]],MATCH(Table5[[#This Row],[PID]],Batters[[#All],[PID]],0)),INDEX(Table3[[#All],[MOV P]],MATCH(Table5[[#This Row],[PID]],Table3[[#All],[PID]],0)))</f>
        <v>2</v>
      </c>
      <c r="N362" s="70">
        <f>IF($C362="B",INDEX(Batters[[#All],[POW P]],MATCH(Table5[[#This Row],[PID]],Batters[[#All],[PID]],0)),INDEX(Table3[[#All],[CON P]],MATCH(Table5[[#This Row],[PID]],Table3[[#All],[PID]],0)))</f>
        <v>4</v>
      </c>
      <c r="O362" s="70" t="str">
        <f>IF($C362="B",INDEX(Batters[[#All],[EYE P]],MATCH(Table5[[#This Row],[PID]],Batters[[#All],[PID]],0)),INDEX(Table3[[#All],[VELO]],MATCH(Table5[[#This Row],[PID]],Table3[[#All],[PID]],0)))</f>
        <v>84-86 Mph</v>
      </c>
      <c r="P362" s="56">
        <f>IF($C362="B",INDEX(Batters[[#All],[K P]],MATCH(Table5[[#This Row],[PID]],Batters[[#All],[PID]],0)),INDEX(Table3[[#All],[STM]],MATCH(Table5[[#This Row],[PID]],Table3[[#All],[PID]],0)))</f>
        <v>8</v>
      </c>
      <c r="Q362" s="61">
        <f>IF($C362="B",INDEX(Batters[[#All],[Tot]],MATCH(Table5[[#This Row],[PID]],Batters[[#All],[PID]],0)),INDEX(Table3[[#All],[Tot]],MATCH(Table5[[#This Row],[PID]],Table3[[#All],[PID]],0)))</f>
        <v>39.932512762132092</v>
      </c>
      <c r="R362" s="52">
        <f>IF($C362="B",INDEX(Batters[[#All],[zScore]],MATCH(Table5[[#This Row],[PID]],Batters[[#All],[PID]],0)),INDEX(Table3[[#All],[zScore]],MATCH(Table5[[#This Row],[PID]],Table3[[#All],[PID]],0)))</f>
        <v>0.15166600776398634</v>
      </c>
      <c r="S362" s="75" t="str">
        <f>IF($C362="B",INDEX(Batters[[#All],[DEM]],MATCH(Table5[[#This Row],[PID]],Batters[[#All],[PID]],0)),INDEX(Table3[[#All],[DEM]],MATCH(Table5[[#This Row],[PID]],Table3[[#All],[PID]],0)))</f>
        <v>$38k</v>
      </c>
      <c r="T362" s="72">
        <f>IF($C362="B",INDEX(Batters[[#All],[Rnk]],MATCH(Table5[[#This Row],[PID]],Batters[[#All],[PID]],0)),INDEX(Table3[[#All],[Rnk]],MATCH(Table5[[#This Row],[PID]],Table3[[#All],[PID]],0)))</f>
        <v>950</v>
      </c>
      <c r="U362" s="67">
        <f>IF($C362="B",VLOOKUP($A362,Bat!$A$4:$BA$1314,47,FALSE),VLOOKUP($A362,Pit!$A$4:$BF$1214,56,FALSE))</f>
        <v>410</v>
      </c>
      <c r="V362" s="50">
        <f>IF($C362="B",VLOOKUP($A362,Bat!$A$4:$BA$1314,48,FALSE),VLOOKUP($A362,Pit!$A$4:$BF$1214,57,FALSE))</f>
        <v>0</v>
      </c>
      <c r="W362" s="68">
        <f>IF(Table5[[#This Row],[posRnk]]=999,9999,Table5[[#This Row],[posRnk]]+Table5[[#This Row],[zRnk]]+IF($W$3&lt;&gt;Table5[[#This Row],[Type]],50,0))</f>
        <v>1279</v>
      </c>
      <c r="X362" s="71">
        <f>RANK(Table5[[#This Row],[zScore]],Table5[[#All],[zScore]])</f>
        <v>329</v>
      </c>
      <c r="Y362" s="68">
        <f>IFERROR(INDEX(DraftResults[[#All],[OVR]],MATCH(Table5[[#This Row],[PID]],DraftResults[[#All],[Player ID]],0)),"")</f>
        <v>639</v>
      </c>
      <c r="Z362" s="7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20</v>
      </c>
      <c r="AA362" s="68">
        <f>IFERROR(INDEX(DraftResults[[#All],[Pick in Round]],MATCH(Table5[[#This Row],[PID]],DraftResults[[#All],[Player ID]],0)),"")</f>
        <v>2</v>
      </c>
      <c r="AB362" s="68" t="str">
        <f>IFERROR(INDEX(DraftResults[[#All],[Team Name]],MATCH(Table5[[#This Row],[PID]],DraftResults[[#All],[Player ID]],0)),"")</f>
        <v>Charleston Statesmen</v>
      </c>
      <c r="AC362" s="68">
        <f>IF(Table5[[#This Row],[Ovr]]="","",IF(Table5[[#This Row],[cmbList]]="","",Table5[[#This Row],[cmbList]]-Table5[[#This Row],[Ovr]]))</f>
        <v>640</v>
      </c>
      <c r="AD362" s="74" t="str">
        <f>IF(ISERROR(VLOOKUP($AB362&amp;"-"&amp;$E362&amp;" "&amp;F362,Bonuses!$B$1:$G$1006,4,FALSE)),"",INT(VLOOKUP($AB362&amp;"-"&amp;$E362&amp;" "&amp;$F362,Bonuses!$B$1:$G$1006,4,FALSE)))</f>
        <v/>
      </c>
      <c r="AE362" s="68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20.2 (639) - RP John Reid</v>
      </c>
    </row>
    <row r="363" spans="1:31" s="50" customFormat="1" x14ac:dyDescent="0.3">
      <c r="A363" s="50">
        <v>13185</v>
      </c>
      <c r="B363" s="50">
        <f>COUNTIF(Table5[PID],A363)</f>
        <v>1</v>
      </c>
      <c r="C363" s="50" t="str">
        <f>IF(COUNTIF(Table3[[#All],[PID]],A363)&gt;0,"P","B")</f>
        <v>B</v>
      </c>
      <c r="D363" s="59" t="str">
        <f>IF($C363="B",INDEX(Batters[[#All],[POS]],MATCH(Table5[[#This Row],[PID]],Batters[[#All],[PID]],0)),INDEX(Table3[[#All],[POS]],MATCH(Table5[[#This Row],[PID]],Table3[[#All],[PID]],0)))</f>
        <v>C</v>
      </c>
      <c r="E363" s="52" t="str">
        <f>IF($C363="B",INDEX(Batters[[#All],[First]],MATCH(Table5[[#This Row],[PID]],Batters[[#All],[PID]],0)),INDEX(Table3[[#All],[First]],MATCH(Table5[[#This Row],[PID]],Table3[[#All],[PID]],0)))</f>
        <v>Kiyoemon</v>
      </c>
      <c r="F363" s="50" t="str">
        <f>IF($C363="B",INDEX(Batters[[#All],[Last]],MATCH(A363,Batters[[#All],[PID]],0)),INDEX(Table3[[#All],[Last]],MATCH(A363,Table3[[#All],[PID]],0)))</f>
        <v>Matsushita</v>
      </c>
      <c r="G363" s="56">
        <f>IF($C363="B",INDEX(Batters[[#All],[Age]],MATCH(Table5[[#This Row],[PID]],Batters[[#All],[PID]],0)),INDEX(Table3[[#All],[Age]],MATCH(Table5[[#This Row],[PID]],Table3[[#All],[PID]],0)))</f>
        <v>17</v>
      </c>
      <c r="H363" s="52" t="str">
        <f>IF($C363="B",INDEX(Batters[[#All],[B]],MATCH(Table5[[#This Row],[PID]],Batters[[#All],[PID]],0)),INDEX(Table3[[#All],[B]],MATCH(Table5[[#This Row],[PID]],Table3[[#All],[PID]],0)))</f>
        <v>R</v>
      </c>
      <c r="I363" s="52" t="str">
        <f>IF($C363="B",INDEX(Batters[[#All],[T]],MATCH(Table5[[#This Row],[PID]],Batters[[#All],[PID]],0)),INDEX(Table3[[#All],[T]],MATCH(Table5[[#This Row],[PID]],Table3[[#All],[PID]],0)))</f>
        <v>R</v>
      </c>
      <c r="J363" s="52" t="str">
        <f>IF($C363="B",INDEX(Batters[[#All],[WE]],MATCH(Table5[[#This Row],[PID]],Batters[[#All],[PID]],0)),INDEX(Table3[[#All],[WE]],MATCH(Table5[[#This Row],[PID]],Table3[[#All],[PID]],0)))</f>
        <v>Low</v>
      </c>
      <c r="K363" s="52" t="str">
        <f>IF($C363="B",INDEX(Batters[[#All],[INT]],MATCH(Table5[[#This Row],[PID]],Batters[[#All],[PID]],0)),INDEX(Table3[[#All],[INT]],MATCH(Table5[[#This Row],[PID]],Table3[[#All],[PID]],0)))</f>
        <v>Normal</v>
      </c>
      <c r="L363" s="60">
        <f>IF($C363="B",INDEX(Batters[[#All],[CON P]],MATCH(Table5[[#This Row],[PID]],Batters[[#All],[PID]],0)),INDEX(Table3[[#All],[STU P]],MATCH(Table5[[#This Row],[PID]],Table3[[#All],[PID]],0)))</f>
        <v>3</v>
      </c>
      <c r="M363" s="56">
        <f>IF($C363="B",INDEX(Batters[[#All],[GAP P]],MATCH(Table5[[#This Row],[PID]],Batters[[#All],[PID]],0)),INDEX(Table3[[#All],[MOV P]],MATCH(Table5[[#This Row],[PID]],Table3[[#All],[PID]],0)))</f>
        <v>5</v>
      </c>
      <c r="N363" s="56">
        <f>IF($C363="B",INDEX(Batters[[#All],[POW P]],MATCH(Table5[[#This Row],[PID]],Batters[[#All],[PID]],0)),INDEX(Table3[[#All],[CON P]],MATCH(Table5[[#This Row],[PID]],Table3[[#All],[PID]],0)))</f>
        <v>4</v>
      </c>
      <c r="O363" s="56">
        <f>IF($C363="B",INDEX(Batters[[#All],[EYE P]],MATCH(Table5[[#This Row],[PID]],Batters[[#All],[PID]],0)),INDEX(Table3[[#All],[VELO]],MATCH(Table5[[#This Row],[PID]],Table3[[#All],[PID]],0)))</f>
        <v>5</v>
      </c>
      <c r="P363" s="56">
        <f>IF($C363="B",INDEX(Batters[[#All],[K P]],MATCH(Table5[[#This Row],[PID]],Batters[[#All],[PID]],0)),INDEX(Table3[[#All],[STM]],MATCH(Table5[[#This Row],[PID]],Table3[[#All],[PID]],0)))</f>
        <v>3</v>
      </c>
      <c r="Q363" s="61">
        <f>IF($C363="B",INDEX(Batters[[#All],[Tot]],MATCH(Table5[[#This Row],[PID]],Batters[[#All],[PID]],0)),INDEX(Table3[[#All],[Tot]],MATCH(Table5[[#This Row],[PID]],Table3[[#All],[PID]],0)))</f>
        <v>43.917984295347253</v>
      </c>
      <c r="R363" s="52">
        <f>IF($C363="B",INDEX(Batters[[#All],[zScore]],MATCH(Table5[[#This Row],[PID]],Batters[[#All],[PID]],0)),INDEX(Table3[[#All],[zScore]],MATCH(Table5[[#This Row],[PID]],Table3[[#All],[PID]],0)))</f>
        <v>0.10210377848491531</v>
      </c>
      <c r="S363" s="58" t="str">
        <f>IF($C363="B",INDEX(Batters[[#All],[DEM]],MATCH(Table5[[#This Row],[PID]],Batters[[#All],[PID]],0)),INDEX(Table3[[#All],[DEM]],MATCH(Table5[[#This Row],[PID]],Table3[[#All],[PID]],0)))</f>
        <v>$75k</v>
      </c>
      <c r="T363" s="62">
        <f>IF($C363="B",INDEX(Batters[[#All],[Rnk]],MATCH(Table5[[#This Row],[PID]],Batters[[#All],[PID]],0)),INDEX(Table3[[#All],[Rnk]],MATCH(Table5[[#This Row],[PID]],Table3[[#All],[PID]],0)))</f>
        <v>930</v>
      </c>
      <c r="U363" s="67">
        <f>IF($C363="B",VLOOKUP($A363,Bat!$A$4:$BA$1314,47,FALSE),VLOOKUP($A363,Pit!$A$4:$BF$1214,56,FALSE))</f>
        <v>328</v>
      </c>
      <c r="V363" s="50">
        <f>IF($C363="B",VLOOKUP($A363,Bat!$A$4:$BA$1314,48,FALSE),VLOOKUP($A363,Pit!$A$4:$BF$1214,57,FALSE))</f>
        <v>0</v>
      </c>
      <c r="W363" s="68">
        <f>IF(Table5[[#This Row],[posRnk]]=999,9999,Table5[[#This Row],[posRnk]]+Table5[[#This Row],[zRnk]]+IF($W$3&lt;&gt;Table5[[#This Row],[Type]],50,0))</f>
        <v>1330</v>
      </c>
      <c r="X363" s="51">
        <f>RANK(Table5[[#This Row],[zScore]],Table5[[#All],[zScore]])</f>
        <v>350</v>
      </c>
      <c r="Y363" s="50" t="str">
        <f>IFERROR(INDEX(DraftResults[[#All],[OVR]],MATCH(Table5[[#This Row],[PID]],DraftResults[[#All],[Player ID]],0)),"")</f>
        <v/>
      </c>
      <c r="Z363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/>
      </c>
      <c r="AA363" s="50" t="str">
        <f>IFERROR(INDEX(DraftResults[[#All],[Pick in Round]],MATCH(Table5[[#This Row],[PID]],DraftResults[[#All],[Player ID]],0)),"")</f>
        <v/>
      </c>
      <c r="AB363" s="50" t="str">
        <f>IFERROR(INDEX(DraftResults[[#All],[Team Name]],MATCH(Table5[[#This Row],[PID]],DraftResults[[#All],[Player ID]],0)),"")</f>
        <v/>
      </c>
      <c r="AC363" s="50" t="str">
        <f>IF(Table5[[#This Row],[Ovr]]="","",IF(Table5[[#This Row],[cmbList]]="","",Table5[[#This Row],[cmbList]]-Table5[[#This Row],[Ovr]]))</f>
        <v/>
      </c>
      <c r="AD363" s="54" t="str">
        <f>IF(ISERROR(VLOOKUP($AB363&amp;"-"&amp;$E363&amp;" "&amp;F363,Bonuses!$B$1:$G$1006,4,FALSE)),"",INT(VLOOKUP($AB363&amp;"-"&amp;$E363&amp;" "&amp;$F363,Bonuses!$B$1:$G$1006,4,FALSE)))</f>
        <v/>
      </c>
      <c r="AE363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/>
      </c>
    </row>
    <row r="364" spans="1:31" s="50" customFormat="1" x14ac:dyDescent="0.3">
      <c r="A364" s="67">
        <v>20758</v>
      </c>
      <c r="B364" s="68">
        <f>COUNTIF(Table5[PID],A364)</f>
        <v>1</v>
      </c>
      <c r="C364" s="68" t="str">
        <f>IF(COUNTIF(Table3[[#All],[PID]],A364)&gt;0,"P","B")</f>
        <v>P</v>
      </c>
      <c r="D364" s="59" t="str">
        <f>IF($C364="B",INDEX(Batters[[#All],[POS]],MATCH(Table5[[#This Row],[PID]],Batters[[#All],[PID]],0)),INDEX(Table3[[#All],[POS]],MATCH(Table5[[#This Row],[PID]],Table3[[#All],[PID]],0)))</f>
        <v>RP</v>
      </c>
      <c r="E364" s="52" t="str">
        <f>IF($C364="B",INDEX(Batters[[#All],[First]],MATCH(Table5[[#This Row],[PID]],Batters[[#All],[PID]],0)),INDEX(Table3[[#All],[First]],MATCH(Table5[[#This Row],[PID]],Table3[[#All],[PID]],0)))</f>
        <v>Roberto</v>
      </c>
      <c r="F364" s="55" t="str">
        <f>IF($C364="B",INDEX(Batters[[#All],[Last]],MATCH(A364,Batters[[#All],[PID]],0)),INDEX(Table3[[#All],[Last]],MATCH(A364,Table3[[#All],[PID]],0)))</f>
        <v>Moreno</v>
      </c>
      <c r="G364" s="56">
        <f>IF($C364="B",INDEX(Batters[[#All],[Age]],MATCH(Table5[[#This Row],[PID]],Batters[[#All],[PID]],0)),INDEX(Table3[[#All],[Age]],MATCH(Table5[[#This Row],[PID]],Table3[[#All],[PID]],0)))</f>
        <v>17</v>
      </c>
      <c r="H364" s="52" t="str">
        <f>IF($C364="B",INDEX(Batters[[#All],[B]],MATCH(Table5[[#This Row],[PID]],Batters[[#All],[PID]],0)),INDEX(Table3[[#All],[B]],MATCH(Table5[[#This Row],[PID]],Table3[[#All],[PID]],0)))</f>
        <v>R</v>
      </c>
      <c r="I364" s="52" t="str">
        <f>IF($C364="B",INDEX(Batters[[#All],[T]],MATCH(Table5[[#This Row],[PID]],Batters[[#All],[PID]],0)),INDEX(Table3[[#All],[T]],MATCH(Table5[[#This Row],[PID]],Table3[[#All],[PID]],0)))</f>
        <v>R</v>
      </c>
      <c r="J364" s="69" t="str">
        <f>IF($C364="B",INDEX(Batters[[#All],[WE]],MATCH(Table5[[#This Row],[PID]],Batters[[#All],[PID]],0)),INDEX(Table3[[#All],[WE]],MATCH(Table5[[#This Row],[PID]],Table3[[#All],[PID]],0)))</f>
        <v>Normal</v>
      </c>
      <c r="K364" s="52" t="str">
        <f>IF($C364="B",INDEX(Batters[[#All],[INT]],MATCH(Table5[[#This Row],[PID]],Batters[[#All],[PID]],0)),INDEX(Table3[[#All],[INT]],MATCH(Table5[[#This Row],[PID]],Table3[[#All],[PID]],0)))</f>
        <v>Normal</v>
      </c>
      <c r="L364" s="60">
        <f>IF($C364="B",INDEX(Batters[[#All],[CON P]],MATCH(Table5[[#This Row],[PID]],Batters[[#All],[PID]],0)),INDEX(Table3[[#All],[STU P]],MATCH(Table5[[#This Row],[PID]],Table3[[#All],[PID]],0)))</f>
        <v>5</v>
      </c>
      <c r="M364" s="70">
        <f>IF($C364="B",INDEX(Batters[[#All],[GAP P]],MATCH(Table5[[#This Row],[PID]],Batters[[#All],[PID]],0)),INDEX(Table3[[#All],[MOV P]],MATCH(Table5[[#This Row],[PID]],Table3[[#All],[PID]],0)))</f>
        <v>2</v>
      </c>
      <c r="N364" s="70">
        <f>IF($C364="B",INDEX(Batters[[#All],[POW P]],MATCH(Table5[[#This Row],[PID]],Batters[[#All],[PID]],0)),INDEX(Table3[[#All],[CON P]],MATCH(Table5[[#This Row],[PID]],Table3[[#All],[PID]],0)))</f>
        <v>3</v>
      </c>
      <c r="O364" s="70" t="str">
        <f>IF($C364="B",INDEX(Batters[[#All],[EYE P]],MATCH(Table5[[#This Row],[PID]],Batters[[#All],[PID]],0)),INDEX(Table3[[#All],[VELO]],MATCH(Table5[[#This Row],[PID]],Table3[[#All],[PID]],0)))</f>
        <v>94-96 Mph</v>
      </c>
      <c r="P364" s="56">
        <f>IF($C364="B",INDEX(Batters[[#All],[K P]],MATCH(Table5[[#This Row],[PID]],Batters[[#All],[PID]],0)),INDEX(Table3[[#All],[STM]],MATCH(Table5[[#This Row],[PID]],Table3[[#All],[PID]],0)))</f>
        <v>1</v>
      </c>
      <c r="Q364" s="61">
        <f>IF($C364="B",INDEX(Batters[[#All],[Tot]],MATCH(Table5[[#This Row],[PID]],Batters[[#All],[PID]],0)),INDEX(Table3[[#All],[Tot]],MATCH(Table5[[#This Row],[PID]],Table3[[#All],[PID]],0)))</f>
        <v>37.95825618305993</v>
      </c>
      <c r="R364" s="52">
        <f>IF($C364="B",INDEX(Batters[[#All],[zScore]],MATCH(Table5[[#This Row],[PID]],Batters[[#All],[PID]],0)),INDEX(Table3[[#All],[zScore]],MATCH(Table5[[#This Row],[PID]],Table3[[#All],[PID]],0)))</f>
        <v>1.1085054638306762E-2</v>
      </c>
      <c r="S364" s="75" t="str">
        <f>IF($C364="B",INDEX(Batters[[#All],[DEM]],MATCH(Table5[[#This Row],[PID]],Batters[[#All],[PID]],0)),INDEX(Table3[[#All],[DEM]],MATCH(Table5[[#This Row],[PID]],Table3[[#All],[PID]],0)))</f>
        <v>$65k</v>
      </c>
      <c r="T364" s="72">
        <f>IF($C364="B",INDEX(Batters[[#All],[Rnk]],MATCH(Table5[[#This Row],[PID]],Batters[[#All],[PID]],0)),INDEX(Table3[[#All],[Rnk]],MATCH(Table5[[#This Row],[PID]],Table3[[#All],[PID]],0)))</f>
        <v>900</v>
      </c>
      <c r="U364" s="67">
        <f>IF($C364="B",VLOOKUP($A364,Bat!$A$4:$BA$1314,47,FALSE),VLOOKUP($A364,Pit!$A$4:$BF$1214,56,FALSE))</f>
        <v>124</v>
      </c>
      <c r="V364" s="50">
        <f>IF($C364="B",VLOOKUP($A364,Bat!$A$4:$BA$1314,48,FALSE),VLOOKUP($A364,Pit!$A$4:$BF$1214,57,FALSE))</f>
        <v>0</v>
      </c>
      <c r="W364" s="68">
        <f>IF(Table5[[#This Row],[posRnk]]=999,9999,Table5[[#This Row],[posRnk]]+Table5[[#This Row],[zRnk]]+IF($W$3&lt;&gt;Table5[[#This Row],[Type]],50,0))</f>
        <v>1281</v>
      </c>
      <c r="X364" s="71">
        <f>RANK(Table5[[#This Row],[zScore]],Table5[[#All],[zScore]])</f>
        <v>381</v>
      </c>
      <c r="Y364" s="68">
        <f>IFERROR(INDEX(DraftResults[[#All],[OVR]],MATCH(Table5[[#This Row],[PID]],DraftResults[[#All],[Player ID]],0)),"")</f>
        <v>546</v>
      </c>
      <c r="Z364" s="7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17</v>
      </c>
      <c r="AA364" s="68">
        <f>IFERROR(INDEX(DraftResults[[#All],[Pick in Round]],MATCH(Table5[[#This Row],[PID]],DraftResults[[#All],[Player ID]],0)),"")</f>
        <v>11</v>
      </c>
      <c r="AB364" s="68" t="str">
        <f>IFERROR(INDEX(DraftResults[[#All],[Team Name]],MATCH(Table5[[#This Row],[PID]],DraftResults[[#All],[Player ID]],0)),"")</f>
        <v>Arlington Bureaucrats</v>
      </c>
      <c r="AC364" s="68">
        <f>IF(Table5[[#This Row],[Ovr]]="","",IF(Table5[[#This Row],[cmbList]]="","",Table5[[#This Row],[cmbList]]-Table5[[#This Row],[Ovr]]))</f>
        <v>735</v>
      </c>
      <c r="AD364" s="74" t="str">
        <f>IF(ISERROR(VLOOKUP($AB364&amp;"-"&amp;$E364&amp;" "&amp;F364,Bonuses!$B$1:$G$1006,4,FALSE)),"",INT(VLOOKUP($AB364&amp;"-"&amp;$E364&amp;" "&amp;$F364,Bonuses!$B$1:$G$1006,4,FALSE)))</f>
        <v/>
      </c>
      <c r="AE364" s="68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17.11 (546) - RP Roberto Moreno</v>
      </c>
    </row>
    <row r="365" spans="1:31" s="50" customFormat="1" x14ac:dyDescent="0.3">
      <c r="A365" s="50">
        <v>20978</v>
      </c>
      <c r="B365" s="50">
        <f>COUNTIF(Table5[PID],A365)</f>
        <v>1</v>
      </c>
      <c r="C365" s="50" t="str">
        <f>IF(COUNTIF(Table3[[#All],[PID]],A365)&gt;0,"P","B")</f>
        <v>P</v>
      </c>
      <c r="D365" s="59" t="str">
        <f>IF($C365="B",INDEX(Batters[[#All],[POS]],MATCH(Table5[[#This Row],[PID]],Batters[[#All],[PID]],0)),INDEX(Table3[[#All],[POS]],MATCH(Table5[[#This Row],[PID]],Table3[[#All],[PID]],0)))</f>
        <v>RP</v>
      </c>
      <c r="E365" s="52" t="str">
        <f>IF($C365="B",INDEX(Batters[[#All],[First]],MATCH(Table5[[#This Row],[PID]],Batters[[#All],[PID]],0)),INDEX(Table3[[#All],[First]],MATCH(Table5[[#This Row],[PID]],Table3[[#All],[PID]],0)))</f>
        <v>Jack</v>
      </c>
      <c r="F365" s="50" t="str">
        <f>IF($C365="B",INDEX(Batters[[#All],[Last]],MATCH(A365,Batters[[#All],[PID]],0)),INDEX(Table3[[#All],[Last]],MATCH(A365,Table3[[#All],[PID]],0)))</f>
        <v>Stanford</v>
      </c>
      <c r="G365" s="56">
        <f>IF($C365="B",INDEX(Batters[[#All],[Age]],MATCH(Table5[[#This Row],[PID]],Batters[[#All],[PID]],0)),INDEX(Table3[[#All],[Age]],MATCH(Table5[[#This Row],[PID]],Table3[[#All],[PID]],0)))</f>
        <v>17</v>
      </c>
      <c r="H365" s="52" t="str">
        <f>IF($C365="B",INDEX(Batters[[#All],[B]],MATCH(Table5[[#This Row],[PID]],Batters[[#All],[PID]],0)),INDEX(Table3[[#All],[B]],MATCH(Table5[[#This Row],[PID]],Table3[[#All],[PID]],0)))</f>
        <v>R</v>
      </c>
      <c r="I365" s="52" t="str">
        <f>IF($C365="B",INDEX(Batters[[#All],[T]],MATCH(Table5[[#This Row],[PID]],Batters[[#All],[PID]],0)),INDEX(Table3[[#All],[T]],MATCH(Table5[[#This Row],[PID]],Table3[[#All],[PID]],0)))</f>
        <v>R</v>
      </c>
      <c r="J365" s="52" t="str">
        <f>IF($C365="B",INDEX(Batters[[#All],[WE]],MATCH(Table5[[#This Row],[PID]],Batters[[#All],[PID]],0)),INDEX(Table3[[#All],[WE]],MATCH(Table5[[#This Row],[PID]],Table3[[#All],[PID]],0)))</f>
        <v>Low</v>
      </c>
      <c r="K365" s="52" t="str">
        <f>IF($C365="B",INDEX(Batters[[#All],[INT]],MATCH(Table5[[#This Row],[PID]],Batters[[#All],[PID]],0)),INDEX(Table3[[#All],[INT]],MATCH(Table5[[#This Row],[PID]],Table3[[#All],[PID]],0)))</f>
        <v>Normal</v>
      </c>
      <c r="L365" s="60">
        <f>IF($C365="B",INDEX(Batters[[#All],[CON P]],MATCH(Table5[[#This Row],[PID]],Batters[[#All],[PID]],0)),INDEX(Table3[[#All],[STU P]],MATCH(Table5[[#This Row],[PID]],Table3[[#All],[PID]],0)))</f>
        <v>4</v>
      </c>
      <c r="M365" s="56">
        <f>IF($C365="B",INDEX(Batters[[#All],[GAP P]],MATCH(Table5[[#This Row],[PID]],Batters[[#All],[PID]],0)),INDEX(Table3[[#All],[MOV P]],MATCH(Table5[[#This Row],[PID]],Table3[[#All],[PID]],0)))</f>
        <v>1</v>
      </c>
      <c r="N365" s="56">
        <f>IF($C365="B",INDEX(Batters[[#All],[POW P]],MATCH(Table5[[#This Row],[PID]],Batters[[#All],[PID]],0)),INDEX(Table3[[#All],[CON P]],MATCH(Table5[[#This Row],[PID]],Table3[[#All],[PID]],0)))</f>
        <v>5</v>
      </c>
      <c r="O365" s="56" t="str">
        <f>IF($C365="B",INDEX(Batters[[#All],[EYE P]],MATCH(Table5[[#This Row],[PID]],Batters[[#All],[PID]],0)),INDEX(Table3[[#All],[VELO]],MATCH(Table5[[#This Row],[PID]],Table3[[#All],[PID]],0)))</f>
        <v>90-92 Mph</v>
      </c>
      <c r="P365" s="56">
        <f>IF($C365="B",INDEX(Batters[[#All],[K P]],MATCH(Table5[[#This Row],[PID]],Batters[[#All],[PID]],0)),INDEX(Table3[[#All],[STM]],MATCH(Table5[[#This Row],[PID]],Table3[[#All],[PID]],0)))</f>
        <v>9</v>
      </c>
      <c r="Q365" s="61">
        <f>IF($C365="B",INDEX(Batters[[#All],[Tot]],MATCH(Table5[[#This Row],[PID]],Batters[[#All],[PID]],0)),INDEX(Table3[[#All],[Tot]],MATCH(Table5[[#This Row],[PID]],Table3[[#All],[PID]],0)))</f>
        <v>39.145976427577025</v>
      </c>
      <c r="R365" s="52">
        <f>IF($C365="B",INDEX(Batters[[#All],[zScore]],MATCH(Table5[[#This Row],[PID]],Batters[[#All],[PID]],0)),INDEX(Table3[[#All],[zScore]],MATCH(Table5[[#This Row],[PID]],Table3[[#All],[PID]],0)))</f>
        <v>0.10180353428294818</v>
      </c>
      <c r="S365" s="58" t="str">
        <f>IF($C365="B",INDEX(Batters[[#All],[DEM]],MATCH(Table5[[#This Row],[PID]],Batters[[#All],[PID]],0)),INDEX(Table3[[#All],[DEM]],MATCH(Table5[[#This Row],[PID]],Table3[[#All],[PID]],0)))</f>
        <v>$75k</v>
      </c>
      <c r="T365" s="62">
        <f>IF($C365="B",INDEX(Batters[[#All],[Rnk]],MATCH(Table5[[#This Row],[PID]],Batters[[#All],[PID]],0)),INDEX(Table3[[#All],[Rnk]],MATCH(Table5[[#This Row],[PID]],Table3[[#All],[PID]],0)))</f>
        <v>930</v>
      </c>
      <c r="U365" s="67">
        <f>IF($C365="B",VLOOKUP($A365,Bat!$A$4:$BA$1314,47,FALSE),VLOOKUP($A365,Pit!$A$4:$BF$1214,56,FALSE))</f>
        <v>278</v>
      </c>
      <c r="V365" s="50">
        <f>IF($C365="B",VLOOKUP($A365,Bat!$A$4:$BA$1314,48,FALSE),VLOOKUP($A365,Pit!$A$4:$BF$1214,57,FALSE))</f>
        <v>0</v>
      </c>
      <c r="W365" s="68">
        <f>IF(Table5[[#This Row],[posRnk]]=999,9999,Table5[[#This Row],[posRnk]]+Table5[[#This Row],[zRnk]]+IF($W$3&lt;&gt;Table5[[#This Row],[Type]],50,0))</f>
        <v>1281</v>
      </c>
      <c r="X365" s="51">
        <f>RANK(Table5[[#This Row],[zScore]],Table5[[#All],[zScore]])</f>
        <v>351</v>
      </c>
      <c r="Y365" s="50">
        <f>IFERROR(INDEX(DraftResults[[#All],[OVR]],MATCH(Table5[[#This Row],[PID]],DraftResults[[#All],[Player ID]],0)),"")</f>
        <v>438</v>
      </c>
      <c r="Z365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14</v>
      </c>
      <c r="AA365" s="50">
        <f>IFERROR(INDEX(DraftResults[[#All],[Pick in Round]],MATCH(Table5[[#This Row],[PID]],DraftResults[[#All],[Player ID]],0)),"")</f>
        <v>5</v>
      </c>
      <c r="AB365" s="50" t="str">
        <f>IFERROR(INDEX(DraftResults[[#All],[Team Name]],MATCH(Table5[[#This Row],[PID]],DraftResults[[#All],[Player ID]],0)),"")</f>
        <v>Tempe Knights</v>
      </c>
      <c r="AC365" s="50">
        <f>IF(Table5[[#This Row],[Ovr]]="","",IF(Table5[[#This Row],[cmbList]]="","",Table5[[#This Row],[cmbList]]-Table5[[#This Row],[Ovr]]))</f>
        <v>843</v>
      </c>
      <c r="AD365" s="54" t="str">
        <f>IF(ISERROR(VLOOKUP($AB365&amp;"-"&amp;$E365&amp;" "&amp;F365,Bonuses!$B$1:$G$1006,4,FALSE)),"",INT(VLOOKUP($AB365&amp;"-"&amp;$E365&amp;" "&amp;$F365,Bonuses!$B$1:$G$1006,4,FALSE)))</f>
        <v/>
      </c>
      <c r="AE365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14.5 (438) - RP Jack Stanford</v>
      </c>
    </row>
    <row r="366" spans="1:31" s="50" customFormat="1" x14ac:dyDescent="0.3">
      <c r="A366" s="50">
        <v>11284</v>
      </c>
      <c r="B366" s="50">
        <f>COUNTIF(Table5[PID],A366)</f>
        <v>1</v>
      </c>
      <c r="C366" s="50" t="str">
        <f>IF(COUNTIF(Table3[[#All],[PID]],A366)&gt;0,"P","B")</f>
        <v>B</v>
      </c>
      <c r="D366" s="59" t="str">
        <f>IF($C366="B",INDEX(Batters[[#All],[POS]],MATCH(Table5[[#This Row],[PID]],Batters[[#All],[PID]],0)),INDEX(Table3[[#All],[POS]],MATCH(Table5[[#This Row],[PID]],Table3[[#All],[PID]],0)))</f>
        <v>2B</v>
      </c>
      <c r="E366" s="52" t="str">
        <f>IF($C366="B",INDEX(Batters[[#All],[First]],MATCH(Table5[[#This Row],[PID]],Batters[[#All],[PID]],0)),INDEX(Table3[[#All],[First]],MATCH(Table5[[#This Row],[PID]],Table3[[#All],[PID]],0)))</f>
        <v>Jun</v>
      </c>
      <c r="F366" s="50" t="str">
        <f>IF($C366="B",INDEX(Batters[[#All],[Last]],MATCH(A366,Batters[[#All],[PID]],0)),INDEX(Table3[[#All],[Last]],MATCH(A366,Table3[[#All],[PID]],0)))</f>
        <v>Suzuki</v>
      </c>
      <c r="G366" s="56">
        <f>IF($C366="B",INDEX(Batters[[#All],[Age]],MATCH(Table5[[#This Row],[PID]],Batters[[#All],[PID]],0)),INDEX(Table3[[#All],[Age]],MATCH(Table5[[#This Row],[PID]],Table3[[#All],[PID]],0)))</f>
        <v>21</v>
      </c>
      <c r="H366" s="52" t="str">
        <f>IF($C366="B",INDEX(Batters[[#All],[B]],MATCH(Table5[[#This Row],[PID]],Batters[[#All],[PID]],0)),INDEX(Table3[[#All],[B]],MATCH(Table5[[#This Row],[PID]],Table3[[#All],[PID]],0)))</f>
        <v>R</v>
      </c>
      <c r="I366" s="52" t="str">
        <f>IF($C366="B",INDEX(Batters[[#All],[T]],MATCH(Table5[[#This Row],[PID]],Batters[[#All],[PID]],0)),INDEX(Table3[[#All],[T]],MATCH(Table5[[#This Row],[PID]],Table3[[#All],[PID]],0)))</f>
        <v>R</v>
      </c>
      <c r="J366" s="52" t="str">
        <f>IF($C366="B",INDEX(Batters[[#All],[WE]],MATCH(Table5[[#This Row],[PID]],Batters[[#All],[PID]],0)),INDEX(Table3[[#All],[WE]],MATCH(Table5[[#This Row],[PID]],Table3[[#All],[PID]],0)))</f>
        <v>Normal</v>
      </c>
      <c r="K366" s="52" t="str">
        <f>IF($C366="B",INDEX(Batters[[#All],[INT]],MATCH(Table5[[#This Row],[PID]],Batters[[#All],[PID]],0)),INDEX(Table3[[#All],[INT]],MATCH(Table5[[#This Row],[PID]],Table3[[#All],[PID]],0)))</f>
        <v>Normal</v>
      </c>
      <c r="L366" s="60">
        <f>IF($C366="B",INDEX(Batters[[#All],[CON P]],MATCH(Table5[[#This Row],[PID]],Batters[[#All],[PID]],0)),INDEX(Table3[[#All],[STU P]],MATCH(Table5[[#This Row],[PID]],Table3[[#All],[PID]],0)))</f>
        <v>4</v>
      </c>
      <c r="M366" s="56">
        <f>IF($C366="B",INDEX(Batters[[#All],[GAP P]],MATCH(Table5[[#This Row],[PID]],Batters[[#All],[PID]],0)),INDEX(Table3[[#All],[MOV P]],MATCH(Table5[[#This Row],[PID]],Table3[[#All],[PID]],0)))</f>
        <v>5</v>
      </c>
      <c r="N366" s="56">
        <f>IF($C366="B",INDEX(Batters[[#All],[POW P]],MATCH(Table5[[#This Row],[PID]],Batters[[#All],[PID]],0)),INDEX(Table3[[#All],[CON P]],MATCH(Table5[[#This Row],[PID]],Table3[[#All],[PID]],0)))</f>
        <v>4</v>
      </c>
      <c r="O366" s="56">
        <f>IF($C366="B",INDEX(Batters[[#All],[EYE P]],MATCH(Table5[[#This Row],[PID]],Batters[[#All],[PID]],0)),INDEX(Table3[[#All],[VELO]],MATCH(Table5[[#This Row],[PID]],Table3[[#All],[PID]],0)))</f>
        <v>5</v>
      </c>
      <c r="P366" s="56">
        <f>IF($C366="B",INDEX(Batters[[#All],[K P]],MATCH(Table5[[#This Row],[PID]],Batters[[#All],[PID]],0)),INDEX(Table3[[#All],[STM]],MATCH(Table5[[#This Row],[PID]],Table3[[#All],[PID]],0)))</f>
        <v>4</v>
      </c>
      <c r="Q366" s="61">
        <f>IF($C366="B",INDEX(Batters[[#All],[Tot]],MATCH(Table5[[#This Row],[PID]],Batters[[#All],[PID]],0)),INDEX(Table3[[#All],[Tot]],MATCH(Table5[[#This Row],[PID]],Table3[[#All],[PID]],0)))</f>
        <v>43.28198626777673</v>
      </c>
      <c r="R366" s="52">
        <f>IF($C366="B",INDEX(Batters[[#All],[zScore]],MATCH(Table5[[#This Row],[PID]],Batters[[#All],[PID]],0)),INDEX(Table3[[#All],[zScore]],MATCH(Table5[[#This Row],[PID]],Table3[[#All],[PID]],0)))</f>
        <v>9.2683486611288973E-3</v>
      </c>
      <c r="S366" s="58" t="str">
        <f>IF($C366="B",INDEX(Batters[[#All],[DEM]],MATCH(Table5[[#This Row],[PID]],Batters[[#All],[PID]],0)),INDEX(Table3[[#All],[DEM]],MATCH(Table5[[#This Row],[PID]],Table3[[#All],[PID]],0)))</f>
        <v>$110k</v>
      </c>
      <c r="T366" s="62">
        <f>IF($C366="B",INDEX(Batters[[#All],[Rnk]],MATCH(Table5[[#This Row],[PID]],Batters[[#All],[PID]],0)),INDEX(Table3[[#All],[Rnk]],MATCH(Table5[[#This Row],[PID]],Table3[[#All],[PID]],0)))</f>
        <v>900</v>
      </c>
      <c r="U366" s="67">
        <f>IF($C366="B",VLOOKUP($A366,Bat!$A$4:$BA$1314,47,FALSE),VLOOKUP($A366,Pit!$A$4:$BF$1214,56,FALSE))</f>
        <v>172</v>
      </c>
      <c r="V366" s="50">
        <f>IF($C366="B",VLOOKUP($A366,Bat!$A$4:$BA$1314,48,FALSE),VLOOKUP($A366,Pit!$A$4:$BF$1214,57,FALSE))</f>
        <v>0</v>
      </c>
      <c r="W366" s="68">
        <f>IF(Table5[[#This Row],[posRnk]]=999,9999,Table5[[#This Row],[posRnk]]+Table5[[#This Row],[zRnk]]+IF($W$3&lt;&gt;Table5[[#This Row],[Type]],50,0))</f>
        <v>1332</v>
      </c>
      <c r="X366" s="51">
        <f>RANK(Table5[[#This Row],[zScore]],Table5[[#All],[zScore]])</f>
        <v>382</v>
      </c>
      <c r="Y366" s="50">
        <f>IFERROR(INDEX(DraftResults[[#All],[OVR]],MATCH(Table5[[#This Row],[PID]],DraftResults[[#All],[Player ID]],0)),"")</f>
        <v>288</v>
      </c>
      <c r="Z366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9</v>
      </c>
      <c r="AA366" s="50">
        <f>IFERROR(INDEX(DraftResults[[#All],[Pick in Round]],MATCH(Table5[[#This Row],[PID]],DraftResults[[#All],[Player ID]],0)),"")</f>
        <v>23</v>
      </c>
      <c r="AB366" s="50" t="str">
        <f>IFERROR(INDEX(DraftResults[[#All],[Team Name]],MATCH(Table5[[#This Row],[PID]],DraftResults[[#All],[Player ID]],0)),"")</f>
        <v>Kentucky Thoroughbreds</v>
      </c>
      <c r="AC366" s="50">
        <f>IF(Table5[[#This Row],[Ovr]]="","",IF(Table5[[#This Row],[cmbList]]="","",Table5[[#This Row],[cmbList]]-Table5[[#This Row],[Ovr]]))</f>
        <v>1044</v>
      </c>
      <c r="AD366" s="54" t="str">
        <f>IF(ISERROR(VLOOKUP($AB366&amp;"-"&amp;$E366&amp;" "&amp;F366,Bonuses!$B$1:$G$1006,4,FALSE)),"",INT(VLOOKUP($AB366&amp;"-"&amp;$E366&amp;" "&amp;$F366,Bonuses!$B$1:$G$1006,4,FALSE)))</f>
        <v/>
      </c>
      <c r="AE366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9.23 (288) - 2B Jun Suzuki</v>
      </c>
    </row>
    <row r="367" spans="1:31" s="50" customFormat="1" x14ac:dyDescent="0.3">
      <c r="A367" s="50">
        <v>7878</v>
      </c>
      <c r="B367" s="50">
        <f>COUNTIF(Table5[PID],A367)</f>
        <v>1</v>
      </c>
      <c r="C367" s="50" t="str">
        <f>IF(COUNTIF(Table3[[#All],[PID]],A367)&gt;0,"P","B")</f>
        <v>B</v>
      </c>
      <c r="D367" s="59" t="str">
        <f>IF($C367="B",INDEX(Batters[[#All],[POS]],MATCH(Table5[[#This Row],[PID]],Batters[[#All],[PID]],0)),INDEX(Table3[[#All],[POS]],MATCH(Table5[[#This Row],[PID]],Table3[[#All],[PID]],0)))</f>
        <v>SS</v>
      </c>
      <c r="E367" s="52" t="str">
        <f>IF($C367="B",INDEX(Batters[[#All],[First]],MATCH(Table5[[#This Row],[PID]],Batters[[#All],[PID]],0)),INDEX(Table3[[#All],[First]],MATCH(Table5[[#This Row],[PID]],Table3[[#All],[PID]],0)))</f>
        <v>Gabriel</v>
      </c>
      <c r="F367" s="50" t="str">
        <f>IF($C367="B",INDEX(Batters[[#All],[Last]],MATCH(A367,Batters[[#All],[PID]],0)),INDEX(Table3[[#All],[Last]],MATCH(A367,Table3[[#All],[PID]],0)))</f>
        <v>Galván</v>
      </c>
      <c r="G367" s="56">
        <f>IF($C367="B",INDEX(Batters[[#All],[Age]],MATCH(Table5[[#This Row],[PID]],Batters[[#All],[PID]],0)),INDEX(Table3[[#All],[Age]],MATCH(Table5[[#This Row],[PID]],Table3[[#All],[PID]],0)))</f>
        <v>21</v>
      </c>
      <c r="H367" s="52" t="str">
        <f>IF($C367="B",INDEX(Batters[[#All],[B]],MATCH(Table5[[#This Row],[PID]],Batters[[#All],[PID]],0)),INDEX(Table3[[#All],[B]],MATCH(Table5[[#This Row],[PID]],Table3[[#All],[PID]],0)))</f>
        <v>R</v>
      </c>
      <c r="I367" s="52" t="str">
        <f>IF($C367="B",INDEX(Batters[[#All],[T]],MATCH(Table5[[#This Row],[PID]],Batters[[#All],[PID]],0)),INDEX(Table3[[#All],[T]],MATCH(Table5[[#This Row],[PID]],Table3[[#All],[PID]],0)))</f>
        <v>R</v>
      </c>
      <c r="J367" s="52" t="str">
        <f>IF($C367="B",INDEX(Batters[[#All],[WE]],MATCH(Table5[[#This Row],[PID]],Batters[[#All],[PID]],0)),INDEX(Table3[[#All],[WE]],MATCH(Table5[[#This Row],[PID]],Table3[[#All],[PID]],0)))</f>
        <v>Normal</v>
      </c>
      <c r="K367" s="52" t="str">
        <f>IF($C367="B",INDEX(Batters[[#All],[INT]],MATCH(Table5[[#This Row],[PID]],Batters[[#All],[PID]],0)),INDEX(Table3[[#All],[INT]],MATCH(Table5[[#This Row],[PID]],Table3[[#All],[PID]],0)))</f>
        <v>Normal</v>
      </c>
      <c r="L367" s="60">
        <f>IF($C367="B",INDEX(Batters[[#All],[CON P]],MATCH(Table5[[#This Row],[PID]],Batters[[#All],[PID]],0)),INDEX(Table3[[#All],[STU P]],MATCH(Table5[[#This Row],[PID]],Table3[[#All],[PID]],0)))</f>
        <v>4</v>
      </c>
      <c r="M367" s="56">
        <f>IF($C367="B",INDEX(Batters[[#All],[GAP P]],MATCH(Table5[[#This Row],[PID]],Batters[[#All],[PID]],0)),INDEX(Table3[[#All],[MOV P]],MATCH(Table5[[#This Row],[PID]],Table3[[#All],[PID]],0)))</f>
        <v>4</v>
      </c>
      <c r="N367" s="56">
        <f>IF($C367="B",INDEX(Batters[[#All],[POW P]],MATCH(Table5[[#This Row],[PID]],Batters[[#All],[PID]],0)),INDEX(Table3[[#All],[CON P]],MATCH(Table5[[#This Row],[PID]],Table3[[#All],[PID]],0)))</f>
        <v>3</v>
      </c>
      <c r="O367" s="56">
        <f>IF($C367="B",INDEX(Batters[[#All],[EYE P]],MATCH(Table5[[#This Row],[PID]],Batters[[#All],[PID]],0)),INDEX(Table3[[#All],[VELO]],MATCH(Table5[[#This Row],[PID]],Table3[[#All],[PID]],0)))</f>
        <v>5</v>
      </c>
      <c r="P367" s="56">
        <f>IF($C367="B",INDEX(Batters[[#All],[K P]],MATCH(Table5[[#This Row],[PID]],Batters[[#All],[PID]],0)),INDEX(Table3[[#All],[STM]],MATCH(Table5[[#This Row],[PID]],Table3[[#All],[PID]],0)))</f>
        <v>5</v>
      </c>
      <c r="Q367" s="61">
        <f>IF($C367="B",INDEX(Batters[[#All],[Tot]],MATCH(Table5[[#This Row],[PID]],Batters[[#All],[PID]],0)),INDEX(Table3[[#All],[Tot]],MATCH(Table5[[#This Row],[PID]],Table3[[#All],[PID]],0)))</f>
        <v>43.197316992469631</v>
      </c>
      <c r="R367" s="52">
        <f>IF($C367="B",INDEX(Batters[[#All],[zScore]],MATCH(Table5[[#This Row],[PID]],Batters[[#All],[PID]],0)),INDEX(Table3[[#All],[zScore]],MATCH(Table5[[#This Row],[PID]],Table3[[#All],[PID]],0)))</f>
        <v>-3.0906654006427219E-3</v>
      </c>
      <c r="S367" s="58" t="str">
        <f>IF($C367="B",INDEX(Batters[[#All],[DEM]],MATCH(Table5[[#This Row],[PID]],Batters[[#All],[PID]],0)),INDEX(Table3[[#All],[DEM]],MATCH(Table5[[#This Row],[PID]],Table3[[#All],[PID]],0)))</f>
        <v>$27k</v>
      </c>
      <c r="T367" s="62">
        <f>IF($C367="B",INDEX(Batters[[#All],[Rnk]],MATCH(Table5[[#This Row],[PID]],Batters[[#All],[PID]],0)),INDEX(Table3[[#All],[Rnk]],MATCH(Table5[[#This Row],[PID]],Table3[[#All],[PID]],0)))</f>
        <v>900</v>
      </c>
      <c r="U367" s="67">
        <f>IF($C367="B",VLOOKUP($A367,Bat!$A$4:$BA$1314,47,FALSE),VLOOKUP($A367,Pit!$A$4:$BF$1214,56,FALSE))</f>
        <v>174</v>
      </c>
      <c r="V367" s="50">
        <f>IF($C367="B",VLOOKUP($A367,Bat!$A$4:$BA$1314,48,FALSE),VLOOKUP($A367,Pit!$A$4:$BF$1214,57,FALSE))</f>
        <v>0</v>
      </c>
      <c r="W367" s="68">
        <f>IF(Table5[[#This Row],[posRnk]]=999,9999,Table5[[#This Row],[posRnk]]+Table5[[#This Row],[zRnk]]+IF($W$3&lt;&gt;Table5[[#This Row],[Type]],50,0))</f>
        <v>1335</v>
      </c>
      <c r="X367" s="51">
        <f>RANK(Table5[[#This Row],[zScore]],Table5[[#All],[zScore]])</f>
        <v>385</v>
      </c>
      <c r="Y367" s="50">
        <f>IFERROR(INDEX(DraftResults[[#All],[OVR]],MATCH(Table5[[#This Row],[PID]],DraftResults[[#All],[Player ID]],0)),"")</f>
        <v>148</v>
      </c>
      <c r="Z367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5</v>
      </c>
      <c r="AA367" s="50">
        <f>IFERROR(INDEX(DraftResults[[#All],[Pick in Round]],MATCH(Table5[[#This Row],[PID]],DraftResults[[#All],[Player ID]],0)),"")</f>
        <v>11</v>
      </c>
      <c r="AB367" s="50" t="str">
        <f>IFERROR(INDEX(DraftResults[[#All],[Team Name]],MATCH(Table5[[#This Row],[PID]],DraftResults[[#All],[Player ID]],0)),"")</f>
        <v>Aurora Borealis</v>
      </c>
      <c r="AC367" s="50">
        <f>IF(Table5[[#This Row],[Ovr]]="","",IF(Table5[[#This Row],[cmbList]]="","",Table5[[#This Row],[cmbList]]-Table5[[#This Row],[Ovr]]))</f>
        <v>1187</v>
      </c>
      <c r="AD367" s="54" t="str">
        <f>IF(ISERROR(VLOOKUP($AB367&amp;"-"&amp;$E367&amp;" "&amp;F367,Bonuses!$B$1:$G$1006,4,FALSE)),"",INT(VLOOKUP($AB367&amp;"-"&amp;$E367&amp;" "&amp;$F367,Bonuses!$B$1:$G$1006,4,FALSE)))</f>
        <v/>
      </c>
      <c r="AE367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5.11 (148) - SS Gabriel Galván</v>
      </c>
    </row>
    <row r="368" spans="1:31" s="50" customFormat="1" x14ac:dyDescent="0.3">
      <c r="A368" s="50">
        <v>12264</v>
      </c>
      <c r="B368" s="50">
        <f>COUNTIF(Table5[PID],A368)</f>
        <v>1</v>
      </c>
      <c r="C368" s="50" t="str">
        <f>IF(COUNTIF(Table3[[#All],[PID]],A368)&gt;0,"P","B")</f>
        <v>P</v>
      </c>
      <c r="D368" s="59" t="str">
        <f>IF($C368="B",INDEX(Batters[[#All],[POS]],MATCH(Table5[[#This Row],[PID]],Batters[[#All],[PID]],0)),INDEX(Table3[[#All],[POS]],MATCH(Table5[[#This Row],[PID]],Table3[[#All],[PID]],0)))</f>
        <v>RP</v>
      </c>
      <c r="E368" s="52" t="str">
        <f>IF($C368="B",INDEX(Batters[[#All],[First]],MATCH(Table5[[#This Row],[PID]],Batters[[#All],[PID]],0)),INDEX(Table3[[#All],[First]],MATCH(Table5[[#This Row],[PID]],Table3[[#All],[PID]],0)))</f>
        <v>Mitchell</v>
      </c>
      <c r="F368" s="50" t="str">
        <f>IF($C368="B",INDEX(Batters[[#All],[Last]],MATCH(A368,Batters[[#All],[PID]],0)),INDEX(Table3[[#All],[Last]],MATCH(A368,Table3[[#All],[PID]],0)))</f>
        <v>Grimes</v>
      </c>
      <c r="G368" s="56">
        <f>IF($C368="B",INDEX(Batters[[#All],[Age]],MATCH(Table5[[#This Row],[PID]],Batters[[#All],[PID]],0)),INDEX(Table3[[#All],[Age]],MATCH(Table5[[#This Row],[PID]],Table3[[#All],[PID]],0)))</f>
        <v>17</v>
      </c>
      <c r="H368" s="52" t="str">
        <f>IF($C368="B",INDEX(Batters[[#All],[B]],MATCH(Table5[[#This Row],[PID]],Batters[[#All],[PID]],0)),INDEX(Table3[[#All],[B]],MATCH(Table5[[#This Row],[PID]],Table3[[#All],[PID]],0)))</f>
        <v>L</v>
      </c>
      <c r="I368" s="52" t="str">
        <f>IF($C368="B",INDEX(Batters[[#All],[T]],MATCH(Table5[[#This Row],[PID]],Batters[[#All],[PID]],0)),INDEX(Table3[[#All],[T]],MATCH(Table5[[#This Row],[PID]],Table3[[#All],[PID]],0)))</f>
        <v>L</v>
      </c>
      <c r="J368" s="52" t="str">
        <f>IF($C368="B",INDEX(Batters[[#All],[WE]],MATCH(Table5[[#This Row],[PID]],Batters[[#All],[PID]],0)),INDEX(Table3[[#All],[WE]],MATCH(Table5[[#This Row],[PID]],Table3[[#All],[PID]],0)))</f>
        <v>Low</v>
      </c>
      <c r="K368" s="52" t="str">
        <f>IF($C368="B",INDEX(Batters[[#All],[INT]],MATCH(Table5[[#This Row],[PID]],Batters[[#All],[PID]],0)),INDEX(Table3[[#All],[INT]],MATCH(Table5[[#This Row],[PID]],Table3[[#All],[PID]],0)))</f>
        <v>Normal</v>
      </c>
      <c r="L368" s="60">
        <f>IF($C368="B",INDEX(Batters[[#All],[CON P]],MATCH(Table5[[#This Row],[PID]],Batters[[#All],[PID]],0)),INDEX(Table3[[#All],[STU P]],MATCH(Table5[[#This Row],[PID]],Table3[[#All],[PID]],0)))</f>
        <v>6</v>
      </c>
      <c r="M368" s="56">
        <f>IF($C368="B",INDEX(Batters[[#All],[GAP P]],MATCH(Table5[[#This Row],[PID]],Batters[[#All],[PID]],0)),INDEX(Table3[[#All],[MOV P]],MATCH(Table5[[#This Row],[PID]],Table3[[#All],[PID]],0)))</f>
        <v>1</v>
      </c>
      <c r="N368" s="56">
        <f>IF($C368="B",INDEX(Batters[[#All],[POW P]],MATCH(Table5[[#This Row],[PID]],Batters[[#All],[PID]],0)),INDEX(Table3[[#All],[CON P]],MATCH(Table5[[#This Row],[PID]],Table3[[#All],[PID]],0)))</f>
        <v>3</v>
      </c>
      <c r="O368" s="56" t="str">
        <f>IF($C368="B",INDEX(Batters[[#All],[EYE P]],MATCH(Table5[[#This Row],[PID]],Batters[[#All],[PID]],0)),INDEX(Table3[[#All],[VELO]],MATCH(Table5[[#This Row],[PID]],Table3[[#All],[PID]],0)))</f>
        <v>94-96 Mph</v>
      </c>
      <c r="P368" s="56">
        <f>IF($C368="B",INDEX(Batters[[#All],[K P]],MATCH(Table5[[#This Row],[PID]],Batters[[#All],[PID]],0)),INDEX(Table3[[#All],[STM]],MATCH(Table5[[#This Row],[PID]],Table3[[#All],[PID]],0)))</f>
        <v>8</v>
      </c>
      <c r="Q368" s="61">
        <f>IF($C368="B",INDEX(Batters[[#All],[Tot]],MATCH(Table5[[#This Row],[PID]],Batters[[#All],[PID]],0)),INDEX(Table3[[#All],[Tot]],MATCH(Table5[[#This Row],[PID]],Table3[[#All],[PID]],0)))</f>
        <v>39.009150377972801</v>
      </c>
      <c r="R368" s="52">
        <f>IF($C368="B",INDEX(Batters[[#All],[zScore]],MATCH(Table5[[#This Row],[PID]],Batters[[#All],[PID]],0)),INDEX(Table3[[#All],[zScore]],MATCH(Table5[[#This Row],[PID]],Table3[[#All],[PID]],0)))</f>
        <v>8.5916112121486726E-2</v>
      </c>
      <c r="S368" s="58" t="str">
        <f>IF($C368="B",INDEX(Batters[[#All],[DEM]],MATCH(Table5[[#This Row],[PID]],Batters[[#All],[PID]],0)),INDEX(Table3[[#All],[DEM]],MATCH(Table5[[#This Row],[PID]],Table3[[#All],[PID]],0)))</f>
        <v>$70k</v>
      </c>
      <c r="T368" s="62">
        <f>IF($C368="B",INDEX(Batters[[#All],[Rnk]],MATCH(Table5[[#This Row],[PID]],Batters[[#All],[PID]],0)),INDEX(Table3[[#All],[Rnk]],MATCH(Table5[[#This Row],[PID]],Table3[[#All],[PID]],0)))</f>
        <v>930</v>
      </c>
      <c r="U368" s="67">
        <f>IF($C368="B",VLOOKUP($A368,Bat!$A$4:$BA$1314,47,FALSE),VLOOKUP($A368,Pit!$A$4:$BF$1214,56,FALSE))</f>
        <v>279</v>
      </c>
      <c r="V368" s="50">
        <f>IF($C368="B",VLOOKUP($A368,Bat!$A$4:$BA$1314,48,FALSE),VLOOKUP($A368,Pit!$A$4:$BF$1214,57,FALSE))</f>
        <v>0</v>
      </c>
      <c r="W368" s="68">
        <f>IF(Table5[[#This Row],[posRnk]]=999,9999,Table5[[#This Row],[posRnk]]+Table5[[#This Row],[zRnk]]+IF($W$3&lt;&gt;Table5[[#This Row],[Type]],50,0))</f>
        <v>1285</v>
      </c>
      <c r="X368" s="51">
        <f>RANK(Table5[[#This Row],[zScore]],Table5[[#All],[zScore]])</f>
        <v>355</v>
      </c>
      <c r="Y368" s="50">
        <f>IFERROR(INDEX(DraftResults[[#All],[OVR]],MATCH(Table5[[#This Row],[PID]],DraftResults[[#All],[Player ID]],0)),"")</f>
        <v>185</v>
      </c>
      <c r="Z368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6</v>
      </c>
      <c r="AA368" s="50">
        <f>IFERROR(INDEX(DraftResults[[#All],[Pick in Round]],MATCH(Table5[[#This Row],[PID]],DraftResults[[#All],[Player ID]],0)),"")</f>
        <v>16</v>
      </c>
      <c r="AB368" s="50" t="str">
        <f>IFERROR(INDEX(DraftResults[[#All],[Team Name]],MATCH(Table5[[#This Row],[PID]],DraftResults[[#All],[Player ID]],0)),"")</f>
        <v>Madison Malts</v>
      </c>
      <c r="AC368" s="50">
        <f>IF(Table5[[#This Row],[Ovr]]="","",IF(Table5[[#This Row],[cmbList]]="","",Table5[[#This Row],[cmbList]]-Table5[[#This Row],[Ovr]]))</f>
        <v>1100</v>
      </c>
      <c r="AD368" s="54" t="str">
        <f>IF(ISERROR(VLOOKUP($AB368&amp;"-"&amp;$E368&amp;" "&amp;F368,Bonuses!$B$1:$G$1006,4,FALSE)),"",INT(VLOOKUP($AB368&amp;"-"&amp;$E368&amp;" "&amp;$F368,Bonuses!$B$1:$G$1006,4,FALSE)))</f>
        <v/>
      </c>
      <c r="AE368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6.16 (185) - RP Mitchell Grimes</v>
      </c>
    </row>
    <row r="369" spans="1:31" s="50" customFormat="1" x14ac:dyDescent="0.3">
      <c r="A369" s="50">
        <v>12586</v>
      </c>
      <c r="B369" s="50">
        <f>COUNTIF(Table5[PID],A369)</f>
        <v>1</v>
      </c>
      <c r="C369" s="50" t="str">
        <f>IF(COUNTIF(Table3[[#All],[PID]],A369)&gt;0,"P","B")</f>
        <v>B</v>
      </c>
      <c r="D369" s="59" t="str">
        <f>IF($C369="B",INDEX(Batters[[#All],[POS]],MATCH(Table5[[#This Row],[PID]],Batters[[#All],[PID]],0)),INDEX(Table3[[#All],[POS]],MATCH(Table5[[#This Row],[PID]],Table3[[#All],[PID]],0)))</f>
        <v>RF</v>
      </c>
      <c r="E369" s="52" t="str">
        <f>IF($C369="B",INDEX(Batters[[#All],[First]],MATCH(Table5[[#This Row],[PID]],Batters[[#All],[PID]],0)),INDEX(Table3[[#All],[First]],MATCH(Table5[[#This Row],[PID]],Table3[[#All],[PID]],0)))</f>
        <v>Mark</v>
      </c>
      <c r="F369" s="50" t="str">
        <f>IF($C369="B",INDEX(Batters[[#All],[Last]],MATCH(A369,Batters[[#All],[PID]],0)),INDEX(Table3[[#All],[Last]],MATCH(A369,Table3[[#All],[PID]],0)))</f>
        <v>Bolen</v>
      </c>
      <c r="G369" s="56">
        <f>IF($C369="B",INDEX(Batters[[#All],[Age]],MATCH(Table5[[#This Row],[PID]],Batters[[#All],[PID]],0)),INDEX(Table3[[#All],[Age]],MATCH(Table5[[#This Row],[PID]],Table3[[#All],[PID]],0)))</f>
        <v>18</v>
      </c>
      <c r="H369" s="52" t="str">
        <f>IF($C369="B",INDEX(Batters[[#All],[B]],MATCH(Table5[[#This Row],[PID]],Batters[[#All],[PID]],0)),INDEX(Table3[[#All],[B]],MATCH(Table5[[#This Row],[PID]],Table3[[#All],[PID]],0)))</f>
        <v>R</v>
      </c>
      <c r="I369" s="52" t="str">
        <f>IF($C369="B",INDEX(Batters[[#All],[T]],MATCH(Table5[[#This Row],[PID]],Batters[[#All],[PID]],0)),INDEX(Table3[[#All],[T]],MATCH(Table5[[#This Row],[PID]],Table3[[#All],[PID]],0)))</f>
        <v>R</v>
      </c>
      <c r="J369" s="52" t="str">
        <f>IF($C369="B",INDEX(Batters[[#All],[WE]],MATCH(Table5[[#This Row],[PID]],Batters[[#All],[PID]],0)),INDEX(Table3[[#All],[WE]],MATCH(Table5[[#This Row],[PID]],Table3[[#All],[PID]],0)))</f>
        <v>Low</v>
      </c>
      <c r="K369" s="52" t="str">
        <f>IF($C369="B",INDEX(Batters[[#All],[INT]],MATCH(Table5[[#This Row],[PID]],Batters[[#All],[PID]],0)),INDEX(Table3[[#All],[INT]],MATCH(Table5[[#This Row],[PID]],Table3[[#All],[PID]],0)))</f>
        <v>Normal</v>
      </c>
      <c r="L369" s="60">
        <f>IF($C369="B",INDEX(Batters[[#All],[CON P]],MATCH(Table5[[#This Row],[PID]],Batters[[#All],[PID]],0)),INDEX(Table3[[#All],[STU P]],MATCH(Table5[[#This Row],[PID]],Table3[[#All],[PID]],0)))</f>
        <v>4</v>
      </c>
      <c r="M369" s="56">
        <f>IF($C369="B",INDEX(Batters[[#All],[GAP P]],MATCH(Table5[[#This Row],[PID]],Batters[[#All],[PID]],0)),INDEX(Table3[[#All],[MOV P]],MATCH(Table5[[#This Row],[PID]],Table3[[#All],[PID]],0)))</f>
        <v>3</v>
      </c>
      <c r="N369" s="56">
        <f>IF($C369="B",INDEX(Batters[[#All],[POW P]],MATCH(Table5[[#This Row],[PID]],Batters[[#All],[PID]],0)),INDEX(Table3[[#All],[CON P]],MATCH(Table5[[#This Row],[PID]],Table3[[#All],[PID]],0)))</f>
        <v>2</v>
      </c>
      <c r="O369" s="56">
        <f>IF($C369="B",INDEX(Batters[[#All],[EYE P]],MATCH(Table5[[#This Row],[PID]],Batters[[#All],[PID]],0)),INDEX(Table3[[#All],[VELO]],MATCH(Table5[[#This Row],[PID]],Table3[[#All],[PID]],0)))</f>
        <v>3</v>
      </c>
      <c r="P369" s="56">
        <f>IF($C369="B",INDEX(Batters[[#All],[K P]],MATCH(Table5[[#This Row],[PID]],Batters[[#All],[PID]],0)),INDEX(Table3[[#All],[STM]],MATCH(Table5[[#This Row],[PID]],Table3[[#All],[PID]],0)))</f>
        <v>7</v>
      </c>
      <c r="Q369" s="61">
        <f>IF($C369="B",INDEX(Batters[[#All],[Tot]],MATCH(Table5[[#This Row],[PID]],Batters[[#All],[PID]],0)),INDEX(Table3[[#All],[Tot]],MATCH(Table5[[#This Row],[PID]],Table3[[#All],[PID]],0)))</f>
        <v>43.746845500804724</v>
      </c>
      <c r="R369" s="52">
        <f>IF($C369="B",INDEX(Batters[[#All],[zScore]],MATCH(Table5[[#This Row],[PID]],Batters[[#All],[PID]],0)),INDEX(Table3[[#All],[zScore]],MATCH(Table5[[#This Row],[PID]],Table3[[#All],[PID]],0)))</f>
        <v>7.7122972158250078E-2</v>
      </c>
      <c r="S369" s="58" t="str">
        <f>IF($C369="B",INDEX(Batters[[#All],[DEM]],MATCH(Table5[[#This Row],[PID]],Batters[[#All],[PID]],0)),INDEX(Table3[[#All],[DEM]],MATCH(Table5[[#This Row],[PID]],Table3[[#All],[PID]],0)))</f>
        <v>$130k</v>
      </c>
      <c r="T369" s="62">
        <f>IF($C369="B",INDEX(Batters[[#All],[Rnk]],MATCH(Table5[[#This Row],[PID]],Batters[[#All],[PID]],0)),INDEX(Table3[[#All],[Rnk]],MATCH(Table5[[#This Row],[PID]],Table3[[#All],[PID]],0)))</f>
        <v>930</v>
      </c>
      <c r="U369" s="67">
        <f>IF($C369="B",VLOOKUP($A369,Bat!$A$4:$BA$1314,47,FALSE),VLOOKUP($A369,Pit!$A$4:$BF$1214,56,FALSE))</f>
        <v>329</v>
      </c>
      <c r="V369" s="50">
        <f>IF($C369="B",VLOOKUP($A369,Bat!$A$4:$BA$1314,48,FALSE),VLOOKUP($A369,Pit!$A$4:$BF$1214,57,FALSE))</f>
        <v>0</v>
      </c>
      <c r="W369" s="68">
        <f>IF(Table5[[#This Row],[posRnk]]=999,9999,Table5[[#This Row],[posRnk]]+Table5[[#This Row],[zRnk]]+IF($W$3&lt;&gt;Table5[[#This Row],[Type]],50,0))</f>
        <v>1336</v>
      </c>
      <c r="X369" s="51">
        <f>RANK(Table5[[#This Row],[zScore]],Table5[[#All],[zScore]])</f>
        <v>356</v>
      </c>
      <c r="Y369" s="50">
        <f>IFERROR(INDEX(DraftResults[[#All],[OVR]],MATCH(Table5[[#This Row],[PID]],DraftResults[[#All],[Player ID]],0)),"")</f>
        <v>259</v>
      </c>
      <c r="Z369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8</v>
      </c>
      <c r="AA369" s="50">
        <f>IFERROR(INDEX(DraftResults[[#All],[Pick in Round]],MATCH(Table5[[#This Row],[PID]],DraftResults[[#All],[Player ID]],0)),"")</f>
        <v>26</v>
      </c>
      <c r="AB369" s="50" t="str">
        <f>IFERROR(INDEX(DraftResults[[#All],[Team Name]],MATCH(Table5[[#This Row],[PID]],DraftResults[[#All],[Player ID]],0)),"")</f>
        <v>Aurora Borealis</v>
      </c>
      <c r="AC369" s="50">
        <f>IF(Table5[[#This Row],[Ovr]]="","",IF(Table5[[#This Row],[cmbList]]="","",Table5[[#This Row],[cmbList]]-Table5[[#This Row],[Ovr]]))</f>
        <v>1077</v>
      </c>
      <c r="AD369" s="54" t="str">
        <f>IF(ISERROR(VLOOKUP($AB369&amp;"-"&amp;$E369&amp;" "&amp;F369,Bonuses!$B$1:$G$1006,4,FALSE)),"",INT(VLOOKUP($AB369&amp;"-"&amp;$E369&amp;" "&amp;$F369,Bonuses!$B$1:$G$1006,4,FALSE)))</f>
        <v/>
      </c>
      <c r="AE369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8.26 (259) - RF Mark Bolen</v>
      </c>
    </row>
    <row r="370" spans="1:31" s="50" customFormat="1" x14ac:dyDescent="0.3">
      <c r="A370" s="50">
        <v>13713</v>
      </c>
      <c r="B370" s="50">
        <f>COUNTIF(Table5[PID],A370)</f>
        <v>1</v>
      </c>
      <c r="C370" s="50" t="str">
        <f>IF(COUNTIF(Table3[[#All],[PID]],A370)&gt;0,"P","B")</f>
        <v>B</v>
      </c>
      <c r="D370" s="59" t="str">
        <f>IF($C370="B",INDEX(Batters[[#All],[POS]],MATCH(Table5[[#This Row],[PID]],Batters[[#All],[PID]],0)),INDEX(Table3[[#All],[POS]],MATCH(Table5[[#This Row],[PID]],Table3[[#All],[PID]],0)))</f>
        <v>RF</v>
      </c>
      <c r="E370" s="52" t="str">
        <f>IF($C370="B",INDEX(Batters[[#All],[First]],MATCH(Table5[[#This Row],[PID]],Batters[[#All],[PID]],0)),INDEX(Table3[[#All],[First]],MATCH(Table5[[#This Row],[PID]],Table3[[#All],[PID]],0)))</f>
        <v>Hong-yeol</v>
      </c>
      <c r="F370" s="50" t="str">
        <f>IF($C370="B",INDEX(Batters[[#All],[Last]],MATCH(A370,Batters[[#All],[PID]],0)),INDEX(Table3[[#All],[Last]],MATCH(A370,Table3[[#All],[PID]],0)))</f>
        <v>Paek</v>
      </c>
      <c r="G370" s="56">
        <f>IF($C370="B",INDEX(Batters[[#All],[Age]],MATCH(Table5[[#This Row],[PID]],Batters[[#All],[PID]],0)),INDEX(Table3[[#All],[Age]],MATCH(Table5[[#This Row],[PID]],Table3[[#All],[PID]],0)))</f>
        <v>21</v>
      </c>
      <c r="H370" s="52" t="str">
        <f>IF($C370="B",INDEX(Batters[[#All],[B]],MATCH(Table5[[#This Row],[PID]],Batters[[#All],[PID]],0)),INDEX(Table3[[#All],[B]],MATCH(Table5[[#This Row],[PID]],Table3[[#All],[PID]],0)))</f>
        <v>R</v>
      </c>
      <c r="I370" s="52" t="str">
        <f>IF($C370="B",INDEX(Batters[[#All],[T]],MATCH(Table5[[#This Row],[PID]],Batters[[#All],[PID]],0)),INDEX(Table3[[#All],[T]],MATCH(Table5[[#This Row],[PID]],Table3[[#All],[PID]],0)))</f>
        <v>R</v>
      </c>
      <c r="J370" s="52" t="str">
        <f>IF($C370="B",INDEX(Batters[[#All],[WE]],MATCH(Table5[[#This Row],[PID]],Batters[[#All],[PID]],0)),INDEX(Table3[[#All],[WE]],MATCH(Table5[[#This Row],[PID]],Table3[[#All],[PID]],0)))</f>
        <v>Normal</v>
      </c>
      <c r="K370" s="52" t="str">
        <f>IF($C370="B",INDEX(Batters[[#All],[INT]],MATCH(Table5[[#This Row],[PID]],Batters[[#All],[PID]],0)),INDEX(Table3[[#All],[INT]],MATCH(Table5[[#This Row],[PID]],Table3[[#All],[PID]],0)))</f>
        <v>Normal</v>
      </c>
      <c r="L370" s="60">
        <f>IF($C370="B",INDEX(Batters[[#All],[CON P]],MATCH(Table5[[#This Row],[PID]],Batters[[#All],[PID]],0)),INDEX(Table3[[#All],[STU P]],MATCH(Table5[[#This Row],[PID]],Table3[[#All],[PID]],0)))</f>
        <v>4</v>
      </c>
      <c r="M370" s="56">
        <f>IF($C370="B",INDEX(Batters[[#All],[GAP P]],MATCH(Table5[[#This Row],[PID]],Batters[[#All],[PID]],0)),INDEX(Table3[[#All],[MOV P]],MATCH(Table5[[#This Row],[PID]],Table3[[#All],[PID]],0)))</f>
        <v>5</v>
      </c>
      <c r="N370" s="56">
        <f>IF($C370="B",INDEX(Batters[[#All],[POW P]],MATCH(Table5[[#This Row],[PID]],Batters[[#All],[PID]],0)),INDEX(Table3[[#All],[CON P]],MATCH(Table5[[#This Row],[PID]],Table3[[#All],[PID]],0)))</f>
        <v>5</v>
      </c>
      <c r="O370" s="56">
        <f>IF($C370="B",INDEX(Batters[[#All],[EYE P]],MATCH(Table5[[#This Row],[PID]],Batters[[#All],[PID]],0)),INDEX(Table3[[#All],[VELO]],MATCH(Table5[[#This Row],[PID]],Table3[[#All],[PID]],0)))</f>
        <v>5</v>
      </c>
      <c r="P370" s="56">
        <f>IF($C370="B",INDEX(Batters[[#All],[K P]],MATCH(Table5[[#This Row],[PID]],Batters[[#All],[PID]],0)),INDEX(Table3[[#All],[STM]],MATCH(Table5[[#This Row],[PID]],Table3[[#All],[PID]],0)))</f>
        <v>3</v>
      </c>
      <c r="Q370" s="61">
        <f>IF($C370="B",INDEX(Batters[[#All],[Tot]],MATCH(Table5[[#This Row],[PID]],Batters[[#All],[PID]],0)),INDEX(Table3[[#All],[Tot]],MATCH(Table5[[#This Row],[PID]],Table3[[#All],[PID]],0)))</f>
        <v>43.167784508629055</v>
      </c>
      <c r="R370" s="52">
        <f>IF($C370="B",INDEX(Batters[[#All],[zScore]],MATCH(Table5[[#This Row],[PID]],Batters[[#All],[PID]],0)),INDEX(Table3[[#All],[zScore]],MATCH(Table5[[#This Row],[PID]],Table3[[#All],[PID]],0)))</f>
        <v>-7.4014662400366865E-3</v>
      </c>
      <c r="S370" s="58" t="str">
        <f>IF($C370="B",INDEX(Batters[[#All],[DEM]],MATCH(Table5[[#This Row],[PID]],Batters[[#All],[PID]],0)),INDEX(Table3[[#All],[DEM]],MATCH(Table5[[#This Row],[PID]],Table3[[#All],[PID]],0)))</f>
        <v>$20k</v>
      </c>
      <c r="T370" s="62">
        <f>IF($C370="B",INDEX(Batters[[#All],[Rnk]],MATCH(Table5[[#This Row],[PID]],Batters[[#All],[PID]],0)),INDEX(Table3[[#All],[Rnk]],MATCH(Table5[[#This Row],[PID]],Table3[[#All],[PID]],0)))</f>
        <v>900</v>
      </c>
      <c r="U370" s="67">
        <f>IF($C370="B",VLOOKUP($A370,Bat!$A$4:$BA$1314,47,FALSE),VLOOKUP($A370,Pit!$A$4:$BF$1214,56,FALSE))</f>
        <v>175</v>
      </c>
      <c r="V370" s="50">
        <f>IF($C370="B",VLOOKUP($A370,Bat!$A$4:$BA$1314,48,FALSE),VLOOKUP($A370,Pit!$A$4:$BF$1214,57,FALSE))</f>
        <v>0</v>
      </c>
      <c r="W370" s="68">
        <f>IF(Table5[[#This Row],[posRnk]]=999,9999,Table5[[#This Row],[posRnk]]+Table5[[#This Row],[zRnk]]+IF($W$3&lt;&gt;Table5[[#This Row],[Type]],50,0))</f>
        <v>1337</v>
      </c>
      <c r="X370" s="51">
        <f>RANK(Table5[[#This Row],[zScore]],Table5[[#All],[zScore]])</f>
        <v>387</v>
      </c>
      <c r="Y370" s="50">
        <f>IFERROR(INDEX(DraftResults[[#All],[OVR]],MATCH(Table5[[#This Row],[PID]],DraftResults[[#All],[Player ID]],0)),"")</f>
        <v>287</v>
      </c>
      <c r="Z370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9</v>
      </c>
      <c r="AA370" s="50">
        <f>IFERROR(INDEX(DraftResults[[#All],[Pick in Round]],MATCH(Table5[[#This Row],[PID]],DraftResults[[#All],[Player ID]],0)),"")</f>
        <v>22</v>
      </c>
      <c r="AB370" s="50" t="str">
        <f>IFERROR(INDEX(DraftResults[[#All],[Team Name]],MATCH(Table5[[#This Row],[PID]],DraftResults[[#All],[Player ID]],0)),"")</f>
        <v>Bakersfield Bears</v>
      </c>
      <c r="AC370" s="50">
        <f>IF(Table5[[#This Row],[Ovr]]="","",IF(Table5[[#This Row],[cmbList]]="","",Table5[[#This Row],[cmbList]]-Table5[[#This Row],[Ovr]]))</f>
        <v>1050</v>
      </c>
      <c r="AD370" s="54" t="str">
        <f>IF(ISERROR(VLOOKUP($AB370&amp;"-"&amp;$E370&amp;" "&amp;F370,Bonuses!$B$1:$G$1006,4,FALSE)),"",INT(VLOOKUP($AB370&amp;"-"&amp;$E370&amp;" "&amp;$F370,Bonuses!$B$1:$G$1006,4,FALSE)))</f>
        <v/>
      </c>
      <c r="AE370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9.22 (287) - RF Hong-yeol Paek</v>
      </c>
    </row>
    <row r="371" spans="1:31" s="50" customFormat="1" x14ac:dyDescent="0.3">
      <c r="A371" s="50">
        <v>20511</v>
      </c>
      <c r="B371" s="50">
        <f>COUNTIF(Table5[PID],A371)</f>
        <v>1</v>
      </c>
      <c r="C371" s="50" t="str">
        <f>IF(COUNTIF(Table3[[#All],[PID]],A371)&gt;0,"P","B")</f>
        <v>P</v>
      </c>
      <c r="D371" s="59" t="str">
        <f>IF($C371="B",INDEX(Batters[[#All],[POS]],MATCH(Table5[[#This Row],[PID]],Batters[[#All],[PID]],0)),INDEX(Table3[[#All],[POS]],MATCH(Table5[[#This Row],[PID]],Table3[[#All],[PID]],0)))</f>
        <v>RP</v>
      </c>
      <c r="E371" s="52" t="str">
        <f>IF($C371="B",INDEX(Batters[[#All],[First]],MATCH(Table5[[#This Row],[PID]],Batters[[#All],[PID]],0)),INDEX(Table3[[#All],[First]],MATCH(Table5[[#This Row],[PID]],Table3[[#All],[PID]],0)))</f>
        <v>Tsuneari</v>
      </c>
      <c r="F371" s="50" t="str">
        <f>IF($C371="B",INDEX(Batters[[#All],[Last]],MATCH(A371,Batters[[#All],[PID]],0)),INDEX(Table3[[#All],[Last]],MATCH(A371,Table3[[#All],[PID]],0)))</f>
        <v>Kitoaji</v>
      </c>
      <c r="G371" s="56">
        <f>IF($C371="B",INDEX(Batters[[#All],[Age]],MATCH(Table5[[#This Row],[PID]],Batters[[#All],[PID]],0)),INDEX(Table3[[#All],[Age]],MATCH(Table5[[#This Row],[PID]],Table3[[#All],[PID]],0)))</f>
        <v>17</v>
      </c>
      <c r="H371" s="52" t="str">
        <f>IF($C371="B",INDEX(Batters[[#All],[B]],MATCH(Table5[[#This Row],[PID]],Batters[[#All],[PID]],0)),INDEX(Table3[[#All],[B]],MATCH(Table5[[#This Row],[PID]],Table3[[#All],[PID]],0)))</f>
        <v>L</v>
      </c>
      <c r="I371" s="52" t="str">
        <f>IF($C371="B",INDEX(Batters[[#All],[T]],MATCH(Table5[[#This Row],[PID]],Batters[[#All],[PID]],0)),INDEX(Table3[[#All],[T]],MATCH(Table5[[#This Row],[PID]],Table3[[#All],[PID]],0)))</f>
        <v>L</v>
      </c>
      <c r="J371" s="52" t="str">
        <f>IF($C371="B",INDEX(Batters[[#All],[WE]],MATCH(Table5[[#This Row],[PID]],Batters[[#All],[PID]],0)),INDEX(Table3[[#All],[WE]],MATCH(Table5[[#This Row],[PID]],Table3[[#All],[PID]],0)))</f>
        <v>High</v>
      </c>
      <c r="K371" s="52" t="str">
        <f>IF($C371="B",INDEX(Batters[[#All],[INT]],MATCH(Table5[[#This Row],[PID]],Batters[[#All],[PID]],0)),INDEX(Table3[[#All],[INT]],MATCH(Table5[[#This Row],[PID]],Table3[[#All],[PID]],0)))</f>
        <v>Normal</v>
      </c>
      <c r="L371" s="60">
        <f>IF($C371="B",INDEX(Batters[[#All],[CON P]],MATCH(Table5[[#This Row],[PID]],Batters[[#All],[PID]],0)),INDEX(Table3[[#All],[STU P]],MATCH(Table5[[#This Row],[PID]],Table3[[#All],[PID]],0)))</f>
        <v>5</v>
      </c>
      <c r="M371" s="56">
        <f>IF($C371="B",INDEX(Batters[[#All],[GAP P]],MATCH(Table5[[#This Row],[PID]],Batters[[#All],[PID]],0)),INDEX(Table3[[#All],[MOV P]],MATCH(Table5[[#This Row],[PID]],Table3[[#All],[PID]],0)))</f>
        <v>2</v>
      </c>
      <c r="N371" s="56">
        <f>IF($C371="B",INDEX(Batters[[#All],[POW P]],MATCH(Table5[[#This Row],[PID]],Batters[[#All],[PID]],0)),INDEX(Table3[[#All],[CON P]],MATCH(Table5[[#This Row],[PID]],Table3[[#All],[PID]],0)))</f>
        <v>4</v>
      </c>
      <c r="O371" s="56" t="str">
        <f>IF($C371="B",INDEX(Batters[[#All],[EYE P]],MATCH(Table5[[#This Row],[PID]],Batters[[#All],[PID]],0)),INDEX(Table3[[#All],[VELO]],MATCH(Table5[[#This Row],[PID]],Table3[[#All],[PID]],0)))</f>
        <v>89-91 Mph</v>
      </c>
      <c r="P371" s="56">
        <f>IF($C371="B",INDEX(Batters[[#All],[K P]],MATCH(Table5[[#This Row],[PID]],Batters[[#All],[PID]],0)),INDEX(Table3[[#All],[STM]],MATCH(Table5[[#This Row],[PID]],Table3[[#All],[PID]],0)))</f>
        <v>1</v>
      </c>
      <c r="Q371" s="61">
        <f>IF($C371="B",INDEX(Batters[[#All],[Tot]],MATCH(Table5[[#This Row],[PID]],Batters[[#All],[PID]],0)),INDEX(Table3[[#All],[Tot]],MATCH(Table5[[#This Row],[PID]],Table3[[#All],[PID]],0)))</f>
        <v>37.681048006793887</v>
      </c>
      <c r="R371" s="52">
        <f>IF($C371="B",INDEX(Batters[[#All],[zScore]],MATCH(Table5[[#This Row],[PID]],Batters[[#All],[PID]],0)),INDEX(Table3[[#All],[zScore]],MATCH(Table5[[#This Row],[PID]],Table3[[#All],[PID]],0)))</f>
        <v>-8.6541170817269857E-3</v>
      </c>
      <c r="S371" s="58" t="str">
        <f>IF($C371="B",INDEX(Batters[[#All],[DEM]],MATCH(Table5[[#This Row],[PID]],Batters[[#All],[PID]],0)),INDEX(Table3[[#All],[DEM]],MATCH(Table5[[#This Row],[PID]],Table3[[#All],[PID]],0)))</f>
        <v>$38k</v>
      </c>
      <c r="T371" s="62">
        <f>IF($C371="B",INDEX(Batters[[#All],[Rnk]],MATCH(Table5[[#This Row],[PID]],Batters[[#All],[PID]],0)),INDEX(Table3[[#All],[Rnk]],MATCH(Table5[[#This Row],[PID]],Table3[[#All],[PID]],0)))</f>
        <v>900</v>
      </c>
      <c r="U371" s="67">
        <f>IF($C371="B",VLOOKUP($A371,Bat!$A$4:$BA$1314,47,FALSE),VLOOKUP($A371,Pit!$A$4:$BF$1214,56,FALSE))</f>
        <v>123</v>
      </c>
      <c r="V371" s="50">
        <f>IF($C371="B",VLOOKUP($A371,Bat!$A$4:$BA$1314,48,FALSE),VLOOKUP($A371,Pit!$A$4:$BF$1214,57,FALSE))</f>
        <v>0</v>
      </c>
      <c r="W371" s="68">
        <f>IF(Table5[[#This Row],[posRnk]]=999,9999,Table5[[#This Row],[posRnk]]+Table5[[#This Row],[zRnk]]+IF($W$3&lt;&gt;Table5[[#This Row],[Type]],50,0))</f>
        <v>1288</v>
      </c>
      <c r="X371" s="51">
        <f>RANK(Table5[[#This Row],[zScore]],Table5[[#All],[zScore]])</f>
        <v>388</v>
      </c>
      <c r="Y371" s="50">
        <f>IFERROR(INDEX(DraftResults[[#All],[OVR]],MATCH(Table5[[#This Row],[PID]],DraftResults[[#All],[Player ID]],0)),"")</f>
        <v>289</v>
      </c>
      <c r="Z371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9</v>
      </c>
      <c r="AA371" s="50">
        <f>IFERROR(INDEX(DraftResults[[#All],[Pick in Round]],MATCH(Table5[[#This Row],[PID]],DraftResults[[#All],[Player ID]],0)),"")</f>
        <v>24</v>
      </c>
      <c r="AB371" s="50" t="str">
        <f>IFERROR(INDEX(DraftResults[[#All],[Team Name]],MATCH(Table5[[#This Row],[PID]],DraftResults[[#All],[Player ID]],0)),"")</f>
        <v>Reno Zephyrs</v>
      </c>
      <c r="AC371" s="50">
        <f>IF(Table5[[#This Row],[Ovr]]="","",IF(Table5[[#This Row],[cmbList]]="","",Table5[[#This Row],[cmbList]]-Table5[[#This Row],[Ovr]]))</f>
        <v>999</v>
      </c>
      <c r="AD371" s="54" t="str">
        <f>IF(ISERROR(VLOOKUP($AB371&amp;"-"&amp;$E371&amp;" "&amp;F371,Bonuses!$B$1:$G$1006,4,FALSE)),"",INT(VLOOKUP($AB371&amp;"-"&amp;$E371&amp;" "&amp;$F371,Bonuses!$B$1:$G$1006,4,FALSE)))</f>
        <v/>
      </c>
      <c r="AE371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9.24 (289) - RP Tsuneari Kitoaji</v>
      </c>
    </row>
    <row r="372" spans="1:31" s="50" customFormat="1" x14ac:dyDescent="0.3">
      <c r="A372" s="50">
        <v>20284</v>
      </c>
      <c r="B372" s="50">
        <f>COUNTIF(Table5[PID],A372)</f>
        <v>1</v>
      </c>
      <c r="C372" s="50" t="str">
        <f>IF(COUNTIF(Table3[[#All],[PID]],A372)&gt;0,"P","B")</f>
        <v>B</v>
      </c>
      <c r="D372" s="59" t="str">
        <f>IF($C372="B",INDEX(Batters[[#All],[POS]],MATCH(Table5[[#This Row],[PID]],Batters[[#All],[PID]],0)),INDEX(Table3[[#All],[POS]],MATCH(Table5[[#This Row],[PID]],Table3[[#All],[PID]],0)))</f>
        <v>3B</v>
      </c>
      <c r="E372" s="52" t="str">
        <f>IF($C372="B",INDEX(Batters[[#All],[First]],MATCH(Table5[[#This Row],[PID]],Batters[[#All],[PID]],0)),INDEX(Table3[[#All],[First]],MATCH(Table5[[#This Row],[PID]],Table3[[#All],[PID]],0)))</f>
        <v>Kaong</v>
      </c>
      <c r="F372" s="50" t="str">
        <f>IF($C372="B",INDEX(Batters[[#All],[Last]],MATCH(A372,Batters[[#All],[PID]],0)),INDEX(Table3[[#All],[Last]],MATCH(A372,Table3[[#All],[PID]],0)))</f>
        <v>Chaim</v>
      </c>
      <c r="G372" s="56">
        <f>IF($C372="B",INDEX(Batters[[#All],[Age]],MATCH(Table5[[#This Row],[PID]],Batters[[#All],[PID]],0)),INDEX(Table3[[#All],[Age]],MATCH(Table5[[#This Row],[PID]],Table3[[#All],[PID]],0)))</f>
        <v>22</v>
      </c>
      <c r="H372" s="52" t="str">
        <f>IF($C372="B",INDEX(Batters[[#All],[B]],MATCH(Table5[[#This Row],[PID]],Batters[[#All],[PID]],0)),INDEX(Table3[[#All],[B]],MATCH(Table5[[#This Row],[PID]],Table3[[#All],[PID]],0)))</f>
        <v>S</v>
      </c>
      <c r="I372" s="52" t="str">
        <f>IF($C372="B",INDEX(Batters[[#All],[T]],MATCH(Table5[[#This Row],[PID]],Batters[[#All],[PID]],0)),INDEX(Table3[[#All],[T]],MATCH(Table5[[#This Row],[PID]],Table3[[#All],[PID]],0)))</f>
        <v>R</v>
      </c>
      <c r="J372" s="52" t="str">
        <f>IF($C372="B",INDEX(Batters[[#All],[WE]],MATCH(Table5[[#This Row],[PID]],Batters[[#All],[PID]],0)),INDEX(Table3[[#All],[WE]],MATCH(Table5[[#This Row],[PID]],Table3[[#All],[PID]],0)))</f>
        <v>Normal</v>
      </c>
      <c r="K372" s="52" t="str">
        <f>IF($C372="B",INDEX(Batters[[#All],[INT]],MATCH(Table5[[#This Row],[PID]],Batters[[#All],[PID]],0)),INDEX(Table3[[#All],[INT]],MATCH(Table5[[#This Row],[PID]],Table3[[#All],[PID]],0)))</f>
        <v>Normal</v>
      </c>
      <c r="L372" s="60">
        <f>IF($C372="B",INDEX(Batters[[#All],[CON P]],MATCH(Table5[[#This Row],[PID]],Batters[[#All],[PID]],0)),INDEX(Table3[[#All],[STU P]],MATCH(Table5[[#This Row],[PID]],Table3[[#All],[PID]],0)))</f>
        <v>4</v>
      </c>
      <c r="M372" s="56">
        <f>IF($C372="B",INDEX(Batters[[#All],[GAP P]],MATCH(Table5[[#This Row],[PID]],Batters[[#All],[PID]],0)),INDEX(Table3[[#All],[MOV P]],MATCH(Table5[[#This Row],[PID]],Table3[[#All],[PID]],0)))</f>
        <v>4</v>
      </c>
      <c r="N372" s="56">
        <f>IF($C372="B",INDEX(Batters[[#All],[POW P]],MATCH(Table5[[#This Row],[PID]],Batters[[#All],[PID]],0)),INDEX(Table3[[#All],[CON P]],MATCH(Table5[[#This Row],[PID]],Table3[[#All],[PID]],0)))</f>
        <v>4</v>
      </c>
      <c r="O372" s="56">
        <f>IF($C372="B",INDEX(Batters[[#All],[EYE P]],MATCH(Table5[[#This Row],[PID]],Batters[[#All],[PID]],0)),INDEX(Table3[[#All],[VELO]],MATCH(Table5[[#This Row],[PID]],Table3[[#All],[PID]],0)))</f>
        <v>6</v>
      </c>
      <c r="P372" s="56">
        <f>IF($C372="B",INDEX(Batters[[#All],[K P]],MATCH(Table5[[#This Row],[PID]],Batters[[#All],[PID]],0)),INDEX(Table3[[#All],[STM]],MATCH(Table5[[#This Row],[PID]],Table3[[#All],[PID]],0)))</f>
        <v>3</v>
      </c>
      <c r="Q372" s="61">
        <f>IF($C372="B",INDEX(Batters[[#All],[Tot]],MATCH(Table5[[#This Row],[PID]],Batters[[#All],[PID]],0)),INDEX(Table3[[#All],[Tot]],MATCH(Table5[[#This Row],[PID]],Table3[[#All],[PID]],0)))</f>
        <v>43.153888889014844</v>
      </c>
      <c r="R372" s="52">
        <f>IF($C372="B",INDEX(Batters[[#All],[zScore]],MATCH(Table5[[#This Row],[PID]],Batters[[#All],[PID]],0)),INDEX(Table3[[#All],[zScore]],MATCH(Table5[[#This Row],[PID]],Table3[[#All],[PID]],0)))</f>
        <v>-9.4297835674988627E-3</v>
      </c>
      <c r="S372" s="58" t="str">
        <f>IF($C372="B",INDEX(Batters[[#All],[DEM]],MATCH(Table5[[#This Row],[PID]],Batters[[#All],[PID]],0)),INDEX(Table3[[#All],[DEM]],MATCH(Table5[[#This Row],[PID]],Table3[[#All],[PID]],0)))</f>
        <v>$20k</v>
      </c>
      <c r="T372" s="62">
        <f>IF($C372="B",INDEX(Batters[[#All],[Rnk]],MATCH(Table5[[#This Row],[PID]],Batters[[#All],[PID]],0)),INDEX(Table3[[#All],[Rnk]],MATCH(Table5[[#This Row],[PID]],Table3[[#All],[PID]],0)))</f>
        <v>900</v>
      </c>
      <c r="U372" s="67">
        <f>IF($C372="B",VLOOKUP($A372,Bat!$A$4:$BA$1314,47,FALSE),VLOOKUP($A372,Pit!$A$4:$BF$1214,56,FALSE))</f>
        <v>176</v>
      </c>
      <c r="V372" s="50">
        <f>IF($C372="B",VLOOKUP($A372,Bat!$A$4:$BA$1314,48,FALSE),VLOOKUP($A372,Pit!$A$4:$BF$1214,57,FALSE))</f>
        <v>0</v>
      </c>
      <c r="W372" s="68">
        <f>IF(Table5[[#This Row],[posRnk]]=999,9999,Table5[[#This Row],[posRnk]]+Table5[[#This Row],[zRnk]]+IF($W$3&lt;&gt;Table5[[#This Row],[Type]],50,0))</f>
        <v>1339</v>
      </c>
      <c r="X372" s="51">
        <f>RANK(Table5[[#This Row],[zScore]],Table5[[#All],[zScore]])</f>
        <v>389</v>
      </c>
      <c r="Y372" s="50">
        <f>IFERROR(INDEX(DraftResults[[#All],[OVR]],MATCH(Table5[[#This Row],[PID]],DraftResults[[#All],[Player ID]],0)),"")</f>
        <v>385</v>
      </c>
      <c r="Z372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12</v>
      </c>
      <c r="AA372" s="50">
        <f>IFERROR(INDEX(DraftResults[[#All],[Pick in Round]],MATCH(Table5[[#This Row],[PID]],DraftResults[[#All],[Player ID]],0)),"")</f>
        <v>20</v>
      </c>
      <c r="AB372" s="50" t="str">
        <f>IFERROR(INDEX(DraftResults[[#All],[Team Name]],MATCH(Table5[[#This Row],[PID]],DraftResults[[#All],[Player ID]],0)),"")</f>
        <v>Crystal Lake Sandgnats</v>
      </c>
      <c r="AC372" s="50">
        <f>IF(Table5[[#This Row],[Ovr]]="","",IF(Table5[[#This Row],[cmbList]]="","",Table5[[#This Row],[cmbList]]-Table5[[#This Row],[Ovr]]))</f>
        <v>954</v>
      </c>
      <c r="AD372" s="54" t="str">
        <f>IF(ISERROR(VLOOKUP($AB372&amp;"-"&amp;$E372&amp;" "&amp;F372,Bonuses!$B$1:$G$1006,4,FALSE)),"",INT(VLOOKUP($AB372&amp;"-"&amp;$E372&amp;" "&amp;$F372,Bonuses!$B$1:$G$1006,4,FALSE)))</f>
        <v/>
      </c>
      <c r="AE372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12.20 (385) - 3B Kaong Chaim</v>
      </c>
    </row>
    <row r="373" spans="1:31" s="50" customFormat="1" x14ac:dyDescent="0.3">
      <c r="A373" s="50">
        <v>11666</v>
      </c>
      <c r="B373" s="50">
        <f>COUNTIF(Table5[PID],A373)</f>
        <v>1</v>
      </c>
      <c r="C373" s="50" t="str">
        <f>IF(COUNTIF(Table3[[#All],[PID]],A373)&gt;0,"P","B")</f>
        <v>P</v>
      </c>
      <c r="D373" s="59" t="str">
        <f>IF($C373="B",INDEX(Batters[[#All],[POS]],MATCH(Table5[[#This Row],[PID]],Batters[[#All],[PID]],0)),INDEX(Table3[[#All],[POS]],MATCH(Table5[[#This Row],[PID]],Table3[[#All],[PID]],0)))</f>
        <v>RP</v>
      </c>
      <c r="E373" s="52" t="str">
        <f>IF($C373="B",INDEX(Batters[[#All],[First]],MATCH(Table5[[#This Row],[PID]],Batters[[#All],[PID]],0)),INDEX(Table3[[#All],[First]],MATCH(Table5[[#This Row],[PID]],Table3[[#All],[PID]],0)))</f>
        <v>Luis</v>
      </c>
      <c r="F373" s="50" t="str">
        <f>IF($C373="B",INDEX(Batters[[#All],[Last]],MATCH(A373,Batters[[#All],[PID]],0)),INDEX(Table3[[#All],[Last]],MATCH(A373,Table3[[#All],[PID]],0)))</f>
        <v>López</v>
      </c>
      <c r="G373" s="56">
        <f>IF($C373="B",INDEX(Batters[[#All],[Age]],MATCH(Table5[[#This Row],[PID]],Batters[[#All],[PID]],0)),INDEX(Table3[[#All],[Age]],MATCH(Table5[[#This Row],[PID]],Table3[[#All],[PID]],0)))</f>
        <v>17</v>
      </c>
      <c r="H373" s="52" t="str">
        <f>IF($C373="B",INDEX(Batters[[#All],[B]],MATCH(Table5[[#This Row],[PID]],Batters[[#All],[PID]],0)),INDEX(Table3[[#All],[B]],MATCH(Table5[[#This Row],[PID]],Table3[[#All],[PID]],0)))</f>
        <v>R</v>
      </c>
      <c r="I373" s="52" t="str">
        <f>IF($C373="B",INDEX(Batters[[#All],[T]],MATCH(Table5[[#This Row],[PID]],Batters[[#All],[PID]],0)),INDEX(Table3[[#All],[T]],MATCH(Table5[[#This Row],[PID]],Table3[[#All],[PID]],0)))</f>
        <v>R</v>
      </c>
      <c r="J373" s="52" t="str">
        <f>IF($C373="B",INDEX(Batters[[#All],[WE]],MATCH(Table5[[#This Row],[PID]],Batters[[#All],[PID]],0)),INDEX(Table3[[#All],[WE]],MATCH(Table5[[#This Row],[PID]],Table3[[#All],[PID]],0)))</f>
        <v>Low</v>
      </c>
      <c r="K373" s="52" t="str">
        <f>IF($C373="B",INDEX(Batters[[#All],[INT]],MATCH(Table5[[#This Row],[PID]],Batters[[#All],[PID]],0)),INDEX(Table3[[#All],[INT]],MATCH(Table5[[#This Row],[PID]],Table3[[#All],[PID]],0)))</f>
        <v>Normal</v>
      </c>
      <c r="L373" s="60">
        <f>IF($C373="B",INDEX(Batters[[#All],[CON P]],MATCH(Table5[[#This Row],[PID]],Batters[[#All],[PID]],0)),INDEX(Table3[[#All],[STU P]],MATCH(Table5[[#This Row],[PID]],Table3[[#All],[PID]],0)))</f>
        <v>5</v>
      </c>
      <c r="M373" s="56">
        <f>IF($C373="B",INDEX(Batters[[#All],[GAP P]],MATCH(Table5[[#This Row],[PID]],Batters[[#All],[PID]],0)),INDEX(Table3[[#All],[MOV P]],MATCH(Table5[[#This Row],[PID]],Table3[[#All],[PID]],0)))</f>
        <v>1</v>
      </c>
      <c r="N373" s="56">
        <f>IF($C373="B",INDEX(Batters[[#All],[POW P]],MATCH(Table5[[#This Row],[PID]],Batters[[#All],[PID]],0)),INDEX(Table3[[#All],[CON P]],MATCH(Table5[[#This Row],[PID]],Table3[[#All],[PID]],0)))</f>
        <v>4</v>
      </c>
      <c r="O373" s="56" t="str">
        <f>IF($C373="B",INDEX(Batters[[#All],[EYE P]],MATCH(Table5[[#This Row],[PID]],Batters[[#All],[PID]],0)),INDEX(Table3[[#All],[VELO]],MATCH(Table5[[#This Row],[PID]],Table3[[#All],[PID]],0)))</f>
        <v>94-96 Mph</v>
      </c>
      <c r="P373" s="56">
        <f>IF($C373="B",INDEX(Batters[[#All],[K P]],MATCH(Table5[[#This Row],[PID]],Batters[[#All],[PID]],0)),INDEX(Table3[[#All],[STM]],MATCH(Table5[[#This Row],[PID]],Table3[[#All],[PID]],0)))</f>
        <v>7</v>
      </c>
      <c r="Q373" s="61">
        <f>IF($C373="B",INDEX(Batters[[#All],[Tot]],MATCH(Table5[[#This Row],[PID]],Batters[[#All],[PID]],0)),INDEX(Table3[[#All],[Tot]],MATCH(Table5[[#This Row],[PID]],Table3[[#All],[PID]],0)))</f>
        <v>38.714063824160725</v>
      </c>
      <c r="R373" s="52">
        <f>IF($C373="B",INDEX(Batters[[#All],[zScore]],MATCH(Table5[[#This Row],[PID]],Batters[[#All],[PID]],0)),INDEX(Table3[[#All],[zScore]],MATCH(Table5[[#This Row],[PID]],Table3[[#All],[PID]],0)))</f>
        <v>6.4903874183817128E-2</v>
      </c>
      <c r="S373" s="58" t="str">
        <f>IF($C373="B",INDEX(Batters[[#All],[DEM]],MATCH(Table5[[#This Row],[PID]],Batters[[#All],[PID]],0)),INDEX(Table3[[#All],[DEM]],MATCH(Table5[[#This Row],[PID]],Table3[[#All],[PID]],0)))</f>
        <v>$65k</v>
      </c>
      <c r="T373" s="62">
        <f>IF($C373="B",INDEX(Batters[[#All],[Rnk]],MATCH(Table5[[#This Row],[PID]],Batters[[#All],[PID]],0)),INDEX(Table3[[#All],[Rnk]],MATCH(Table5[[#This Row],[PID]],Table3[[#All],[PID]],0)))</f>
        <v>930</v>
      </c>
      <c r="U373" s="67">
        <f>IF($C373="B",VLOOKUP($A373,Bat!$A$4:$BA$1314,47,FALSE),VLOOKUP($A373,Pit!$A$4:$BF$1214,56,FALSE))</f>
        <v>280</v>
      </c>
      <c r="V373" s="50">
        <f>IF($C373="B",VLOOKUP($A373,Bat!$A$4:$BA$1314,48,FALSE),VLOOKUP($A373,Pit!$A$4:$BF$1214,57,FALSE))</f>
        <v>0</v>
      </c>
      <c r="W373" s="68">
        <f>IF(Table5[[#This Row],[posRnk]]=999,9999,Table5[[#This Row],[posRnk]]+Table5[[#This Row],[zRnk]]+IF($W$3&lt;&gt;Table5[[#This Row],[Type]],50,0))</f>
        <v>1290</v>
      </c>
      <c r="X373" s="51">
        <f>RANK(Table5[[#This Row],[zScore]],Table5[[#All],[zScore]])</f>
        <v>360</v>
      </c>
      <c r="Y373" s="50">
        <f>IFERROR(INDEX(DraftResults[[#All],[OVR]],MATCH(Table5[[#This Row],[PID]],DraftResults[[#All],[Player ID]],0)),"")</f>
        <v>472</v>
      </c>
      <c r="Z373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15</v>
      </c>
      <c r="AA373" s="50">
        <f>IFERROR(INDEX(DraftResults[[#All],[Pick in Round]],MATCH(Table5[[#This Row],[PID]],DraftResults[[#All],[Player ID]],0)),"")</f>
        <v>5</v>
      </c>
      <c r="AB373" s="50" t="str">
        <f>IFERROR(INDEX(DraftResults[[#All],[Team Name]],MATCH(Table5[[#This Row],[PID]],DraftResults[[#All],[Player ID]],0)),"")</f>
        <v>Tempe Knights</v>
      </c>
      <c r="AC373" s="50">
        <f>IF(Table5[[#This Row],[Ovr]]="","",IF(Table5[[#This Row],[cmbList]]="","",Table5[[#This Row],[cmbList]]-Table5[[#This Row],[Ovr]]))</f>
        <v>818</v>
      </c>
      <c r="AD373" s="54" t="str">
        <f>IF(ISERROR(VLOOKUP($AB373&amp;"-"&amp;$E373&amp;" "&amp;F373,Bonuses!$B$1:$G$1006,4,FALSE)),"",INT(VLOOKUP($AB373&amp;"-"&amp;$E373&amp;" "&amp;$F373,Bonuses!$B$1:$G$1006,4,FALSE)))</f>
        <v/>
      </c>
      <c r="AE373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15.5 (472) - RP Luis López</v>
      </c>
    </row>
    <row r="374" spans="1:31" s="50" customFormat="1" x14ac:dyDescent="0.3">
      <c r="A374" s="67">
        <v>10900</v>
      </c>
      <c r="B374" s="68">
        <f>COUNTIF(Table5[PID],A374)</f>
        <v>1</v>
      </c>
      <c r="C374" s="68" t="str">
        <f>IF(COUNTIF(Table3[[#All],[PID]],A374)&gt;0,"P","B")</f>
        <v>B</v>
      </c>
      <c r="D374" s="59" t="str">
        <f>IF($C374="B",INDEX(Batters[[#All],[POS]],MATCH(Table5[[#This Row],[PID]],Batters[[#All],[PID]],0)),INDEX(Table3[[#All],[POS]],MATCH(Table5[[#This Row],[PID]],Table3[[#All],[PID]],0)))</f>
        <v>C</v>
      </c>
      <c r="E374" s="52" t="str">
        <f>IF($C374="B",INDEX(Batters[[#All],[First]],MATCH(Table5[[#This Row],[PID]],Batters[[#All],[PID]],0)),INDEX(Table3[[#All],[First]],MATCH(Table5[[#This Row],[PID]],Table3[[#All],[PID]],0)))</f>
        <v>Kenny</v>
      </c>
      <c r="F374" s="55" t="str">
        <f>IF($C374="B",INDEX(Batters[[#All],[Last]],MATCH(A374,Batters[[#All],[PID]],0)),INDEX(Table3[[#All],[Last]],MATCH(A374,Table3[[#All],[PID]],0)))</f>
        <v>Hall</v>
      </c>
      <c r="G374" s="56">
        <f>IF($C374="B",INDEX(Batters[[#All],[Age]],MATCH(Table5[[#This Row],[PID]],Batters[[#All],[PID]],0)),INDEX(Table3[[#All],[Age]],MATCH(Table5[[#This Row],[PID]],Table3[[#All],[PID]],0)))</f>
        <v>18</v>
      </c>
      <c r="H374" s="52" t="str">
        <f>IF($C374="B",INDEX(Batters[[#All],[B]],MATCH(Table5[[#This Row],[PID]],Batters[[#All],[PID]],0)),INDEX(Table3[[#All],[B]],MATCH(Table5[[#This Row],[PID]],Table3[[#All],[PID]],0)))</f>
        <v>R</v>
      </c>
      <c r="I374" s="52" t="str">
        <f>IF($C374="B",INDEX(Batters[[#All],[T]],MATCH(Table5[[#This Row],[PID]],Batters[[#All],[PID]],0)),INDEX(Table3[[#All],[T]],MATCH(Table5[[#This Row],[PID]],Table3[[#All],[PID]],0)))</f>
        <v>R</v>
      </c>
      <c r="J374" s="69" t="str">
        <f>IF($C374="B",INDEX(Batters[[#All],[WE]],MATCH(Table5[[#This Row],[PID]],Batters[[#All],[PID]],0)),INDEX(Table3[[#All],[WE]],MATCH(Table5[[#This Row],[PID]],Table3[[#All],[PID]],0)))</f>
        <v>Normal</v>
      </c>
      <c r="K374" s="52" t="str">
        <f>IF($C374="B",INDEX(Batters[[#All],[INT]],MATCH(Table5[[#This Row],[PID]],Batters[[#All],[PID]],0)),INDEX(Table3[[#All],[INT]],MATCH(Table5[[#This Row],[PID]],Table3[[#All],[PID]],0)))</f>
        <v>Normal</v>
      </c>
      <c r="L374" s="60">
        <f>IF($C374="B",INDEX(Batters[[#All],[CON P]],MATCH(Table5[[#This Row],[PID]],Batters[[#All],[PID]],0)),INDEX(Table3[[#All],[STU P]],MATCH(Table5[[#This Row],[PID]],Table3[[#All],[PID]],0)))</f>
        <v>2</v>
      </c>
      <c r="M374" s="70">
        <f>IF($C374="B",INDEX(Batters[[#All],[GAP P]],MATCH(Table5[[#This Row],[PID]],Batters[[#All],[PID]],0)),INDEX(Table3[[#All],[MOV P]],MATCH(Table5[[#This Row],[PID]],Table3[[#All],[PID]],0)))</f>
        <v>5</v>
      </c>
      <c r="N374" s="70">
        <f>IF($C374="B",INDEX(Batters[[#All],[POW P]],MATCH(Table5[[#This Row],[PID]],Batters[[#All],[PID]],0)),INDEX(Table3[[#All],[CON P]],MATCH(Table5[[#This Row],[PID]],Table3[[#All],[PID]],0)))</f>
        <v>6</v>
      </c>
      <c r="O374" s="70">
        <f>IF($C374="B",INDEX(Batters[[#All],[EYE P]],MATCH(Table5[[#This Row],[PID]],Batters[[#All],[PID]],0)),INDEX(Table3[[#All],[VELO]],MATCH(Table5[[#This Row],[PID]],Table3[[#All],[PID]],0)))</f>
        <v>6</v>
      </c>
      <c r="P374" s="56">
        <f>IF($C374="B",INDEX(Batters[[#All],[K P]],MATCH(Table5[[#This Row],[PID]],Batters[[#All],[PID]],0)),INDEX(Table3[[#All],[STM]],MATCH(Table5[[#This Row],[PID]],Table3[[#All],[PID]],0)))</f>
        <v>2</v>
      </c>
      <c r="Q374" s="61">
        <f>IF($C374="B",INDEX(Batters[[#All],[Tot]],MATCH(Table5[[#This Row],[PID]],Batters[[#All],[PID]],0)),INDEX(Table3[[#All],[Tot]],MATCH(Table5[[#This Row],[PID]],Table3[[#All],[PID]],0)))</f>
        <v>43.078137684797802</v>
      </c>
      <c r="R374" s="52">
        <f>IF($C374="B",INDEX(Batters[[#All],[zScore]],MATCH(Table5[[#This Row],[PID]],Batters[[#All],[PID]],0)),INDEX(Table3[[#All],[zScore]],MATCH(Table5[[#This Row],[PID]],Table3[[#All],[PID]],0)))</f>
        <v>-2.0487043650555824E-2</v>
      </c>
      <c r="S374" s="75" t="str">
        <f>IF($C374="B",INDEX(Batters[[#All],[DEM]],MATCH(Table5[[#This Row],[PID]],Batters[[#All],[PID]],0)),INDEX(Table3[[#All],[DEM]],MATCH(Table5[[#This Row],[PID]],Table3[[#All],[PID]],0)))</f>
        <v>$240k</v>
      </c>
      <c r="T374" s="72">
        <f>IF($C374="B",INDEX(Batters[[#All],[Rnk]],MATCH(Table5[[#This Row],[PID]],Batters[[#All],[PID]],0)),INDEX(Table3[[#All],[Rnk]],MATCH(Table5[[#This Row],[PID]],Table3[[#All],[PID]],0)))</f>
        <v>900</v>
      </c>
      <c r="U374" s="67">
        <f>IF($C374="B",VLOOKUP($A374,Bat!$A$4:$BA$1314,47,FALSE),VLOOKUP($A374,Pit!$A$4:$BF$1214,56,FALSE))</f>
        <v>177</v>
      </c>
      <c r="V374" s="50">
        <f>IF($C374="B",VLOOKUP($A374,Bat!$A$4:$BA$1314,48,FALSE),VLOOKUP($A374,Pit!$A$4:$BF$1214,57,FALSE))</f>
        <v>0</v>
      </c>
      <c r="W374" s="68">
        <f>IF(Table5[[#This Row],[posRnk]]=999,9999,Table5[[#This Row],[posRnk]]+Table5[[#This Row],[zRnk]]+IF($W$3&lt;&gt;Table5[[#This Row],[Type]],50,0))</f>
        <v>1342</v>
      </c>
      <c r="X374" s="71">
        <f>RANK(Table5[[#This Row],[zScore]],Table5[[#All],[zScore]])</f>
        <v>392</v>
      </c>
      <c r="Y374" s="68">
        <f>IFERROR(INDEX(DraftResults[[#All],[OVR]],MATCH(Table5[[#This Row],[PID]],DraftResults[[#All],[Player ID]],0)),"")</f>
        <v>429</v>
      </c>
      <c r="Z374" s="7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13</v>
      </c>
      <c r="AA374" s="68">
        <f>IFERROR(INDEX(DraftResults[[#All],[Pick in Round]],MATCH(Table5[[#This Row],[PID]],DraftResults[[#All],[Player ID]],0)),"")</f>
        <v>30</v>
      </c>
      <c r="AB374" s="68" t="str">
        <f>IFERROR(INDEX(DraftResults[[#All],[Team Name]],MATCH(Table5[[#This Row],[PID]],DraftResults[[#All],[Player ID]],0)),"")</f>
        <v>Toyama Wind Dancers</v>
      </c>
      <c r="AC374" s="68">
        <f>IF(Table5[[#This Row],[Ovr]]="","",IF(Table5[[#This Row],[cmbList]]="","",Table5[[#This Row],[cmbList]]-Table5[[#This Row],[Ovr]]))</f>
        <v>913</v>
      </c>
      <c r="AD374" s="74" t="str">
        <f>IF(ISERROR(VLOOKUP($AB374&amp;"-"&amp;$E374&amp;" "&amp;F374,Bonuses!$B$1:$G$1006,4,FALSE)),"",INT(VLOOKUP($AB374&amp;"-"&amp;$E374&amp;" "&amp;$F374,Bonuses!$B$1:$G$1006,4,FALSE)))</f>
        <v/>
      </c>
      <c r="AE374" s="68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13.30 (429) - C Kenny Hall</v>
      </c>
    </row>
    <row r="375" spans="1:31" s="50" customFormat="1" x14ac:dyDescent="0.3">
      <c r="A375" s="50">
        <v>21057</v>
      </c>
      <c r="B375" s="50">
        <f>COUNTIF(Table5[PID],A375)</f>
        <v>1</v>
      </c>
      <c r="C375" s="50" t="str">
        <f>IF(COUNTIF(Table3[[#All],[PID]],A375)&gt;0,"P","B")</f>
        <v>P</v>
      </c>
      <c r="D375" s="59" t="str">
        <f>IF($C375="B",INDEX(Batters[[#All],[POS]],MATCH(Table5[[#This Row],[PID]],Batters[[#All],[PID]],0)),INDEX(Table3[[#All],[POS]],MATCH(Table5[[#This Row],[PID]],Table3[[#All],[PID]],0)))</f>
        <v>RP</v>
      </c>
      <c r="E375" s="52" t="str">
        <f>IF($C375="B",INDEX(Batters[[#All],[First]],MATCH(Table5[[#This Row],[PID]],Batters[[#All],[PID]],0)),INDEX(Table3[[#All],[First]],MATCH(Table5[[#This Row],[PID]],Table3[[#All],[PID]],0)))</f>
        <v>Ryan</v>
      </c>
      <c r="F375" s="50" t="str">
        <f>IF($C375="B",INDEX(Batters[[#All],[Last]],MATCH(A375,Batters[[#All],[PID]],0)),INDEX(Table3[[#All],[Last]],MATCH(A375,Table3[[#All],[PID]],0)))</f>
        <v>Flores</v>
      </c>
      <c r="G375" s="56">
        <f>IF($C375="B",INDEX(Batters[[#All],[Age]],MATCH(Table5[[#This Row],[PID]],Batters[[#All],[PID]],0)),INDEX(Table3[[#All],[Age]],MATCH(Table5[[#This Row],[PID]],Table3[[#All],[PID]],0)))</f>
        <v>17</v>
      </c>
      <c r="H375" s="52" t="str">
        <f>IF($C375="B",INDEX(Batters[[#All],[B]],MATCH(Table5[[#This Row],[PID]],Batters[[#All],[PID]],0)),INDEX(Table3[[#All],[B]],MATCH(Table5[[#This Row],[PID]],Table3[[#All],[PID]],0)))</f>
        <v>R</v>
      </c>
      <c r="I375" s="52" t="str">
        <f>IF($C375="B",INDEX(Batters[[#All],[T]],MATCH(Table5[[#This Row],[PID]],Batters[[#All],[PID]],0)),INDEX(Table3[[#All],[T]],MATCH(Table5[[#This Row],[PID]],Table3[[#All],[PID]],0)))</f>
        <v>R</v>
      </c>
      <c r="J375" s="52" t="str">
        <f>IF($C375="B",INDEX(Batters[[#All],[WE]],MATCH(Table5[[#This Row],[PID]],Batters[[#All],[PID]],0)),INDEX(Table3[[#All],[WE]],MATCH(Table5[[#This Row],[PID]],Table3[[#All],[PID]],0)))</f>
        <v>Low</v>
      </c>
      <c r="K375" s="52" t="str">
        <f>IF($C375="B",INDEX(Batters[[#All],[INT]],MATCH(Table5[[#This Row],[PID]],Batters[[#All],[PID]],0)),INDEX(Table3[[#All],[INT]],MATCH(Table5[[#This Row],[PID]],Table3[[#All],[PID]],0)))</f>
        <v>Normal</v>
      </c>
      <c r="L375" s="60">
        <f>IF($C375="B",INDEX(Batters[[#All],[CON P]],MATCH(Table5[[#This Row],[PID]],Batters[[#All],[PID]],0)),INDEX(Table3[[#All],[STU P]],MATCH(Table5[[#This Row],[PID]],Table3[[#All],[PID]],0)))</f>
        <v>5</v>
      </c>
      <c r="M375" s="56">
        <f>IF($C375="B",INDEX(Batters[[#All],[GAP P]],MATCH(Table5[[#This Row],[PID]],Batters[[#All],[PID]],0)),INDEX(Table3[[#All],[MOV P]],MATCH(Table5[[#This Row],[PID]],Table3[[#All],[PID]],0)))</f>
        <v>1</v>
      </c>
      <c r="N375" s="56">
        <f>IF($C375="B",INDEX(Batters[[#All],[POW P]],MATCH(Table5[[#This Row],[PID]],Batters[[#All],[PID]],0)),INDEX(Table3[[#All],[CON P]],MATCH(Table5[[#This Row],[PID]],Table3[[#All],[PID]],0)))</f>
        <v>4</v>
      </c>
      <c r="O375" s="56" t="str">
        <f>IF($C375="B",INDEX(Batters[[#All],[EYE P]],MATCH(Table5[[#This Row],[PID]],Batters[[#All],[PID]],0)),INDEX(Table3[[#All],[VELO]],MATCH(Table5[[#This Row],[PID]],Table3[[#All],[PID]],0)))</f>
        <v>94-96 Mph</v>
      </c>
      <c r="P375" s="56">
        <f>IF($C375="B",INDEX(Batters[[#All],[K P]],MATCH(Table5[[#This Row],[PID]],Batters[[#All],[PID]],0)),INDEX(Table3[[#All],[STM]],MATCH(Table5[[#This Row],[PID]],Table3[[#All],[PID]],0)))</f>
        <v>9</v>
      </c>
      <c r="Q375" s="61">
        <f>IF($C375="B",INDEX(Batters[[#All],[Tot]],MATCH(Table5[[#This Row],[PID]],Batters[[#All],[PID]],0)),INDEX(Table3[[#All],[Tot]],MATCH(Table5[[#This Row],[PID]],Table3[[#All],[PID]],0)))</f>
        <v>38.564063824160726</v>
      </c>
      <c r="R375" s="52">
        <f>IF($C375="B",INDEX(Batters[[#All],[zScore]],MATCH(Table5[[#This Row],[PID]],Batters[[#All],[PID]],0)),INDEX(Table3[[#All],[zScore]],MATCH(Table5[[#This Row],[PID]],Table3[[#All],[PID]],0)))</f>
        <v>5.4222819252870896E-2</v>
      </c>
      <c r="S375" s="58" t="str">
        <f>IF($C375="B",INDEX(Batters[[#All],[DEM]],MATCH(Table5[[#This Row],[PID]],Batters[[#All],[PID]],0)),INDEX(Table3[[#All],[DEM]],MATCH(Table5[[#This Row],[PID]],Table3[[#All],[PID]],0)))</f>
        <v>$90k</v>
      </c>
      <c r="T375" s="62">
        <f>IF($C375="B",INDEX(Batters[[#All],[Rnk]],MATCH(Table5[[#This Row],[PID]],Batters[[#All],[PID]],0)),INDEX(Table3[[#All],[Rnk]],MATCH(Table5[[#This Row],[PID]],Table3[[#All],[PID]],0)))</f>
        <v>930</v>
      </c>
      <c r="U375" s="67">
        <f>IF($C375="B",VLOOKUP($A375,Bat!$A$4:$BA$1314,47,FALSE),VLOOKUP($A375,Pit!$A$4:$BF$1214,56,FALSE))</f>
        <v>281</v>
      </c>
      <c r="V375" s="50">
        <f>IF($C375="B",VLOOKUP($A375,Bat!$A$4:$BA$1314,48,FALSE),VLOOKUP($A375,Pit!$A$4:$BF$1214,57,FALSE))</f>
        <v>0</v>
      </c>
      <c r="W375" s="68">
        <f>IF(Table5[[#This Row],[posRnk]]=999,9999,Table5[[#This Row],[posRnk]]+Table5[[#This Row],[zRnk]]+IF($W$3&lt;&gt;Table5[[#This Row],[Type]],50,0))</f>
        <v>1296</v>
      </c>
      <c r="X375" s="51">
        <f>RANK(Table5[[#This Row],[zScore]],Table5[[#All],[zScore]])</f>
        <v>366</v>
      </c>
      <c r="Y375" s="50">
        <f>IFERROR(INDEX(DraftResults[[#All],[OVR]],MATCH(Table5[[#This Row],[PID]],DraftResults[[#All],[Player ID]],0)),"")</f>
        <v>381</v>
      </c>
      <c r="Z375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12</v>
      </c>
      <c r="AA375" s="50">
        <f>IFERROR(INDEX(DraftResults[[#All],[Pick in Round]],MATCH(Table5[[#This Row],[PID]],DraftResults[[#All],[Player ID]],0)),"")</f>
        <v>16</v>
      </c>
      <c r="AB375" s="50" t="str">
        <f>IFERROR(INDEX(DraftResults[[#All],[Team Name]],MATCH(Table5[[#This Row],[PID]],DraftResults[[#All],[Player ID]],0)),"")</f>
        <v>Madison Malts</v>
      </c>
      <c r="AC375" s="50">
        <f>IF(Table5[[#This Row],[Ovr]]="","",IF(Table5[[#This Row],[cmbList]]="","",Table5[[#This Row],[cmbList]]-Table5[[#This Row],[Ovr]]))</f>
        <v>915</v>
      </c>
      <c r="AD375" s="54" t="str">
        <f>IF(ISERROR(VLOOKUP($AB375&amp;"-"&amp;$E375&amp;" "&amp;F375,Bonuses!$B$1:$G$1006,4,FALSE)),"",INT(VLOOKUP($AB375&amp;"-"&amp;$E375&amp;" "&amp;$F375,Bonuses!$B$1:$G$1006,4,FALSE)))</f>
        <v/>
      </c>
      <c r="AE375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12.16 (381) - RP Ryan Flores</v>
      </c>
    </row>
    <row r="376" spans="1:31" s="50" customFormat="1" x14ac:dyDescent="0.3">
      <c r="A376" s="50">
        <v>20658</v>
      </c>
      <c r="B376" s="50">
        <f>COUNTIF(Table5[PID],A376)</f>
        <v>1</v>
      </c>
      <c r="C376" s="50" t="str">
        <f>IF(COUNTIF(Table3[[#All],[PID]],A376)&gt;0,"P","B")</f>
        <v>P</v>
      </c>
      <c r="D376" s="59" t="str">
        <f>IF($C376="B",INDEX(Batters[[#All],[POS]],MATCH(Table5[[#This Row],[PID]],Batters[[#All],[PID]],0)),INDEX(Table3[[#All],[POS]],MATCH(Table5[[#This Row],[PID]],Table3[[#All],[PID]],0)))</f>
        <v>RP</v>
      </c>
      <c r="E376" s="52" t="str">
        <f>IF($C376="B",INDEX(Batters[[#All],[First]],MATCH(Table5[[#This Row],[PID]],Batters[[#All],[PID]],0)),INDEX(Table3[[#All],[First]],MATCH(Table5[[#This Row],[PID]],Table3[[#All],[PID]],0)))</f>
        <v>Yong-oon</v>
      </c>
      <c r="F376" s="50" t="str">
        <f>IF($C376="B",INDEX(Batters[[#All],[Last]],MATCH(A376,Batters[[#All],[PID]],0)),INDEX(Table3[[#All],[Last]],MATCH(A376,Table3[[#All],[PID]],0)))</f>
        <v>Na</v>
      </c>
      <c r="G376" s="56">
        <f>IF($C376="B",INDEX(Batters[[#All],[Age]],MATCH(Table5[[#This Row],[PID]],Batters[[#All],[PID]],0)),INDEX(Table3[[#All],[Age]],MATCH(Table5[[#This Row],[PID]],Table3[[#All],[PID]],0)))</f>
        <v>17</v>
      </c>
      <c r="H376" s="52" t="str">
        <f>IF($C376="B",INDEX(Batters[[#All],[B]],MATCH(Table5[[#This Row],[PID]],Batters[[#All],[PID]],0)),INDEX(Table3[[#All],[B]],MATCH(Table5[[#This Row],[PID]],Table3[[#All],[PID]],0)))</f>
        <v>L</v>
      </c>
      <c r="I376" s="52" t="str">
        <f>IF($C376="B",INDEX(Batters[[#All],[T]],MATCH(Table5[[#This Row],[PID]],Batters[[#All],[PID]],0)),INDEX(Table3[[#All],[T]],MATCH(Table5[[#This Row],[PID]],Table3[[#All],[PID]],0)))</f>
        <v>L</v>
      </c>
      <c r="J376" s="52" t="str">
        <f>IF($C376="B",INDEX(Batters[[#All],[WE]],MATCH(Table5[[#This Row],[PID]],Batters[[#All],[PID]],0)),INDEX(Table3[[#All],[WE]],MATCH(Table5[[#This Row],[PID]],Table3[[#All],[PID]],0)))</f>
        <v>Normal</v>
      </c>
      <c r="K376" s="52" t="str">
        <f>IF($C376="B",INDEX(Batters[[#All],[INT]],MATCH(Table5[[#This Row],[PID]],Batters[[#All],[PID]],0)),INDEX(Table3[[#All],[INT]],MATCH(Table5[[#This Row],[PID]],Table3[[#All],[PID]],0)))</f>
        <v>Normal</v>
      </c>
      <c r="L376" s="60">
        <f>IF($C376="B",INDEX(Batters[[#All],[CON P]],MATCH(Table5[[#This Row],[PID]],Batters[[#All],[PID]],0)),INDEX(Table3[[#All],[STU P]],MATCH(Table5[[#This Row],[PID]],Table3[[#All],[PID]],0)))</f>
        <v>5</v>
      </c>
      <c r="M376" s="56">
        <f>IF($C376="B",INDEX(Batters[[#All],[GAP P]],MATCH(Table5[[#This Row],[PID]],Batters[[#All],[PID]],0)),INDEX(Table3[[#All],[MOV P]],MATCH(Table5[[#This Row],[PID]],Table3[[#All],[PID]],0)))</f>
        <v>2</v>
      </c>
      <c r="N376" s="56">
        <f>IF($C376="B",INDEX(Batters[[#All],[POW P]],MATCH(Table5[[#This Row],[PID]],Batters[[#All],[PID]],0)),INDEX(Table3[[#All],[CON P]],MATCH(Table5[[#This Row],[PID]],Table3[[#All],[PID]],0)))</f>
        <v>4</v>
      </c>
      <c r="O376" s="56" t="str">
        <f>IF($C376="B",INDEX(Batters[[#All],[EYE P]],MATCH(Table5[[#This Row],[PID]],Batters[[#All],[PID]],0)),INDEX(Table3[[#All],[VELO]],MATCH(Table5[[#This Row],[PID]],Table3[[#All],[PID]],0)))</f>
        <v>88-90 Mph</v>
      </c>
      <c r="P376" s="56">
        <f>IF($C376="B",INDEX(Batters[[#All],[K P]],MATCH(Table5[[#This Row],[PID]],Batters[[#All],[PID]],0)),INDEX(Table3[[#All],[STM]],MATCH(Table5[[#This Row],[PID]],Table3[[#All],[PID]],0)))</f>
        <v>6</v>
      </c>
      <c r="Q376" s="61">
        <f>IF($C376="B",INDEX(Batters[[#All],[Tot]],MATCH(Table5[[#This Row],[PID]],Batters[[#All],[PID]],0)),INDEX(Table3[[#All],[Tot]],MATCH(Table5[[#This Row],[PID]],Table3[[#All],[PID]],0)))</f>
        <v>37.142584461851271</v>
      </c>
      <c r="R376" s="52">
        <f>IF($C376="B",INDEX(Batters[[#All],[zScore]],MATCH(Table5[[#This Row],[PID]],Batters[[#All],[PID]],0)),INDEX(Table3[[#All],[zScore]],MATCH(Table5[[#This Row],[PID]],Table3[[#All],[PID]],0)))</f>
        <v>-4.6996508427354748E-2</v>
      </c>
      <c r="S376" s="58" t="str">
        <f>IF($C376="B",INDEX(Batters[[#All],[DEM]],MATCH(Table5[[#This Row],[PID]],Batters[[#All],[PID]],0)),INDEX(Table3[[#All],[DEM]],MATCH(Table5[[#This Row],[PID]],Table3[[#All],[PID]],0)))</f>
        <v>-</v>
      </c>
      <c r="T376" s="62">
        <f>IF($C376="B",INDEX(Batters[[#All],[Rnk]],MATCH(Table5[[#This Row],[PID]],Batters[[#All],[PID]],0)),INDEX(Table3[[#All],[Rnk]],MATCH(Table5[[#This Row],[PID]],Table3[[#All],[PID]],0)))</f>
        <v>900</v>
      </c>
      <c r="U376" s="67">
        <f>IF($C376="B",VLOOKUP($A376,Bat!$A$4:$BA$1314,47,FALSE),VLOOKUP($A376,Pit!$A$4:$BF$1214,56,FALSE))</f>
        <v>130</v>
      </c>
      <c r="V376" s="50">
        <f>IF($C376="B",VLOOKUP($A376,Bat!$A$4:$BA$1314,48,FALSE),VLOOKUP($A376,Pit!$A$4:$BF$1214,57,FALSE))</f>
        <v>0</v>
      </c>
      <c r="W376" s="68">
        <f>IF(Table5[[#This Row],[posRnk]]=999,9999,Table5[[#This Row],[posRnk]]+Table5[[#This Row],[zRnk]]+IF($W$3&lt;&gt;Table5[[#This Row],[Type]],50,0))</f>
        <v>1297</v>
      </c>
      <c r="X376" s="51">
        <f>RANK(Table5[[#This Row],[zScore]],Table5[[#All],[zScore]])</f>
        <v>397</v>
      </c>
      <c r="Y376" s="50">
        <f>IFERROR(INDEX(DraftResults[[#All],[OVR]],MATCH(Table5[[#This Row],[PID]],DraftResults[[#All],[Player ID]],0)),"")</f>
        <v>569</v>
      </c>
      <c r="Z376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17</v>
      </c>
      <c r="AA376" s="50">
        <f>IFERROR(INDEX(DraftResults[[#All],[Pick in Round]],MATCH(Table5[[#This Row],[PID]],DraftResults[[#All],[Player ID]],0)),"")</f>
        <v>34</v>
      </c>
      <c r="AB376" s="50" t="str">
        <f>IFERROR(INDEX(DraftResults[[#All],[Team Name]],MATCH(Table5[[#This Row],[PID]],DraftResults[[#All],[Player ID]],0)),"")</f>
        <v>New Jersey Hitmen</v>
      </c>
      <c r="AC376" s="50">
        <f>IF(Table5[[#This Row],[Ovr]]="","",IF(Table5[[#This Row],[cmbList]]="","",Table5[[#This Row],[cmbList]]-Table5[[#This Row],[Ovr]]))</f>
        <v>728</v>
      </c>
      <c r="AD376" s="54" t="str">
        <f>IF(ISERROR(VLOOKUP($AB376&amp;"-"&amp;$E376&amp;" "&amp;F376,Bonuses!$B$1:$G$1006,4,FALSE)),"",INT(VLOOKUP($AB376&amp;"-"&amp;$E376&amp;" "&amp;$F376,Bonuses!$B$1:$G$1006,4,FALSE)))</f>
        <v/>
      </c>
      <c r="AE376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17.34 (569) - RP Yong-oon Na</v>
      </c>
    </row>
    <row r="377" spans="1:31" s="50" customFormat="1" x14ac:dyDescent="0.3">
      <c r="A377" s="50">
        <v>6037</v>
      </c>
      <c r="B377" s="50">
        <f>COUNTIF(Table5[PID],A377)</f>
        <v>1</v>
      </c>
      <c r="C377" s="50" t="str">
        <f>IF(COUNTIF(Table3[[#All],[PID]],A377)&gt;0,"P","B")</f>
        <v>P</v>
      </c>
      <c r="D377" s="59" t="str">
        <f>IF($C377="B",INDEX(Batters[[#All],[POS]],MATCH(Table5[[#This Row],[PID]],Batters[[#All],[PID]],0)),INDEX(Table3[[#All],[POS]],MATCH(Table5[[#This Row],[PID]],Table3[[#All],[PID]],0)))</f>
        <v>RP</v>
      </c>
      <c r="E377" s="52" t="str">
        <f>IF($C377="B",INDEX(Batters[[#All],[First]],MATCH(Table5[[#This Row],[PID]],Batters[[#All],[PID]],0)),INDEX(Table3[[#All],[First]],MATCH(Table5[[#This Row],[PID]],Table3[[#All],[PID]],0)))</f>
        <v>Jim</v>
      </c>
      <c r="F377" s="50" t="str">
        <f>IF($C377="B",INDEX(Batters[[#All],[Last]],MATCH(A377,Batters[[#All],[PID]],0)),INDEX(Table3[[#All],[Last]],MATCH(A377,Table3[[#All],[PID]],0)))</f>
        <v>Field</v>
      </c>
      <c r="G377" s="56">
        <f>IF($C377="B",INDEX(Batters[[#All],[Age]],MATCH(Table5[[#This Row],[PID]],Batters[[#All],[PID]],0)),INDEX(Table3[[#All],[Age]],MATCH(Table5[[#This Row],[PID]],Table3[[#All],[PID]],0)))</f>
        <v>21</v>
      </c>
      <c r="H377" s="52" t="str">
        <f>IF($C377="B",INDEX(Batters[[#All],[B]],MATCH(Table5[[#This Row],[PID]],Batters[[#All],[PID]],0)),INDEX(Table3[[#All],[B]],MATCH(Table5[[#This Row],[PID]],Table3[[#All],[PID]],0)))</f>
        <v>R</v>
      </c>
      <c r="I377" s="52" t="str">
        <f>IF($C377="B",INDEX(Batters[[#All],[T]],MATCH(Table5[[#This Row],[PID]],Batters[[#All],[PID]],0)),INDEX(Table3[[#All],[T]],MATCH(Table5[[#This Row],[PID]],Table3[[#All],[PID]],0)))</f>
        <v>R</v>
      </c>
      <c r="J377" s="52" t="str">
        <f>IF($C377="B",INDEX(Batters[[#All],[WE]],MATCH(Table5[[#This Row],[PID]],Batters[[#All],[PID]],0)),INDEX(Table3[[#All],[WE]],MATCH(Table5[[#This Row],[PID]],Table3[[#All],[PID]],0)))</f>
        <v>Normal</v>
      </c>
      <c r="K377" s="52" t="str">
        <f>IF($C377="B",INDEX(Batters[[#All],[INT]],MATCH(Table5[[#This Row],[PID]],Batters[[#All],[PID]],0)),INDEX(Table3[[#All],[INT]],MATCH(Table5[[#This Row],[PID]],Table3[[#All],[PID]],0)))</f>
        <v>Normal</v>
      </c>
      <c r="L377" s="60">
        <f>IF($C377="B",INDEX(Batters[[#All],[CON P]],MATCH(Table5[[#This Row],[PID]],Batters[[#All],[PID]],0)),INDEX(Table3[[#All],[STU P]],MATCH(Table5[[#This Row],[PID]],Table3[[#All],[PID]],0)))</f>
        <v>5</v>
      </c>
      <c r="M377" s="56">
        <f>IF($C377="B",INDEX(Batters[[#All],[GAP P]],MATCH(Table5[[#This Row],[PID]],Batters[[#All],[PID]],0)),INDEX(Table3[[#All],[MOV P]],MATCH(Table5[[#This Row],[PID]],Table3[[#All],[PID]],0)))</f>
        <v>3</v>
      </c>
      <c r="N377" s="56">
        <f>IF($C377="B",INDEX(Batters[[#All],[POW P]],MATCH(Table5[[#This Row],[PID]],Batters[[#All],[PID]],0)),INDEX(Table3[[#All],[CON P]],MATCH(Table5[[#This Row],[PID]],Table3[[#All],[PID]],0)))</f>
        <v>3</v>
      </c>
      <c r="O377" s="56" t="str">
        <f>IF($C377="B",INDEX(Batters[[#All],[EYE P]],MATCH(Table5[[#This Row],[PID]],Batters[[#All],[PID]],0)),INDEX(Table3[[#All],[VELO]],MATCH(Table5[[#This Row],[PID]],Table3[[#All],[PID]],0)))</f>
        <v>89-91 Mph</v>
      </c>
      <c r="P377" s="56">
        <f>IF($C377="B",INDEX(Batters[[#All],[K P]],MATCH(Table5[[#This Row],[PID]],Batters[[#All],[PID]],0)),INDEX(Table3[[#All],[STM]],MATCH(Table5[[#This Row],[PID]],Table3[[#All],[PID]],0)))</f>
        <v>4</v>
      </c>
      <c r="Q377" s="61">
        <f>IF($C377="B",INDEX(Batters[[#All],[Tot]],MATCH(Table5[[#This Row],[PID]],Batters[[#All],[PID]],0)),INDEX(Table3[[#All],[Tot]],MATCH(Table5[[#This Row],[PID]],Table3[[#All],[PID]],0)))</f>
        <v>37.094373705159114</v>
      </c>
      <c r="R377" s="52">
        <f>IF($C377="B",INDEX(Batters[[#All],[zScore]],MATCH(Table5[[#This Row],[PID]],Batters[[#All],[PID]],0)),INDEX(Table3[[#All],[zScore]],MATCH(Table5[[#This Row],[PID]],Table3[[#All],[PID]],0)))</f>
        <v>-5.0429453363964198E-2</v>
      </c>
      <c r="S377" s="58" t="str">
        <f>IF($C377="B",INDEX(Batters[[#All],[DEM]],MATCH(Table5[[#This Row],[PID]],Batters[[#All],[PID]],0)),INDEX(Table3[[#All],[DEM]],MATCH(Table5[[#This Row],[PID]],Table3[[#All],[PID]],0)))</f>
        <v>-</v>
      </c>
      <c r="T377" s="62">
        <f>IF($C377="B",INDEX(Batters[[#All],[Rnk]],MATCH(Table5[[#This Row],[PID]],Batters[[#All],[PID]],0)),INDEX(Table3[[#All],[Rnk]],MATCH(Table5[[#This Row],[PID]],Table3[[#All],[PID]],0)))</f>
        <v>900</v>
      </c>
      <c r="U377" s="67">
        <f>IF($C377="B",VLOOKUP($A377,Bat!$A$4:$BA$1314,47,FALSE),VLOOKUP($A377,Pit!$A$4:$BF$1214,56,FALSE))</f>
        <v>131</v>
      </c>
      <c r="V377" s="50">
        <f>IF($C377="B",VLOOKUP($A377,Bat!$A$4:$BA$1314,48,FALSE),VLOOKUP($A377,Pit!$A$4:$BF$1214,57,FALSE))</f>
        <v>0</v>
      </c>
      <c r="W377" s="68">
        <f>IF(Table5[[#This Row],[posRnk]]=999,9999,Table5[[#This Row],[posRnk]]+Table5[[#This Row],[zRnk]]+IF($W$3&lt;&gt;Table5[[#This Row],[Type]],50,0))</f>
        <v>1299</v>
      </c>
      <c r="X377" s="51">
        <f>RANK(Table5[[#This Row],[zScore]],Table5[[#All],[zScore]])</f>
        <v>399</v>
      </c>
      <c r="Y377" s="50" t="str">
        <f>IFERROR(INDEX(DraftResults[[#All],[OVR]],MATCH(Table5[[#This Row],[PID]],DraftResults[[#All],[Player ID]],0)),"")</f>
        <v/>
      </c>
      <c r="Z377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/>
      </c>
      <c r="AA377" s="50" t="str">
        <f>IFERROR(INDEX(DraftResults[[#All],[Pick in Round]],MATCH(Table5[[#This Row],[PID]],DraftResults[[#All],[Player ID]],0)),"")</f>
        <v/>
      </c>
      <c r="AB377" s="50" t="str">
        <f>IFERROR(INDEX(DraftResults[[#All],[Team Name]],MATCH(Table5[[#This Row],[PID]],DraftResults[[#All],[Player ID]],0)),"")</f>
        <v/>
      </c>
      <c r="AC377" s="50" t="str">
        <f>IF(Table5[[#This Row],[Ovr]]="","",IF(Table5[[#This Row],[cmbList]]="","",Table5[[#This Row],[cmbList]]-Table5[[#This Row],[Ovr]]))</f>
        <v/>
      </c>
      <c r="AD377" s="54" t="str">
        <f>IF(ISERROR(VLOOKUP($AB377&amp;"-"&amp;$E377&amp;" "&amp;F377,Bonuses!$B$1:$G$1006,4,FALSE)),"",INT(VLOOKUP($AB377&amp;"-"&amp;$E377&amp;" "&amp;$F377,Bonuses!$B$1:$G$1006,4,FALSE)))</f>
        <v/>
      </c>
      <c r="AE377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/>
      </c>
    </row>
    <row r="378" spans="1:31" s="50" customFormat="1" x14ac:dyDescent="0.3">
      <c r="A378" s="50">
        <v>12987</v>
      </c>
      <c r="B378" s="50">
        <f>COUNTIF(Table5[PID],A378)</f>
        <v>1</v>
      </c>
      <c r="C378" s="50" t="str">
        <f>IF(COUNTIF(Table3[[#All],[PID]],A378)&gt;0,"P","B")</f>
        <v>B</v>
      </c>
      <c r="D378" s="59" t="str">
        <f>IF($C378="B",INDEX(Batters[[#All],[POS]],MATCH(Table5[[#This Row],[PID]],Batters[[#All],[PID]],0)),INDEX(Table3[[#All],[POS]],MATCH(Table5[[#This Row],[PID]],Table3[[#All],[PID]],0)))</f>
        <v>2B</v>
      </c>
      <c r="E378" s="52" t="str">
        <f>IF($C378="B",INDEX(Batters[[#All],[First]],MATCH(Table5[[#This Row],[PID]],Batters[[#All],[PID]],0)),INDEX(Table3[[#All],[First]],MATCH(Table5[[#This Row],[PID]],Table3[[#All],[PID]],0)))</f>
        <v>Jesús</v>
      </c>
      <c r="F378" s="50" t="str">
        <f>IF($C378="B",INDEX(Batters[[#All],[Last]],MATCH(A378,Batters[[#All],[PID]],0)),INDEX(Table3[[#All],[Last]],MATCH(A378,Table3[[#All],[PID]],0)))</f>
        <v>Cardona</v>
      </c>
      <c r="G378" s="56">
        <f>IF($C378="B",INDEX(Batters[[#All],[Age]],MATCH(Table5[[#This Row],[PID]],Batters[[#All],[PID]],0)),INDEX(Table3[[#All],[Age]],MATCH(Table5[[#This Row],[PID]],Table3[[#All],[PID]],0)))</f>
        <v>18</v>
      </c>
      <c r="H378" s="52" t="str">
        <f>IF($C378="B",INDEX(Batters[[#All],[B]],MATCH(Table5[[#This Row],[PID]],Batters[[#All],[PID]],0)),INDEX(Table3[[#All],[B]],MATCH(Table5[[#This Row],[PID]],Table3[[#All],[PID]],0)))</f>
        <v>L</v>
      </c>
      <c r="I378" s="52" t="str">
        <f>IF($C378="B",INDEX(Batters[[#All],[T]],MATCH(Table5[[#This Row],[PID]],Batters[[#All],[PID]],0)),INDEX(Table3[[#All],[T]],MATCH(Table5[[#This Row],[PID]],Table3[[#All],[PID]],0)))</f>
        <v>R</v>
      </c>
      <c r="J378" s="52" t="str">
        <f>IF($C378="B",INDEX(Batters[[#All],[WE]],MATCH(Table5[[#This Row],[PID]],Batters[[#All],[PID]],0)),INDEX(Table3[[#All],[WE]],MATCH(Table5[[#This Row],[PID]],Table3[[#All],[PID]],0)))</f>
        <v>Low</v>
      </c>
      <c r="K378" s="52" t="str">
        <f>IF($C378="B",INDEX(Batters[[#All],[INT]],MATCH(Table5[[#This Row],[PID]],Batters[[#All],[PID]],0)),INDEX(Table3[[#All],[INT]],MATCH(Table5[[#This Row],[PID]],Table3[[#All],[PID]],0)))</f>
        <v>High</v>
      </c>
      <c r="L378" s="60">
        <f>IF($C378="B",INDEX(Batters[[#All],[CON P]],MATCH(Table5[[#This Row],[PID]],Batters[[#All],[PID]],0)),INDEX(Table3[[#All],[STU P]],MATCH(Table5[[#This Row],[PID]],Table3[[#All],[PID]],0)))</f>
        <v>3</v>
      </c>
      <c r="M378" s="56">
        <f>IF($C378="B",INDEX(Batters[[#All],[GAP P]],MATCH(Table5[[#This Row],[PID]],Batters[[#All],[PID]],0)),INDEX(Table3[[#All],[MOV P]],MATCH(Table5[[#This Row],[PID]],Table3[[#All],[PID]],0)))</f>
        <v>4</v>
      </c>
      <c r="N378" s="56">
        <f>IF($C378="B",INDEX(Batters[[#All],[POW P]],MATCH(Table5[[#This Row],[PID]],Batters[[#All],[PID]],0)),INDEX(Table3[[#All],[CON P]],MATCH(Table5[[#This Row],[PID]],Table3[[#All],[PID]],0)))</f>
        <v>3</v>
      </c>
      <c r="O378" s="56">
        <f>IF($C378="B",INDEX(Batters[[#All],[EYE P]],MATCH(Table5[[#This Row],[PID]],Batters[[#All],[PID]],0)),INDEX(Table3[[#All],[VELO]],MATCH(Table5[[#This Row],[PID]],Table3[[#All],[PID]],0)))</f>
        <v>6</v>
      </c>
      <c r="P378" s="56">
        <f>IF($C378="B",INDEX(Batters[[#All],[K P]],MATCH(Table5[[#This Row],[PID]],Batters[[#All],[PID]],0)),INDEX(Table3[[#All],[STM]],MATCH(Table5[[#This Row],[PID]],Table3[[#All],[PID]],0)))</f>
        <v>4</v>
      </c>
      <c r="Q378" s="61">
        <f>IF($C378="B",INDEX(Batters[[#All],[Tot]],MATCH(Table5[[#This Row],[PID]],Batters[[#All],[PID]],0)),INDEX(Table3[[#All],[Tot]],MATCH(Table5[[#This Row],[PID]],Table3[[#All],[PID]],0)))</f>
        <v>43.571145950059027</v>
      </c>
      <c r="R378" s="52">
        <f>IF($C378="B",INDEX(Batters[[#All],[zScore]],MATCH(Table5[[#This Row],[PID]],Batters[[#All],[PID]],0)),INDEX(Table3[[#All],[zScore]],MATCH(Table5[[#This Row],[PID]],Table3[[#All],[PID]],0)))</f>
        <v>5.1476440870046727E-2</v>
      </c>
      <c r="S378" s="58" t="str">
        <f>IF($C378="B",INDEX(Batters[[#All],[DEM]],MATCH(Table5[[#This Row],[PID]],Batters[[#All],[PID]],0)),INDEX(Table3[[#All],[DEM]],MATCH(Table5[[#This Row],[PID]],Table3[[#All],[PID]],0)))</f>
        <v>$65k</v>
      </c>
      <c r="T378" s="62">
        <f>IF($C378="B",INDEX(Batters[[#All],[Rnk]],MATCH(Table5[[#This Row],[PID]],Batters[[#All],[PID]],0)),INDEX(Table3[[#All],[Rnk]],MATCH(Table5[[#This Row],[PID]],Table3[[#All],[PID]],0)))</f>
        <v>930</v>
      </c>
      <c r="U378" s="67">
        <f>IF($C378="B",VLOOKUP($A378,Bat!$A$4:$BA$1314,47,FALSE),VLOOKUP($A378,Pit!$A$4:$BF$1214,56,FALSE))</f>
        <v>323</v>
      </c>
      <c r="V378" s="50">
        <f>IF($C378="B",VLOOKUP($A378,Bat!$A$4:$BA$1314,48,FALSE),VLOOKUP($A378,Pit!$A$4:$BF$1214,57,FALSE))</f>
        <v>0</v>
      </c>
      <c r="W378" s="68">
        <f>IF(Table5[[#This Row],[posRnk]]=999,9999,Table5[[#This Row],[posRnk]]+Table5[[#This Row],[zRnk]]+IF($W$3&lt;&gt;Table5[[#This Row],[Type]],50,0))</f>
        <v>1349</v>
      </c>
      <c r="X378" s="51">
        <f>RANK(Table5[[#This Row],[zScore]],Table5[[#All],[zScore]])</f>
        <v>369</v>
      </c>
      <c r="Y378" s="50" t="str">
        <f>IFERROR(INDEX(DraftResults[[#All],[OVR]],MATCH(Table5[[#This Row],[PID]],DraftResults[[#All],[Player ID]],0)),"")</f>
        <v/>
      </c>
      <c r="Z378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/>
      </c>
      <c r="AA378" s="50" t="str">
        <f>IFERROR(INDEX(DraftResults[[#All],[Pick in Round]],MATCH(Table5[[#This Row],[PID]],DraftResults[[#All],[Player ID]],0)),"")</f>
        <v/>
      </c>
      <c r="AB378" s="50" t="str">
        <f>IFERROR(INDEX(DraftResults[[#All],[Team Name]],MATCH(Table5[[#This Row],[PID]],DraftResults[[#All],[Player ID]],0)),"")</f>
        <v/>
      </c>
      <c r="AC378" s="50" t="str">
        <f>IF(Table5[[#This Row],[Ovr]]="","",IF(Table5[[#This Row],[cmbList]]="","",Table5[[#This Row],[cmbList]]-Table5[[#This Row],[Ovr]]))</f>
        <v/>
      </c>
      <c r="AD378" s="54" t="str">
        <f>IF(ISERROR(VLOOKUP($AB378&amp;"-"&amp;$E378&amp;" "&amp;F378,Bonuses!$B$1:$G$1006,4,FALSE)),"",INT(VLOOKUP($AB378&amp;"-"&amp;$E378&amp;" "&amp;$F378,Bonuses!$B$1:$G$1006,4,FALSE)))</f>
        <v/>
      </c>
      <c r="AE378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/>
      </c>
    </row>
    <row r="379" spans="1:31" s="50" customFormat="1" x14ac:dyDescent="0.3">
      <c r="A379" s="50">
        <v>6785</v>
      </c>
      <c r="B379" s="50">
        <f>COUNTIF(Table5[PID],A379)</f>
        <v>1</v>
      </c>
      <c r="C379" s="50" t="str">
        <f>IF(COUNTIF(Table3[[#All],[PID]],A379)&gt;0,"P","B")</f>
        <v>P</v>
      </c>
      <c r="D379" s="59" t="str">
        <f>IF($C379="B",INDEX(Batters[[#All],[POS]],MATCH(Table5[[#This Row],[PID]],Batters[[#All],[PID]],0)),INDEX(Table3[[#All],[POS]],MATCH(Table5[[#This Row],[PID]],Table3[[#All],[PID]],0)))</f>
        <v>RP</v>
      </c>
      <c r="E379" s="52" t="str">
        <f>IF($C379="B",INDEX(Batters[[#All],[First]],MATCH(Table5[[#This Row],[PID]],Batters[[#All],[PID]],0)),INDEX(Table3[[#All],[First]],MATCH(Table5[[#This Row],[PID]],Table3[[#All],[PID]],0)))</f>
        <v>Stu</v>
      </c>
      <c r="F379" s="50" t="str">
        <f>IF($C379="B",INDEX(Batters[[#All],[Last]],MATCH(A379,Batters[[#All],[PID]],0)),INDEX(Table3[[#All],[Last]],MATCH(A379,Table3[[#All],[PID]],0)))</f>
        <v>Thompson</v>
      </c>
      <c r="G379" s="56">
        <f>IF($C379="B",INDEX(Batters[[#All],[Age]],MATCH(Table5[[#This Row],[PID]],Batters[[#All],[PID]],0)),INDEX(Table3[[#All],[Age]],MATCH(Table5[[#This Row],[PID]],Table3[[#All],[PID]],0)))</f>
        <v>21</v>
      </c>
      <c r="H379" s="52" t="str">
        <f>IF($C379="B",INDEX(Batters[[#All],[B]],MATCH(Table5[[#This Row],[PID]],Batters[[#All],[PID]],0)),INDEX(Table3[[#All],[B]],MATCH(Table5[[#This Row],[PID]],Table3[[#All],[PID]],0)))</f>
        <v>R</v>
      </c>
      <c r="I379" s="52" t="str">
        <f>IF($C379="B",INDEX(Batters[[#All],[T]],MATCH(Table5[[#This Row],[PID]],Batters[[#All],[PID]],0)),INDEX(Table3[[#All],[T]],MATCH(Table5[[#This Row],[PID]],Table3[[#All],[PID]],0)))</f>
        <v>R</v>
      </c>
      <c r="J379" s="52" t="str">
        <f>IF($C379="B",INDEX(Batters[[#All],[WE]],MATCH(Table5[[#This Row],[PID]],Batters[[#All],[PID]],0)),INDEX(Table3[[#All],[WE]],MATCH(Table5[[#This Row],[PID]],Table3[[#All],[PID]],0)))</f>
        <v>Normal</v>
      </c>
      <c r="K379" s="52" t="str">
        <f>IF($C379="B",INDEX(Batters[[#All],[INT]],MATCH(Table5[[#This Row],[PID]],Batters[[#All],[PID]],0)),INDEX(Table3[[#All],[INT]],MATCH(Table5[[#This Row],[PID]],Table3[[#All],[PID]],0)))</f>
        <v>Normal</v>
      </c>
      <c r="L379" s="60">
        <f>IF($C379="B",INDEX(Batters[[#All],[CON P]],MATCH(Table5[[#This Row],[PID]],Batters[[#All],[PID]],0)),INDEX(Table3[[#All],[STU P]],MATCH(Table5[[#This Row],[PID]],Table3[[#All],[PID]],0)))</f>
        <v>4</v>
      </c>
      <c r="M379" s="56">
        <f>IF($C379="B",INDEX(Batters[[#All],[GAP P]],MATCH(Table5[[#This Row],[PID]],Batters[[#All],[PID]],0)),INDEX(Table3[[#All],[MOV P]],MATCH(Table5[[#This Row],[PID]],Table3[[#All],[PID]],0)))</f>
        <v>3</v>
      </c>
      <c r="N379" s="56">
        <f>IF($C379="B",INDEX(Batters[[#All],[POW P]],MATCH(Table5[[#This Row],[PID]],Batters[[#All],[PID]],0)),INDEX(Table3[[#All],[CON P]],MATCH(Table5[[#This Row],[PID]],Table3[[#All],[PID]],0)))</f>
        <v>4</v>
      </c>
      <c r="O379" s="56" t="str">
        <f>IF($C379="B",INDEX(Batters[[#All],[EYE P]],MATCH(Table5[[#This Row],[PID]],Batters[[#All],[PID]],0)),INDEX(Table3[[#All],[VELO]],MATCH(Table5[[#This Row],[PID]],Table3[[#All],[PID]],0)))</f>
        <v>89-91 Mph</v>
      </c>
      <c r="P379" s="56">
        <f>IF($C379="B",INDEX(Batters[[#All],[K P]],MATCH(Table5[[#This Row],[PID]],Batters[[#All],[PID]],0)),INDEX(Table3[[#All],[STM]],MATCH(Table5[[#This Row],[PID]],Table3[[#All],[PID]],0)))</f>
        <v>9</v>
      </c>
      <c r="Q379" s="61">
        <f>IF($C379="B",INDEX(Batters[[#All],[Tot]],MATCH(Table5[[#This Row],[PID]],Batters[[#All],[PID]],0)),INDEX(Table3[[#All],[Tot]],MATCH(Table5[[#This Row],[PID]],Table3[[#All],[PID]],0)))</f>
        <v>37.043470563479879</v>
      </c>
      <c r="R379" s="52">
        <f>IF($C379="B",INDEX(Batters[[#All],[zScore]],MATCH(Table5[[#This Row],[PID]],Batters[[#All],[PID]],0)),INDEX(Table3[[#All],[zScore]],MATCH(Table5[[#This Row],[PID]],Table3[[#All],[PID]],0)))</f>
        <v>-5.4054115046855242E-2</v>
      </c>
      <c r="S379" s="58" t="str">
        <f>IF($C379="B",INDEX(Batters[[#All],[DEM]],MATCH(Table5[[#This Row],[PID]],Batters[[#All],[PID]],0)),INDEX(Table3[[#All],[DEM]],MATCH(Table5[[#This Row],[PID]],Table3[[#All],[PID]],0)))</f>
        <v>-</v>
      </c>
      <c r="T379" s="62">
        <f>IF($C379="B",INDEX(Batters[[#All],[Rnk]],MATCH(Table5[[#This Row],[PID]],Batters[[#All],[PID]],0)),INDEX(Table3[[#All],[Rnk]],MATCH(Table5[[#This Row],[PID]],Table3[[#All],[PID]],0)))</f>
        <v>900</v>
      </c>
      <c r="U379" s="67">
        <f>IF($C379="B",VLOOKUP($A379,Bat!$A$4:$BA$1314,47,FALSE),VLOOKUP($A379,Pit!$A$4:$BF$1214,56,FALSE))</f>
        <v>132</v>
      </c>
      <c r="V379" s="50">
        <f>IF($C379="B",VLOOKUP($A379,Bat!$A$4:$BA$1314,48,FALSE),VLOOKUP($A379,Pit!$A$4:$BF$1214,57,FALSE))</f>
        <v>0</v>
      </c>
      <c r="W379" s="68">
        <f>IF(Table5[[#This Row],[posRnk]]=999,9999,Table5[[#This Row],[posRnk]]+Table5[[#This Row],[zRnk]]+IF($W$3&lt;&gt;Table5[[#This Row],[Type]],50,0))</f>
        <v>1301</v>
      </c>
      <c r="X379" s="51">
        <f>RANK(Table5[[#This Row],[zScore]],Table5[[#All],[zScore]])</f>
        <v>401</v>
      </c>
      <c r="Y379" s="50">
        <f>IFERROR(INDEX(DraftResults[[#All],[OVR]],MATCH(Table5[[#This Row],[PID]],DraftResults[[#All],[Player ID]],0)),"")</f>
        <v>573</v>
      </c>
      <c r="Z379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18</v>
      </c>
      <c r="AA379" s="50">
        <f>IFERROR(INDEX(DraftResults[[#All],[Pick in Round]],MATCH(Table5[[#This Row],[PID]],DraftResults[[#All],[Player ID]],0)),"")</f>
        <v>4</v>
      </c>
      <c r="AB379" s="50" t="str">
        <f>IFERROR(INDEX(DraftResults[[#All],[Team Name]],MATCH(Table5[[#This Row],[PID]],DraftResults[[#All],[Player ID]],0)),"")</f>
        <v>Palm Springs Codgers</v>
      </c>
      <c r="AC379" s="50">
        <f>IF(Table5[[#This Row],[Ovr]]="","",IF(Table5[[#This Row],[cmbList]]="","",Table5[[#This Row],[cmbList]]-Table5[[#This Row],[Ovr]]))</f>
        <v>728</v>
      </c>
      <c r="AD379" s="54" t="str">
        <f>IF(ISERROR(VLOOKUP($AB379&amp;"-"&amp;$E379&amp;" "&amp;F379,Bonuses!$B$1:$G$1006,4,FALSE)),"",INT(VLOOKUP($AB379&amp;"-"&amp;$E379&amp;" "&amp;$F379,Bonuses!$B$1:$G$1006,4,FALSE)))</f>
        <v/>
      </c>
      <c r="AE379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18.4 (573) - RP Stu Thompson</v>
      </c>
    </row>
    <row r="380" spans="1:31" s="50" customFormat="1" x14ac:dyDescent="0.3">
      <c r="A380" s="50">
        <v>12677</v>
      </c>
      <c r="B380" s="50">
        <f>COUNTIF(Table5[PID],A380)</f>
        <v>1</v>
      </c>
      <c r="C380" s="50" t="str">
        <f>IF(COUNTIF(Table3[[#All],[PID]],A380)&gt;0,"P","B")</f>
        <v>B</v>
      </c>
      <c r="D380" s="59" t="str">
        <f>IF($C380="B",INDEX(Batters[[#All],[POS]],MATCH(Table5[[#This Row],[PID]],Batters[[#All],[PID]],0)),INDEX(Table3[[#All],[POS]],MATCH(Table5[[#This Row],[PID]],Table3[[#All],[PID]],0)))</f>
        <v>3B</v>
      </c>
      <c r="E380" s="52" t="str">
        <f>IF($C380="B",INDEX(Batters[[#All],[First]],MATCH(Table5[[#This Row],[PID]],Batters[[#All],[PID]],0)),INDEX(Table3[[#All],[First]],MATCH(Table5[[#This Row],[PID]],Table3[[#All],[PID]],0)))</f>
        <v>Richard</v>
      </c>
      <c r="F380" s="50" t="str">
        <f>IF($C380="B",INDEX(Batters[[#All],[Last]],MATCH(A380,Batters[[#All],[PID]],0)),INDEX(Table3[[#All],[Last]],MATCH(A380,Table3[[#All],[PID]],0)))</f>
        <v>Boggs</v>
      </c>
      <c r="G380" s="56">
        <f>IF($C380="B",INDEX(Batters[[#All],[Age]],MATCH(Table5[[#This Row],[PID]],Batters[[#All],[PID]],0)),INDEX(Table3[[#All],[Age]],MATCH(Table5[[#This Row],[PID]],Table3[[#All],[PID]],0)))</f>
        <v>18</v>
      </c>
      <c r="H380" s="52" t="str">
        <f>IF($C380="B",INDEX(Batters[[#All],[B]],MATCH(Table5[[#This Row],[PID]],Batters[[#All],[PID]],0)),INDEX(Table3[[#All],[B]],MATCH(Table5[[#This Row],[PID]],Table3[[#All],[PID]],0)))</f>
        <v>R</v>
      </c>
      <c r="I380" s="52" t="str">
        <f>IF($C380="B",INDEX(Batters[[#All],[T]],MATCH(Table5[[#This Row],[PID]],Batters[[#All],[PID]],0)),INDEX(Table3[[#All],[T]],MATCH(Table5[[#This Row],[PID]],Table3[[#All],[PID]],0)))</f>
        <v>R</v>
      </c>
      <c r="J380" s="52" t="str">
        <f>IF($C380="B",INDEX(Batters[[#All],[WE]],MATCH(Table5[[#This Row],[PID]],Batters[[#All],[PID]],0)),INDEX(Table3[[#All],[WE]],MATCH(Table5[[#This Row],[PID]],Table3[[#All],[PID]],0)))</f>
        <v>Normal</v>
      </c>
      <c r="K380" s="52" t="str">
        <f>IF($C380="B",INDEX(Batters[[#All],[INT]],MATCH(Table5[[#This Row],[PID]],Batters[[#All],[PID]],0)),INDEX(Table3[[#All],[INT]],MATCH(Table5[[#This Row],[PID]],Table3[[#All],[PID]],0)))</f>
        <v>Normal</v>
      </c>
      <c r="L380" s="60">
        <f>IF($C380="B",INDEX(Batters[[#All],[CON P]],MATCH(Table5[[#This Row],[PID]],Batters[[#All],[PID]],0)),INDEX(Table3[[#All],[STU P]],MATCH(Table5[[#This Row],[PID]],Table3[[#All],[PID]],0)))</f>
        <v>3</v>
      </c>
      <c r="M380" s="56">
        <f>IF($C380="B",INDEX(Batters[[#All],[GAP P]],MATCH(Table5[[#This Row],[PID]],Batters[[#All],[PID]],0)),INDEX(Table3[[#All],[MOV P]],MATCH(Table5[[#This Row],[PID]],Table3[[#All],[PID]],0)))</f>
        <v>5</v>
      </c>
      <c r="N380" s="56">
        <f>IF($C380="B",INDEX(Batters[[#All],[POW P]],MATCH(Table5[[#This Row],[PID]],Batters[[#All],[PID]],0)),INDEX(Table3[[#All],[CON P]],MATCH(Table5[[#This Row],[PID]],Table3[[#All],[PID]],0)))</f>
        <v>2</v>
      </c>
      <c r="O380" s="56">
        <f>IF($C380="B",INDEX(Batters[[#All],[EYE P]],MATCH(Table5[[#This Row],[PID]],Batters[[#All],[PID]],0)),INDEX(Table3[[#All],[VELO]],MATCH(Table5[[#This Row],[PID]],Table3[[#All],[PID]],0)))</f>
        <v>6</v>
      </c>
      <c r="P380" s="56">
        <f>IF($C380="B",INDEX(Batters[[#All],[K P]],MATCH(Table5[[#This Row],[PID]],Batters[[#All],[PID]],0)),INDEX(Table3[[#All],[STM]],MATCH(Table5[[#This Row],[PID]],Table3[[#All],[PID]],0)))</f>
        <v>4</v>
      </c>
      <c r="Q380" s="61">
        <f>IF($C380="B",INDEX(Batters[[#All],[Tot]],MATCH(Table5[[#This Row],[PID]],Batters[[#All],[PID]],0)),INDEX(Table3[[#All],[Tot]],MATCH(Table5[[#This Row],[PID]],Table3[[#All],[PID]],0)))</f>
        <v>42.837126577196649</v>
      </c>
      <c r="R380" s="52">
        <f>IF($C380="B",INDEX(Batters[[#All],[zScore]],MATCH(Table5[[#This Row],[PID]],Batters[[#All],[PID]],0)),INDEX(Table3[[#All],[zScore]],MATCH(Table5[[#This Row],[PID]],Table3[[#All],[PID]],0)))</f>
        <v>-5.566697943106249E-2</v>
      </c>
      <c r="S380" s="58" t="str">
        <f>IF($C380="B",INDEX(Batters[[#All],[DEM]],MATCH(Table5[[#This Row],[PID]],Batters[[#All],[PID]],0)),INDEX(Table3[[#All],[DEM]],MATCH(Table5[[#This Row],[PID]],Table3[[#All],[PID]],0)))</f>
        <v>$65k</v>
      </c>
      <c r="T380" s="62">
        <f>IF($C380="B",INDEX(Batters[[#All],[Rnk]],MATCH(Table5[[#This Row],[PID]],Batters[[#All],[PID]],0)),INDEX(Table3[[#All],[Rnk]],MATCH(Table5[[#This Row],[PID]],Table3[[#All],[PID]],0)))</f>
        <v>900</v>
      </c>
      <c r="U380" s="67">
        <f>IF($C380="B",VLOOKUP($A380,Bat!$A$4:$BA$1314,47,FALSE),VLOOKUP($A380,Pit!$A$4:$BF$1214,56,FALSE))</f>
        <v>178</v>
      </c>
      <c r="V380" s="50">
        <f>IF($C380="B",VLOOKUP($A380,Bat!$A$4:$BA$1314,48,FALSE),VLOOKUP($A380,Pit!$A$4:$BF$1214,57,FALSE))</f>
        <v>0</v>
      </c>
      <c r="W380" s="68">
        <f>IF(Table5[[#This Row],[posRnk]]=999,9999,Table5[[#This Row],[posRnk]]+Table5[[#This Row],[zRnk]]+IF($W$3&lt;&gt;Table5[[#This Row],[Type]],50,0))</f>
        <v>1352</v>
      </c>
      <c r="X380" s="51">
        <f>RANK(Table5[[#This Row],[zScore]],Table5[[#All],[zScore]])</f>
        <v>402</v>
      </c>
      <c r="Y380" s="50">
        <f>IFERROR(INDEX(DraftResults[[#All],[OVR]],MATCH(Table5[[#This Row],[PID]],DraftResults[[#All],[Player ID]],0)),"")</f>
        <v>395</v>
      </c>
      <c r="Z380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12</v>
      </c>
      <c r="AA380" s="50">
        <f>IFERROR(INDEX(DraftResults[[#All],[Pick in Round]],MATCH(Table5[[#This Row],[PID]],DraftResults[[#All],[Player ID]],0)),"")</f>
        <v>30</v>
      </c>
      <c r="AB380" s="50" t="str">
        <f>IFERROR(INDEX(DraftResults[[#All],[Team Name]],MATCH(Table5[[#This Row],[PID]],DraftResults[[#All],[Player ID]],0)),"")</f>
        <v>Toyama Wind Dancers</v>
      </c>
      <c r="AC380" s="50">
        <f>IF(Table5[[#This Row],[Ovr]]="","",IF(Table5[[#This Row],[cmbList]]="","",Table5[[#This Row],[cmbList]]-Table5[[#This Row],[Ovr]]))</f>
        <v>957</v>
      </c>
      <c r="AD380" s="54" t="str">
        <f>IF(ISERROR(VLOOKUP($AB380&amp;"-"&amp;$E380&amp;" "&amp;F380,Bonuses!$B$1:$G$1006,4,FALSE)),"",INT(VLOOKUP($AB380&amp;"-"&amp;$E380&amp;" "&amp;$F380,Bonuses!$B$1:$G$1006,4,FALSE)))</f>
        <v/>
      </c>
      <c r="AE380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12.30 (395) - 3B Richard Boggs</v>
      </c>
    </row>
    <row r="381" spans="1:31" s="50" customFormat="1" x14ac:dyDescent="0.3">
      <c r="A381" s="50">
        <v>15897</v>
      </c>
      <c r="B381" s="50">
        <f>COUNTIF(Table5[PID],A381)</f>
        <v>1</v>
      </c>
      <c r="C381" s="50" t="str">
        <f>IF(COUNTIF(Table3[[#All],[PID]],A381)&gt;0,"P","B")</f>
        <v>P</v>
      </c>
      <c r="D381" s="59" t="str">
        <f>IF($C381="B",INDEX(Batters[[#All],[POS]],MATCH(Table5[[#This Row],[PID]],Batters[[#All],[PID]],0)),INDEX(Table3[[#All],[POS]],MATCH(Table5[[#This Row],[PID]],Table3[[#All],[PID]],0)))</f>
        <v>SP</v>
      </c>
      <c r="E381" s="52" t="str">
        <f>IF($C381="B",INDEX(Batters[[#All],[First]],MATCH(Table5[[#This Row],[PID]],Batters[[#All],[PID]],0)),INDEX(Table3[[#All],[First]],MATCH(Table5[[#This Row],[PID]],Table3[[#All],[PID]],0)))</f>
        <v>Kazuyoshi</v>
      </c>
      <c r="F381" s="50" t="str">
        <f>IF($C381="B",INDEX(Batters[[#All],[Last]],MATCH(A381,Batters[[#All],[PID]],0)),INDEX(Table3[[#All],[Last]],MATCH(A381,Table3[[#All],[PID]],0)))</f>
        <v>Watanabe</v>
      </c>
      <c r="G381" s="56">
        <f>IF($C381="B",INDEX(Batters[[#All],[Age]],MATCH(Table5[[#This Row],[PID]],Batters[[#All],[PID]],0)),INDEX(Table3[[#All],[Age]],MATCH(Table5[[#This Row],[PID]],Table3[[#All],[PID]],0)))</f>
        <v>21</v>
      </c>
      <c r="H381" s="52" t="str">
        <f>IF($C381="B",INDEX(Batters[[#All],[B]],MATCH(Table5[[#This Row],[PID]],Batters[[#All],[PID]],0)),INDEX(Table3[[#All],[B]],MATCH(Table5[[#This Row],[PID]],Table3[[#All],[PID]],0)))</f>
        <v>R</v>
      </c>
      <c r="I381" s="52" t="str">
        <f>IF($C381="B",INDEX(Batters[[#All],[T]],MATCH(Table5[[#This Row],[PID]],Batters[[#All],[PID]],0)),INDEX(Table3[[#All],[T]],MATCH(Table5[[#This Row],[PID]],Table3[[#All],[PID]],0)))</f>
        <v>R</v>
      </c>
      <c r="J381" s="52" t="str">
        <f>IF($C381="B",INDEX(Batters[[#All],[WE]],MATCH(Table5[[#This Row],[PID]],Batters[[#All],[PID]],0)),INDEX(Table3[[#All],[WE]],MATCH(Table5[[#This Row],[PID]],Table3[[#All],[PID]],0)))</f>
        <v>Low</v>
      </c>
      <c r="K381" s="52" t="str">
        <f>IF($C381="B",INDEX(Batters[[#All],[INT]],MATCH(Table5[[#This Row],[PID]],Batters[[#All],[PID]],0)),INDEX(Table3[[#All],[INT]],MATCH(Table5[[#This Row],[PID]],Table3[[#All],[PID]],0)))</f>
        <v>Low</v>
      </c>
      <c r="L381" s="60">
        <f>IF($C381="B",INDEX(Batters[[#All],[CON P]],MATCH(Table5[[#This Row],[PID]],Batters[[#All],[PID]],0)),INDEX(Table3[[#All],[STU P]],MATCH(Table5[[#This Row],[PID]],Table3[[#All],[PID]],0)))</f>
        <v>4</v>
      </c>
      <c r="M381" s="56">
        <f>IF($C381="B",INDEX(Batters[[#All],[GAP P]],MATCH(Table5[[#This Row],[PID]],Batters[[#All],[PID]],0)),INDEX(Table3[[#All],[MOV P]],MATCH(Table5[[#This Row],[PID]],Table3[[#All],[PID]],0)))</f>
        <v>3</v>
      </c>
      <c r="N381" s="56">
        <f>IF($C381="B",INDEX(Batters[[#All],[POW P]],MATCH(Table5[[#This Row],[PID]],Batters[[#All],[PID]],0)),INDEX(Table3[[#All],[CON P]],MATCH(Table5[[#This Row],[PID]],Table3[[#All],[PID]],0)))</f>
        <v>4</v>
      </c>
      <c r="O381" s="56" t="str">
        <f>IF($C381="B",INDEX(Batters[[#All],[EYE P]],MATCH(Table5[[#This Row],[PID]],Batters[[#All],[PID]],0)),INDEX(Table3[[#All],[VELO]],MATCH(Table5[[#This Row],[PID]],Table3[[#All],[PID]],0)))</f>
        <v>90-92 Mph</v>
      </c>
      <c r="P381" s="56">
        <f>IF($C381="B",INDEX(Batters[[#All],[K P]],MATCH(Table5[[#This Row],[PID]],Batters[[#All],[PID]],0)),INDEX(Table3[[#All],[STM]],MATCH(Table5[[#This Row],[PID]],Table3[[#All],[PID]],0)))</f>
        <v>7</v>
      </c>
      <c r="Q381" s="61">
        <f>IF($C381="B",INDEX(Batters[[#All],[Tot]],MATCH(Table5[[#This Row],[PID]],Batters[[#All],[PID]],0)),INDEX(Table3[[#All],[Tot]],MATCH(Table5[[#This Row],[PID]],Table3[[#All],[PID]],0)))</f>
        <v>39.202848333404688</v>
      </c>
      <c r="R381" s="52">
        <f>IF($C381="B",INDEX(Batters[[#All],[zScore]],MATCH(Table5[[#This Row],[PID]],Batters[[#All],[PID]],0)),INDEX(Table3[[#All],[zScore]],MATCH(Table5[[#This Row],[PID]],Table3[[#All],[PID]],0)))</f>
        <v>9.9708768801353223E-2</v>
      </c>
      <c r="S381" s="58" t="str">
        <f>IF($C381="B",INDEX(Batters[[#All],[DEM]],MATCH(Table5[[#This Row],[PID]],Batters[[#All],[PID]],0)),INDEX(Table3[[#All],[DEM]],MATCH(Table5[[#This Row],[PID]],Table3[[#All],[PID]],0)))</f>
        <v>-</v>
      </c>
      <c r="T381" s="62">
        <f>IF($C381="B",INDEX(Batters[[#All],[Rnk]],MATCH(Table5[[#This Row],[PID]],Batters[[#All],[PID]],0)),INDEX(Table3[[#All],[Rnk]],MATCH(Table5[[#This Row],[PID]],Table3[[#All],[PID]],0)))</f>
        <v>950</v>
      </c>
      <c r="U381" s="67">
        <f>IF($C381="B",VLOOKUP($A381,Bat!$A$4:$BA$1314,47,FALSE),VLOOKUP($A381,Pit!$A$4:$BF$1214,56,FALSE))</f>
        <v>411</v>
      </c>
      <c r="V381" s="50">
        <f>IF($C381="B",VLOOKUP($A381,Bat!$A$4:$BA$1314,48,FALSE),VLOOKUP($A381,Pit!$A$4:$BF$1214,57,FALSE))</f>
        <v>0</v>
      </c>
      <c r="W381" s="68">
        <f>IF(Table5[[#This Row],[posRnk]]=999,9999,Table5[[#This Row],[posRnk]]+Table5[[#This Row],[zRnk]]+IF($W$3&lt;&gt;Table5[[#This Row],[Type]],50,0))</f>
        <v>1302</v>
      </c>
      <c r="X381" s="51">
        <f>RANK(Table5[[#This Row],[zScore]],Table5[[#All],[zScore]])</f>
        <v>352</v>
      </c>
      <c r="Y381" s="50">
        <f>IFERROR(INDEX(DraftResults[[#All],[OVR]],MATCH(Table5[[#This Row],[PID]],DraftResults[[#All],[Player ID]],0)),"")</f>
        <v>311</v>
      </c>
      <c r="Z381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10</v>
      </c>
      <c r="AA381" s="50">
        <f>IFERROR(INDEX(DraftResults[[#All],[Pick in Round]],MATCH(Table5[[#This Row],[PID]],DraftResults[[#All],[Player ID]],0)),"")</f>
        <v>14</v>
      </c>
      <c r="AB381" s="50" t="str">
        <f>IFERROR(INDEX(DraftResults[[#All],[Team Name]],MATCH(Table5[[#This Row],[PID]],DraftResults[[#All],[Player ID]],0)),"")</f>
        <v>San Antonio Calzones of Laredo</v>
      </c>
      <c r="AC381" s="50">
        <f>IF(Table5[[#This Row],[Ovr]]="","",IF(Table5[[#This Row],[cmbList]]="","",Table5[[#This Row],[cmbList]]-Table5[[#This Row],[Ovr]]))</f>
        <v>991</v>
      </c>
      <c r="AD381" s="54" t="str">
        <f>IF(ISERROR(VLOOKUP($AB381&amp;"-"&amp;$E381&amp;" "&amp;F381,Bonuses!$B$1:$G$1006,4,FALSE)),"",INT(VLOOKUP($AB381&amp;"-"&amp;$E381&amp;" "&amp;$F381,Bonuses!$B$1:$G$1006,4,FALSE)))</f>
        <v/>
      </c>
      <c r="AE381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10.14 (311) - SP Kazuyoshi Watanabe</v>
      </c>
    </row>
    <row r="382" spans="1:31" s="50" customFormat="1" x14ac:dyDescent="0.3">
      <c r="A382" s="50">
        <v>15319</v>
      </c>
      <c r="B382" s="50">
        <f>COUNTIF(Table5[PID],A382)</f>
        <v>1</v>
      </c>
      <c r="C382" s="50" t="str">
        <f>IF(COUNTIF(Table3[[#All],[PID]],A382)&gt;0,"P","B")</f>
        <v>P</v>
      </c>
      <c r="D382" s="59" t="str">
        <f>IF($C382="B",INDEX(Batters[[#All],[POS]],MATCH(Table5[[#This Row],[PID]],Batters[[#All],[PID]],0)),INDEX(Table3[[#All],[POS]],MATCH(Table5[[#This Row],[PID]],Table3[[#All],[PID]],0)))</f>
        <v>RP</v>
      </c>
      <c r="E382" s="52" t="str">
        <f>IF($C382="B",INDEX(Batters[[#All],[First]],MATCH(Table5[[#This Row],[PID]],Batters[[#All],[PID]],0)),INDEX(Table3[[#All],[First]],MATCH(Table5[[#This Row],[PID]],Table3[[#All],[PID]],0)))</f>
        <v>Greg</v>
      </c>
      <c r="F382" s="50" t="str">
        <f>IF($C382="B",INDEX(Batters[[#All],[Last]],MATCH(A382,Batters[[#All],[PID]],0)),INDEX(Table3[[#All],[Last]],MATCH(A382,Table3[[#All],[PID]],0)))</f>
        <v>Lewis</v>
      </c>
      <c r="G382" s="56">
        <f>IF($C382="B",INDEX(Batters[[#All],[Age]],MATCH(Table5[[#This Row],[PID]],Batters[[#All],[PID]],0)),INDEX(Table3[[#All],[Age]],MATCH(Table5[[#This Row],[PID]],Table3[[#All],[PID]],0)))</f>
        <v>21</v>
      </c>
      <c r="H382" s="52" t="str">
        <f>IF($C382="B",INDEX(Batters[[#All],[B]],MATCH(Table5[[#This Row],[PID]],Batters[[#All],[PID]],0)),INDEX(Table3[[#All],[B]],MATCH(Table5[[#This Row],[PID]],Table3[[#All],[PID]],0)))</f>
        <v>R</v>
      </c>
      <c r="I382" s="52" t="str">
        <f>IF($C382="B",INDEX(Batters[[#All],[T]],MATCH(Table5[[#This Row],[PID]],Batters[[#All],[PID]],0)),INDEX(Table3[[#All],[T]],MATCH(Table5[[#This Row],[PID]],Table3[[#All],[PID]],0)))</f>
        <v>R</v>
      </c>
      <c r="J382" s="52" t="str">
        <f>IF($C382="B",INDEX(Batters[[#All],[WE]],MATCH(Table5[[#This Row],[PID]],Batters[[#All],[PID]],0)),INDEX(Table3[[#All],[WE]],MATCH(Table5[[#This Row],[PID]],Table3[[#All],[PID]],0)))</f>
        <v>Normal</v>
      </c>
      <c r="K382" s="52" t="str">
        <f>IF($C382="B",INDEX(Batters[[#All],[INT]],MATCH(Table5[[#This Row],[PID]],Batters[[#All],[PID]],0)),INDEX(Table3[[#All],[INT]],MATCH(Table5[[#This Row],[PID]],Table3[[#All],[PID]],0)))</f>
        <v>High</v>
      </c>
      <c r="L382" s="60">
        <f>IF($C382="B",INDEX(Batters[[#All],[CON P]],MATCH(Table5[[#This Row],[PID]],Batters[[#All],[PID]],0)),INDEX(Table3[[#All],[STU P]],MATCH(Table5[[#This Row],[PID]],Table3[[#All],[PID]],0)))</f>
        <v>5</v>
      </c>
      <c r="M382" s="56">
        <f>IF($C382="B",INDEX(Batters[[#All],[GAP P]],MATCH(Table5[[#This Row],[PID]],Batters[[#All],[PID]],0)),INDEX(Table3[[#All],[MOV P]],MATCH(Table5[[#This Row],[PID]],Table3[[#All],[PID]],0)))</f>
        <v>2</v>
      </c>
      <c r="N382" s="56">
        <f>IF($C382="B",INDEX(Batters[[#All],[POW P]],MATCH(Table5[[#This Row],[PID]],Batters[[#All],[PID]],0)),INDEX(Table3[[#All],[CON P]],MATCH(Table5[[#This Row],[PID]],Table3[[#All],[PID]],0)))</f>
        <v>4</v>
      </c>
      <c r="O382" s="56" t="str">
        <f>IF($C382="B",INDEX(Batters[[#All],[EYE P]],MATCH(Table5[[#This Row],[PID]],Batters[[#All],[PID]],0)),INDEX(Table3[[#All],[VELO]],MATCH(Table5[[#This Row],[PID]],Table3[[#All],[PID]],0)))</f>
        <v>92-94 Mph</v>
      </c>
      <c r="P382" s="56">
        <f>IF($C382="B",INDEX(Batters[[#All],[K P]],MATCH(Table5[[#This Row],[PID]],Batters[[#All],[PID]],0)),INDEX(Table3[[#All],[STM]],MATCH(Table5[[#This Row],[PID]],Table3[[#All],[PID]],0)))</f>
        <v>3</v>
      </c>
      <c r="Q382" s="61">
        <f>IF($C382="B",INDEX(Batters[[#All],[Tot]],MATCH(Table5[[#This Row],[PID]],Batters[[#All],[PID]],0)),INDEX(Table3[[#All],[Tot]],MATCH(Table5[[#This Row],[PID]],Table3[[#All],[PID]],0)))</f>
        <v>37.014588914344159</v>
      </c>
      <c r="R382" s="52">
        <f>IF($C382="B",INDEX(Batters[[#All],[zScore]],MATCH(Table5[[#This Row],[PID]],Batters[[#All],[PID]],0)),INDEX(Table3[[#All],[zScore]],MATCH(Table5[[#This Row],[PID]],Table3[[#All],[PID]],0)))</f>
        <v>-5.6110691586288168E-2</v>
      </c>
      <c r="S382" s="58" t="str">
        <f>IF($C382="B",INDEX(Batters[[#All],[DEM]],MATCH(Table5[[#This Row],[PID]],Batters[[#All],[PID]],0)),INDEX(Table3[[#All],[DEM]],MATCH(Table5[[#This Row],[PID]],Table3[[#All],[PID]],0)))</f>
        <v>-</v>
      </c>
      <c r="T382" s="62">
        <f>IF($C382="B",INDEX(Batters[[#All],[Rnk]],MATCH(Table5[[#This Row],[PID]],Batters[[#All],[PID]],0)),INDEX(Table3[[#All],[Rnk]],MATCH(Table5[[#This Row],[PID]],Table3[[#All],[PID]],0)))</f>
        <v>900</v>
      </c>
      <c r="U382" s="67">
        <f>IF($C382="B",VLOOKUP($A382,Bat!$A$4:$BA$1314,47,FALSE),VLOOKUP($A382,Pit!$A$4:$BF$1214,56,FALSE))</f>
        <v>126</v>
      </c>
      <c r="V382" s="50">
        <f>IF($C382="B",VLOOKUP($A382,Bat!$A$4:$BA$1314,48,FALSE),VLOOKUP($A382,Pit!$A$4:$BF$1214,57,FALSE))</f>
        <v>0</v>
      </c>
      <c r="W382" s="68">
        <f>IF(Table5[[#This Row],[posRnk]]=999,9999,Table5[[#This Row],[posRnk]]+Table5[[#This Row],[zRnk]]+IF($W$3&lt;&gt;Table5[[#This Row],[Type]],50,0))</f>
        <v>1303</v>
      </c>
      <c r="X382" s="51">
        <f>RANK(Table5[[#This Row],[zScore]],Table5[[#All],[zScore]])</f>
        <v>403</v>
      </c>
      <c r="Y382" s="50">
        <f>IFERROR(INDEX(DraftResults[[#All],[OVR]],MATCH(Table5[[#This Row],[PID]],DraftResults[[#All],[Player ID]],0)),"")</f>
        <v>408</v>
      </c>
      <c r="Z382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13</v>
      </c>
      <c r="AA382" s="50">
        <f>IFERROR(INDEX(DraftResults[[#All],[Pick in Round]],MATCH(Table5[[#This Row],[PID]],DraftResults[[#All],[Player ID]],0)),"")</f>
        <v>9</v>
      </c>
      <c r="AB382" s="50" t="str">
        <f>IFERROR(INDEX(DraftResults[[#All],[Team Name]],MATCH(Table5[[#This Row],[PID]],DraftResults[[#All],[Player ID]],0)),"")</f>
        <v>Gloucester Fishermen</v>
      </c>
      <c r="AC382" s="50">
        <f>IF(Table5[[#This Row],[Ovr]]="","",IF(Table5[[#This Row],[cmbList]]="","",Table5[[#This Row],[cmbList]]-Table5[[#This Row],[Ovr]]))</f>
        <v>895</v>
      </c>
      <c r="AD382" s="54" t="str">
        <f>IF(ISERROR(VLOOKUP($AB382&amp;"-"&amp;$E382&amp;" "&amp;F382,Bonuses!$B$1:$G$1006,4,FALSE)),"",INT(VLOOKUP($AB382&amp;"-"&amp;$E382&amp;" "&amp;$F382,Bonuses!$B$1:$G$1006,4,FALSE)))</f>
        <v/>
      </c>
      <c r="AE382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13.9 (408) - RP Greg Lewis</v>
      </c>
    </row>
    <row r="383" spans="1:31" s="50" customFormat="1" x14ac:dyDescent="0.3">
      <c r="A383" s="50">
        <v>12674</v>
      </c>
      <c r="B383" s="50">
        <f>COUNTIF(Table5[PID],A383)</f>
        <v>1</v>
      </c>
      <c r="C383" s="50" t="str">
        <f>IF(COUNTIF(Table3[[#All],[PID]],A383)&gt;0,"P","B")</f>
        <v>P</v>
      </c>
      <c r="D383" s="59" t="str">
        <f>IF($C383="B",INDEX(Batters[[#All],[POS]],MATCH(Table5[[#This Row],[PID]],Batters[[#All],[PID]],0)),INDEX(Table3[[#All],[POS]],MATCH(Table5[[#This Row],[PID]],Table3[[#All],[PID]],0)))</f>
        <v>RP</v>
      </c>
      <c r="E383" s="52" t="str">
        <f>IF($C383="B",INDEX(Batters[[#All],[First]],MATCH(Table5[[#This Row],[PID]],Batters[[#All],[PID]],0)),INDEX(Table3[[#All],[First]],MATCH(Table5[[#This Row],[PID]],Table3[[#All],[PID]],0)))</f>
        <v>Isaac</v>
      </c>
      <c r="F383" s="50" t="str">
        <f>IF($C383="B",INDEX(Batters[[#All],[Last]],MATCH(A383,Batters[[#All],[PID]],0)),INDEX(Table3[[#All],[Last]],MATCH(A383,Table3[[#All],[PID]],0)))</f>
        <v>Isaacs</v>
      </c>
      <c r="G383" s="56">
        <f>IF($C383="B",INDEX(Batters[[#All],[Age]],MATCH(Table5[[#This Row],[PID]],Batters[[#All],[PID]],0)),INDEX(Table3[[#All],[Age]],MATCH(Table5[[#This Row],[PID]],Table3[[#All],[PID]],0)))</f>
        <v>21</v>
      </c>
      <c r="H383" s="52" t="str">
        <f>IF($C383="B",INDEX(Batters[[#All],[B]],MATCH(Table5[[#This Row],[PID]],Batters[[#All],[PID]],0)),INDEX(Table3[[#All],[B]],MATCH(Table5[[#This Row],[PID]],Table3[[#All],[PID]],0)))</f>
        <v>L</v>
      </c>
      <c r="I383" s="52" t="str">
        <f>IF($C383="B",INDEX(Batters[[#All],[T]],MATCH(Table5[[#This Row],[PID]],Batters[[#All],[PID]],0)),INDEX(Table3[[#All],[T]],MATCH(Table5[[#This Row],[PID]],Table3[[#All],[PID]],0)))</f>
        <v>L</v>
      </c>
      <c r="J383" s="52" t="str">
        <f>IF($C383="B",INDEX(Batters[[#All],[WE]],MATCH(Table5[[#This Row],[PID]],Batters[[#All],[PID]],0)),INDEX(Table3[[#All],[WE]],MATCH(Table5[[#This Row],[PID]],Table3[[#All],[PID]],0)))</f>
        <v>Normal</v>
      </c>
      <c r="K383" s="52" t="str">
        <f>IF($C383="B",INDEX(Batters[[#All],[INT]],MATCH(Table5[[#This Row],[PID]],Batters[[#All],[PID]],0)),INDEX(Table3[[#All],[INT]],MATCH(Table5[[#This Row],[PID]],Table3[[#All],[PID]],0)))</f>
        <v>Normal</v>
      </c>
      <c r="L383" s="60">
        <f>IF($C383="B",INDEX(Batters[[#All],[CON P]],MATCH(Table5[[#This Row],[PID]],Batters[[#All],[PID]],0)),INDEX(Table3[[#All],[STU P]],MATCH(Table5[[#This Row],[PID]],Table3[[#All],[PID]],0)))</f>
        <v>5</v>
      </c>
      <c r="M383" s="56">
        <f>IF($C383="B",INDEX(Batters[[#All],[GAP P]],MATCH(Table5[[#This Row],[PID]],Batters[[#All],[PID]],0)),INDEX(Table3[[#All],[MOV P]],MATCH(Table5[[#This Row],[PID]],Table3[[#All],[PID]],0)))</f>
        <v>3</v>
      </c>
      <c r="N383" s="56">
        <f>IF($C383="B",INDEX(Batters[[#All],[POW P]],MATCH(Table5[[#This Row],[PID]],Batters[[#All],[PID]],0)),INDEX(Table3[[#All],[CON P]],MATCH(Table5[[#This Row],[PID]],Table3[[#All],[PID]],0)))</f>
        <v>3</v>
      </c>
      <c r="O383" s="56" t="str">
        <f>IF($C383="B",INDEX(Batters[[#All],[EYE P]],MATCH(Table5[[#This Row],[PID]],Batters[[#All],[PID]],0)),INDEX(Table3[[#All],[VELO]],MATCH(Table5[[#This Row],[PID]],Table3[[#All],[PID]],0)))</f>
        <v>91-93 Mph</v>
      </c>
      <c r="P383" s="56">
        <f>IF($C383="B",INDEX(Batters[[#All],[K P]],MATCH(Table5[[#This Row],[PID]],Batters[[#All],[PID]],0)),INDEX(Table3[[#All],[STM]],MATCH(Table5[[#This Row],[PID]],Table3[[#All],[PID]],0)))</f>
        <v>1</v>
      </c>
      <c r="Q383" s="61">
        <f>IF($C383="B",INDEX(Batters[[#All],[Tot]],MATCH(Table5[[#This Row],[PID]],Batters[[#All],[PID]],0)),INDEX(Table3[[#All],[Tot]],MATCH(Table5[[#This Row],[PID]],Table3[[#All],[PID]],0)))</f>
        <v>37.002291890058551</v>
      </c>
      <c r="R383" s="52">
        <f>IF($C383="B",INDEX(Batters[[#All],[zScore]],MATCH(Table5[[#This Row],[PID]],Batters[[#All],[PID]],0)),INDEX(Table3[[#All],[zScore]],MATCH(Table5[[#This Row],[PID]],Table3[[#All],[PID]],0)))</f>
        <v>-5.6986326198833266E-2</v>
      </c>
      <c r="S383" s="58" t="str">
        <f>IF($C383="B",INDEX(Batters[[#All],[DEM]],MATCH(Table5[[#This Row],[PID]],Batters[[#All],[PID]],0)),INDEX(Table3[[#All],[DEM]],MATCH(Table5[[#This Row],[PID]],Table3[[#All],[PID]],0)))</f>
        <v>-</v>
      </c>
      <c r="T383" s="62">
        <f>IF($C383="B",INDEX(Batters[[#All],[Rnk]],MATCH(Table5[[#This Row],[PID]],Batters[[#All],[PID]],0)),INDEX(Table3[[#All],[Rnk]],MATCH(Table5[[#This Row],[PID]],Table3[[#All],[PID]],0)))</f>
        <v>900</v>
      </c>
      <c r="U383" s="67">
        <f>IF($C383="B",VLOOKUP($A383,Bat!$A$4:$BA$1314,47,FALSE),VLOOKUP($A383,Pit!$A$4:$BF$1214,56,FALSE))</f>
        <v>134</v>
      </c>
      <c r="V383" s="50">
        <f>IF($C383="B",VLOOKUP($A383,Bat!$A$4:$BA$1314,48,FALSE),VLOOKUP($A383,Pit!$A$4:$BF$1214,57,FALSE))</f>
        <v>0</v>
      </c>
      <c r="W383" s="68">
        <f>IF(Table5[[#This Row],[posRnk]]=999,9999,Table5[[#This Row],[posRnk]]+Table5[[#This Row],[zRnk]]+IF($W$3&lt;&gt;Table5[[#This Row],[Type]],50,0))</f>
        <v>1304</v>
      </c>
      <c r="X383" s="51">
        <f>RANK(Table5[[#This Row],[zScore]],Table5[[#All],[zScore]])</f>
        <v>404</v>
      </c>
      <c r="Y383" s="50">
        <f>IFERROR(INDEX(DraftResults[[#All],[OVR]],MATCH(Table5[[#This Row],[PID]],DraftResults[[#All],[Player ID]],0)),"")</f>
        <v>486</v>
      </c>
      <c r="Z383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15</v>
      </c>
      <c r="AA383" s="50">
        <f>IFERROR(INDEX(DraftResults[[#All],[Pick in Round]],MATCH(Table5[[#This Row],[PID]],DraftResults[[#All],[Player ID]],0)),"")</f>
        <v>19</v>
      </c>
      <c r="AB383" s="50" t="str">
        <f>IFERROR(INDEX(DraftResults[[#All],[Team Name]],MATCH(Table5[[#This Row],[PID]],DraftResults[[#All],[Player ID]],0)),"")</f>
        <v>Fargo Dinosaurs</v>
      </c>
      <c r="AC383" s="50">
        <f>IF(Table5[[#This Row],[Ovr]]="","",IF(Table5[[#This Row],[cmbList]]="","",Table5[[#This Row],[cmbList]]-Table5[[#This Row],[Ovr]]))</f>
        <v>818</v>
      </c>
      <c r="AD383" s="54" t="str">
        <f>IF(ISERROR(VLOOKUP($AB383&amp;"-"&amp;$E383&amp;" "&amp;F383,Bonuses!$B$1:$G$1006,4,FALSE)),"",INT(VLOOKUP($AB383&amp;"-"&amp;$E383&amp;" "&amp;$F383,Bonuses!$B$1:$G$1006,4,FALSE)))</f>
        <v/>
      </c>
      <c r="AE383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15.19 (486) - RP Isaac Isaacs</v>
      </c>
    </row>
    <row r="384" spans="1:31" s="50" customFormat="1" x14ac:dyDescent="0.3">
      <c r="A384" s="67">
        <v>9242</v>
      </c>
      <c r="B384" s="68">
        <f>COUNTIF(Table5[PID],A384)</f>
        <v>1</v>
      </c>
      <c r="C384" s="68" t="str">
        <f>IF(COUNTIF(Table3[[#All],[PID]],A384)&gt;0,"P","B")</f>
        <v>P</v>
      </c>
      <c r="D384" s="59" t="str">
        <f>IF($C384="B",INDEX(Batters[[#All],[POS]],MATCH(Table5[[#This Row],[PID]],Batters[[#All],[PID]],0)),INDEX(Table3[[#All],[POS]],MATCH(Table5[[#This Row],[PID]],Table3[[#All],[PID]],0)))</f>
        <v>RP</v>
      </c>
      <c r="E384" s="52" t="str">
        <f>IF($C384="B",INDEX(Batters[[#All],[First]],MATCH(Table5[[#This Row],[PID]],Batters[[#All],[PID]],0)),INDEX(Table3[[#All],[First]],MATCH(Table5[[#This Row],[PID]],Table3[[#All],[PID]],0)))</f>
        <v>Francisco</v>
      </c>
      <c r="F384" s="55" t="str">
        <f>IF($C384="B",INDEX(Batters[[#All],[Last]],MATCH(A384,Batters[[#All],[PID]],0)),INDEX(Table3[[#All],[Last]],MATCH(A384,Table3[[#All],[PID]],0)))</f>
        <v>Gómez</v>
      </c>
      <c r="G384" s="56">
        <f>IF($C384="B",INDEX(Batters[[#All],[Age]],MATCH(Table5[[#This Row],[PID]],Batters[[#All],[PID]],0)),INDEX(Table3[[#All],[Age]],MATCH(Table5[[#This Row],[PID]],Table3[[#All],[PID]],0)))</f>
        <v>21</v>
      </c>
      <c r="H384" s="52" t="str">
        <f>IF($C384="B",INDEX(Batters[[#All],[B]],MATCH(Table5[[#This Row],[PID]],Batters[[#All],[PID]],0)),INDEX(Table3[[#All],[B]],MATCH(Table5[[#This Row],[PID]],Table3[[#All],[PID]],0)))</f>
        <v>L</v>
      </c>
      <c r="I384" s="52" t="str">
        <f>IF($C384="B",INDEX(Batters[[#All],[T]],MATCH(Table5[[#This Row],[PID]],Batters[[#All],[PID]],0)),INDEX(Table3[[#All],[T]],MATCH(Table5[[#This Row],[PID]],Table3[[#All],[PID]],0)))</f>
        <v>L</v>
      </c>
      <c r="J384" s="69" t="str">
        <f>IF($C384="B",INDEX(Batters[[#All],[WE]],MATCH(Table5[[#This Row],[PID]],Batters[[#All],[PID]],0)),INDEX(Table3[[#All],[WE]],MATCH(Table5[[#This Row],[PID]],Table3[[#All],[PID]],0)))</f>
        <v>Low</v>
      </c>
      <c r="K384" s="52" t="str">
        <f>IF($C384="B",INDEX(Batters[[#All],[INT]],MATCH(Table5[[#This Row],[PID]],Batters[[#All],[PID]],0)),INDEX(Table3[[#All],[INT]],MATCH(Table5[[#This Row],[PID]],Table3[[#All],[PID]],0)))</f>
        <v>Normal</v>
      </c>
      <c r="L384" s="60">
        <f>IF($C384="B",INDEX(Batters[[#All],[CON P]],MATCH(Table5[[#This Row],[PID]],Batters[[#All],[PID]],0)),INDEX(Table3[[#All],[STU P]],MATCH(Table5[[#This Row],[PID]],Table3[[#All],[PID]],0)))</f>
        <v>5</v>
      </c>
      <c r="M384" s="70">
        <f>IF($C384="B",INDEX(Batters[[#All],[GAP P]],MATCH(Table5[[#This Row],[PID]],Batters[[#All],[PID]],0)),INDEX(Table3[[#All],[MOV P]],MATCH(Table5[[#This Row],[PID]],Table3[[#All],[PID]],0)))</f>
        <v>3</v>
      </c>
      <c r="N384" s="70">
        <f>IF($C384="B",INDEX(Batters[[#All],[POW P]],MATCH(Table5[[#This Row],[PID]],Batters[[#All],[PID]],0)),INDEX(Table3[[#All],[CON P]],MATCH(Table5[[#This Row],[PID]],Table3[[#All],[PID]],0)))</f>
        <v>3</v>
      </c>
      <c r="O384" s="70" t="str">
        <f>IF($C384="B",INDEX(Batters[[#All],[EYE P]],MATCH(Table5[[#This Row],[PID]],Batters[[#All],[PID]],0)),INDEX(Table3[[#All],[VELO]],MATCH(Table5[[#This Row],[PID]],Table3[[#All],[PID]],0)))</f>
        <v>91-93 Mph</v>
      </c>
      <c r="P384" s="56">
        <f>IF($C384="B",INDEX(Batters[[#All],[K P]],MATCH(Table5[[#This Row],[PID]],Batters[[#All],[PID]],0)),INDEX(Table3[[#All],[STM]],MATCH(Table5[[#This Row],[PID]],Table3[[#All],[PID]],0)))</f>
        <v>8</v>
      </c>
      <c r="Q384" s="61">
        <f>IF($C384="B",INDEX(Batters[[#All],[Tot]],MATCH(Table5[[#This Row],[PID]],Batters[[#All],[PID]],0)),INDEX(Table3[[#All],[Tot]],MATCH(Table5[[#This Row],[PID]],Table3[[#All],[PID]],0)))</f>
        <v>38.25179938929513</v>
      </c>
      <c r="R384" s="52">
        <f>IF($C384="B",INDEX(Batters[[#All],[zScore]],MATCH(Table5[[#This Row],[PID]],Batters[[#All],[PID]],0)),INDEX(Table3[[#All],[zScore]],MATCH(Table5[[#This Row],[PID]],Table3[[#All],[PID]],0)))</f>
        <v>3.1987395374335224E-2</v>
      </c>
      <c r="S384" s="75" t="str">
        <f>IF($C384="B",INDEX(Batters[[#All],[DEM]],MATCH(Table5[[#This Row],[PID]],Batters[[#All],[PID]],0)),INDEX(Table3[[#All],[DEM]],MATCH(Table5[[#This Row],[PID]],Table3[[#All],[PID]],0)))</f>
        <v>-</v>
      </c>
      <c r="T384" s="72">
        <f>IF($C384="B",INDEX(Batters[[#All],[Rnk]],MATCH(Table5[[#This Row],[PID]],Batters[[#All],[PID]],0)),INDEX(Table3[[#All],[Rnk]],MATCH(Table5[[#This Row],[PID]],Table3[[#All],[PID]],0)))</f>
        <v>930</v>
      </c>
      <c r="U384" s="67">
        <f>IF($C384="B",VLOOKUP($A384,Bat!$A$4:$BA$1314,47,FALSE),VLOOKUP($A384,Pit!$A$4:$BF$1214,56,FALSE))</f>
        <v>282</v>
      </c>
      <c r="V384" s="50">
        <f>IF($C384="B",VLOOKUP($A384,Bat!$A$4:$BA$1314,48,FALSE),VLOOKUP($A384,Pit!$A$4:$BF$1214,57,FALSE))</f>
        <v>0</v>
      </c>
      <c r="W384" s="68">
        <f>IF(Table5[[#This Row],[posRnk]]=999,9999,Table5[[#This Row],[posRnk]]+Table5[[#This Row],[zRnk]]+IF($W$3&lt;&gt;Table5[[#This Row],[Type]],50,0))</f>
        <v>1304</v>
      </c>
      <c r="X384" s="71">
        <f>RANK(Table5[[#This Row],[zScore]],Table5[[#All],[zScore]])</f>
        <v>374</v>
      </c>
      <c r="Y384" s="68">
        <f>IFERROR(INDEX(DraftResults[[#All],[OVR]],MATCH(Table5[[#This Row],[PID]],DraftResults[[#All],[Player ID]],0)),"")</f>
        <v>277</v>
      </c>
      <c r="Z384" s="7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9</v>
      </c>
      <c r="AA384" s="68">
        <f>IFERROR(INDEX(DraftResults[[#All],[Pick in Round]],MATCH(Table5[[#This Row],[PID]],DraftResults[[#All],[Player ID]],0)),"")</f>
        <v>12</v>
      </c>
      <c r="AB384" s="68" t="str">
        <f>IFERROR(INDEX(DraftResults[[#All],[Team Name]],MATCH(Table5[[#This Row],[PID]],DraftResults[[#All],[Player ID]],0)),"")</f>
        <v>Manchester Maulers</v>
      </c>
      <c r="AC384" s="68">
        <f>IF(Table5[[#This Row],[Ovr]]="","",IF(Table5[[#This Row],[cmbList]]="","",Table5[[#This Row],[cmbList]]-Table5[[#This Row],[Ovr]]))</f>
        <v>1027</v>
      </c>
      <c r="AD384" s="74" t="str">
        <f>IF(ISERROR(VLOOKUP($AB384&amp;"-"&amp;$E384&amp;" "&amp;F384,Bonuses!$B$1:$G$1006,4,FALSE)),"",INT(VLOOKUP($AB384&amp;"-"&amp;$E384&amp;" "&amp;$F384,Bonuses!$B$1:$G$1006,4,FALSE)))</f>
        <v/>
      </c>
      <c r="AE384" s="68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9.12 (277) - RP Francisco Gómez</v>
      </c>
    </row>
    <row r="385" spans="1:31" s="50" customFormat="1" x14ac:dyDescent="0.3">
      <c r="A385" s="50">
        <v>14508</v>
      </c>
      <c r="B385" s="50">
        <f>COUNTIF(Table5[PID],A385)</f>
        <v>1</v>
      </c>
      <c r="C385" s="50" t="str">
        <f>IF(COUNTIF(Table3[[#All],[PID]],A385)&gt;0,"P","B")</f>
        <v>P</v>
      </c>
      <c r="D385" s="59" t="str">
        <f>IF($C385="B",INDEX(Batters[[#All],[POS]],MATCH(Table5[[#This Row],[PID]],Batters[[#All],[PID]],0)),INDEX(Table3[[#All],[POS]],MATCH(Table5[[#This Row],[PID]],Table3[[#All],[PID]],0)))</f>
        <v>SP</v>
      </c>
      <c r="E385" s="52" t="str">
        <f>IF($C385="B",INDEX(Batters[[#All],[First]],MATCH(Table5[[#This Row],[PID]],Batters[[#All],[PID]],0)),INDEX(Table3[[#All],[First]],MATCH(Table5[[#This Row],[PID]],Table3[[#All],[PID]],0)))</f>
        <v>Raúl</v>
      </c>
      <c r="F385" s="50" t="str">
        <f>IF($C385="B",INDEX(Batters[[#All],[Last]],MATCH(A385,Batters[[#All],[PID]],0)),INDEX(Table3[[#All],[Last]],MATCH(A385,Table3[[#All],[PID]],0)))</f>
        <v>Rivera</v>
      </c>
      <c r="G385" s="56">
        <f>IF($C385="B",INDEX(Batters[[#All],[Age]],MATCH(Table5[[#This Row],[PID]],Batters[[#All],[PID]],0)),INDEX(Table3[[#All],[Age]],MATCH(Table5[[#This Row],[PID]],Table3[[#All],[PID]],0)))</f>
        <v>21</v>
      </c>
      <c r="H385" s="52" t="str">
        <f>IF($C385="B",INDEX(Batters[[#All],[B]],MATCH(Table5[[#This Row],[PID]],Batters[[#All],[PID]],0)),INDEX(Table3[[#All],[B]],MATCH(Table5[[#This Row],[PID]],Table3[[#All],[PID]],0)))</f>
        <v>R</v>
      </c>
      <c r="I385" s="52" t="str">
        <f>IF($C385="B",INDEX(Batters[[#All],[T]],MATCH(Table5[[#This Row],[PID]],Batters[[#All],[PID]],0)),INDEX(Table3[[#All],[T]],MATCH(Table5[[#This Row],[PID]],Table3[[#All],[PID]],0)))</f>
        <v>R</v>
      </c>
      <c r="J385" s="52" t="str">
        <f>IF($C385="B",INDEX(Batters[[#All],[WE]],MATCH(Table5[[#This Row],[PID]],Batters[[#All],[PID]],0)),INDEX(Table3[[#All],[WE]],MATCH(Table5[[#This Row],[PID]],Table3[[#All],[PID]],0)))</f>
        <v>Normal</v>
      </c>
      <c r="K385" s="52" t="str">
        <f>IF($C385="B",INDEX(Batters[[#All],[INT]],MATCH(Table5[[#This Row],[PID]],Batters[[#All],[PID]],0)),INDEX(Table3[[#All],[INT]],MATCH(Table5[[#This Row],[PID]],Table3[[#All],[PID]],0)))</f>
        <v>Normal</v>
      </c>
      <c r="L385" s="60">
        <f>IF($C385="B",INDEX(Batters[[#All],[CON P]],MATCH(Table5[[#This Row],[PID]],Batters[[#All],[PID]],0)),INDEX(Table3[[#All],[STU P]],MATCH(Table5[[#This Row],[PID]],Table3[[#All],[PID]],0)))</f>
        <v>5</v>
      </c>
      <c r="M385" s="56">
        <f>IF($C385="B",INDEX(Batters[[#All],[GAP P]],MATCH(Table5[[#This Row],[PID]],Batters[[#All],[PID]],0)),INDEX(Table3[[#All],[MOV P]],MATCH(Table5[[#This Row],[PID]],Table3[[#All],[PID]],0)))</f>
        <v>3</v>
      </c>
      <c r="N385" s="56">
        <f>IF($C385="B",INDEX(Batters[[#All],[POW P]],MATCH(Table5[[#This Row],[PID]],Batters[[#All],[PID]],0)),INDEX(Table3[[#All],[CON P]],MATCH(Table5[[#This Row],[PID]],Table3[[#All],[PID]],0)))</f>
        <v>3</v>
      </c>
      <c r="O385" s="56" t="str">
        <f>IF($C385="B",INDEX(Batters[[#All],[EYE P]],MATCH(Table5[[#This Row],[PID]],Batters[[#All],[PID]],0)),INDEX(Table3[[#All],[VELO]],MATCH(Table5[[#This Row],[PID]],Table3[[#All],[PID]],0)))</f>
        <v>91-93 Mph</v>
      </c>
      <c r="P385" s="56">
        <f>IF($C385="B",INDEX(Batters[[#All],[K P]],MATCH(Table5[[#This Row],[PID]],Batters[[#All],[PID]],0)),INDEX(Table3[[#All],[STM]],MATCH(Table5[[#This Row],[PID]],Table3[[#All],[PID]],0)))</f>
        <v>4</v>
      </c>
      <c r="Q385" s="61">
        <f>IF($C385="B",INDEX(Batters[[#All],[Tot]],MATCH(Table5[[#This Row],[PID]],Batters[[#All],[PID]],0)),INDEX(Table3[[#All],[Tot]],MATCH(Table5[[#This Row],[PID]],Table3[[#All],[PID]],0)))</f>
        <v>36.974209419830373</v>
      </c>
      <c r="R385" s="52">
        <f>IF($C385="B",INDEX(Batters[[#All],[zScore]],MATCH(Table5[[#This Row],[PID]],Batters[[#All],[PID]],0)),INDEX(Table3[[#All],[zScore]],MATCH(Table5[[#This Row],[PID]],Table3[[#All],[PID]],0)))</f>
        <v>-5.8985995579525469E-2</v>
      </c>
      <c r="S385" s="58" t="str">
        <f>IF($C385="B",INDEX(Batters[[#All],[DEM]],MATCH(Table5[[#This Row],[PID]],Batters[[#All],[PID]],0)),INDEX(Table3[[#All],[DEM]],MATCH(Table5[[#This Row],[PID]],Table3[[#All],[PID]],0)))</f>
        <v>$20k</v>
      </c>
      <c r="T385" s="62">
        <f>IF($C385="B",INDEX(Batters[[#All],[Rnk]],MATCH(Table5[[#This Row],[PID]],Batters[[#All],[PID]],0)),INDEX(Table3[[#All],[Rnk]],MATCH(Table5[[#This Row],[PID]],Table3[[#All],[PID]],0)))</f>
        <v>900</v>
      </c>
      <c r="U385" s="67">
        <f>IF($C385="B",VLOOKUP($A385,Bat!$A$4:$BA$1314,47,FALSE),VLOOKUP($A385,Pit!$A$4:$BF$1214,56,FALSE))</f>
        <v>135</v>
      </c>
      <c r="V385" s="50">
        <f>IF($C385="B",VLOOKUP($A385,Bat!$A$4:$BA$1314,48,FALSE),VLOOKUP($A385,Pit!$A$4:$BF$1214,57,FALSE))</f>
        <v>0</v>
      </c>
      <c r="W385" s="68">
        <f>IF(Table5[[#This Row],[posRnk]]=999,9999,Table5[[#This Row],[posRnk]]+Table5[[#This Row],[zRnk]]+IF($W$3&lt;&gt;Table5[[#This Row],[Type]],50,0))</f>
        <v>1305</v>
      </c>
      <c r="X385" s="51">
        <f>RANK(Table5[[#This Row],[zScore]],Table5[[#All],[zScore]])</f>
        <v>405</v>
      </c>
      <c r="Y385" s="50">
        <f>IFERROR(INDEX(DraftResults[[#All],[OVR]],MATCH(Table5[[#This Row],[PID]],DraftResults[[#All],[Player ID]],0)),"")</f>
        <v>526</v>
      </c>
      <c r="Z385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16</v>
      </c>
      <c r="AA385" s="50">
        <f>IFERROR(INDEX(DraftResults[[#All],[Pick in Round]],MATCH(Table5[[#This Row],[PID]],DraftResults[[#All],[Player ID]],0)),"")</f>
        <v>25</v>
      </c>
      <c r="AB385" s="50" t="str">
        <f>IFERROR(INDEX(DraftResults[[#All],[Team Name]],MATCH(Table5[[#This Row],[PID]],DraftResults[[#All],[Player ID]],0)),"")</f>
        <v>Kalamazoo Badgers</v>
      </c>
      <c r="AC385" s="50">
        <f>IF(Table5[[#This Row],[Ovr]]="","",IF(Table5[[#This Row],[cmbList]]="","",Table5[[#This Row],[cmbList]]-Table5[[#This Row],[Ovr]]))</f>
        <v>779</v>
      </c>
      <c r="AD385" s="54" t="str">
        <f>IF(ISERROR(VLOOKUP($AB385&amp;"-"&amp;$E385&amp;" "&amp;F385,Bonuses!$B$1:$G$1006,4,FALSE)),"",INT(VLOOKUP($AB385&amp;"-"&amp;$E385&amp;" "&amp;$F385,Bonuses!$B$1:$G$1006,4,FALSE)))</f>
        <v/>
      </c>
      <c r="AE385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16.25 (526) - SP Raúl Rivera</v>
      </c>
    </row>
    <row r="386" spans="1:31" s="50" customFormat="1" x14ac:dyDescent="0.3">
      <c r="A386" s="50">
        <v>20298</v>
      </c>
      <c r="B386" s="50">
        <f>COUNTIF(Table5[PID],A386)</f>
        <v>1</v>
      </c>
      <c r="C386" s="50" t="str">
        <f>IF(COUNTIF(Table3[[#All],[PID]],A386)&gt;0,"P","B")</f>
        <v>P</v>
      </c>
      <c r="D386" s="59" t="str">
        <f>IF($C386="B",INDEX(Batters[[#All],[POS]],MATCH(Table5[[#This Row],[PID]],Batters[[#All],[PID]],0)),INDEX(Table3[[#All],[POS]],MATCH(Table5[[#This Row],[PID]],Table3[[#All],[PID]],0)))</f>
        <v>RP</v>
      </c>
      <c r="E386" s="52" t="str">
        <f>IF($C386="B",INDEX(Batters[[#All],[First]],MATCH(Table5[[#This Row],[PID]],Batters[[#All],[PID]],0)),INDEX(Table3[[#All],[First]],MATCH(Table5[[#This Row],[PID]],Table3[[#All],[PID]],0)))</f>
        <v>Horst</v>
      </c>
      <c r="F386" s="50" t="str">
        <f>IF($C386="B",INDEX(Batters[[#All],[Last]],MATCH(A386,Batters[[#All],[PID]],0)),INDEX(Table3[[#All],[Last]],MATCH(A386,Table3[[#All],[PID]],0)))</f>
        <v>Schoof</v>
      </c>
      <c r="G386" s="56">
        <f>IF($C386="B",INDEX(Batters[[#All],[Age]],MATCH(Table5[[#This Row],[PID]],Batters[[#All],[PID]],0)),INDEX(Table3[[#All],[Age]],MATCH(Table5[[#This Row],[PID]],Table3[[#All],[PID]],0)))</f>
        <v>17</v>
      </c>
      <c r="H386" s="52" t="str">
        <f>IF($C386="B",INDEX(Batters[[#All],[B]],MATCH(Table5[[#This Row],[PID]],Batters[[#All],[PID]],0)),INDEX(Table3[[#All],[B]],MATCH(Table5[[#This Row],[PID]],Table3[[#All],[PID]],0)))</f>
        <v>R</v>
      </c>
      <c r="I386" s="52" t="str">
        <f>IF($C386="B",INDEX(Batters[[#All],[T]],MATCH(Table5[[#This Row],[PID]],Batters[[#All],[PID]],0)),INDEX(Table3[[#All],[T]],MATCH(Table5[[#This Row],[PID]],Table3[[#All],[PID]],0)))</f>
        <v>R</v>
      </c>
      <c r="J386" s="52" t="str">
        <f>IF($C386="B",INDEX(Batters[[#All],[WE]],MATCH(Table5[[#This Row],[PID]],Batters[[#All],[PID]],0)),INDEX(Table3[[#All],[WE]],MATCH(Table5[[#This Row],[PID]],Table3[[#All],[PID]],0)))</f>
        <v>High</v>
      </c>
      <c r="K386" s="52" t="str">
        <f>IF($C386="B",INDEX(Batters[[#All],[INT]],MATCH(Table5[[#This Row],[PID]],Batters[[#All],[PID]],0)),INDEX(Table3[[#All],[INT]],MATCH(Table5[[#This Row],[PID]],Table3[[#All],[PID]],0)))</f>
        <v>Normal</v>
      </c>
      <c r="L386" s="60">
        <f>IF($C386="B",INDEX(Batters[[#All],[CON P]],MATCH(Table5[[#This Row],[PID]],Batters[[#All],[PID]],0)),INDEX(Table3[[#All],[STU P]],MATCH(Table5[[#This Row],[PID]],Table3[[#All],[PID]],0)))</f>
        <v>4</v>
      </c>
      <c r="M386" s="56">
        <f>IF($C386="B",INDEX(Batters[[#All],[GAP P]],MATCH(Table5[[#This Row],[PID]],Batters[[#All],[PID]],0)),INDEX(Table3[[#All],[MOV P]],MATCH(Table5[[#This Row],[PID]],Table3[[#All],[PID]],0)))</f>
        <v>1</v>
      </c>
      <c r="N386" s="56">
        <f>IF($C386="B",INDEX(Batters[[#All],[POW P]],MATCH(Table5[[#This Row],[PID]],Batters[[#All],[PID]],0)),INDEX(Table3[[#All],[CON P]],MATCH(Table5[[#This Row],[PID]],Table3[[#All],[PID]],0)))</f>
        <v>4</v>
      </c>
      <c r="O386" s="56" t="str">
        <f>IF($C386="B",INDEX(Batters[[#All],[EYE P]],MATCH(Table5[[#This Row],[PID]],Batters[[#All],[PID]],0)),INDEX(Table3[[#All],[VELO]],MATCH(Table5[[#This Row],[PID]],Table3[[#All],[PID]],0)))</f>
        <v>89-91 Mph</v>
      </c>
      <c r="P386" s="56">
        <f>IF($C386="B",INDEX(Batters[[#All],[K P]],MATCH(Table5[[#This Row],[PID]],Batters[[#All],[PID]],0)),INDEX(Table3[[#All],[STM]],MATCH(Table5[[#This Row],[PID]],Table3[[#All],[PID]],0)))</f>
        <v>8</v>
      </c>
      <c r="Q386" s="61">
        <f>IF($C386="B",INDEX(Batters[[#All],[Tot]],MATCH(Table5[[#This Row],[PID]],Batters[[#All],[PID]],0)),INDEX(Table3[[#All],[Tot]],MATCH(Table5[[#This Row],[PID]],Table3[[#All],[PID]],0)))</f>
        <v>36.948029219705646</v>
      </c>
      <c r="R386" s="52">
        <f>IF($C386="B",INDEX(Batters[[#All],[zScore]],MATCH(Table5[[#This Row],[PID]],Batters[[#All],[PID]],0)),INDEX(Table3[[#All],[zScore]],MATCH(Table5[[#This Row],[PID]],Table3[[#All],[PID]],0)))</f>
        <v>-6.0850209950428023E-2</v>
      </c>
      <c r="S386" s="58" t="str">
        <f>IF($C386="B",INDEX(Batters[[#All],[DEM]],MATCH(Table5[[#This Row],[PID]],Batters[[#All],[PID]],0)),INDEX(Table3[[#All],[DEM]],MATCH(Table5[[#This Row],[PID]],Table3[[#All],[PID]],0)))</f>
        <v>$38k</v>
      </c>
      <c r="T386" s="62">
        <f>IF($C386="B",INDEX(Batters[[#All],[Rnk]],MATCH(Table5[[#This Row],[PID]],Batters[[#All],[PID]],0)),INDEX(Table3[[#All],[Rnk]],MATCH(Table5[[#This Row],[PID]],Table3[[#All],[PID]],0)))</f>
        <v>900</v>
      </c>
      <c r="U386" s="67">
        <f>IF($C386="B",VLOOKUP($A386,Bat!$A$4:$BA$1314,47,FALSE),VLOOKUP($A386,Pit!$A$4:$BF$1214,56,FALSE))</f>
        <v>127</v>
      </c>
      <c r="V386" s="50">
        <f>IF($C386="B",VLOOKUP($A386,Bat!$A$4:$BA$1314,48,FALSE),VLOOKUP($A386,Pit!$A$4:$BF$1214,57,FALSE))</f>
        <v>0</v>
      </c>
      <c r="W386" s="68">
        <f>IF(Table5[[#This Row],[posRnk]]=999,9999,Table5[[#This Row],[posRnk]]+Table5[[#This Row],[zRnk]]+IF($W$3&lt;&gt;Table5[[#This Row],[Type]],50,0))</f>
        <v>1306</v>
      </c>
      <c r="X386" s="51">
        <f>RANK(Table5[[#This Row],[zScore]],Table5[[#All],[zScore]])</f>
        <v>406</v>
      </c>
      <c r="Y386" s="50">
        <f>IFERROR(INDEX(DraftResults[[#All],[OVR]],MATCH(Table5[[#This Row],[PID]],DraftResults[[#All],[Player ID]],0)),"")</f>
        <v>440</v>
      </c>
      <c r="Z386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14</v>
      </c>
      <c r="AA386" s="50">
        <f>IFERROR(INDEX(DraftResults[[#All],[Pick in Round]],MATCH(Table5[[#This Row],[PID]],DraftResults[[#All],[Player ID]],0)),"")</f>
        <v>7</v>
      </c>
      <c r="AB386" s="50" t="str">
        <f>IFERROR(INDEX(DraftResults[[#All],[Team Name]],MATCH(Table5[[#This Row],[PID]],DraftResults[[#All],[Player ID]],0)),"")</f>
        <v>Hartford Harpoon</v>
      </c>
      <c r="AC386" s="50">
        <f>IF(Table5[[#This Row],[Ovr]]="","",IF(Table5[[#This Row],[cmbList]]="","",Table5[[#This Row],[cmbList]]-Table5[[#This Row],[Ovr]]))</f>
        <v>866</v>
      </c>
      <c r="AD386" s="54" t="str">
        <f>IF(ISERROR(VLOOKUP($AB386&amp;"-"&amp;$E386&amp;" "&amp;F386,Bonuses!$B$1:$G$1006,4,FALSE)),"",INT(VLOOKUP($AB386&amp;"-"&amp;$E386&amp;" "&amp;$F386,Bonuses!$B$1:$G$1006,4,FALSE)))</f>
        <v/>
      </c>
      <c r="AE386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14.7 (440) - RP Horst Schoof</v>
      </c>
    </row>
    <row r="387" spans="1:31" s="50" customFormat="1" x14ac:dyDescent="0.3">
      <c r="A387" s="67">
        <v>13262</v>
      </c>
      <c r="B387" s="68">
        <f>COUNTIF(Table5[PID],A387)</f>
        <v>1</v>
      </c>
      <c r="C387" s="68" t="str">
        <f>IF(COUNTIF(Table3[[#All],[PID]],A387)&gt;0,"P","B")</f>
        <v>P</v>
      </c>
      <c r="D387" s="59" t="str">
        <f>IF($C387="B",INDEX(Batters[[#All],[POS]],MATCH(Table5[[#This Row],[PID]],Batters[[#All],[PID]],0)),INDEX(Table3[[#All],[POS]],MATCH(Table5[[#This Row],[PID]],Table3[[#All],[PID]],0)))</f>
        <v>SP</v>
      </c>
      <c r="E387" s="52" t="str">
        <f>IF($C387="B",INDEX(Batters[[#All],[First]],MATCH(Table5[[#This Row],[PID]],Batters[[#All],[PID]],0)),INDEX(Table3[[#All],[First]],MATCH(Table5[[#This Row],[PID]],Table3[[#All],[PID]],0)))</f>
        <v>Takeo</v>
      </c>
      <c r="F387" s="55" t="str">
        <f>IF($C387="B",INDEX(Batters[[#All],[Last]],MATCH(A387,Batters[[#All],[PID]],0)),INDEX(Table3[[#All],[Last]],MATCH(A387,Table3[[#All],[PID]],0)))</f>
        <v>Hayagawa</v>
      </c>
      <c r="G387" s="56">
        <f>IF($C387="B",INDEX(Batters[[#All],[Age]],MATCH(Table5[[#This Row],[PID]],Batters[[#All],[PID]],0)),INDEX(Table3[[#All],[Age]],MATCH(Table5[[#This Row],[PID]],Table3[[#All],[PID]],0)))</f>
        <v>18</v>
      </c>
      <c r="H387" s="52" t="str">
        <f>IF($C387="B",INDEX(Batters[[#All],[B]],MATCH(Table5[[#This Row],[PID]],Batters[[#All],[PID]],0)),INDEX(Table3[[#All],[B]],MATCH(Table5[[#This Row],[PID]],Table3[[#All],[PID]],0)))</f>
        <v>L</v>
      </c>
      <c r="I387" s="52" t="str">
        <f>IF($C387="B",INDEX(Batters[[#All],[T]],MATCH(Table5[[#This Row],[PID]],Batters[[#All],[PID]],0)),INDEX(Table3[[#All],[T]],MATCH(Table5[[#This Row],[PID]],Table3[[#All],[PID]],0)))</f>
        <v>R</v>
      </c>
      <c r="J387" s="69" t="str">
        <f>IF($C387="B",INDEX(Batters[[#All],[WE]],MATCH(Table5[[#This Row],[PID]],Batters[[#All],[PID]],0)),INDEX(Table3[[#All],[WE]],MATCH(Table5[[#This Row],[PID]],Table3[[#All],[PID]],0)))</f>
        <v>Normal</v>
      </c>
      <c r="K387" s="52" t="str">
        <f>IF($C387="B",INDEX(Batters[[#All],[INT]],MATCH(Table5[[#This Row],[PID]],Batters[[#All],[PID]],0)),INDEX(Table3[[#All],[INT]],MATCH(Table5[[#This Row],[PID]],Table3[[#All],[PID]],0)))</f>
        <v>Normal</v>
      </c>
      <c r="L387" s="60">
        <f>IF($C387="B",INDEX(Batters[[#All],[CON P]],MATCH(Table5[[#This Row],[PID]],Batters[[#All],[PID]],0)),INDEX(Table3[[#All],[STU P]],MATCH(Table5[[#This Row],[PID]],Table3[[#All],[PID]],0)))</f>
        <v>3</v>
      </c>
      <c r="M387" s="70">
        <f>IF($C387="B",INDEX(Batters[[#All],[GAP P]],MATCH(Table5[[#This Row],[PID]],Batters[[#All],[PID]],0)),INDEX(Table3[[#All],[MOV P]],MATCH(Table5[[#This Row],[PID]],Table3[[#All],[PID]],0)))</f>
        <v>2</v>
      </c>
      <c r="N387" s="70">
        <f>IF($C387="B",INDEX(Batters[[#All],[POW P]],MATCH(Table5[[#This Row],[PID]],Batters[[#All],[PID]],0)),INDEX(Table3[[#All],[CON P]],MATCH(Table5[[#This Row],[PID]],Table3[[#All],[PID]],0)))</f>
        <v>4</v>
      </c>
      <c r="O387" s="70" t="str">
        <f>IF($C387="B",INDEX(Batters[[#All],[EYE P]],MATCH(Table5[[#This Row],[PID]],Batters[[#All],[PID]],0)),INDEX(Table3[[#All],[VELO]],MATCH(Table5[[#This Row],[PID]],Table3[[#All],[PID]],0)))</f>
        <v>84-86 Mph</v>
      </c>
      <c r="P387" s="56">
        <f>IF($C387="B",INDEX(Batters[[#All],[K P]],MATCH(Table5[[#This Row],[PID]],Batters[[#All],[PID]],0)),INDEX(Table3[[#All],[STM]],MATCH(Table5[[#This Row],[PID]],Table3[[#All],[PID]],0)))</f>
        <v>7</v>
      </c>
      <c r="Q387" s="61">
        <f>IF($C387="B",INDEX(Batters[[#All],[Tot]],MATCH(Table5[[#This Row],[PID]],Batters[[#All],[PID]],0)),INDEX(Table3[[#All],[Tot]],MATCH(Table5[[#This Row],[PID]],Table3[[#All],[PID]],0)))</f>
        <v>36.878068920966967</v>
      </c>
      <c r="R387" s="52">
        <f>IF($C387="B",INDEX(Batters[[#All],[zScore]],MATCH(Table5[[#This Row],[PID]],Batters[[#All],[PID]],0)),INDEX(Table3[[#All],[zScore]],MATCH(Table5[[#This Row],[PID]],Table3[[#All],[PID]],0)))</f>
        <v>-6.5831875242516269E-2</v>
      </c>
      <c r="S387" s="75" t="str">
        <f>IF($C387="B",INDEX(Batters[[#All],[DEM]],MATCH(Table5[[#This Row],[PID]],Batters[[#All],[PID]],0)),INDEX(Table3[[#All],[DEM]],MATCH(Table5[[#This Row],[PID]],Table3[[#All],[PID]],0)))</f>
        <v>-</v>
      </c>
      <c r="T387" s="72">
        <f>IF($C387="B",INDEX(Batters[[#All],[Rnk]],MATCH(Table5[[#This Row],[PID]],Batters[[#All],[PID]],0)),INDEX(Table3[[#All],[Rnk]],MATCH(Table5[[#This Row],[PID]],Table3[[#All],[PID]],0)))</f>
        <v>900</v>
      </c>
      <c r="U387" s="67">
        <f>IF($C387="B",VLOOKUP($A387,Bat!$A$4:$BA$1314,47,FALSE),VLOOKUP($A387,Pit!$A$4:$BF$1214,56,FALSE))</f>
        <v>136</v>
      </c>
      <c r="V387" s="50">
        <f>IF($C387="B",VLOOKUP($A387,Bat!$A$4:$BA$1314,48,FALSE),VLOOKUP($A387,Pit!$A$4:$BF$1214,57,FALSE))</f>
        <v>0</v>
      </c>
      <c r="W387" s="68">
        <f>IF(Table5[[#This Row],[posRnk]]=999,9999,Table5[[#This Row],[posRnk]]+Table5[[#This Row],[zRnk]]+IF($W$3&lt;&gt;Table5[[#This Row],[Type]],50,0))</f>
        <v>1307</v>
      </c>
      <c r="X387" s="71">
        <f>RANK(Table5[[#This Row],[zScore]],Table5[[#All],[zScore]])</f>
        <v>407</v>
      </c>
      <c r="Y387" s="68">
        <f>IFERROR(INDEX(DraftResults[[#All],[OVR]],MATCH(Table5[[#This Row],[PID]],DraftResults[[#All],[Player ID]],0)),"")</f>
        <v>504</v>
      </c>
      <c r="Z387" s="7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16</v>
      </c>
      <c r="AA387" s="68">
        <f>IFERROR(INDEX(DraftResults[[#All],[Pick in Round]],MATCH(Table5[[#This Row],[PID]],DraftResults[[#All],[Player ID]],0)),"")</f>
        <v>3</v>
      </c>
      <c r="AB387" s="68" t="str">
        <f>IFERROR(INDEX(DraftResults[[#All],[Team Name]],MATCH(Table5[[#This Row],[PID]],DraftResults[[#All],[Player ID]],0)),"")</f>
        <v>Okinawa Shisa</v>
      </c>
      <c r="AC387" s="68">
        <f>IF(Table5[[#This Row],[Ovr]]="","",IF(Table5[[#This Row],[cmbList]]="","",Table5[[#This Row],[cmbList]]-Table5[[#This Row],[Ovr]]))</f>
        <v>803</v>
      </c>
      <c r="AD387" s="74" t="str">
        <f>IF(ISERROR(VLOOKUP($AB387&amp;"-"&amp;$E387&amp;" "&amp;F387,Bonuses!$B$1:$G$1006,4,FALSE)),"",INT(VLOOKUP($AB387&amp;"-"&amp;$E387&amp;" "&amp;$F387,Bonuses!$B$1:$G$1006,4,FALSE)))</f>
        <v/>
      </c>
      <c r="AE387" s="68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16.3 (504) - SP Takeo Hayagawa</v>
      </c>
    </row>
    <row r="388" spans="1:31" s="50" customFormat="1" x14ac:dyDescent="0.3">
      <c r="A388" s="67">
        <v>12591</v>
      </c>
      <c r="B388" s="68">
        <f>COUNTIF(Table5[PID],A388)</f>
        <v>1</v>
      </c>
      <c r="C388" s="68" t="str">
        <f>IF(COUNTIF(Table3[[#All],[PID]],A388)&gt;0,"P","B")</f>
        <v>B</v>
      </c>
      <c r="D388" s="59" t="str">
        <f>IF($C388="B",INDEX(Batters[[#All],[POS]],MATCH(Table5[[#This Row],[PID]],Batters[[#All],[PID]],0)),INDEX(Table3[[#All],[POS]],MATCH(Table5[[#This Row],[PID]],Table3[[#All],[PID]],0)))</f>
        <v>3B</v>
      </c>
      <c r="E388" s="52" t="str">
        <f>IF($C388="B",INDEX(Batters[[#All],[First]],MATCH(Table5[[#This Row],[PID]],Batters[[#All],[PID]],0)),INDEX(Table3[[#All],[First]],MATCH(Table5[[#This Row],[PID]],Table3[[#All],[PID]],0)))</f>
        <v>Richard</v>
      </c>
      <c r="F388" s="55" t="str">
        <f>IF($C388="B",INDEX(Batters[[#All],[Last]],MATCH(A388,Batters[[#All],[PID]],0)),INDEX(Table3[[#All],[Last]],MATCH(A388,Table3[[#All],[PID]],0)))</f>
        <v>Carpenter</v>
      </c>
      <c r="G388" s="56">
        <f>IF($C388="B",INDEX(Batters[[#All],[Age]],MATCH(Table5[[#This Row],[PID]],Batters[[#All],[PID]],0)),INDEX(Table3[[#All],[Age]],MATCH(Table5[[#This Row],[PID]],Table3[[#All],[PID]],0)))</f>
        <v>17</v>
      </c>
      <c r="H388" s="52" t="str">
        <f>IF($C388="B",INDEX(Batters[[#All],[B]],MATCH(Table5[[#This Row],[PID]],Batters[[#All],[PID]],0)),INDEX(Table3[[#All],[B]],MATCH(Table5[[#This Row],[PID]],Table3[[#All],[PID]],0)))</f>
        <v>R</v>
      </c>
      <c r="I388" s="52" t="str">
        <f>IF($C388="B",INDEX(Batters[[#All],[T]],MATCH(Table5[[#This Row],[PID]],Batters[[#All],[PID]],0)),INDEX(Table3[[#All],[T]],MATCH(Table5[[#This Row],[PID]],Table3[[#All],[PID]],0)))</f>
        <v>R</v>
      </c>
      <c r="J388" s="69" t="str">
        <f>IF($C388="B",INDEX(Batters[[#All],[WE]],MATCH(Table5[[#This Row],[PID]],Batters[[#All],[PID]],0)),INDEX(Table3[[#All],[WE]],MATCH(Table5[[#This Row],[PID]],Table3[[#All],[PID]],0)))</f>
        <v>Low</v>
      </c>
      <c r="K388" s="52" t="str">
        <f>IF($C388="B",INDEX(Batters[[#All],[INT]],MATCH(Table5[[#This Row],[PID]],Batters[[#All],[PID]],0)),INDEX(Table3[[#All],[INT]],MATCH(Table5[[#This Row],[PID]],Table3[[#All],[PID]],0)))</f>
        <v>Normal</v>
      </c>
      <c r="L388" s="60">
        <f>IF($C388="B",INDEX(Batters[[#All],[CON P]],MATCH(Table5[[#This Row],[PID]],Batters[[#All],[PID]],0)),INDEX(Table3[[#All],[STU P]],MATCH(Table5[[#This Row],[PID]],Table3[[#All],[PID]],0)))</f>
        <v>3</v>
      </c>
      <c r="M388" s="70">
        <f>IF($C388="B",INDEX(Batters[[#All],[GAP P]],MATCH(Table5[[#This Row],[PID]],Batters[[#All],[PID]],0)),INDEX(Table3[[#All],[MOV P]],MATCH(Table5[[#This Row],[PID]],Table3[[#All],[PID]],0)))</f>
        <v>4</v>
      </c>
      <c r="N388" s="70">
        <f>IF($C388="B",INDEX(Batters[[#All],[POW P]],MATCH(Table5[[#This Row],[PID]],Batters[[#All],[PID]],0)),INDEX(Table3[[#All],[CON P]],MATCH(Table5[[#This Row],[PID]],Table3[[#All],[PID]],0)))</f>
        <v>3</v>
      </c>
      <c r="O388" s="70">
        <f>IF($C388="B",INDEX(Batters[[#All],[EYE P]],MATCH(Table5[[#This Row],[PID]],Batters[[#All],[PID]],0)),INDEX(Table3[[#All],[VELO]],MATCH(Table5[[#This Row],[PID]],Table3[[#All],[PID]],0)))</f>
        <v>6</v>
      </c>
      <c r="P388" s="56">
        <f>IF($C388="B",INDEX(Batters[[#All],[K P]],MATCH(Table5[[#This Row],[PID]],Batters[[#All],[PID]],0)),INDEX(Table3[[#All],[STM]],MATCH(Table5[[#This Row],[PID]],Table3[[#All],[PID]],0)))</f>
        <v>5</v>
      </c>
      <c r="Q388" s="61">
        <f>IF($C388="B",INDEX(Batters[[#All],[Tot]],MATCH(Table5[[#This Row],[PID]],Batters[[#All],[PID]],0)),INDEX(Table3[[#All],[Tot]],MATCH(Table5[[#This Row],[PID]],Table3[[#All],[PID]],0)))</f>
        <v>43.396236039902156</v>
      </c>
      <c r="R388" s="52">
        <f>IF($C388="B",INDEX(Batters[[#All],[zScore]],MATCH(Table5[[#This Row],[PID]],Batters[[#All],[PID]],0)),INDEX(Table3[[#All],[zScore]],MATCH(Table5[[#This Row],[PID]],Table3[[#All],[PID]],0)))</f>
        <v>2.5945171925895186E-2</v>
      </c>
      <c r="S388" s="75" t="str">
        <f>IF($C388="B",INDEX(Batters[[#All],[DEM]],MATCH(Table5[[#This Row],[PID]],Batters[[#All],[PID]],0)),INDEX(Table3[[#All],[DEM]],MATCH(Table5[[#This Row],[PID]],Table3[[#All],[PID]],0)))</f>
        <v>$190k</v>
      </c>
      <c r="T388" s="72">
        <f>IF($C388="B",INDEX(Batters[[#All],[Rnk]],MATCH(Table5[[#This Row],[PID]],Batters[[#All],[PID]],0)),INDEX(Table3[[#All],[Rnk]],MATCH(Table5[[#This Row],[PID]],Table3[[#All],[PID]],0)))</f>
        <v>930</v>
      </c>
      <c r="U388" s="67">
        <f>IF($C388="B",VLOOKUP($A388,Bat!$A$4:$BA$1314,47,FALSE),VLOOKUP($A388,Pit!$A$4:$BF$1214,56,FALSE))</f>
        <v>330</v>
      </c>
      <c r="V388" s="50">
        <f>IF($C388="B",VLOOKUP($A388,Bat!$A$4:$BA$1314,48,FALSE),VLOOKUP($A388,Pit!$A$4:$BF$1214,57,FALSE))</f>
        <v>0</v>
      </c>
      <c r="W388" s="68">
        <f>IF(Table5[[#This Row],[posRnk]]=999,9999,Table5[[#This Row],[posRnk]]+Table5[[#This Row],[zRnk]]+IF($W$3&lt;&gt;Table5[[#This Row],[Type]],50,0))</f>
        <v>1357</v>
      </c>
      <c r="X388" s="71">
        <f>RANK(Table5[[#This Row],[zScore]],Table5[[#All],[zScore]])</f>
        <v>377</v>
      </c>
      <c r="Y388" s="68">
        <f>IFERROR(INDEX(DraftResults[[#All],[OVR]],MATCH(Table5[[#This Row],[PID]],DraftResults[[#All],[Player ID]],0)),"")</f>
        <v>358</v>
      </c>
      <c r="Z388" s="7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11</v>
      </c>
      <c r="AA388" s="68">
        <f>IFERROR(INDEX(DraftResults[[#All],[Pick in Round]],MATCH(Table5[[#This Row],[PID]],DraftResults[[#All],[Player ID]],0)),"")</f>
        <v>27</v>
      </c>
      <c r="AB388" s="68" t="str">
        <f>IFERROR(INDEX(DraftResults[[#All],[Team Name]],MATCH(Table5[[#This Row],[PID]],DraftResults[[#All],[Player ID]],0)),"")</f>
        <v>Havana Leones</v>
      </c>
      <c r="AC388" s="68">
        <f>IF(Table5[[#This Row],[Ovr]]="","",IF(Table5[[#This Row],[cmbList]]="","",Table5[[#This Row],[cmbList]]-Table5[[#This Row],[Ovr]]))</f>
        <v>999</v>
      </c>
      <c r="AD388" s="74" t="str">
        <f>IF(ISERROR(VLOOKUP($AB388&amp;"-"&amp;$E388&amp;" "&amp;F388,Bonuses!$B$1:$G$1006,4,FALSE)),"",INT(VLOOKUP($AB388&amp;"-"&amp;$E388&amp;" "&amp;$F388,Bonuses!$B$1:$G$1006,4,FALSE)))</f>
        <v/>
      </c>
      <c r="AE388" s="68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11.27 (358) - 3B Richard Carpenter</v>
      </c>
    </row>
    <row r="389" spans="1:31" s="50" customFormat="1" x14ac:dyDescent="0.3">
      <c r="A389" s="50">
        <v>21005</v>
      </c>
      <c r="B389" s="50">
        <f>COUNTIF(Table5[PID],A389)</f>
        <v>1</v>
      </c>
      <c r="C389" s="50" t="str">
        <f>IF(COUNTIF(Table3[[#All],[PID]],A389)&gt;0,"P","B")</f>
        <v>P</v>
      </c>
      <c r="D389" s="59" t="str">
        <f>IF($C389="B",INDEX(Batters[[#All],[POS]],MATCH(Table5[[#This Row],[PID]],Batters[[#All],[PID]],0)),INDEX(Table3[[#All],[POS]],MATCH(Table5[[#This Row],[PID]],Table3[[#All],[PID]],0)))</f>
        <v>RP</v>
      </c>
      <c r="E389" s="52" t="str">
        <f>IF($C389="B",INDEX(Batters[[#All],[First]],MATCH(Table5[[#This Row],[PID]],Batters[[#All],[PID]],0)),INDEX(Table3[[#All],[First]],MATCH(Table5[[#This Row],[PID]],Table3[[#All],[PID]],0)))</f>
        <v>Sonny</v>
      </c>
      <c r="F389" s="50" t="str">
        <f>IF($C389="B",INDEX(Batters[[#All],[Last]],MATCH(A389,Batters[[#All],[PID]],0)),INDEX(Table3[[#All],[Last]],MATCH(A389,Table3[[#All],[PID]],0)))</f>
        <v>Ruíz</v>
      </c>
      <c r="G389" s="56">
        <f>IF($C389="B",INDEX(Batters[[#All],[Age]],MATCH(Table5[[#This Row],[PID]],Batters[[#All],[PID]],0)),INDEX(Table3[[#All],[Age]],MATCH(Table5[[#This Row],[PID]],Table3[[#All],[PID]],0)))</f>
        <v>16</v>
      </c>
      <c r="H389" s="52" t="str">
        <f>IF($C389="B",INDEX(Batters[[#All],[B]],MATCH(Table5[[#This Row],[PID]],Batters[[#All],[PID]],0)),INDEX(Table3[[#All],[B]],MATCH(Table5[[#This Row],[PID]],Table3[[#All],[PID]],0)))</f>
        <v>R</v>
      </c>
      <c r="I389" s="52" t="str">
        <f>IF($C389="B",INDEX(Batters[[#All],[T]],MATCH(Table5[[#This Row],[PID]],Batters[[#All],[PID]],0)),INDEX(Table3[[#All],[T]],MATCH(Table5[[#This Row],[PID]],Table3[[#All],[PID]],0)))</f>
        <v>R</v>
      </c>
      <c r="J389" s="52" t="str">
        <f>IF($C389="B",INDEX(Batters[[#All],[WE]],MATCH(Table5[[#This Row],[PID]],Batters[[#All],[PID]],0)),INDEX(Table3[[#All],[WE]],MATCH(Table5[[#This Row],[PID]],Table3[[#All],[PID]],0)))</f>
        <v>High</v>
      </c>
      <c r="K389" s="52" t="str">
        <f>IF($C389="B",INDEX(Batters[[#All],[INT]],MATCH(Table5[[#This Row],[PID]],Batters[[#All],[PID]],0)),INDEX(Table3[[#All],[INT]],MATCH(Table5[[#This Row],[PID]],Table3[[#All],[PID]],0)))</f>
        <v>Normal</v>
      </c>
      <c r="L389" s="60">
        <f>IF($C389="B",INDEX(Batters[[#All],[CON P]],MATCH(Table5[[#This Row],[PID]],Batters[[#All],[PID]],0)),INDEX(Table3[[#All],[STU P]],MATCH(Table5[[#This Row],[PID]],Table3[[#All],[PID]],0)))</f>
        <v>6</v>
      </c>
      <c r="M389" s="56">
        <f>IF($C389="B",INDEX(Batters[[#All],[GAP P]],MATCH(Table5[[#This Row],[PID]],Batters[[#All],[PID]],0)),INDEX(Table3[[#All],[MOV P]],MATCH(Table5[[#This Row],[PID]],Table3[[#All],[PID]],0)))</f>
        <v>2</v>
      </c>
      <c r="N389" s="56">
        <f>IF($C389="B",INDEX(Batters[[#All],[POW P]],MATCH(Table5[[#This Row],[PID]],Batters[[#All],[PID]],0)),INDEX(Table3[[#All],[CON P]],MATCH(Table5[[#This Row],[PID]],Table3[[#All],[PID]],0)))</f>
        <v>3</v>
      </c>
      <c r="O389" s="56" t="str">
        <f>IF($C389="B",INDEX(Batters[[#All],[EYE P]],MATCH(Table5[[#This Row],[PID]],Batters[[#All],[PID]],0)),INDEX(Table3[[#All],[VELO]],MATCH(Table5[[#This Row],[PID]],Table3[[#All],[PID]],0)))</f>
        <v>92-94 Mph</v>
      </c>
      <c r="P389" s="56">
        <f>IF($C389="B",INDEX(Batters[[#All],[K P]],MATCH(Table5[[#This Row],[PID]],Batters[[#All],[PID]],0)),INDEX(Table3[[#All],[STM]],MATCH(Table5[[#This Row],[PID]],Table3[[#All],[PID]],0)))</f>
        <v>6</v>
      </c>
      <c r="Q389" s="61">
        <f>IF($C389="B",INDEX(Batters[[#All],[Tot]],MATCH(Table5[[#This Row],[PID]],Batters[[#All],[PID]],0)),INDEX(Table3[[#All],[Tot]],MATCH(Table5[[#This Row],[PID]],Table3[[#All],[PID]],0)))</f>
        <v>36.738814251725003</v>
      </c>
      <c r="R389" s="52">
        <f>IF($C389="B",INDEX(Batters[[#All],[zScore]],MATCH(Table5[[#This Row],[PID]],Batters[[#All],[PID]],0)),INDEX(Table3[[#All],[zScore]],MATCH(Table5[[#This Row],[PID]],Table3[[#All],[PID]],0)))</f>
        <v>-7.574778705294416E-2</v>
      </c>
      <c r="S389" s="58" t="str">
        <f>IF($C389="B",INDEX(Batters[[#All],[DEM]],MATCH(Table5[[#This Row],[PID]],Batters[[#All],[PID]],0)),INDEX(Table3[[#All],[DEM]],MATCH(Table5[[#This Row],[PID]],Table3[[#All],[PID]],0)))</f>
        <v>$65k</v>
      </c>
      <c r="T389" s="62">
        <f>IF($C389="B",INDEX(Batters[[#All],[Rnk]],MATCH(Table5[[#This Row],[PID]],Batters[[#All],[PID]],0)),INDEX(Table3[[#All],[Rnk]],MATCH(Table5[[#This Row],[PID]],Table3[[#All],[PID]],0)))</f>
        <v>900</v>
      </c>
      <c r="U389" s="67">
        <f>IF($C389="B",VLOOKUP($A389,Bat!$A$4:$BA$1314,47,FALSE),VLOOKUP($A389,Pit!$A$4:$BF$1214,56,FALSE))</f>
        <v>128</v>
      </c>
      <c r="V389" s="50">
        <f>IF($C389="B",VLOOKUP($A389,Bat!$A$4:$BA$1314,48,FALSE),VLOOKUP($A389,Pit!$A$4:$BF$1214,57,FALSE))</f>
        <v>0</v>
      </c>
      <c r="W389" s="68">
        <f>IF(Table5[[#This Row],[posRnk]]=999,9999,Table5[[#This Row],[posRnk]]+Table5[[#This Row],[zRnk]]+IF($W$3&lt;&gt;Table5[[#This Row],[Type]],50,0))</f>
        <v>1309</v>
      </c>
      <c r="X389" s="51">
        <f>RANK(Table5[[#This Row],[zScore]],Table5[[#All],[zScore]])</f>
        <v>409</v>
      </c>
      <c r="Y389" s="50">
        <f>IFERROR(INDEX(DraftResults[[#All],[OVR]],MATCH(Table5[[#This Row],[PID]],DraftResults[[#All],[Player ID]],0)),"")</f>
        <v>281</v>
      </c>
      <c r="Z389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9</v>
      </c>
      <c r="AA389" s="50">
        <f>IFERROR(INDEX(DraftResults[[#All],[Pick in Round]],MATCH(Table5[[#This Row],[PID]],DraftResults[[#All],[Player ID]],0)),"")</f>
        <v>16</v>
      </c>
      <c r="AB389" s="50" t="str">
        <f>IFERROR(INDEX(DraftResults[[#All],[Team Name]],MATCH(Table5[[#This Row],[PID]],DraftResults[[#All],[Player ID]],0)),"")</f>
        <v>Madison Malts</v>
      </c>
      <c r="AC389" s="50">
        <f>IF(Table5[[#This Row],[Ovr]]="","",IF(Table5[[#This Row],[cmbList]]="","",Table5[[#This Row],[cmbList]]-Table5[[#This Row],[Ovr]]))</f>
        <v>1028</v>
      </c>
      <c r="AD389" s="54" t="str">
        <f>IF(ISERROR(VLOOKUP($AB389&amp;"-"&amp;$E389&amp;" "&amp;F389,Bonuses!$B$1:$G$1006,4,FALSE)),"",INT(VLOOKUP($AB389&amp;"-"&amp;$E389&amp;" "&amp;$F389,Bonuses!$B$1:$G$1006,4,FALSE)))</f>
        <v/>
      </c>
      <c r="AE389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9.16 (281) - RP Sonny Ruíz</v>
      </c>
    </row>
    <row r="390" spans="1:31" s="50" customFormat="1" x14ac:dyDescent="0.3">
      <c r="A390" s="50">
        <v>11973</v>
      </c>
      <c r="B390" s="50">
        <f>COUNTIF(Table5[PID],A390)</f>
        <v>1</v>
      </c>
      <c r="C390" s="50" t="str">
        <f>IF(COUNTIF(Table3[[#All],[PID]],A390)&gt;0,"P","B")</f>
        <v>P</v>
      </c>
      <c r="D390" s="59" t="str">
        <f>IF($C390="B",INDEX(Batters[[#All],[POS]],MATCH(Table5[[#This Row],[PID]],Batters[[#All],[PID]],0)),INDEX(Table3[[#All],[POS]],MATCH(Table5[[#This Row],[PID]],Table3[[#All],[PID]],0)))</f>
        <v>RP</v>
      </c>
      <c r="E390" s="52" t="str">
        <f>IF($C390="B",INDEX(Batters[[#All],[First]],MATCH(Table5[[#This Row],[PID]],Batters[[#All],[PID]],0)),INDEX(Table3[[#All],[First]],MATCH(Table5[[#This Row],[PID]],Table3[[#All],[PID]],0)))</f>
        <v>Andy</v>
      </c>
      <c r="F390" s="50" t="str">
        <f>IF($C390="B",INDEX(Batters[[#All],[Last]],MATCH(A390,Batters[[#All],[PID]],0)),INDEX(Table3[[#All],[Last]],MATCH(A390,Table3[[#All],[PID]],0)))</f>
        <v>Sexton</v>
      </c>
      <c r="G390" s="56">
        <f>IF($C390="B",INDEX(Batters[[#All],[Age]],MATCH(Table5[[#This Row],[PID]],Batters[[#All],[PID]],0)),INDEX(Table3[[#All],[Age]],MATCH(Table5[[#This Row],[PID]],Table3[[#All],[PID]],0)))</f>
        <v>22</v>
      </c>
      <c r="H390" s="52" t="str">
        <f>IF($C390="B",INDEX(Batters[[#All],[B]],MATCH(Table5[[#This Row],[PID]],Batters[[#All],[PID]],0)),INDEX(Table3[[#All],[B]],MATCH(Table5[[#This Row],[PID]],Table3[[#All],[PID]],0)))</f>
        <v>L</v>
      </c>
      <c r="I390" s="52" t="str">
        <f>IF($C390="B",INDEX(Batters[[#All],[T]],MATCH(Table5[[#This Row],[PID]],Batters[[#All],[PID]],0)),INDEX(Table3[[#All],[T]],MATCH(Table5[[#This Row],[PID]],Table3[[#All],[PID]],0)))</f>
        <v>R</v>
      </c>
      <c r="J390" s="52" t="str">
        <f>IF($C390="B",INDEX(Batters[[#All],[WE]],MATCH(Table5[[#This Row],[PID]],Batters[[#All],[PID]],0)),INDEX(Table3[[#All],[WE]],MATCH(Table5[[#This Row],[PID]],Table3[[#All],[PID]],0)))</f>
        <v>Low</v>
      </c>
      <c r="K390" s="52" t="str">
        <f>IF($C390="B",INDEX(Batters[[#All],[INT]],MATCH(Table5[[#This Row],[PID]],Batters[[#All],[PID]],0)),INDEX(Table3[[#All],[INT]],MATCH(Table5[[#This Row],[PID]],Table3[[#All],[PID]],0)))</f>
        <v>Normal</v>
      </c>
      <c r="L390" s="60">
        <f>IF($C390="B",INDEX(Batters[[#All],[CON P]],MATCH(Table5[[#This Row],[PID]],Batters[[#All],[PID]],0)),INDEX(Table3[[#All],[STU P]],MATCH(Table5[[#This Row],[PID]],Table3[[#All],[PID]],0)))</f>
        <v>5</v>
      </c>
      <c r="M390" s="56">
        <f>IF($C390="B",INDEX(Batters[[#All],[GAP P]],MATCH(Table5[[#This Row],[PID]],Batters[[#All],[PID]],0)),INDEX(Table3[[#All],[MOV P]],MATCH(Table5[[#This Row],[PID]],Table3[[#All],[PID]],0)))</f>
        <v>2</v>
      </c>
      <c r="N390" s="56">
        <f>IF($C390="B",INDEX(Batters[[#All],[POW P]],MATCH(Table5[[#This Row],[PID]],Batters[[#All],[PID]],0)),INDEX(Table3[[#All],[CON P]],MATCH(Table5[[#This Row],[PID]],Table3[[#All],[PID]],0)))</f>
        <v>4</v>
      </c>
      <c r="O390" s="56" t="str">
        <f>IF($C390="B",INDEX(Batters[[#All],[EYE P]],MATCH(Table5[[#This Row],[PID]],Batters[[#All],[PID]],0)),INDEX(Table3[[#All],[VELO]],MATCH(Table5[[#This Row],[PID]],Table3[[#All],[PID]],0)))</f>
        <v>93-95 Mph</v>
      </c>
      <c r="P390" s="56">
        <f>IF($C390="B",INDEX(Batters[[#All],[K P]],MATCH(Table5[[#This Row],[PID]],Batters[[#All],[PID]],0)),INDEX(Table3[[#All],[STM]],MATCH(Table5[[#This Row],[PID]],Table3[[#All],[PID]],0)))</f>
        <v>3</v>
      </c>
      <c r="Q390" s="61">
        <f>IF($C390="B",INDEX(Batters[[#All],[Tot]],MATCH(Table5[[#This Row],[PID]],Batters[[#All],[PID]],0)),INDEX(Table3[[#All],[Tot]],MATCH(Table5[[#This Row],[PID]],Table3[[#All],[PID]],0)))</f>
        <v>37.911516137202767</v>
      </c>
      <c r="R390" s="52">
        <f>IF($C390="B",INDEX(Batters[[#All],[zScore]],MATCH(Table5[[#This Row],[PID]],Batters[[#All],[PID]],0)),INDEX(Table3[[#All],[zScore]],MATCH(Table5[[#This Row],[PID]],Table3[[#All],[PID]],0)))</f>
        <v>1.3979542871254675E-2</v>
      </c>
      <c r="S390" s="58" t="str">
        <f>IF($C390="B",INDEX(Batters[[#All],[DEM]],MATCH(Table5[[#This Row],[PID]],Batters[[#All],[PID]],0)),INDEX(Table3[[#All],[DEM]],MATCH(Table5[[#This Row],[PID]],Table3[[#All],[PID]],0)))</f>
        <v>-</v>
      </c>
      <c r="T390" s="62">
        <f>IF($C390="B",INDEX(Batters[[#All],[Rnk]],MATCH(Table5[[#This Row],[PID]],Batters[[#All],[PID]],0)),INDEX(Table3[[#All],[Rnk]],MATCH(Table5[[#This Row],[PID]],Table3[[#All],[PID]],0)))</f>
        <v>930</v>
      </c>
      <c r="U390" s="67">
        <f>IF($C390="B",VLOOKUP($A390,Bat!$A$4:$BA$1314,47,FALSE),VLOOKUP($A390,Pit!$A$4:$BF$1214,56,FALSE))</f>
        <v>283</v>
      </c>
      <c r="V390" s="50">
        <f>IF($C390="B",VLOOKUP($A390,Bat!$A$4:$BA$1314,48,FALSE),VLOOKUP($A390,Pit!$A$4:$BF$1214,57,FALSE))</f>
        <v>0</v>
      </c>
      <c r="W390" s="68">
        <f>IF(Table5[[#This Row],[posRnk]]=999,9999,Table5[[#This Row],[posRnk]]+Table5[[#This Row],[zRnk]]+IF($W$3&lt;&gt;Table5[[#This Row],[Type]],50,0))</f>
        <v>1310</v>
      </c>
      <c r="X390" s="51">
        <f>RANK(Table5[[#This Row],[zScore]],Table5[[#All],[zScore]])</f>
        <v>380</v>
      </c>
      <c r="Y390" s="50" t="str">
        <f>IFERROR(INDEX(DraftResults[[#All],[OVR]],MATCH(Table5[[#This Row],[PID]],DraftResults[[#All],[Player ID]],0)),"")</f>
        <v/>
      </c>
      <c r="Z390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/>
      </c>
      <c r="AA390" s="50" t="str">
        <f>IFERROR(INDEX(DraftResults[[#All],[Pick in Round]],MATCH(Table5[[#This Row],[PID]],DraftResults[[#All],[Player ID]],0)),"")</f>
        <v/>
      </c>
      <c r="AB390" s="50" t="str">
        <f>IFERROR(INDEX(DraftResults[[#All],[Team Name]],MATCH(Table5[[#This Row],[PID]],DraftResults[[#All],[Player ID]],0)),"")</f>
        <v/>
      </c>
      <c r="AC390" s="50" t="str">
        <f>IF(Table5[[#This Row],[Ovr]]="","",IF(Table5[[#This Row],[cmbList]]="","",Table5[[#This Row],[cmbList]]-Table5[[#This Row],[Ovr]]))</f>
        <v/>
      </c>
      <c r="AD390" s="54" t="str">
        <f>IF(ISERROR(VLOOKUP($AB390&amp;"-"&amp;$E390&amp;" "&amp;F390,Bonuses!$B$1:$G$1006,4,FALSE)),"",INT(VLOOKUP($AB390&amp;"-"&amp;$E390&amp;" "&amp;$F390,Bonuses!$B$1:$G$1006,4,FALSE)))</f>
        <v/>
      </c>
      <c r="AE390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/>
      </c>
    </row>
    <row r="391" spans="1:31" s="50" customFormat="1" x14ac:dyDescent="0.3">
      <c r="A391" s="50">
        <v>20375</v>
      </c>
      <c r="B391" s="50">
        <f>COUNTIF(Table5[PID],A391)</f>
        <v>1</v>
      </c>
      <c r="C391" s="50" t="str">
        <f>IF(COUNTIF(Table3[[#All],[PID]],A391)&gt;0,"P","B")</f>
        <v>P</v>
      </c>
      <c r="D391" s="59" t="str">
        <f>IF($C391="B",INDEX(Batters[[#All],[POS]],MATCH(Table5[[#This Row],[PID]],Batters[[#All],[PID]],0)),INDEX(Table3[[#All],[POS]],MATCH(Table5[[#This Row],[PID]],Table3[[#All],[PID]],0)))</f>
        <v>SP</v>
      </c>
      <c r="E391" s="52" t="str">
        <f>IF($C391="B",INDEX(Batters[[#All],[First]],MATCH(Table5[[#This Row],[PID]],Batters[[#All],[PID]],0)),INDEX(Table3[[#All],[First]],MATCH(Table5[[#This Row],[PID]],Table3[[#All],[PID]],0)))</f>
        <v>Tim</v>
      </c>
      <c r="F391" s="50" t="str">
        <f>IF($C391="B",INDEX(Batters[[#All],[Last]],MATCH(A391,Batters[[#All],[PID]],0)),INDEX(Table3[[#All],[Last]],MATCH(A391,Table3[[#All],[PID]],0)))</f>
        <v>McVitty</v>
      </c>
      <c r="G391" s="56">
        <f>IF($C391="B",INDEX(Batters[[#All],[Age]],MATCH(Table5[[#This Row],[PID]],Batters[[#All],[PID]],0)),INDEX(Table3[[#All],[Age]],MATCH(Table5[[#This Row],[PID]],Table3[[#All],[PID]],0)))</f>
        <v>17</v>
      </c>
      <c r="H391" s="52" t="str">
        <f>IF($C391="B",INDEX(Batters[[#All],[B]],MATCH(Table5[[#This Row],[PID]],Batters[[#All],[PID]],0)),INDEX(Table3[[#All],[B]],MATCH(Table5[[#This Row],[PID]],Table3[[#All],[PID]],0)))</f>
        <v>L</v>
      </c>
      <c r="I391" s="52" t="str">
        <f>IF($C391="B",INDEX(Batters[[#All],[T]],MATCH(Table5[[#This Row],[PID]],Batters[[#All],[PID]],0)),INDEX(Table3[[#All],[T]],MATCH(Table5[[#This Row],[PID]],Table3[[#All],[PID]],0)))</f>
        <v>L</v>
      </c>
      <c r="J391" s="52" t="str">
        <f>IF($C391="B",INDEX(Batters[[#All],[WE]],MATCH(Table5[[#This Row],[PID]],Batters[[#All],[PID]],0)),INDEX(Table3[[#All],[WE]],MATCH(Table5[[#This Row],[PID]],Table3[[#All],[PID]],0)))</f>
        <v>Normal</v>
      </c>
      <c r="K391" s="52" t="str">
        <f>IF($C391="B",INDEX(Batters[[#All],[INT]],MATCH(Table5[[#This Row],[PID]],Batters[[#All],[PID]],0)),INDEX(Table3[[#All],[INT]],MATCH(Table5[[#This Row],[PID]],Table3[[#All],[PID]],0)))</f>
        <v>Normal</v>
      </c>
      <c r="L391" s="60">
        <f>IF($C391="B",INDEX(Batters[[#All],[CON P]],MATCH(Table5[[#This Row],[PID]],Batters[[#All],[PID]],0)),INDEX(Table3[[#All],[STU P]],MATCH(Table5[[#This Row],[PID]],Table3[[#All],[PID]],0)))</f>
        <v>4</v>
      </c>
      <c r="M391" s="56">
        <f>IF($C391="B",INDEX(Batters[[#All],[GAP P]],MATCH(Table5[[#This Row],[PID]],Batters[[#All],[PID]],0)),INDEX(Table3[[#All],[MOV P]],MATCH(Table5[[#This Row],[PID]],Table3[[#All],[PID]],0)))</f>
        <v>1</v>
      </c>
      <c r="N391" s="56">
        <f>IF($C391="B",INDEX(Batters[[#All],[POW P]],MATCH(Table5[[#This Row],[PID]],Batters[[#All],[PID]],0)),INDEX(Table3[[#All],[CON P]],MATCH(Table5[[#This Row],[PID]],Table3[[#All],[PID]],0)))</f>
        <v>4</v>
      </c>
      <c r="O391" s="56" t="str">
        <f>IF($C391="B",INDEX(Batters[[#All],[EYE P]],MATCH(Table5[[#This Row],[PID]],Batters[[#All],[PID]],0)),INDEX(Table3[[#All],[VELO]],MATCH(Table5[[#This Row],[PID]],Table3[[#All],[PID]],0)))</f>
        <v>93-95 Mph</v>
      </c>
      <c r="P391" s="56">
        <f>IF($C391="B",INDEX(Batters[[#All],[K P]],MATCH(Table5[[#This Row],[PID]],Batters[[#All],[PID]],0)),INDEX(Table3[[#All],[STM]],MATCH(Table5[[#This Row],[PID]],Table3[[#All],[PID]],0)))</f>
        <v>6</v>
      </c>
      <c r="Q391" s="61">
        <f>IF($C391="B",INDEX(Batters[[#All],[Tot]],MATCH(Table5[[#This Row],[PID]],Batters[[#All],[PID]],0)),INDEX(Table3[[#All],[Tot]],MATCH(Table5[[#This Row],[PID]],Table3[[#All],[PID]],0)))</f>
        <v>36.609190378303261</v>
      </c>
      <c r="R391" s="52">
        <f>IF($C391="B",INDEX(Batters[[#All],[zScore]],MATCH(Table5[[#This Row],[PID]],Batters[[#All],[PID]],0)),INDEX(Table3[[#All],[zScore]],MATCH(Table5[[#This Row],[PID]],Table3[[#All],[PID]],0)))</f>
        <v>-8.4977918468808589E-2</v>
      </c>
      <c r="S391" s="58" t="str">
        <f>IF($C391="B",INDEX(Batters[[#All],[DEM]],MATCH(Table5[[#This Row],[PID]],Batters[[#All],[PID]],0)),INDEX(Table3[[#All],[DEM]],MATCH(Table5[[#This Row],[PID]],Table3[[#All],[PID]],0)))</f>
        <v>$65k</v>
      </c>
      <c r="T391" s="62">
        <f>IF($C391="B",INDEX(Batters[[#All],[Rnk]],MATCH(Table5[[#This Row],[PID]],Batters[[#All],[PID]],0)),INDEX(Table3[[#All],[Rnk]],MATCH(Table5[[#This Row],[PID]],Table3[[#All],[PID]],0)))</f>
        <v>900</v>
      </c>
      <c r="U391" s="67">
        <f>IF($C391="B",VLOOKUP($A391,Bat!$A$4:$BA$1314,47,FALSE),VLOOKUP($A391,Pit!$A$4:$BF$1214,56,FALSE))</f>
        <v>139</v>
      </c>
      <c r="V391" s="50">
        <f>IF($C391="B",VLOOKUP($A391,Bat!$A$4:$BA$1314,48,FALSE),VLOOKUP($A391,Pit!$A$4:$BF$1214,57,FALSE))</f>
        <v>0</v>
      </c>
      <c r="W391" s="68">
        <f>IF(Table5[[#This Row],[posRnk]]=999,9999,Table5[[#This Row],[posRnk]]+Table5[[#This Row],[zRnk]]+IF($W$3&lt;&gt;Table5[[#This Row],[Type]],50,0))</f>
        <v>1312</v>
      </c>
      <c r="X391" s="51">
        <f>RANK(Table5[[#This Row],[zScore]],Table5[[#All],[zScore]])</f>
        <v>412</v>
      </c>
      <c r="Y391" s="50">
        <f>IFERROR(INDEX(DraftResults[[#All],[OVR]],MATCH(Table5[[#This Row],[PID]],DraftResults[[#All],[Player ID]],0)),"")</f>
        <v>555</v>
      </c>
      <c r="Z391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17</v>
      </c>
      <c r="AA391" s="50">
        <f>IFERROR(INDEX(DraftResults[[#All],[Pick in Round]],MATCH(Table5[[#This Row],[PID]],DraftResults[[#All],[Player ID]],0)),"")</f>
        <v>20</v>
      </c>
      <c r="AB391" s="50" t="str">
        <f>IFERROR(INDEX(DraftResults[[#All],[Team Name]],MATCH(Table5[[#This Row],[PID]],DraftResults[[#All],[Player ID]],0)),"")</f>
        <v>Crystal Lake Sandgnats</v>
      </c>
      <c r="AC391" s="50">
        <f>IF(Table5[[#This Row],[Ovr]]="","",IF(Table5[[#This Row],[cmbList]]="","",Table5[[#This Row],[cmbList]]-Table5[[#This Row],[Ovr]]))</f>
        <v>757</v>
      </c>
      <c r="AD391" s="54" t="str">
        <f>IF(ISERROR(VLOOKUP($AB391&amp;"-"&amp;$E391&amp;" "&amp;F391,Bonuses!$B$1:$G$1006,4,FALSE)),"",INT(VLOOKUP($AB391&amp;"-"&amp;$E391&amp;" "&amp;$F391,Bonuses!$B$1:$G$1006,4,FALSE)))</f>
        <v/>
      </c>
      <c r="AE391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17.20 (555) - SP Tim McVitty</v>
      </c>
    </row>
    <row r="392" spans="1:31" s="50" customFormat="1" x14ac:dyDescent="0.3">
      <c r="A392" s="67">
        <v>20959</v>
      </c>
      <c r="B392" s="68">
        <f>COUNTIF(Table5[PID],A392)</f>
        <v>1</v>
      </c>
      <c r="C392" s="68" t="str">
        <f>IF(COUNTIF(Table3[[#All],[PID]],A392)&gt;0,"P","B")</f>
        <v>P</v>
      </c>
      <c r="D392" s="59" t="str">
        <f>IF($C392="B",INDEX(Batters[[#All],[POS]],MATCH(Table5[[#This Row],[PID]],Batters[[#All],[PID]],0)),INDEX(Table3[[#All],[POS]],MATCH(Table5[[#This Row],[PID]],Table3[[#All],[PID]],0)))</f>
        <v>SP</v>
      </c>
      <c r="E392" s="52" t="str">
        <f>IF($C392="B",INDEX(Batters[[#All],[First]],MATCH(Table5[[#This Row],[PID]],Batters[[#All],[PID]],0)),INDEX(Table3[[#All],[First]],MATCH(Table5[[#This Row],[PID]],Table3[[#All],[PID]],0)))</f>
        <v>Boyd</v>
      </c>
      <c r="F392" s="55" t="str">
        <f>IF($C392="B",INDEX(Batters[[#All],[Last]],MATCH(A392,Batters[[#All],[PID]],0)),INDEX(Table3[[#All],[Last]],MATCH(A392,Table3[[#All],[PID]],0)))</f>
        <v>Braun</v>
      </c>
      <c r="G392" s="56">
        <f>IF($C392="B",INDEX(Batters[[#All],[Age]],MATCH(Table5[[#This Row],[PID]],Batters[[#All],[PID]],0)),INDEX(Table3[[#All],[Age]],MATCH(Table5[[#This Row],[PID]],Table3[[#All],[PID]],0)))</f>
        <v>17</v>
      </c>
      <c r="H392" s="52" t="str">
        <f>IF($C392="B",INDEX(Batters[[#All],[B]],MATCH(Table5[[#This Row],[PID]],Batters[[#All],[PID]],0)),INDEX(Table3[[#All],[B]],MATCH(Table5[[#This Row],[PID]],Table3[[#All],[PID]],0)))</f>
        <v>R</v>
      </c>
      <c r="I392" s="52" t="str">
        <f>IF($C392="B",INDEX(Batters[[#All],[T]],MATCH(Table5[[#This Row],[PID]],Batters[[#All],[PID]],0)),INDEX(Table3[[#All],[T]],MATCH(Table5[[#This Row],[PID]],Table3[[#All],[PID]],0)))</f>
        <v>R</v>
      </c>
      <c r="J392" s="69" t="str">
        <f>IF($C392="B",INDEX(Batters[[#All],[WE]],MATCH(Table5[[#This Row],[PID]],Batters[[#All],[PID]],0)),INDEX(Table3[[#All],[WE]],MATCH(Table5[[#This Row],[PID]],Table3[[#All],[PID]],0)))</f>
        <v>Normal</v>
      </c>
      <c r="K392" s="52" t="str">
        <f>IF($C392="B",INDEX(Batters[[#All],[INT]],MATCH(Table5[[#This Row],[PID]],Batters[[#All],[PID]],0)),INDEX(Table3[[#All],[INT]],MATCH(Table5[[#This Row],[PID]],Table3[[#All],[PID]],0)))</f>
        <v>Normal</v>
      </c>
      <c r="L392" s="60">
        <f>IF($C392="B",INDEX(Batters[[#All],[CON P]],MATCH(Table5[[#This Row],[PID]],Batters[[#All],[PID]],0)),INDEX(Table3[[#All],[STU P]],MATCH(Table5[[#This Row],[PID]],Table3[[#All],[PID]],0)))</f>
        <v>5</v>
      </c>
      <c r="M392" s="70">
        <f>IF($C392="B",INDEX(Batters[[#All],[GAP P]],MATCH(Table5[[#This Row],[PID]],Batters[[#All],[PID]],0)),INDEX(Table3[[#All],[MOV P]],MATCH(Table5[[#This Row],[PID]],Table3[[#All],[PID]],0)))</f>
        <v>1</v>
      </c>
      <c r="N392" s="70">
        <f>IF($C392="B",INDEX(Batters[[#All],[POW P]],MATCH(Table5[[#This Row],[PID]],Batters[[#All],[PID]],0)),INDEX(Table3[[#All],[CON P]],MATCH(Table5[[#This Row],[PID]],Table3[[#All],[PID]],0)))</f>
        <v>3</v>
      </c>
      <c r="O392" s="70" t="str">
        <f>IF($C392="B",INDEX(Batters[[#All],[EYE P]],MATCH(Table5[[#This Row],[PID]],Batters[[#All],[PID]],0)),INDEX(Table3[[#All],[VELO]],MATCH(Table5[[#This Row],[PID]],Table3[[#All],[PID]],0)))</f>
        <v>94-96 Mph</v>
      </c>
      <c r="P392" s="56">
        <f>IF($C392="B",INDEX(Batters[[#All],[K P]],MATCH(Table5[[#This Row],[PID]],Batters[[#All],[PID]],0)),INDEX(Table3[[#All],[STM]],MATCH(Table5[[#This Row],[PID]],Table3[[#All],[PID]],0)))</f>
        <v>8</v>
      </c>
      <c r="Q392" s="61">
        <f>IF($C392="B",INDEX(Batters[[#All],[Tot]],MATCH(Table5[[#This Row],[PID]],Batters[[#All],[PID]],0)),INDEX(Table3[[#All],[Tot]],MATCH(Table5[[#This Row],[PID]],Table3[[#All],[PID]],0)))</f>
        <v>36.519404782485978</v>
      </c>
      <c r="R392" s="52">
        <f>IF($C392="B",INDEX(Batters[[#All],[zScore]],MATCH(Table5[[#This Row],[PID]],Batters[[#All],[PID]],0)),INDEX(Table3[[#All],[zScore]],MATCH(Table5[[#This Row],[PID]],Table3[[#All],[PID]],0)))</f>
        <v>-9.1371284341689535E-2</v>
      </c>
      <c r="S392" s="75" t="str">
        <f>IF($C392="B",INDEX(Batters[[#All],[DEM]],MATCH(Table5[[#This Row],[PID]],Batters[[#All],[PID]],0)),INDEX(Table3[[#All],[DEM]],MATCH(Table5[[#This Row],[PID]],Table3[[#All],[PID]],0)))</f>
        <v>$65k</v>
      </c>
      <c r="T392" s="72">
        <f>IF($C392="B",INDEX(Batters[[#All],[Rnk]],MATCH(Table5[[#This Row],[PID]],Batters[[#All],[PID]],0)),INDEX(Table3[[#All],[Rnk]],MATCH(Table5[[#This Row],[PID]],Table3[[#All],[PID]],0)))</f>
        <v>900</v>
      </c>
      <c r="U392" s="67">
        <f>IF($C392="B",VLOOKUP($A392,Bat!$A$4:$BA$1314,47,FALSE),VLOOKUP($A392,Pit!$A$4:$BF$1214,56,FALSE))</f>
        <v>140</v>
      </c>
      <c r="V392" s="50">
        <f>IF($C392="B",VLOOKUP($A392,Bat!$A$4:$BA$1314,48,FALSE),VLOOKUP($A392,Pit!$A$4:$BF$1214,57,FALSE))</f>
        <v>0</v>
      </c>
      <c r="W392" s="68">
        <f>IF(Table5[[#This Row],[posRnk]]=999,9999,Table5[[#This Row],[posRnk]]+Table5[[#This Row],[zRnk]]+IF($W$3&lt;&gt;Table5[[#This Row],[Type]],50,0))</f>
        <v>1313</v>
      </c>
      <c r="X392" s="71">
        <f>RANK(Table5[[#This Row],[zScore]],Table5[[#All],[zScore]])</f>
        <v>413</v>
      </c>
      <c r="Y392" s="68">
        <f>IFERROR(INDEX(DraftResults[[#All],[OVR]],MATCH(Table5[[#This Row],[PID]],DraftResults[[#All],[Player ID]],0)),"")</f>
        <v>502</v>
      </c>
      <c r="Z392" s="7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16</v>
      </c>
      <c r="AA392" s="68">
        <f>IFERROR(INDEX(DraftResults[[#All],[Pick in Round]],MATCH(Table5[[#This Row],[PID]],DraftResults[[#All],[Player ID]],0)),"")</f>
        <v>1</v>
      </c>
      <c r="AB392" s="68" t="str">
        <f>IFERROR(INDEX(DraftResults[[#All],[Team Name]],MATCH(Table5[[#This Row],[PID]],DraftResults[[#All],[Player ID]],0)),"")</f>
        <v>Yuma Arroyos</v>
      </c>
      <c r="AC392" s="68">
        <f>IF(Table5[[#This Row],[Ovr]]="","",IF(Table5[[#This Row],[cmbList]]="","",Table5[[#This Row],[cmbList]]-Table5[[#This Row],[Ovr]]))</f>
        <v>811</v>
      </c>
      <c r="AD392" s="74" t="str">
        <f>IF(ISERROR(VLOOKUP($AB392&amp;"-"&amp;$E392&amp;" "&amp;F392,Bonuses!$B$1:$G$1006,4,FALSE)),"",INT(VLOOKUP($AB392&amp;"-"&amp;$E392&amp;" "&amp;$F392,Bonuses!$B$1:$G$1006,4,FALSE)))</f>
        <v/>
      </c>
      <c r="AE392" s="68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16.1 (502) - SP Boyd Braun</v>
      </c>
    </row>
    <row r="393" spans="1:31" s="50" customFormat="1" x14ac:dyDescent="0.3">
      <c r="A393" s="50">
        <v>20853</v>
      </c>
      <c r="B393" s="50">
        <f>COUNTIF(Table5[PID],A393)</f>
        <v>1</v>
      </c>
      <c r="C393" s="50" t="str">
        <f>IF(COUNTIF(Table3[[#All],[PID]],A393)&gt;0,"P","B")</f>
        <v>P</v>
      </c>
      <c r="D393" s="59" t="str">
        <f>IF($C393="B",INDEX(Batters[[#All],[POS]],MATCH(Table5[[#This Row],[PID]],Batters[[#All],[PID]],0)),INDEX(Table3[[#All],[POS]],MATCH(Table5[[#This Row],[PID]],Table3[[#All],[PID]],0)))</f>
        <v>RP</v>
      </c>
      <c r="E393" s="52" t="str">
        <f>IF($C393="B",INDEX(Batters[[#All],[First]],MATCH(Table5[[#This Row],[PID]],Batters[[#All],[PID]],0)),INDEX(Table3[[#All],[First]],MATCH(Table5[[#This Row],[PID]],Table3[[#All],[PID]],0)))</f>
        <v>Joe</v>
      </c>
      <c r="F393" s="50" t="str">
        <f>IF($C393="B",INDEX(Batters[[#All],[Last]],MATCH(A393,Batters[[#All],[PID]],0)),INDEX(Table3[[#All],[Last]],MATCH(A393,Table3[[#All],[PID]],0)))</f>
        <v>von Strantz</v>
      </c>
      <c r="G393" s="56">
        <f>IF($C393="B",INDEX(Batters[[#All],[Age]],MATCH(Table5[[#This Row],[PID]],Batters[[#All],[PID]],0)),INDEX(Table3[[#All],[Age]],MATCH(Table5[[#This Row],[PID]],Table3[[#All],[PID]],0)))</f>
        <v>17</v>
      </c>
      <c r="H393" s="52" t="str">
        <f>IF($C393="B",INDEX(Batters[[#All],[B]],MATCH(Table5[[#This Row],[PID]],Batters[[#All],[PID]],0)),INDEX(Table3[[#All],[B]],MATCH(Table5[[#This Row],[PID]],Table3[[#All],[PID]],0)))</f>
        <v>R</v>
      </c>
      <c r="I393" s="52" t="str">
        <f>IF($C393="B",INDEX(Batters[[#All],[T]],MATCH(Table5[[#This Row],[PID]],Batters[[#All],[PID]],0)),INDEX(Table3[[#All],[T]],MATCH(Table5[[#This Row],[PID]],Table3[[#All],[PID]],0)))</f>
        <v>L</v>
      </c>
      <c r="J393" s="52" t="str">
        <f>IF($C393="B",INDEX(Batters[[#All],[WE]],MATCH(Table5[[#This Row],[PID]],Batters[[#All],[PID]],0)),INDEX(Table3[[#All],[WE]],MATCH(Table5[[#This Row],[PID]],Table3[[#All],[PID]],0)))</f>
        <v>Low</v>
      </c>
      <c r="K393" s="52" t="str">
        <f>IF($C393="B",INDEX(Batters[[#All],[INT]],MATCH(Table5[[#This Row],[PID]],Batters[[#All],[PID]],0)),INDEX(Table3[[#All],[INT]],MATCH(Table5[[#This Row],[PID]],Table3[[#All],[PID]],0)))</f>
        <v>Low</v>
      </c>
      <c r="L393" s="60">
        <f>IF($C393="B",INDEX(Batters[[#All],[CON P]],MATCH(Table5[[#This Row],[PID]],Batters[[#All],[PID]],0)),INDEX(Table3[[#All],[STU P]],MATCH(Table5[[#This Row],[PID]],Table3[[#All],[PID]],0)))</f>
        <v>5</v>
      </c>
      <c r="M393" s="56">
        <f>IF($C393="B",INDEX(Batters[[#All],[GAP P]],MATCH(Table5[[#This Row],[PID]],Batters[[#All],[PID]],0)),INDEX(Table3[[#All],[MOV P]],MATCH(Table5[[#This Row],[PID]],Table3[[#All],[PID]],0)))</f>
        <v>1</v>
      </c>
      <c r="N393" s="56">
        <f>IF($C393="B",INDEX(Batters[[#All],[POW P]],MATCH(Table5[[#This Row],[PID]],Batters[[#All],[PID]],0)),INDEX(Table3[[#All],[CON P]],MATCH(Table5[[#This Row],[PID]],Table3[[#All],[PID]],0)))</f>
        <v>4</v>
      </c>
      <c r="O393" s="56" t="str">
        <f>IF($C393="B",INDEX(Batters[[#All],[EYE P]],MATCH(Table5[[#This Row],[PID]],Batters[[#All],[PID]],0)),INDEX(Table3[[#All],[VELO]],MATCH(Table5[[#This Row],[PID]],Table3[[#All],[PID]],0)))</f>
        <v>88-90 Mph</v>
      </c>
      <c r="P393" s="56">
        <f>IF($C393="B",INDEX(Batters[[#All],[K P]],MATCH(Table5[[#This Row],[PID]],Batters[[#All],[PID]],0)),INDEX(Table3[[#All],[STM]],MATCH(Table5[[#This Row],[PID]],Table3[[#All],[PID]],0)))</f>
        <v>8</v>
      </c>
      <c r="Q393" s="61">
        <f>IF($C393="B",INDEX(Batters[[#All],[Tot]],MATCH(Table5[[#This Row],[PID]],Batters[[#All],[PID]],0)),INDEX(Table3[[#All],[Tot]],MATCH(Table5[[#This Row],[PID]],Table3[[#All],[PID]],0)))</f>
        <v>38.643391596678285</v>
      </c>
      <c r="R393" s="52">
        <f>IF($C393="B",INDEX(Batters[[#All],[zScore]],MATCH(Table5[[#This Row],[PID]],Batters[[#All],[PID]],0)),INDEX(Table3[[#All],[zScore]],MATCH(Table5[[#This Row],[PID]],Table3[[#All],[PID]],0)))</f>
        <v>5.9871514558268613E-2</v>
      </c>
      <c r="S393" s="58" t="str">
        <f>IF($C393="B",INDEX(Batters[[#All],[DEM]],MATCH(Table5[[#This Row],[PID]],Batters[[#All],[PID]],0)),INDEX(Table3[[#All],[DEM]],MATCH(Table5[[#This Row],[PID]],Table3[[#All],[PID]],0)))</f>
        <v>$38k</v>
      </c>
      <c r="T393" s="62">
        <f>IF($C393="B",INDEX(Batters[[#All],[Rnk]],MATCH(Table5[[#This Row],[PID]],Batters[[#All],[PID]],0)),INDEX(Table3[[#All],[Rnk]],MATCH(Table5[[#This Row],[PID]],Table3[[#All],[PID]],0)))</f>
        <v>950</v>
      </c>
      <c r="U393" s="67">
        <f>IF($C393="B",VLOOKUP($A393,Bat!$A$4:$BA$1314,47,FALSE),VLOOKUP($A393,Pit!$A$4:$BF$1214,56,FALSE))</f>
        <v>412</v>
      </c>
      <c r="V393" s="50">
        <f>IF($C393="B",VLOOKUP($A393,Bat!$A$4:$BA$1314,48,FALSE),VLOOKUP($A393,Pit!$A$4:$BF$1214,57,FALSE))</f>
        <v>0</v>
      </c>
      <c r="W393" s="68">
        <f>IF(Table5[[#This Row],[posRnk]]=999,9999,Table5[[#This Row],[posRnk]]+Table5[[#This Row],[zRnk]]+IF($W$3&lt;&gt;Table5[[#This Row],[Type]],50,0))</f>
        <v>1313</v>
      </c>
      <c r="X393" s="51">
        <f>RANK(Table5[[#This Row],[zScore]],Table5[[#All],[zScore]])</f>
        <v>363</v>
      </c>
      <c r="Y393" s="50">
        <f>IFERROR(INDEX(DraftResults[[#All],[OVR]],MATCH(Table5[[#This Row],[PID]],DraftResults[[#All],[Player ID]],0)),"")</f>
        <v>245</v>
      </c>
      <c r="Z393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8</v>
      </c>
      <c r="AA393" s="50">
        <f>IFERROR(INDEX(DraftResults[[#All],[Pick in Round]],MATCH(Table5[[#This Row],[PID]],DraftResults[[#All],[Player ID]],0)),"")</f>
        <v>12</v>
      </c>
      <c r="AB393" s="50" t="str">
        <f>IFERROR(INDEX(DraftResults[[#All],[Team Name]],MATCH(Table5[[#This Row],[PID]],DraftResults[[#All],[Player ID]],0)),"")</f>
        <v>Manchester Maulers</v>
      </c>
      <c r="AC393" s="50">
        <f>IF(Table5[[#This Row],[Ovr]]="","",IF(Table5[[#This Row],[cmbList]]="","",Table5[[#This Row],[cmbList]]-Table5[[#This Row],[Ovr]]))</f>
        <v>1068</v>
      </c>
      <c r="AD393" s="54" t="str">
        <f>IF(ISERROR(VLOOKUP($AB393&amp;"-"&amp;$E393&amp;" "&amp;F393,Bonuses!$B$1:$G$1006,4,FALSE)),"",INT(VLOOKUP($AB393&amp;"-"&amp;$E393&amp;" "&amp;$F393,Bonuses!$B$1:$G$1006,4,FALSE)))</f>
        <v/>
      </c>
      <c r="AE393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8.12 (245) - RP Joe von Strantz</v>
      </c>
    </row>
    <row r="394" spans="1:31" s="50" customFormat="1" x14ac:dyDescent="0.3">
      <c r="A394" s="50">
        <v>12961</v>
      </c>
      <c r="B394" s="50">
        <f>COUNTIF(Table5[PID],A394)</f>
        <v>1</v>
      </c>
      <c r="C394" s="50" t="str">
        <f>IF(COUNTIF(Table3[[#All],[PID]],A394)&gt;0,"P","B")</f>
        <v>P</v>
      </c>
      <c r="D394" s="59" t="str">
        <f>IF($C394="B",INDEX(Batters[[#All],[POS]],MATCH(Table5[[#This Row],[PID]],Batters[[#All],[PID]],0)),INDEX(Table3[[#All],[POS]],MATCH(Table5[[#This Row],[PID]],Table3[[#All],[PID]],0)))</f>
        <v>RP</v>
      </c>
      <c r="E394" s="52" t="str">
        <f>IF($C394="B",INDEX(Batters[[#All],[First]],MATCH(Table5[[#This Row],[PID]],Batters[[#All],[PID]],0)),INDEX(Table3[[#All],[First]],MATCH(Table5[[#This Row],[PID]],Table3[[#All],[PID]],0)))</f>
        <v>Koos</v>
      </c>
      <c r="F394" s="50" t="str">
        <f>IF($C394="B",INDEX(Batters[[#All],[Last]],MATCH(A394,Batters[[#All],[PID]],0)),INDEX(Table3[[#All],[Last]],MATCH(A394,Table3[[#All],[PID]],0)))</f>
        <v>Olthuis</v>
      </c>
      <c r="G394" s="56">
        <f>IF($C394="B",INDEX(Batters[[#All],[Age]],MATCH(Table5[[#This Row],[PID]],Batters[[#All],[PID]],0)),INDEX(Table3[[#All],[Age]],MATCH(Table5[[#This Row],[PID]],Table3[[#All],[PID]],0)))</f>
        <v>17</v>
      </c>
      <c r="H394" s="52" t="str">
        <f>IF($C394="B",INDEX(Batters[[#All],[B]],MATCH(Table5[[#This Row],[PID]],Batters[[#All],[PID]],0)),INDEX(Table3[[#All],[B]],MATCH(Table5[[#This Row],[PID]],Table3[[#All],[PID]],0)))</f>
        <v>L</v>
      </c>
      <c r="I394" s="52" t="str">
        <f>IF($C394="B",INDEX(Batters[[#All],[T]],MATCH(Table5[[#This Row],[PID]],Batters[[#All],[PID]],0)),INDEX(Table3[[#All],[T]],MATCH(Table5[[#This Row],[PID]],Table3[[#All],[PID]],0)))</f>
        <v>R</v>
      </c>
      <c r="J394" s="52" t="str">
        <f>IF($C394="B",INDEX(Batters[[#All],[WE]],MATCH(Table5[[#This Row],[PID]],Batters[[#All],[PID]],0)),INDEX(Table3[[#All],[WE]],MATCH(Table5[[#This Row],[PID]],Table3[[#All],[PID]],0)))</f>
        <v>Normal</v>
      </c>
      <c r="K394" s="52" t="str">
        <f>IF($C394="B",INDEX(Batters[[#All],[INT]],MATCH(Table5[[#This Row],[PID]],Batters[[#All],[PID]],0)),INDEX(Table3[[#All],[INT]],MATCH(Table5[[#This Row],[PID]],Table3[[#All],[PID]],0)))</f>
        <v>High</v>
      </c>
      <c r="L394" s="60">
        <f>IF($C394="B",INDEX(Batters[[#All],[CON P]],MATCH(Table5[[#This Row],[PID]],Batters[[#All],[PID]],0)),INDEX(Table3[[#All],[STU P]],MATCH(Table5[[#This Row],[PID]],Table3[[#All],[PID]],0)))</f>
        <v>5</v>
      </c>
      <c r="M394" s="56">
        <f>IF($C394="B",INDEX(Batters[[#All],[GAP P]],MATCH(Table5[[#This Row],[PID]],Batters[[#All],[PID]],0)),INDEX(Table3[[#All],[MOV P]],MATCH(Table5[[#This Row],[PID]],Table3[[#All],[PID]],0)))</f>
        <v>1</v>
      </c>
      <c r="N394" s="56">
        <f>IF($C394="B",INDEX(Batters[[#All],[POW P]],MATCH(Table5[[#This Row],[PID]],Batters[[#All],[PID]],0)),INDEX(Table3[[#All],[CON P]],MATCH(Table5[[#This Row],[PID]],Table3[[#All],[PID]],0)))</f>
        <v>3</v>
      </c>
      <c r="O394" s="56" t="str">
        <f>IF($C394="B",INDEX(Batters[[#All],[EYE P]],MATCH(Table5[[#This Row],[PID]],Batters[[#All],[PID]],0)),INDEX(Table3[[#All],[VELO]],MATCH(Table5[[#This Row],[PID]],Table3[[#All],[PID]],0)))</f>
        <v>90-92 Mph</v>
      </c>
      <c r="P394" s="56">
        <f>IF($C394="B",INDEX(Batters[[#All],[K P]],MATCH(Table5[[#This Row],[PID]],Batters[[#All],[PID]],0)),INDEX(Table3[[#All],[STM]],MATCH(Table5[[#This Row],[PID]],Table3[[#All],[PID]],0)))</f>
        <v>10</v>
      </c>
      <c r="Q394" s="61">
        <f>IF($C394="B",INDEX(Batters[[#All],[Tot]],MATCH(Table5[[#This Row],[PID]],Batters[[#All],[PID]],0)),INDEX(Table3[[#All],[Tot]],MATCH(Table5[[#This Row],[PID]],Table3[[#All],[PID]],0)))</f>
        <v>36.48591854049792</v>
      </c>
      <c r="R394" s="52">
        <f>IF($C394="B",INDEX(Batters[[#All],[zScore]],MATCH(Table5[[#This Row],[PID]],Batters[[#All],[PID]],0)),INDEX(Table3[[#All],[zScore]],MATCH(Table5[[#This Row],[PID]],Table3[[#All],[PID]],0)))</f>
        <v>-9.3755740275725585E-2</v>
      </c>
      <c r="S394" s="58" t="str">
        <f>IF($C394="B",INDEX(Batters[[#All],[DEM]],MATCH(Table5[[#This Row],[PID]],Batters[[#All],[PID]],0)),INDEX(Table3[[#All],[DEM]],MATCH(Table5[[#This Row],[PID]],Table3[[#All],[PID]],0)))</f>
        <v>$80k</v>
      </c>
      <c r="T394" s="62">
        <f>IF($C394="B",INDEX(Batters[[#All],[Rnk]],MATCH(Table5[[#This Row],[PID]],Batters[[#All],[PID]],0)),INDEX(Table3[[#All],[Rnk]],MATCH(Table5[[#This Row],[PID]],Table3[[#All],[PID]],0)))</f>
        <v>900</v>
      </c>
      <c r="U394" s="67">
        <f>IF($C394="B",VLOOKUP($A394,Bat!$A$4:$BA$1314,47,FALSE),VLOOKUP($A394,Pit!$A$4:$BF$1214,56,FALSE))</f>
        <v>129</v>
      </c>
      <c r="V394" s="50">
        <f>IF($C394="B",VLOOKUP($A394,Bat!$A$4:$BA$1314,48,FALSE),VLOOKUP($A394,Pit!$A$4:$BF$1214,57,FALSE))</f>
        <v>0</v>
      </c>
      <c r="W394" s="68">
        <f>IF(Table5[[#This Row],[posRnk]]=999,9999,Table5[[#This Row],[posRnk]]+Table5[[#This Row],[zRnk]]+IF($W$3&lt;&gt;Table5[[#This Row],[Type]],50,0))</f>
        <v>1314</v>
      </c>
      <c r="X394" s="51">
        <f>RANK(Table5[[#This Row],[zScore]],Table5[[#All],[zScore]])</f>
        <v>414</v>
      </c>
      <c r="Y394" s="50">
        <f>IFERROR(INDEX(DraftResults[[#All],[OVR]],MATCH(Table5[[#This Row],[PID]],DraftResults[[#All],[Player ID]],0)),"")</f>
        <v>372</v>
      </c>
      <c r="Z394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12</v>
      </c>
      <c r="AA394" s="50">
        <f>IFERROR(INDEX(DraftResults[[#All],[Pick in Round]],MATCH(Table5[[#This Row],[PID]],DraftResults[[#All],[Player ID]],0)),"")</f>
        <v>7</v>
      </c>
      <c r="AB394" s="50" t="str">
        <f>IFERROR(INDEX(DraftResults[[#All],[Team Name]],MATCH(Table5[[#This Row],[PID]],DraftResults[[#All],[Player ID]],0)),"")</f>
        <v>Hartford Harpoon</v>
      </c>
      <c r="AC394" s="50">
        <f>IF(Table5[[#This Row],[Ovr]]="","",IF(Table5[[#This Row],[cmbList]]="","",Table5[[#This Row],[cmbList]]-Table5[[#This Row],[Ovr]]))</f>
        <v>942</v>
      </c>
      <c r="AD394" s="54" t="str">
        <f>IF(ISERROR(VLOOKUP($AB394&amp;"-"&amp;$E394&amp;" "&amp;F394,Bonuses!$B$1:$G$1006,4,FALSE)),"",INT(VLOOKUP($AB394&amp;"-"&amp;$E394&amp;" "&amp;$F394,Bonuses!$B$1:$G$1006,4,FALSE)))</f>
        <v/>
      </c>
      <c r="AE394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12.7 (372) - RP Koos Olthuis</v>
      </c>
    </row>
    <row r="395" spans="1:31" s="50" customFormat="1" x14ac:dyDescent="0.3">
      <c r="A395" s="50">
        <v>20456</v>
      </c>
      <c r="B395" s="50">
        <f>COUNTIF(Table5[PID],A395)</f>
        <v>1</v>
      </c>
      <c r="C395" s="50" t="str">
        <f>IF(COUNTIF(Table3[[#All],[PID]],A395)&gt;0,"P","B")</f>
        <v>P</v>
      </c>
      <c r="D395" s="59" t="str">
        <f>IF($C395="B",INDEX(Batters[[#All],[POS]],MATCH(Table5[[#This Row],[PID]],Batters[[#All],[PID]],0)),INDEX(Table3[[#All],[POS]],MATCH(Table5[[#This Row],[PID]],Table3[[#All],[PID]],0)))</f>
        <v>RP</v>
      </c>
      <c r="E395" s="52" t="str">
        <f>IF($C395="B",INDEX(Batters[[#All],[First]],MATCH(Table5[[#This Row],[PID]],Batters[[#All],[PID]],0)),INDEX(Table3[[#All],[First]],MATCH(Table5[[#This Row],[PID]],Table3[[#All],[PID]],0)))</f>
        <v>Bowo</v>
      </c>
      <c r="F395" s="50" t="str">
        <f>IF($C395="B",INDEX(Batters[[#All],[Last]],MATCH(A395,Batters[[#All],[PID]],0)),INDEX(Table3[[#All],[Last]],MATCH(A395,Table3[[#All],[PID]],0)))</f>
        <v>Kartini</v>
      </c>
      <c r="G395" s="56">
        <f>IF($C395="B",INDEX(Batters[[#All],[Age]],MATCH(Table5[[#This Row],[PID]],Batters[[#All],[PID]],0)),INDEX(Table3[[#All],[Age]],MATCH(Table5[[#This Row],[PID]],Table3[[#All],[PID]],0)))</f>
        <v>17</v>
      </c>
      <c r="H395" s="52" t="str">
        <f>IF($C395="B",INDEX(Batters[[#All],[B]],MATCH(Table5[[#This Row],[PID]],Batters[[#All],[PID]],0)),INDEX(Table3[[#All],[B]],MATCH(Table5[[#This Row],[PID]],Table3[[#All],[PID]],0)))</f>
        <v>L</v>
      </c>
      <c r="I395" s="52" t="str">
        <f>IF($C395="B",INDEX(Batters[[#All],[T]],MATCH(Table5[[#This Row],[PID]],Batters[[#All],[PID]],0)),INDEX(Table3[[#All],[T]],MATCH(Table5[[#This Row],[PID]],Table3[[#All],[PID]],0)))</f>
        <v>L</v>
      </c>
      <c r="J395" s="52" t="str">
        <f>IF($C395="B",INDEX(Batters[[#All],[WE]],MATCH(Table5[[#This Row],[PID]],Batters[[#All],[PID]],0)),INDEX(Table3[[#All],[WE]],MATCH(Table5[[#This Row],[PID]],Table3[[#All],[PID]],0)))</f>
        <v>Low</v>
      </c>
      <c r="K395" s="52" t="str">
        <f>IF($C395="B",INDEX(Batters[[#All],[INT]],MATCH(Table5[[#This Row],[PID]],Batters[[#All],[PID]],0)),INDEX(Table3[[#All],[INT]],MATCH(Table5[[#This Row],[PID]],Table3[[#All],[PID]],0)))</f>
        <v>Normal</v>
      </c>
      <c r="L395" s="60">
        <f>IF($C395="B",INDEX(Batters[[#All],[CON P]],MATCH(Table5[[#This Row],[PID]],Batters[[#All],[PID]],0)),INDEX(Table3[[#All],[STU P]],MATCH(Table5[[#This Row],[PID]],Table3[[#All],[PID]],0)))</f>
        <v>5</v>
      </c>
      <c r="M395" s="56">
        <f>IF($C395="B",INDEX(Batters[[#All],[GAP P]],MATCH(Table5[[#This Row],[PID]],Batters[[#All],[PID]],0)),INDEX(Table3[[#All],[MOV P]],MATCH(Table5[[#This Row],[PID]],Table3[[#All],[PID]],0)))</f>
        <v>2</v>
      </c>
      <c r="N395" s="56">
        <f>IF($C395="B",INDEX(Batters[[#All],[POW P]],MATCH(Table5[[#This Row],[PID]],Batters[[#All],[PID]],0)),INDEX(Table3[[#All],[CON P]],MATCH(Table5[[#This Row],[PID]],Table3[[#All],[PID]],0)))</f>
        <v>3</v>
      </c>
      <c r="O395" s="56" t="str">
        <f>IF($C395="B",INDEX(Batters[[#All],[EYE P]],MATCH(Table5[[#This Row],[PID]],Batters[[#All],[PID]],0)),INDEX(Table3[[#All],[VELO]],MATCH(Table5[[#This Row],[PID]],Table3[[#All],[PID]],0)))</f>
        <v>89-91 Mph</v>
      </c>
      <c r="P395" s="56">
        <f>IF($C395="B",INDEX(Batters[[#All],[K P]],MATCH(Table5[[#This Row],[PID]],Batters[[#All],[PID]],0)),INDEX(Table3[[#All],[STM]],MATCH(Table5[[#This Row],[PID]],Table3[[#All],[PID]],0)))</f>
        <v>2</v>
      </c>
      <c r="Q395" s="61">
        <f>IF($C395="B",INDEX(Batters[[#All],[Tot]],MATCH(Table5[[#This Row],[PID]],Batters[[#All],[PID]],0)),INDEX(Table3[[#All],[Tot]],MATCH(Table5[[#This Row],[PID]],Table3[[#All],[PID]],0)))</f>
        <v>37.764965900109047</v>
      </c>
      <c r="R395" s="52">
        <f>IF($C395="B",INDEX(Batters[[#All],[zScore]],MATCH(Table5[[#This Row],[PID]],Batters[[#All],[PID]],0)),INDEX(Table3[[#All],[zScore]],MATCH(Table5[[#This Row],[PID]],Table3[[#All],[PID]],0)))</f>
        <v>-2.6785728938035296E-3</v>
      </c>
      <c r="S395" s="58" t="str">
        <f>IF($C395="B",INDEX(Batters[[#All],[DEM]],MATCH(Table5[[#This Row],[PID]],Batters[[#All],[PID]],0)),INDEX(Table3[[#All],[DEM]],MATCH(Table5[[#This Row],[PID]],Table3[[#All],[PID]],0)))</f>
        <v>$95k</v>
      </c>
      <c r="T395" s="62">
        <f>IF($C395="B",INDEX(Batters[[#All],[Rnk]],MATCH(Table5[[#This Row],[PID]],Batters[[#All],[PID]],0)),INDEX(Table3[[#All],[Rnk]],MATCH(Table5[[#This Row],[PID]],Table3[[#All],[PID]],0)))</f>
        <v>930</v>
      </c>
      <c r="U395" s="67">
        <f>IF($C395="B",VLOOKUP($A395,Bat!$A$4:$BA$1314,47,FALSE),VLOOKUP($A395,Pit!$A$4:$BF$1214,56,FALSE))</f>
        <v>284</v>
      </c>
      <c r="V395" s="50">
        <f>IF($C395="B",VLOOKUP($A395,Bat!$A$4:$BA$1314,48,FALSE),VLOOKUP($A395,Pit!$A$4:$BF$1214,57,FALSE))</f>
        <v>0</v>
      </c>
      <c r="W395" s="68">
        <f>IF(Table5[[#This Row],[posRnk]]=999,9999,Table5[[#This Row],[posRnk]]+Table5[[#This Row],[zRnk]]+IF($W$3&lt;&gt;Table5[[#This Row],[Type]],50,0))</f>
        <v>1314</v>
      </c>
      <c r="X395" s="51">
        <f>RANK(Table5[[#This Row],[zScore]],Table5[[#All],[zScore]])</f>
        <v>384</v>
      </c>
      <c r="Y395" s="50">
        <f>IFERROR(INDEX(DraftResults[[#All],[OVR]],MATCH(Table5[[#This Row],[PID]],DraftResults[[#All],[Player ID]],0)),"")</f>
        <v>561</v>
      </c>
      <c r="Z395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17</v>
      </c>
      <c r="AA395" s="50">
        <f>IFERROR(INDEX(DraftResults[[#All],[Pick in Round]],MATCH(Table5[[#This Row],[PID]],DraftResults[[#All],[Player ID]],0)),"")</f>
        <v>26</v>
      </c>
      <c r="AB395" s="50" t="str">
        <f>IFERROR(INDEX(DraftResults[[#All],[Team Name]],MATCH(Table5[[#This Row],[PID]],DraftResults[[#All],[Player ID]],0)),"")</f>
        <v>Aurora Borealis</v>
      </c>
      <c r="AC395" s="50">
        <f>IF(Table5[[#This Row],[Ovr]]="","",IF(Table5[[#This Row],[cmbList]]="","",Table5[[#This Row],[cmbList]]-Table5[[#This Row],[Ovr]]))</f>
        <v>753</v>
      </c>
      <c r="AD395" s="54" t="str">
        <f>IF(ISERROR(VLOOKUP($AB395&amp;"-"&amp;$E395&amp;" "&amp;F395,Bonuses!$B$1:$G$1006,4,FALSE)),"",INT(VLOOKUP($AB395&amp;"-"&amp;$E395&amp;" "&amp;$F395,Bonuses!$B$1:$G$1006,4,FALSE)))</f>
        <v/>
      </c>
      <c r="AE395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17.26 (561) - RP Bowo Kartini</v>
      </c>
    </row>
    <row r="396" spans="1:31" s="50" customFormat="1" x14ac:dyDescent="0.3">
      <c r="A396" s="50">
        <v>17116</v>
      </c>
      <c r="B396" s="50">
        <f>COUNTIF(Table5[PID],A396)</f>
        <v>1</v>
      </c>
      <c r="C396" s="50" t="str">
        <f>IF(COUNTIF(Table3[[#All],[PID]],A396)&gt;0,"P","B")</f>
        <v>P</v>
      </c>
      <c r="D396" s="59" t="str">
        <f>IF($C396="B",INDEX(Batters[[#All],[POS]],MATCH(Table5[[#This Row],[PID]],Batters[[#All],[PID]],0)),INDEX(Table3[[#All],[POS]],MATCH(Table5[[#This Row],[PID]],Table3[[#All],[PID]],0)))</f>
        <v>RP</v>
      </c>
      <c r="E396" s="52" t="str">
        <f>IF($C396="B",INDEX(Batters[[#All],[First]],MATCH(Table5[[#This Row],[PID]],Batters[[#All],[PID]],0)),INDEX(Table3[[#All],[First]],MATCH(Table5[[#This Row],[PID]],Table3[[#All],[PID]],0)))</f>
        <v>Dwayne</v>
      </c>
      <c r="F396" s="50" t="str">
        <f>IF($C396="B",INDEX(Batters[[#All],[Last]],MATCH(A396,Batters[[#All],[PID]],0)),INDEX(Table3[[#All],[Last]],MATCH(A396,Table3[[#All],[PID]],0)))</f>
        <v>Foulkes</v>
      </c>
      <c r="G396" s="56">
        <f>IF($C396="B",INDEX(Batters[[#All],[Age]],MATCH(Table5[[#This Row],[PID]],Batters[[#All],[PID]],0)),INDEX(Table3[[#All],[Age]],MATCH(Table5[[#This Row],[PID]],Table3[[#All],[PID]],0)))</f>
        <v>21</v>
      </c>
      <c r="H396" s="52" t="str">
        <f>IF($C396="B",INDEX(Batters[[#All],[B]],MATCH(Table5[[#This Row],[PID]],Batters[[#All],[PID]],0)),INDEX(Table3[[#All],[B]],MATCH(Table5[[#This Row],[PID]],Table3[[#All],[PID]],0)))</f>
        <v>R</v>
      </c>
      <c r="I396" s="52" t="str">
        <f>IF($C396="B",INDEX(Batters[[#All],[T]],MATCH(Table5[[#This Row],[PID]],Batters[[#All],[PID]],0)),INDEX(Table3[[#All],[T]],MATCH(Table5[[#This Row],[PID]],Table3[[#All],[PID]],0)))</f>
        <v>R</v>
      </c>
      <c r="J396" s="52" t="str">
        <f>IF($C396="B",INDEX(Batters[[#All],[WE]],MATCH(Table5[[#This Row],[PID]],Batters[[#All],[PID]],0)),INDEX(Table3[[#All],[WE]],MATCH(Table5[[#This Row],[PID]],Table3[[#All],[PID]],0)))</f>
        <v>High</v>
      </c>
      <c r="K396" s="52" t="str">
        <f>IF($C396="B",INDEX(Batters[[#All],[INT]],MATCH(Table5[[#This Row],[PID]],Batters[[#All],[PID]],0)),INDEX(Table3[[#All],[INT]],MATCH(Table5[[#This Row],[PID]],Table3[[#All],[PID]],0)))</f>
        <v>High</v>
      </c>
      <c r="L396" s="60">
        <f>IF($C396="B",INDEX(Batters[[#All],[CON P]],MATCH(Table5[[#This Row],[PID]],Batters[[#All],[PID]],0)),INDEX(Table3[[#All],[STU P]],MATCH(Table5[[#This Row],[PID]],Table3[[#All],[PID]],0)))</f>
        <v>5</v>
      </c>
      <c r="M396" s="56">
        <f>IF($C396="B",INDEX(Batters[[#All],[GAP P]],MATCH(Table5[[#This Row],[PID]],Batters[[#All],[PID]],0)),INDEX(Table3[[#All],[MOV P]],MATCH(Table5[[#This Row],[PID]],Table3[[#All],[PID]],0)))</f>
        <v>1</v>
      </c>
      <c r="N396" s="56">
        <f>IF($C396="B",INDEX(Batters[[#All],[POW P]],MATCH(Table5[[#This Row],[PID]],Batters[[#All],[PID]],0)),INDEX(Table3[[#All],[CON P]],MATCH(Table5[[#This Row],[PID]],Table3[[#All],[PID]],0)))</f>
        <v>4</v>
      </c>
      <c r="O396" s="56" t="str">
        <f>IF($C396="B",INDEX(Batters[[#All],[EYE P]],MATCH(Table5[[#This Row],[PID]],Batters[[#All],[PID]],0)),INDEX(Table3[[#All],[VELO]],MATCH(Table5[[#This Row],[PID]],Table3[[#All],[PID]],0)))</f>
        <v>91-93 Mph</v>
      </c>
      <c r="P396" s="56">
        <f>IF($C396="B",INDEX(Batters[[#All],[K P]],MATCH(Table5[[#This Row],[PID]],Batters[[#All],[PID]],0)),INDEX(Table3[[#All],[STM]],MATCH(Table5[[#This Row],[PID]],Table3[[#All],[PID]],0)))</f>
        <v>6</v>
      </c>
      <c r="Q396" s="61">
        <f>IF($C396="B",INDEX(Batters[[#All],[Tot]],MATCH(Table5[[#This Row],[PID]],Batters[[#All],[PID]],0)),INDEX(Table3[[#All],[Tot]],MATCH(Table5[[#This Row],[PID]],Table3[[#All],[PID]],0)))</f>
        <v>36.46627412542118</v>
      </c>
      <c r="R396" s="52">
        <f>IF($C396="B",INDEX(Batters[[#All],[zScore]],MATCH(Table5[[#This Row],[PID]],Batters[[#All],[PID]],0)),INDEX(Table3[[#All],[zScore]],MATCH(Table5[[#This Row],[PID]],Table3[[#All],[PID]],0)))</f>
        <v>-9.5154560785865427E-2</v>
      </c>
      <c r="S396" s="58" t="str">
        <f>IF($C396="B",INDEX(Batters[[#All],[DEM]],MATCH(Table5[[#This Row],[PID]],Batters[[#All],[PID]],0)),INDEX(Table3[[#All],[DEM]],MATCH(Table5[[#This Row],[PID]],Table3[[#All],[PID]],0)))</f>
        <v>-</v>
      </c>
      <c r="T396" s="62">
        <f>IF($C396="B",INDEX(Batters[[#All],[Rnk]],MATCH(Table5[[#This Row],[PID]],Batters[[#All],[PID]],0)),INDEX(Table3[[#All],[Rnk]],MATCH(Table5[[#This Row],[PID]],Table3[[#All],[PID]],0)))</f>
        <v>900</v>
      </c>
      <c r="U396" s="67">
        <f>IF($C396="B",VLOOKUP($A396,Bat!$A$4:$BA$1314,47,FALSE),VLOOKUP($A396,Pit!$A$4:$BF$1214,56,FALSE))</f>
        <v>125</v>
      </c>
      <c r="V396" s="50">
        <f>IF($C396="B",VLOOKUP($A396,Bat!$A$4:$BA$1314,48,FALSE),VLOOKUP($A396,Pit!$A$4:$BF$1214,57,FALSE))</f>
        <v>0</v>
      </c>
      <c r="W396" s="68">
        <f>IF(Table5[[#This Row],[posRnk]]=999,9999,Table5[[#This Row],[posRnk]]+Table5[[#This Row],[zRnk]]+IF($W$3&lt;&gt;Table5[[#This Row],[Type]],50,0))</f>
        <v>1315</v>
      </c>
      <c r="X396" s="51">
        <f>RANK(Table5[[#This Row],[zScore]],Table5[[#All],[zScore]])</f>
        <v>415</v>
      </c>
      <c r="Y396" s="50">
        <f>IFERROR(INDEX(DraftResults[[#All],[OVR]],MATCH(Table5[[#This Row],[PID]],DraftResults[[#All],[Player ID]],0)),"")</f>
        <v>414</v>
      </c>
      <c r="Z396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13</v>
      </c>
      <c r="AA396" s="50">
        <f>IFERROR(INDEX(DraftResults[[#All],[Pick in Round]],MATCH(Table5[[#This Row],[PID]],DraftResults[[#All],[Player ID]],0)),"")</f>
        <v>15</v>
      </c>
      <c r="AB396" s="50" t="str">
        <f>IFERROR(INDEX(DraftResults[[#All],[Team Name]],MATCH(Table5[[#This Row],[PID]],DraftResults[[#All],[Player ID]],0)),"")</f>
        <v>Niihama-shi Ghosts</v>
      </c>
      <c r="AC396" s="50">
        <f>IF(Table5[[#This Row],[Ovr]]="","",IF(Table5[[#This Row],[cmbList]]="","",Table5[[#This Row],[cmbList]]-Table5[[#This Row],[Ovr]]))</f>
        <v>901</v>
      </c>
      <c r="AD396" s="54" t="str">
        <f>IF(ISERROR(VLOOKUP($AB396&amp;"-"&amp;$E396&amp;" "&amp;F396,Bonuses!$B$1:$G$1006,4,FALSE)),"",INT(VLOOKUP($AB396&amp;"-"&amp;$E396&amp;" "&amp;$F396,Bonuses!$B$1:$G$1006,4,FALSE)))</f>
        <v/>
      </c>
      <c r="AE396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13.15 (414) - RP Dwayne Foulkes</v>
      </c>
    </row>
    <row r="397" spans="1:31" s="50" customFormat="1" x14ac:dyDescent="0.3">
      <c r="A397" s="50">
        <v>11295</v>
      </c>
      <c r="B397" s="50">
        <f>COUNTIF(Table5[PID],A397)</f>
        <v>1</v>
      </c>
      <c r="C397" s="50" t="str">
        <f>IF(COUNTIF(Table3[[#All],[PID]],A397)&gt;0,"P","B")</f>
        <v>B</v>
      </c>
      <c r="D397" s="59" t="str">
        <f>IF($C397="B",INDEX(Batters[[#All],[POS]],MATCH(Table5[[#This Row],[PID]],Batters[[#All],[PID]],0)),INDEX(Table3[[#All],[POS]],MATCH(Table5[[#This Row],[PID]],Table3[[#All],[PID]],0)))</f>
        <v>SS</v>
      </c>
      <c r="E397" s="52" t="str">
        <f>IF($C397="B",INDEX(Batters[[#All],[First]],MATCH(Table5[[#This Row],[PID]],Batters[[#All],[PID]],0)),INDEX(Table3[[#All],[First]],MATCH(Table5[[#This Row],[PID]],Table3[[#All],[PID]],0)))</f>
        <v>Josh</v>
      </c>
      <c r="F397" s="50" t="str">
        <f>IF($C397="B",INDEX(Batters[[#All],[Last]],MATCH(A397,Batters[[#All],[PID]],0)),INDEX(Table3[[#All],[Last]],MATCH(A397,Table3[[#All],[PID]],0)))</f>
        <v>Logan</v>
      </c>
      <c r="G397" s="56">
        <f>IF($C397="B",INDEX(Batters[[#All],[Age]],MATCH(Table5[[#This Row],[PID]],Batters[[#All],[PID]],0)),INDEX(Table3[[#All],[Age]],MATCH(Table5[[#This Row],[PID]],Table3[[#All],[PID]],0)))</f>
        <v>17</v>
      </c>
      <c r="H397" s="52" t="str">
        <f>IF($C397="B",INDEX(Batters[[#All],[B]],MATCH(Table5[[#This Row],[PID]],Batters[[#All],[PID]],0)),INDEX(Table3[[#All],[B]],MATCH(Table5[[#This Row],[PID]],Table3[[#All],[PID]],0)))</f>
        <v>R</v>
      </c>
      <c r="I397" s="52" t="str">
        <f>IF($C397="B",INDEX(Batters[[#All],[T]],MATCH(Table5[[#This Row],[PID]],Batters[[#All],[PID]],0)),INDEX(Table3[[#All],[T]],MATCH(Table5[[#This Row],[PID]],Table3[[#All],[PID]],0)))</f>
        <v>R</v>
      </c>
      <c r="J397" s="52" t="str">
        <f>IF($C397="B",INDEX(Batters[[#All],[WE]],MATCH(Table5[[#This Row],[PID]],Batters[[#All],[PID]],0)),INDEX(Table3[[#All],[WE]],MATCH(Table5[[#This Row],[PID]],Table3[[#All],[PID]],0)))</f>
        <v>High</v>
      </c>
      <c r="K397" s="52" t="str">
        <f>IF($C397="B",INDEX(Batters[[#All],[INT]],MATCH(Table5[[#This Row],[PID]],Batters[[#All],[PID]],0)),INDEX(Table3[[#All],[INT]],MATCH(Table5[[#This Row],[PID]],Table3[[#All],[PID]],0)))</f>
        <v>Normal</v>
      </c>
      <c r="L397" s="60">
        <f>IF($C397="B",INDEX(Batters[[#All],[CON P]],MATCH(Table5[[#This Row],[PID]],Batters[[#All],[PID]],0)),INDEX(Table3[[#All],[STU P]],MATCH(Table5[[#This Row],[PID]],Table3[[#All],[PID]],0)))</f>
        <v>3</v>
      </c>
      <c r="M397" s="56">
        <f>IF($C397="B",INDEX(Batters[[#All],[GAP P]],MATCH(Table5[[#This Row],[PID]],Batters[[#All],[PID]],0)),INDEX(Table3[[#All],[MOV P]],MATCH(Table5[[#This Row],[PID]],Table3[[#All],[PID]],0)))</f>
        <v>5</v>
      </c>
      <c r="N397" s="56">
        <f>IF($C397="B",INDEX(Batters[[#All],[POW P]],MATCH(Table5[[#This Row],[PID]],Batters[[#All],[PID]],0)),INDEX(Table3[[#All],[CON P]],MATCH(Table5[[#This Row],[PID]],Table3[[#All],[PID]],0)))</f>
        <v>3</v>
      </c>
      <c r="O397" s="56">
        <f>IF($C397="B",INDEX(Batters[[#All],[EYE P]],MATCH(Table5[[#This Row],[PID]],Batters[[#All],[PID]],0)),INDEX(Table3[[#All],[VELO]],MATCH(Table5[[#This Row],[PID]],Table3[[#All],[PID]],0)))</f>
        <v>5</v>
      </c>
      <c r="P397" s="56">
        <f>IF($C397="B",INDEX(Batters[[#All],[K P]],MATCH(Table5[[#This Row],[PID]],Batters[[#All],[PID]],0)),INDEX(Table3[[#All],[STM]],MATCH(Table5[[#This Row],[PID]],Table3[[#All],[PID]],0)))</f>
        <v>3</v>
      </c>
      <c r="Q397" s="61">
        <f>IF($C397="B",INDEX(Batters[[#All],[Tot]],MATCH(Table5[[#This Row],[PID]],Batters[[#All],[PID]],0)),INDEX(Table3[[#All],[Tot]],MATCH(Table5[[#This Row],[PID]],Table3[[#All],[PID]],0)))</f>
        <v>42.55907525061896</v>
      </c>
      <c r="R397" s="52">
        <f>IF($C397="B",INDEX(Batters[[#All],[zScore]],MATCH(Table5[[#This Row],[PID]],Batters[[#All],[PID]],0)),INDEX(Table3[[#All],[zScore]],MATCH(Table5[[#This Row],[PID]],Table3[[#All],[PID]],0)))</f>
        <v>-9.6253605956490643E-2</v>
      </c>
      <c r="S397" s="58" t="str">
        <f>IF($C397="B",INDEX(Batters[[#All],[DEM]],MATCH(Table5[[#This Row],[PID]],Batters[[#All],[PID]],0)),INDEX(Table3[[#All],[DEM]],MATCH(Table5[[#This Row],[PID]],Table3[[#All],[PID]],0)))</f>
        <v>$190k</v>
      </c>
      <c r="T397" s="62">
        <f>IF($C397="B",INDEX(Batters[[#All],[Rnk]],MATCH(Table5[[#This Row],[PID]],Batters[[#All],[PID]],0)),INDEX(Table3[[#All],[Rnk]],MATCH(Table5[[#This Row],[PID]],Table3[[#All],[PID]],0)))</f>
        <v>900</v>
      </c>
      <c r="U397" s="67">
        <f>IF($C397="B",VLOOKUP($A397,Bat!$A$4:$BA$1314,47,FALSE),VLOOKUP($A397,Pit!$A$4:$BF$1214,56,FALSE))</f>
        <v>173</v>
      </c>
      <c r="V397" s="50">
        <f>IF($C397="B",VLOOKUP($A397,Bat!$A$4:$BA$1314,48,FALSE),VLOOKUP($A397,Pit!$A$4:$BF$1214,57,FALSE))</f>
        <v>0</v>
      </c>
      <c r="W397" s="68">
        <f>IF(Table5[[#This Row],[posRnk]]=999,9999,Table5[[#This Row],[posRnk]]+Table5[[#This Row],[zRnk]]+IF($W$3&lt;&gt;Table5[[#This Row],[Type]],50,0))</f>
        <v>1366</v>
      </c>
      <c r="X397" s="51">
        <f>RANK(Table5[[#This Row],[zScore]],Table5[[#All],[zScore]])</f>
        <v>416</v>
      </c>
      <c r="Y397" s="50">
        <f>IFERROR(INDEX(DraftResults[[#All],[OVR]],MATCH(Table5[[#This Row],[PID]],DraftResults[[#All],[Player ID]],0)),"")</f>
        <v>500</v>
      </c>
      <c r="Z397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15</v>
      </c>
      <c r="AA397" s="50">
        <f>IFERROR(INDEX(DraftResults[[#All],[Pick in Round]],MATCH(Table5[[#This Row],[PID]],DraftResults[[#All],[Player ID]],0)),"")</f>
        <v>33</v>
      </c>
      <c r="AB397" s="50" t="str">
        <f>IFERROR(INDEX(DraftResults[[#All],[Team Name]],MATCH(Table5[[#This Row],[PID]],DraftResults[[#All],[Player ID]],0)),"")</f>
        <v>Gloucester Fishermen</v>
      </c>
      <c r="AC397" s="50">
        <f>IF(Table5[[#This Row],[Ovr]]="","",IF(Table5[[#This Row],[cmbList]]="","",Table5[[#This Row],[cmbList]]-Table5[[#This Row],[Ovr]]))</f>
        <v>866</v>
      </c>
      <c r="AD397" s="54" t="str">
        <f>IF(ISERROR(VLOOKUP($AB397&amp;"-"&amp;$E397&amp;" "&amp;F397,Bonuses!$B$1:$G$1006,4,FALSE)),"",INT(VLOOKUP($AB397&amp;"-"&amp;$E397&amp;" "&amp;$F397,Bonuses!$B$1:$G$1006,4,FALSE)))</f>
        <v/>
      </c>
      <c r="AE397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15.33 (500) - SS Josh Logan</v>
      </c>
    </row>
    <row r="398" spans="1:31" s="50" customFormat="1" x14ac:dyDescent="0.3">
      <c r="A398" s="50">
        <v>12339</v>
      </c>
      <c r="B398" s="55">
        <f>COUNTIF(Table5[PID],A398)</f>
        <v>1</v>
      </c>
      <c r="C398" s="55" t="str">
        <f>IF(COUNTIF(Table3[[#All],[PID]],A398)&gt;0,"P","B")</f>
        <v>P</v>
      </c>
      <c r="D398" s="59" t="str">
        <f>IF($C398="B",INDEX(Batters[[#All],[POS]],MATCH(Table5[[#This Row],[PID]],Batters[[#All],[PID]],0)),INDEX(Table3[[#All],[POS]],MATCH(Table5[[#This Row],[PID]],Table3[[#All],[PID]],0)))</f>
        <v>RP</v>
      </c>
      <c r="E398" s="52" t="str">
        <f>IF($C398="B",INDEX(Batters[[#All],[First]],MATCH(Table5[[#This Row],[PID]],Batters[[#All],[PID]],0)),INDEX(Table3[[#All],[First]],MATCH(Table5[[#This Row],[PID]],Table3[[#All],[PID]],0)))</f>
        <v>Bill</v>
      </c>
      <c r="F398" s="50" t="str">
        <f>IF($C398="B",INDEX(Batters[[#All],[Last]],MATCH(A398,Batters[[#All],[PID]],0)),INDEX(Table3[[#All],[Last]],MATCH(A398,Table3[[#All],[PID]],0)))</f>
        <v>Morales</v>
      </c>
      <c r="G398" s="56">
        <f>IF($C398="B",INDEX(Batters[[#All],[Age]],MATCH(Table5[[#This Row],[PID]],Batters[[#All],[PID]],0)),INDEX(Table3[[#All],[Age]],MATCH(Table5[[#This Row],[PID]],Table3[[#All],[PID]],0)))</f>
        <v>18</v>
      </c>
      <c r="H398" s="52" t="str">
        <f>IF($C398="B",INDEX(Batters[[#All],[B]],MATCH(Table5[[#This Row],[PID]],Batters[[#All],[PID]],0)),INDEX(Table3[[#All],[B]],MATCH(Table5[[#This Row],[PID]],Table3[[#All],[PID]],0)))</f>
        <v>L</v>
      </c>
      <c r="I398" s="52" t="str">
        <f>IF($C398="B",INDEX(Batters[[#All],[T]],MATCH(Table5[[#This Row],[PID]],Batters[[#All],[PID]],0)),INDEX(Table3[[#All],[T]],MATCH(Table5[[#This Row],[PID]],Table3[[#All],[PID]],0)))</f>
        <v>L</v>
      </c>
      <c r="J398" s="52" t="str">
        <f>IF($C398="B",INDEX(Batters[[#All],[WE]],MATCH(Table5[[#This Row],[PID]],Batters[[#All],[PID]],0)),INDEX(Table3[[#All],[WE]],MATCH(Table5[[#This Row],[PID]],Table3[[#All],[PID]],0)))</f>
        <v>Low</v>
      </c>
      <c r="K398" s="52" t="str">
        <f>IF($C398="B",INDEX(Batters[[#All],[INT]],MATCH(Table5[[#This Row],[PID]],Batters[[#All],[PID]],0)),INDEX(Table3[[#All],[INT]],MATCH(Table5[[#This Row],[PID]],Table3[[#All],[PID]],0)))</f>
        <v>Normal</v>
      </c>
      <c r="L398" s="60">
        <f>IF($C398="B",INDEX(Batters[[#All],[CON P]],MATCH(Table5[[#This Row],[PID]],Batters[[#All],[PID]],0)),INDEX(Table3[[#All],[STU P]],MATCH(Table5[[#This Row],[PID]],Table3[[#All],[PID]],0)))</f>
        <v>4</v>
      </c>
      <c r="M398" s="56">
        <f>IF($C398="B",INDEX(Batters[[#All],[GAP P]],MATCH(Table5[[#This Row],[PID]],Batters[[#All],[PID]],0)),INDEX(Table3[[#All],[MOV P]],MATCH(Table5[[#This Row],[PID]],Table3[[#All],[PID]],0)))</f>
        <v>2</v>
      </c>
      <c r="N398" s="56">
        <f>IF($C398="B",INDEX(Batters[[#All],[POW P]],MATCH(Table5[[#This Row],[PID]],Batters[[#All],[PID]],0)),INDEX(Table3[[#All],[CON P]],MATCH(Table5[[#This Row],[PID]],Table3[[#All],[PID]],0)))</f>
        <v>4</v>
      </c>
      <c r="O398" s="56" t="str">
        <f>IF($C398="B",INDEX(Batters[[#All],[EYE P]],MATCH(Table5[[#This Row],[PID]],Batters[[#All],[PID]],0)),INDEX(Table3[[#All],[VELO]],MATCH(Table5[[#This Row],[PID]],Table3[[#All],[PID]],0)))</f>
        <v>88-90 Mph</v>
      </c>
      <c r="P398" s="56">
        <f>IF($C398="B",INDEX(Batters[[#All],[K P]],MATCH(Table5[[#This Row],[PID]],Batters[[#All],[PID]],0)),INDEX(Table3[[#All],[STM]],MATCH(Table5[[#This Row],[PID]],Table3[[#All],[PID]],0)))</f>
        <v>8</v>
      </c>
      <c r="Q398" s="61">
        <f>IF($C398="B",INDEX(Batters[[#All],[Tot]],MATCH(Table5[[#This Row],[PID]],Batters[[#All],[PID]],0)),INDEX(Table3[[#All],[Tot]],MATCH(Table5[[#This Row],[PID]],Table3[[#All],[PID]],0)))</f>
        <v>37.747285778381944</v>
      </c>
      <c r="R398" s="52">
        <f>IF($C398="B",INDEX(Batters[[#All],[zScore]],MATCH(Table5[[#This Row],[PID]],Batters[[#All],[PID]],0)),INDEX(Table3[[#All],[zScore]],MATCH(Table5[[#This Row],[PID]],Table3[[#All],[PID]],0)))</f>
        <v>-3.9375219028235922E-3</v>
      </c>
      <c r="S398" s="58" t="str">
        <f>IF($C398="B",INDEX(Batters[[#All],[DEM]],MATCH(Table5[[#This Row],[PID]],Batters[[#All],[PID]],0)),INDEX(Table3[[#All],[DEM]],MATCH(Table5[[#This Row],[PID]],Table3[[#All],[PID]],0)))</f>
        <v>$70k</v>
      </c>
      <c r="T398" s="62">
        <f>IF($C398="B",INDEX(Batters[[#All],[Rnk]],MATCH(Table5[[#This Row],[PID]],Batters[[#All],[PID]],0)),INDEX(Table3[[#All],[Rnk]],MATCH(Table5[[#This Row],[PID]],Table3[[#All],[PID]],0)))</f>
        <v>930</v>
      </c>
      <c r="U398" s="67">
        <f>IF($C398="B",VLOOKUP($A398,Bat!$A$4:$BA$1314,47,FALSE),VLOOKUP($A398,Pit!$A$4:$BF$1214,56,FALSE))</f>
        <v>285</v>
      </c>
      <c r="V398" s="50">
        <f>IF($C398="B",VLOOKUP($A398,Bat!$A$4:$BA$1314,48,FALSE),VLOOKUP($A398,Pit!$A$4:$BF$1214,57,FALSE))</f>
        <v>0</v>
      </c>
      <c r="W398" s="68">
        <f>IF(Table5[[#This Row],[posRnk]]=999,9999,Table5[[#This Row],[posRnk]]+Table5[[#This Row],[zRnk]]+IF($W$3&lt;&gt;Table5[[#This Row],[Type]],50,0))</f>
        <v>1316</v>
      </c>
      <c r="X398" s="51">
        <f>RANK(Table5[[#This Row],[zScore]],Table5[[#All],[zScore]])</f>
        <v>386</v>
      </c>
      <c r="Y398" s="50">
        <f>IFERROR(INDEX(DraftResults[[#All],[OVR]],MATCH(Table5[[#This Row],[PID]],DraftResults[[#All],[Player ID]],0)),"")</f>
        <v>591</v>
      </c>
      <c r="Z398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18</v>
      </c>
      <c r="AA398" s="50">
        <f>IFERROR(INDEX(DraftResults[[#All],[Pick in Round]],MATCH(Table5[[#This Row],[PID]],DraftResults[[#All],[Player ID]],0)),"")</f>
        <v>22</v>
      </c>
      <c r="AB398" s="50" t="str">
        <f>IFERROR(INDEX(DraftResults[[#All],[Team Name]],MATCH(Table5[[#This Row],[PID]],DraftResults[[#All],[Player ID]],0)),"")</f>
        <v>Bakersfield Bears</v>
      </c>
      <c r="AC398" s="50">
        <f>IF(Table5[[#This Row],[Ovr]]="","",IF(Table5[[#This Row],[cmbList]]="","",Table5[[#This Row],[cmbList]]-Table5[[#This Row],[Ovr]]))</f>
        <v>725</v>
      </c>
      <c r="AD398" s="54" t="str">
        <f>IF(ISERROR(VLOOKUP($AB398&amp;"-"&amp;$E398&amp;" "&amp;F398,Bonuses!$B$1:$G$1006,4,FALSE)),"",INT(VLOOKUP($AB398&amp;"-"&amp;$E398&amp;" "&amp;$F398,Bonuses!$B$1:$G$1006,4,FALSE)))</f>
        <v/>
      </c>
      <c r="AE398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18.22 (591) - RP Bill Morales</v>
      </c>
    </row>
    <row r="399" spans="1:31" s="50" customFormat="1" x14ac:dyDescent="0.3">
      <c r="A399" s="67">
        <v>20681</v>
      </c>
      <c r="B399" s="68">
        <f>COUNTIF(Table5[PID],A399)</f>
        <v>1</v>
      </c>
      <c r="C399" s="68" t="str">
        <f>IF(COUNTIF(Table3[[#All],[PID]],A399)&gt;0,"P","B")</f>
        <v>P</v>
      </c>
      <c r="D399" s="59" t="str">
        <f>IF($C399="B",INDEX(Batters[[#All],[POS]],MATCH(Table5[[#This Row],[PID]],Batters[[#All],[PID]],0)),INDEX(Table3[[#All],[POS]],MATCH(Table5[[#This Row],[PID]],Table3[[#All],[PID]],0)))</f>
        <v>RP</v>
      </c>
      <c r="E399" s="52" t="str">
        <f>IF($C399="B",INDEX(Batters[[#All],[First]],MATCH(Table5[[#This Row],[PID]],Batters[[#All],[PID]],0)),INDEX(Table3[[#All],[First]],MATCH(Table5[[#This Row],[PID]],Table3[[#All],[PID]],0)))</f>
        <v>Mi-yuan</v>
      </c>
      <c r="F399" s="55" t="str">
        <f>IF($C399="B",INDEX(Batters[[#All],[Last]],MATCH(A399,Batters[[#All],[PID]],0)),INDEX(Table3[[#All],[Last]],MATCH(A399,Table3[[#All],[PID]],0)))</f>
        <v>Xian</v>
      </c>
      <c r="G399" s="56">
        <f>IF($C399="B",INDEX(Batters[[#All],[Age]],MATCH(Table5[[#This Row],[PID]],Batters[[#All],[PID]],0)),INDEX(Table3[[#All],[Age]],MATCH(Table5[[#This Row],[PID]],Table3[[#All],[PID]],0)))</f>
        <v>17</v>
      </c>
      <c r="H399" s="52" t="str">
        <f>IF($C399="B",INDEX(Batters[[#All],[B]],MATCH(Table5[[#This Row],[PID]],Batters[[#All],[PID]],0)),INDEX(Table3[[#All],[B]],MATCH(Table5[[#This Row],[PID]],Table3[[#All],[PID]],0)))</f>
        <v>L</v>
      </c>
      <c r="I399" s="52" t="str">
        <f>IF($C399="B",INDEX(Batters[[#All],[T]],MATCH(Table5[[#This Row],[PID]],Batters[[#All],[PID]],0)),INDEX(Table3[[#All],[T]],MATCH(Table5[[#This Row],[PID]],Table3[[#All],[PID]],0)))</f>
        <v>L</v>
      </c>
      <c r="J399" s="69" t="str">
        <f>IF($C399="B",INDEX(Batters[[#All],[WE]],MATCH(Table5[[#This Row],[PID]],Batters[[#All],[PID]],0)),INDEX(Table3[[#All],[WE]],MATCH(Table5[[#This Row],[PID]],Table3[[#All],[PID]],0)))</f>
        <v>Normal</v>
      </c>
      <c r="K399" s="52" t="str">
        <f>IF($C399="B",INDEX(Batters[[#All],[INT]],MATCH(Table5[[#This Row],[PID]],Batters[[#All],[PID]],0)),INDEX(Table3[[#All],[INT]],MATCH(Table5[[#This Row],[PID]],Table3[[#All],[PID]],0)))</f>
        <v>Normal</v>
      </c>
      <c r="L399" s="60">
        <f>IF($C399="B",INDEX(Batters[[#All],[CON P]],MATCH(Table5[[#This Row],[PID]],Batters[[#All],[PID]],0)),INDEX(Table3[[#All],[STU P]],MATCH(Table5[[#This Row],[PID]],Table3[[#All],[PID]],0)))</f>
        <v>6</v>
      </c>
      <c r="M399" s="70">
        <f>IF($C399="B",INDEX(Batters[[#All],[GAP P]],MATCH(Table5[[#This Row],[PID]],Batters[[#All],[PID]],0)),INDEX(Table3[[#All],[MOV P]],MATCH(Table5[[#This Row],[PID]],Table3[[#All],[PID]],0)))</f>
        <v>2</v>
      </c>
      <c r="N399" s="70">
        <f>IF($C399="B",INDEX(Batters[[#All],[POW P]],MATCH(Table5[[#This Row],[PID]],Batters[[#All],[PID]],0)),INDEX(Table3[[#All],[CON P]],MATCH(Table5[[#This Row],[PID]],Table3[[#All],[PID]],0)))</f>
        <v>3</v>
      </c>
      <c r="O399" s="70" t="str">
        <f>IF($C399="B",INDEX(Batters[[#All],[EYE P]],MATCH(Table5[[#This Row],[PID]],Batters[[#All],[PID]],0)),INDEX(Table3[[#All],[VELO]],MATCH(Table5[[#This Row],[PID]],Table3[[#All],[PID]],0)))</f>
        <v>90-92 Mph</v>
      </c>
      <c r="P399" s="56">
        <f>IF($C399="B",INDEX(Batters[[#All],[K P]],MATCH(Table5[[#This Row],[PID]],Batters[[#All],[PID]],0)),INDEX(Table3[[#All],[STM]],MATCH(Table5[[#This Row],[PID]],Table3[[#All],[PID]],0)))</f>
        <v>1</v>
      </c>
      <c r="Q399" s="61">
        <f>IF($C399="B",INDEX(Batters[[#All],[Tot]],MATCH(Table5[[#This Row],[PID]],Batters[[#All],[PID]],0)),INDEX(Table3[[#All],[Tot]],MATCH(Table5[[#This Row],[PID]],Table3[[#All],[PID]],0)))</f>
        <v>36.32609241744008</v>
      </c>
      <c r="R399" s="52">
        <f>IF($C399="B",INDEX(Batters[[#All],[zScore]],MATCH(Table5[[#This Row],[PID]],Batters[[#All],[PID]],0)),INDEX(Table3[[#All],[zScore]],MATCH(Table5[[#This Row],[PID]],Table3[[#All],[PID]],0)))</f>
        <v>-9.8813262400853155E-2</v>
      </c>
      <c r="S399" s="75" t="str">
        <f>IF($C399="B",INDEX(Batters[[#All],[DEM]],MATCH(Table5[[#This Row],[PID]],Batters[[#All],[PID]],0)),INDEX(Table3[[#All],[DEM]],MATCH(Table5[[#This Row],[PID]],Table3[[#All],[PID]],0)))</f>
        <v>$65k</v>
      </c>
      <c r="T399" s="72">
        <f>IF($C399="B",INDEX(Batters[[#All],[Rnk]],MATCH(Table5[[#This Row],[PID]],Batters[[#All],[PID]],0)),INDEX(Table3[[#All],[Rnk]],MATCH(Table5[[#This Row],[PID]],Table3[[#All],[PID]],0)))</f>
        <v>900</v>
      </c>
      <c r="U399" s="67">
        <f>IF($C399="B",VLOOKUP($A399,Bat!$A$4:$BA$1314,47,FALSE),VLOOKUP($A399,Pit!$A$4:$BF$1214,56,FALSE))</f>
        <v>142</v>
      </c>
      <c r="V399" s="50">
        <f>IF($C399="B",VLOOKUP($A399,Bat!$A$4:$BA$1314,48,FALSE),VLOOKUP($A399,Pit!$A$4:$BF$1214,57,FALSE))</f>
        <v>0</v>
      </c>
      <c r="W399" s="68">
        <f>IF(Table5[[#This Row],[posRnk]]=999,9999,Table5[[#This Row],[posRnk]]+Table5[[#This Row],[zRnk]]+IF($W$3&lt;&gt;Table5[[#This Row],[Type]],50,0))</f>
        <v>1317</v>
      </c>
      <c r="X399" s="71">
        <f>RANK(Table5[[#This Row],[zScore]],Table5[[#All],[zScore]])</f>
        <v>417</v>
      </c>
      <c r="Y399" s="68">
        <f>IFERROR(INDEX(DraftResults[[#All],[OVR]],MATCH(Table5[[#This Row],[PID]],DraftResults[[#All],[Player ID]],0)),"")</f>
        <v>499</v>
      </c>
      <c r="Z399" s="7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15</v>
      </c>
      <c r="AA399" s="68">
        <f>IFERROR(INDEX(DraftResults[[#All],[Pick in Round]],MATCH(Table5[[#This Row],[PID]],DraftResults[[#All],[Player ID]],0)),"")</f>
        <v>32</v>
      </c>
      <c r="AB399" s="68" t="str">
        <f>IFERROR(INDEX(DraftResults[[#All],[Team Name]],MATCH(Table5[[#This Row],[PID]],DraftResults[[#All],[Player ID]],0)),"")</f>
        <v>Crystal Lake Sandgnats</v>
      </c>
      <c r="AC399" s="68">
        <f>IF(Table5[[#This Row],[Ovr]]="","",IF(Table5[[#This Row],[cmbList]]="","",Table5[[#This Row],[cmbList]]-Table5[[#This Row],[Ovr]]))</f>
        <v>818</v>
      </c>
      <c r="AD399" s="74" t="str">
        <f>IF(ISERROR(VLOOKUP($AB399&amp;"-"&amp;$E399&amp;" "&amp;F399,Bonuses!$B$1:$G$1006,4,FALSE)),"",INT(VLOOKUP($AB399&amp;"-"&amp;$E399&amp;" "&amp;$F399,Bonuses!$B$1:$G$1006,4,FALSE)))</f>
        <v/>
      </c>
      <c r="AE399" s="68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15.32 (499) - RP Mi-yuan Xian</v>
      </c>
    </row>
    <row r="400" spans="1:31" s="50" customFormat="1" x14ac:dyDescent="0.3">
      <c r="A400" s="50">
        <v>11654</v>
      </c>
      <c r="B400" s="50">
        <f>COUNTIF(Table5[PID],A400)</f>
        <v>1</v>
      </c>
      <c r="C400" s="50" t="str">
        <f>IF(COUNTIF(Table3[[#All],[PID]],A400)&gt;0,"P","B")</f>
        <v>B</v>
      </c>
      <c r="D400" s="59" t="str">
        <f>IF($C400="B",INDEX(Batters[[#All],[POS]],MATCH(Table5[[#This Row],[PID]],Batters[[#All],[PID]],0)),INDEX(Table3[[#All],[POS]],MATCH(Table5[[#This Row],[PID]],Table3[[#All],[PID]],0)))</f>
        <v>C</v>
      </c>
      <c r="E400" s="52" t="str">
        <f>IF($C400="B",INDEX(Batters[[#All],[First]],MATCH(Table5[[#This Row],[PID]],Batters[[#All],[PID]],0)),INDEX(Table3[[#All],[First]],MATCH(Table5[[#This Row],[PID]],Table3[[#All],[PID]],0)))</f>
        <v>Garry</v>
      </c>
      <c r="F400" s="50" t="str">
        <f>IF($C400="B",INDEX(Batters[[#All],[Last]],MATCH(A400,Batters[[#All],[PID]],0)),INDEX(Table3[[#All],[Last]],MATCH(A400,Table3[[#All],[PID]],0)))</f>
        <v>Griffin</v>
      </c>
      <c r="G400" s="56">
        <f>IF($C400="B",INDEX(Batters[[#All],[Age]],MATCH(Table5[[#This Row],[PID]],Batters[[#All],[PID]],0)),INDEX(Table3[[#All],[Age]],MATCH(Table5[[#This Row],[PID]],Table3[[#All],[PID]],0)))</f>
        <v>18</v>
      </c>
      <c r="H400" s="52" t="str">
        <f>IF($C400="B",INDEX(Batters[[#All],[B]],MATCH(Table5[[#This Row],[PID]],Batters[[#All],[PID]],0)),INDEX(Table3[[#All],[B]],MATCH(Table5[[#This Row],[PID]],Table3[[#All],[PID]],0)))</f>
        <v>R</v>
      </c>
      <c r="I400" s="52" t="str">
        <f>IF($C400="B",INDEX(Batters[[#All],[T]],MATCH(Table5[[#This Row],[PID]],Batters[[#All],[PID]],0)),INDEX(Table3[[#All],[T]],MATCH(Table5[[#This Row],[PID]],Table3[[#All],[PID]],0)))</f>
        <v>R</v>
      </c>
      <c r="J400" s="52" t="str">
        <f>IF($C400="B",INDEX(Batters[[#All],[WE]],MATCH(Table5[[#This Row],[PID]],Batters[[#All],[PID]],0)),INDEX(Table3[[#All],[WE]],MATCH(Table5[[#This Row],[PID]],Table3[[#All],[PID]],0)))</f>
        <v>High</v>
      </c>
      <c r="K400" s="52" t="str">
        <f>IF($C400="B",INDEX(Batters[[#All],[INT]],MATCH(Table5[[#This Row],[PID]],Batters[[#All],[PID]],0)),INDEX(Table3[[#All],[INT]],MATCH(Table5[[#This Row],[PID]],Table3[[#All],[PID]],0)))</f>
        <v>High</v>
      </c>
      <c r="L400" s="60">
        <f>IF($C400="B",INDEX(Batters[[#All],[CON P]],MATCH(Table5[[#This Row],[PID]],Batters[[#All],[PID]],0)),INDEX(Table3[[#All],[STU P]],MATCH(Table5[[#This Row],[PID]],Table3[[#All],[PID]],0)))</f>
        <v>2</v>
      </c>
      <c r="M400" s="56">
        <f>IF($C400="B",INDEX(Batters[[#All],[GAP P]],MATCH(Table5[[#This Row],[PID]],Batters[[#All],[PID]],0)),INDEX(Table3[[#All],[MOV P]],MATCH(Table5[[#This Row],[PID]],Table3[[#All],[PID]],0)))</f>
        <v>7</v>
      </c>
      <c r="N400" s="56">
        <f>IF($C400="B",INDEX(Batters[[#All],[POW P]],MATCH(Table5[[#This Row],[PID]],Batters[[#All],[PID]],0)),INDEX(Table3[[#All],[CON P]],MATCH(Table5[[#This Row],[PID]],Table3[[#All],[PID]],0)))</f>
        <v>4</v>
      </c>
      <c r="O400" s="56">
        <f>IF($C400="B",INDEX(Batters[[#All],[EYE P]],MATCH(Table5[[#This Row],[PID]],Batters[[#All],[PID]],0)),INDEX(Table3[[#All],[VELO]],MATCH(Table5[[#This Row],[PID]],Table3[[#All],[PID]],0)))</f>
        <v>6</v>
      </c>
      <c r="P400" s="56">
        <f>IF($C400="B",INDEX(Batters[[#All],[K P]],MATCH(Table5[[#This Row],[PID]],Batters[[#All],[PID]],0)),INDEX(Table3[[#All],[STM]],MATCH(Table5[[#This Row],[PID]],Table3[[#All],[PID]],0)))</f>
        <v>3</v>
      </c>
      <c r="Q400" s="61">
        <f>IF($C400="B",INDEX(Batters[[#All],[Tot]],MATCH(Table5[[#This Row],[PID]],Batters[[#All],[PID]],0)),INDEX(Table3[[#All],[Tot]],MATCH(Table5[[#This Row],[PID]],Table3[[#All],[PID]],0)))</f>
        <v>42.517200843399408</v>
      </c>
      <c r="R400" s="52">
        <f>IF($C400="B",INDEX(Batters[[#All],[zScore]],MATCH(Table5[[#This Row],[PID]],Batters[[#All],[PID]],0)),INDEX(Table3[[#All],[zScore]],MATCH(Table5[[#This Row],[PID]],Table3[[#All],[PID]],0)))</f>
        <v>-0.10236593402092374</v>
      </c>
      <c r="S400" s="58" t="str">
        <f>IF($C400="B",INDEX(Batters[[#All],[DEM]],MATCH(Table5[[#This Row],[PID]],Batters[[#All],[PID]],0)),INDEX(Table3[[#All],[DEM]],MATCH(Table5[[#This Row],[PID]],Table3[[#All],[PID]],0)))</f>
        <v>$190k</v>
      </c>
      <c r="T400" s="62">
        <f>IF($C400="B",INDEX(Batters[[#All],[Rnk]],MATCH(Table5[[#This Row],[PID]],Batters[[#All],[PID]],0)),INDEX(Table3[[#All],[Rnk]],MATCH(Table5[[#This Row],[PID]],Table3[[#All],[PID]],0)))</f>
        <v>900</v>
      </c>
      <c r="U400" s="67">
        <f>IF($C400="B",VLOOKUP($A400,Bat!$A$4:$BA$1314,47,FALSE),VLOOKUP($A400,Pit!$A$4:$BF$1214,56,FALSE))</f>
        <v>164</v>
      </c>
      <c r="V400" s="50">
        <f>IF($C400="B",VLOOKUP($A400,Bat!$A$4:$BA$1314,48,FALSE),VLOOKUP($A400,Pit!$A$4:$BF$1214,57,FALSE))</f>
        <v>0</v>
      </c>
      <c r="W400" s="68">
        <f>IF(Table5[[#This Row],[posRnk]]=999,9999,Table5[[#This Row],[posRnk]]+Table5[[#This Row],[zRnk]]+IF($W$3&lt;&gt;Table5[[#This Row],[Type]],50,0))</f>
        <v>1368</v>
      </c>
      <c r="X400" s="51">
        <f>RANK(Table5[[#This Row],[zScore]],Table5[[#All],[zScore]])</f>
        <v>418</v>
      </c>
      <c r="Y400" s="50">
        <f>IFERROR(INDEX(DraftResults[[#All],[OVR]],MATCH(Table5[[#This Row],[PID]],DraftResults[[#All],[Player ID]],0)),"")</f>
        <v>318</v>
      </c>
      <c r="Z400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10</v>
      </c>
      <c r="AA400" s="50">
        <f>IFERROR(INDEX(DraftResults[[#All],[Pick in Round]],MATCH(Table5[[#This Row],[PID]],DraftResults[[#All],[Player ID]],0)),"")</f>
        <v>21</v>
      </c>
      <c r="AB400" s="50" t="str">
        <f>IFERROR(INDEX(DraftResults[[#All],[Team Name]],MATCH(Table5[[#This Row],[PID]],DraftResults[[#All],[Player ID]],0)),"")</f>
        <v>Neo-Tokyo Akira</v>
      </c>
      <c r="AC400" s="50">
        <f>IF(Table5[[#This Row],[Ovr]]="","",IF(Table5[[#This Row],[cmbList]]="","",Table5[[#This Row],[cmbList]]-Table5[[#This Row],[Ovr]]))</f>
        <v>1050</v>
      </c>
      <c r="AD400" s="54" t="str">
        <f>IF(ISERROR(VLOOKUP($AB400&amp;"-"&amp;$E400&amp;" "&amp;F400,Bonuses!$B$1:$G$1006,4,FALSE)),"",INT(VLOOKUP($AB400&amp;"-"&amp;$E400&amp;" "&amp;$F400,Bonuses!$B$1:$G$1006,4,FALSE)))</f>
        <v/>
      </c>
      <c r="AE400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10.21 (318) - C Garry Griffin</v>
      </c>
    </row>
    <row r="401" spans="1:31" s="50" customFormat="1" x14ac:dyDescent="0.3">
      <c r="A401" s="50">
        <v>5066</v>
      </c>
      <c r="B401" s="50">
        <f>COUNTIF(Table5[PID],A401)</f>
        <v>1</v>
      </c>
      <c r="C401" s="50" t="str">
        <f>IF(COUNTIF(Table3[[#All],[PID]],A401)&gt;0,"P","B")</f>
        <v>P</v>
      </c>
      <c r="D401" s="59" t="str">
        <f>IF($C401="B",INDEX(Batters[[#All],[POS]],MATCH(Table5[[#This Row],[PID]],Batters[[#All],[PID]],0)),INDEX(Table3[[#All],[POS]],MATCH(Table5[[#This Row],[PID]],Table3[[#All],[PID]],0)))</f>
        <v>RP</v>
      </c>
      <c r="E401" s="52" t="str">
        <f>IF($C401="B",INDEX(Batters[[#All],[First]],MATCH(Table5[[#This Row],[PID]],Batters[[#All],[PID]],0)),INDEX(Table3[[#All],[First]],MATCH(Table5[[#This Row],[PID]],Table3[[#All],[PID]],0)))</f>
        <v>Charles</v>
      </c>
      <c r="F401" s="50" t="str">
        <f>IF($C401="B",INDEX(Batters[[#All],[Last]],MATCH(A401,Batters[[#All],[PID]],0)),INDEX(Table3[[#All],[Last]],MATCH(A401,Table3[[#All],[PID]],0)))</f>
        <v>Morgan</v>
      </c>
      <c r="G401" s="56">
        <f>IF($C401="B",INDEX(Batters[[#All],[Age]],MATCH(Table5[[#This Row],[PID]],Batters[[#All],[PID]],0)),INDEX(Table3[[#All],[Age]],MATCH(Table5[[#This Row],[PID]],Table3[[#All],[PID]],0)))</f>
        <v>21</v>
      </c>
      <c r="H401" s="52" t="str">
        <f>IF($C401="B",INDEX(Batters[[#All],[B]],MATCH(Table5[[#This Row],[PID]],Batters[[#All],[PID]],0)),INDEX(Table3[[#All],[B]],MATCH(Table5[[#This Row],[PID]],Table3[[#All],[PID]],0)))</f>
        <v>L</v>
      </c>
      <c r="I401" s="52" t="str">
        <f>IF($C401="B",INDEX(Batters[[#All],[T]],MATCH(Table5[[#This Row],[PID]],Batters[[#All],[PID]],0)),INDEX(Table3[[#All],[T]],MATCH(Table5[[#This Row],[PID]],Table3[[#All],[PID]],0)))</f>
        <v>R</v>
      </c>
      <c r="J401" s="52" t="str">
        <f>IF($C401="B",INDEX(Batters[[#All],[WE]],MATCH(Table5[[#This Row],[PID]],Batters[[#All],[PID]],0)),INDEX(Table3[[#All],[WE]],MATCH(Table5[[#This Row],[PID]],Table3[[#All],[PID]],0)))</f>
        <v>High</v>
      </c>
      <c r="K401" s="52" t="str">
        <f>IF($C401="B",INDEX(Batters[[#All],[INT]],MATCH(Table5[[#This Row],[PID]],Batters[[#All],[PID]],0)),INDEX(Table3[[#All],[INT]],MATCH(Table5[[#This Row],[PID]],Table3[[#All],[PID]],0)))</f>
        <v>Normal</v>
      </c>
      <c r="L401" s="60">
        <f>IF($C401="B",INDEX(Batters[[#All],[CON P]],MATCH(Table5[[#This Row],[PID]],Batters[[#All],[PID]],0)),INDEX(Table3[[#All],[STU P]],MATCH(Table5[[#This Row],[PID]],Table3[[#All],[PID]],0)))</f>
        <v>5</v>
      </c>
      <c r="M401" s="56">
        <f>IF($C401="B",INDEX(Batters[[#All],[GAP P]],MATCH(Table5[[#This Row],[PID]],Batters[[#All],[PID]],0)),INDEX(Table3[[#All],[MOV P]],MATCH(Table5[[#This Row],[PID]],Table3[[#All],[PID]],0)))</f>
        <v>2</v>
      </c>
      <c r="N401" s="56">
        <f>IF($C401="B",INDEX(Batters[[#All],[POW P]],MATCH(Table5[[#This Row],[PID]],Batters[[#All],[PID]],0)),INDEX(Table3[[#All],[CON P]],MATCH(Table5[[#This Row],[PID]],Table3[[#All],[PID]],0)))</f>
        <v>3</v>
      </c>
      <c r="O401" s="56" t="str">
        <f>IF($C401="B",INDEX(Batters[[#All],[EYE P]],MATCH(Table5[[#This Row],[PID]],Batters[[#All],[PID]],0)),INDEX(Table3[[#All],[VELO]],MATCH(Table5[[#This Row],[PID]],Table3[[#All],[PID]],0)))</f>
        <v>91-93 Mph</v>
      </c>
      <c r="P401" s="56">
        <f>IF($C401="B",INDEX(Batters[[#All],[K P]],MATCH(Table5[[#This Row],[PID]],Batters[[#All],[PID]],0)),INDEX(Table3[[#All],[STM]],MATCH(Table5[[#This Row],[PID]],Table3[[#All],[PID]],0)))</f>
        <v>8</v>
      </c>
      <c r="Q401" s="61">
        <f>IF($C401="B",INDEX(Batters[[#All],[Tot]],MATCH(Table5[[#This Row],[PID]],Batters[[#All],[PID]],0)),INDEX(Table3[[#All],[Tot]],MATCH(Table5[[#This Row],[PID]],Table3[[#All],[PID]],0)))</f>
        <v>36.232103325595858</v>
      </c>
      <c r="R401" s="52">
        <f>IF($C401="B",INDEX(Batters[[#All],[zScore]],MATCH(Table5[[#This Row],[PID]],Batters[[#All],[PID]],0)),INDEX(Table3[[#All],[zScore]],MATCH(Table5[[#This Row],[PID]],Table3[[#All],[PID]],0)))</f>
        <v>-0.10549998797581453</v>
      </c>
      <c r="S401" s="58" t="str">
        <f>IF($C401="B",INDEX(Batters[[#All],[DEM]],MATCH(Table5[[#This Row],[PID]],Batters[[#All],[PID]],0)),INDEX(Table3[[#All],[DEM]],MATCH(Table5[[#This Row],[PID]],Table3[[#All],[PID]],0)))</f>
        <v>-</v>
      </c>
      <c r="T401" s="62">
        <f>IF($C401="B",INDEX(Batters[[#All],[Rnk]],MATCH(Table5[[#This Row],[PID]],Batters[[#All],[PID]],0)),INDEX(Table3[[#All],[Rnk]],MATCH(Table5[[#This Row],[PID]],Table3[[#All],[PID]],0)))</f>
        <v>900</v>
      </c>
      <c r="U401" s="67">
        <f>IF($C401="B",VLOOKUP($A401,Bat!$A$4:$BA$1314,47,FALSE),VLOOKUP($A401,Pit!$A$4:$BF$1214,56,FALSE))</f>
        <v>133</v>
      </c>
      <c r="V401" s="50">
        <f>IF($C401="B",VLOOKUP($A401,Bat!$A$4:$BA$1314,48,FALSE),VLOOKUP($A401,Pit!$A$4:$BF$1214,57,FALSE))</f>
        <v>0</v>
      </c>
      <c r="W401" s="68">
        <f>IF(Table5[[#This Row],[posRnk]]=999,9999,Table5[[#This Row],[posRnk]]+Table5[[#This Row],[zRnk]]+IF($W$3&lt;&gt;Table5[[#This Row],[Type]],50,0))</f>
        <v>1319</v>
      </c>
      <c r="X401" s="51">
        <f>RANK(Table5[[#This Row],[zScore]],Table5[[#All],[zScore]])</f>
        <v>419</v>
      </c>
      <c r="Y401" s="50">
        <f>IFERROR(INDEX(DraftResults[[#All],[OVR]],MATCH(Table5[[#This Row],[PID]],DraftResults[[#All],[Player ID]],0)),"")</f>
        <v>488</v>
      </c>
      <c r="Z401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15</v>
      </c>
      <c r="AA401" s="50">
        <f>IFERROR(INDEX(DraftResults[[#All],[Pick in Round]],MATCH(Table5[[#This Row],[PID]],DraftResults[[#All],[Player ID]],0)),"")</f>
        <v>21</v>
      </c>
      <c r="AB401" s="50" t="str">
        <f>IFERROR(INDEX(DraftResults[[#All],[Team Name]],MATCH(Table5[[#This Row],[PID]],DraftResults[[#All],[Player ID]],0)),"")</f>
        <v>Neo-Tokyo Akira</v>
      </c>
      <c r="AC401" s="50">
        <f>IF(Table5[[#This Row],[Ovr]]="","",IF(Table5[[#This Row],[cmbList]]="","",Table5[[#This Row],[cmbList]]-Table5[[#This Row],[Ovr]]))</f>
        <v>831</v>
      </c>
      <c r="AD401" s="54" t="str">
        <f>IF(ISERROR(VLOOKUP($AB401&amp;"-"&amp;$E401&amp;" "&amp;F401,Bonuses!$B$1:$G$1006,4,FALSE)),"",INT(VLOOKUP($AB401&amp;"-"&amp;$E401&amp;" "&amp;$F401,Bonuses!$B$1:$G$1006,4,FALSE)))</f>
        <v/>
      </c>
      <c r="AE401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15.21 (488) - RP Charles Morgan</v>
      </c>
    </row>
    <row r="402" spans="1:31" s="50" customFormat="1" x14ac:dyDescent="0.3">
      <c r="A402" s="50">
        <v>20956</v>
      </c>
      <c r="B402" s="50">
        <f>COUNTIF(Table5[PID],A402)</f>
        <v>1</v>
      </c>
      <c r="C402" s="50" t="str">
        <f>IF(COUNTIF(Table3[[#All],[PID]],A402)&gt;0,"P","B")</f>
        <v>P</v>
      </c>
      <c r="D402" s="59" t="str">
        <f>IF($C402="B",INDEX(Batters[[#All],[POS]],MATCH(Table5[[#This Row],[PID]],Batters[[#All],[PID]],0)),INDEX(Table3[[#All],[POS]],MATCH(Table5[[#This Row],[PID]],Table3[[#All],[PID]],0)))</f>
        <v>RP</v>
      </c>
      <c r="E402" s="52" t="str">
        <f>IF($C402="B",INDEX(Batters[[#All],[First]],MATCH(Table5[[#This Row],[PID]],Batters[[#All],[PID]],0)),INDEX(Table3[[#All],[First]],MATCH(Table5[[#This Row],[PID]],Table3[[#All],[PID]],0)))</f>
        <v>Robert</v>
      </c>
      <c r="F402" s="50" t="str">
        <f>IF($C402="B",INDEX(Batters[[#All],[Last]],MATCH(A402,Batters[[#All],[PID]],0)),INDEX(Table3[[#All],[Last]],MATCH(A402,Table3[[#All],[PID]],0)))</f>
        <v>Collier</v>
      </c>
      <c r="G402" s="56">
        <f>IF($C402="B",INDEX(Batters[[#All],[Age]],MATCH(Table5[[#This Row],[PID]],Batters[[#All],[PID]],0)),INDEX(Table3[[#All],[Age]],MATCH(Table5[[#This Row],[PID]],Table3[[#All],[PID]],0)))</f>
        <v>17</v>
      </c>
      <c r="H402" s="52" t="str">
        <f>IF($C402="B",INDEX(Batters[[#All],[B]],MATCH(Table5[[#This Row],[PID]],Batters[[#All],[PID]],0)),INDEX(Table3[[#All],[B]],MATCH(Table5[[#This Row],[PID]],Table3[[#All],[PID]],0)))</f>
        <v>L</v>
      </c>
      <c r="I402" s="52" t="str">
        <f>IF($C402="B",INDEX(Batters[[#All],[T]],MATCH(Table5[[#This Row],[PID]],Batters[[#All],[PID]],0)),INDEX(Table3[[#All],[T]],MATCH(Table5[[#This Row],[PID]],Table3[[#All],[PID]],0)))</f>
        <v>R</v>
      </c>
      <c r="J402" s="52" t="str">
        <f>IF($C402="B",INDEX(Batters[[#All],[WE]],MATCH(Table5[[#This Row],[PID]],Batters[[#All],[PID]],0)),INDEX(Table3[[#All],[WE]],MATCH(Table5[[#This Row],[PID]],Table3[[#All],[PID]],0)))</f>
        <v>Low</v>
      </c>
      <c r="K402" s="52" t="str">
        <f>IF($C402="B",INDEX(Batters[[#All],[INT]],MATCH(Table5[[#This Row],[PID]],Batters[[#All],[PID]],0)),INDEX(Table3[[#All],[INT]],MATCH(Table5[[#This Row],[PID]],Table3[[#All],[PID]],0)))</f>
        <v>Normal</v>
      </c>
      <c r="L402" s="60">
        <f>IF($C402="B",INDEX(Batters[[#All],[CON P]],MATCH(Table5[[#This Row],[PID]],Batters[[#All],[PID]],0)),INDEX(Table3[[#All],[STU P]],MATCH(Table5[[#This Row],[PID]],Table3[[#All],[PID]],0)))</f>
        <v>4</v>
      </c>
      <c r="M402" s="56">
        <f>IF($C402="B",INDEX(Batters[[#All],[GAP P]],MATCH(Table5[[#This Row],[PID]],Batters[[#All],[PID]],0)),INDEX(Table3[[#All],[MOV P]],MATCH(Table5[[#This Row],[PID]],Table3[[#All],[PID]],0)))</f>
        <v>2</v>
      </c>
      <c r="N402" s="56">
        <f>IF($C402="B",INDEX(Batters[[#All],[POW P]],MATCH(Table5[[#This Row],[PID]],Batters[[#All],[PID]],0)),INDEX(Table3[[#All],[CON P]],MATCH(Table5[[#This Row],[PID]],Table3[[#All],[PID]],0)))</f>
        <v>4</v>
      </c>
      <c r="O402" s="56" t="str">
        <f>IF($C402="B",INDEX(Batters[[#All],[EYE P]],MATCH(Table5[[#This Row],[PID]],Batters[[#All],[PID]],0)),INDEX(Table3[[#All],[VELO]],MATCH(Table5[[#This Row],[PID]],Table3[[#All],[PID]],0)))</f>
        <v>88-90 Mph</v>
      </c>
      <c r="P402" s="56">
        <f>IF($C402="B",INDEX(Batters[[#All],[K P]],MATCH(Table5[[#This Row],[PID]],Batters[[#All],[PID]],0)),INDEX(Table3[[#All],[STM]],MATCH(Table5[[#This Row],[PID]],Table3[[#All],[PID]],0)))</f>
        <v>4</v>
      </c>
      <c r="Q402" s="61">
        <f>IF($C402="B",INDEX(Batters[[#All],[Tot]],MATCH(Table5[[#This Row],[PID]],Batters[[#All],[PID]],0)),INDEX(Table3[[#All],[Tot]],MATCH(Table5[[#This Row],[PID]],Table3[[#All],[PID]],0)))</f>
        <v>37.595289463341132</v>
      </c>
      <c r="R402" s="52">
        <f>IF($C402="B",INDEX(Batters[[#All],[zScore]],MATCH(Table5[[#This Row],[PID]],Batters[[#All],[PID]],0)),INDEX(Table3[[#All],[zScore]],MATCH(Table5[[#This Row],[PID]],Table3[[#All],[PID]],0)))</f>
        <v>-1.4760728504505813E-2</v>
      </c>
      <c r="S402" s="58" t="str">
        <f>IF($C402="B",INDEX(Batters[[#All],[DEM]],MATCH(Table5[[#This Row],[PID]],Batters[[#All],[PID]],0)),INDEX(Table3[[#All],[DEM]],MATCH(Table5[[#This Row],[PID]],Table3[[#All],[PID]],0)))</f>
        <v>$38k</v>
      </c>
      <c r="T402" s="62">
        <f>IF($C402="B",INDEX(Batters[[#All],[Rnk]],MATCH(Table5[[#This Row],[PID]],Batters[[#All],[PID]],0)),INDEX(Table3[[#All],[Rnk]],MATCH(Table5[[#This Row],[PID]],Table3[[#All],[PID]],0)))</f>
        <v>930</v>
      </c>
      <c r="U402" s="67">
        <f>IF($C402="B",VLOOKUP($A402,Bat!$A$4:$BA$1314,47,FALSE),VLOOKUP($A402,Pit!$A$4:$BF$1214,56,FALSE))</f>
        <v>286</v>
      </c>
      <c r="V402" s="50">
        <f>IF($C402="B",VLOOKUP($A402,Bat!$A$4:$BA$1314,48,FALSE),VLOOKUP($A402,Pit!$A$4:$BF$1214,57,FALSE))</f>
        <v>0</v>
      </c>
      <c r="W402" s="68">
        <f>IF(Table5[[#This Row],[posRnk]]=999,9999,Table5[[#This Row],[posRnk]]+Table5[[#This Row],[zRnk]]+IF($W$3&lt;&gt;Table5[[#This Row],[Type]],50,0))</f>
        <v>1320</v>
      </c>
      <c r="X402" s="51">
        <f>RANK(Table5[[#This Row],[zScore]],Table5[[#All],[zScore]])</f>
        <v>390</v>
      </c>
      <c r="Y402" s="50" t="str">
        <f>IFERROR(INDEX(DraftResults[[#All],[OVR]],MATCH(Table5[[#This Row],[PID]],DraftResults[[#All],[Player ID]],0)),"")</f>
        <v/>
      </c>
      <c r="Z402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/>
      </c>
      <c r="AA402" s="50" t="str">
        <f>IFERROR(INDEX(DraftResults[[#All],[Pick in Round]],MATCH(Table5[[#This Row],[PID]],DraftResults[[#All],[Player ID]],0)),"")</f>
        <v/>
      </c>
      <c r="AB402" s="50" t="str">
        <f>IFERROR(INDEX(DraftResults[[#All],[Team Name]],MATCH(Table5[[#This Row],[PID]],DraftResults[[#All],[Player ID]],0)),"")</f>
        <v/>
      </c>
      <c r="AC402" s="50" t="str">
        <f>IF(Table5[[#This Row],[Ovr]]="","",IF(Table5[[#This Row],[cmbList]]="","",Table5[[#This Row],[cmbList]]-Table5[[#This Row],[Ovr]]))</f>
        <v/>
      </c>
      <c r="AD402" s="54" t="str">
        <f>IF(ISERROR(VLOOKUP($AB402&amp;"-"&amp;$E402&amp;" "&amp;F402,Bonuses!$B$1:$G$1006,4,FALSE)),"",INT(VLOOKUP($AB402&amp;"-"&amp;$E402&amp;" "&amp;$F402,Bonuses!$B$1:$G$1006,4,FALSE)))</f>
        <v/>
      </c>
      <c r="AE402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/>
      </c>
    </row>
    <row r="403" spans="1:31" s="50" customFormat="1" x14ac:dyDescent="0.3">
      <c r="A403" s="50">
        <v>13379</v>
      </c>
      <c r="B403" s="50">
        <f>COUNTIF(Table5[PID],A403)</f>
        <v>1</v>
      </c>
      <c r="C403" s="50" t="str">
        <f>IF(COUNTIF(Table3[[#All],[PID]],A403)&gt;0,"P","B")</f>
        <v>B</v>
      </c>
      <c r="D403" s="59" t="str">
        <f>IF($C403="B",INDEX(Batters[[#All],[POS]],MATCH(Table5[[#This Row],[PID]],Batters[[#All],[PID]],0)),INDEX(Table3[[#All],[POS]],MATCH(Table5[[#This Row],[PID]],Table3[[#All],[PID]],0)))</f>
        <v>2B</v>
      </c>
      <c r="E403" s="52" t="str">
        <f>IF($C403="B",INDEX(Batters[[#All],[First]],MATCH(Table5[[#This Row],[PID]],Batters[[#All],[PID]],0)),INDEX(Table3[[#All],[First]],MATCH(Table5[[#This Row],[PID]],Table3[[#All],[PID]],0)))</f>
        <v>Yoshihito</v>
      </c>
      <c r="F403" s="50" t="str">
        <f>IF($C403="B",INDEX(Batters[[#All],[Last]],MATCH(A403,Batters[[#All],[PID]],0)),INDEX(Table3[[#All],[Last]],MATCH(A403,Table3[[#All],[PID]],0)))</f>
        <v>Kaneko</v>
      </c>
      <c r="G403" s="56">
        <f>IF($C403="B",INDEX(Batters[[#All],[Age]],MATCH(Table5[[#This Row],[PID]],Batters[[#All],[PID]],0)),INDEX(Table3[[#All],[Age]],MATCH(Table5[[#This Row],[PID]],Table3[[#All],[PID]],0)))</f>
        <v>17</v>
      </c>
      <c r="H403" s="52" t="str">
        <f>IF($C403="B",INDEX(Batters[[#All],[B]],MATCH(Table5[[#This Row],[PID]],Batters[[#All],[PID]],0)),INDEX(Table3[[#All],[B]],MATCH(Table5[[#This Row],[PID]],Table3[[#All],[PID]],0)))</f>
        <v>R</v>
      </c>
      <c r="I403" s="52" t="str">
        <f>IF($C403="B",INDEX(Batters[[#All],[T]],MATCH(Table5[[#This Row],[PID]],Batters[[#All],[PID]],0)),INDEX(Table3[[#All],[T]],MATCH(Table5[[#This Row],[PID]],Table3[[#All],[PID]],0)))</f>
        <v>R</v>
      </c>
      <c r="J403" s="52" t="str">
        <f>IF($C403="B",INDEX(Batters[[#All],[WE]],MATCH(Table5[[#This Row],[PID]],Batters[[#All],[PID]],0)),INDEX(Table3[[#All],[WE]],MATCH(Table5[[#This Row],[PID]],Table3[[#All],[PID]],0)))</f>
        <v>Normal</v>
      </c>
      <c r="K403" s="52" t="str">
        <f>IF($C403="B",INDEX(Batters[[#All],[INT]],MATCH(Table5[[#This Row],[PID]],Batters[[#All],[PID]],0)),INDEX(Table3[[#All],[INT]],MATCH(Table5[[#This Row],[PID]],Table3[[#All],[PID]],0)))</f>
        <v>Normal</v>
      </c>
      <c r="L403" s="60">
        <f>IF($C403="B",INDEX(Batters[[#All],[CON P]],MATCH(Table5[[#This Row],[PID]],Batters[[#All],[PID]],0)),INDEX(Table3[[#All],[STU P]],MATCH(Table5[[#This Row],[PID]],Table3[[#All],[PID]],0)))</f>
        <v>3</v>
      </c>
      <c r="M403" s="56">
        <f>IF($C403="B",INDEX(Batters[[#All],[GAP P]],MATCH(Table5[[#This Row],[PID]],Batters[[#All],[PID]],0)),INDEX(Table3[[#All],[MOV P]],MATCH(Table5[[#This Row],[PID]],Table3[[#All],[PID]],0)))</f>
        <v>4</v>
      </c>
      <c r="N403" s="56">
        <f>IF($C403="B",INDEX(Batters[[#All],[POW P]],MATCH(Table5[[#This Row],[PID]],Batters[[#All],[PID]],0)),INDEX(Table3[[#All],[CON P]],MATCH(Table5[[#This Row],[PID]],Table3[[#All],[PID]],0)))</f>
        <v>2</v>
      </c>
      <c r="O403" s="56">
        <f>IF($C403="B",INDEX(Batters[[#All],[EYE P]],MATCH(Table5[[#This Row],[PID]],Batters[[#All],[PID]],0)),INDEX(Table3[[#All],[VELO]],MATCH(Table5[[#This Row],[PID]],Table3[[#All],[PID]],0)))</f>
        <v>5</v>
      </c>
      <c r="P403" s="56">
        <f>IF($C403="B",INDEX(Batters[[#All],[K P]],MATCH(Table5[[#This Row],[PID]],Batters[[#All],[PID]],0)),INDEX(Table3[[#All],[STM]],MATCH(Table5[[#This Row],[PID]],Table3[[#All],[PID]],0)))</f>
        <v>5</v>
      </c>
      <c r="Q403" s="61">
        <f>IF($C403="B",INDEX(Batters[[#All],[Tot]],MATCH(Table5[[#This Row],[PID]],Batters[[#All],[PID]],0)),INDEX(Table3[[#All],[Tot]],MATCH(Table5[[#This Row],[PID]],Table3[[#All],[PID]],0)))</f>
        <v>42.46031847881541</v>
      </c>
      <c r="R403" s="52">
        <f>IF($C403="B",INDEX(Batters[[#All],[zScore]],MATCH(Table5[[#This Row],[PID]],Batters[[#All],[PID]],0)),INDEX(Table3[[#All],[zScore]],MATCH(Table5[[#This Row],[PID]],Table3[[#All],[PID]],0)))</f>
        <v>-0.1106689452515101</v>
      </c>
      <c r="S403" s="58" t="str">
        <f>IF($C403="B",INDEX(Batters[[#All],[DEM]],MATCH(Table5[[#This Row],[PID]],Batters[[#All],[PID]],0)),INDEX(Table3[[#All],[DEM]],MATCH(Table5[[#This Row],[PID]],Table3[[#All],[PID]],0)))</f>
        <v>$75k</v>
      </c>
      <c r="T403" s="62">
        <f>IF($C403="B",INDEX(Batters[[#All],[Rnk]],MATCH(Table5[[#This Row],[PID]],Batters[[#All],[PID]],0)),INDEX(Table3[[#All],[Rnk]],MATCH(Table5[[#This Row],[PID]],Table3[[#All],[PID]],0)))</f>
        <v>900</v>
      </c>
      <c r="U403" s="67">
        <f>IF($C403="B",VLOOKUP($A403,Bat!$A$4:$BA$1314,47,FALSE),VLOOKUP($A403,Pit!$A$4:$BF$1214,56,FALSE))</f>
        <v>182</v>
      </c>
      <c r="V403" s="50">
        <f>IF($C403="B",VLOOKUP($A403,Bat!$A$4:$BA$1314,48,FALSE),VLOOKUP($A403,Pit!$A$4:$BF$1214,57,FALSE))</f>
        <v>0</v>
      </c>
      <c r="W403" s="68">
        <f>IF(Table5[[#This Row],[posRnk]]=999,9999,Table5[[#This Row],[posRnk]]+Table5[[#This Row],[zRnk]]+IF($W$3&lt;&gt;Table5[[#This Row],[Type]],50,0))</f>
        <v>1371</v>
      </c>
      <c r="X403" s="51">
        <f>RANK(Table5[[#This Row],[zScore]],Table5[[#All],[zScore]])</f>
        <v>421</v>
      </c>
      <c r="Y403" s="50">
        <f>IFERROR(INDEX(DraftResults[[#All],[OVR]],MATCH(Table5[[#This Row],[PID]],DraftResults[[#All],[Player ID]],0)),"")</f>
        <v>517</v>
      </c>
      <c r="Z403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16</v>
      </c>
      <c r="AA403" s="50">
        <f>IFERROR(INDEX(DraftResults[[#All],[Pick in Round]],MATCH(Table5[[#This Row],[PID]],DraftResults[[#All],[Player ID]],0)),"")</f>
        <v>16</v>
      </c>
      <c r="AB403" s="50" t="str">
        <f>IFERROR(INDEX(DraftResults[[#All],[Team Name]],MATCH(Table5[[#This Row],[PID]],DraftResults[[#All],[Player ID]],0)),"")</f>
        <v>Madison Malts</v>
      </c>
      <c r="AC403" s="50">
        <f>IF(Table5[[#This Row],[Ovr]]="","",IF(Table5[[#This Row],[cmbList]]="","",Table5[[#This Row],[cmbList]]-Table5[[#This Row],[Ovr]]))</f>
        <v>854</v>
      </c>
      <c r="AD403" s="54" t="str">
        <f>IF(ISERROR(VLOOKUP($AB403&amp;"-"&amp;$E403&amp;" "&amp;F403,Bonuses!$B$1:$G$1006,4,FALSE)),"",INT(VLOOKUP($AB403&amp;"-"&amp;$E403&amp;" "&amp;$F403,Bonuses!$B$1:$G$1006,4,FALSE)))</f>
        <v/>
      </c>
      <c r="AE403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16.16 (517) - 2B Yoshihito Kaneko</v>
      </c>
    </row>
    <row r="404" spans="1:31" s="50" customFormat="1" x14ac:dyDescent="0.3">
      <c r="A404" s="50">
        <v>12652</v>
      </c>
      <c r="B404" s="50">
        <f>COUNTIF(Table5[PID],A404)</f>
        <v>1</v>
      </c>
      <c r="C404" s="50" t="str">
        <f>IF(COUNTIF(Table3[[#All],[PID]],A404)&gt;0,"P","B")</f>
        <v>P</v>
      </c>
      <c r="D404" s="59" t="str">
        <f>IF($C404="B",INDEX(Batters[[#All],[POS]],MATCH(Table5[[#This Row],[PID]],Batters[[#All],[PID]],0)),INDEX(Table3[[#All],[POS]],MATCH(Table5[[#This Row],[PID]],Table3[[#All],[PID]],0)))</f>
        <v>RP</v>
      </c>
      <c r="E404" s="52" t="str">
        <f>IF($C404="B",INDEX(Batters[[#All],[First]],MATCH(Table5[[#This Row],[PID]],Batters[[#All],[PID]],0)),INDEX(Table3[[#All],[First]],MATCH(Table5[[#This Row],[PID]],Table3[[#All],[PID]],0)))</f>
        <v>Mark</v>
      </c>
      <c r="F404" s="50" t="str">
        <f>IF($C404="B",INDEX(Batters[[#All],[Last]],MATCH(A404,Batters[[#All],[PID]],0)),INDEX(Table3[[#All],[Last]],MATCH(A404,Table3[[#All],[PID]],0)))</f>
        <v>Erickson</v>
      </c>
      <c r="G404" s="56">
        <f>IF($C404="B",INDEX(Batters[[#All],[Age]],MATCH(Table5[[#This Row],[PID]],Batters[[#All],[PID]],0)),INDEX(Table3[[#All],[Age]],MATCH(Table5[[#This Row],[PID]],Table3[[#All],[PID]],0)))</f>
        <v>17</v>
      </c>
      <c r="H404" s="52" t="str">
        <f>IF($C404="B",INDEX(Batters[[#All],[B]],MATCH(Table5[[#This Row],[PID]],Batters[[#All],[PID]],0)),INDEX(Table3[[#All],[B]],MATCH(Table5[[#This Row],[PID]],Table3[[#All],[PID]],0)))</f>
        <v>R</v>
      </c>
      <c r="I404" s="52" t="str">
        <f>IF($C404="B",INDEX(Batters[[#All],[T]],MATCH(Table5[[#This Row],[PID]],Batters[[#All],[PID]],0)),INDEX(Table3[[#All],[T]],MATCH(Table5[[#This Row],[PID]],Table3[[#All],[PID]],0)))</f>
        <v>L</v>
      </c>
      <c r="J404" s="52" t="str">
        <f>IF($C404="B",INDEX(Batters[[#All],[WE]],MATCH(Table5[[#This Row],[PID]],Batters[[#All],[PID]],0)),INDEX(Table3[[#All],[WE]],MATCH(Table5[[#This Row],[PID]],Table3[[#All],[PID]],0)))</f>
        <v>Low</v>
      </c>
      <c r="K404" s="52" t="str">
        <f>IF($C404="B",INDEX(Batters[[#All],[INT]],MATCH(Table5[[#This Row],[PID]],Batters[[#All],[PID]],0)),INDEX(Table3[[#All],[INT]],MATCH(Table5[[#This Row],[PID]],Table3[[#All],[PID]],0)))</f>
        <v>Normal</v>
      </c>
      <c r="L404" s="60">
        <f>IF($C404="B",INDEX(Batters[[#All],[CON P]],MATCH(Table5[[#This Row],[PID]],Batters[[#All],[PID]],0)),INDEX(Table3[[#All],[STU P]],MATCH(Table5[[#This Row],[PID]],Table3[[#All],[PID]],0)))</f>
        <v>4</v>
      </c>
      <c r="M404" s="56">
        <f>IF($C404="B",INDEX(Batters[[#All],[GAP P]],MATCH(Table5[[#This Row],[PID]],Batters[[#All],[PID]],0)),INDEX(Table3[[#All],[MOV P]],MATCH(Table5[[#This Row],[PID]],Table3[[#All],[PID]],0)))</f>
        <v>3</v>
      </c>
      <c r="N404" s="56">
        <f>IF($C404="B",INDEX(Batters[[#All],[POW P]],MATCH(Table5[[#This Row],[PID]],Batters[[#All],[PID]],0)),INDEX(Table3[[#All],[CON P]],MATCH(Table5[[#This Row],[PID]],Table3[[#All],[PID]],0)))</f>
        <v>3</v>
      </c>
      <c r="O404" s="56" t="str">
        <f>IF($C404="B",INDEX(Batters[[#All],[EYE P]],MATCH(Table5[[#This Row],[PID]],Batters[[#All],[PID]],0)),INDEX(Table3[[#All],[VELO]],MATCH(Table5[[#This Row],[PID]],Table3[[#All],[PID]],0)))</f>
        <v>86-88 Mph</v>
      </c>
      <c r="P404" s="56">
        <f>IF($C404="B",INDEX(Batters[[#All],[K P]],MATCH(Table5[[#This Row],[PID]],Batters[[#All],[PID]],0)),INDEX(Table3[[#All],[STM]],MATCH(Table5[[#This Row],[PID]],Table3[[#All],[PID]],0)))</f>
        <v>8</v>
      </c>
      <c r="Q404" s="61">
        <f>IF($C404="B",INDEX(Batters[[#All],[Tot]],MATCH(Table5[[#This Row],[PID]],Batters[[#All],[PID]],0)),INDEX(Table3[[#All],[Tot]],MATCH(Table5[[#This Row],[PID]],Table3[[#All],[PID]],0)))</f>
        <v>37.591165372727509</v>
      </c>
      <c r="R404" s="52">
        <f>IF($C404="B",INDEX(Batters[[#All],[zScore]],MATCH(Table5[[#This Row],[PID]],Batters[[#All],[PID]],0)),INDEX(Table3[[#All],[zScore]],MATCH(Table5[[#This Row],[PID]],Table3[[#All],[PID]],0)))</f>
        <v>-1.5054392760401153E-2</v>
      </c>
      <c r="S404" s="58" t="str">
        <f>IF($C404="B",INDEX(Batters[[#All],[DEM]],MATCH(Table5[[#This Row],[PID]],Batters[[#All],[PID]],0)),INDEX(Table3[[#All],[DEM]],MATCH(Table5[[#This Row],[PID]],Table3[[#All],[PID]],0)))</f>
        <v>$70k</v>
      </c>
      <c r="T404" s="62">
        <f>IF($C404="B",INDEX(Batters[[#All],[Rnk]],MATCH(Table5[[#This Row],[PID]],Batters[[#All],[PID]],0)),INDEX(Table3[[#All],[Rnk]],MATCH(Table5[[#This Row],[PID]],Table3[[#All],[PID]],0)))</f>
        <v>930</v>
      </c>
      <c r="U404" s="67">
        <f>IF($C404="B",VLOOKUP($A404,Bat!$A$4:$BA$1314,47,FALSE),VLOOKUP($A404,Pit!$A$4:$BF$1214,56,FALSE))</f>
        <v>287</v>
      </c>
      <c r="V404" s="50">
        <f>IF($C404="B",VLOOKUP($A404,Bat!$A$4:$BA$1314,48,FALSE),VLOOKUP($A404,Pit!$A$4:$BF$1214,57,FALSE))</f>
        <v>0</v>
      </c>
      <c r="W404" s="68">
        <f>IF(Table5[[#This Row],[posRnk]]=999,9999,Table5[[#This Row],[posRnk]]+Table5[[#This Row],[zRnk]]+IF($W$3&lt;&gt;Table5[[#This Row],[Type]],50,0))</f>
        <v>1321</v>
      </c>
      <c r="X404" s="51">
        <f>RANK(Table5[[#This Row],[zScore]],Table5[[#All],[zScore]])</f>
        <v>391</v>
      </c>
      <c r="Y404" s="50">
        <f>IFERROR(INDEX(DraftResults[[#All],[OVR]],MATCH(Table5[[#This Row],[PID]],DraftResults[[#All],[Player ID]],0)),"")</f>
        <v>490</v>
      </c>
      <c r="Z404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15</v>
      </c>
      <c r="AA404" s="50">
        <f>IFERROR(INDEX(DraftResults[[#All],[Pick in Round]],MATCH(Table5[[#This Row],[PID]],DraftResults[[#All],[Player ID]],0)),"")</f>
        <v>23</v>
      </c>
      <c r="AB404" s="50" t="str">
        <f>IFERROR(INDEX(DraftResults[[#All],[Team Name]],MATCH(Table5[[#This Row],[PID]],DraftResults[[#All],[Player ID]],0)),"")</f>
        <v>Kentucky Thoroughbreds</v>
      </c>
      <c r="AC404" s="50">
        <f>IF(Table5[[#This Row],[Ovr]]="","",IF(Table5[[#This Row],[cmbList]]="","",Table5[[#This Row],[cmbList]]-Table5[[#This Row],[Ovr]]))</f>
        <v>831</v>
      </c>
      <c r="AD404" s="54" t="str">
        <f>IF(ISERROR(VLOOKUP($AB404&amp;"-"&amp;$E404&amp;" "&amp;F404,Bonuses!$B$1:$G$1006,4,FALSE)),"",INT(VLOOKUP($AB404&amp;"-"&amp;$E404&amp;" "&amp;$F404,Bonuses!$B$1:$G$1006,4,FALSE)))</f>
        <v/>
      </c>
      <c r="AE404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15.23 (490) - RP Mark Erickson</v>
      </c>
    </row>
    <row r="405" spans="1:31" s="50" customFormat="1" x14ac:dyDescent="0.3">
      <c r="A405" s="50">
        <v>20890</v>
      </c>
      <c r="B405" s="50">
        <f>COUNTIF(Table5[PID],A405)</f>
        <v>1</v>
      </c>
      <c r="C405" s="50" t="str">
        <f>IF(COUNTIF(Table3[[#All],[PID]],A405)&gt;0,"P","B")</f>
        <v>B</v>
      </c>
      <c r="D405" s="59" t="str">
        <f>IF($C405="B",INDEX(Batters[[#All],[POS]],MATCH(Table5[[#This Row],[PID]],Batters[[#All],[PID]],0)),INDEX(Table3[[#All],[POS]],MATCH(Table5[[#This Row],[PID]],Table3[[#All],[PID]],0)))</f>
        <v>1B</v>
      </c>
      <c r="E405" s="52" t="str">
        <f>IF($C405="B",INDEX(Batters[[#All],[First]],MATCH(Table5[[#This Row],[PID]],Batters[[#All],[PID]],0)),INDEX(Table3[[#All],[First]],MATCH(Table5[[#This Row],[PID]],Table3[[#All],[PID]],0)))</f>
        <v>Reed</v>
      </c>
      <c r="F405" s="50" t="str">
        <f>IF($C405="B",INDEX(Batters[[#All],[Last]],MATCH(A405,Batters[[#All],[PID]],0)),INDEX(Table3[[#All],[Last]],MATCH(A405,Table3[[#All],[PID]],0)))</f>
        <v>Smith</v>
      </c>
      <c r="G405" s="56">
        <f>IF($C405="B",INDEX(Batters[[#All],[Age]],MATCH(Table5[[#This Row],[PID]],Batters[[#All],[PID]],0)),INDEX(Table3[[#All],[Age]],MATCH(Table5[[#This Row],[PID]],Table3[[#All],[PID]],0)))</f>
        <v>17</v>
      </c>
      <c r="H405" s="52" t="str">
        <f>IF($C405="B",INDEX(Batters[[#All],[B]],MATCH(Table5[[#This Row],[PID]],Batters[[#All],[PID]],0)),INDEX(Table3[[#All],[B]],MATCH(Table5[[#This Row],[PID]],Table3[[#All],[PID]],0)))</f>
        <v>R</v>
      </c>
      <c r="I405" s="52" t="str">
        <f>IF($C405="B",INDEX(Batters[[#All],[T]],MATCH(Table5[[#This Row],[PID]],Batters[[#All],[PID]],0)),INDEX(Table3[[#All],[T]],MATCH(Table5[[#This Row],[PID]],Table3[[#All],[PID]],0)))</f>
        <v>R</v>
      </c>
      <c r="J405" s="52" t="str">
        <f>IF($C405="B",INDEX(Batters[[#All],[WE]],MATCH(Table5[[#This Row],[PID]],Batters[[#All],[PID]],0)),INDEX(Table3[[#All],[WE]],MATCH(Table5[[#This Row],[PID]],Table3[[#All],[PID]],0)))</f>
        <v>High</v>
      </c>
      <c r="K405" s="52" t="str">
        <f>IF($C405="B",INDEX(Batters[[#All],[INT]],MATCH(Table5[[#This Row],[PID]],Batters[[#All],[PID]],0)),INDEX(Table3[[#All],[INT]],MATCH(Table5[[#This Row],[PID]],Table3[[#All],[PID]],0)))</f>
        <v>High</v>
      </c>
      <c r="L405" s="60">
        <f>IF($C405="B",INDEX(Batters[[#All],[CON P]],MATCH(Table5[[#This Row],[PID]],Batters[[#All],[PID]],0)),INDEX(Table3[[#All],[STU P]],MATCH(Table5[[#This Row],[PID]],Table3[[#All],[PID]],0)))</f>
        <v>3</v>
      </c>
      <c r="M405" s="56">
        <f>IF($C405="B",INDEX(Batters[[#All],[GAP P]],MATCH(Table5[[#This Row],[PID]],Batters[[#All],[PID]],0)),INDEX(Table3[[#All],[MOV P]],MATCH(Table5[[#This Row],[PID]],Table3[[#All],[PID]],0)))</f>
        <v>4</v>
      </c>
      <c r="N405" s="56">
        <f>IF($C405="B",INDEX(Batters[[#All],[POW P]],MATCH(Table5[[#This Row],[PID]],Batters[[#All],[PID]],0)),INDEX(Table3[[#All],[CON P]],MATCH(Table5[[#This Row],[PID]],Table3[[#All],[PID]],0)))</f>
        <v>2</v>
      </c>
      <c r="O405" s="56">
        <f>IF($C405="B",INDEX(Batters[[#All],[EYE P]],MATCH(Table5[[#This Row],[PID]],Batters[[#All],[PID]],0)),INDEX(Table3[[#All],[VELO]],MATCH(Table5[[#This Row],[PID]],Table3[[#All],[PID]],0)))</f>
        <v>5</v>
      </c>
      <c r="P405" s="56">
        <f>IF($C405="B",INDEX(Batters[[#All],[K P]],MATCH(Table5[[#This Row],[PID]],Batters[[#All],[PID]],0)),INDEX(Table3[[#All],[STM]],MATCH(Table5[[#This Row],[PID]],Table3[[#All],[PID]],0)))</f>
        <v>5</v>
      </c>
      <c r="Q405" s="61">
        <f>IF($C405="B",INDEX(Batters[[#All],[Tot]],MATCH(Table5[[#This Row],[PID]],Batters[[#All],[PID]],0)),INDEX(Table3[[#All],[Tot]],MATCH(Table5[[#This Row],[PID]],Table3[[#All],[PID]],0)))</f>
        <v>42.433906568537537</v>
      </c>
      <c r="R405" s="52">
        <f>IF($C405="B",INDEX(Batters[[#All],[zScore]],MATCH(Table5[[#This Row],[PID]],Batters[[#All],[PID]],0)),INDEX(Table3[[#All],[zScore]],MATCH(Table5[[#This Row],[PID]],Table3[[#All],[PID]],0)))</f>
        <v>-0.11452424186694128</v>
      </c>
      <c r="S405" s="58" t="str">
        <f>IF($C405="B",INDEX(Batters[[#All],[DEM]],MATCH(Table5[[#This Row],[PID]],Batters[[#All],[PID]],0)),INDEX(Table3[[#All],[DEM]],MATCH(Table5[[#This Row],[PID]],Table3[[#All],[PID]],0)))</f>
        <v>$38k</v>
      </c>
      <c r="T405" s="62">
        <f>IF($C405="B",INDEX(Batters[[#All],[Rnk]],MATCH(Table5[[#This Row],[PID]],Batters[[#All],[PID]],0)),INDEX(Table3[[#All],[Rnk]],MATCH(Table5[[#This Row],[PID]],Table3[[#All],[PID]],0)))</f>
        <v>900</v>
      </c>
      <c r="U405" s="67">
        <f>IF($C405="B",VLOOKUP($A405,Bat!$A$4:$BA$1314,47,FALSE),VLOOKUP($A405,Pit!$A$4:$BF$1214,56,FALSE))</f>
        <v>165</v>
      </c>
      <c r="V405" s="50">
        <f>IF($C405="B",VLOOKUP($A405,Bat!$A$4:$BA$1314,48,FALSE),VLOOKUP($A405,Pit!$A$4:$BF$1214,57,FALSE))</f>
        <v>0</v>
      </c>
      <c r="W405" s="68">
        <f>IF(Table5[[#This Row],[posRnk]]=999,9999,Table5[[#This Row],[posRnk]]+Table5[[#This Row],[zRnk]]+IF($W$3&lt;&gt;Table5[[#This Row],[Type]],50,0))</f>
        <v>1372</v>
      </c>
      <c r="X405" s="51">
        <f>RANK(Table5[[#This Row],[zScore]],Table5[[#All],[zScore]])</f>
        <v>422</v>
      </c>
      <c r="Y405" s="50">
        <f>IFERROR(INDEX(DraftResults[[#All],[OVR]],MATCH(Table5[[#This Row],[PID]],DraftResults[[#All],[Player ID]],0)),"")</f>
        <v>432</v>
      </c>
      <c r="Z405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13</v>
      </c>
      <c r="AA405" s="50">
        <f>IFERROR(INDEX(DraftResults[[#All],[Pick in Round]],MATCH(Table5[[#This Row],[PID]],DraftResults[[#All],[Player ID]],0)),"")</f>
        <v>33</v>
      </c>
      <c r="AB405" s="50" t="str">
        <f>IFERROR(INDEX(DraftResults[[#All],[Team Name]],MATCH(Table5[[#This Row],[PID]],DraftResults[[#All],[Player ID]],0)),"")</f>
        <v>Gloucester Fishermen</v>
      </c>
      <c r="AC405" s="50">
        <f>IF(Table5[[#This Row],[Ovr]]="","",IF(Table5[[#This Row],[cmbList]]="","",Table5[[#This Row],[cmbList]]-Table5[[#This Row],[Ovr]]))</f>
        <v>940</v>
      </c>
      <c r="AD405" s="54" t="str">
        <f>IF(ISERROR(VLOOKUP($AB405&amp;"-"&amp;$E405&amp;" "&amp;F405,Bonuses!$B$1:$G$1006,4,FALSE)),"",INT(VLOOKUP($AB405&amp;"-"&amp;$E405&amp;" "&amp;$F405,Bonuses!$B$1:$G$1006,4,FALSE)))</f>
        <v/>
      </c>
      <c r="AE405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13.33 (432) - 1B Reed Smith</v>
      </c>
    </row>
    <row r="406" spans="1:31" s="50" customFormat="1" x14ac:dyDescent="0.3">
      <c r="A406" s="50">
        <v>13113</v>
      </c>
      <c r="B406" s="50">
        <f>COUNTIF(Table5[PID],A406)</f>
        <v>1</v>
      </c>
      <c r="C406" s="50" t="str">
        <f>IF(COUNTIF(Table3[[#All],[PID]],A406)&gt;0,"P","B")</f>
        <v>P</v>
      </c>
      <c r="D406" s="59" t="str">
        <f>IF($C406="B",INDEX(Batters[[#All],[POS]],MATCH(Table5[[#This Row],[PID]],Batters[[#All],[PID]],0)),INDEX(Table3[[#All],[POS]],MATCH(Table5[[#This Row],[PID]],Table3[[#All],[PID]],0)))</f>
        <v>SP</v>
      </c>
      <c r="E406" s="52" t="str">
        <f>IF($C406="B",INDEX(Batters[[#All],[First]],MATCH(Table5[[#This Row],[PID]],Batters[[#All],[PID]],0)),INDEX(Table3[[#All],[First]],MATCH(Table5[[#This Row],[PID]],Table3[[#All],[PID]],0)))</f>
        <v>Chiel</v>
      </c>
      <c r="F406" s="50" t="str">
        <f>IF($C406="B",INDEX(Batters[[#All],[Last]],MATCH(A406,Batters[[#All],[PID]],0)),INDEX(Table3[[#All],[Last]],MATCH(A406,Table3[[#All],[PID]],0)))</f>
        <v>van Guilik</v>
      </c>
      <c r="G406" s="56">
        <f>IF($C406="B",INDEX(Batters[[#All],[Age]],MATCH(Table5[[#This Row],[PID]],Batters[[#All],[PID]],0)),INDEX(Table3[[#All],[Age]],MATCH(Table5[[#This Row],[PID]],Table3[[#All],[PID]],0)))</f>
        <v>18</v>
      </c>
      <c r="H406" s="52" t="str">
        <f>IF($C406="B",INDEX(Batters[[#All],[B]],MATCH(Table5[[#This Row],[PID]],Batters[[#All],[PID]],0)),INDEX(Table3[[#All],[B]],MATCH(Table5[[#This Row],[PID]],Table3[[#All],[PID]],0)))</f>
        <v>S</v>
      </c>
      <c r="I406" s="52" t="str">
        <f>IF($C406="B",INDEX(Batters[[#All],[T]],MATCH(Table5[[#This Row],[PID]],Batters[[#All],[PID]],0)),INDEX(Table3[[#All],[T]],MATCH(Table5[[#This Row],[PID]],Table3[[#All],[PID]],0)))</f>
        <v>R</v>
      </c>
      <c r="J406" s="52" t="str">
        <f>IF($C406="B",INDEX(Batters[[#All],[WE]],MATCH(Table5[[#This Row],[PID]],Batters[[#All],[PID]],0)),INDEX(Table3[[#All],[WE]],MATCH(Table5[[#This Row],[PID]],Table3[[#All],[PID]],0)))</f>
        <v>Normal</v>
      </c>
      <c r="K406" s="52" t="str">
        <f>IF($C406="B",INDEX(Batters[[#All],[INT]],MATCH(Table5[[#This Row],[PID]],Batters[[#All],[PID]],0)),INDEX(Table3[[#All],[INT]],MATCH(Table5[[#This Row],[PID]],Table3[[#All],[PID]],0)))</f>
        <v>Normal</v>
      </c>
      <c r="L406" s="60">
        <f>IF($C406="B",INDEX(Batters[[#All],[CON P]],MATCH(Table5[[#This Row],[PID]],Batters[[#All],[PID]],0)),INDEX(Table3[[#All],[STU P]],MATCH(Table5[[#This Row],[PID]],Table3[[#All],[PID]],0)))</f>
        <v>5</v>
      </c>
      <c r="M406" s="56">
        <f>IF($C406="B",INDEX(Batters[[#All],[GAP P]],MATCH(Table5[[#This Row],[PID]],Batters[[#All],[PID]],0)),INDEX(Table3[[#All],[MOV P]],MATCH(Table5[[#This Row],[PID]],Table3[[#All],[PID]],0)))</f>
        <v>2</v>
      </c>
      <c r="N406" s="56">
        <f>IF($C406="B",INDEX(Batters[[#All],[POW P]],MATCH(Table5[[#This Row],[PID]],Batters[[#All],[PID]],0)),INDEX(Table3[[#All],[CON P]],MATCH(Table5[[#This Row],[PID]],Table3[[#All],[PID]],0)))</f>
        <v>2</v>
      </c>
      <c r="O406" s="56" t="str">
        <f>IF($C406="B",INDEX(Batters[[#All],[EYE P]],MATCH(Table5[[#This Row],[PID]],Batters[[#All],[PID]],0)),INDEX(Table3[[#All],[VELO]],MATCH(Table5[[#This Row],[PID]],Table3[[#All],[PID]],0)))</f>
        <v>90-92 Mph</v>
      </c>
      <c r="P406" s="56">
        <f>IF($C406="B",INDEX(Batters[[#All],[K P]],MATCH(Table5[[#This Row],[PID]],Batters[[#All],[PID]],0)),INDEX(Table3[[#All],[STM]],MATCH(Table5[[#This Row],[PID]],Table3[[#All],[PID]],0)))</f>
        <v>8</v>
      </c>
      <c r="Q406" s="61">
        <f>IF($C406="B",INDEX(Batters[[#All],[Tot]],MATCH(Table5[[#This Row],[PID]],Batters[[#All],[PID]],0)),INDEX(Table3[[#All],[Tot]],MATCH(Table5[[#This Row],[PID]],Table3[[#All],[PID]],0)))</f>
        <v>35.99828962640099</v>
      </c>
      <c r="R406" s="52">
        <f>IF($C406="B",INDEX(Batters[[#All],[zScore]],MATCH(Table5[[#This Row],[PID]],Batters[[#All],[PID]],0)),INDEX(Table3[[#All],[zScore]],MATCH(Table5[[#This Row],[PID]],Table3[[#All],[PID]],0)))</f>
        <v>-0.12847834839163907</v>
      </c>
      <c r="S406" s="58" t="str">
        <f>IF($C406="B",INDEX(Batters[[#All],[DEM]],MATCH(Table5[[#This Row],[PID]],Batters[[#All],[PID]],0)),INDEX(Table3[[#All],[DEM]],MATCH(Table5[[#This Row],[PID]],Table3[[#All],[PID]],0)))</f>
        <v>$65k</v>
      </c>
      <c r="T406" s="62">
        <f>IF($C406="B",INDEX(Batters[[#All],[Rnk]],MATCH(Table5[[#This Row],[PID]],Batters[[#All],[PID]],0)),INDEX(Table3[[#All],[Rnk]],MATCH(Table5[[#This Row],[PID]],Table3[[#All],[PID]],0)))</f>
        <v>900</v>
      </c>
      <c r="U406" s="67">
        <f>IF($C406="B",VLOOKUP($A406,Bat!$A$4:$BA$1314,47,FALSE),VLOOKUP($A406,Pit!$A$4:$BF$1214,56,FALSE))</f>
        <v>144</v>
      </c>
      <c r="V406" s="50">
        <f>IF($C406="B",VLOOKUP($A406,Bat!$A$4:$BA$1314,48,FALSE),VLOOKUP($A406,Pit!$A$4:$BF$1214,57,FALSE))</f>
        <v>0</v>
      </c>
      <c r="W406" s="68">
        <f>IF(Table5[[#This Row],[posRnk]]=999,9999,Table5[[#This Row],[posRnk]]+Table5[[#This Row],[zRnk]]+IF($W$3&lt;&gt;Table5[[#This Row],[Type]],50,0))</f>
        <v>1323</v>
      </c>
      <c r="X406" s="51">
        <f>RANK(Table5[[#This Row],[zScore]],Table5[[#All],[zScore]])</f>
        <v>423</v>
      </c>
      <c r="Y406" s="50">
        <f>IFERROR(INDEX(DraftResults[[#All],[OVR]],MATCH(Table5[[#This Row],[PID]],DraftResults[[#All],[Player ID]],0)),"")</f>
        <v>380</v>
      </c>
      <c r="Z406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12</v>
      </c>
      <c r="AA406" s="50">
        <f>IFERROR(INDEX(DraftResults[[#All],[Pick in Round]],MATCH(Table5[[#This Row],[PID]],DraftResults[[#All],[Player ID]],0)),"")</f>
        <v>15</v>
      </c>
      <c r="AB406" s="50" t="str">
        <f>IFERROR(INDEX(DraftResults[[#All],[Team Name]],MATCH(Table5[[#This Row],[PID]],DraftResults[[#All],[Player ID]],0)),"")</f>
        <v>Niihama-shi Ghosts</v>
      </c>
      <c r="AC406" s="50">
        <f>IF(Table5[[#This Row],[Ovr]]="","",IF(Table5[[#This Row],[cmbList]]="","",Table5[[#This Row],[cmbList]]-Table5[[#This Row],[Ovr]]))</f>
        <v>943</v>
      </c>
      <c r="AD406" s="54" t="str">
        <f>IF(ISERROR(VLOOKUP($AB406&amp;"-"&amp;$E406&amp;" "&amp;F406,Bonuses!$B$1:$G$1006,4,FALSE)),"",INT(VLOOKUP($AB406&amp;"-"&amp;$E406&amp;" "&amp;$F406,Bonuses!$B$1:$G$1006,4,FALSE)))</f>
        <v/>
      </c>
      <c r="AE406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12.15 (380) - SP Chiel van Guilik</v>
      </c>
    </row>
    <row r="407" spans="1:31" s="50" customFormat="1" x14ac:dyDescent="0.3">
      <c r="A407" s="67">
        <v>20839</v>
      </c>
      <c r="B407" s="68">
        <f>COUNTIF(Table5[PID],A407)</f>
        <v>1</v>
      </c>
      <c r="C407" s="68" t="str">
        <f>IF(COUNTIF(Table3[[#All],[PID]],A407)&gt;0,"P","B")</f>
        <v>B</v>
      </c>
      <c r="D407" s="59" t="str">
        <f>IF($C407="B",INDEX(Batters[[#All],[POS]],MATCH(Table5[[#This Row],[PID]],Batters[[#All],[PID]],0)),INDEX(Table3[[#All],[POS]],MATCH(Table5[[#This Row],[PID]],Table3[[#All],[PID]],0)))</f>
        <v>C</v>
      </c>
      <c r="E407" s="52" t="str">
        <f>IF($C407="B",INDEX(Batters[[#All],[First]],MATCH(Table5[[#This Row],[PID]],Batters[[#All],[PID]],0)),INDEX(Table3[[#All],[First]],MATCH(Table5[[#This Row],[PID]],Table3[[#All],[PID]],0)))</f>
        <v>Bill</v>
      </c>
      <c r="F407" s="55" t="str">
        <f>IF($C407="B",INDEX(Batters[[#All],[Last]],MATCH(A407,Batters[[#All],[PID]],0)),INDEX(Table3[[#All],[Last]],MATCH(A407,Table3[[#All],[PID]],0)))</f>
        <v>Sackett</v>
      </c>
      <c r="G407" s="56">
        <f>IF($C407="B",INDEX(Batters[[#All],[Age]],MATCH(Table5[[#This Row],[PID]],Batters[[#All],[PID]],0)),INDEX(Table3[[#All],[Age]],MATCH(Table5[[#This Row],[PID]],Table3[[#All],[PID]],0)))</f>
        <v>17</v>
      </c>
      <c r="H407" s="52" t="str">
        <f>IF($C407="B",INDEX(Batters[[#All],[B]],MATCH(Table5[[#This Row],[PID]],Batters[[#All],[PID]],0)),INDEX(Table3[[#All],[B]],MATCH(Table5[[#This Row],[PID]],Table3[[#All],[PID]],0)))</f>
        <v>R</v>
      </c>
      <c r="I407" s="52" t="str">
        <f>IF($C407="B",INDEX(Batters[[#All],[T]],MATCH(Table5[[#This Row],[PID]],Batters[[#All],[PID]],0)),INDEX(Table3[[#All],[T]],MATCH(Table5[[#This Row],[PID]],Table3[[#All],[PID]],0)))</f>
        <v>R</v>
      </c>
      <c r="J407" s="69" t="str">
        <f>IF($C407="B",INDEX(Batters[[#All],[WE]],MATCH(Table5[[#This Row],[PID]],Batters[[#All],[PID]],0)),INDEX(Table3[[#All],[WE]],MATCH(Table5[[#This Row],[PID]],Table3[[#All],[PID]],0)))</f>
        <v>Low</v>
      </c>
      <c r="K407" s="52" t="str">
        <f>IF($C407="B",INDEX(Batters[[#All],[INT]],MATCH(Table5[[#This Row],[PID]],Batters[[#All],[PID]],0)),INDEX(Table3[[#All],[INT]],MATCH(Table5[[#This Row],[PID]],Table3[[#All],[PID]],0)))</f>
        <v>Normal</v>
      </c>
      <c r="L407" s="60">
        <f>IF($C407="B",INDEX(Batters[[#All],[CON P]],MATCH(Table5[[#This Row],[PID]],Batters[[#All],[PID]],0)),INDEX(Table3[[#All],[STU P]],MATCH(Table5[[#This Row],[PID]],Table3[[#All],[PID]],0)))</f>
        <v>3</v>
      </c>
      <c r="M407" s="70">
        <f>IF($C407="B",INDEX(Batters[[#All],[GAP P]],MATCH(Table5[[#This Row],[PID]],Batters[[#All],[PID]],0)),INDEX(Table3[[#All],[MOV P]],MATCH(Table5[[#This Row],[PID]],Table3[[#All],[PID]],0)))</f>
        <v>5</v>
      </c>
      <c r="N407" s="70">
        <f>IF($C407="B",INDEX(Batters[[#All],[POW P]],MATCH(Table5[[#This Row],[PID]],Batters[[#All],[PID]],0)),INDEX(Table3[[#All],[CON P]],MATCH(Table5[[#This Row],[PID]],Table3[[#All],[PID]],0)))</f>
        <v>3</v>
      </c>
      <c r="O407" s="70">
        <f>IF($C407="B",INDEX(Batters[[#All],[EYE P]],MATCH(Table5[[#This Row],[PID]],Batters[[#All],[PID]],0)),INDEX(Table3[[#All],[VELO]],MATCH(Table5[[#This Row],[PID]],Table3[[#All],[PID]],0)))</f>
        <v>5</v>
      </c>
      <c r="P407" s="56">
        <f>IF($C407="B",INDEX(Batters[[#All],[K P]],MATCH(Table5[[#This Row],[PID]],Batters[[#All],[PID]],0)),INDEX(Table3[[#All],[STM]],MATCH(Table5[[#This Row],[PID]],Table3[[#All],[PID]],0)))</f>
        <v>3</v>
      </c>
      <c r="Q407" s="61">
        <f>IF($C407="B",INDEX(Batters[[#All],[Tot]],MATCH(Table5[[#This Row],[PID]],Batters[[#All],[PID]],0)),INDEX(Table3[[#All],[Tot]],MATCH(Table5[[#This Row],[PID]],Table3[[#All],[PID]],0)))</f>
        <v>43.053969262657091</v>
      </c>
      <c r="R407" s="52">
        <f>IF($C407="B",INDEX(Batters[[#All],[zScore]],MATCH(Table5[[#This Row],[PID]],Batters[[#All],[PID]],0)),INDEX(Table3[[#All],[zScore]],MATCH(Table5[[#This Row],[PID]],Table3[[#All],[PID]],0)))</f>
        <v>-2.401486254358982E-2</v>
      </c>
      <c r="S407" s="75" t="str">
        <f>IF($C407="B",INDEX(Batters[[#All],[DEM]],MATCH(Table5[[#This Row],[PID]],Batters[[#All],[PID]],0)),INDEX(Table3[[#All],[DEM]],MATCH(Table5[[#This Row],[PID]],Table3[[#All],[PID]],0)))</f>
        <v>$65k</v>
      </c>
      <c r="T407" s="72">
        <f>IF($C407="B",INDEX(Batters[[#All],[Rnk]],MATCH(Table5[[#This Row],[PID]],Batters[[#All],[PID]],0)),INDEX(Table3[[#All],[Rnk]],MATCH(Table5[[#This Row],[PID]],Table3[[#All],[PID]],0)))</f>
        <v>930</v>
      </c>
      <c r="U407" s="67">
        <f>IF($C407="B",VLOOKUP($A407,Bat!$A$4:$BA$1314,47,FALSE),VLOOKUP($A407,Pit!$A$4:$BF$1214,56,FALSE))</f>
        <v>331</v>
      </c>
      <c r="V407" s="50">
        <f>IF($C407="B",VLOOKUP($A407,Bat!$A$4:$BA$1314,48,FALSE),VLOOKUP($A407,Pit!$A$4:$BF$1214,57,FALSE))</f>
        <v>0</v>
      </c>
      <c r="W407" s="68">
        <f>IF(Table5[[#This Row],[posRnk]]=999,9999,Table5[[#This Row],[posRnk]]+Table5[[#This Row],[zRnk]]+IF($W$3&lt;&gt;Table5[[#This Row],[Type]],50,0))</f>
        <v>1373</v>
      </c>
      <c r="X407" s="71">
        <f>RANK(Table5[[#This Row],[zScore]],Table5[[#All],[zScore]])</f>
        <v>393</v>
      </c>
      <c r="Y407" s="68" t="str">
        <f>IFERROR(INDEX(DraftResults[[#All],[OVR]],MATCH(Table5[[#This Row],[PID]],DraftResults[[#All],[Player ID]],0)),"")</f>
        <v/>
      </c>
      <c r="Z407" s="7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/>
      </c>
      <c r="AA407" s="68" t="str">
        <f>IFERROR(INDEX(DraftResults[[#All],[Pick in Round]],MATCH(Table5[[#This Row],[PID]],DraftResults[[#All],[Player ID]],0)),"")</f>
        <v/>
      </c>
      <c r="AB407" s="68" t="str">
        <f>IFERROR(INDEX(DraftResults[[#All],[Team Name]],MATCH(Table5[[#This Row],[PID]],DraftResults[[#All],[Player ID]],0)),"")</f>
        <v/>
      </c>
      <c r="AC407" s="68" t="str">
        <f>IF(Table5[[#This Row],[Ovr]]="","",IF(Table5[[#This Row],[cmbList]]="","",Table5[[#This Row],[cmbList]]-Table5[[#This Row],[Ovr]]))</f>
        <v/>
      </c>
      <c r="AD407" s="74" t="str">
        <f>IF(ISERROR(VLOOKUP($AB407&amp;"-"&amp;$E407&amp;" "&amp;F407,Bonuses!$B$1:$G$1006,4,FALSE)),"",INT(VLOOKUP($AB407&amp;"-"&amp;$E407&amp;" "&amp;$F407,Bonuses!$B$1:$G$1006,4,FALSE)))</f>
        <v/>
      </c>
      <c r="AE407" s="68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/>
      </c>
    </row>
    <row r="408" spans="1:31" s="50" customFormat="1" x14ac:dyDescent="0.3">
      <c r="A408" s="50">
        <v>9337</v>
      </c>
      <c r="B408" s="50">
        <f>COUNTIF(Table5[PID],A408)</f>
        <v>1</v>
      </c>
      <c r="C408" s="50" t="str">
        <f>IF(COUNTIF(Table3[[#All],[PID]],A408)&gt;0,"P","B")</f>
        <v>P</v>
      </c>
      <c r="D408" s="59" t="str">
        <f>IF($C408="B",INDEX(Batters[[#All],[POS]],MATCH(Table5[[#This Row],[PID]],Batters[[#All],[PID]],0)),INDEX(Table3[[#All],[POS]],MATCH(Table5[[#This Row],[PID]],Table3[[#All],[PID]],0)))</f>
        <v>RP</v>
      </c>
      <c r="E408" s="52" t="str">
        <f>IF($C408="B",INDEX(Batters[[#All],[First]],MATCH(Table5[[#This Row],[PID]],Batters[[#All],[PID]],0)),INDEX(Table3[[#All],[First]],MATCH(Table5[[#This Row],[PID]],Table3[[#All],[PID]],0)))</f>
        <v>Garrett</v>
      </c>
      <c r="F408" s="50" t="str">
        <f>IF($C408="B",INDEX(Batters[[#All],[Last]],MATCH(A408,Batters[[#All],[PID]],0)),INDEX(Table3[[#All],[Last]],MATCH(A408,Table3[[#All],[PID]],0)))</f>
        <v>O'Slattery</v>
      </c>
      <c r="G408" s="56">
        <f>IF($C408="B",INDEX(Batters[[#All],[Age]],MATCH(Table5[[#This Row],[PID]],Batters[[#All],[PID]],0)),INDEX(Table3[[#All],[Age]],MATCH(Table5[[#This Row],[PID]],Table3[[#All],[PID]],0)))</f>
        <v>17</v>
      </c>
      <c r="H408" s="52" t="str">
        <f>IF($C408="B",INDEX(Batters[[#All],[B]],MATCH(Table5[[#This Row],[PID]],Batters[[#All],[PID]],0)),INDEX(Table3[[#All],[B]],MATCH(Table5[[#This Row],[PID]],Table3[[#All],[PID]],0)))</f>
        <v>R</v>
      </c>
      <c r="I408" s="52" t="str">
        <f>IF($C408="B",INDEX(Batters[[#All],[T]],MATCH(Table5[[#This Row],[PID]],Batters[[#All],[PID]],0)),INDEX(Table3[[#All],[T]],MATCH(Table5[[#This Row],[PID]],Table3[[#All],[PID]],0)))</f>
        <v>R</v>
      </c>
      <c r="J408" s="52" t="str">
        <f>IF($C408="B",INDEX(Batters[[#All],[WE]],MATCH(Table5[[#This Row],[PID]],Batters[[#All],[PID]],0)),INDEX(Table3[[#All],[WE]],MATCH(Table5[[#This Row],[PID]],Table3[[#All],[PID]],0)))</f>
        <v>High</v>
      </c>
      <c r="K408" s="52" t="str">
        <f>IF($C408="B",INDEX(Batters[[#All],[INT]],MATCH(Table5[[#This Row],[PID]],Batters[[#All],[PID]],0)),INDEX(Table3[[#All],[INT]],MATCH(Table5[[#This Row],[PID]],Table3[[#All],[PID]],0)))</f>
        <v>Normal</v>
      </c>
      <c r="L408" s="60">
        <f>IF($C408="B",INDEX(Batters[[#All],[CON P]],MATCH(Table5[[#This Row],[PID]],Batters[[#All],[PID]],0)),INDEX(Table3[[#All],[STU P]],MATCH(Table5[[#This Row],[PID]],Table3[[#All],[PID]],0)))</f>
        <v>5</v>
      </c>
      <c r="M408" s="56">
        <f>IF($C408="B",INDEX(Batters[[#All],[GAP P]],MATCH(Table5[[#This Row],[PID]],Batters[[#All],[PID]],0)),INDEX(Table3[[#All],[MOV P]],MATCH(Table5[[#This Row],[PID]],Table3[[#All],[PID]],0)))</f>
        <v>1</v>
      </c>
      <c r="N408" s="56">
        <f>IF($C408="B",INDEX(Batters[[#All],[POW P]],MATCH(Table5[[#This Row],[PID]],Batters[[#All],[PID]],0)),INDEX(Table3[[#All],[CON P]],MATCH(Table5[[#This Row],[PID]],Table3[[#All],[PID]],0)))</f>
        <v>3</v>
      </c>
      <c r="O408" s="56" t="str">
        <f>IF($C408="B",INDEX(Batters[[#All],[EYE P]],MATCH(Table5[[#This Row],[PID]],Batters[[#All],[PID]],0)),INDEX(Table3[[#All],[VELO]],MATCH(Table5[[#This Row],[PID]],Table3[[#All],[PID]],0)))</f>
        <v>90-92 Mph</v>
      </c>
      <c r="P408" s="56">
        <f>IF($C408="B",INDEX(Batters[[#All],[K P]],MATCH(Table5[[#This Row],[PID]],Batters[[#All],[PID]],0)),INDEX(Table3[[#All],[STM]],MATCH(Table5[[#This Row],[PID]],Table3[[#All],[PID]],0)))</f>
        <v>8</v>
      </c>
      <c r="Q408" s="61">
        <f>IF($C408="B",INDEX(Batters[[#All],[Tot]],MATCH(Table5[[#This Row],[PID]],Batters[[#All],[PID]],0)),INDEX(Table3[[#All],[Tot]],MATCH(Table5[[#This Row],[PID]],Table3[[#All],[PID]],0)))</f>
        <v>35.995444388806902</v>
      </c>
      <c r="R408" s="52">
        <f>IF($C408="B",INDEX(Batters[[#All],[zScore]],MATCH(Table5[[#This Row],[PID]],Batters[[#All],[PID]],0)),INDEX(Table3[[#All],[zScore]],MATCH(Table5[[#This Row],[PID]],Table3[[#All],[PID]],0)))</f>
        <v>-0.12868094931853269</v>
      </c>
      <c r="S408" s="58" t="str">
        <f>IF($C408="B",INDEX(Batters[[#All],[DEM]],MATCH(Table5[[#This Row],[PID]],Batters[[#All],[PID]],0)),INDEX(Table3[[#All],[DEM]],MATCH(Table5[[#This Row],[PID]],Table3[[#All],[PID]],0)))</f>
        <v>$65k</v>
      </c>
      <c r="T408" s="62">
        <f>IF($C408="B",INDEX(Batters[[#All],[Rnk]],MATCH(Table5[[#This Row],[PID]],Batters[[#All],[PID]],0)),INDEX(Table3[[#All],[Rnk]],MATCH(Table5[[#This Row],[PID]],Table3[[#All],[PID]],0)))</f>
        <v>900</v>
      </c>
      <c r="U408" s="67">
        <f>IF($C408="B",VLOOKUP($A408,Bat!$A$4:$BA$1314,47,FALSE),VLOOKUP($A408,Pit!$A$4:$BF$1214,56,FALSE))</f>
        <v>137</v>
      </c>
      <c r="V408" s="50">
        <f>IF($C408="B",VLOOKUP($A408,Bat!$A$4:$BA$1314,48,FALSE),VLOOKUP($A408,Pit!$A$4:$BF$1214,57,FALSE))</f>
        <v>0</v>
      </c>
      <c r="W408" s="68">
        <f>IF(Table5[[#This Row],[posRnk]]=999,9999,Table5[[#This Row],[posRnk]]+Table5[[#This Row],[zRnk]]+IF($W$3&lt;&gt;Table5[[#This Row],[Type]],50,0))</f>
        <v>1324</v>
      </c>
      <c r="X408" s="51">
        <f>RANK(Table5[[#This Row],[zScore]],Table5[[#All],[zScore]])</f>
        <v>424</v>
      </c>
      <c r="Y408" s="50">
        <f>IFERROR(INDEX(DraftResults[[#All],[OVR]],MATCH(Table5[[#This Row],[PID]],DraftResults[[#All],[Player ID]],0)),"")</f>
        <v>313</v>
      </c>
      <c r="Z408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10</v>
      </c>
      <c r="AA408" s="50">
        <f>IFERROR(INDEX(DraftResults[[#All],[Pick in Round]],MATCH(Table5[[#This Row],[PID]],DraftResults[[#All],[Player ID]],0)),"")</f>
        <v>16</v>
      </c>
      <c r="AB408" s="50" t="str">
        <f>IFERROR(INDEX(DraftResults[[#All],[Team Name]],MATCH(Table5[[#This Row],[PID]],DraftResults[[#All],[Player ID]],0)),"")</f>
        <v>Madison Malts</v>
      </c>
      <c r="AC408" s="50">
        <f>IF(Table5[[#This Row],[Ovr]]="","",IF(Table5[[#This Row],[cmbList]]="","",Table5[[#This Row],[cmbList]]-Table5[[#This Row],[Ovr]]))</f>
        <v>1011</v>
      </c>
      <c r="AD408" s="54" t="str">
        <f>IF(ISERROR(VLOOKUP($AB408&amp;"-"&amp;$E408&amp;" "&amp;F408,Bonuses!$B$1:$G$1006,4,FALSE)),"",INT(VLOOKUP($AB408&amp;"-"&amp;$E408&amp;" "&amp;$F408,Bonuses!$B$1:$G$1006,4,FALSE)))</f>
        <v/>
      </c>
      <c r="AE408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10.16 (313) - RP Garrett O'Slattery</v>
      </c>
    </row>
    <row r="409" spans="1:31" s="50" customFormat="1" x14ac:dyDescent="0.3">
      <c r="A409" s="50">
        <v>20997</v>
      </c>
      <c r="B409" s="50">
        <f>COUNTIF(Table5[PID],A409)</f>
        <v>1</v>
      </c>
      <c r="C409" s="50" t="str">
        <f>IF(COUNTIF(Table3[[#All],[PID]],A409)&gt;0,"P","B")</f>
        <v>B</v>
      </c>
      <c r="D409" s="59" t="str">
        <f>IF($C409="B",INDEX(Batters[[#All],[POS]],MATCH(Table5[[#This Row],[PID]],Batters[[#All],[PID]],0)),INDEX(Table3[[#All],[POS]],MATCH(Table5[[#This Row],[PID]],Table3[[#All],[PID]],0)))</f>
        <v>2B</v>
      </c>
      <c r="E409" s="52" t="str">
        <f>IF($C409="B",INDEX(Batters[[#All],[First]],MATCH(Table5[[#This Row],[PID]],Batters[[#All],[PID]],0)),INDEX(Table3[[#All],[First]],MATCH(Table5[[#This Row],[PID]],Table3[[#All],[PID]],0)))</f>
        <v>Matthew</v>
      </c>
      <c r="F409" s="50" t="str">
        <f>IF($C409="B",INDEX(Batters[[#All],[Last]],MATCH(A409,Batters[[#All],[PID]],0)),INDEX(Table3[[#All],[Last]],MATCH(A409,Table3[[#All],[PID]],0)))</f>
        <v>Johnson</v>
      </c>
      <c r="G409" s="56">
        <f>IF($C409="B",INDEX(Batters[[#All],[Age]],MATCH(Table5[[#This Row],[PID]],Batters[[#All],[PID]],0)),INDEX(Table3[[#All],[Age]],MATCH(Table5[[#This Row],[PID]],Table3[[#All],[PID]],0)))</f>
        <v>16</v>
      </c>
      <c r="H409" s="52" t="str">
        <f>IF($C409="B",INDEX(Batters[[#All],[B]],MATCH(Table5[[#This Row],[PID]],Batters[[#All],[PID]],0)),INDEX(Table3[[#All],[B]],MATCH(Table5[[#This Row],[PID]],Table3[[#All],[PID]],0)))</f>
        <v>R</v>
      </c>
      <c r="I409" s="52" t="str">
        <f>IF($C409="B",INDEX(Batters[[#All],[T]],MATCH(Table5[[#This Row],[PID]],Batters[[#All],[PID]],0)),INDEX(Table3[[#All],[T]],MATCH(Table5[[#This Row],[PID]],Table3[[#All],[PID]],0)))</f>
        <v>R</v>
      </c>
      <c r="J409" s="52" t="str">
        <f>IF($C409="B",INDEX(Batters[[#All],[WE]],MATCH(Table5[[#This Row],[PID]],Batters[[#All],[PID]],0)),INDEX(Table3[[#All],[WE]],MATCH(Table5[[#This Row],[PID]],Table3[[#All],[PID]],0)))</f>
        <v>Low</v>
      </c>
      <c r="K409" s="52" t="str">
        <f>IF($C409="B",INDEX(Batters[[#All],[INT]],MATCH(Table5[[#This Row],[PID]],Batters[[#All],[PID]],0)),INDEX(Table3[[#All],[INT]],MATCH(Table5[[#This Row],[PID]],Table3[[#All],[PID]],0)))</f>
        <v>Normal</v>
      </c>
      <c r="L409" s="60">
        <f>IF($C409="B",INDEX(Batters[[#All],[CON P]],MATCH(Table5[[#This Row],[PID]],Batters[[#All],[PID]],0)),INDEX(Table3[[#All],[STU P]],MATCH(Table5[[#This Row],[PID]],Table3[[#All],[PID]],0)))</f>
        <v>3</v>
      </c>
      <c r="M409" s="56">
        <f>IF($C409="B",INDEX(Batters[[#All],[GAP P]],MATCH(Table5[[#This Row],[PID]],Batters[[#All],[PID]],0)),INDEX(Table3[[#All],[MOV P]],MATCH(Table5[[#This Row],[PID]],Table3[[#All],[PID]],0)))</f>
        <v>5</v>
      </c>
      <c r="N409" s="56">
        <f>IF($C409="B",INDEX(Batters[[#All],[POW P]],MATCH(Table5[[#This Row],[PID]],Batters[[#All],[PID]],0)),INDEX(Table3[[#All],[CON P]],MATCH(Table5[[#This Row],[PID]],Table3[[#All],[PID]],0)))</f>
        <v>3</v>
      </c>
      <c r="O409" s="56">
        <f>IF($C409="B",INDEX(Batters[[#All],[EYE P]],MATCH(Table5[[#This Row],[PID]],Batters[[#All],[PID]],0)),INDEX(Table3[[#All],[VELO]],MATCH(Table5[[#This Row],[PID]],Table3[[#All],[PID]],0)))</f>
        <v>6</v>
      </c>
      <c r="P409" s="56">
        <f>IF($C409="B",INDEX(Batters[[#All],[K P]],MATCH(Table5[[#This Row],[PID]],Batters[[#All],[PID]],0)),INDEX(Table3[[#All],[STM]],MATCH(Table5[[#This Row],[PID]],Table3[[#All],[PID]],0)))</f>
        <v>3</v>
      </c>
      <c r="Q409" s="61">
        <f>IF($C409="B",INDEX(Batters[[#All],[Tot]],MATCH(Table5[[#This Row],[PID]],Batters[[#All],[PID]],0)),INDEX(Table3[[#All],[Tot]],MATCH(Table5[[#This Row],[PID]],Table3[[#All],[PID]],0)))</f>
        <v>43.030483862772059</v>
      </c>
      <c r="R409" s="52">
        <f>IF($C409="B",INDEX(Batters[[#All],[zScore]],MATCH(Table5[[#This Row],[PID]],Batters[[#All],[PID]],0)),INDEX(Table3[[#All],[zScore]],MATCH(Table5[[#This Row],[PID]],Table3[[#All],[PID]],0)))</f>
        <v>-2.744298196911547E-2</v>
      </c>
      <c r="S409" s="58" t="str">
        <f>IF($C409="B",INDEX(Batters[[#All],[DEM]],MATCH(Table5[[#This Row],[PID]],Batters[[#All],[PID]],0)),INDEX(Table3[[#All],[DEM]],MATCH(Table5[[#This Row],[PID]],Table3[[#All],[PID]],0)))</f>
        <v>$80k</v>
      </c>
      <c r="T409" s="62">
        <f>IF($C409="B",INDEX(Batters[[#All],[Rnk]],MATCH(Table5[[#This Row],[PID]],Batters[[#All],[PID]],0)),INDEX(Table3[[#All],[Rnk]],MATCH(Table5[[#This Row],[PID]],Table3[[#All],[PID]],0)))</f>
        <v>930</v>
      </c>
      <c r="U409" s="67">
        <f>IF($C409="B",VLOOKUP($A409,Bat!$A$4:$BA$1314,47,FALSE),VLOOKUP($A409,Pit!$A$4:$BF$1214,56,FALSE))</f>
        <v>332</v>
      </c>
      <c r="V409" s="50">
        <f>IF($C409="B",VLOOKUP($A409,Bat!$A$4:$BA$1314,48,FALSE),VLOOKUP($A409,Pit!$A$4:$BF$1214,57,FALSE))</f>
        <v>0</v>
      </c>
      <c r="W409" s="68">
        <f>IF(Table5[[#This Row],[posRnk]]=999,9999,Table5[[#This Row],[posRnk]]+Table5[[#This Row],[zRnk]]+IF($W$3&lt;&gt;Table5[[#This Row],[Type]],50,0))</f>
        <v>1374</v>
      </c>
      <c r="X409" s="51">
        <f>RANK(Table5[[#This Row],[zScore]],Table5[[#All],[zScore]])</f>
        <v>394</v>
      </c>
      <c r="Y409" s="50">
        <f>IFERROR(INDEX(DraftResults[[#All],[OVR]],MATCH(Table5[[#This Row],[PID]],DraftResults[[#All],[Player ID]],0)),"")</f>
        <v>446</v>
      </c>
      <c r="Z409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14</v>
      </c>
      <c r="AA409" s="50">
        <f>IFERROR(INDEX(DraftResults[[#All],[Pick in Round]],MATCH(Table5[[#This Row],[PID]],DraftResults[[#All],[Player ID]],0)),"")</f>
        <v>13</v>
      </c>
      <c r="AB409" s="50" t="str">
        <f>IFERROR(INDEX(DraftResults[[#All],[Team Name]],MATCH(Table5[[#This Row],[PID]],DraftResults[[#All],[Player ID]],0)),"")</f>
        <v>Scottish Claymores</v>
      </c>
      <c r="AC409" s="50">
        <f>IF(Table5[[#This Row],[Ovr]]="","",IF(Table5[[#This Row],[cmbList]]="","",Table5[[#This Row],[cmbList]]-Table5[[#This Row],[Ovr]]))</f>
        <v>928</v>
      </c>
      <c r="AD409" s="54" t="str">
        <f>IF(ISERROR(VLOOKUP($AB409&amp;"-"&amp;$E409&amp;" "&amp;F409,Bonuses!$B$1:$G$1006,4,FALSE)),"",INT(VLOOKUP($AB409&amp;"-"&amp;$E409&amp;" "&amp;$F409,Bonuses!$B$1:$G$1006,4,FALSE)))</f>
        <v/>
      </c>
      <c r="AE409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14.13 (446) - 2B Matthew Johnson</v>
      </c>
    </row>
    <row r="410" spans="1:31" s="50" customFormat="1" x14ac:dyDescent="0.3">
      <c r="A410" s="67">
        <v>11182</v>
      </c>
      <c r="B410" s="68">
        <f>COUNTIF(Table5[PID],A410)</f>
        <v>1</v>
      </c>
      <c r="C410" s="68" t="str">
        <f>IF(COUNTIF(Table3[[#All],[PID]],A410)&gt;0,"P","B")</f>
        <v>P</v>
      </c>
      <c r="D410" s="59" t="str">
        <f>IF($C410="B",INDEX(Batters[[#All],[POS]],MATCH(Table5[[#This Row],[PID]],Batters[[#All],[PID]],0)),INDEX(Table3[[#All],[POS]],MATCH(Table5[[#This Row],[PID]],Table3[[#All],[PID]],0)))</f>
        <v>RP</v>
      </c>
      <c r="E410" s="52" t="str">
        <f>IF($C410="B",INDEX(Batters[[#All],[First]],MATCH(Table5[[#This Row],[PID]],Batters[[#All],[PID]],0)),INDEX(Table3[[#All],[First]],MATCH(Table5[[#This Row],[PID]],Table3[[#All],[PID]],0)))</f>
        <v>James</v>
      </c>
      <c r="F410" s="55" t="str">
        <f>IF($C410="B",INDEX(Batters[[#All],[Last]],MATCH(A410,Batters[[#All],[PID]],0)),INDEX(Table3[[#All],[Last]],MATCH(A410,Table3[[#All],[PID]],0)))</f>
        <v>Carter</v>
      </c>
      <c r="G410" s="56">
        <f>IF($C410="B",INDEX(Batters[[#All],[Age]],MATCH(Table5[[#This Row],[PID]],Batters[[#All],[PID]],0)),INDEX(Table3[[#All],[Age]],MATCH(Table5[[#This Row],[PID]],Table3[[#All],[PID]],0)))</f>
        <v>17</v>
      </c>
      <c r="H410" s="52" t="str">
        <f>IF($C410="B",INDEX(Batters[[#All],[B]],MATCH(Table5[[#This Row],[PID]],Batters[[#All],[PID]],0)),INDEX(Table3[[#All],[B]],MATCH(Table5[[#This Row],[PID]],Table3[[#All],[PID]],0)))</f>
        <v>R</v>
      </c>
      <c r="I410" s="52" t="str">
        <f>IF($C410="B",INDEX(Batters[[#All],[T]],MATCH(Table5[[#This Row],[PID]],Batters[[#All],[PID]],0)),INDEX(Table3[[#All],[T]],MATCH(Table5[[#This Row],[PID]],Table3[[#All],[PID]],0)))</f>
        <v>R</v>
      </c>
      <c r="J410" s="69" t="str">
        <f>IF($C410="B",INDEX(Batters[[#All],[WE]],MATCH(Table5[[#This Row],[PID]],Batters[[#All],[PID]],0)),INDEX(Table3[[#All],[WE]],MATCH(Table5[[#This Row],[PID]],Table3[[#All],[PID]],0)))</f>
        <v>High</v>
      </c>
      <c r="K410" s="52" t="str">
        <f>IF($C410="B",INDEX(Batters[[#All],[INT]],MATCH(Table5[[#This Row],[PID]],Batters[[#All],[PID]],0)),INDEX(Table3[[#All],[INT]],MATCH(Table5[[#This Row],[PID]],Table3[[#All],[PID]],0)))</f>
        <v>Normal</v>
      </c>
      <c r="L410" s="60">
        <f>IF($C410="B",INDEX(Batters[[#All],[CON P]],MATCH(Table5[[#This Row],[PID]],Batters[[#All],[PID]],0)),INDEX(Table3[[#All],[STU P]],MATCH(Table5[[#This Row],[PID]],Table3[[#All],[PID]],0)))</f>
        <v>5</v>
      </c>
      <c r="M410" s="70">
        <f>IF($C410="B",INDEX(Batters[[#All],[GAP P]],MATCH(Table5[[#This Row],[PID]],Batters[[#All],[PID]],0)),INDEX(Table3[[#All],[MOV P]],MATCH(Table5[[#This Row],[PID]],Table3[[#All],[PID]],0)))</f>
        <v>1</v>
      </c>
      <c r="N410" s="70">
        <f>IF($C410="B",INDEX(Batters[[#All],[POW P]],MATCH(Table5[[#This Row],[PID]],Batters[[#All],[PID]],0)),INDEX(Table3[[#All],[CON P]],MATCH(Table5[[#This Row],[PID]],Table3[[#All],[PID]],0)))</f>
        <v>3</v>
      </c>
      <c r="O410" s="70" t="str">
        <f>IF($C410="B",INDEX(Batters[[#All],[EYE P]],MATCH(Table5[[#This Row],[PID]],Batters[[#All],[PID]],0)),INDEX(Table3[[#All],[VELO]],MATCH(Table5[[#This Row],[PID]],Table3[[#All],[PID]],0)))</f>
        <v>90-92 Mph</v>
      </c>
      <c r="P410" s="56">
        <f>IF($C410="B",INDEX(Batters[[#All],[K P]],MATCH(Table5[[#This Row],[PID]],Batters[[#All],[PID]],0)),INDEX(Table3[[#All],[STM]],MATCH(Table5[[#This Row],[PID]],Table3[[#All],[PID]],0)))</f>
        <v>9</v>
      </c>
      <c r="Q410" s="61">
        <f>IF($C410="B",INDEX(Batters[[#All],[Tot]],MATCH(Table5[[#This Row],[PID]],Batters[[#All],[PID]],0)),INDEX(Table3[[#All],[Tot]],MATCH(Table5[[#This Row],[PID]],Table3[[#All],[PID]],0)))</f>
        <v>35.946980275596076</v>
      </c>
      <c r="R410" s="52">
        <f>IF($C410="B",INDEX(Batters[[#All],[zScore]],MATCH(Table5[[#This Row],[PID]],Batters[[#All],[PID]],0)),INDEX(Table3[[#All],[zScore]],MATCH(Table5[[#This Row],[PID]],Table3[[#All],[PID]],0)))</f>
        <v>-0.1321319350210956</v>
      </c>
      <c r="S410" s="75" t="str">
        <f>IF($C410="B",INDEX(Batters[[#All],[DEM]],MATCH(Table5[[#This Row],[PID]],Batters[[#All],[PID]],0)),INDEX(Table3[[#All],[DEM]],MATCH(Table5[[#This Row],[PID]],Table3[[#All],[PID]],0)))</f>
        <v>$38k</v>
      </c>
      <c r="T410" s="72">
        <f>IF($C410="B",INDEX(Batters[[#All],[Rnk]],MATCH(Table5[[#This Row],[PID]],Batters[[#All],[PID]],0)),INDEX(Table3[[#All],[Rnk]],MATCH(Table5[[#This Row],[PID]],Table3[[#All],[PID]],0)))</f>
        <v>900</v>
      </c>
      <c r="U410" s="67">
        <f>IF($C410="B",VLOOKUP($A410,Bat!$A$4:$BA$1314,47,FALSE),VLOOKUP($A410,Pit!$A$4:$BF$1214,56,FALSE))</f>
        <v>138</v>
      </c>
      <c r="V410" s="50">
        <f>IF($C410="B",VLOOKUP($A410,Bat!$A$4:$BA$1314,48,FALSE),VLOOKUP($A410,Pit!$A$4:$BF$1214,57,FALSE))</f>
        <v>0</v>
      </c>
      <c r="W410" s="68">
        <f>IF(Table5[[#This Row],[posRnk]]=999,9999,Table5[[#This Row],[posRnk]]+Table5[[#This Row],[zRnk]]+IF($W$3&lt;&gt;Table5[[#This Row],[Type]],50,0))</f>
        <v>1325</v>
      </c>
      <c r="X410" s="71">
        <f>RANK(Table5[[#This Row],[zScore]],Table5[[#All],[zScore]])</f>
        <v>425</v>
      </c>
      <c r="Y410" s="68">
        <f>IFERROR(INDEX(DraftResults[[#All],[OVR]],MATCH(Table5[[#This Row],[PID]],DraftResults[[#All],[Player ID]],0)),"")</f>
        <v>347</v>
      </c>
      <c r="Z410" s="7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11</v>
      </c>
      <c r="AA410" s="68">
        <f>IFERROR(INDEX(DraftResults[[#All],[Pick in Round]],MATCH(Table5[[#This Row],[PID]],DraftResults[[#All],[Player ID]],0)),"")</f>
        <v>16</v>
      </c>
      <c r="AB410" s="68" t="str">
        <f>IFERROR(INDEX(DraftResults[[#All],[Team Name]],MATCH(Table5[[#This Row],[PID]],DraftResults[[#All],[Player ID]],0)),"")</f>
        <v>Madison Malts</v>
      </c>
      <c r="AC410" s="68">
        <f>IF(Table5[[#This Row],[Ovr]]="","",IF(Table5[[#This Row],[cmbList]]="","",Table5[[#This Row],[cmbList]]-Table5[[#This Row],[Ovr]]))</f>
        <v>978</v>
      </c>
      <c r="AD410" s="74" t="str">
        <f>IF(ISERROR(VLOOKUP($AB410&amp;"-"&amp;$E410&amp;" "&amp;F410,Bonuses!$B$1:$G$1006,4,FALSE)),"",INT(VLOOKUP($AB410&amp;"-"&amp;$E410&amp;" "&amp;$F410,Bonuses!$B$1:$G$1006,4,FALSE)))</f>
        <v/>
      </c>
      <c r="AE410" s="68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11.16 (347) - RP James Carter</v>
      </c>
    </row>
    <row r="411" spans="1:31" s="50" customFormat="1" x14ac:dyDescent="0.3">
      <c r="A411" s="67">
        <v>14676</v>
      </c>
      <c r="B411" s="68">
        <f>COUNTIF(Table5[PID],A411)</f>
        <v>1</v>
      </c>
      <c r="C411" s="68" t="str">
        <f>IF(COUNTIF(Table3[[#All],[PID]],A411)&gt;0,"P","B")</f>
        <v>B</v>
      </c>
      <c r="D411" s="59" t="str">
        <f>IF($C411="B",INDEX(Batters[[#All],[POS]],MATCH(Table5[[#This Row],[PID]],Batters[[#All],[PID]],0)),INDEX(Table3[[#All],[POS]],MATCH(Table5[[#This Row],[PID]],Table3[[#All],[PID]],0)))</f>
        <v>2B</v>
      </c>
      <c r="E411" s="52" t="str">
        <f>IF($C411="B",INDEX(Batters[[#All],[First]],MATCH(Table5[[#This Row],[PID]],Batters[[#All],[PID]],0)),INDEX(Table3[[#All],[First]],MATCH(Table5[[#This Row],[PID]],Table3[[#All],[PID]],0)))</f>
        <v>Steve</v>
      </c>
      <c r="F411" s="55" t="str">
        <f>IF($C411="B",INDEX(Batters[[#All],[Last]],MATCH(A411,Batters[[#All],[PID]],0)),INDEX(Table3[[#All],[Last]],MATCH(A411,Table3[[#All],[PID]],0)))</f>
        <v>Johnson</v>
      </c>
      <c r="G411" s="56">
        <f>IF($C411="B",INDEX(Batters[[#All],[Age]],MATCH(Table5[[#This Row],[PID]],Batters[[#All],[PID]],0)),INDEX(Table3[[#All],[Age]],MATCH(Table5[[#This Row],[PID]],Table3[[#All],[PID]],0)))</f>
        <v>21</v>
      </c>
      <c r="H411" s="52" t="str">
        <f>IF($C411="B",INDEX(Batters[[#All],[B]],MATCH(Table5[[#This Row],[PID]],Batters[[#All],[PID]],0)),INDEX(Table3[[#All],[B]],MATCH(Table5[[#This Row],[PID]],Table3[[#All],[PID]],0)))</f>
        <v>R</v>
      </c>
      <c r="I411" s="52" t="str">
        <f>IF($C411="B",INDEX(Batters[[#All],[T]],MATCH(Table5[[#This Row],[PID]],Batters[[#All],[PID]],0)),INDEX(Table3[[#All],[T]],MATCH(Table5[[#This Row],[PID]],Table3[[#All],[PID]],0)))</f>
        <v>R</v>
      </c>
      <c r="J411" s="69" t="str">
        <f>IF($C411="B",INDEX(Batters[[#All],[WE]],MATCH(Table5[[#This Row],[PID]],Batters[[#All],[PID]],0)),INDEX(Table3[[#All],[WE]],MATCH(Table5[[#This Row],[PID]],Table3[[#All],[PID]],0)))</f>
        <v>Normal</v>
      </c>
      <c r="K411" s="52" t="str">
        <f>IF($C411="B",INDEX(Batters[[#All],[INT]],MATCH(Table5[[#This Row],[PID]],Batters[[#All],[PID]],0)),INDEX(Table3[[#All],[INT]],MATCH(Table5[[#This Row],[PID]],Table3[[#All],[PID]],0)))</f>
        <v>Normal</v>
      </c>
      <c r="L411" s="60">
        <f>IF($C411="B",INDEX(Batters[[#All],[CON P]],MATCH(Table5[[#This Row],[PID]],Batters[[#All],[PID]],0)),INDEX(Table3[[#All],[STU P]],MATCH(Table5[[#This Row],[PID]],Table3[[#All],[PID]],0)))</f>
        <v>4</v>
      </c>
      <c r="M411" s="70">
        <f>IF($C411="B",INDEX(Batters[[#All],[GAP P]],MATCH(Table5[[#This Row],[PID]],Batters[[#All],[PID]],0)),INDEX(Table3[[#All],[MOV P]],MATCH(Table5[[#This Row],[PID]],Table3[[#All],[PID]],0)))</f>
        <v>5</v>
      </c>
      <c r="N411" s="70">
        <f>IF($C411="B",INDEX(Batters[[#All],[POW P]],MATCH(Table5[[#This Row],[PID]],Batters[[#All],[PID]],0)),INDEX(Table3[[#All],[CON P]],MATCH(Table5[[#This Row],[PID]],Table3[[#All],[PID]],0)))</f>
        <v>3</v>
      </c>
      <c r="O411" s="70">
        <f>IF($C411="B",INDEX(Batters[[#All],[EYE P]],MATCH(Table5[[#This Row],[PID]],Batters[[#All],[PID]],0)),INDEX(Table3[[#All],[VELO]],MATCH(Table5[[#This Row],[PID]],Table3[[#All],[PID]],0)))</f>
        <v>5</v>
      </c>
      <c r="P411" s="56">
        <f>IF($C411="B",INDEX(Batters[[#All],[K P]],MATCH(Table5[[#This Row],[PID]],Batters[[#All],[PID]],0)),INDEX(Table3[[#All],[STM]],MATCH(Table5[[#This Row],[PID]],Table3[[#All],[PID]],0)))</f>
        <v>4</v>
      </c>
      <c r="Q411" s="61">
        <f>IF($C411="B",INDEX(Batters[[#All],[Tot]],MATCH(Table5[[#This Row],[PID]],Batters[[#All],[PID]],0)),INDEX(Table3[[#All],[Tot]],MATCH(Table5[[#This Row],[PID]],Table3[[#All],[PID]],0)))</f>
        <v>42.285578984523681</v>
      </c>
      <c r="R411" s="52">
        <f>IF($C411="B",INDEX(Batters[[#All],[zScore]],MATCH(Table5[[#This Row],[PID]],Batters[[#All],[PID]],0)),INDEX(Table3[[#All],[zScore]],MATCH(Table5[[#This Row],[PID]],Table3[[#All],[PID]],0)))</f>
        <v>-0.13617533891397296</v>
      </c>
      <c r="S411" s="75" t="str">
        <f>IF($C411="B",INDEX(Batters[[#All],[DEM]],MATCH(Table5[[#This Row],[PID]],Batters[[#All],[PID]],0)),INDEX(Table3[[#All],[DEM]],MATCH(Table5[[#This Row],[PID]],Table3[[#All],[PID]],0)))</f>
        <v>$40k</v>
      </c>
      <c r="T411" s="72">
        <f>IF($C411="B",INDEX(Batters[[#All],[Rnk]],MATCH(Table5[[#This Row],[PID]],Batters[[#All],[PID]],0)),INDEX(Table3[[#All],[Rnk]],MATCH(Table5[[#This Row],[PID]],Table3[[#All],[PID]],0)))</f>
        <v>900</v>
      </c>
      <c r="U411" s="67">
        <f>IF($C411="B",VLOOKUP($A411,Bat!$A$4:$BA$1314,47,FALSE),VLOOKUP($A411,Pit!$A$4:$BF$1214,56,FALSE))</f>
        <v>184</v>
      </c>
      <c r="V411" s="50">
        <f>IF($C411="B",VLOOKUP($A411,Bat!$A$4:$BA$1314,48,FALSE),VLOOKUP($A411,Pit!$A$4:$BF$1214,57,FALSE))</f>
        <v>0</v>
      </c>
      <c r="W411" s="68">
        <f>IF(Table5[[#This Row],[posRnk]]=999,9999,Table5[[#This Row],[posRnk]]+Table5[[#This Row],[zRnk]]+IF($W$3&lt;&gt;Table5[[#This Row],[Type]],50,0))</f>
        <v>1377</v>
      </c>
      <c r="X411" s="71">
        <f>RANK(Table5[[#This Row],[zScore]],Table5[[#All],[zScore]])</f>
        <v>427</v>
      </c>
      <c r="Y411" s="68">
        <f>IFERROR(INDEX(DraftResults[[#All],[OVR]],MATCH(Table5[[#This Row],[PID]],DraftResults[[#All],[Player ID]],0)),"")</f>
        <v>208</v>
      </c>
      <c r="Z411" s="7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7</v>
      </c>
      <c r="AA411" s="68">
        <f>IFERROR(INDEX(DraftResults[[#All],[Pick in Round]],MATCH(Table5[[#This Row],[PID]],DraftResults[[#All],[Player ID]],0)),"")</f>
        <v>7</v>
      </c>
      <c r="AB411" s="68" t="str">
        <f>IFERROR(INDEX(DraftResults[[#All],[Team Name]],MATCH(Table5[[#This Row],[PID]],DraftResults[[#All],[Player ID]],0)),"")</f>
        <v>Hartford Harpoon</v>
      </c>
      <c r="AC411" s="68">
        <f>IF(Table5[[#This Row],[Ovr]]="","",IF(Table5[[#This Row],[cmbList]]="","",Table5[[#This Row],[cmbList]]-Table5[[#This Row],[Ovr]]))</f>
        <v>1169</v>
      </c>
      <c r="AD411" s="74" t="str">
        <f>IF(ISERROR(VLOOKUP($AB411&amp;"-"&amp;$E411&amp;" "&amp;F411,Bonuses!$B$1:$G$1006,4,FALSE)),"",INT(VLOOKUP($AB411&amp;"-"&amp;$E411&amp;" "&amp;$F411,Bonuses!$B$1:$G$1006,4,FALSE)))</f>
        <v/>
      </c>
      <c r="AE411" s="68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7.7 (208) - 2B Steve Johnson</v>
      </c>
    </row>
    <row r="412" spans="1:31" s="50" customFormat="1" x14ac:dyDescent="0.3">
      <c r="A412" s="50">
        <v>20951</v>
      </c>
      <c r="B412" s="50">
        <f>COUNTIF(Table5[PID],A412)</f>
        <v>1</v>
      </c>
      <c r="C412" s="50" t="str">
        <f>IF(COUNTIF(Table3[[#All],[PID]],A412)&gt;0,"P","B")</f>
        <v>P</v>
      </c>
      <c r="D412" s="59" t="str">
        <f>IF($C412="B",INDEX(Batters[[#All],[POS]],MATCH(Table5[[#This Row],[PID]],Batters[[#All],[PID]],0)),INDEX(Table3[[#All],[POS]],MATCH(Table5[[#This Row],[PID]],Table3[[#All],[PID]],0)))</f>
        <v>RP</v>
      </c>
      <c r="E412" s="52" t="str">
        <f>IF($C412="B",INDEX(Batters[[#All],[First]],MATCH(Table5[[#This Row],[PID]],Batters[[#All],[PID]],0)),INDEX(Table3[[#All],[First]],MATCH(Table5[[#This Row],[PID]],Table3[[#All],[PID]],0)))</f>
        <v>Mitch</v>
      </c>
      <c r="F412" s="50" t="str">
        <f>IF($C412="B",INDEX(Batters[[#All],[Last]],MATCH(A412,Batters[[#All],[PID]],0)),INDEX(Table3[[#All],[Last]],MATCH(A412,Table3[[#All],[PID]],0)))</f>
        <v>MacDonald</v>
      </c>
      <c r="G412" s="56">
        <f>IF($C412="B",INDEX(Batters[[#All],[Age]],MATCH(Table5[[#This Row],[PID]],Batters[[#All],[PID]],0)),INDEX(Table3[[#All],[Age]],MATCH(Table5[[#This Row],[PID]],Table3[[#All],[PID]],0)))</f>
        <v>17</v>
      </c>
      <c r="H412" s="52" t="str">
        <f>IF($C412="B",INDEX(Batters[[#All],[B]],MATCH(Table5[[#This Row],[PID]],Batters[[#All],[PID]],0)),INDEX(Table3[[#All],[B]],MATCH(Table5[[#This Row],[PID]],Table3[[#All],[PID]],0)))</f>
        <v>R</v>
      </c>
      <c r="I412" s="52" t="str">
        <f>IF($C412="B",INDEX(Batters[[#All],[T]],MATCH(Table5[[#This Row],[PID]],Batters[[#All],[PID]],0)),INDEX(Table3[[#All],[T]],MATCH(Table5[[#This Row],[PID]],Table3[[#All],[PID]],0)))</f>
        <v>R</v>
      </c>
      <c r="J412" s="52" t="str">
        <f>IF($C412="B",INDEX(Batters[[#All],[WE]],MATCH(Table5[[#This Row],[PID]],Batters[[#All],[PID]],0)),INDEX(Table3[[#All],[WE]],MATCH(Table5[[#This Row],[PID]],Table3[[#All],[PID]],0)))</f>
        <v>Normal</v>
      </c>
      <c r="K412" s="52" t="str">
        <f>IF($C412="B",INDEX(Batters[[#All],[INT]],MATCH(Table5[[#This Row],[PID]],Batters[[#All],[PID]],0)),INDEX(Table3[[#All],[INT]],MATCH(Table5[[#This Row],[PID]],Table3[[#All],[PID]],0)))</f>
        <v>Normal</v>
      </c>
      <c r="L412" s="60">
        <f>IF($C412="B",INDEX(Batters[[#All],[CON P]],MATCH(Table5[[#This Row],[PID]],Batters[[#All],[PID]],0)),INDEX(Table3[[#All],[STU P]],MATCH(Table5[[#This Row],[PID]],Table3[[#All],[PID]],0)))</f>
        <v>5</v>
      </c>
      <c r="M412" s="56">
        <f>IF($C412="B",INDEX(Batters[[#All],[GAP P]],MATCH(Table5[[#This Row],[PID]],Batters[[#All],[PID]],0)),INDEX(Table3[[#All],[MOV P]],MATCH(Table5[[#This Row],[PID]],Table3[[#All],[PID]],0)))</f>
        <v>1</v>
      </c>
      <c r="N412" s="56">
        <f>IF($C412="B",INDEX(Batters[[#All],[POW P]],MATCH(Table5[[#This Row],[PID]],Batters[[#All],[PID]],0)),INDEX(Table3[[#All],[CON P]],MATCH(Table5[[#This Row],[PID]],Table3[[#All],[PID]],0)))</f>
        <v>3</v>
      </c>
      <c r="O412" s="56" t="str">
        <f>IF($C412="B",INDEX(Batters[[#All],[EYE P]],MATCH(Table5[[#This Row],[PID]],Batters[[#All],[PID]],0)),INDEX(Table3[[#All],[VELO]],MATCH(Table5[[#This Row],[PID]],Table3[[#All],[PID]],0)))</f>
        <v>89-91 Mph</v>
      </c>
      <c r="P412" s="56">
        <f>IF($C412="B",INDEX(Batters[[#All],[K P]],MATCH(Table5[[#This Row],[PID]],Batters[[#All],[PID]],0)),INDEX(Table3[[#All],[STM]],MATCH(Table5[[#This Row],[PID]],Table3[[#All],[PID]],0)))</f>
        <v>8</v>
      </c>
      <c r="Q412" s="61">
        <f>IF($C412="B",INDEX(Batters[[#All],[Tot]],MATCH(Table5[[#This Row],[PID]],Batters[[#All],[PID]],0)),INDEX(Table3[[#All],[Tot]],MATCH(Table5[[#This Row],[PID]],Table3[[#All],[PID]],0)))</f>
        <v>35.871980275596073</v>
      </c>
      <c r="R412" s="52">
        <f>IF($C412="B",INDEX(Batters[[#All],[zScore]],MATCH(Table5[[#This Row],[PID]],Batters[[#All],[PID]],0)),INDEX(Table3[[#All],[zScore]],MATCH(Table5[[#This Row],[PID]],Table3[[#All],[PID]],0)))</f>
        <v>-0.13747246248656897</v>
      </c>
      <c r="S412" s="58" t="str">
        <f>IF($C412="B",INDEX(Batters[[#All],[DEM]],MATCH(Table5[[#This Row],[PID]],Batters[[#All],[PID]],0)),INDEX(Table3[[#All],[DEM]],MATCH(Table5[[#This Row],[PID]],Table3[[#All],[PID]],0)))</f>
        <v>$38k</v>
      </c>
      <c r="T412" s="62">
        <f>IF($C412="B",INDEX(Batters[[#All],[Rnk]],MATCH(Table5[[#This Row],[PID]],Batters[[#All],[PID]],0)),INDEX(Table3[[#All],[Rnk]],MATCH(Table5[[#This Row],[PID]],Table3[[#All],[PID]],0)))</f>
        <v>900</v>
      </c>
      <c r="U412" s="67">
        <f>IF($C412="B",VLOOKUP($A412,Bat!$A$4:$BA$1314,47,FALSE),VLOOKUP($A412,Pit!$A$4:$BF$1214,56,FALSE))</f>
        <v>146</v>
      </c>
      <c r="V412" s="50">
        <f>IF($C412="B",VLOOKUP($A412,Bat!$A$4:$BA$1314,48,FALSE),VLOOKUP($A412,Pit!$A$4:$BF$1214,57,FALSE))</f>
        <v>0</v>
      </c>
      <c r="W412" s="68">
        <f>IF(Table5[[#This Row],[posRnk]]=999,9999,Table5[[#This Row],[posRnk]]+Table5[[#This Row],[zRnk]]+IF($W$3&lt;&gt;Table5[[#This Row],[Type]],50,0))</f>
        <v>1328</v>
      </c>
      <c r="X412" s="51">
        <f>RANK(Table5[[#This Row],[zScore]],Table5[[#All],[zScore]])</f>
        <v>428</v>
      </c>
      <c r="Y412" s="50">
        <f>IFERROR(INDEX(DraftResults[[#All],[OVR]],MATCH(Table5[[#This Row],[PID]],DraftResults[[#All],[Player ID]],0)),"")</f>
        <v>524</v>
      </c>
      <c r="Z412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16</v>
      </c>
      <c r="AA412" s="50">
        <f>IFERROR(INDEX(DraftResults[[#All],[Pick in Round]],MATCH(Table5[[#This Row],[PID]],DraftResults[[#All],[Player ID]],0)),"")</f>
        <v>23</v>
      </c>
      <c r="AB412" s="50" t="str">
        <f>IFERROR(INDEX(DraftResults[[#All],[Team Name]],MATCH(Table5[[#This Row],[PID]],DraftResults[[#All],[Player ID]],0)),"")</f>
        <v>Kentucky Thoroughbreds</v>
      </c>
      <c r="AC412" s="50">
        <f>IF(Table5[[#This Row],[Ovr]]="","",IF(Table5[[#This Row],[cmbList]]="","",Table5[[#This Row],[cmbList]]-Table5[[#This Row],[Ovr]]))</f>
        <v>804</v>
      </c>
      <c r="AD412" s="54" t="str">
        <f>IF(ISERROR(VLOOKUP($AB412&amp;"-"&amp;$E412&amp;" "&amp;F412,Bonuses!$B$1:$G$1006,4,FALSE)),"",INT(VLOOKUP($AB412&amp;"-"&amp;$E412&amp;" "&amp;$F412,Bonuses!$B$1:$G$1006,4,FALSE)))</f>
        <v/>
      </c>
      <c r="AE412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16.23 (524) - RP Mitch MacDonald</v>
      </c>
    </row>
    <row r="413" spans="1:31" s="50" customFormat="1" x14ac:dyDescent="0.3">
      <c r="A413" s="50">
        <v>11128</v>
      </c>
      <c r="B413" s="50">
        <f>COUNTIF(Table5[PID],A413)</f>
        <v>1</v>
      </c>
      <c r="C413" s="50" t="str">
        <f>IF(COUNTIF(Table3[[#All],[PID]],A413)&gt;0,"P","B")</f>
        <v>B</v>
      </c>
      <c r="D413" s="59" t="str">
        <f>IF($C413="B",INDEX(Batters[[#All],[POS]],MATCH(Table5[[#This Row],[PID]],Batters[[#All],[PID]],0)),INDEX(Table3[[#All],[POS]],MATCH(Table5[[#This Row],[PID]],Table3[[#All],[PID]],0)))</f>
        <v>3B</v>
      </c>
      <c r="E413" s="52" t="str">
        <f>IF($C413="B",INDEX(Batters[[#All],[First]],MATCH(Table5[[#This Row],[PID]],Batters[[#All],[PID]],0)),INDEX(Table3[[#All],[First]],MATCH(Table5[[#This Row],[PID]],Table3[[#All],[PID]],0)))</f>
        <v>Matt</v>
      </c>
      <c r="F413" s="50" t="str">
        <f>IF($C413="B",INDEX(Batters[[#All],[Last]],MATCH(A413,Batters[[#All],[PID]],0)),INDEX(Table3[[#All],[Last]],MATCH(A413,Table3[[#All],[PID]],0)))</f>
        <v>Harris</v>
      </c>
      <c r="G413" s="56">
        <f>IF($C413="B",INDEX(Batters[[#All],[Age]],MATCH(Table5[[#This Row],[PID]],Batters[[#All],[PID]],0)),INDEX(Table3[[#All],[Age]],MATCH(Table5[[#This Row],[PID]],Table3[[#All],[PID]],0)))</f>
        <v>17</v>
      </c>
      <c r="H413" s="52" t="str">
        <f>IF($C413="B",INDEX(Batters[[#All],[B]],MATCH(Table5[[#This Row],[PID]],Batters[[#All],[PID]],0)),INDEX(Table3[[#All],[B]],MATCH(Table5[[#This Row],[PID]],Table3[[#All],[PID]],0)))</f>
        <v>L</v>
      </c>
      <c r="I413" s="52" t="str">
        <f>IF($C413="B",INDEX(Batters[[#All],[T]],MATCH(Table5[[#This Row],[PID]],Batters[[#All],[PID]],0)),INDEX(Table3[[#All],[T]],MATCH(Table5[[#This Row],[PID]],Table3[[#All],[PID]],0)))</f>
        <v>R</v>
      </c>
      <c r="J413" s="52" t="str">
        <f>IF($C413="B",INDEX(Batters[[#All],[WE]],MATCH(Table5[[#This Row],[PID]],Batters[[#All],[PID]],0)),INDEX(Table3[[#All],[WE]],MATCH(Table5[[#This Row],[PID]],Table3[[#All],[PID]],0)))</f>
        <v>Low</v>
      </c>
      <c r="K413" s="52" t="str">
        <f>IF($C413="B",INDEX(Batters[[#All],[INT]],MATCH(Table5[[#This Row],[PID]],Batters[[#All],[PID]],0)),INDEX(Table3[[#All],[INT]],MATCH(Table5[[#This Row],[PID]],Table3[[#All],[PID]],0)))</f>
        <v>Normal</v>
      </c>
      <c r="L413" s="60">
        <f>IF($C413="B",INDEX(Batters[[#All],[CON P]],MATCH(Table5[[#This Row],[PID]],Batters[[#All],[PID]],0)),INDEX(Table3[[#All],[STU P]],MATCH(Table5[[#This Row],[PID]],Table3[[#All],[PID]],0)))</f>
        <v>3</v>
      </c>
      <c r="M413" s="56">
        <f>IF($C413="B",INDEX(Batters[[#All],[GAP P]],MATCH(Table5[[#This Row],[PID]],Batters[[#All],[PID]],0)),INDEX(Table3[[#All],[MOV P]],MATCH(Table5[[#This Row],[PID]],Table3[[#All],[PID]],0)))</f>
        <v>5</v>
      </c>
      <c r="N413" s="56">
        <f>IF($C413="B",INDEX(Batters[[#All],[POW P]],MATCH(Table5[[#This Row],[PID]],Batters[[#All],[PID]],0)),INDEX(Table3[[#All],[CON P]],MATCH(Table5[[#This Row],[PID]],Table3[[#All],[PID]],0)))</f>
        <v>4</v>
      </c>
      <c r="O413" s="56">
        <f>IF($C413="B",INDEX(Batters[[#All],[EYE P]],MATCH(Table5[[#This Row],[PID]],Batters[[#All],[PID]],0)),INDEX(Table3[[#All],[VELO]],MATCH(Table5[[#This Row],[PID]],Table3[[#All],[PID]],0)))</f>
        <v>4</v>
      </c>
      <c r="P413" s="56">
        <f>IF($C413="B",INDEX(Batters[[#All],[K P]],MATCH(Table5[[#This Row],[PID]],Batters[[#All],[PID]],0)),INDEX(Table3[[#All],[STM]],MATCH(Table5[[#This Row],[PID]],Table3[[#All],[PID]],0)))</f>
        <v>4</v>
      </c>
      <c r="Q413" s="61">
        <f>IF($C413="B",INDEX(Batters[[#All],[Tot]],MATCH(Table5[[#This Row],[PID]],Batters[[#All],[PID]],0)),INDEX(Table3[[#All],[Tot]],MATCH(Table5[[#This Row],[PID]],Table3[[#All],[PID]],0)))</f>
        <v>42.854388668633931</v>
      </c>
      <c r="R413" s="52">
        <f>IF($C413="B",INDEX(Batters[[#All],[zScore]],MATCH(Table5[[#This Row],[PID]],Batters[[#All],[PID]],0)),INDEX(Table3[[#All],[zScore]],MATCH(Table5[[#This Row],[PID]],Table3[[#All],[PID]],0)))</f>
        <v>-5.3147264575406236E-2</v>
      </c>
      <c r="S413" s="58" t="str">
        <f>IF($C413="B",INDEX(Batters[[#All],[DEM]],MATCH(Table5[[#This Row],[PID]],Batters[[#All],[PID]],0)),INDEX(Table3[[#All],[DEM]],MATCH(Table5[[#This Row],[PID]],Table3[[#All],[PID]],0)))</f>
        <v>$190k</v>
      </c>
      <c r="T413" s="62">
        <f>IF($C413="B",INDEX(Batters[[#All],[Rnk]],MATCH(Table5[[#This Row],[PID]],Batters[[#All],[PID]],0)),INDEX(Table3[[#All],[Rnk]],MATCH(Table5[[#This Row],[PID]],Table3[[#All],[PID]],0)))</f>
        <v>930</v>
      </c>
      <c r="U413" s="67">
        <f>IF($C413="B",VLOOKUP($A413,Bat!$A$4:$BA$1314,47,FALSE),VLOOKUP($A413,Pit!$A$4:$BF$1214,56,FALSE))</f>
        <v>333</v>
      </c>
      <c r="V413" s="50">
        <f>IF($C413="B",VLOOKUP($A413,Bat!$A$4:$BA$1314,48,FALSE),VLOOKUP($A413,Pit!$A$4:$BF$1214,57,FALSE))</f>
        <v>0</v>
      </c>
      <c r="W413" s="68">
        <f>IF(Table5[[#This Row],[posRnk]]=999,9999,Table5[[#This Row],[posRnk]]+Table5[[#This Row],[zRnk]]+IF($W$3&lt;&gt;Table5[[#This Row],[Type]],50,0))</f>
        <v>1380</v>
      </c>
      <c r="X413" s="51">
        <f>RANK(Table5[[#This Row],[zScore]],Table5[[#All],[zScore]])</f>
        <v>400</v>
      </c>
      <c r="Y413" s="50">
        <f>IFERROR(INDEX(DraftResults[[#All],[OVR]],MATCH(Table5[[#This Row],[PID]],DraftResults[[#All],[Player ID]],0)),"")</f>
        <v>431</v>
      </c>
      <c r="Z413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13</v>
      </c>
      <c r="AA413" s="50">
        <f>IFERROR(INDEX(DraftResults[[#All],[Pick in Round]],MATCH(Table5[[#This Row],[PID]],DraftResults[[#All],[Player ID]],0)),"")</f>
        <v>32</v>
      </c>
      <c r="AB413" s="50" t="str">
        <f>IFERROR(INDEX(DraftResults[[#All],[Team Name]],MATCH(Table5[[#This Row],[PID]],DraftResults[[#All],[Player ID]],0)),"")</f>
        <v>Florida Farstriders</v>
      </c>
      <c r="AC413" s="50">
        <f>IF(Table5[[#This Row],[Ovr]]="","",IF(Table5[[#This Row],[cmbList]]="","",Table5[[#This Row],[cmbList]]-Table5[[#This Row],[Ovr]]))</f>
        <v>949</v>
      </c>
      <c r="AD413" s="54" t="str">
        <f>IF(ISERROR(VLOOKUP($AB413&amp;"-"&amp;$E413&amp;" "&amp;F413,Bonuses!$B$1:$G$1006,4,FALSE)),"",INT(VLOOKUP($AB413&amp;"-"&amp;$E413&amp;" "&amp;$F413,Bonuses!$B$1:$G$1006,4,FALSE)))</f>
        <v/>
      </c>
      <c r="AE413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13.32 (431) - 3B Matt Harris</v>
      </c>
    </row>
    <row r="414" spans="1:31" s="50" customFormat="1" x14ac:dyDescent="0.3">
      <c r="A414" s="50">
        <v>20704</v>
      </c>
      <c r="B414" s="50">
        <f>COUNTIF(Table5[PID],A414)</f>
        <v>1</v>
      </c>
      <c r="C414" s="50" t="str">
        <f>IF(COUNTIF(Table3[[#All],[PID]],A414)&gt;0,"P","B")</f>
        <v>P</v>
      </c>
      <c r="D414" s="59" t="str">
        <f>IF($C414="B",INDEX(Batters[[#All],[POS]],MATCH(Table5[[#This Row],[PID]],Batters[[#All],[PID]],0)),INDEX(Table3[[#All],[POS]],MATCH(Table5[[#This Row],[PID]],Table3[[#All],[PID]],0)))</f>
        <v>RP</v>
      </c>
      <c r="E414" s="52" t="str">
        <f>IF($C414="B",INDEX(Batters[[#All],[First]],MATCH(Table5[[#This Row],[PID]],Batters[[#All],[PID]],0)),INDEX(Table3[[#All],[First]],MATCH(Table5[[#This Row],[PID]],Table3[[#All],[PID]],0)))</f>
        <v>Barton</v>
      </c>
      <c r="F414" s="50" t="str">
        <f>IF($C414="B",INDEX(Batters[[#All],[Last]],MATCH(A414,Batters[[#All],[PID]],0)),INDEX(Table3[[#All],[Last]],MATCH(A414,Table3[[#All],[PID]],0)))</f>
        <v>Robinson</v>
      </c>
      <c r="G414" s="56">
        <f>IF($C414="B",INDEX(Batters[[#All],[Age]],MATCH(Table5[[#This Row],[PID]],Batters[[#All],[PID]],0)),INDEX(Table3[[#All],[Age]],MATCH(Table5[[#This Row],[PID]],Table3[[#All],[PID]],0)))</f>
        <v>17</v>
      </c>
      <c r="H414" s="52" t="str">
        <f>IF($C414="B",INDEX(Batters[[#All],[B]],MATCH(Table5[[#This Row],[PID]],Batters[[#All],[PID]],0)),INDEX(Table3[[#All],[B]],MATCH(Table5[[#This Row],[PID]],Table3[[#All],[PID]],0)))</f>
        <v>R</v>
      </c>
      <c r="I414" s="52" t="str">
        <f>IF($C414="B",INDEX(Batters[[#All],[T]],MATCH(Table5[[#This Row],[PID]],Batters[[#All],[PID]],0)),INDEX(Table3[[#All],[T]],MATCH(Table5[[#This Row],[PID]],Table3[[#All],[PID]],0)))</f>
        <v>R</v>
      </c>
      <c r="J414" s="52" t="str">
        <f>IF($C414="B",INDEX(Batters[[#All],[WE]],MATCH(Table5[[#This Row],[PID]],Batters[[#All],[PID]],0)),INDEX(Table3[[#All],[WE]],MATCH(Table5[[#This Row],[PID]],Table3[[#All],[PID]],0)))</f>
        <v>High</v>
      </c>
      <c r="K414" s="52" t="str">
        <f>IF($C414="B",INDEX(Batters[[#All],[INT]],MATCH(Table5[[#This Row],[PID]],Batters[[#All],[PID]],0)),INDEX(Table3[[#All],[INT]],MATCH(Table5[[#This Row],[PID]],Table3[[#All],[PID]],0)))</f>
        <v>Normal</v>
      </c>
      <c r="L414" s="60">
        <f>IF($C414="B",INDEX(Batters[[#All],[CON P]],MATCH(Table5[[#This Row],[PID]],Batters[[#All],[PID]],0)),INDEX(Table3[[#All],[STU P]],MATCH(Table5[[#This Row],[PID]],Table3[[#All],[PID]],0)))</f>
        <v>3</v>
      </c>
      <c r="M414" s="56">
        <f>IF($C414="B",INDEX(Batters[[#All],[GAP P]],MATCH(Table5[[#This Row],[PID]],Batters[[#All],[PID]],0)),INDEX(Table3[[#All],[MOV P]],MATCH(Table5[[#This Row],[PID]],Table3[[#All],[PID]],0)))</f>
        <v>2</v>
      </c>
      <c r="N414" s="56">
        <f>IF($C414="B",INDEX(Batters[[#All],[POW P]],MATCH(Table5[[#This Row],[PID]],Batters[[#All],[PID]],0)),INDEX(Table3[[#All],[CON P]],MATCH(Table5[[#This Row],[PID]],Table3[[#All],[PID]],0)))</f>
        <v>4</v>
      </c>
      <c r="O414" s="56" t="str">
        <f>IF($C414="B",INDEX(Batters[[#All],[EYE P]],MATCH(Table5[[#This Row],[PID]],Batters[[#All],[PID]],0)),INDEX(Table3[[#All],[VELO]],MATCH(Table5[[#This Row],[PID]],Table3[[#All],[PID]],0)))</f>
        <v>86-88 Mph</v>
      </c>
      <c r="P414" s="56">
        <f>IF($C414="B",INDEX(Batters[[#All],[K P]],MATCH(Table5[[#This Row],[PID]],Batters[[#All],[PID]],0)),INDEX(Table3[[#All],[STM]],MATCH(Table5[[#This Row],[PID]],Table3[[#All],[PID]],0)))</f>
        <v>6</v>
      </c>
      <c r="Q414" s="61">
        <f>IF($C414="B",INDEX(Batters[[#All],[Tot]],MATCH(Table5[[#This Row],[PID]],Batters[[#All],[PID]],0)),INDEX(Table3[[#All],[Tot]],MATCH(Table5[[#This Row],[PID]],Table3[[#All],[PID]],0)))</f>
        <v>35.697371372359839</v>
      </c>
      <c r="R414" s="52">
        <f>IF($C414="B",INDEX(Batters[[#All],[zScore]],MATCH(Table5[[#This Row],[PID]],Batters[[#All],[PID]],0)),INDEX(Table3[[#All],[zScore]],MATCH(Table5[[#This Row],[PID]],Table3[[#All],[PID]],0)))</f>
        <v>-0.14354276248605849</v>
      </c>
      <c r="S414" s="58" t="str">
        <f>IF($C414="B",INDEX(Batters[[#All],[DEM]],MATCH(Table5[[#This Row],[PID]],Batters[[#All],[PID]],0)),INDEX(Table3[[#All],[DEM]],MATCH(Table5[[#This Row],[PID]],Table3[[#All],[PID]],0)))</f>
        <v>$65k</v>
      </c>
      <c r="T414" s="62">
        <f>IF($C414="B",INDEX(Batters[[#All],[Rnk]],MATCH(Table5[[#This Row],[PID]],Batters[[#All],[PID]],0)),INDEX(Table3[[#All],[Rnk]],MATCH(Table5[[#This Row],[PID]],Table3[[#All],[PID]],0)))</f>
        <v>900</v>
      </c>
      <c r="U414" s="67">
        <f>IF($C414="B",VLOOKUP($A414,Bat!$A$4:$BA$1314,47,FALSE),VLOOKUP($A414,Pit!$A$4:$BF$1214,56,FALSE))</f>
        <v>141</v>
      </c>
      <c r="V414" s="50">
        <f>IF($C414="B",VLOOKUP($A414,Bat!$A$4:$BA$1314,48,FALSE),VLOOKUP($A414,Pit!$A$4:$BF$1214,57,FALSE))</f>
        <v>0</v>
      </c>
      <c r="W414" s="68">
        <f>IF(Table5[[#This Row],[posRnk]]=999,9999,Table5[[#This Row],[posRnk]]+Table5[[#This Row],[zRnk]]+IF($W$3&lt;&gt;Table5[[#This Row],[Type]],50,0))</f>
        <v>1331</v>
      </c>
      <c r="X414" s="51">
        <f>RANK(Table5[[#This Row],[zScore]],Table5[[#All],[zScore]])</f>
        <v>431</v>
      </c>
      <c r="Y414" s="50" t="str">
        <f>IFERROR(INDEX(DraftResults[[#All],[OVR]],MATCH(Table5[[#This Row],[PID]],DraftResults[[#All],[Player ID]],0)),"")</f>
        <v/>
      </c>
      <c r="Z414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/>
      </c>
      <c r="AA414" s="50" t="str">
        <f>IFERROR(INDEX(DraftResults[[#All],[Pick in Round]],MATCH(Table5[[#This Row],[PID]],DraftResults[[#All],[Player ID]],0)),"")</f>
        <v/>
      </c>
      <c r="AB414" s="50" t="str">
        <f>IFERROR(INDEX(DraftResults[[#All],[Team Name]],MATCH(Table5[[#This Row],[PID]],DraftResults[[#All],[Player ID]],0)),"")</f>
        <v/>
      </c>
      <c r="AC414" s="50" t="str">
        <f>IF(Table5[[#This Row],[Ovr]]="","",IF(Table5[[#This Row],[cmbList]]="","",Table5[[#This Row],[cmbList]]-Table5[[#This Row],[Ovr]]))</f>
        <v/>
      </c>
      <c r="AD414" s="54" t="str">
        <f>IF(ISERROR(VLOOKUP($AB414&amp;"-"&amp;$E414&amp;" "&amp;F414,Bonuses!$B$1:$G$1006,4,FALSE)),"",INT(VLOOKUP($AB414&amp;"-"&amp;$E414&amp;" "&amp;$F414,Bonuses!$B$1:$G$1006,4,FALSE)))</f>
        <v/>
      </c>
      <c r="AE414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/>
      </c>
    </row>
    <row r="415" spans="1:31" s="50" customFormat="1" x14ac:dyDescent="0.3">
      <c r="A415" s="50">
        <v>20267</v>
      </c>
      <c r="B415" s="50">
        <f>COUNTIF(Table5[PID],A415)</f>
        <v>1</v>
      </c>
      <c r="C415" s="50" t="str">
        <f>IF(COUNTIF(Table3[[#All],[PID]],A415)&gt;0,"P","B")</f>
        <v>P</v>
      </c>
      <c r="D415" s="59" t="str">
        <f>IF($C415="B",INDEX(Batters[[#All],[POS]],MATCH(Table5[[#This Row],[PID]],Batters[[#All],[PID]],0)),INDEX(Table3[[#All],[POS]],MATCH(Table5[[#This Row],[PID]],Table3[[#All],[PID]],0)))</f>
        <v>SP</v>
      </c>
      <c r="E415" s="52" t="str">
        <f>IF($C415="B",INDEX(Batters[[#All],[First]],MATCH(Table5[[#This Row],[PID]],Batters[[#All],[PID]],0)),INDEX(Table3[[#All],[First]],MATCH(Table5[[#This Row],[PID]],Table3[[#All],[PID]],0)))</f>
        <v>Qin-shu</v>
      </c>
      <c r="F415" s="50" t="str">
        <f>IF($C415="B",INDEX(Batters[[#All],[Last]],MATCH(A415,Batters[[#All],[PID]],0)),INDEX(Table3[[#All],[Last]],MATCH(A415,Table3[[#All],[PID]],0)))</f>
        <v>Yan</v>
      </c>
      <c r="G415" s="56">
        <f>IF($C415="B",INDEX(Batters[[#All],[Age]],MATCH(Table5[[#This Row],[PID]],Batters[[#All],[PID]],0)),INDEX(Table3[[#All],[Age]],MATCH(Table5[[#This Row],[PID]],Table3[[#All],[PID]],0)))</f>
        <v>21</v>
      </c>
      <c r="H415" s="52" t="str">
        <f>IF($C415="B",INDEX(Batters[[#All],[B]],MATCH(Table5[[#This Row],[PID]],Batters[[#All],[PID]],0)),INDEX(Table3[[#All],[B]],MATCH(Table5[[#This Row],[PID]],Table3[[#All],[PID]],0)))</f>
        <v>R</v>
      </c>
      <c r="I415" s="52" t="str">
        <f>IF($C415="B",INDEX(Batters[[#All],[T]],MATCH(Table5[[#This Row],[PID]],Batters[[#All],[PID]],0)),INDEX(Table3[[#All],[T]],MATCH(Table5[[#This Row],[PID]],Table3[[#All],[PID]],0)))</f>
        <v>R</v>
      </c>
      <c r="J415" s="52" t="str">
        <f>IF($C415="B",INDEX(Batters[[#All],[WE]],MATCH(Table5[[#This Row],[PID]],Batters[[#All],[PID]],0)),INDEX(Table3[[#All],[WE]],MATCH(Table5[[#This Row],[PID]],Table3[[#All],[PID]],0)))</f>
        <v>Normal</v>
      </c>
      <c r="K415" s="52" t="str">
        <f>IF($C415="B",INDEX(Batters[[#All],[INT]],MATCH(Table5[[#This Row],[PID]],Batters[[#All],[PID]],0)),INDEX(Table3[[#All],[INT]],MATCH(Table5[[#This Row],[PID]],Table3[[#All],[PID]],0)))</f>
        <v>Normal</v>
      </c>
      <c r="L415" s="60">
        <f>IF($C415="B",INDEX(Batters[[#All],[CON P]],MATCH(Table5[[#This Row],[PID]],Batters[[#All],[PID]],0)),INDEX(Table3[[#All],[STU P]],MATCH(Table5[[#This Row],[PID]],Table3[[#All],[PID]],0)))</f>
        <v>4</v>
      </c>
      <c r="M415" s="56">
        <f>IF($C415="B",INDEX(Batters[[#All],[GAP P]],MATCH(Table5[[#This Row],[PID]],Batters[[#All],[PID]],0)),INDEX(Table3[[#All],[MOV P]],MATCH(Table5[[#This Row],[PID]],Table3[[#All],[PID]],0)))</f>
        <v>2</v>
      </c>
      <c r="N415" s="56">
        <f>IF($C415="B",INDEX(Batters[[#All],[POW P]],MATCH(Table5[[#This Row],[PID]],Batters[[#All],[PID]],0)),INDEX(Table3[[#All],[CON P]],MATCH(Table5[[#This Row],[PID]],Table3[[#All],[PID]],0)))</f>
        <v>4</v>
      </c>
      <c r="O415" s="56" t="str">
        <f>IF($C415="B",INDEX(Batters[[#All],[EYE P]],MATCH(Table5[[#This Row],[PID]],Batters[[#All],[PID]],0)),INDEX(Table3[[#All],[VELO]],MATCH(Table5[[#This Row],[PID]],Table3[[#All],[PID]],0)))</f>
        <v>92-94 Mph</v>
      </c>
      <c r="P415" s="56">
        <f>IF($C415="B",INDEX(Batters[[#All],[K P]],MATCH(Table5[[#This Row],[PID]],Batters[[#All],[PID]],0)),INDEX(Table3[[#All],[STM]],MATCH(Table5[[#This Row],[PID]],Table3[[#All],[PID]],0)))</f>
        <v>6</v>
      </c>
      <c r="Q415" s="61">
        <f>IF($C415="B",INDEX(Batters[[#All],[Tot]],MATCH(Table5[[#This Row],[PID]],Batters[[#All],[PID]],0)),INDEX(Table3[[#All],[Tot]],MATCH(Table5[[#This Row],[PID]],Table3[[#All],[PID]],0)))</f>
        <v>35.684214278258921</v>
      </c>
      <c r="R415" s="52">
        <f>IF($C415="B",INDEX(Batters[[#All],[zScore]],MATCH(Table5[[#This Row],[PID]],Batters[[#All],[PID]],0)),INDEX(Table3[[#All],[zScore]],MATCH(Table5[[#This Row],[PID]],Table3[[#All],[PID]],0)))</f>
        <v>-0.14447880597674997</v>
      </c>
      <c r="S415" s="58" t="str">
        <f>IF($C415="B",INDEX(Batters[[#All],[DEM]],MATCH(Table5[[#This Row],[PID]],Batters[[#All],[PID]],0)),INDEX(Table3[[#All],[DEM]],MATCH(Table5[[#This Row],[PID]],Table3[[#All],[PID]],0)))</f>
        <v>$55k</v>
      </c>
      <c r="T415" s="62">
        <f>IF($C415="B",INDEX(Batters[[#All],[Rnk]],MATCH(Table5[[#This Row],[PID]],Batters[[#All],[PID]],0)),INDEX(Table3[[#All],[Rnk]],MATCH(Table5[[#This Row],[PID]],Table3[[#All],[PID]],0)))</f>
        <v>900</v>
      </c>
      <c r="U415" s="67">
        <f>IF($C415="B",VLOOKUP($A415,Bat!$A$4:$BA$1314,47,FALSE),VLOOKUP($A415,Pit!$A$4:$BF$1214,56,FALSE))</f>
        <v>147</v>
      </c>
      <c r="V415" s="50">
        <f>IF($C415="B",VLOOKUP($A415,Bat!$A$4:$BA$1314,48,FALSE),VLOOKUP($A415,Pit!$A$4:$BF$1214,57,FALSE))</f>
        <v>0</v>
      </c>
      <c r="W415" s="68">
        <f>IF(Table5[[#This Row],[posRnk]]=999,9999,Table5[[#This Row],[posRnk]]+Table5[[#This Row],[zRnk]]+IF($W$3&lt;&gt;Table5[[#This Row],[Type]],50,0))</f>
        <v>1332</v>
      </c>
      <c r="X415" s="51">
        <f>RANK(Table5[[#This Row],[zScore]],Table5[[#All],[zScore]])</f>
        <v>432</v>
      </c>
      <c r="Y415" s="50">
        <f>IFERROR(INDEX(DraftResults[[#All],[OVR]],MATCH(Table5[[#This Row],[PID]],DraftResults[[#All],[Player ID]],0)),"")</f>
        <v>548</v>
      </c>
      <c r="Z415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17</v>
      </c>
      <c r="AA415" s="50">
        <f>IFERROR(INDEX(DraftResults[[#All],[Pick in Round]],MATCH(Table5[[#This Row],[PID]],DraftResults[[#All],[Player ID]],0)),"")</f>
        <v>13</v>
      </c>
      <c r="AB415" s="50" t="str">
        <f>IFERROR(INDEX(DraftResults[[#All],[Team Name]],MATCH(Table5[[#This Row],[PID]],DraftResults[[#All],[Player ID]],0)),"")</f>
        <v>Scottish Claymores</v>
      </c>
      <c r="AC415" s="50">
        <f>IF(Table5[[#This Row],[Ovr]]="","",IF(Table5[[#This Row],[cmbList]]="","",Table5[[#This Row],[cmbList]]-Table5[[#This Row],[Ovr]]))</f>
        <v>784</v>
      </c>
      <c r="AD415" s="54" t="str">
        <f>IF(ISERROR(VLOOKUP($AB415&amp;"-"&amp;$E415&amp;" "&amp;F415,Bonuses!$B$1:$G$1006,4,FALSE)),"",INT(VLOOKUP($AB415&amp;"-"&amp;$E415&amp;" "&amp;$F415,Bonuses!$B$1:$G$1006,4,FALSE)))</f>
        <v/>
      </c>
      <c r="AE415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17.13 (548) - SP Qin-shu Yan</v>
      </c>
    </row>
    <row r="416" spans="1:31" s="50" customFormat="1" x14ac:dyDescent="0.3">
      <c r="A416" s="50">
        <v>20981</v>
      </c>
      <c r="B416" s="50">
        <f>COUNTIF(Table5[PID],A416)</f>
        <v>1</v>
      </c>
      <c r="C416" s="50" t="str">
        <f>IF(COUNTIF(Table3[[#All],[PID]],A416)&gt;0,"P","B")</f>
        <v>P</v>
      </c>
      <c r="D416" s="59" t="str">
        <f>IF($C416="B",INDEX(Batters[[#All],[POS]],MATCH(Table5[[#This Row],[PID]],Batters[[#All],[PID]],0)),INDEX(Table3[[#All],[POS]],MATCH(Table5[[#This Row],[PID]],Table3[[#All],[PID]],0)))</f>
        <v>RP</v>
      </c>
      <c r="E416" s="52" t="str">
        <f>IF($C416="B",INDEX(Batters[[#All],[First]],MATCH(Table5[[#This Row],[PID]],Batters[[#All],[PID]],0)),INDEX(Table3[[#All],[First]],MATCH(Table5[[#This Row],[PID]],Table3[[#All],[PID]],0)))</f>
        <v>Steve</v>
      </c>
      <c r="F416" s="50" t="str">
        <f>IF($C416="B",INDEX(Batters[[#All],[Last]],MATCH(A416,Batters[[#All],[PID]],0)),INDEX(Table3[[#All],[Last]],MATCH(A416,Table3[[#All],[PID]],0)))</f>
        <v>Meade</v>
      </c>
      <c r="G416" s="56">
        <f>IF($C416="B",INDEX(Batters[[#All],[Age]],MATCH(Table5[[#This Row],[PID]],Batters[[#All],[PID]],0)),INDEX(Table3[[#All],[Age]],MATCH(Table5[[#This Row],[PID]],Table3[[#All],[PID]],0)))</f>
        <v>17</v>
      </c>
      <c r="H416" s="52" t="str">
        <f>IF($C416="B",INDEX(Batters[[#All],[B]],MATCH(Table5[[#This Row],[PID]],Batters[[#All],[PID]],0)),INDEX(Table3[[#All],[B]],MATCH(Table5[[#This Row],[PID]],Table3[[#All],[PID]],0)))</f>
        <v>R</v>
      </c>
      <c r="I416" s="52" t="str">
        <f>IF($C416="B",INDEX(Batters[[#All],[T]],MATCH(Table5[[#This Row],[PID]],Batters[[#All],[PID]],0)),INDEX(Table3[[#All],[T]],MATCH(Table5[[#This Row],[PID]],Table3[[#All],[PID]],0)))</f>
        <v>R</v>
      </c>
      <c r="J416" s="52" t="str">
        <f>IF($C416="B",INDEX(Batters[[#All],[WE]],MATCH(Table5[[#This Row],[PID]],Batters[[#All],[PID]],0)),INDEX(Table3[[#All],[WE]],MATCH(Table5[[#This Row],[PID]],Table3[[#All],[PID]],0)))</f>
        <v>High</v>
      </c>
      <c r="K416" s="52" t="str">
        <f>IF($C416="B",INDEX(Batters[[#All],[INT]],MATCH(Table5[[#This Row],[PID]],Batters[[#All],[PID]],0)),INDEX(Table3[[#All],[INT]],MATCH(Table5[[#This Row],[PID]],Table3[[#All],[PID]],0)))</f>
        <v>Normal</v>
      </c>
      <c r="L416" s="60">
        <f>IF($C416="B",INDEX(Batters[[#All],[CON P]],MATCH(Table5[[#This Row],[PID]],Batters[[#All],[PID]],0)),INDEX(Table3[[#All],[STU P]],MATCH(Table5[[#This Row],[PID]],Table3[[#All],[PID]],0)))</f>
        <v>5</v>
      </c>
      <c r="M416" s="56">
        <f>IF($C416="B",INDEX(Batters[[#All],[GAP P]],MATCH(Table5[[#This Row],[PID]],Batters[[#All],[PID]],0)),INDEX(Table3[[#All],[MOV P]],MATCH(Table5[[#This Row],[PID]],Table3[[#All],[PID]],0)))</f>
        <v>2</v>
      </c>
      <c r="N416" s="56">
        <f>IF($C416="B",INDEX(Batters[[#All],[POW P]],MATCH(Table5[[#This Row],[PID]],Batters[[#All],[PID]],0)),INDEX(Table3[[#All],[CON P]],MATCH(Table5[[#This Row],[PID]],Table3[[#All],[PID]],0)))</f>
        <v>4</v>
      </c>
      <c r="O416" s="56" t="str">
        <f>IF($C416="B",INDEX(Batters[[#All],[EYE P]],MATCH(Table5[[#This Row],[PID]],Batters[[#All],[PID]],0)),INDEX(Table3[[#All],[VELO]],MATCH(Table5[[#This Row],[PID]],Table3[[#All],[PID]],0)))</f>
        <v>86-88 Mph</v>
      </c>
      <c r="P416" s="56">
        <f>IF($C416="B",INDEX(Batters[[#All],[K P]],MATCH(Table5[[#This Row],[PID]],Batters[[#All],[PID]],0)),INDEX(Table3[[#All],[STM]],MATCH(Table5[[#This Row],[PID]],Table3[[#All],[PID]],0)))</f>
        <v>2</v>
      </c>
      <c r="Q416" s="61">
        <f>IF($C416="B",INDEX(Batters[[#All],[Tot]],MATCH(Table5[[#This Row],[PID]],Batters[[#All],[PID]],0)),INDEX(Table3[[#All],[Tot]],MATCH(Table5[[#This Row],[PID]],Table3[[#All],[PID]],0)))</f>
        <v>35.70018661349075</v>
      </c>
      <c r="R416" s="52">
        <f>IF($C416="B",INDEX(Batters[[#All],[zScore]],MATCH(Table5[[#This Row],[PID]],Batters[[#All],[PID]],0)),INDEX(Table3[[#All],[zScore]],MATCH(Table5[[#This Row],[PID]],Table3[[#All],[PID]],0)))</f>
        <v>-0.14970537943147152</v>
      </c>
      <c r="S416" s="58" t="str">
        <f>IF($C416="B",INDEX(Batters[[#All],[DEM]],MATCH(Table5[[#This Row],[PID]],Batters[[#All],[PID]],0)),INDEX(Table3[[#All],[DEM]],MATCH(Table5[[#This Row],[PID]],Table3[[#All],[PID]],0)))</f>
        <v>$65k</v>
      </c>
      <c r="T416" s="62">
        <f>IF($C416="B",INDEX(Batters[[#All],[Rnk]],MATCH(Table5[[#This Row],[PID]],Batters[[#All],[PID]],0)),INDEX(Table3[[#All],[Rnk]],MATCH(Table5[[#This Row],[PID]],Table3[[#All],[PID]],0)))</f>
        <v>900</v>
      </c>
      <c r="U416" s="67">
        <f>IF($C416="B",VLOOKUP($A416,Bat!$A$4:$BA$1314,47,FALSE),VLOOKUP($A416,Pit!$A$4:$BF$1214,56,FALSE))</f>
        <v>143</v>
      </c>
      <c r="V416" s="50">
        <f>IF($C416="B",VLOOKUP($A416,Bat!$A$4:$BA$1314,48,FALSE),VLOOKUP($A416,Pit!$A$4:$BF$1214,57,FALSE))</f>
        <v>0</v>
      </c>
      <c r="W416" s="68">
        <f>IF(Table5[[#This Row],[posRnk]]=999,9999,Table5[[#This Row],[posRnk]]+Table5[[#This Row],[zRnk]]+IF($W$3&lt;&gt;Table5[[#This Row],[Type]],50,0))</f>
        <v>1333</v>
      </c>
      <c r="X416" s="51">
        <f>RANK(Table5[[#This Row],[zScore]],Table5[[#All],[zScore]])</f>
        <v>433</v>
      </c>
      <c r="Y416" s="50">
        <f>IFERROR(INDEX(DraftResults[[#All],[OVR]],MATCH(Table5[[#This Row],[PID]],DraftResults[[#All],[Player ID]],0)),"")</f>
        <v>627</v>
      </c>
      <c r="Z416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19</v>
      </c>
      <c r="AA416" s="50">
        <f>IFERROR(INDEX(DraftResults[[#All],[Pick in Round]],MATCH(Table5[[#This Row],[PID]],DraftResults[[#All],[Player ID]],0)),"")</f>
        <v>24</v>
      </c>
      <c r="AB416" s="50" t="str">
        <f>IFERROR(INDEX(DraftResults[[#All],[Team Name]],MATCH(Table5[[#This Row],[PID]],DraftResults[[#All],[Player ID]],0)),"")</f>
        <v>Reno Zephyrs</v>
      </c>
      <c r="AC416" s="50">
        <f>IF(Table5[[#This Row],[Ovr]]="","",IF(Table5[[#This Row],[cmbList]]="","",Table5[[#This Row],[cmbList]]-Table5[[#This Row],[Ovr]]))</f>
        <v>706</v>
      </c>
      <c r="AD416" s="54" t="str">
        <f>IF(ISERROR(VLOOKUP($AB416&amp;"-"&amp;$E416&amp;" "&amp;F416,Bonuses!$B$1:$G$1006,4,FALSE)),"",INT(VLOOKUP($AB416&amp;"-"&amp;$E416&amp;" "&amp;$F416,Bonuses!$B$1:$G$1006,4,FALSE)))</f>
        <v/>
      </c>
      <c r="AE416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19.24 (627) - RP Steve Meade</v>
      </c>
    </row>
    <row r="417" spans="1:31" s="50" customFormat="1" x14ac:dyDescent="0.3">
      <c r="A417" s="67">
        <v>12750</v>
      </c>
      <c r="B417" s="68">
        <f>COUNTIF(Table5[PID],A417)</f>
        <v>1</v>
      </c>
      <c r="C417" s="68" t="str">
        <f>IF(COUNTIF(Table3[[#All],[PID]],A417)&gt;0,"P","B")</f>
        <v>B</v>
      </c>
      <c r="D417" s="59" t="str">
        <f>IF($C417="B",INDEX(Batters[[#All],[POS]],MATCH(Table5[[#This Row],[PID]],Batters[[#All],[PID]],0)),INDEX(Table3[[#All],[POS]],MATCH(Table5[[#This Row],[PID]],Table3[[#All],[PID]],0)))</f>
        <v>1B</v>
      </c>
      <c r="E417" s="52" t="str">
        <f>IF($C417="B",INDEX(Batters[[#All],[First]],MATCH(Table5[[#This Row],[PID]],Batters[[#All],[PID]],0)),INDEX(Table3[[#All],[First]],MATCH(Table5[[#This Row],[PID]],Table3[[#All],[PID]],0)))</f>
        <v>Tim</v>
      </c>
      <c r="F417" s="55" t="str">
        <f>IF($C417="B",INDEX(Batters[[#All],[Last]],MATCH(A417,Batters[[#All],[PID]],0)),INDEX(Table3[[#All],[Last]],MATCH(A417,Table3[[#All],[PID]],0)))</f>
        <v>Jost</v>
      </c>
      <c r="G417" s="56">
        <f>IF($C417="B",INDEX(Batters[[#All],[Age]],MATCH(Table5[[#This Row],[PID]],Batters[[#All],[PID]],0)),INDEX(Table3[[#All],[Age]],MATCH(Table5[[#This Row],[PID]],Table3[[#All],[PID]],0)))</f>
        <v>17</v>
      </c>
      <c r="H417" s="52" t="str">
        <f>IF($C417="B",INDEX(Batters[[#All],[B]],MATCH(Table5[[#This Row],[PID]],Batters[[#All],[PID]],0)),INDEX(Table3[[#All],[B]],MATCH(Table5[[#This Row],[PID]],Table3[[#All],[PID]],0)))</f>
        <v>L</v>
      </c>
      <c r="I417" s="52" t="str">
        <f>IF($C417="B",INDEX(Batters[[#All],[T]],MATCH(Table5[[#This Row],[PID]],Batters[[#All],[PID]],0)),INDEX(Table3[[#All],[T]],MATCH(Table5[[#This Row],[PID]],Table3[[#All],[PID]],0)))</f>
        <v>R</v>
      </c>
      <c r="J417" s="69" t="str">
        <f>IF($C417="B",INDEX(Batters[[#All],[WE]],MATCH(Table5[[#This Row],[PID]],Batters[[#All],[PID]],0)),INDEX(Table3[[#All],[WE]],MATCH(Table5[[#This Row],[PID]],Table3[[#All],[PID]],0)))</f>
        <v>Low</v>
      </c>
      <c r="K417" s="52" t="str">
        <f>IF($C417="B",INDEX(Batters[[#All],[INT]],MATCH(Table5[[#This Row],[PID]],Batters[[#All],[PID]],0)),INDEX(Table3[[#All],[INT]],MATCH(Table5[[#This Row],[PID]],Table3[[#All],[PID]],0)))</f>
        <v>Low</v>
      </c>
      <c r="L417" s="60">
        <f>IF($C417="B",INDEX(Batters[[#All],[CON P]],MATCH(Table5[[#This Row],[PID]],Batters[[#All],[PID]],0)),INDEX(Table3[[#All],[STU P]],MATCH(Table5[[#This Row],[PID]],Table3[[#All],[PID]],0)))</f>
        <v>3</v>
      </c>
      <c r="M417" s="70">
        <f>IF($C417="B",INDEX(Batters[[#All],[GAP P]],MATCH(Table5[[#This Row],[PID]],Batters[[#All],[PID]],0)),INDEX(Table3[[#All],[MOV P]],MATCH(Table5[[#This Row],[PID]],Table3[[#All],[PID]],0)))</f>
        <v>6</v>
      </c>
      <c r="N417" s="70">
        <f>IF($C417="B",INDEX(Batters[[#All],[POW P]],MATCH(Table5[[#This Row],[PID]],Batters[[#All],[PID]],0)),INDEX(Table3[[#All],[CON P]],MATCH(Table5[[#This Row],[PID]],Table3[[#All],[PID]],0)))</f>
        <v>3</v>
      </c>
      <c r="O417" s="70">
        <f>IF($C417="B",INDEX(Batters[[#All],[EYE P]],MATCH(Table5[[#This Row],[PID]],Batters[[#All],[PID]],0)),INDEX(Table3[[#All],[VELO]],MATCH(Table5[[#This Row],[PID]],Table3[[#All],[PID]],0)))</f>
        <v>6</v>
      </c>
      <c r="P417" s="56">
        <f>IF($C417="B",INDEX(Batters[[#All],[K P]],MATCH(Table5[[#This Row],[PID]],Batters[[#All],[PID]],0)),INDEX(Table3[[#All],[STM]],MATCH(Table5[[#This Row],[PID]],Table3[[#All],[PID]],0)))</f>
        <v>3</v>
      </c>
      <c r="Q417" s="61">
        <f>IF($C417="B",INDEX(Batters[[#All],[Tot]],MATCH(Table5[[#This Row],[PID]],Batters[[#All],[PID]],0)),INDEX(Table3[[#All],[Tot]],MATCH(Table5[[#This Row],[PID]],Table3[[#All],[PID]],0)))</f>
        <v>43.222597325044944</v>
      </c>
      <c r="R417" s="52">
        <f>IF($C417="B",INDEX(Batters[[#All],[zScore]],MATCH(Table5[[#This Row],[PID]],Batters[[#All],[PID]],0)),INDEX(Table3[[#All],[zScore]],MATCH(Table5[[#This Row],[PID]],Table3[[#All],[PID]],0)))</f>
        <v>5.9945695662710333E-4</v>
      </c>
      <c r="S417" s="75" t="str">
        <f>IF($C417="B",INDEX(Batters[[#All],[DEM]],MATCH(Table5[[#This Row],[PID]],Batters[[#All],[PID]],0)),INDEX(Table3[[#All],[DEM]],MATCH(Table5[[#This Row],[PID]],Table3[[#All],[PID]],0)))</f>
        <v>$90k</v>
      </c>
      <c r="T417" s="72">
        <f>IF($C417="B",INDEX(Batters[[#All],[Rnk]],MATCH(Table5[[#This Row],[PID]],Batters[[#All],[PID]],0)),INDEX(Table3[[#All],[Rnk]],MATCH(Table5[[#This Row],[PID]],Table3[[#All],[PID]],0)))</f>
        <v>950</v>
      </c>
      <c r="U417" s="67">
        <f>IF($C417="B",VLOOKUP($A417,Bat!$A$4:$BA$1314,47,FALSE),VLOOKUP($A417,Pit!$A$4:$BF$1214,56,FALSE))</f>
        <v>431</v>
      </c>
      <c r="V417" s="50">
        <f>IF($C417="B",VLOOKUP($A417,Bat!$A$4:$BA$1314,48,FALSE),VLOOKUP($A417,Pit!$A$4:$BF$1214,57,FALSE))</f>
        <v>0</v>
      </c>
      <c r="W417" s="68">
        <f>IF(Table5[[#This Row],[posRnk]]=999,9999,Table5[[#This Row],[posRnk]]+Table5[[#This Row],[zRnk]]+IF($W$3&lt;&gt;Table5[[#This Row],[Type]],50,0))</f>
        <v>1383</v>
      </c>
      <c r="X417" s="71">
        <f>RANK(Table5[[#This Row],[zScore]],Table5[[#All],[zScore]])</f>
        <v>383</v>
      </c>
      <c r="Y417" s="68" t="str">
        <f>IFERROR(INDEX(DraftResults[[#All],[OVR]],MATCH(Table5[[#This Row],[PID]],DraftResults[[#All],[Player ID]],0)),"")</f>
        <v/>
      </c>
      <c r="Z417" s="7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/>
      </c>
      <c r="AA417" s="68" t="str">
        <f>IFERROR(INDEX(DraftResults[[#All],[Pick in Round]],MATCH(Table5[[#This Row],[PID]],DraftResults[[#All],[Player ID]],0)),"")</f>
        <v/>
      </c>
      <c r="AB417" s="68" t="str">
        <f>IFERROR(INDEX(DraftResults[[#All],[Team Name]],MATCH(Table5[[#This Row],[PID]],DraftResults[[#All],[Player ID]],0)),"")</f>
        <v/>
      </c>
      <c r="AC417" s="68" t="str">
        <f>IF(Table5[[#This Row],[Ovr]]="","",IF(Table5[[#This Row],[cmbList]]="","",Table5[[#This Row],[cmbList]]-Table5[[#This Row],[Ovr]]))</f>
        <v/>
      </c>
      <c r="AD417" s="74" t="str">
        <f>IF(ISERROR(VLOOKUP($AB417&amp;"-"&amp;$E417&amp;" "&amp;F417,Bonuses!$B$1:$G$1006,4,FALSE)),"",INT(VLOOKUP($AB417&amp;"-"&amp;$E417&amp;" "&amp;$F417,Bonuses!$B$1:$G$1006,4,FALSE)))</f>
        <v/>
      </c>
      <c r="AE417" s="68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/>
      </c>
    </row>
    <row r="418" spans="1:31" s="50" customFormat="1" x14ac:dyDescent="0.3">
      <c r="A418" s="50">
        <v>9997</v>
      </c>
      <c r="B418" s="50">
        <f>COUNTIF(Table5[PID],A418)</f>
        <v>1</v>
      </c>
      <c r="C418" s="50" t="str">
        <f>IF(COUNTIF(Table3[[#All],[PID]],A418)&gt;0,"P","B")</f>
        <v>B</v>
      </c>
      <c r="D418" s="59" t="str">
        <f>IF($C418="B",INDEX(Batters[[#All],[POS]],MATCH(Table5[[#This Row],[PID]],Batters[[#All],[PID]],0)),INDEX(Table3[[#All],[POS]],MATCH(Table5[[#This Row],[PID]],Table3[[#All],[PID]],0)))</f>
        <v>C</v>
      </c>
      <c r="E418" s="52" t="str">
        <f>IF($C418="B",INDEX(Batters[[#All],[First]],MATCH(Table5[[#This Row],[PID]],Batters[[#All],[PID]],0)),INDEX(Table3[[#All],[First]],MATCH(Table5[[#This Row],[PID]],Table3[[#All],[PID]],0)))</f>
        <v>Donnie</v>
      </c>
      <c r="F418" s="50" t="str">
        <f>IF($C418="B",INDEX(Batters[[#All],[Last]],MATCH(A418,Batters[[#All],[PID]],0)),INDEX(Table3[[#All],[Last]],MATCH(A418,Table3[[#All],[PID]],0)))</f>
        <v>Tillman</v>
      </c>
      <c r="G418" s="56">
        <f>IF($C418="B",INDEX(Batters[[#All],[Age]],MATCH(Table5[[#This Row],[PID]],Batters[[#All],[PID]],0)),INDEX(Table3[[#All],[Age]],MATCH(Table5[[#This Row],[PID]],Table3[[#All],[PID]],0)))</f>
        <v>17</v>
      </c>
      <c r="H418" s="52" t="str">
        <f>IF($C418="B",INDEX(Batters[[#All],[B]],MATCH(Table5[[#This Row],[PID]],Batters[[#All],[PID]],0)),INDEX(Table3[[#All],[B]],MATCH(Table5[[#This Row],[PID]],Table3[[#All],[PID]],0)))</f>
        <v>R</v>
      </c>
      <c r="I418" s="52" t="str">
        <f>IF($C418="B",INDEX(Batters[[#All],[T]],MATCH(Table5[[#This Row],[PID]],Batters[[#All],[PID]],0)),INDEX(Table3[[#All],[T]],MATCH(Table5[[#This Row],[PID]],Table3[[#All],[PID]],0)))</f>
        <v>R</v>
      </c>
      <c r="J418" s="52" t="str">
        <f>IF($C418="B",INDEX(Batters[[#All],[WE]],MATCH(Table5[[#This Row],[PID]],Batters[[#All],[PID]],0)),INDEX(Table3[[#All],[WE]],MATCH(Table5[[#This Row],[PID]],Table3[[#All],[PID]],0)))</f>
        <v>Normal</v>
      </c>
      <c r="K418" s="52" t="str">
        <f>IF($C418="B",INDEX(Batters[[#All],[INT]],MATCH(Table5[[#This Row],[PID]],Batters[[#All],[PID]],0)),INDEX(Table3[[#All],[INT]],MATCH(Table5[[#This Row],[PID]],Table3[[#All],[PID]],0)))</f>
        <v>Low</v>
      </c>
      <c r="L418" s="60">
        <f>IF($C418="B",INDEX(Batters[[#All],[CON P]],MATCH(Table5[[#This Row],[PID]],Batters[[#All],[PID]],0)),INDEX(Table3[[#All],[STU P]],MATCH(Table5[[#This Row],[PID]],Table3[[#All],[PID]],0)))</f>
        <v>3</v>
      </c>
      <c r="M418" s="56">
        <f>IF($C418="B",INDEX(Batters[[#All],[GAP P]],MATCH(Table5[[#This Row],[PID]],Batters[[#All],[PID]],0)),INDEX(Table3[[#All],[MOV P]],MATCH(Table5[[#This Row],[PID]],Table3[[#All],[PID]],0)))</f>
        <v>6</v>
      </c>
      <c r="N418" s="56">
        <f>IF($C418="B",INDEX(Batters[[#All],[POW P]],MATCH(Table5[[#This Row],[PID]],Batters[[#All],[PID]],0)),INDEX(Table3[[#All],[CON P]],MATCH(Table5[[#This Row],[PID]],Table3[[#All],[PID]],0)))</f>
        <v>4</v>
      </c>
      <c r="O418" s="56">
        <f>IF($C418="B",INDEX(Batters[[#All],[EYE P]],MATCH(Table5[[#This Row],[PID]],Batters[[#All],[PID]],0)),INDEX(Table3[[#All],[VELO]],MATCH(Table5[[#This Row],[PID]],Table3[[#All],[PID]],0)))</f>
        <v>5</v>
      </c>
      <c r="P418" s="56">
        <f>IF($C418="B",INDEX(Batters[[#All],[K P]],MATCH(Table5[[#This Row],[PID]],Batters[[#All],[PID]],0)),INDEX(Table3[[#All],[STM]],MATCH(Table5[[#This Row],[PID]],Table3[[#All],[PID]],0)))</f>
        <v>2</v>
      </c>
      <c r="Q418" s="61">
        <f>IF($C418="B",INDEX(Batters[[#All],[Tot]],MATCH(Table5[[#This Row],[PID]],Batters[[#All],[PID]],0)),INDEX(Table3[[#All],[Tot]],MATCH(Table5[[#This Row],[PID]],Table3[[#All],[PID]],0)))</f>
        <v>42.952412599488042</v>
      </c>
      <c r="R418" s="52">
        <f>IF($C418="B",INDEX(Batters[[#All],[zScore]],MATCH(Table5[[#This Row],[PID]],Batters[[#All],[PID]],0)),INDEX(Table3[[#All],[zScore]],MATCH(Table5[[#This Row],[PID]],Table3[[#All],[PID]],0)))</f>
        <v>-3.8838896688448442E-2</v>
      </c>
      <c r="S418" s="58" t="str">
        <f>IF($C418="B",INDEX(Batters[[#All],[DEM]],MATCH(Table5[[#This Row],[PID]],Batters[[#All],[PID]],0)),INDEX(Table3[[#All],[DEM]],MATCH(Table5[[#This Row],[PID]],Table3[[#All],[PID]],0)))</f>
        <v>$65k</v>
      </c>
      <c r="T418" s="62">
        <f>IF($C418="B",INDEX(Batters[[#All],[Rnk]],MATCH(Table5[[#This Row],[PID]],Batters[[#All],[PID]],0)),INDEX(Table3[[#All],[Rnk]],MATCH(Table5[[#This Row],[PID]],Table3[[#All],[PID]],0)))</f>
        <v>940</v>
      </c>
      <c r="U418" s="67">
        <f>IF($C418="B",VLOOKUP($A418,Bat!$A$4:$BA$1314,47,FALSE),VLOOKUP($A418,Pit!$A$4:$BF$1214,56,FALSE))</f>
        <v>411</v>
      </c>
      <c r="V418" s="50">
        <f>IF($C418="B",VLOOKUP($A418,Bat!$A$4:$BA$1314,48,FALSE),VLOOKUP($A418,Pit!$A$4:$BF$1214,57,FALSE))</f>
        <v>0</v>
      </c>
      <c r="W418" s="68">
        <f>IF(Table5[[#This Row],[posRnk]]=999,9999,Table5[[#This Row],[posRnk]]+Table5[[#This Row],[zRnk]]+IF($W$3&lt;&gt;Table5[[#This Row],[Type]],50,0))</f>
        <v>1385</v>
      </c>
      <c r="X418" s="51">
        <f>RANK(Table5[[#This Row],[zScore]],Table5[[#All],[zScore]])</f>
        <v>395</v>
      </c>
      <c r="Y418" s="50" t="str">
        <f>IFERROR(INDEX(DraftResults[[#All],[OVR]],MATCH(Table5[[#This Row],[PID]],DraftResults[[#All],[Player ID]],0)),"")</f>
        <v/>
      </c>
      <c r="Z418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/>
      </c>
      <c r="AA418" s="50" t="str">
        <f>IFERROR(INDEX(DraftResults[[#All],[Pick in Round]],MATCH(Table5[[#This Row],[PID]],DraftResults[[#All],[Player ID]],0)),"")</f>
        <v/>
      </c>
      <c r="AB418" s="50" t="str">
        <f>IFERROR(INDEX(DraftResults[[#All],[Team Name]],MATCH(Table5[[#This Row],[PID]],DraftResults[[#All],[Player ID]],0)),"")</f>
        <v/>
      </c>
      <c r="AC418" s="50" t="str">
        <f>IF(Table5[[#This Row],[Ovr]]="","",IF(Table5[[#This Row],[cmbList]]="","",Table5[[#This Row],[cmbList]]-Table5[[#This Row],[Ovr]]))</f>
        <v/>
      </c>
      <c r="AD418" s="54" t="str">
        <f>IF(ISERROR(VLOOKUP($AB418&amp;"-"&amp;$E418&amp;" "&amp;F418,Bonuses!$B$1:$G$1006,4,FALSE)),"",INT(VLOOKUP($AB418&amp;"-"&amp;$E418&amp;" "&amp;$F418,Bonuses!$B$1:$G$1006,4,FALSE)))</f>
        <v/>
      </c>
      <c r="AE418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/>
      </c>
    </row>
    <row r="419" spans="1:31" s="50" customFormat="1" x14ac:dyDescent="0.3">
      <c r="A419" s="50">
        <v>20766</v>
      </c>
      <c r="B419" s="50">
        <f>COUNTIF(Table5[PID],A419)</f>
        <v>1</v>
      </c>
      <c r="C419" s="50" t="str">
        <f>IF(COUNTIF(Table3[[#All],[PID]],A419)&gt;0,"P","B")</f>
        <v>B</v>
      </c>
      <c r="D419" s="59" t="str">
        <f>IF($C419="B",INDEX(Batters[[#All],[POS]],MATCH(Table5[[#This Row],[PID]],Batters[[#All],[PID]],0)),INDEX(Table3[[#All],[POS]],MATCH(Table5[[#This Row],[PID]],Table3[[#All],[PID]],0)))</f>
        <v>2B</v>
      </c>
      <c r="E419" s="52" t="str">
        <f>IF($C419="B",INDEX(Batters[[#All],[First]],MATCH(Table5[[#This Row],[PID]],Batters[[#All],[PID]],0)),INDEX(Table3[[#All],[First]],MATCH(Table5[[#This Row],[PID]],Table3[[#All],[PID]],0)))</f>
        <v>Justin</v>
      </c>
      <c r="F419" s="50" t="str">
        <f>IF($C419="B",INDEX(Batters[[#All],[Last]],MATCH(A419,Batters[[#All],[PID]],0)),INDEX(Table3[[#All],[Last]],MATCH(A419,Table3[[#All],[PID]],0)))</f>
        <v>Gaston</v>
      </c>
      <c r="G419" s="56">
        <f>IF($C419="B",INDEX(Batters[[#All],[Age]],MATCH(Table5[[#This Row],[PID]],Batters[[#All],[PID]],0)),INDEX(Table3[[#All],[Age]],MATCH(Table5[[#This Row],[PID]],Table3[[#All],[PID]],0)))</f>
        <v>17</v>
      </c>
      <c r="H419" s="52" t="str">
        <f>IF($C419="B",INDEX(Batters[[#All],[B]],MATCH(Table5[[#This Row],[PID]],Batters[[#All],[PID]],0)),INDEX(Table3[[#All],[B]],MATCH(Table5[[#This Row],[PID]],Table3[[#All],[PID]],0)))</f>
        <v>R</v>
      </c>
      <c r="I419" s="52" t="str">
        <f>IF($C419="B",INDEX(Batters[[#All],[T]],MATCH(Table5[[#This Row],[PID]],Batters[[#All],[PID]],0)),INDEX(Table3[[#All],[T]],MATCH(Table5[[#This Row],[PID]],Table3[[#All],[PID]],0)))</f>
        <v>R</v>
      </c>
      <c r="J419" s="52" t="str">
        <f>IF($C419="B",INDEX(Batters[[#All],[WE]],MATCH(Table5[[#This Row],[PID]],Batters[[#All],[PID]],0)),INDEX(Table3[[#All],[WE]],MATCH(Table5[[#This Row],[PID]],Table3[[#All],[PID]],0)))</f>
        <v>Normal</v>
      </c>
      <c r="K419" s="52" t="str">
        <f>IF($C419="B",INDEX(Batters[[#All],[INT]],MATCH(Table5[[#This Row],[PID]],Batters[[#All],[PID]],0)),INDEX(Table3[[#All],[INT]],MATCH(Table5[[#This Row],[PID]],Table3[[#All],[PID]],0)))</f>
        <v>Low</v>
      </c>
      <c r="L419" s="60">
        <f>IF($C419="B",INDEX(Batters[[#All],[CON P]],MATCH(Table5[[#This Row],[PID]],Batters[[#All],[PID]],0)),INDEX(Table3[[#All],[STU P]],MATCH(Table5[[#This Row],[PID]],Table3[[#All],[PID]],0)))</f>
        <v>3</v>
      </c>
      <c r="M419" s="56">
        <f>IF($C419="B",INDEX(Batters[[#All],[GAP P]],MATCH(Table5[[#This Row],[PID]],Batters[[#All],[PID]],0)),INDEX(Table3[[#All],[MOV P]],MATCH(Table5[[#This Row],[PID]],Table3[[#All],[PID]],0)))</f>
        <v>4</v>
      </c>
      <c r="N419" s="56">
        <f>IF($C419="B",INDEX(Batters[[#All],[POW P]],MATCH(Table5[[#This Row],[PID]],Batters[[#All],[PID]],0)),INDEX(Table3[[#All],[CON P]],MATCH(Table5[[#This Row],[PID]],Table3[[#All],[PID]],0)))</f>
        <v>3</v>
      </c>
      <c r="O419" s="56">
        <f>IF($C419="B",INDEX(Batters[[#All],[EYE P]],MATCH(Table5[[#This Row],[PID]],Batters[[#All],[PID]],0)),INDEX(Table3[[#All],[VELO]],MATCH(Table5[[#This Row],[PID]],Table3[[#All],[PID]],0)))</f>
        <v>6</v>
      </c>
      <c r="P419" s="56">
        <f>IF($C419="B",INDEX(Batters[[#All],[K P]],MATCH(Table5[[#This Row],[PID]],Batters[[#All],[PID]],0)),INDEX(Table3[[#All],[STM]],MATCH(Table5[[#This Row],[PID]],Table3[[#All],[PID]],0)))</f>
        <v>4</v>
      </c>
      <c r="Q419" s="61">
        <f>IF($C419="B",INDEX(Batters[[#All],[Tot]],MATCH(Table5[[#This Row],[PID]],Batters[[#All],[PID]],0)),INDEX(Table3[[#All],[Tot]],MATCH(Table5[[#This Row],[PID]],Table3[[#All],[PID]],0)))</f>
        <v>42.906932340153574</v>
      </c>
      <c r="R419" s="52">
        <f>IF($C419="B",INDEX(Batters[[#All],[zScore]],MATCH(Table5[[#This Row],[PID]],Batters[[#All],[PID]],0)),INDEX(Table3[[#All],[zScore]],MATCH(Table5[[#This Row],[PID]],Table3[[#All],[PID]],0)))</f>
        <v>-4.5477564169762986E-2</v>
      </c>
      <c r="S419" s="58" t="str">
        <f>IF($C419="B",INDEX(Batters[[#All],[DEM]],MATCH(Table5[[#This Row],[PID]],Batters[[#All],[PID]],0)),INDEX(Table3[[#All],[DEM]],MATCH(Table5[[#This Row],[PID]],Table3[[#All],[PID]],0)))</f>
        <v>$95k</v>
      </c>
      <c r="T419" s="62">
        <f>IF($C419="B",INDEX(Batters[[#All],[Rnk]],MATCH(Table5[[#This Row],[PID]],Batters[[#All],[PID]],0)),INDEX(Table3[[#All],[Rnk]],MATCH(Table5[[#This Row],[PID]],Table3[[#All],[PID]],0)))</f>
        <v>940</v>
      </c>
      <c r="U419" s="67">
        <f>IF($C419="B",VLOOKUP($A419,Bat!$A$4:$BA$1314,47,FALSE),VLOOKUP($A419,Pit!$A$4:$BF$1214,56,FALSE))</f>
        <v>412</v>
      </c>
      <c r="V419" s="50">
        <f>IF($C419="B",VLOOKUP($A419,Bat!$A$4:$BA$1314,48,FALSE),VLOOKUP($A419,Pit!$A$4:$BF$1214,57,FALSE))</f>
        <v>0</v>
      </c>
      <c r="W419" s="68">
        <f>IF(Table5[[#This Row],[posRnk]]=999,9999,Table5[[#This Row],[posRnk]]+Table5[[#This Row],[zRnk]]+IF($W$3&lt;&gt;Table5[[#This Row],[Type]],50,0))</f>
        <v>1386</v>
      </c>
      <c r="X419" s="51">
        <f>RANK(Table5[[#This Row],[zScore]],Table5[[#All],[zScore]])</f>
        <v>396</v>
      </c>
      <c r="Y419" s="50">
        <f>IFERROR(INDEX(DraftResults[[#All],[OVR]],MATCH(Table5[[#This Row],[PID]],DraftResults[[#All],[Player ID]],0)),"")</f>
        <v>484</v>
      </c>
      <c r="Z419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15</v>
      </c>
      <c r="AA419" s="50">
        <f>IFERROR(INDEX(DraftResults[[#All],[Pick in Round]],MATCH(Table5[[#This Row],[PID]],DraftResults[[#All],[Player ID]],0)),"")</f>
        <v>17</v>
      </c>
      <c r="AB419" s="50" t="str">
        <f>IFERROR(INDEX(DraftResults[[#All],[Team Name]],MATCH(Table5[[#This Row],[PID]],DraftResults[[#All],[Player ID]],0)),"")</f>
        <v>Duluth Warriors</v>
      </c>
      <c r="AC419" s="50">
        <f>IF(Table5[[#This Row],[Ovr]]="","",IF(Table5[[#This Row],[cmbList]]="","",Table5[[#This Row],[cmbList]]-Table5[[#This Row],[Ovr]]))</f>
        <v>902</v>
      </c>
      <c r="AD419" s="54" t="str">
        <f>IF(ISERROR(VLOOKUP($AB419&amp;"-"&amp;$E419&amp;" "&amp;F419,Bonuses!$B$1:$G$1006,4,FALSE)),"",INT(VLOOKUP($AB419&amp;"-"&amp;$E419&amp;" "&amp;$F419,Bonuses!$B$1:$G$1006,4,FALSE)))</f>
        <v/>
      </c>
      <c r="AE419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15.17 (484) - 2B Justin Gaston</v>
      </c>
    </row>
    <row r="420" spans="1:31" s="50" customFormat="1" x14ac:dyDescent="0.3">
      <c r="A420" s="50">
        <v>13286</v>
      </c>
      <c r="B420" s="50">
        <f>COUNTIF(Table5[PID],A420)</f>
        <v>1</v>
      </c>
      <c r="C420" s="50" t="str">
        <f>IF(COUNTIF(Table3[[#All],[PID]],A420)&gt;0,"P","B")</f>
        <v>P</v>
      </c>
      <c r="D420" s="59" t="str">
        <f>IF($C420="B",INDEX(Batters[[#All],[POS]],MATCH(Table5[[#This Row],[PID]],Batters[[#All],[PID]],0)),INDEX(Table3[[#All],[POS]],MATCH(Table5[[#This Row],[PID]],Table3[[#All],[PID]],0)))</f>
        <v>SP</v>
      </c>
      <c r="E420" s="52" t="str">
        <f>IF($C420="B",INDEX(Batters[[#All],[First]],MATCH(Table5[[#This Row],[PID]],Batters[[#All],[PID]],0)),INDEX(Table3[[#All],[First]],MATCH(Table5[[#This Row],[PID]],Table3[[#All],[PID]],0)))</f>
        <v>Shigekazu</v>
      </c>
      <c r="F420" s="50" t="str">
        <f>IF($C420="B",INDEX(Batters[[#All],[Last]],MATCH(A420,Batters[[#All],[PID]],0)),INDEX(Table3[[#All],[Last]],MATCH(A420,Table3[[#All],[PID]],0)))</f>
        <v>Goto</v>
      </c>
      <c r="G420" s="56">
        <f>IF($C420="B",INDEX(Batters[[#All],[Age]],MATCH(Table5[[#This Row],[PID]],Batters[[#All],[PID]],0)),INDEX(Table3[[#All],[Age]],MATCH(Table5[[#This Row],[PID]],Table3[[#All],[PID]],0)))</f>
        <v>17</v>
      </c>
      <c r="H420" s="52" t="str">
        <f>IF($C420="B",INDEX(Batters[[#All],[B]],MATCH(Table5[[#This Row],[PID]],Batters[[#All],[PID]],0)),INDEX(Table3[[#All],[B]],MATCH(Table5[[#This Row],[PID]],Table3[[#All],[PID]],0)))</f>
        <v>R</v>
      </c>
      <c r="I420" s="52" t="str">
        <f>IF($C420="B",INDEX(Batters[[#All],[T]],MATCH(Table5[[#This Row],[PID]],Batters[[#All],[PID]],0)),INDEX(Table3[[#All],[T]],MATCH(Table5[[#This Row],[PID]],Table3[[#All],[PID]],0)))</f>
        <v>R</v>
      </c>
      <c r="J420" s="52" t="str">
        <f>IF($C420="B",INDEX(Batters[[#All],[WE]],MATCH(Table5[[#This Row],[PID]],Batters[[#All],[PID]],0)),INDEX(Table3[[#All],[WE]],MATCH(Table5[[#This Row],[PID]],Table3[[#All],[PID]],0)))</f>
        <v>Normal</v>
      </c>
      <c r="K420" s="52" t="str">
        <f>IF($C420="B",INDEX(Batters[[#All],[INT]],MATCH(Table5[[#This Row],[PID]],Batters[[#All],[PID]],0)),INDEX(Table3[[#All],[INT]],MATCH(Table5[[#This Row],[PID]],Table3[[#All],[PID]],0)))</f>
        <v>Low</v>
      </c>
      <c r="L420" s="60">
        <f>IF($C420="B",INDEX(Batters[[#All],[CON P]],MATCH(Table5[[#This Row],[PID]],Batters[[#All],[PID]],0)),INDEX(Table3[[#All],[STU P]],MATCH(Table5[[#This Row],[PID]],Table3[[#All],[PID]],0)))</f>
        <v>5</v>
      </c>
      <c r="M420" s="56">
        <f>IF($C420="B",INDEX(Batters[[#All],[GAP P]],MATCH(Table5[[#This Row],[PID]],Batters[[#All],[PID]],0)),INDEX(Table3[[#All],[MOV P]],MATCH(Table5[[#This Row],[PID]],Table3[[#All],[PID]],0)))</f>
        <v>1</v>
      </c>
      <c r="N420" s="56">
        <f>IF($C420="B",INDEX(Batters[[#All],[POW P]],MATCH(Table5[[#This Row],[PID]],Batters[[#All],[PID]],0)),INDEX(Table3[[#All],[CON P]],MATCH(Table5[[#This Row],[PID]],Table3[[#All],[PID]],0)))</f>
        <v>3</v>
      </c>
      <c r="O420" s="56" t="str">
        <f>IF($C420="B",INDEX(Batters[[#All],[EYE P]],MATCH(Table5[[#This Row],[PID]],Batters[[#All],[PID]],0)),INDEX(Table3[[#All],[VELO]],MATCH(Table5[[#This Row],[PID]],Table3[[#All],[PID]],0)))</f>
        <v>89-91 Mph</v>
      </c>
      <c r="P420" s="56">
        <f>IF($C420="B",INDEX(Batters[[#All],[K P]],MATCH(Table5[[#This Row],[PID]],Batters[[#All],[PID]],0)),INDEX(Table3[[#All],[STM]],MATCH(Table5[[#This Row],[PID]],Table3[[#All],[PID]],0)))</f>
        <v>9</v>
      </c>
      <c r="Q420" s="61">
        <f>IF($C420="B",INDEX(Batters[[#All],[Tot]],MATCH(Table5[[#This Row],[PID]],Batters[[#All],[PID]],0)),INDEX(Table3[[#All],[Tot]],MATCH(Table5[[#This Row],[PID]],Table3[[#All],[PID]],0)))</f>
        <v>37.096980275596081</v>
      </c>
      <c r="R420" s="52">
        <f>IF($C420="B",INDEX(Batters[[#All],[zScore]],MATCH(Table5[[#This Row],[PID]],Batters[[#All],[PID]],0)),INDEX(Table3[[#All],[zScore]],MATCH(Table5[[#This Row],[PID]],Table3[[#All],[PID]],0)))</f>
        <v>-5.0243847217173357E-2</v>
      </c>
      <c r="S420" s="58" t="str">
        <f>IF($C420="B",INDEX(Batters[[#All],[DEM]],MATCH(Table5[[#This Row],[PID]],Batters[[#All],[PID]],0)),INDEX(Table3[[#All],[DEM]],MATCH(Table5[[#This Row],[PID]],Table3[[#All],[PID]],0)))</f>
        <v>$65k</v>
      </c>
      <c r="T420" s="62">
        <f>IF($C420="B",INDEX(Batters[[#All],[Rnk]],MATCH(Table5[[#This Row],[PID]],Batters[[#All],[PID]],0)),INDEX(Table3[[#All],[Rnk]],MATCH(Table5[[#This Row],[PID]],Table3[[#All],[PID]],0)))</f>
        <v>940</v>
      </c>
      <c r="U420" s="67">
        <f>IF($C420="B",VLOOKUP($A420,Bat!$A$4:$BA$1314,47,FALSE),VLOOKUP($A420,Pit!$A$4:$BF$1214,56,FALSE))</f>
        <v>390</v>
      </c>
      <c r="V420" s="50">
        <f>IF($C420="B",VLOOKUP($A420,Bat!$A$4:$BA$1314,48,FALSE),VLOOKUP($A420,Pit!$A$4:$BF$1214,57,FALSE))</f>
        <v>0</v>
      </c>
      <c r="W420" s="68">
        <f>IF(Table5[[#This Row],[posRnk]]=999,9999,Table5[[#This Row],[posRnk]]+Table5[[#This Row],[zRnk]]+IF($W$3&lt;&gt;Table5[[#This Row],[Type]],50,0))</f>
        <v>1338</v>
      </c>
      <c r="X420" s="51">
        <f>RANK(Table5[[#This Row],[zScore]],Table5[[#All],[zScore]])</f>
        <v>398</v>
      </c>
      <c r="Y420" s="50">
        <f>IFERROR(INDEX(DraftResults[[#All],[OVR]],MATCH(Table5[[#This Row],[PID]],DraftResults[[#All],[Player ID]],0)),"")</f>
        <v>265</v>
      </c>
      <c r="Z420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8</v>
      </c>
      <c r="AA420" s="50">
        <f>IFERROR(INDEX(DraftResults[[#All],[Pick in Round]],MATCH(Table5[[#This Row],[PID]],DraftResults[[#All],[Player ID]],0)),"")</f>
        <v>32</v>
      </c>
      <c r="AB420" s="50" t="str">
        <f>IFERROR(INDEX(DraftResults[[#All],[Team Name]],MATCH(Table5[[#This Row],[PID]],DraftResults[[#All],[Player ID]],0)),"")</f>
        <v>Kalamazoo Badgers</v>
      </c>
      <c r="AC420" s="50">
        <f>IF(Table5[[#This Row],[Ovr]]="","",IF(Table5[[#This Row],[cmbList]]="","",Table5[[#This Row],[cmbList]]-Table5[[#This Row],[Ovr]]))</f>
        <v>1073</v>
      </c>
      <c r="AD420" s="54" t="str">
        <f>IF(ISERROR(VLOOKUP($AB420&amp;"-"&amp;$E420&amp;" "&amp;F420,Bonuses!$B$1:$G$1006,4,FALSE)),"",INT(VLOOKUP($AB420&amp;"-"&amp;$E420&amp;" "&amp;$F420,Bonuses!$B$1:$G$1006,4,FALSE)))</f>
        <v/>
      </c>
      <c r="AE420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8.32 (265) - SP Shigekazu Goto</v>
      </c>
    </row>
    <row r="421" spans="1:31" s="50" customFormat="1" x14ac:dyDescent="0.3">
      <c r="A421" s="50">
        <v>11045</v>
      </c>
      <c r="B421" s="50">
        <f>COUNTIF(Table5[PID],A421)</f>
        <v>1</v>
      </c>
      <c r="C421" s="50" t="str">
        <f>IF(COUNTIF(Table3[[#All],[PID]],A421)&gt;0,"P","B")</f>
        <v>P</v>
      </c>
      <c r="D421" s="59" t="str">
        <f>IF($C421="B",INDEX(Batters[[#All],[POS]],MATCH(Table5[[#This Row],[PID]],Batters[[#All],[PID]],0)),INDEX(Table3[[#All],[POS]],MATCH(Table5[[#This Row],[PID]],Table3[[#All],[PID]],0)))</f>
        <v>SP</v>
      </c>
      <c r="E421" s="52" t="str">
        <f>IF($C421="B",INDEX(Batters[[#All],[First]],MATCH(Table5[[#This Row],[PID]],Batters[[#All],[PID]],0)),INDEX(Table3[[#All],[First]],MATCH(Table5[[#This Row],[PID]],Table3[[#All],[PID]],0)))</f>
        <v>Oda</v>
      </c>
      <c r="F421" s="50" t="str">
        <f>IF($C421="B",INDEX(Batters[[#All],[Last]],MATCH(A421,Batters[[#All],[PID]],0)),INDEX(Table3[[#All],[Last]],MATCH(A421,Table3[[#All],[PID]],0)))</f>
        <v>Takeuchi</v>
      </c>
      <c r="G421" s="56">
        <f>IF($C421="B",INDEX(Batters[[#All],[Age]],MATCH(Table5[[#This Row],[PID]],Batters[[#All],[PID]],0)),INDEX(Table3[[#All],[Age]],MATCH(Table5[[#This Row],[PID]],Table3[[#All],[PID]],0)))</f>
        <v>21</v>
      </c>
      <c r="H421" s="52" t="str">
        <f>IF($C421="B",INDEX(Batters[[#All],[B]],MATCH(Table5[[#This Row],[PID]],Batters[[#All],[PID]],0)),INDEX(Table3[[#All],[B]],MATCH(Table5[[#This Row],[PID]],Table3[[#All],[PID]],0)))</f>
        <v>R</v>
      </c>
      <c r="I421" s="52" t="str">
        <f>IF($C421="B",INDEX(Batters[[#All],[T]],MATCH(Table5[[#This Row],[PID]],Batters[[#All],[PID]],0)),INDEX(Table3[[#All],[T]],MATCH(Table5[[#This Row],[PID]],Table3[[#All],[PID]],0)))</f>
        <v>R</v>
      </c>
      <c r="J421" s="52" t="str">
        <f>IF($C421="B",INDEX(Batters[[#All],[WE]],MATCH(Table5[[#This Row],[PID]],Batters[[#All],[PID]],0)),INDEX(Table3[[#All],[WE]],MATCH(Table5[[#This Row],[PID]],Table3[[#All],[PID]],0)))</f>
        <v>Normal</v>
      </c>
      <c r="K421" s="52" t="str">
        <f>IF($C421="B",INDEX(Batters[[#All],[INT]],MATCH(Table5[[#This Row],[PID]],Batters[[#All],[PID]],0)),INDEX(Table3[[#All],[INT]],MATCH(Table5[[#This Row],[PID]],Table3[[#All],[PID]],0)))</f>
        <v>High</v>
      </c>
      <c r="L421" s="60">
        <f>IF($C421="B",INDEX(Batters[[#All],[CON P]],MATCH(Table5[[#This Row],[PID]],Batters[[#All],[PID]],0)),INDEX(Table3[[#All],[STU P]],MATCH(Table5[[#This Row],[PID]],Table3[[#All],[PID]],0)))</f>
        <v>4</v>
      </c>
      <c r="M421" s="56">
        <f>IF($C421="B",INDEX(Batters[[#All],[GAP P]],MATCH(Table5[[#This Row],[PID]],Batters[[#All],[PID]],0)),INDEX(Table3[[#All],[MOV P]],MATCH(Table5[[#This Row],[PID]],Table3[[#All],[PID]],0)))</f>
        <v>2</v>
      </c>
      <c r="N421" s="56">
        <f>IF($C421="B",INDEX(Batters[[#All],[POW P]],MATCH(Table5[[#This Row],[PID]],Batters[[#All],[PID]],0)),INDEX(Table3[[#All],[CON P]],MATCH(Table5[[#This Row],[PID]],Table3[[#All],[PID]],0)))</f>
        <v>4</v>
      </c>
      <c r="O421" s="56" t="str">
        <f>IF($C421="B",INDEX(Batters[[#All],[EYE P]],MATCH(Table5[[#This Row],[PID]],Batters[[#All],[PID]],0)),INDEX(Table3[[#All],[VELO]],MATCH(Table5[[#This Row],[PID]],Table3[[#All],[PID]],0)))</f>
        <v>88-90 Mph</v>
      </c>
      <c r="P421" s="56">
        <f>IF($C421="B",INDEX(Batters[[#All],[K P]],MATCH(Table5[[#This Row],[PID]],Batters[[#All],[PID]],0)),INDEX(Table3[[#All],[STM]],MATCH(Table5[[#This Row],[PID]],Table3[[#All],[PID]],0)))</f>
        <v>6</v>
      </c>
      <c r="Q421" s="61">
        <f>IF($C421="B",INDEX(Batters[[#All],[Tot]],MATCH(Table5[[#This Row],[PID]],Batters[[#All],[PID]],0)),INDEX(Table3[[#All],[Tot]],MATCH(Table5[[#This Row],[PID]],Table3[[#All],[PID]],0)))</f>
        <v>35.253108654683501</v>
      </c>
      <c r="R421" s="52">
        <f>IF($C421="B",INDEX(Batters[[#All],[zScore]],MATCH(Table5[[#This Row],[PID]],Batters[[#All],[PID]],0)),INDEX(Table3[[#All],[zScore]],MATCH(Table5[[#This Row],[PID]],Table3[[#All],[PID]],0)))</f>
        <v>-0.18154047434104209</v>
      </c>
      <c r="S421" s="58" t="str">
        <f>IF($C421="B",INDEX(Batters[[#All],[DEM]],MATCH(Table5[[#This Row],[PID]],Batters[[#All],[PID]],0)),INDEX(Table3[[#All],[DEM]],MATCH(Table5[[#This Row],[PID]],Table3[[#All],[PID]],0)))</f>
        <v>$20k</v>
      </c>
      <c r="T421" s="62">
        <f>IF($C421="B",INDEX(Batters[[#All],[Rnk]],MATCH(Table5[[#This Row],[PID]],Batters[[#All],[PID]],0)),INDEX(Table3[[#All],[Rnk]],MATCH(Table5[[#This Row],[PID]],Table3[[#All],[PID]],0)))</f>
        <v>900</v>
      </c>
      <c r="U421" s="67">
        <f>IF($C421="B",VLOOKUP($A421,Bat!$A$4:$BA$1314,47,FALSE),VLOOKUP($A421,Pit!$A$4:$BF$1214,56,FALSE))</f>
        <v>145</v>
      </c>
      <c r="V421" s="50">
        <f>IF($C421="B",VLOOKUP($A421,Bat!$A$4:$BA$1314,48,FALSE),VLOOKUP($A421,Pit!$A$4:$BF$1214,57,FALSE))</f>
        <v>0</v>
      </c>
      <c r="W421" s="68">
        <f>IF(Table5[[#This Row],[posRnk]]=999,9999,Table5[[#This Row],[posRnk]]+Table5[[#This Row],[zRnk]]+IF($W$3&lt;&gt;Table5[[#This Row],[Type]],50,0))</f>
        <v>1339</v>
      </c>
      <c r="X421" s="51">
        <f>RANK(Table5[[#This Row],[zScore]],Table5[[#All],[zScore]])</f>
        <v>439</v>
      </c>
      <c r="Y421" s="50">
        <f>IFERROR(INDEX(DraftResults[[#All],[OVR]],MATCH(Table5[[#This Row],[PID]],DraftResults[[#All],[Player ID]],0)),"")</f>
        <v>448</v>
      </c>
      <c r="Z421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14</v>
      </c>
      <c r="AA421" s="50">
        <f>IFERROR(INDEX(DraftResults[[#All],[Pick in Round]],MATCH(Table5[[#This Row],[PID]],DraftResults[[#All],[Player ID]],0)),"")</f>
        <v>15</v>
      </c>
      <c r="AB421" s="50" t="str">
        <f>IFERROR(INDEX(DraftResults[[#All],[Team Name]],MATCH(Table5[[#This Row],[PID]],DraftResults[[#All],[Player ID]],0)),"")</f>
        <v>Niihama-shi Ghosts</v>
      </c>
      <c r="AC421" s="50">
        <f>IF(Table5[[#This Row],[Ovr]]="","",IF(Table5[[#This Row],[cmbList]]="","",Table5[[#This Row],[cmbList]]-Table5[[#This Row],[Ovr]]))</f>
        <v>891</v>
      </c>
      <c r="AD421" s="54" t="str">
        <f>IF(ISERROR(VLOOKUP($AB421&amp;"-"&amp;$E421&amp;" "&amp;F421,Bonuses!$B$1:$G$1006,4,FALSE)),"",INT(VLOOKUP($AB421&amp;"-"&amp;$E421&amp;" "&amp;$F421,Bonuses!$B$1:$G$1006,4,FALSE)))</f>
        <v/>
      </c>
      <c r="AE421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14.15 (448) - SP Oda Takeuchi</v>
      </c>
    </row>
    <row r="422" spans="1:31" s="50" customFormat="1" x14ac:dyDescent="0.3">
      <c r="A422" s="50">
        <v>12781</v>
      </c>
      <c r="B422" s="50">
        <f>COUNTIF(Table5[PID],A422)</f>
        <v>1</v>
      </c>
      <c r="C422" s="50" t="str">
        <f>IF(COUNTIF(Table3[[#All],[PID]],A422)&gt;0,"P","B")</f>
        <v>B</v>
      </c>
      <c r="D422" s="59" t="str">
        <f>IF($C422="B",INDEX(Batters[[#All],[POS]],MATCH(Table5[[#This Row],[PID]],Batters[[#All],[PID]],0)),INDEX(Table3[[#All],[POS]],MATCH(Table5[[#This Row],[PID]],Table3[[#All],[PID]],0)))</f>
        <v>CF</v>
      </c>
      <c r="E422" s="52" t="str">
        <f>IF($C422="B",INDEX(Batters[[#All],[First]],MATCH(Table5[[#This Row],[PID]],Batters[[#All],[PID]],0)),INDEX(Table3[[#All],[First]],MATCH(Table5[[#This Row],[PID]],Table3[[#All],[PID]],0)))</f>
        <v>Calogero</v>
      </c>
      <c r="F422" s="50" t="str">
        <f>IF($C422="B",INDEX(Batters[[#All],[Last]],MATCH(A422,Batters[[#All],[PID]],0)),INDEX(Table3[[#All],[Last]],MATCH(A422,Table3[[#All],[PID]],0)))</f>
        <v>Bettini</v>
      </c>
      <c r="G422" s="56">
        <f>IF($C422="B",INDEX(Batters[[#All],[Age]],MATCH(Table5[[#This Row],[PID]],Batters[[#All],[PID]],0)),INDEX(Table3[[#All],[Age]],MATCH(Table5[[#This Row],[PID]],Table3[[#All],[PID]],0)))</f>
        <v>17</v>
      </c>
      <c r="H422" s="52" t="str">
        <f>IF($C422="B",INDEX(Batters[[#All],[B]],MATCH(Table5[[#This Row],[PID]],Batters[[#All],[PID]],0)),INDEX(Table3[[#All],[B]],MATCH(Table5[[#This Row],[PID]],Table3[[#All],[PID]],0)))</f>
        <v>S</v>
      </c>
      <c r="I422" s="52" t="str">
        <f>IF($C422="B",INDEX(Batters[[#All],[T]],MATCH(Table5[[#This Row],[PID]],Batters[[#All],[PID]],0)),INDEX(Table3[[#All],[T]],MATCH(Table5[[#This Row],[PID]],Table3[[#All],[PID]],0)))</f>
        <v>R</v>
      </c>
      <c r="J422" s="52" t="str">
        <f>IF($C422="B",INDEX(Batters[[#All],[WE]],MATCH(Table5[[#This Row],[PID]],Batters[[#All],[PID]],0)),INDEX(Table3[[#All],[WE]],MATCH(Table5[[#This Row],[PID]],Table3[[#All],[PID]],0)))</f>
        <v>Normal</v>
      </c>
      <c r="K422" s="52" t="str">
        <f>IF($C422="B",INDEX(Batters[[#All],[INT]],MATCH(Table5[[#This Row],[PID]],Batters[[#All],[PID]],0)),INDEX(Table3[[#All],[INT]],MATCH(Table5[[#This Row],[PID]],Table3[[#All],[PID]],0)))</f>
        <v>High</v>
      </c>
      <c r="L422" s="60">
        <f>IF($C422="B",INDEX(Batters[[#All],[CON P]],MATCH(Table5[[#This Row],[PID]],Batters[[#All],[PID]],0)),INDEX(Table3[[#All],[STU P]],MATCH(Table5[[#This Row],[PID]],Table3[[#All],[PID]],0)))</f>
        <v>3</v>
      </c>
      <c r="M422" s="56">
        <f>IF($C422="B",INDEX(Batters[[#All],[GAP P]],MATCH(Table5[[#This Row],[PID]],Batters[[#All],[PID]],0)),INDEX(Table3[[#All],[MOV P]],MATCH(Table5[[#This Row],[PID]],Table3[[#All],[PID]],0)))</f>
        <v>4</v>
      </c>
      <c r="N422" s="56">
        <f>IF($C422="B",INDEX(Batters[[#All],[POW P]],MATCH(Table5[[#This Row],[PID]],Batters[[#All],[PID]],0)),INDEX(Table3[[#All],[CON P]],MATCH(Table5[[#This Row],[PID]],Table3[[#All],[PID]],0)))</f>
        <v>3</v>
      </c>
      <c r="O422" s="56">
        <f>IF($C422="B",INDEX(Batters[[#All],[EYE P]],MATCH(Table5[[#This Row],[PID]],Batters[[#All],[PID]],0)),INDEX(Table3[[#All],[VELO]],MATCH(Table5[[#This Row],[PID]],Table3[[#All],[PID]],0)))</f>
        <v>5</v>
      </c>
      <c r="P422" s="56">
        <f>IF($C422="B",INDEX(Batters[[#All],[K P]],MATCH(Table5[[#This Row],[PID]],Batters[[#All],[PID]],0)),INDEX(Table3[[#All],[STM]],MATCH(Table5[[#This Row],[PID]],Table3[[#All],[PID]],0)))</f>
        <v>3</v>
      </c>
      <c r="Q422" s="61">
        <f>IF($C422="B",INDEX(Batters[[#All],[Tot]],MATCH(Table5[[#This Row],[PID]],Batters[[#All],[PID]],0)),INDEX(Table3[[#All],[Tot]],MATCH(Table5[[#This Row],[PID]],Table3[[#All],[PID]],0)))</f>
        <v>41.955327650195471</v>
      </c>
      <c r="R422" s="52">
        <f>IF($C422="B",INDEX(Batters[[#All],[zScore]],MATCH(Table5[[#This Row],[PID]],Batters[[#All],[PID]],0)),INDEX(Table3[[#All],[zScore]],MATCH(Table5[[#This Row],[PID]],Table3[[#All],[PID]],0)))</f>
        <v>-0.18438150189431138</v>
      </c>
      <c r="S422" s="58" t="str">
        <f>IF($C422="B",INDEX(Batters[[#All],[DEM]],MATCH(Table5[[#This Row],[PID]],Batters[[#All],[PID]],0)),INDEX(Table3[[#All],[DEM]],MATCH(Table5[[#This Row],[PID]],Table3[[#All],[PID]],0)))</f>
        <v>$65k</v>
      </c>
      <c r="T422" s="62">
        <f>IF($C422="B",INDEX(Batters[[#All],[Rnk]],MATCH(Table5[[#This Row],[PID]],Batters[[#All],[PID]],0)),INDEX(Table3[[#All],[Rnk]],MATCH(Table5[[#This Row],[PID]],Table3[[#All],[PID]],0)))</f>
        <v>900</v>
      </c>
      <c r="U422" s="67">
        <f>IF($C422="B",VLOOKUP($A422,Bat!$A$4:$BA$1314,47,FALSE),VLOOKUP($A422,Pit!$A$4:$BF$1214,56,FALSE))</f>
        <v>179</v>
      </c>
      <c r="V422" s="50">
        <f>IF($C422="B",VLOOKUP($A422,Bat!$A$4:$BA$1314,48,FALSE),VLOOKUP($A422,Pit!$A$4:$BF$1214,57,FALSE))</f>
        <v>0</v>
      </c>
      <c r="W422" s="68">
        <f>IF(Table5[[#This Row],[posRnk]]=999,9999,Table5[[#This Row],[posRnk]]+Table5[[#This Row],[zRnk]]+IF($W$3&lt;&gt;Table5[[#This Row],[Type]],50,0))</f>
        <v>1390</v>
      </c>
      <c r="X422" s="51">
        <f>RANK(Table5[[#This Row],[zScore]],Table5[[#All],[zScore]])</f>
        <v>440</v>
      </c>
      <c r="Y422" s="50">
        <f>IFERROR(INDEX(DraftResults[[#All],[OVR]],MATCH(Table5[[#This Row],[PID]],DraftResults[[#All],[Player ID]],0)),"")</f>
        <v>476</v>
      </c>
      <c r="Z422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15</v>
      </c>
      <c r="AA422" s="50">
        <f>IFERROR(INDEX(DraftResults[[#All],[Pick in Round]],MATCH(Table5[[#This Row],[PID]],DraftResults[[#All],[Player ID]],0)),"")</f>
        <v>9</v>
      </c>
      <c r="AB422" s="50" t="str">
        <f>IFERROR(INDEX(DraftResults[[#All],[Team Name]],MATCH(Table5[[#This Row],[PID]],DraftResults[[#All],[Player ID]],0)),"")</f>
        <v>Gloucester Fishermen</v>
      </c>
      <c r="AC422" s="50">
        <f>IF(Table5[[#This Row],[Ovr]]="","",IF(Table5[[#This Row],[cmbList]]="","",Table5[[#This Row],[cmbList]]-Table5[[#This Row],[Ovr]]))</f>
        <v>914</v>
      </c>
      <c r="AD422" s="54" t="str">
        <f>IF(ISERROR(VLOOKUP($AB422&amp;"-"&amp;$E422&amp;" "&amp;F422,Bonuses!$B$1:$G$1006,4,FALSE)),"",INT(VLOOKUP($AB422&amp;"-"&amp;$E422&amp;" "&amp;$F422,Bonuses!$B$1:$G$1006,4,FALSE)))</f>
        <v/>
      </c>
      <c r="AE422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15.9 (476) - CF Calogero Bettini</v>
      </c>
    </row>
    <row r="423" spans="1:31" s="50" customFormat="1" x14ac:dyDescent="0.3">
      <c r="A423" s="67">
        <v>12029</v>
      </c>
      <c r="B423" s="68">
        <f>COUNTIF(Table5[PID],A423)</f>
        <v>1</v>
      </c>
      <c r="C423" s="68" t="str">
        <f>IF(COUNTIF(Table3[[#All],[PID]],A423)&gt;0,"P","B")</f>
        <v>P</v>
      </c>
      <c r="D423" s="59" t="str">
        <f>IF($C423="B",INDEX(Batters[[#All],[POS]],MATCH(Table5[[#This Row],[PID]],Batters[[#All],[PID]],0)),INDEX(Table3[[#All],[POS]],MATCH(Table5[[#This Row],[PID]],Table3[[#All],[PID]],0)))</f>
        <v>SP</v>
      </c>
      <c r="E423" s="52" t="str">
        <f>IF($C423="B",INDEX(Batters[[#All],[First]],MATCH(Table5[[#This Row],[PID]],Batters[[#All],[PID]],0)),INDEX(Table3[[#All],[First]],MATCH(Table5[[#This Row],[PID]],Table3[[#All],[PID]],0)))</f>
        <v>Jorge</v>
      </c>
      <c r="F423" s="55" t="str">
        <f>IF($C423="B",INDEX(Batters[[#All],[Last]],MATCH(A423,Batters[[#All],[PID]],0)),INDEX(Table3[[#All],[Last]],MATCH(A423,Table3[[#All],[PID]],0)))</f>
        <v>García</v>
      </c>
      <c r="G423" s="56">
        <f>IF($C423="B",INDEX(Batters[[#All],[Age]],MATCH(Table5[[#This Row],[PID]],Batters[[#All],[PID]],0)),INDEX(Table3[[#All],[Age]],MATCH(Table5[[#This Row],[PID]],Table3[[#All],[PID]],0)))</f>
        <v>17</v>
      </c>
      <c r="H423" s="52" t="str">
        <f>IF($C423="B",INDEX(Batters[[#All],[B]],MATCH(Table5[[#This Row],[PID]],Batters[[#All],[PID]],0)),INDEX(Table3[[#All],[B]],MATCH(Table5[[#This Row],[PID]],Table3[[#All],[PID]],0)))</f>
        <v>R</v>
      </c>
      <c r="I423" s="52" t="str">
        <f>IF($C423="B",INDEX(Batters[[#All],[T]],MATCH(Table5[[#This Row],[PID]],Batters[[#All],[PID]],0)),INDEX(Table3[[#All],[T]],MATCH(Table5[[#This Row],[PID]],Table3[[#All],[PID]],0)))</f>
        <v>R</v>
      </c>
      <c r="J423" s="69" t="str">
        <f>IF($C423="B",INDEX(Batters[[#All],[WE]],MATCH(Table5[[#This Row],[PID]],Batters[[#All],[PID]],0)),INDEX(Table3[[#All],[WE]],MATCH(Table5[[#This Row],[PID]],Table3[[#All],[PID]],0)))</f>
        <v>Low</v>
      </c>
      <c r="K423" s="52" t="str">
        <f>IF($C423="B",INDEX(Batters[[#All],[INT]],MATCH(Table5[[#This Row],[PID]],Batters[[#All],[PID]],0)),INDEX(Table3[[#All],[INT]],MATCH(Table5[[#This Row],[PID]],Table3[[#All],[PID]],0)))</f>
        <v>Normal</v>
      </c>
      <c r="L423" s="60">
        <f>IF($C423="B",INDEX(Batters[[#All],[CON P]],MATCH(Table5[[#This Row],[PID]],Batters[[#All],[PID]],0)),INDEX(Table3[[#All],[STU P]],MATCH(Table5[[#This Row],[PID]],Table3[[#All],[PID]],0)))</f>
        <v>4</v>
      </c>
      <c r="M423" s="70">
        <f>IF($C423="B",INDEX(Batters[[#All],[GAP P]],MATCH(Table5[[#This Row],[PID]],Batters[[#All],[PID]],0)),INDEX(Table3[[#All],[MOV P]],MATCH(Table5[[#This Row],[PID]],Table3[[#All],[PID]],0)))</f>
        <v>1</v>
      </c>
      <c r="N423" s="70">
        <f>IF($C423="B",INDEX(Batters[[#All],[POW P]],MATCH(Table5[[#This Row],[PID]],Batters[[#All],[PID]],0)),INDEX(Table3[[#All],[CON P]],MATCH(Table5[[#This Row],[PID]],Table3[[#All],[PID]],0)))</f>
        <v>4</v>
      </c>
      <c r="O423" s="70" t="str">
        <f>IF($C423="B",INDEX(Batters[[#All],[EYE P]],MATCH(Table5[[#This Row],[PID]],Batters[[#All],[PID]],0)),INDEX(Table3[[#All],[VELO]],MATCH(Table5[[#This Row],[PID]],Table3[[#All],[PID]],0)))</f>
        <v>89-91 Mph</v>
      </c>
      <c r="P423" s="56">
        <f>IF($C423="B",INDEX(Batters[[#All],[K P]],MATCH(Table5[[#This Row],[PID]],Batters[[#All],[PID]],0)),INDEX(Table3[[#All],[STM]],MATCH(Table5[[#This Row],[PID]],Table3[[#All],[PID]],0)))</f>
        <v>6</v>
      </c>
      <c r="Q423" s="61">
        <f>IF($C423="B",INDEX(Batters[[#All],[Tot]],MATCH(Table5[[#This Row],[PID]],Batters[[#All],[PID]],0)),INDEX(Table3[[#All],[Tot]],MATCH(Table5[[#This Row],[PID]],Table3[[#All],[PID]],0)))</f>
        <v>36.684575978832449</v>
      </c>
      <c r="R423" s="52">
        <f>IF($C423="B",INDEX(Batters[[#All],[zScore]],MATCH(Table5[[#This Row],[PID]],Batters[[#All],[PID]],0)),INDEX(Table3[[#All],[zScore]],MATCH(Table5[[#This Row],[PID]],Table3[[#All],[PID]],0)))</f>
        <v>-7.960993353377771E-2</v>
      </c>
      <c r="S423" s="75" t="str">
        <f>IF($C423="B",INDEX(Batters[[#All],[DEM]],MATCH(Table5[[#This Row],[PID]],Batters[[#All],[PID]],0)),INDEX(Table3[[#All],[DEM]],MATCH(Table5[[#This Row],[PID]],Table3[[#All],[PID]],0)))</f>
        <v>$130k</v>
      </c>
      <c r="T423" s="72">
        <f>IF($C423="B",INDEX(Batters[[#All],[Rnk]],MATCH(Table5[[#This Row],[PID]],Batters[[#All],[PID]],0)),INDEX(Table3[[#All],[Rnk]],MATCH(Table5[[#This Row],[PID]],Table3[[#All],[PID]],0)))</f>
        <v>930</v>
      </c>
      <c r="U423" s="67">
        <f>IF($C423="B",VLOOKUP($A423,Bat!$A$4:$BA$1314,47,FALSE),VLOOKUP($A423,Pit!$A$4:$BF$1214,56,FALSE))</f>
        <v>288</v>
      </c>
      <c r="V423" s="50">
        <f>IF($C423="B",VLOOKUP($A423,Bat!$A$4:$BA$1314,48,FALSE),VLOOKUP($A423,Pit!$A$4:$BF$1214,57,FALSE))</f>
        <v>0</v>
      </c>
      <c r="W423" s="68">
        <f>IF(Table5[[#This Row],[posRnk]]=999,9999,Table5[[#This Row],[posRnk]]+Table5[[#This Row],[zRnk]]+IF($W$3&lt;&gt;Table5[[#This Row],[Type]],50,0))</f>
        <v>1340</v>
      </c>
      <c r="X423" s="71">
        <f>RANK(Table5[[#This Row],[zScore]],Table5[[#All],[zScore]])</f>
        <v>410</v>
      </c>
      <c r="Y423" s="68">
        <f>IFERROR(INDEX(DraftResults[[#All],[OVR]],MATCH(Table5[[#This Row],[PID]],DraftResults[[#All],[Player ID]],0)),"")</f>
        <v>607</v>
      </c>
      <c r="Z423" s="7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19</v>
      </c>
      <c r="AA423" s="68">
        <f>IFERROR(INDEX(DraftResults[[#All],[Pick in Round]],MATCH(Table5[[#This Row],[PID]],DraftResults[[#All],[Player ID]],0)),"")</f>
        <v>4</v>
      </c>
      <c r="AB423" s="68" t="str">
        <f>IFERROR(INDEX(DraftResults[[#All],[Team Name]],MATCH(Table5[[#This Row],[PID]],DraftResults[[#All],[Player ID]],0)),"")</f>
        <v>Palm Springs Codgers</v>
      </c>
      <c r="AC423" s="68">
        <f>IF(Table5[[#This Row],[Ovr]]="","",IF(Table5[[#This Row],[cmbList]]="","",Table5[[#This Row],[cmbList]]-Table5[[#This Row],[Ovr]]))</f>
        <v>733</v>
      </c>
      <c r="AD423" s="74" t="str">
        <f>IF(ISERROR(VLOOKUP($AB423&amp;"-"&amp;$E423&amp;" "&amp;F423,Bonuses!$B$1:$G$1006,4,FALSE)),"",INT(VLOOKUP($AB423&amp;"-"&amp;$E423&amp;" "&amp;$F423,Bonuses!$B$1:$G$1006,4,FALSE)))</f>
        <v/>
      </c>
      <c r="AE423" s="68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19.4 (607) - SP Jorge García</v>
      </c>
    </row>
    <row r="424" spans="1:31" s="50" customFormat="1" x14ac:dyDescent="0.3">
      <c r="A424" s="67">
        <v>20786</v>
      </c>
      <c r="B424" s="68">
        <f>COUNTIF(Table5[PID],A424)</f>
        <v>1</v>
      </c>
      <c r="C424" s="68" t="str">
        <f>IF(COUNTIF(Table3[[#All],[PID]],A424)&gt;0,"P","B")</f>
        <v>P</v>
      </c>
      <c r="D424" s="59" t="str">
        <f>IF($C424="B",INDEX(Batters[[#All],[POS]],MATCH(Table5[[#This Row],[PID]],Batters[[#All],[PID]],0)),INDEX(Table3[[#All],[POS]],MATCH(Table5[[#This Row],[PID]],Table3[[#All],[PID]],0)))</f>
        <v>RP</v>
      </c>
      <c r="E424" s="52" t="str">
        <f>IF($C424="B",INDEX(Batters[[#All],[First]],MATCH(Table5[[#This Row],[PID]],Batters[[#All],[PID]],0)),INDEX(Table3[[#All],[First]],MATCH(Table5[[#This Row],[PID]],Table3[[#All],[PID]],0)))</f>
        <v>Mike</v>
      </c>
      <c r="F424" s="55" t="str">
        <f>IF($C424="B",INDEX(Batters[[#All],[Last]],MATCH(A424,Batters[[#All],[PID]],0)),INDEX(Table3[[#All],[Last]],MATCH(A424,Table3[[#All],[PID]],0)))</f>
        <v>Grainger</v>
      </c>
      <c r="G424" s="56">
        <f>IF($C424="B",INDEX(Batters[[#All],[Age]],MATCH(Table5[[#This Row],[PID]],Batters[[#All],[PID]],0)),INDEX(Table3[[#All],[Age]],MATCH(Table5[[#This Row],[PID]],Table3[[#All],[PID]],0)))</f>
        <v>17</v>
      </c>
      <c r="H424" s="52" t="str">
        <f>IF($C424="B",INDEX(Batters[[#All],[B]],MATCH(Table5[[#This Row],[PID]],Batters[[#All],[PID]],0)),INDEX(Table3[[#All],[B]],MATCH(Table5[[#This Row],[PID]],Table3[[#All],[PID]],0)))</f>
        <v>L</v>
      </c>
      <c r="I424" s="52" t="str">
        <f>IF($C424="B",INDEX(Batters[[#All],[T]],MATCH(Table5[[#This Row],[PID]],Batters[[#All],[PID]],0)),INDEX(Table3[[#All],[T]],MATCH(Table5[[#This Row],[PID]],Table3[[#All],[PID]],0)))</f>
        <v>L</v>
      </c>
      <c r="J424" s="69" t="str">
        <f>IF($C424="B",INDEX(Batters[[#All],[WE]],MATCH(Table5[[#This Row],[PID]],Batters[[#All],[PID]],0)),INDEX(Table3[[#All],[WE]],MATCH(Table5[[#This Row],[PID]],Table3[[#All],[PID]],0)))</f>
        <v>Low</v>
      </c>
      <c r="K424" s="52" t="str">
        <f>IF($C424="B",INDEX(Batters[[#All],[INT]],MATCH(Table5[[#This Row],[PID]],Batters[[#All],[PID]],0)),INDEX(Table3[[#All],[INT]],MATCH(Table5[[#This Row],[PID]],Table3[[#All],[PID]],0)))</f>
        <v>Normal</v>
      </c>
      <c r="L424" s="60">
        <f>IF($C424="B",INDEX(Batters[[#All],[CON P]],MATCH(Table5[[#This Row],[PID]],Batters[[#All],[PID]],0)),INDEX(Table3[[#All],[STU P]],MATCH(Table5[[#This Row],[PID]],Table3[[#All],[PID]],0)))</f>
        <v>5</v>
      </c>
      <c r="M424" s="70">
        <f>IF($C424="B",INDEX(Batters[[#All],[GAP P]],MATCH(Table5[[#This Row],[PID]],Batters[[#All],[PID]],0)),INDEX(Table3[[#All],[MOV P]],MATCH(Table5[[#This Row],[PID]],Table3[[#All],[PID]],0)))</f>
        <v>2</v>
      </c>
      <c r="N424" s="70">
        <f>IF($C424="B",INDEX(Batters[[#All],[POW P]],MATCH(Table5[[#This Row],[PID]],Batters[[#All],[PID]],0)),INDEX(Table3[[#All],[CON P]],MATCH(Table5[[#This Row],[PID]],Table3[[#All],[PID]],0)))</f>
        <v>4</v>
      </c>
      <c r="O424" s="70" t="str">
        <f>IF($C424="B",INDEX(Batters[[#All],[EYE P]],MATCH(Table5[[#This Row],[PID]],Batters[[#All],[PID]],0)),INDEX(Table3[[#All],[VELO]],MATCH(Table5[[#This Row],[PID]],Table3[[#All],[PID]],0)))</f>
        <v>90-92 Mph</v>
      </c>
      <c r="P424" s="56">
        <f>IF($C424="B",INDEX(Batters[[#All],[K P]],MATCH(Table5[[#This Row],[PID]],Batters[[#All],[PID]],0)),INDEX(Table3[[#All],[STM]],MATCH(Table5[[#This Row],[PID]],Table3[[#All],[PID]],0)))</f>
        <v>7</v>
      </c>
      <c r="Q424" s="61">
        <f>IF($C424="B",INDEX(Batters[[#All],[Tot]],MATCH(Table5[[#This Row],[PID]],Batters[[#All],[PID]],0)),INDEX(Table3[[#All],[Tot]],MATCH(Table5[[#This Row],[PID]],Table3[[#All],[PID]],0)))</f>
        <v>36.641112268565408</v>
      </c>
      <c r="R424" s="52">
        <f>IF($C424="B",INDEX(Batters[[#All],[zScore]],MATCH(Table5[[#This Row],[PID]],Batters[[#All],[PID]],0)),INDEX(Table3[[#All],[zScore]],MATCH(Table5[[#This Row],[PID]],Table3[[#All],[PID]],0)))</f>
        <v>-8.2704855379544362E-2</v>
      </c>
      <c r="S424" s="75" t="str">
        <f>IF($C424="B",INDEX(Batters[[#All],[DEM]],MATCH(Table5[[#This Row],[PID]],Batters[[#All],[PID]],0)),INDEX(Table3[[#All],[DEM]],MATCH(Table5[[#This Row],[PID]],Table3[[#All],[PID]],0)))</f>
        <v>$38k</v>
      </c>
      <c r="T424" s="72">
        <f>IF($C424="B",INDEX(Batters[[#All],[Rnk]],MATCH(Table5[[#This Row],[PID]],Batters[[#All],[PID]],0)),INDEX(Table3[[#All],[Rnk]],MATCH(Table5[[#This Row],[PID]],Table3[[#All],[PID]],0)))</f>
        <v>930</v>
      </c>
      <c r="U424" s="67">
        <f>IF($C424="B",VLOOKUP($A424,Bat!$A$4:$BA$1314,47,FALSE),VLOOKUP($A424,Pit!$A$4:$BF$1214,56,FALSE))</f>
        <v>289</v>
      </c>
      <c r="V424" s="50">
        <f>IF($C424="B",VLOOKUP($A424,Bat!$A$4:$BA$1314,48,FALSE),VLOOKUP($A424,Pit!$A$4:$BF$1214,57,FALSE))</f>
        <v>0</v>
      </c>
      <c r="W424" s="68">
        <f>IF(Table5[[#This Row],[posRnk]]=999,9999,Table5[[#This Row],[posRnk]]+Table5[[#This Row],[zRnk]]+IF($W$3&lt;&gt;Table5[[#This Row],[Type]],50,0))</f>
        <v>1341</v>
      </c>
      <c r="X424" s="71">
        <f>RANK(Table5[[#This Row],[zScore]],Table5[[#All],[zScore]])</f>
        <v>411</v>
      </c>
      <c r="Y424" s="68">
        <f>IFERROR(INDEX(DraftResults[[#All],[OVR]],MATCH(Table5[[#This Row],[PID]],DraftResults[[#All],[Player ID]],0)),"")</f>
        <v>390</v>
      </c>
      <c r="Z424" s="7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12</v>
      </c>
      <c r="AA424" s="68">
        <f>IFERROR(INDEX(DraftResults[[#All],[Pick in Round]],MATCH(Table5[[#This Row],[PID]],DraftResults[[#All],[Player ID]],0)),"")</f>
        <v>25</v>
      </c>
      <c r="AB424" s="68" t="str">
        <f>IFERROR(INDEX(DraftResults[[#All],[Team Name]],MATCH(Table5[[#This Row],[PID]],DraftResults[[#All],[Player ID]],0)),"")</f>
        <v>Kalamazoo Badgers</v>
      </c>
      <c r="AC424" s="68">
        <f>IF(Table5[[#This Row],[Ovr]]="","",IF(Table5[[#This Row],[cmbList]]="","",Table5[[#This Row],[cmbList]]-Table5[[#This Row],[Ovr]]))</f>
        <v>951</v>
      </c>
      <c r="AD424" s="74" t="str">
        <f>IF(ISERROR(VLOOKUP($AB424&amp;"-"&amp;$E424&amp;" "&amp;F424,Bonuses!$B$1:$G$1006,4,FALSE)),"",INT(VLOOKUP($AB424&amp;"-"&amp;$E424&amp;" "&amp;$F424,Bonuses!$B$1:$G$1006,4,FALSE)))</f>
        <v/>
      </c>
      <c r="AE424" s="68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12.25 (390) - RP Mike Grainger</v>
      </c>
    </row>
    <row r="425" spans="1:31" s="50" customFormat="1" x14ac:dyDescent="0.3">
      <c r="A425" s="67">
        <v>9861</v>
      </c>
      <c r="B425" s="68">
        <f>COUNTIF(Table5[PID],A425)</f>
        <v>1</v>
      </c>
      <c r="C425" s="68" t="str">
        <f>IF(COUNTIF(Table3[[#All],[PID]],A425)&gt;0,"P","B")</f>
        <v>B</v>
      </c>
      <c r="D425" s="59" t="str">
        <f>IF($C425="B",INDEX(Batters[[#All],[POS]],MATCH(Table5[[#This Row],[PID]],Batters[[#All],[PID]],0)),INDEX(Table3[[#All],[POS]],MATCH(Table5[[#This Row],[PID]],Table3[[#All],[PID]],0)))</f>
        <v>1B</v>
      </c>
      <c r="E425" s="52" t="str">
        <f>IF($C425="B",INDEX(Batters[[#All],[First]],MATCH(Table5[[#This Row],[PID]],Batters[[#All],[PID]],0)),INDEX(Table3[[#All],[First]],MATCH(Table5[[#This Row],[PID]],Table3[[#All],[PID]],0)))</f>
        <v>Steve</v>
      </c>
      <c r="F425" s="55" t="str">
        <f>IF($C425="B",INDEX(Batters[[#All],[Last]],MATCH(A425,Batters[[#All],[PID]],0)),INDEX(Table3[[#All],[Last]],MATCH(A425,Table3[[#All],[PID]],0)))</f>
        <v>Cochrane</v>
      </c>
      <c r="G425" s="56">
        <f>IF($C425="B",INDEX(Batters[[#All],[Age]],MATCH(Table5[[#This Row],[PID]],Batters[[#All],[PID]],0)),INDEX(Table3[[#All],[Age]],MATCH(Table5[[#This Row],[PID]],Table3[[#All],[PID]],0)))</f>
        <v>18</v>
      </c>
      <c r="H425" s="52" t="str">
        <f>IF($C425="B",INDEX(Batters[[#All],[B]],MATCH(Table5[[#This Row],[PID]],Batters[[#All],[PID]],0)),INDEX(Table3[[#All],[B]],MATCH(Table5[[#This Row],[PID]],Table3[[#All],[PID]],0)))</f>
        <v>L</v>
      </c>
      <c r="I425" s="52" t="str">
        <f>IF($C425="B",INDEX(Batters[[#All],[T]],MATCH(Table5[[#This Row],[PID]],Batters[[#All],[PID]],0)),INDEX(Table3[[#All],[T]],MATCH(Table5[[#This Row],[PID]],Table3[[#All],[PID]],0)))</f>
        <v>L</v>
      </c>
      <c r="J425" s="69" t="str">
        <f>IF($C425="B",INDEX(Batters[[#All],[WE]],MATCH(Table5[[#This Row],[PID]],Batters[[#All],[PID]],0)),INDEX(Table3[[#All],[WE]],MATCH(Table5[[#This Row],[PID]],Table3[[#All],[PID]],0)))</f>
        <v>Normal</v>
      </c>
      <c r="K425" s="52" t="str">
        <f>IF($C425="B",INDEX(Batters[[#All],[INT]],MATCH(Table5[[#This Row],[PID]],Batters[[#All],[PID]],0)),INDEX(Table3[[#All],[INT]],MATCH(Table5[[#This Row],[PID]],Table3[[#All],[PID]],0)))</f>
        <v>High</v>
      </c>
      <c r="L425" s="60">
        <f>IF($C425="B",INDEX(Batters[[#All],[CON P]],MATCH(Table5[[#This Row],[PID]],Batters[[#All],[PID]],0)),INDEX(Table3[[#All],[STU P]],MATCH(Table5[[#This Row],[PID]],Table3[[#All],[PID]],0)))</f>
        <v>4</v>
      </c>
      <c r="M425" s="70">
        <f>IF($C425="B",INDEX(Batters[[#All],[GAP P]],MATCH(Table5[[#This Row],[PID]],Batters[[#All],[PID]],0)),INDEX(Table3[[#All],[MOV P]],MATCH(Table5[[#This Row],[PID]],Table3[[#All],[PID]],0)))</f>
        <v>2</v>
      </c>
      <c r="N425" s="70">
        <f>IF($C425="B",INDEX(Batters[[#All],[POW P]],MATCH(Table5[[#This Row],[PID]],Batters[[#All],[PID]],0)),INDEX(Table3[[#All],[CON P]],MATCH(Table5[[#This Row],[PID]],Table3[[#All],[PID]],0)))</f>
        <v>2</v>
      </c>
      <c r="O425" s="70">
        <f>IF($C425="B",INDEX(Batters[[#All],[EYE P]],MATCH(Table5[[#This Row],[PID]],Batters[[#All],[PID]],0)),INDEX(Table3[[#All],[VELO]],MATCH(Table5[[#This Row],[PID]],Table3[[#All],[PID]],0)))</f>
        <v>3</v>
      </c>
      <c r="P425" s="56">
        <f>IF($C425="B",INDEX(Batters[[#All],[K P]],MATCH(Table5[[#This Row],[PID]],Batters[[#All],[PID]],0)),INDEX(Table3[[#All],[STM]],MATCH(Table5[[#This Row],[PID]],Table3[[#All],[PID]],0)))</f>
        <v>4</v>
      </c>
      <c r="Q425" s="61">
        <f>IF($C425="B",INDEX(Batters[[#All],[Tot]],MATCH(Table5[[#This Row],[PID]],Batters[[#All],[PID]],0)),INDEX(Table3[[#All],[Tot]],MATCH(Table5[[#This Row],[PID]],Table3[[#All],[PID]],0)))</f>
        <v>41.907941625103135</v>
      </c>
      <c r="R425" s="52">
        <f>IF($C425="B",INDEX(Batters[[#All],[zScore]],MATCH(Table5[[#This Row],[PID]],Batters[[#All],[PID]],0)),INDEX(Table3[[#All],[zScore]],MATCH(Table5[[#This Row],[PID]],Table3[[#All],[PID]],0)))</f>
        <v>-0.19129835040073226</v>
      </c>
      <c r="S425" s="75" t="str">
        <f>IF($C425="B",INDEX(Batters[[#All],[DEM]],MATCH(Table5[[#This Row],[PID]],Batters[[#All],[PID]],0)),INDEX(Table3[[#All],[DEM]],MATCH(Table5[[#This Row],[PID]],Table3[[#All],[PID]],0)))</f>
        <v>$38k</v>
      </c>
      <c r="T425" s="72">
        <f>IF($C425="B",INDEX(Batters[[#All],[Rnk]],MATCH(Table5[[#This Row],[PID]],Batters[[#All],[PID]],0)),INDEX(Table3[[#All],[Rnk]],MATCH(Table5[[#This Row],[PID]],Table3[[#All],[PID]],0)))</f>
        <v>900</v>
      </c>
      <c r="U425" s="67">
        <f>IF($C425="B",VLOOKUP($A425,Bat!$A$4:$BA$1314,47,FALSE),VLOOKUP($A425,Pit!$A$4:$BF$1214,56,FALSE))</f>
        <v>180</v>
      </c>
      <c r="V425" s="50">
        <f>IF($C425="B",VLOOKUP($A425,Bat!$A$4:$BA$1314,48,FALSE),VLOOKUP($A425,Pit!$A$4:$BF$1214,57,FALSE))</f>
        <v>0</v>
      </c>
      <c r="W425" s="68">
        <f>IF(Table5[[#This Row],[posRnk]]=999,9999,Table5[[#This Row],[posRnk]]+Table5[[#This Row],[zRnk]]+IF($W$3&lt;&gt;Table5[[#This Row],[Type]],50,0))</f>
        <v>1392</v>
      </c>
      <c r="X425" s="71">
        <f>RANK(Table5[[#This Row],[zScore]],Table5[[#All],[zScore]])</f>
        <v>442</v>
      </c>
      <c r="Y425" s="68">
        <f>IFERROR(INDEX(DraftResults[[#All],[OVR]],MATCH(Table5[[#This Row],[PID]],DraftResults[[#All],[Player ID]],0)),"")</f>
        <v>669</v>
      </c>
      <c r="Z425" s="7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20</v>
      </c>
      <c r="AA425" s="68">
        <f>IFERROR(INDEX(DraftResults[[#All],[Pick in Round]],MATCH(Table5[[#This Row],[PID]],DraftResults[[#All],[Player ID]],0)),"")</f>
        <v>32</v>
      </c>
      <c r="AB425" s="68" t="str">
        <f>IFERROR(INDEX(DraftResults[[#All],[Team Name]],MATCH(Table5[[#This Row],[PID]],DraftResults[[#All],[Player ID]],0)),"")</f>
        <v>Florida Farstriders</v>
      </c>
      <c r="AC425" s="68">
        <f>IF(Table5[[#This Row],[Ovr]]="","",IF(Table5[[#This Row],[cmbList]]="","",Table5[[#This Row],[cmbList]]-Table5[[#This Row],[Ovr]]))</f>
        <v>723</v>
      </c>
      <c r="AD425" s="74" t="str">
        <f>IF(ISERROR(VLOOKUP($AB425&amp;"-"&amp;$E425&amp;" "&amp;F425,Bonuses!$B$1:$G$1006,4,FALSE)),"",INT(VLOOKUP($AB425&amp;"-"&amp;$E425&amp;" "&amp;$F425,Bonuses!$B$1:$G$1006,4,FALSE)))</f>
        <v/>
      </c>
      <c r="AE425" s="68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20.32 (669) - 1B Steve Cochrane</v>
      </c>
    </row>
    <row r="426" spans="1:31" s="50" customFormat="1" x14ac:dyDescent="0.3">
      <c r="A426" s="50">
        <v>13098</v>
      </c>
      <c r="B426" s="50">
        <f>COUNTIF(Table5[PID],A426)</f>
        <v>1</v>
      </c>
      <c r="C426" s="50" t="str">
        <f>IF(COUNTIF(Table3[[#All],[PID]],A426)&gt;0,"P","B")</f>
        <v>P</v>
      </c>
      <c r="D426" s="59" t="str">
        <f>IF($C426="B",INDEX(Batters[[#All],[POS]],MATCH(Table5[[#This Row],[PID]],Batters[[#All],[PID]],0)),INDEX(Table3[[#All],[POS]],MATCH(Table5[[#This Row],[PID]],Table3[[#All],[PID]],0)))</f>
        <v>SP</v>
      </c>
      <c r="E426" s="52" t="str">
        <f>IF($C426="B",INDEX(Batters[[#All],[First]],MATCH(Table5[[#This Row],[PID]],Batters[[#All],[PID]],0)),INDEX(Table3[[#All],[First]],MATCH(Table5[[#This Row],[PID]],Table3[[#All],[PID]],0)))</f>
        <v>Karel</v>
      </c>
      <c r="F426" s="50" t="str">
        <f>IF($C426="B",INDEX(Batters[[#All],[Last]],MATCH(A426,Batters[[#All],[PID]],0)),INDEX(Table3[[#All],[Last]],MATCH(A426,Table3[[#All],[PID]],0)))</f>
        <v>Jacobs</v>
      </c>
      <c r="G426" s="56">
        <f>IF($C426="B",INDEX(Batters[[#All],[Age]],MATCH(Table5[[#This Row],[PID]],Batters[[#All],[PID]],0)),INDEX(Table3[[#All],[Age]],MATCH(Table5[[#This Row],[PID]],Table3[[#All],[PID]],0)))</f>
        <v>18</v>
      </c>
      <c r="H426" s="52" t="str">
        <f>IF($C426="B",INDEX(Batters[[#All],[B]],MATCH(Table5[[#This Row],[PID]],Batters[[#All],[PID]],0)),INDEX(Table3[[#All],[B]],MATCH(Table5[[#This Row],[PID]],Table3[[#All],[PID]],0)))</f>
        <v>R</v>
      </c>
      <c r="I426" s="52" t="str">
        <f>IF($C426="B",INDEX(Batters[[#All],[T]],MATCH(Table5[[#This Row],[PID]],Batters[[#All],[PID]],0)),INDEX(Table3[[#All],[T]],MATCH(Table5[[#This Row],[PID]],Table3[[#All],[PID]],0)))</f>
        <v>R</v>
      </c>
      <c r="J426" s="52" t="str">
        <f>IF($C426="B",INDEX(Batters[[#All],[WE]],MATCH(Table5[[#This Row],[PID]],Batters[[#All],[PID]],0)),INDEX(Table3[[#All],[WE]],MATCH(Table5[[#This Row],[PID]],Table3[[#All],[PID]],0)))</f>
        <v>High</v>
      </c>
      <c r="K426" s="52" t="str">
        <f>IF($C426="B",INDEX(Batters[[#All],[INT]],MATCH(Table5[[#This Row],[PID]],Batters[[#All],[PID]],0)),INDEX(Table3[[#All],[INT]],MATCH(Table5[[#This Row],[PID]],Table3[[#All],[PID]],0)))</f>
        <v>Normal</v>
      </c>
      <c r="L426" s="60">
        <f>IF($C426="B",INDEX(Batters[[#All],[CON P]],MATCH(Table5[[#This Row],[PID]],Batters[[#All],[PID]],0)),INDEX(Table3[[#All],[STU P]],MATCH(Table5[[#This Row],[PID]],Table3[[#All],[PID]],0)))</f>
        <v>4</v>
      </c>
      <c r="M426" s="56">
        <f>IF($C426="B",INDEX(Batters[[#All],[GAP P]],MATCH(Table5[[#This Row],[PID]],Batters[[#All],[PID]],0)),INDEX(Table3[[#All],[MOV P]],MATCH(Table5[[#This Row],[PID]],Table3[[#All],[PID]],0)))</f>
        <v>2</v>
      </c>
      <c r="N426" s="56">
        <f>IF($C426="B",INDEX(Batters[[#All],[POW P]],MATCH(Table5[[#This Row],[PID]],Batters[[#All],[PID]],0)),INDEX(Table3[[#All],[CON P]],MATCH(Table5[[#This Row],[PID]],Table3[[#All],[PID]],0)))</f>
        <v>3</v>
      </c>
      <c r="O426" s="56" t="str">
        <f>IF($C426="B",INDEX(Batters[[#All],[EYE P]],MATCH(Table5[[#This Row],[PID]],Batters[[#All],[PID]],0)),INDEX(Table3[[#All],[VELO]],MATCH(Table5[[#This Row],[PID]],Table3[[#All],[PID]],0)))</f>
        <v>90-92 Mph</v>
      </c>
      <c r="P426" s="56">
        <f>IF($C426="B",INDEX(Batters[[#All],[K P]],MATCH(Table5[[#This Row],[PID]],Batters[[#All],[PID]],0)),INDEX(Table3[[#All],[STM]],MATCH(Table5[[#This Row],[PID]],Table3[[#All],[PID]],0)))</f>
        <v>6</v>
      </c>
      <c r="Q426" s="61">
        <f>IF($C426="B",INDEX(Batters[[#All],[Tot]],MATCH(Table5[[#This Row],[PID]],Batters[[#All],[PID]],0)),INDEX(Table3[[#All],[Tot]],MATCH(Table5[[#This Row],[PID]],Table3[[#All],[PID]],0)))</f>
        <v>35.039602595867237</v>
      </c>
      <c r="R426" s="52">
        <f>IF($C426="B",INDEX(Batters[[#All],[zScore]],MATCH(Table5[[#This Row],[PID]],Batters[[#All],[PID]],0)),INDEX(Table3[[#All],[zScore]],MATCH(Table5[[#This Row],[PID]],Table3[[#All],[PID]],0)))</f>
        <v>-0.19674360728975129</v>
      </c>
      <c r="S426" s="58" t="str">
        <f>IF($C426="B",INDEX(Batters[[#All],[DEM]],MATCH(Table5[[#This Row],[PID]],Batters[[#All],[PID]],0)),INDEX(Table3[[#All],[DEM]],MATCH(Table5[[#This Row],[PID]],Table3[[#All],[PID]],0)))</f>
        <v>$65k</v>
      </c>
      <c r="T426" s="62">
        <f>IF($C426="B",INDEX(Batters[[#All],[Rnk]],MATCH(Table5[[#This Row],[PID]],Batters[[#All],[PID]],0)),INDEX(Table3[[#All],[Rnk]],MATCH(Table5[[#This Row],[PID]],Table3[[#All],[PID]],0)))</f>
        <v>900</v>
      </c>
      <c r="U426" s="67">
        <f>IF($C426="B",VLOOKUP($A426,Bat!$A$4:$BA$1314,47,FALSE),VLOOKUP($A426,Pit!$A$4:$BF$1214,56,FALSE))</f>
        <v>148</v>
      </c>
      <c r="V426" s="50">
        <f>IF($C426="B",VLOOKUP($A426,Bat!$A$4:$BA$1314,48,FALSE),VLOOKUP($A426,Pit!$A$4:$BF$1214,57,FALSE))</f>
        <v>0</v>
      </c>
      <c r="W426" s="68">
        <f>IF(Table5[[#This Row],[posRnk]]=999,9999,Table5[[#This Row],[posRnk]]+Table5[[#This Row],[zRnk]]+IF($W$3&lt;&gt;Table5[[#This Row],[Type]],50,0))</f>
        <v>1344</v>
      </c>
      <c r="X426" s="51">
        <f>RANK(Table5[[#This Row],[zScore]],Table5[[#All],[zScore]])</f>
        <v>444</v>
      </c>
      <c r="Y426" s="50">
        <f>IFERROR(INDEX(DraftResults[[#All],[OVR]],MATCH(Table5[[#This Row],[PID]],DraftResults[[#All],[Player ID]],0)),"")</f>
        <v>471</v>
      </c>
      <c r="Z426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15</v>
      </c>
      <c r="AA426" s="50">
        <f>IFERROR(INDEX(DraftResults[[#All],[Pick in Round]],MATCH(Table5[[#This Row],[PID]],DraftResults[[#All],[Player ID]],0)),"")</f>
        <v>4</v>
      </c>
      <c r="AB426" s="50" t="str">
        <f>IFERROR(INDEX(DraftResults[[#All],[Team Name]],MATCH(Table5[[#This Row],[PID]],DraftResults[[#All],[Player ID]],0)),"")</f>
        <v>Palm Springs Codgers</v>
      </c>
      <c r="AC426" s="50">
        <f>IF(Table5[[#This Row],[Ovr]]="","",IF(Table5[[#This Row],[cmbList]]="","",Table5[[#This Row],[cmbList]]-Table5[[#This Row],[Ovr]]))</f>
        <v>873</v>
      </c>
      <c r="AD426" s="54" t="str">
        <f>IF(ISERROR(VLOOKUP($AB426&amp;"-"&amp;$E426&amp;" "&amp;F426,Bonuses!$B$1:$G$1006,4,FALSE)),"",INT(VLOOKUP($AB426&amp;"-"&amp;$E426&amp;" "&amp;$F426,Bonuses!$B$1:$G$1006,4,FALSE)))</f>
        <v/>
      </c>
      <c r="AE426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15.4 (471) - SP Karel Jacobs</v>
      </c>
    </row>
    <row r="427" spans="1:31" s="50" customFormat="1" x14ac:dyDescent="0.3">
      <c r="A427" s="67">
        <v>13136</v>
      </c>
      <c r="B427" s="68">
        <f>COUNTIF(Table5[PID],A427)</f>
        <v>1</v>
      </c>
      <c r="C427" s="68" t="str">
        <f>IF(COUNTIF(Table3[[#All],[PID]],A427)&gt;0,"P","B")</f>
        <v>P</v>
      </c>
      <c r="D427" s="59" t="str">
        <f>IF($C427="B",INDEX(Batters[[#All],[POS]],MATCH(Table5[[#This Row],[PID]],Batters[[#All],[PID]],0)),INDEX(Table3[[#All],[POS]],MATCH(Table5[[#This Row],[PID]],Table3[[#All],[PID]],0)))</f>
        <v>RP</v>
      </c>
      <c r="E427" s="52" t="str">
        <f>IF($C427="B",INDEX(Batters[[#All],[First]],MATCH(Table5[[#This Row],[PID]],Batters[[#All],[PID]],0)),INDEX(Table3[[#All],[First]],MATCH(Table5[[#This Row],[PID]],Table3[[#All],[PID]],0)))</f>
        <v>Román</v>
      </c>
      <c r="F427" s="55" t="str">
        <f>IF($C427="B",INDEX(Batters[[#All],[Last]],MATCH(A427,Batters[[#All],[PID]],0)),INDEX(Table3[[#All],[Last]],MATCH(A427,Table3[[#All],[PID]],0)))</f>
        <v>Franco</v>
      </c>
      <c r="G427" s="56">
        <f>IF($C427="B",INDEX(Batters[[#All],[Age]],MATCH(Table5[[#This Row],[PID]],Batters[[#All],[PID]],0)),INDEX(Table3[[#All],[Age]],MATCH(Table5[[#This Row],[PID]],Table3[[#All],[PID]],0)))</f>
        <v>21</v>
      </c>
      <c r="H427" s="52" t="str">
        <f>IF($C427="B",INDEX(Batters[[#All],[B]],MATCH(Table5[[#This Row],[PID]],Batters[[#All],[PID]],0)),INDEX(Table3[[#All],[B]],MATCH(Table5[[#This Row],[PID]],Table3[[#All],[PID]],0)))</f>
        <v>R</v>
      </c>
      <c r="I427" s="52" t="str">
        <f>IF($C427="B",INDEX(Batters[[#All],[T]],MATCH(Table5[[#This Row],[PID]],Batters[[#All],[PID]],0)),INDEX(Table3[[#All],[T]],MATCH(Table5[[#This Row],[PID]],Table3[[#All],[PID]],0)))</f>
        <v>R</v>
      </c>
      <c r="J427" s="69" t="str">
        <f>IF($C427="B",INDEX(Batters[[#All],[WE]],MATCH(Table5[[#This Row],[PID]],Batters[[#All],[PID]],0)),INDEX(Table3[[#All],[WE]],MATCH(Table5[[#This Row],[PID]],Table3[[#All],[PID]],0)))</f>
        <v>Normal</v>
      </c>
      <c r="K427" s="52" t="str">
        <f>IF($C427="B",INDEX(Batters[[#All],[INT]],MATCH(Table5[[#This Row],[PID]],Batters[[#All],[PID]],0)),INDEX(Table3[[#All],[INT]],MATCH(Table5[[#This Row],[PID]],Table3[[#All],[PID]],0)))</f>
        <v>Normal</v>
      </c>
      <c r="L427" s="60">
        <f>IF($C427="B",INDEX(Batters[[#All],[CON P]],MATCH(Table5[[#This Row],[PID]],Batters[[#All],[PID]],0)),INDEX(Table3[[#All],[STU P]],MATCH(Table5[[#This Row],[PID]],Table3[[#All],[PID]],0)))</f>
        <v>5</v>
      </c>
      <c r="M427" s="70">
        <f>IF($C427="B",INDEX(Batters[[#All],[GAP P]],MATCH(Table5[[#This Row],[PID]],Batters[[#All],[PID]],0)),INDEX(Table3[[#All],[MOV P]],MATCH(Table5[[#This Row],[PID]],Table3[[#All],[PID]],0)))</f>
        <v>2</v>
      </c>
      <c r="N427" s="70">
        <f>IF($C427="B",INDEX(Batters[[#All],[POW P]],MATCH(Table5[[#This Row],[PID]],Batters[[#All],[PID]],0)),INDEX(Table3[[#All],[CON P]],MATCH(Table5[[#This Row],[PID]],Table3[[#All],[PID]],0)))</f>
        <v>3</v>
      </c>
      <c r="O427" s="70" t="str">
        <f>IF($C427="B",INDEX(Batters[[#All],[EYE P]],MATCH(Table5[[#This Row],[PID]],Batters[[#All],[PID]],0)),INDEX(Table3[[#All],[VELO]],MATCH(Table5[[#This Row],[PID]],Table3[[#All],[PID]],0)))</f>
        <v>89-91 Mph</v>
      </c>
      <c r="P427" s="56">
        <f>IF($C427="B",INDEX(Batters[[#All],[K P]],MATCH(Table5[[#This Row],[PID]],Batters[[#All],[PID]],0)),INDEX(Table3[[#All],[STM]],MATCH(Table5[[#This Row],[PID]],Table3[[#All],[PID]],0)))</f>
        <v>6</v>
      </c>
      <c r="Q427" s="61">
        <f>IF($C427="B",INDEX(Batters[[#All],[Tot]],MATCH(Table5[[#This Row],[PID]],Batters[[#All],[PID]],0)),INDEX(Table3[[#All],[Tot]],MATCH(Table5[[#This Row],[PID]],Table3[[#All],[PID]],0)))</f>
        <v>34.990050742455963</v>
      </c>
      <c r="R427" s="52">
        <f>IF($C427="B",INDEX(Batters[[#All],[zScore]],MATCH(Table5[[#This Row],[PID]],Batters[[#All],[PID]],0)),INDEX(Table3[[#All],[zScore]],MATCH(Table5[[#This Row],[PID]],Table3[[#All],[PID]],0)))</f>
        <v>-0.2002720477445247</v>
      </c>
      <c r="S427" s="75" t="str">
        <f>IF($C427="B",INDEX(Batters[[#All],[DEM]],MATCH(Table5[[#This Row],[PID]],Batters[[#All],[PID]],0)),INDEX(Table3[[#All],[DEM]],MATCH(Table5[[#This Row],[PID]],Table3[[#All],[PID]],0)))</f>
        <v>-</v>
      </c>
      <c r="T427" s="72">
        <f>IF($C427="B",INDEX(Batters[[#All],[Rnk]],MATCH(Table5[[#This Row],[PID]],Batters[[#All],[PID]],0)),INDEX(Table3[[#All],[Rnk]],MATCH(Table5[[#This Row],[PID]],Table3[[#All],[PID]],0)))</f>
        <v>900</v>
      </c>
      <c r="U427" s="67">
        <f>IF($C427="B",VLOOKUP($A427,Bat!$A$4:$BA$1314,47,FALSE),VLOOKUP($A427,Pit!$A$4:$BF$1214,56,FALSE))</f>
        <v>153</v>
      </c>
      <c r="V427" s="50">
        <f>IF($C427="B",VLOOKUP($A427,Bat!$A$4:$BA$1314,48,FALSE),VLOOKUP($A427,Pit!$A$4:$BF$1214,57,FALSE))</f>
        <v>0</v>
      </c>
      <c r="W427" s="68">
        <f>IF(Table5[[#This Row],[posRnk]]=999,9999,Table5[[#This Row],[posRnk]]+Table5[[#This Row],[zRnk]]+IF($W$3&lt;&gt;Table5[[#This Row],[Type]],50,0))</f>
        <v>1345</v>
      </c>
      <c r="X427" s="71">
        <f>RANK(Table5[[#This Row],[zScore]],Table5[[#All],[zScore]])</f>
        <v>445</v>
      </c>
      <c r="Y427" s="68">
        <f>IFERROR(INDEX(DraftResults[[#All],[OVR]],MATCH(Table5[[#This Row],[PID]],DraftResults[[#All],[Player ID]],0)),"")</f>
        <v>570</v>
      </c>
      <c r="Z427" s="7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18</v>
      </c>
      <c r="AA427" s="68">
        <f>IFERROR(INDEX(DraftResults[[#All],[Pick in Round]],MATCH(Table5[[#This Row],[PID]],DraftResults[[#All],[Player ID]],0)),"")</f>
        <v>1</v>
      </c>
      <c r="AB427" s="68" t="str">
        <f>IFERROR(INDEX(DraftResults[[#All],[Team Name]],MATCH(Table5[[#This Row],[PID]],DraftResults[[#All],[Player ID]],0)),"")</f>
        <v>Yuma Arroyos</v>
      </c>
      <c r="AC427" s="68">
        <f>IF(Table5[[#This Row],[Ovr]]="","",IF(Table5[[#This Row],[cmbList]]="","",Table5[[#This Row],[cmbList]]-Table5[[#This Row],[Ovr]]))</f>
        <v>775</v>
      </c>
      <c r="AD427" s="74" t="str">
        <f>IF(ISERROR(VLOOKUP($AB427&amp;"-"&amp;$E427&amp;" "&amp;F427,Bonuses!$B$1:$G$1006,4,FALSE)),"",INT(VLOOKUP($AB427&amp;"-"&amp;$E427&amp;" "&amp;$F427,Bonuses!$B$1:$G$1006,4,FALSE)))</f>
        <v/>
      </c>
      <c r="AE427" s="68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18.1 (570) - RP Román Franco</v>
      </c>
    </row>
    <row r="428" spans="1:31" s="50" customFormat="1" x14ac:dyDescent="0.3">
      <c r="A428" s="50">
        <v>13424</v>
      </c>
      <c r="B428" s="50">
        <f>COUNTIF(Table5[PID],A428)</f>
        <v>1</v>
      </c>
      <c r="C428" s="50" t="str">
        <f>IF(COUNTIF(Table3[[#All],[PID]],A428)&gt;0,"P","B")</f>
        <v>B</v>
      </c>
      <c r="D428" s="59" t="str">
        <f>IF($C428="B",INDEX(Batters[[#All],[POS]],MATCH(Table5[[#This Row],[PID]],Batters[[#All],[PID]],0)),INDEX(Table3[[#All],[POS]],MATCH(Table5[[#This Row],[PID]],Table3[[#All],[PID]],0)))</f>
        <v>2B</v>
      </c>
      <c r="E428" s="52" t="str">
        <f>IF($C428="B",INDEX(Batters[[#All],[First]],MATCH(Table5[[#This Row],[PID]],Batters[[#All],[PID]],0)),INDEX(Table3[[#All],[First]],MATCH(Table5[[#This Row],[PID]],Table3[[#All],[PID]],0)))</f>
        <v>Yoshi</v>
      </c>
      <c r="F428" s="50" t="str">
        <f>IF($C428="B",INDEX(Batters[[#All],[Last]],MATCH(A428,Batters[[#All],[PID]],0)),INDEX(Table3[[#All],[Last]],MATCH(A428,Table3[[#All],[PID]],0)))</f>
        <v>Yamamoto</v>
      </c>
      <c r="G428" s="56">
        <f>IF($C428="B",INDEX(Batters[[#All],[Age]],MATCH(Table5[[#This Row],[PID]],Batters[[#All],[PID]],0)),INDEX(Table3[[#All],[Age]],MATCH(Table5[[#This Row],[PID]],Table3[[#All],[PID]],0)))</f>
        <v>17</v>
      </c>
      <c r="H428" s="52" t="str">
        <f>IF($C428="B",INDEX(Batters[[#All],[B]],MATCH(Table5[[#This Row],[PID]],Batters[[#All],[PID]],0)),INDEX(Table3[[#All],[B]],MATCH(Table5[[#This Row],[PID]],Table3[[#All],[PID]],0)))</f>
        <v>S</v>
      </c>
      <c r="I428" s="52" t="str">
        <f>IF($C428="B",INDEX(Batters[[#All],[T]],MATCH(Table5[[#This Row],[PID]],Batters[[#All],[PID]],0)),INDEX(Table3[[#All],[T]],MATCH(Table5[[#This Row],[PID]],Table3[[#All],[PID]],0)))</f>
        <v>R</v>
      </c>
      <c r="J428" s="52" t="str">
        <f>IF($C428="B",INDEX(Batters[[#All],[WE]],MATCH(Table5[[#This Row],[PID]],Batters[[#All],[PID]],0)),INDEX(Table3[[#All],[WE]],MATCH(Table5[[#This Row],[PID]],Table3[[#All],[PID]],0)))</f>
        <v>Normal</v>
      </c>
      <c r="K428" s="52" t="str">
        <f>IF($C428="B",INDEX(Batters[[#All],[INT]],MATCH(Table5[[#This Row],[PID]],Batters[[#All],[PID]],0)),INDEX(Table3[[#All],[INT]],MATCH(Table5[[#This Row],[PID]],Table3[[#All],[PID]],0)))</f>
        <v>Normal</v>
      </c>
      <c r="L428" s="60">
        <f>IF($C428="B",INDEX(Batters[[#All],[CON P]],MATCH(Table5[[#This Row],[PID]],Batters[[#All],[PID]],0)),INDEX(Table3[[#All],[STU P]],MATCH(Table5[[#This Row],[PID]],Table3[[#All],[PID]],0)))</f>
        <v>3</v>
      </c>
      <c r="M428" s="56">
        <f>IF($C428="B",INDEX(Batters[[#All],[GAP P]],MATCH(Table5[[#This Row],[PID]],Batters[[#All],[PID]],0)),INDEX(Table3[[#All],[MOV P]],MATCH(Table5[[#This Row],[PID]],Table3[[#All],[PID]],0)))</f>
        <v>4</v>
      </c>
      <c r="N428" s="56">
        <f>IF($C428="B",INDEX(Batters[[#All],[POW P]],MATCH(Table5[[#This Row],[PID]],Batters[[#All],[PID]],0)),INDEX(Table3[[#All],[CON P]],MATCH(Table5[[#This Row],[PID]],Table3[[#All],[PID]],0)))</f>
        <v>3</v>
      </c>
      <c r="O428" s="56">
        <f>IF($C428="B",INDEX(Batters[[#All],[EYE P]],MATCH(Table5[[#This Row],[PID]],Batters[[#All],[PID]],0)),INDEX(Table3[[#All],[VELO]],MATCH(Table5[[#This Row],[PID]],Table3[[#All],[PID]],0)))</f>
        <v>5</v>
      </c>
      <c r="P428" s="56">
        <f>IF($C428="B",INDEX(Batters[[#All],[K P]],MATCH(Table5[[#This Row],[PID]],Batters[[#All],[PID]],0)),INDEX(Table3[[#All],[STM]],MATCH(Table5[[#This Row],[PID]],Table3[[#All],[PID]],0)))</f>
        <v>3</v>
      </c>
      <c r="Q428" s="61">
        <f>IF($C428="B",INDEX(Batters[[#All],[Tot]],MATCH(Table5[[#This Row],[PID]],Batters[[#All],[PID]],0)),INDEX(Table3[[#All],[Tot]],MATCH(Table5[[#This Row],[PID]],Table3[[#All],[PID]],0)))</f>
        <v>41.821994316862138</v>
      </c>
      <c r="R428" s="52">
        <f>IF($C428="B",INDEX(Batters[[#All],[zScore]],MATCH(Table5[[#This Row],[PID]],Batters[[#All],[PID]],0)),INDEX(Table3[[#All],[zScore]],MATCH(Table5[[#This Row],[PID]],Table3[[#All],[PID]],0)))</f>
        <v>-0.20384391651393158</v>
      </c>
      <c r="S428" s="58" t="str">
        <f>IF($C428="B",INDEX(Batters[[#All],[DEM]],MATCH(Table5[[#This Row],[PID]],Batters[[#All],[PID]],0)),INDEX(Table3[[#All],[DEM]],MATCH(Table5[[#This Row],[PID]],Table3[[#All],[PID]],0)))</f>
        <v>$130k</v>
      </c>
      <c r="T428" s="62">
        <f>IF($C428="B",INDEX(Batters[[#All],[Rnk]],MATCH(Table5[[#This Row],[PID]],Batters[[#All],[PID]],0)),INDEX(Table3[[#All],[Rnk]],MATCH(Table5[[#This Row],[PID]],Table3[[#All],[PID]],0)))</f>
        <v>900</v>
      </c>
      <c r="U428" s="67">
        <f>IF($C428="B",VLOOKUP($A428,Bat!$A$4:$BA$1314,47,FALSE),VLOOKUP($A428,Pit!$A$4:$BF$1214,56,FALSE))</f>
        <v>185</v>
      </c>
      <c r="V428" s="50">
        <f>IF($C428="B",VLOOKUP($A428,Bat!$A$4:$BA$1314,48,FALSE),VLOOKUP($A428,Pit!$A$4:$BF$1214,57,FALSE))</f>
        <v>0</v>
      </c>
      <c r="W428" s="68">
        <f>IF(Table5[[#This Row],[posRnk]]=999,9999,Table5[[#This Row],[posRnk]]+Table5[[#This Row],[zRnk]]+IF($W$3&lt;&gt;Table5[[#This Row],[Type]],50,0))</f>
        <v>1396</v>
      </c>
      <c r="X428" s="51">
        <f>RANK(Table5[[#This Row],[zScore]],Table5[[#All],[zScore]])</f>
        <v>446</v>
      </c>
      <c r="Y428" s="50" t="str">
        <f>IFERROR(INDEX(DraftResults[[#All],[OVR]],MATCH(Table5[[#This Row],[PID]],DraftResults[[#All],[Player ID]],0)),"")</f>
        <v/>
      </c>
      <c r="Z428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/>
      </c>
      <c r="AA428" s="50" t="str">
        <f>IFERROR(INDEX(DraftResults[[#All],[Pick in Round]],MATCH(Table5[[#This Row],[PID]],DraftResults[[#All],[Player ID]],0)),"")</f>
        <v/>
      </c>
      <c r="AB428" s="50" t="str">
        <f>IFERROR(INDEX(DraftResults[[#All],[Team Name]],MATCH(Table5[[#This Row],[PID]],DraftResults[[#All],[Player ID]],0)),"")</f>
        <v/>
      </c>
      <c r="AC428" s="50" t="str">
        <f>IF(Table5[[#This Row],[Ovr]]="","",IF(Table5[[#This Row],[cmbList]]="","",Table5[[#This Row],[cmbList]]-Table5[[#This Row],[Ovr]]))</f>
        <v/>
      </c>
      <c r="AD428" s="54" t="str">
        <f>IF(ISERROR(VLOOKUP($AB428&amp;"-"&amp;$E428&amp;" "&amp;F428,Bonuses!$B$1:$G$1006,4,FALSE)),"",INT(VLOOKUP($AB428&amp;"-"&amp;$E428&amp;" "&amp;$F428,Bonuses!$B$1:$G$1006,4,FALSE)))</f>
        <v/>
      </c>
      <c r="AE428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/>
      </c>
    </row>
    <row r="429" spans="1:31" s="50" customFormat="1" x14ac:dyDescent="0.3">
      <c r="A429" s="50">
        <v>20650</v>
      </c>
      <c r="B429" s="50">
        <f>COUNTIF(Table5[PID],A429)</f>
        <v>1</v>
      </c>
      <c r="C429" s="50" t="str">
        <f>IF(COUNTIF(Table3[[#All],[PID]],A429)&gt;0,"P","B")</f>
        <v>P</v>
      </c>
      <c r="D429" s="59" t="str">
        <f>IF($C429="B",INDEX(Batters[[#All],[POS]],MATCH(Table5[[#This Row],[PID]],Batters[[#All],[PID]],0)),INDEX(Table3[[#All],[POS]],MATCH(Table5[[#This Row],[PID]],Table3[[#All],[PID]],0)))</f>
        <v>RP</v>
      </c>
      <c r="E429" s="52" t="str">
        <f>IF($C429="B",INDEX(Batters[[#All],[First]],MATCH(Table5[[#This Row],[PID]],Batters[[#All],[PID]],0)),INDEX(Table3[[#All],[First]],MATCH(Table5[[#This Row],[PID]],Table3[[#All],[PID]],0)))</f>
        <v>Young-soo</v>
      </c>
      <c r="F429" s="50" t="str">
        <f>IF($C429="B",INDEX(Batters[[#All],[Last]],MATCH(A429,Batters[[#All],[PID]],0)),INDEX(Table3[[#All],[Last]],MATCH(A429,Table3[[#All],[PID]],0)))</f>
        <v>Kim</v>
      </c>
      <c r="G429" s="56">
        <f>IF($C429="B",INDEX(Batters[[#All],[Age]],MATCH(Table5[[#This Row],[PID]],Batters[[#All],[PID]],0)),INDEX(Table3[[#All],[Age]],MATCH(Table5[[#This Row],[PID]],Table3[[#All],[PID]],0)))</f>
        <v>17</v>
      </c>
      <c r="H429" s="52" t="str">
        <f>IF($C429="B",INDEX(Batters[[#All],[B]],MATCH(Table5[[#This Row],[PID]],Batters[[#All],[PID]],0)),INDEX(Table3[[#All],[B]],MATCH(Table5[[#This Row],[PID]],Table3[[#All],[PID]],0)))</f>
        <v>R</v>
      </c>
      <c r="I429" s="52" t="str">
        <f>IF($C429="B",INDEX(Batters[[#All],[T]],MATCH(Table5[[#This Row],[PID]],Batters[[#All],[PID]],0)),INDEX(Table3[[#All],[T]],MATCH(Table5[[#This Row],[PID]],Table3[[#All],[PID]],0)))</f>
        <v>R</v>
      </c>
      <c r="J429" s="52" t="str">
        <f>IF($C429="B",INDEX(Batters[[#All],[WE]],MATCH(Table5[[#This Row],[PID]],Batters[[#All],[PID]],0)),INDEX(Table3[[#All],[WE]],MATCH(Table5[[#This Row],[PID]],Table3[[#All],[PID]],0)))</f>
        <v>High</v>
      </c>
      <c r="K429" s="52" t="str">
        <f>IF($C429="B",INDEX(Batters[[#All],[INT]],MATCH(Table5[[#This Row],[PID]],Batters[[#All],[PID]],0)),INDEX(Table3[[#All],[INT]],MATCH(Table5[[#This Row],[PID]],Table3[[#All],[PID]],0)))</f>
        <v>Normal</v>
      </c>
      <c r="L429" s="60">
        <f>IF($C429="B",INDEX(Batters[[#All],[CON P]],MATCH(Table5[[#This Row],[PID]],Batters[[#All],[PID]],0)),INDEX(Table3[[#All],[STU P]],MATCH(Table5[[#This Row],[PID]],Table3[[#All],[PID]],0)))</f>
        <v>4</v>
      </c>
      <c r="M429" s="56">
        <f>IF($C429="B",INDEX(Batters[[#All],[GAP P]],MATCH(Table5[[#This Row],[PID]],Batters[[#All],[PID]],0)),INDEX(Table3[[#All],[MOV P]],MATCH(Table5[[#This Row],[PID]],Table3[[#All],[PID]],0)))</f>
        <v>2</v>
      </c>
      <c r="N429" s="56">
        <f>IF($C429="B",INDEX(Batters[[#All],[POW P]],MATCH(Table5[[#This Row],[PID]],Batters[[#All],[PID]],0)),INDEX(Table3[[#All],[CON P]],MATCH(Table5[[#This Row],[PID]],Table3[[#All],[PID]],0)))</f>
        <v>3</v>
      </c>
      <c r="O429" s="56" t="str">
        <f>IF($C429="B",INDEX(Batters[[#All],[EYE P]],MATCH(Table5[[#This Row],[PID]],Batters[[#All],[PID]],0)),INDEX(Table3[[#All],[VELO]],MATCH(Table5[[#This Row],[PID]],Table3[[#All],[PID]],0)))</f>
        <v>87-89 Mph</v>
      </c>
      <c r="P429" s="56">
        <f>IF($C429="B",INDEX(Batters[[#All],[K P]],MATCH(Table5[[#This Row],[PID]],Batters[[#All],[PID]],0)),INDEX(Table3[[#All],[STM]],MATCH(Table5[[#This Row],[PID]],Table3[[#All],[PID]],0)))</f>
        <v>8</v>
      </c>
      <c r="Q429" s="61">
        <f>IF($C429="B",INDEX(Batters[[#All],[Tot]],MATCH(Table5[[#This Row],[PID]],Batters[[#All],[PID]],0)),INDEX(Table3[[#All],[Tot]],MATCH(Table5[[#This Row],[PID]],Table3[[#All],[PID]],0)))</f>
        <v>34.75087445729973</v>
      </c>
      <c r="R429" s="52">
        <f>IF($C429="B",INDEX(Batters[[#All],[zScore]],MATCH(Table5[[#This Row],[PID]],Batters[[#All],[PID]],0)),INDEX(Table3[[#All],[zScore]],MATCH(Table5[[#This Row],[PID]],Table3[[#All],[PID]],0)))</f>
        <v>-0.21087999284300413</v>
      </c>
      <c r="S429" s="58" t="str">
        <f>IF($C429="B",INDEX(Batters[[#All],[DEM]],MATCH(Table5[[#This Row],[PID]],Batters[[#All],[PID]],0)),INDEX(Table3[[#All],[DEM]],MATCH(Table5[[#This Row],[PID]],Table3[[#All],[PID]],0)))</f>
        <v>$65k</v>
      </c>
      <c r="T429" s="62">
        <f>IF($C429="B",INDEX(Batters[[#All],[Rnk]],MATCH(Table5[[#This Row],[PID]],Batters[[#All],[PID]],0)),INDEX(Table3[[#All],[Rnk]],MATCH(Table5[[#This Row],[PID]],Table3[[#All],[PID]],0)))</f>
        <v>900</v>
      </c>
      <c r="U429" s="67">
        <f>IF($C429="B",VLOOKUP($A429,Bat!$A$4:$BA$1314,47,FALSE),VLOOKUP($A429,Pit!$A$4:$BF$1214,56,FALSE))</f>
        <v>149</v>
      </c>
      <c r="V429" s="50">
        <f>IF($C429="B",VLOOKUP($A429,Bat!$A$4:$BA$1314,48,FALSE),VLOOKUP($A429,Pit!$A$4:$BF$1214,57,FALSE))</f>
        <v>0</v>
      </c>
      <c r="W429" s="68">
        <f>IF(Table5[[#This Row],[posRnk]]=999,9999,Table5[[#This Row],[posRnk]]+Table5[[#This Row],[zRnk]]+IF($W$3&lt;&gt;Table5[[#This Row],[Type]],50,0))</f>
        <v>1347</v>
      </c>
      <c r="X429" s="51">
        <f>RANK(Table5[[#This Row],[zScore]],Table5[[#All],[zScore]])</f>
        <v>447</v>
      </c>
      <c r="Y429" s="50">
        <f>IFERROR(INDEX(DraftResults[[#All],[OVR]],MATCH(Table5[[#This Row],[PID]],DraftResults[[#All],[Player ID]],0)),"")</f>
        <v>415</v>
      </c>
      <c r="Z429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13</v>
      </c>
      <c r="AA429" s="50">
        <f>IFERROR(INDEX(DraftResults[[#All],[Pick in Round]],MATCH(Table5[[#This Row],[PID]],DraftResults[[#All],[Player ID]],0)),"")</f>
        <v>16</v>
      </c>
      <c r="AB429" s="50" t="str">
        <f>IFERROR(INDEX(DraftResults[[#All],[Team Name]],MATCH(Table5[[#This Row],[PID]],DraftResults[[#All],[Player ID]],0)),"")</f>
        <v>Madison Malts</v>
      </c>
      <c r="AC429" s="50">
        <f>IF(Table5[[#This Row],[Ovr]]="","",IF(Table5[[#This Row],[cmbList]]="","",Table5[[#This Row],[cmbList]]-Table5[[#This Row],[Ovr]]))</f>
        <v>932</v>
      </c>
      <c r="AD429" s="54" t="str">
        <f>IF(ISERROR(VLOOKUP($AB429&amp;"-"&amp;$E429&amp;" "&amp;F429,Bonuses!$B$1:$G$1006,4,FALSE)),"",INT(VLOOKUP($AB429&amp;"-"&amp;$E429&amp;" "&amp;$F429,Bonuses!$B$1:$G$1006,4,FALSE)))</f>
        <v/>
      </c>
      <c r="AE429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13.16 (415) - RP Young-soo Kim</v>
      </c>
    </row>
    <row r="430" spans="1:31" s="50" customFormat="1" x14ac:dyDescent="0.3">
      <c r="A430" s="50">
        <v>21068</v>
      </c>
      <c r="B430" s="50">
        <f>COUNTIF(Table5[PID],A430)</f>
        <v>1</v>
      </c>
      <c r="C430" s="50" t="str">
        <f>IF(COUNTIF(Table3[[#All],[PID]],A430)&gt;0,"P","B")</f>
        <v>B</v>
      </c>
      <c r="D430" s="59" t="str">
        <f>IF($C430="B",INDEX(Batters[[#All],[POS]],MATCH(Table5[[#This Row],[PID]],Batters[[#All],[PID]],0)),INDEX(Table3[[#All],[POS]],MATCH(Table5[[#This Row],[PID]],Table3[[#All],[PID]],0)))</f>
        <v>2B</v>
      </c>
      <c r="E430" s="52" t="str">
        <f>IF($C430="B",INDEX(Batters[[#All],[First]],MATCH(Table5[[#This Row],[PID]],Batters[[#All],[PID]],0)),INDEX(Table3[[#All],[First]],MATCH(Table5[[#This Row],[PID]],Table3[[#All],[PID]],0)))</f>
        <v>Oliver</v>
      </c>
      <c r="F430" s="50" t="str">
        <f>IF($C430="B",INDEX(Batters[[#All],[Last]],MATCH(A430,Batters[[#All],[PID]],0)),INDEX(Table3[[#All],[Last]],MATCH(A430,Table3[[#All],[PID]],0)))</f>
        <v>Catron</v>
      </c>
      <c r="G430" s="56">
        <f>IF($C430="B",INDEX(Batters[[#All],[Age]],MATCH(Table5[[#This Row],[PID]],Batters[[#All],[PID]],0)),INDEX(Table3[[#All],[Age]],MATCH(Table5[[#This Row],[PID]],Table3[[#All],[PID]],0)))</f>
        <v>17</v>
      </c>
      <c r="H430" s="52" t="str">
        <f>IF($C430="B",INDEX(Batters[[#All],[B]],MATCH(Table5[[#This Row],[PID]],Batters[[#All],[PID]],0)),INDEX(Table3[[#All],[B]],MATCH(Table5[[#This Row],[PID]],Table3[[#All],[PID]],0)))</f>
        <v>L</v>
      </c>
      <c r="I430" s="52" t="str">
        <f>IF($C430="B",INDEX(Batters[[#All],[T]],MATCH(Table5[[#This Row],[PID]],Batters[[#All],[PID]],0)),INDEX(Table3[[#All],[T]],MATCH(Table5[[#This Row],[PID]],Table3[[#All],[PID]],0)))</f>
        <v>R</v>
      </c>
      <c r="J430" s="52" t="str">
        <f>IF($C430="B",INDEX(Batters[[#All],[WE]],MATCH(Table5[[#This Row],[PID]],Batters[[#All],[PID]],0)),INDEX(Table3[[#All],[WE]],MATCH(Table5[[#This Row],[PID]],Table3[[#All],[PID]],0)))</f>
        <v>High</v>
      </c>
      <c r="K430" s="52" t="str">
        <f>IF($C430="B",INDEX(Batters[[#All],[INT]],MATCH(Table5[[#This Row],[PID]],Batters[[#All],[PID]],0)),INDEX(Table3[[#All],[INT]],MATCH(Table5[[#This Row],[PID]],Table3[[#All],[PID]],0)))</f>
        <v>Normal</v>
      </c>
      <c r="L430" s="60">
        <f>IF($C430="B",INDEX(Batters[[#All],[CON P]],MATCH(Table5[[#This Row],[PID]],Batters[[#All],[PID]],0)),INDEX(Table3[[#All],[STU P]],MATCH(Table5[[#This Row],[PID]],Table3[[#All],[PID]],0)))</f>
        <v>3</v>
      </c>
      <c r="M430" s="56">
        <f>IF($C430="B",INDEX(Batters[[#All],[GAP P]],MATCH(Table5[[#This Row],[PID]],Batters[[#All],[PID]],0)),INDEX(Table3[[#All],[MOV P]],MATCH(Table5[[#This Row],[PID]],Table3[[#All],[PID]],0)))</f>
        <v>4</v>
      </c>
      <c r="N430" s="56">
        <f>IF($C430="B",INDEX(Batters[[#All],[POW P]],MATCH(Table5[[#This Row],[PID]],Batters[[#All],[PID]],0)),INDEX(Table3[[#All],[CON P]],MATCH(Table5[[#This Row],[PID]],Table3[[#All],[PID]],0)))</f>
        <v>2</v>
      </c>
      <c r="O430" s="56">
        <f>IF($C430="B",INDEX(Batters[[#All],[EYE P]],MATCH(Table5[[#This Row],[PID]],Batters[[#All],[PID]],0)),INDEX(Table3[[#All],[VELO]],MATCH(Table5[[#This Row],[PID]],Table3[[#All],[PID]],0)))</f>
        <v>5</v>
      </c>
      <c r="P430" s="56">
        <f>IF($C430="B",INDEX(Batters[[#All],[K P]],MATCH(Table5[[#This Row],[PID]],Batters[[#All],[PID]],0)),INDEX(Table3[[#All],[STM]],MATCH(Table5[[#This Row],[PID]],Table3[[#All],[PID]],0)))</f>
        <v>4</v>
      </c>
      <c r="Q430" s="61">
        <f>IF($C430="B",INDEX(Batters[[#All],[Tot]],MATCH(Table5[[#This Row],[PID]],Batters[[#All],[PID]],0)),INDEX(Table3[[#All],[Tot]],MATCH(Table5[[#This Row],[PID]],Table3[[#All],[PID]],0)))</f>
        <v>41.767013145085123</v>
      </c>
      <c r="R430" s="52">
        <f>IF($C430="B",INDEX(Batters[[#All],[zScore]],MATCH(Table5[[#This Row],[PID]],Batters[[#All],[PID]],0)),INDEX(Table3[[#All],[zScore]],MATCH(Table5[[#This Row],[PID]],Table3[[#All],[PID]],0)))</f>
        <v>-0.21186941422440786</v>
      </c>
      <c r="S430" s="58" t="str">
        <f>IF($C430="B",INDEX(Batters[[#All],[DEM]],MATCH(Table5[[#This Row],[PID]],Batters[[#All],[PID]],0)),INDEX(Table3[[#All],[DEM]],MATCH(Table5[[#This Row],[PID]],Table3[[#All],[PID]],0)))</f>
        <v>$38k</v>
      </c>
      <c r="T430" s="62">
        <f>IF($C430="B",INDEX(Batters[[#All],[Rnk]],MATCH(Table5[[#This Row],[PID]],Batters[[#All],[PID]],0)),INDEX(Table3[[#All],[Rnk]],MATCH(Table5[[#This Row],[PID]],Table3[[#All],[PID]],0)))</f>
        <v>900</v>
      </c>
      <c r="U430" s="67">
        <f>IF($C430="B",VLOOKUP($A430,Bat!$A$4:$BA$1314,47,FALSE),VLOOKUP($A430,Pit!$A$4:$BF$1214,56,FALSE))</f>
        <v>181</v>
      </c>
      <c r="V430" s="50">
        <f>IF($C430="B",VLOOKUP($A430,Bat!$A$4:$BA$1314,48,FALSE),VLOOKUP($A430,Pit!$A$4:$BF$1214,57,FALSE))</f>
        <v>0</v>
      </c>
      <c r="W430" s="68">
        <f>IF(Table5[[#This Row],[posRnk]]=999,9999,Table5[[#This Row],[posRnk]]+Table5[[#This Row],[zRnk]]+IF($W$3&lt;&gt;Table5[[#This Row],[Type]],50,0))</f>
        <v>1399</v>
      </c>
      <c r="X430" s="51">
        <f>RANK(Table5[[#This Row],[zScore]],Table5[[#All],[zScore]])</f>
        <v>449</v>
      </c>
      <c r="Y430" s="50">
        <f>IFERROR(INDEX(DraftResults[[#All],[OVR]],MATCH(Table5[[#This Row],[PID]],DraftResults[[#All],[Player ID]],0)),"")</f>
        <v>634</v>
      </c>
      <c r="Z430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19</v>
      </c>
      <c r="AA430" s="50">
        <f>IFERROR(INDEX(DraftResults[[#All],[Pick in Round]],MATCH(Table5[[#This Row],[PID]],DraftResults[[#All],[Player ID]],0)),"")</f>
        <v>31</v>
      </c>
      <c r="AB430" s="50" t="str">
        <f>IFERROR(INDEX(DraftResults[[#All],[Team Name]],MATCH(Table5[[#This Row],[PID]],DraftResults[[#All],[Player ID]],0)),"")</f>
        <v>West Virginia Alleghenies</v>
      </c>
      <c r="AC430" s="50">
        <f>IF(Table5[[#This Row],[Ovr]]="","",IF(Table5[[#This Row],[cmbList]]="","",Table5[[#This Row],[cmbList]]-Table5[[#This Row],[Ovr]]))</f>
        <v>765</v>
      </c>
      <c r="AD430" s="54" t="str">
        <f>IF(ISERROR(VLOOKUP($AB430&amp;"-"&amp;$E430&amp;" "&amp;F430,Bonuses!$B$1:$G$1006,4,FALSE)),"",INT(VLOOKUP($AB430&amp;"-"&amp;$E430&amp;" "&amp;$F430,Bonuses!$B$1:$G$1006,4,FALSE)))</f>
        <v/>
      </c>
      <c r="AE430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19.31 (634) - 2B Oliver Catron</v>
      </c>
    </row>
    <row r="431" spans="1:31" s="50" customFormat="1" x14ac:dyDescent="0.3">
      <c r="A431" s="67">
        <v>15523</v>
      </c>
      <c r="B431" s="68">
        <f>COUNTIF(Table5[PID],A431)</f>
        <v>1</v>
      </c>
      <c r="C431" s="68" t="str">
        <f>IF(COUNTIF(Table3[[#All],[PID]],A431)&gt;0,"P","B")</f>
        <v>B</v>
      </c>
      <c r="D431" s="59" t="str">
        <f>IF($C431="B",INDEX(Batters[[#All],[POS]],MATCH(Table5[[#This Row],[PID]],Batters[[#All],[PID]],0)),INDEX(Table3[[#All],[POS]],MATCH(Table5[[#This Row],[PID]],Table3[[#All],[PID]],0)))</f>
        <v>SS</v>
      </c>
      <c r="E431" s="52" t="str">
        <f>IF($C431="B",INDEX(Batters[[#All],[First]],MATCH(Table5[[#This Row],[PID]],Batters[[#All],[PID]],0)),INDEX(Table3[[#All],[First]],MATCH(Table5[[#This Row],[PID]],Table3[[#All],[PID]],0)))</f>
        <v>António</v>
      </c>
      <c r="F431" s="55" t="str">
        <f>IF($C431="B",INDEX(Batters[[#All],[Last]],MATCH(A431,Batters[[#All],[PID]],0)),INDEX(Table3[[#All],[Last]],MATCH(A431,Table3[[#All],[PID]],0)))</f>
        <v>Ortíz</v>
      </c>
      <c r="G431" s="56">
        <f>IF($C431="B",INDEX(Batters[[#All],[Age]],MATCH(Table5[[#This Row],[PID]],Batters[[#All],[PID]],0)),INDEX(Table3[[#All],[Age]],MATCH(Table5[[#This Row],[PID]],Table3[[#All],[PID]],0)))</f>
        <v>21</v>
      </c>
      <c r="H431" s="52" t="str">
        <f>IF($C431="B",INDEX(Batters[[#All],[B]],MATCH(Table5[[#This Row],[PID]],Batters[[#All],[PID]],0)),INDEX(Table3[[#All],[B]],MATCH(Table5[[#This Row],[PID]],Table3[[#All],[PID]],0)))</f>
        <v>R</v>
      </c>
      <c r="I431" s="52" t="str">
        <f>IF($C431="B",INDEX(Batters[[#All],[T]],MATCH(Table5[[#This Row],[PID]],Batters[[#All],[PID]],0)),INDEX(Table3[[#All],[T]],MATCH(Table5[[#This Row],[PID]],Table3[[#All],[PID]],0)))</f>
        <v>R</v>
      </c>
      <c r="J431" s="69" t="str">
        <f>IF($C431="B",INDEX(Batters[[#All],[WE]],MATCH(Table5[[#This Row],[PID]],Batters[[#All],[PID]],0)),INDEX(Table3[[#All],[WE]],MATCH(Table5[[#This Row],[PID]],Table3[[#All],[PID]],0)))</f>
        <v>Normal</v>
      </c>
      <c r="K431" s="52" t="str">
        <f>IF($C431="B",INDEX(Batters[[#All],[INT]],MATCH(Table5[[#This Row],[PID]],Batters[[#All],[PID]],0)),INDEX(Table3[[#All],[INT]],MATCH(Table5[[#This Row],[PID]],Table3[[#All],[PID]],0)))</f>
        <v>Normal</v>
      </c>
      <c r="L431" s="60">
        <f>IF($C431="B",INDEX(Batters[[#All],[CON P]],MATCH(Table5[[#This Row],[PID]],Batters[[#All],[PID]],0)),INDEX(Table3[[#All],[STU P]],MATCH(Table5[[#This Row],[PID]],Table3[[#All],[PID]],0)))</f>
        <v>4</v>
      </c>
      <c r="M431" s="70">
        <f>IF($C431="B",INDEX(Batters[[#All],[GAP P]],MATCH(Table5[[#This Row],[PID]],Batters[[#All],[PID]],0)),INDEX(Table3[[#All],[MOV P]],MATCH(Table5[[#This Row],[PID]],Table3[[#All],[PID]],0)))</f>
        <v>4</v>
      </c>
      <c r="N431" s="70">
        <f>IF($C431="B",INDEX(Batters[[#All],[POW P]],MATCH(Table5[[#This Row],[PID]],Batters[[#All],[PID]],0)),INDEX(Table3[[#All],[CON P]],MATCH(Table5[[#This Row],[PID]],Table3[[#All],[PID]],0)))</f>
        <v>3</v>
      </c>
      <c r="O431" s="70">
        <f>IF($C431="B",INDEX(Batters[[#All],[EYE P]],MATCH(Table5[[#This Row],[PID]],Batters[[#All],[PID]],0)),INDEX(Table3[[#All],[VELO]],MATCH(Table5[[#This Row],[PID]],Table3[[#All],[PID]],0)))</f>
        <v>5</v>
      </c>
      <c r="P431" s="56">
        <f>IF($C431="B",INDEX(Batters[[#All],[K P]],MATCH(Table5[[#This Row],[PID]],Batters[[#All],[PID]],0)),INDEX(Table3[[#All],[STM]],MATCH(Table5[[#This Row],[PID]],Table3[[#All],[PID]],0)))</f>
        <v>3</v>
      </c>
      <c r="Q431" s="61">
        <f>IF($C431="B",INDEX(Batters[[#All],[Tot]],MATCH(Table5[[#This Row],[PID]],Batters[[#All],[PID]],0)),INDEX(Table3[[#All],[Tot]],MATCH(Table5[[#This Row],[PID]],Table3[[#All],[PID]],0)))</f>
        <v>41.734027556858081</v>
      </c>
      <c r="R431" s="52">
        <f>IF($C431="B",INDEX(Batters[[#All],[zScore]],MATCH(Table5[[#This Row],[PID]],Batters[[#All],[PID]],0)),INDEX(Table3[[#All],[zScore]],MATCH(Table5[[#This Row],[PID]],Table3[[#All],[PID]],0)))</f>
        <v>-0.21668425818350856</v>
      </c>
      <c r="S431" s="75" t="str">
        <f>IF($C431="B",INDEX(Batters[[#All],[DEM]],MATCH(Table5[[#This Row],[PID]],Batters[[#All],[PID]],0)),INDEX(Table3[[#All],[DEM]],MATCH(Table5[[#This Row],[PID]],Table3[[#All],[PID]],0)))</f>
        <v>$85k</v>
      </c>
      <c r="T431" s="72">
        <f>IF($C431="B",INDEX(Batters[[#All],[Rnk]],MATCH(Table5[[#This Row],[PID]],Batters[[#All],[PID]],0)),INDEX(Table3[[#All],[Rnk]],MATCH(Table5[[#This Row],[PID]],Table3[[#All],[PID]],0)))</f>
        <v>900</v>
      </c>
      <c r="U431" s="67">
        <f>IF($C431="B",VLOOKUP($A431,Bat!$A$4:$BA$1314,47,FALSE),VLOOKUP($A431,Pit!$A$4:$BF$1214,56,FALSE))</f>
        <v>187</v>
      </c>
      <c r="V431" s="50">
        <f>IF($C431="B",VLOOKUP($A431,Bat!$A$4:$BA$1314,48,FALSE),VLOOKUP($A431,Pit!$A$4:$BF$1214,57,FALSE))</f>
        <v>0</v>
      </c>
      <c r="W431" s="68">
        <f>IF(Table5[[#This Row],[posRnk]]=999,9999,Table5[[#This Row],[posRnk]]+Table5[[#This Row],[zRnk]]+IF($W$3&lt;&gt;Table5[[#This Row],[Type]],50,0))</f>
        <v>1400</v>
      </c>
      <c r="X431" s="71">
        <f>RANK(Table5[[#This Row],[zScore]],Table5[[#All],[zScore]])</f>
        <v>450</v>
      </c>
      <c r="Y431" s="68">
        <f>IFERROR(INDEX(DraftResults[[#All],[OVR]],MATCH(Table5[[#This Row],[PID]],DraftResults[[#All],[Player ID]],0)),"")</f>
        <v>232</v>
      </c>
      <c r="Z431" s="7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7</v>
      </c>
      <c r="AA431" s="68">
        <f>IFERROR(INDEX(DraftResults[[#All],[Pick in Round]],MATCH(Table5[[#This Row],[PID]],DraftResults[[#All],[Player ID]],0)),"")</f>
        <v>31</v>
      </c>
      <c r="AB431" s="68" t="str">
        <f>IFERROR(INDEX(DraftResults[[#All],[Team Name]],MATCH(Table5[[#This Row],[PID]],DraftResults[[#All],[Player ID]],0)),"")</f>
        <v>Duluth Warriors</v>
      </c>
      <c r="AC431" s="68">
        <f>IF(Table5[[#This Row],[Ovr]]="","",IF(Table5[[#This Row],[cmbList]]="","",Table5[[#This Row],[cmbList]]-Table5[[#This Row],[Ovr]]))</f>
        <v>1168</v>
      </c>
      <c r="AD431" s="74" t="str">
        <f>IF(ISERROR(VLOOKUP($AB431&amp;"-"&amp;$E431&amp;" "&amp;F431,Bonuses!$B$1:$G$1006,4,FALSE)),"",INT(VLOOKUP($AB431&amp;"-"&amp;$E431&amp;" "&amp;$F431,Bonuses!$B$1:$G$1006,4,FALSE)))</f>
        <v/>
      </c>
      <c r="AE431" s="68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7.31 (232) - SS António Ortíz</v>
      </c>
    </row>
    <row r="432" spans="1:31" s="50" customFormat="1" x14ac:dyDescent="0.3">
      <c r="A432" s="50">
        <v>10569</v>
      </c>
      <c r="B432" s="50">
        <f>COUNTIF(Table5[PID],A432)</f>
        <v>1</v>
      </c>
      <c r="C432" s="50" t="str">
        <f>IF(COUNTIF(Table3[[#All],[PID]],A432)&gt;0,"P","B")</f>
        <v>P</v>
      </c>
      <c r="D432" s="59" t="str">
        <f>IF($C432="B",INDEX(Batters[[#All],[POS]],MATCH(Table5[[#This Row],[PID]],Batters[[#All],[PID]],0)),INDEX(Table3[[#All],[POS]],MATCH(Table5[[#This Row],[PID]],Table3[[#All],[PID]],0)))</f>
        <v>SP</v>
      </c>
      <c r="E432" s="52" t="str">
        <f>IF($C432="B",INDEX(Batters[[#All],[First]],MATCH(Table5[[#This Row],[PID]],Batters[[#All],[PID]],0)),INDEX(Table3[[#All],[First]],MATCH(Table5[[#This Row],[PID]],Table3[[#All],[PID]],0)))</f>
        <v>Pedro</v>
      </c>
      <c r="F432" s="50" t="str">
        <f>IF($C432="B",INDEX(Batters[[#All],[Last]],MATCH(A432,Batters[[#All],[PID]],0)),INDEX(Table3[[#All],[Last]],MATCH(A432,Table3[[#All],[PID]],0)))</f>
        <v>López</v>
      </c>
      <c r="G432" s="56">
        <f>IF($C432="B",INDEX(Batters[[#All],[Age]],MATCH(Table5[[#This Row],[PID]],Batters[[#All],[PID]],0)),INDEX(Table3[[#All],[Age]],MATCH(Table5[[#This Row],[PID]],Table3[[#All],[PID]],0)))</f>
        <v>17</v>
      </c>
      <c r="H432" s="52" t="str">
        <f>IF($C432="B",INDEX(Batters[[#All],[B]],MATCH(Table5[[#This Row],[PID]],Batters[[#All],[PID]],0)),INDEX(Table3[[#All],[B]],MATCH(Table5[[#This Row],[PID]],Table3[[#All],[PID]],0)))</f>
        <v>R</v>
      </c>
      <c r="I432" s="52" t="str">
        <f>IF($C432="B",INDEX(Batters[[#All],[T]],MATCH(Table5[[#This Row],[PID]],Batters[[#All],[PID]],0)),INDEX(Table3[[#All],[T]],MATCH(Table5[[#This Row],[PID]],Table3[[#All],[PID]],0)))</f>
        <v>L</v>
      </c>
      <c r="J432" s="52" t="str">
        <f>IF($C432="B",INDEX(Batters[[#All],[WE]],MATCH(Table5[[#This Row],[PID]],Batters[[#All],[PID]],0)),INDEX(Table3[[#All],[WE]],MATCH(Table5[[#This Row],[PID]],Table3[[#All],[PID]],0)))</f>
        <v>Low</v>
      </c>
      <c r="K432" s="52" t="str">
        <f>IF($C432="B",INDEX(Batters[[#All],[INT]],MATCH(Table5[[#This Row],[PID]],Batters[[#All],[PID]],0)),INDEX(Table3[[#All],[INT]],MATCH(Table5[[#This Row],[PID]],Table3[[#All],[PID]],0)))</f>
        <v>Normal</v>
      </c>
      <c r="L432" s="60">
        <f>IF($C432="B",INDEX(Batters[[#All],[CON P]],MATCH(Table5[[#This Row],[PID]],Batters[[#All],[PID]],0)),INDEX(Table3[[#All],[STU P]],MATCH(Table5[[#This Row],[PID]],Table3[[#All],[PID]],0)))</f>
        <v>4</v>
      </c>
      <c r="M432" s="56">
        <f>IF($C432="B",INDEX(Batters[[#All],[GAP P]],MATCH(Table5[[#This Row],[PID]],Batters[[#All],[PID]],0)),INDEX(Table3[[#All],[MOV P]],MATCH(Table5[[#This Row],[PID]],Table3[[#All],[PID]],0)))</f>
        <v>1</v>
      </c>
      <c r="N432" s="56">
        <f>IF($C432="B",INDEX(Batters[[#All],[POW P]],MATCH(Table5[[#This Row],[PID]],Batters[[#All],[PID]],0)),INDEX(Table3[[#All],[CON P]],MATCH(Table5[[#This Row],[PID]],Table3[[#All],[PID]],0)))</f>
        <v>4</v>
      </c>
      <c r="O432" s="56" t="str">
        <f>IF($C432="B",INDEX(Batters[[#All],[EYE P]],MATCH(Table5[[#This Row],[PID]],Batters[[#All],[PID]],0)),INDEX(Table3[[#All],[VELO]],MATCH(Table5[[#This Row],[PID]],Table3[[#All],[PID]],0)))</f>
        <v>93-95 Mph</v>
      </c>
      <c r="P432" s="56">
        <f>IF($C432="B",INDEX(Batters[[#All],[K P]],MATCH(Table5[[#This Row],[PID]],Batters[[#All],[PID]],0)),INDEX(Table3[[#All],[STM]],MATCH(Table5[[#This Row],[PID]],Table3[[#All],[PID]],0)))</f>
        <v>6</v>
      </c>
      <c r="Q432" s="61">
        <f>IF($C432="B",INDEX(Batters[[#All],[Tot]],MATCH(Table5[[#This Row],[PID]],Batters[[#All],[PID]],0)),INDEX(Table3[[#All],[Tot]],MATCH(Table5[[#This Row],[PID]],Table3[[#All],[PID]],0)))</f>
        <v>36.309190378303263</v>
      </c>
      <c r="R432" s="52">
        <f>IF($C432="B",INDEX(Batters[[#All],[zScore]],MATCH(Table5[[#This Row],[PID]],Batters[[#All],[PID]],0)),INDEX(Table3[[#All],[zScore]],MATCH(Table5[[#This Row],[PID]],Table3[[#All],[PID]],0)))</f>
        <v>-0.10634002833070105</v>
      </c>
      <c r="S432" s="58" t="str">
        <f>IF($C432="B",INDEX(Batters[[#All],[DEM]],MATCH(Table5[[#This Row],[PID]],Batters[[#All],[PID]],0)),INDEX(Table3[[#All],[DEM]],MATCH(Table5[[#This Row],[PID]],Table3[[#All],[PID]],0)))</f>
        <v>$75k</v>
      </c>
      <c r="T432" s="62">
        <f>IF($C432="B",INDEX(Batters[[#All],[Rnk]],MATCH(Table5[[#This Row],[PID]],Batters[[#All],[PID]],0)),INDEX(Table3[[#All],[Rnk]],MATCH(Table5[[#This Row],[PID]],Table3[[#All],[PID]],0)))</f>
        <v>930</v>
      </c>
      <c r="U432" s="67">
        <f>IF($C432="B",VLOOKUP($A432,Bat!$A$4:$BA$1314,47,FALSE),VLOOKUP($A432,Pit!$A$4:$BF$1214,56,FALSE))</f>
        <v>290</v>
      </c>
      <c r="V432" s="50">
        <f>IF($C432="B",VLOOKUP($A432,Bat!$A$4:$BA$1314,48,FALSE),VLOOKUP($A432,Pit!$A$4:$BF$1214,57,FALSE))</f>
        <v>0</v>
      </c>
      <c r="W432" s="68">
        <f>IF(Table5[[#This Row],[posRnk]]=999,9999,Table5[[#This Row],[posRnk]]+Table5[[#This Row],[zRnk]]+IF($W$3&lt;&gt;Table5[[#This Row],[Type]],50,0))</f>
        <v>1350</v>
      </c>
      <c r="X432" s="51">
        <f>RANK(Table5[[#This Row],[zScore]],Table5[[#All],[zScore]])</f>
        <v>420</v>
      </c>
      <c r="Y432" s="50">
        <f>IFERROR(INDEX(DraftResults[[#All],[OVR]],MATCH(Table5[[#This Row],[PID]],DraftResults[[#All],[Player ID]],0)),"")</f>
        <v>620</v>
      </c>
      <c r="Z432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19</v>
      </c>
      <c r="AA432" s="50">
        <f>IFERROR(INDEX(DraftResults[[#All],[Pick in Round]],MATCH(Table5[[#This Row],[PID]],DraftResults[[#All],[Player ID]],0)),"")</f>
        <v>17</v>
      </c>
      <c r="AB432" s="50" t="str">
        <f>IFERROR(INDEX(DraftResults[[#All],[Team Name]],MATCH(Table5[[#This Row],[PID]],DraftResults[[#All],[Player ID]],0)),"")</f>
        <v>Duluth Warriors</v>
      </c>
      <c r="AC432" s="50">
        <f>IF(Table5[[#This Row],[Ovr]]="","",IF(Table5[[#This Row],[cmbList]]="","",Table5[[#This Row],[cmbList]]-Table5[[#This Row],[Ovr]]))</f>
        <v>730</v>
      </c>
      <c r="AD432" s="54" t="str">
        <f>IF(ISERROR(VLOOKUP($AB432&amp;"-"&amp;$E432&amp;" "&amp;F432,Bonuses!$B$1:$G$1006,4,FALSE)),"",INT(VLOOKUP($AB432&amp;"-"&amp;$E432&amp;" "&amp;$F432,Bonuses!$B$1:$G$1006,4,FALSE)))</f>
        <v/>
      </c>
      <c r="AE432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19.17 (620) - SP Pedro López</v>
      </c>
    </row>
    <row r="433" spans="1:31" s="50" customFormat="1" x14ac:dyDescent="0.3">
      <c r="A433" s="50">
        <v>16411</v>
      </c>
      <c r="B433" s="50">
        <f>COUNTIF(Table5[PID],A433)</f>
        <v>1</v>
      </c>
      <c r="C433" s="50" t="str">
        <f>IF(COUNTIF(Table3[[#All],[PID]],A433)&gt;0,"P","B")</f>
        <v>P</v>
      </c>
      <c r="D433" s="59" t="str">
        <f>IF($C433="B",INDEX(Batters[[#All],[POS]],MATCH(Table5[[#This Row],[PID]],Batters[[#All],[PID]],0)),INDEX(Table3[[#All],[POS]],MATCH(Table5[[#This Row],[PID]],Table3[[#All],[PID]],0)))</f>
        <v>RP</v>
      </c>
      <c r="E433" s="52" t="str">
        <f>IF($C433="B",INDEX(Batters[[#All],[First]],MATCH(Table5[[#This Row],[PID]],Batters[[#All],[PID]],0)),INDEX(Table3[[#All],[First]],MATCH(Table5[[#This Row],[PID]],Table3[[#All],[PID]],0)))</f>
        <v>Yoshiki</v>
      </c>
      <c r="F433" s="50" t="str">
        <f>IF($C433="B",INDEX(Batters[[#All],[Last]],MATCH(A433,Batters[[#All],[PID]],0)),INDEX(Table3[[#All],[Last]],MATCH(A433,Table3[[#All],[PID]],0)))</f>
        <v>Tanaka</v>
      </c>
      <c r="G433" s="56">
        <f>IF($C433="B",INDEX(Batters[[#All],[Age]],MATCH(Table5[[#This Row],[PID]],Batters[[#All],[PID]],0)),INDEX(Table3[[#All],[Age]],MATCH(Table5[[#This Row],[PID]],Table3[[#All],[PID]],0)))</f>
        <v>21</v>
      </c>
      <c r="H433" s="52" t="str">
        <f>IF($C433="B",INDEX(Batters[[#All],[B]],MATCH(Table5[[#This Row],[PID]],Batters[[#All],[PID]],0)),INDEX(Table3[[#All],[B]],MATCH(Table5[[#This Row],[PID]],Table3[[#All],[PID]],0)))</f>
        <v>L</v>
      </c>
      <c r="I433" s="52" t="str">
        <f>IF($C433="B",INDEX(Batters[[#All],[T]],MATCH(Table5[[#This Row],[PID]],Batters[[#All],[PID]],0)),INDEX(Table3[[#All],[T]],MATCH(Table5[[#This Row],[PID]],Table3[[#All],[PID]],0)))</f>
        <v>L</v>
      </c>
      <c r="J433" s="52" t="str">
        <f>IF($C433="B",INDEX(Batters[[#All],[WE]],MATCH(Table5[[#This Row],[PID]],Batters[[#All],[PID]],0)),INDEX(Table3[[#All],[WE]],MATCH(Table5[[#This Row],[PID]],Table3[[#All],[PID]],0)))</f>
        <v>High</v>
      </c>
      <c r="K433" s="52" t="str">
        <f>IF($C433="B",INDEX(Batters[[#All],[INT]],MATCH(Table5[[#This Row],[PID]],Batters[[#All],[PID]],0)),INDEX(Table3[[#All],[INT]],MATCH(Table5[[#This Row],[PID]],Table3[[#All],[PID]],0)))</f>
        <v>Normal</v>
      </c>
      <c r="L433" s="60">
        <f>IF($C433="B",INDEX(Batters[[#All],[CON P]],MATCH(Table5[[#This Row],[PID]],Batters[[#All],[PID]],0)),INDEX(Table3[[#All],[STU P]],MATCH(Table5[[#This Row],[PID]],Table3[[#All],[PID]],0)))</f>
        <v>5</v>
      </c>
      <c r="M433" s="56">
        <f>IF($C433="B",INDEX(Batters[[#All],[GAP P]],MATCH(Table5[[#This Row],[PID]],Batters[[#All],[PID]],0)),INDEX(Table3[[#All],[MOV P]],MATCH(Table5[[#This Row],[PID]],Table3[[#All],[PID]],0)))</f>
        <v>2</v>
      </c>
      <c r="N433" s="56">
        <f>IF($C433="B",INDEX(Batters[[#All],[POW P]],MATCH(Table5[[#This Row],[PID]],Batters[[#All],[PID]],0)),INDEX(Table3[[#All],[CON P]],MATCH(Table5[[#This Row],[PID]],Table3[[#All],[PID]],0)))</f>
        <v>3</v>
      </c>
      <c r="O433" s="56" t="str">
        <f>IF($C433="B",INDEX(Batters[[#All],[EYE P]],MATCH(Table5[[#This Row],[PID]],Batters[[#All],[PID]],0)),INDEX(Table3[[#All],[VELO]],MATCH(Table5[[#This Row],[PID]],Table3[[#All],[PID]],0)))</f>
        <v>91-93 Mph</v>
      </c>
      <c r="P433" s="56">
        <f>IF($C433="B",INDEX(Batters[[#All],[K P]],MATCH(Table5[[#This Row],[PID]],Batters[[#All],[PID]],0)),INDEX(Table3[[#All],[STM]],MATCH(Table5[[#This Row],[PID]],Table3[[#All],[PID]],0)))</f>
        <v>3</v>
      </c>
      <c r="Q433" s="61">
        <f>IF($C433="B",INDEX(Batters[[#All],[Tot]],MATCH(Table5[[#This Row],[PID]],Batters[[#All],[PID]],0)),INDEX(Table3[[#All],[Tot]],MATCH(Table5[[#This Row],[PID]],Table3[[#All],[PID]],0)))</f>
        <v>34.739457251765785</v>
      </c>
      <c r="R433" s="52">
        <f>IF($C433="B",INDEX(Batters[[#All],[zScore]],MATCH(Table5[[#This Row],[PID]],Batters[[#All],[PID]],0)),INDEX(Table3[[#All],[zScore]],MATCH(Table5[[#This Row],[PID]],Table3[[#All],[PID]],0)))</f>
        <v>-0.21811606667385391</v>
      </c>
      <c r="S433" s="58" t="str">
        <f>IF($C433="B",INDEX(Batters[[#All],[DEM]],MATCH(Table5[[#This Row],[PID]],Batters[[#All],[PID]],0)),INDEX(Table3[[#All],[DEM]],MATCH(Table5[[#This Row],[PID]],Table3[[#All],[PID]],0)))</f>
        <v>-</v>
      </c>
      <c r="T433" s="62">
        <f>IF($C433="B",INDEX(Batters[[#All],[Rnk]],MATCH(Table5[[#This Row],[PID]],Batters[[#All],[PID]],0)),INDEX(Table3[[#All],[Rnk]],MATCH(Table5[[#This Row],[PID]],Table3[[#All],[PID]],0)))</f>
        <v>900</v>
      </c>
      <c r="U433" s="67">
        <f>IF($C433="B",VLOOKUP($A433,Bat!$A$4:$BA$1314,47,FALSE),VLOOKUP($A433,Pit!$A$4:$BF$1214,56,FALSE))</f>
        <v>150</v>
      </c>
      <c r="V433" s="50">
        <f>IF($C433="B",VLOOKUP($A433,Bat!$A$4:$BA$1314,48,FALSE),VLOOKUP($A433,Pit!$A$4:$BF$1214,57,FALSE))</f>
        <v>0</v>
      </c>
      <c r="W433" s="68">
        <f>IF(Table5[[#This Row],[posRnk]]=999,9999,Table5[[#This Row],[posRnk]]+Table5[[#This Row],[zRnk]]+IF($W$3&lt;&gt;Table5[[#This Row],[Type]],50,0))</f>
        <v>1351</v>
      </c>
      <c r="X433" s="51">
        <f>RANK(Table5[[#This Row],[zScore]],Table5[[#All],[zScore]])</f>
        <v>451</v>
      </c>
      <c r="Y433" s="50">
        <f>IFERROR(INDEX(DraftResults[[#All],[OVR]],MATCH(Table5[[#This Row],[PID]],DraftResults[[#All],[Player ID]],0)),"")</f>
        <v>297</v>
      </c>
      <c r="Z433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9</v>
      </c>
      <c r="AA433" s="50">
        <f>IFERROR(INDEX(DraftResults[[#All],[Pick in Round]],MATCH(Table5[[#This Row],[PID]],DraftResults[[#All],[Player ID]],0)),"")</f>
        <v>32</v>
      </c>
      <c r="AB433" s="50" t="str">
        <f>IFERROR(INDEX(DraftResults[[#All],[Team Name]],MATCH(Table5[[#This Row],[PID]],DraftResults[[#All],[Player ID]],0)),"")</f>
        <v>Florida Farstriders</v>
      </c>
      <c r="AC433" s="50">
        <f>IF(Table5[[#This Row],[Ovr]]="","",IF(Table5[[#This Row],[cmbList]]="","",Table5[[#This Row],[cmbList]]-Table5[[#This Row],[Ovr]]))</f>
        <v>1054</v>
      </c>
      <c r="AD433" s="54" t="str">
        <f>IF(ISERROR(VLOOKUP($AB433&amp;"-"&amp;$E433&amp;" "&amp;F433,Bonuses!$B$1:$G$1006,4,FALSE)),"",INT(VLOOKUP($AB433&amp;"-"&amp;$E433&amp;" "&amp;$F433,Bonuses!$B$1:$G$1006,4,FALSE)))</f>
        <v/>
      </c>
      <c r="AE433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9.32 (297) - RP Yoshiki Tanaka</v>
      </c>
    </row>
    <row r="434" spans="1:31" s="50" customFormat="1" x14ac:dyDescent="0.3">
      <c r="A434" s="50">
        <v>10977</v>
      </c>
      <c r="B434" s="50">
        <f>COUNTIF(Table5[PID],A434)</f>
        <v>1</v>
      </c>
      <c r="C434" s="50" t="str">
        <f>IF(COUNTIF(Table3[[#All],[PID]],A434)&gt;0,"P","B")</f>
        <v>P</v>
      </c>
      <c r="D434" s="59" t="str">
        <f>IF($C434="B",INDEX(Batters[[#All],[POS]],MATCH(Table5[[#This Row],[PID]],Batters[[#All],[PID]],0)),INDEX(Table3[[#All],[POS]],MATCH(Table5[[#This Row],[PID]],Table3[[#All],[PID]],0)))</f>
        <v>RP</v>
      </c>
      <c r="E434" s="52" t="str">
        <f>IF($C434="B",INDEX(Batters[[#All],[First]],MATCH(Table5[[#This Row],[PID]],Batters[[#All],[PID]],0)),INDEX(Table3[[#All],[First]],MATCH(Table5[[#This Row],[PID]],Table3[[#All],[PID]],0)))</f>
        <v>Narihari</v>
      </c>
      <c r="F434" s="50" t="str">
        <f>IF($C434="B",INDEX(Batters[[#All],[Last]],MATCH(A434,Batters[[#All],[PID]],0)),INDEX(Table3[[#All],[Last]],MATCH(A434,Table3[[#All],[PID]],0)))</f>
        <v>Ine</v>
      </c>
      <c r="G434" s="56">
        <f>IF($C434="B",INDEX(Batters[[#All],[Age]],MATCH(Table5[[#This Row],[PID]],Batters[[#All],[PID]],0)),INDEX(Table3[[#All],[Age]],MATCH(Table5[[#This Row],[PID]],Table3[[#All],[PID]],0)))</f>
        <v>21</v>
      </c>
      <c r="H434" s="52" t="str">
        <f>IF($C434="B",INDEX(Batters[[#All],[B]],MATCH(Table5[[#This Row],[PID]],Batters[[#All],[PID]],0)),INDEX(Table3[[#All],[B]],MATCH(Table5[[#This Row],[PID]],Table3[[#All],[PID]],0)))</f>
        <v>R</v>
      </c>
      <c r="I434" s="52" t="str">
        <f>IF($C434="B",INDEX(Batters[[#All],[T]],MATCH(Table5[[#This Row],[PID]],Batters[[#All],[PID]],0)),INDEX(Table3[[#All],[T]],MATCH(Table5[[#This Row],[PID]],Table3[[#All],[PID]],0)))</f>
        <v>R</v>
      </c>
      <c r="J434" s="52" t="str">
        <f>IF($C434="B",INDEX(Batters[[#All],[WE]],MATCH(Table5[[#This Row],[PID]],Batters[[#All],[PID]],0)),INDEX(Table3[[#All],[WE]],MATCH(Table5[[#This Row],[PID]],Table3[[#All],[PID]],0)))</f>
        <v>High</v>
      </c>
      <c r="K434" s="52" t="str">
        <f>IF($C434="B",INDEX(Batters[[#All],[INT]],MATCH(Table5[[#This Row],[PID]],Batters[[#All],[PID]],0)),INDEX(Table3[[#All],[INT]],MATCH(Table5[[#This Row],[PID]],Table3[[#All],[PID]],0)))</f>
        <v>Normal</v>
      </c>
      <c r="L434" s="60">
        <f>IF($C434="B",INDEX(Batters[[#All],[CON P]],MATCH(Table5[[#This Row],[PID]],Batters[[#All],[PID]],0)),INDEX(Table3[[#All],[STU P]],MATCH(Table5[[#This Row],[PID]],Table3[[#All],[PID]],0)))</f>
        <v>5</v>
      </c>
      <c r="M434" s="56">
        <f>IF($C434="B",INDEX(Batters[[#All],[GAP P]],MATCH(Table5[[#This Row],[PID]],Batters[[#All],[PID]],0)),INDEX(Table3[[#All],[MOV P]],MATCH(Table5[[#This Row],[PID]],Table3[[#All],[PID]],0)))</f>
        <v>1</v>
      </c>
      <c r="N434" s="56">
        <f>IF($C434="B",INDEX(Batters[[#All],[POW P]],MATCH(Table5[[#This Row],[PID]],Batters[[#All],[PID]],0)),INDEX(Table3[[#All],[CON P]],MATCH(Table5[[#This Row],[PID]],Table3[[#All],[PID]],0)))</f>
        <v>4</v>
      </c>
      <c r="O434" s="56" t="str">
        <f>IF($C434="B",INDEX(Batters[[#All],[EYE P]],MATCH(Table5[[#This Row],[PID]],Batters[[#All],[PID]],0)),INDEX(Table3[[#All],[VELO]],MATCH(Table5[[#This Row],[PID]],Table3[[#All],[PID]],0)))</f>
        <v>91-93 Mph</v>
      </c>
      <c r="P434" s="56">
        <f>IF($C434="B",INDEX(Batters[[#All],[K P]],MATCH(Table5[[#This Row],[PID]],Batters[[#All],[PID]],0)),INDEX(Table3[[#All],[STM]],MATCH(Table5[[#This Row],[PID]],Table3[[#All],[PID]],0)))</f>
        <v>6</v>
      </c>
      <c r="Q434" s="61">
        <f>IF($C434="B",INDEX(Batters[[#All],[Tot]],MATCH(Table5[[#This Row],[PID]],Batters[[#All],[PID]],0)),INDEX(Table3[[#All],[Tot]],MATCH(Table5[[#This Row],[PID]],Table3[[#All],[PID]],0)))</f>
        <v>34.703774125421177</v>
      </c>
      <c r="R434" s="52">
        <f>IF($C434="B",INDEX(Batters[[#All],[zScore]],MATCH(Table5[[#This Row],[PID]],Batters[[#All],[PID]],0)),INDEX(Table3[[#All],[zScore]],MATCH(Table5[[#This Row],[PID]],Table3[[#All],[PID]],0)))</f>
        <v>-0.22065695622448497</v>
      </c>
      <c r="S434" s="58" t="str">
        <f>IF($C434="B",INDEX(Batters[[#All],[DEM]],MATCH(Table5[[#This Row],[PID]],Batters[[#All],[PID]],0)),INDEX(Table3[[#All],[DEM]],MATCH(Table5[[#This Row],[PID]],Table3[[#All],[PID]],0)))</f>
        <v>-</v>
      </c>
      <c r="T434" s="62">
        <f>IF($C434="B",INDEX(Batters[[#All],[Rnk]],MATCH(Table5[[#This Row],[PID]],Batters[[#All],[PID]],0)),INDEX(Table3[[#All],[Rnk]],MATCH(Table5[[#This Row],[PID]],Table3[[#All],[PID]],0)))</f>
        <v>900</v>
      </c>
      <c r="U434" s="67">
        <f>IF($C434="B",VLOOKUP($A434,Bat!$A$4:$BA$1314,47,FALSE),VLOOKUP($A434,Pit!$A$4:$BF$1214,56,FALSE))</f>
        <v>151</v>
      </c>
      <c r="V434" s="50">
        <f>IF($C434="B",VLOOKUP($A434,Bat!$A$4:$BA$1314,48,FALSE),VLOOKUP($A434,Pit!$A$4:$BF$1214,57,FALSE))</f>
        <v>0</v>
      </c>
      <c r="W434" s="68">
        <f>IF(Table5[[#This Row],[posRnk]]=999,9999,Table5[[#This Row],[posRnk]]+Table5[[#This Row],[zRnk]]+IF($W$3&lt;&gt;Table5[[#This Row],[Type]],50,0))</f>
        <v>1353</v>
      </c>
      <c r="X434" s="51">
        <f>RANK(Table5[[#This Row],[zScore]],Table5[[#All],[zScore]])</f>
        <v>453</v>
      </c>
      <c r="Y434" s="50">
        <f>IFERROR(INDEX(DraftResults[[#All],[OVR]],MATCH(Table5[[#This Row],[PID]],DraftResults[[#All],[Player ID]],0)),"")</f>
        <v>564</v>
      </c>
      <c r="Z434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17</v>
      </c>
      <c r="AA434" s="50">
        <f>IFERROR(INDEX(DraftResults[[#All],[Pick in Round]],MATCH(Table5[[#This Row],[PID]],DraftResults[[#All],[Player ID]],0)),"")</f>
        <v>29</v>
      </c>
      <c r="AB434" s="50" t="str">
        <f>IFERROR(INDEX(DraftResults[[#All],[Team Name]],MATCH(Table5[[#This Row],[PID]],DraftResults[[#All],[Player ID]],0)),"")</f>
        <v>Shin Seiki Evas</v>
      </c>
      <c r="AC434" s="50">
        <f>IF(Table5[[#This Row],[Ovr]]="","",IF(Table5[[#This Row],[cmbList]]="","",Table5[[#This Row],[cmbList]]-Table5[[#This Row],[Ovr]]))</f>
        <v>789</v>
      </c>
      <c r="AD434" s="54" t="str">
        <f>IF(ISERROR(VLOOKUP($AB434&amp;"-"&amp;$E434&amp;" "&amp;F434,Bonuses!$B$1:$G$1006,4,FALSE)),"",INT(VLOOKUP($AB434&amp;"-"&amp;$E434&amp;" "&amp;$F434,Bonuses!$B$1:$G$1006,4,FALSE)))</f>
        <v/>
      </c>
      <c r="AE434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17.29 (564) - RP Narihari Ine</v>
      </c>
    </row>
    <row r="435" spans="1:31" s="50" customFormat="1" x14ac:dyDescent="0.3">
      <c r="A435" s="50">
        <v>20877</v>
      </c>
      <c r="B435" s="50">
        <f>COUNTIF(Table5[PID],A435)</f>
        <v>1</v>
      </c>
      <c r="C435" s="50" t="str">
        <f>IF(COUNTIF(Table3[[#All],[PID]],A435)&gt;0,"P","B")</f>
        <v>P</v>
      </c>
      <c r="D435" s="59" t="str">
        <f>IF($C435="B",INDEX(Batters[[#All],[POS]],MATCH(Table5[[#This Row],[PID]],Batters[[#All],[PID]],0)),INDEX(Table3[[#All],[POS]],MATCH(Table5[[#This Row],[PID]],Table3[[#All],[PID]],0)))</f>
        <v>RP</v>
      </c>
      <c r="E435" s="52" t="str">
        <f>IF($C435="B",INDEX(Batters[[#All],[First]],MATCH(Table5[[#This Row],[PID]],Batters[[#All],[PID]],0)),INDEX(Table3[[#All],[First]],MATCH(Table5[[#This Row],[PID]],Table3[[#All],[PID]],0)))</f>
        <v>Jonathan</v>
      </c>
      <c r="F435" s="50" t="str">
        <f>IF($C435="B",INDEX(Batters[[#All],[Last]],MATCH(A435,Batters[[#All],[PID]],0)),INDEX(Table3[[#All],[Last]],MATCH(A435,Table3[[#All],[PID]],0)))</f>
        <v>Targuín</v>
      </c>
      <c r="G435" s="56">
        <f>IF($C435="B",INDEX(Batters[[#All],[Age]],MATCH(Table5[[#This Row],[PID]],Batters[[#All],[PID]],0)),INDEX(Table3[[#All],[Age]],MATCH(Table5[[#This Row],[PID]],Table3[[#All],[PID]],0)))</f>
        <v>17</v>
      </c>
      <c r="H435" s="52" t="str">
        <f>IF($C435="B",INDEX(Batters[[#All],[B]],MATCH(Table5[[#This Row],[PID]],Batters[[#All],[PID]],0)),INDEX(Table3[[#All],[B]],MATCH(Table5[[#This Row],[PID]],Table3[[#All],[PID]],0)))</f>
        <v>R</v>
      </c>
      <c r="I435" s="52" t="str">
        <f>IF($C435="B",INDEX(Batters[[#All],[T]],MATCH(Table5[[#This Row],[PID]],Batters[[#All],[PID]],0)),INDEX(Table3[[#All],[T]],MATCH(Table5[[#This Row],[PID]],Table3[[#All],[PID]],0)))</f>
        <v>R</v>
      </c>
      <c r="J435" s="52" t="str">
        <f>IF($C435="B",INDEX(Batters[[#All],[WE]],MATCH(Table5[[#This Row],[PID]],Batters[[#All],[PID]],0)),INDEX(Table3[[#All],[WE]],MATCH(Table5[[#This Row],[PID]],Table3[[#All],[PID]],0)))</f>
        <v>Normal</v>
      </c>
      <c r="K435" s="52" t="str">
        <f>IF($C435="B",INDEX(Batters[[#All],[INT]],MATCH(Table5[[#This Row],[PID]],Batters[[#All],[PID]],0)),INDEX(Table3[[#All],[INT]],MATCH(Table5[[#This Row],[PID]],Table3[[#All],[PID]],0)))</f>
        <v>Normal</v>
      </c>
      <c r="L435" s="60">
        <f>IF($C435="B",INDEX(Batters[[#All],[CON P]],MATCH(Table5[[#This Row],[PID]],Batters[[#All],[PID]],0)),INDEX(Table3[[#All],[STU P]],MATCH(Table5[[#This Row],[PID]],Table3[[#All],[PID]],0)))</f>
        <v>4</v>
      </c>
      <c r="M435" s="56">
        <f>IF($C435="B",INDEX(Batters[[#All],[GAP P]],MATCH(Table5[[#This Row],[PID]],Batters[[#All],[PID]],0)),INDEX(Table3[[#All],[MOV P]],MATCH(Table5[[#This Row],[PID]],Table3[[#All],[PID]],0)))</f>
        <v>2</v>
      </c>
      <c r="N435" s="56">
        <f>IF($C435="B",INDEX(Batters[[#All],[POW P]],MATCH(Table5[[#This Row],[PID]],Batters[[#All],[PID]],0)),INDEX(Table3[[#All],[CON P]],MATCH(Table5[[#This Row],[PID]],Table3[[#All],[PID]],0)))</f>
        <v>3</v>
      </c>
      <c r="O435" s="56" t="str">
        <f>IF($C435="B",INDEX(Batters[[#All],[EYE P]],MATCH(Table5[[#This Row],[PID]],Batters[[#All],[PID]],0)),INDEX(Table3[[#All],[VELO]],MATCH(Table5[[#This Row],[PID]],Table3[[#All],[PID]],0)))</f>
        <v>87-89 Mph</v>
      </c>
      <c r="P435" s="56">
        <f>IF($C435="B",INDEX(Batters[[#All],[K P]],MATCH(Table5[[#This Row],[PID]],Batters[[#All],[PID]],0)),INDEX(Table3[[#All],[STM]],MATCH(Table5[[#This Row],[PID]],Table3[[#All],[PID]],0)))</f>
        <v>6</v>
      </c>
      <c r="Q435" s="61">
        <f>IF($C435="B",INDEX(Batters[[#All],[Tot]],MATCH(Table5[[#This Row],[PID]],Batters[[#All],[PID]],0)),INDEX(Table3[[#All],[Tot]],MATCH(Table5[[#This Row],[PID]],Table3[[#All],[PID]],0)))</f>
        <v>34.701637787587948</v>
      </c>
      <c r="R435" s="52">
        <f>IF($C435="B",INDEX(Batters[[#All],[zScore]],MATCH(Table5[[#This Row],[PID]],Batters[[#All],[PID]],0)),INDEX(Table3[[#All],[zScore]],MATCH(Table5[[#This Row],[PID]],Table3[[#All],[PID]],0)))</f>
        <v>-0.22080907850280346</v>
      </c>
      <c r="S435" s="58" t="str">
        <f>IF($C435="B",INDEX(Batters[[#All],[DEM]],MATCH(Table5[[#This Row],[PID]],Batters[[#All],[PID]],0)),INDEX(Table3[[#All],[DEM]],MATCH(Table5[[#This Row],[PID]],Table3[[#All],[PID]],0)))</f>
        <v>$100k</v>
      </c>
      <c r="T435" s="62">
        <f>IF($C435="B",INDEX(Batters[[#All],[Rnk]],MATCH(Table5[[#This Row],[PID]],Batters[[#All],[PID]],0)),INDEX(Table3[[#All],[Rnk]],MATCH(Table5[[#This Row],[PID]],Table3[[#All],[PID]],0)))</f>
        <v>900</v>
      </c>
      <c r="U435" s="67">
        <f>IF($C435="B",VLOOKUP($A435,Bat!$A$4:$BA$1314,47,FALSE),VLOOKUP($A435,Pit!$A$4:$BF$1214,56,FALSE))</f>
        <v>154</v>
      </c>
      <c r="V435" s="50">
        <f>IF($C435="B",VLOOKUP($A435,Bat!$A$4:$BA$1314,48,FALSE),VLOOKUP($A435,Pit!$A$4:$BF$1214,57,FALSE))</f>
        <v>0</v>
      </c>
      <c r="W435" s="68">
        <f>IF(Table5[[#This Row],[posRnk]]=999,9999,Table5[[#This Row],[posRnk]]+Table5[[#This Row],[zRnk]]+IF($W$3&lt;&gt;Table5[[#This Row],[Type]],50,0))</f>
        <v>1354</v>
      </c>
      <c r="X435" s="51">
        <f>RANK(Table5[[#This Row],[zScore]],Table5[[#All],[zScore]])</f>
        <v>454</v>
      </c>
      <c r="Y435" s="50" t="str">
        <f>IFERROR(INDEX(DraftResults[[#All],[OVR]],MATCH(Table5[[#This Row],[PID]],DraftResults[[#All],[Player ID]],0)),"")</f>
        <v/>
      </c>
      <c r="Z435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/>
      </c>
      <c r="AA435" s="50" t="str">
        <f>IFERROR(INDEX(DraftResults[[#All],[Pick in Round]],MATCH(Table5[[#This Row],[PID]],DraftResults[[#All],[Player ID]],0)),"")</f>
        <v/>
      </c>
      <c r="AB435" s="50" t="str">
        <f>IFERROR(INDEX(DraftResults[[#All],[Team Name]],MATCH(Table5[[#This Row],[PID]],DraftResults[[#All],[Player ID]],0)),"")</f>
        <v/>
      </c>
      <c r="AC435" s="50" t="str">
        <f>IF(Table5[[#This Row],[Ovr]]="","",IF(Table5[[#This Row],[cmbList]]="","",Table5[[#This Row],[cmbList]]-Table5[[#This Row],[Ovr]]))</f>
        <v/>
      </c>
      <c r="AD435" s="54" t="str">
        <f>IF(ISERROR(VLOOKUP($AB435&amp;"-"&amp;$E435&amp;" "&amp;F435,Bonuses!$B$1:$G$1006,4,FALSE)),"",INT(VLOOKUP($AB435&amp;"-"&amp;$E435&amp;" "&amp;$F435,Bonuses!$B$1:$G$1006,4,FALSE)))</f>
        <v/>
      </c>
      <c r="AE435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/>
      </c>
    </row>
    <row r="436" spans="1:31" s="50" customFormat="1" x14ac:dyDescent="0.3">
      <c r="A436" s="50">
        <v>21036</v>
      </c>
      <c r="B436" s="50">
        <f>COUNTIF(Table5[PID],A436)</f>
        <v>1</v>
      </c>
      <c r="C436" s="50" t="str">
        <f>IF(COUNTIF(Table3[[#All],[PID]],A436)&gt;0,"P","B")</f>
        <v>P</v>
      </c>
      <c r="D436" s="59" t="str">
        <f>IF($C436="B",INDEX(Batters[[#All],[POS]],MATCH(Table5[[#This Row],[PID]],Batters[[#All],[PID]],0)),INDEX(Table3[[#All],[POS]],MATCH(Table5[[#This Row],[PID]],Table3[[#All],[PID]],0)))</f>
        <v>SP</v>
      </c>
      <c r="E436" s="52" t="str">
        <f>IF($C436="B",INDEX(Batters[[#All],[First]],MATCH(Table5[[#This Row],[PID]],Batters[[#All],[PID]],0)),INDEX(Table3[[#All],[First]],MATCH(Table5[[#This Row],[PID]],Table3[[#All],[PID]],0)))</f>
        <v>Clarence</v>
      </c>
      <c r="F436" s="50" t="str">
        <f>IF($C436="B",INDEX(Batters[[#All],[Last]],MATCH(A436,Batters[[#All],[PID]],0)),INDEX(Table3[[#All],[Last]],MATCH(A436,Table3[[#All],[PID]],0)))</f>
        <v>Shields</v>
      </c>
      <c r="G436" s="56">
        <f>IF($C436="B",INDEX(Batters[[#All],[Age]],MATCH(Table5[[#This Row],[PID]],Batters[[#All],[PID]],0)),INDEX(Table3[[#All],[Age]],MATCH(Table5[[#This Row],[PID]],Table3[[#All],[PID]],0)))</f>
        <v>17</v>
      </c>
      <c r="H436" s="52" t="str">
        <f>IF($C436="B",INDEX(Batters[[#All],[B]],MATCH(Table5[[#This Row],[PID]],Batters[[#All],[PID]],0)),INDEX(Table3[[#All],[B]],MATCH(Table5[[#This Row],[PID]],Table3[[#All],[PID]],0)))</f>
        <v>R</v>
      </c>
      <c r="I436" s="52" t="str">
        <f>IF($C436="B",INDEX(Batters[[#All],[T]],MATCH(Table5[[#This Row],[PID]],Batters[[#All],[PID]],0)),INDEX(Table3[[#All],[T]],MATCH(Table5[[#This Row],[PID]],Table3[[#All],[PID]],0)))</f>
        <v>R</v>
      </c>
      <c r="J436" s="52" t="str">
        <f>IF($C436="B",INDEX(Batters[[#All],[WE]],MATCH(Table5[[#This Row],[PID]],Batters[[#All],[PID]],0)),INDEX(Table3[[#All],[WE]],MATCH(Table5[[#This Row],[PID]],Table3[[#All],[PID]],0)))</f>
        <v>Low</v>
      </c>
      <c r="K436" s="52" t="str">
        <f>IF($C436="B",INDEX(Batters[[#All],[INT]],MATCH(Table5[[#This Row],[PID]],Batters[[#All],[PID]],0)),INDEX(Table3[[#All],[INT]],MATCH(Table5[[#This Row],[PID]],Table3[[#All],[PID]],0)))</f>
        <v>Normal</v>
      </c>
      <c r="L436" s="60">
        <f>IF($C436="B",INDEX(Batters[[#All],[CON P]],MATCH(Table5[[#This Row],[PID]],Batters[[#All],[PID]],0)),INDEX(Table3[[#All],[STU P]],MATCH(Table5[[#This Row],[PID]],Table3[[#All],[PID]],0)))</f>
        <v>4</v>
      </c>
      <c r="M436" s="56">
        <f>IF($C436="B",INDEX(Batters[[#All],[GAP P]],MATCH(Table5[[#This Row],[PID]],Batters[[#All],[PID]],0)),INDEX(Table3[[#All],[MOV P]],MATCH(Table5[[#This Row],[PID]],Table3[[#All],[PID]],0)))</f>
        <v>1</v>
      </c>
      <c r="N436" s="56">
        <f>IF($C436="B",INDEX(Batters[[#All],[POW P]],MATCH(Table5[[#This Row],[PID]],Batters[[#All],[PID]],0)),INDEX(Table3[[#All],[CON P]],MATCH(Table5[[#This Row],[PID]],Table3[[#All],[PID]],0)))</f>
        <v>4</v>
      </c>
      <c r="O436" s="56" t="str">
        <f>IF($C436="B",INDEX(Batters[[#All],[EYE P]],MATCH(Table5[[#This Row],[PID]],Batters[[#All],[PID]],0)),INDEX(Table3[[#All],[VELO]],MATCH(Table5[[#This Row],[PID]],Table3[[#All],[PID]],0)))</f>
        <v>93-95 Mph</v>
      </c>
      <c r="P436" s="56">
        <f>IF($C436="B",INDEX(Batters[[#All],[K P]],MATCH(Table5[[#This Row],[PID]],Batters[[#All],[PID]],0)),INDEX(Table3[[#All],[STM]],MATCH(Table5[[#This Row],[PID]],Table3[[#All],[PID]],0)))</f>
        <v>8</v>
      </c>
      <c r="Q436" s="61">
        <f>IF($C436="B",INDEX(Batters[[#All],[Tot]],MATCH(Table5[[#This Row],[PID]],Batters[[#All],[PID]],0)),INDEX(Table3[[#All],[Tot]],MATCH(Table5[[#This Row],[PID]],Table3[[#All],[PID]],0)))</f>
        <v>35.914554234157194</v>
      </c>
      <c r="R436" s="52">
        <f>IF($C436="B",INDEX(Batters[[#All],[zScore]],MATCH(Table5[[#This Row],[PID]],Batters[[#All],[PID]],0)),INDEX(Table3[[#All],[zScore]],MATCH(Table5[[#This Row],[PID]],Table3[[#All],[PID]],0)))</f>
        <v>-0.13444089721977454</v>
      </c>
      <c r="S436" s="58" t="str">
        <f>IF($C436="B",INDEX(Batters[[#All],[DEM]],MATCH(Table5[[#This Row],[PID]],Batters[[#All],[PID]],0)),INDEX(Table3[[#All],[DEM]],MATCH(Table5[[#This Row],[PID]],Table3[[#All],[PID]],0)))</f>
        <v>$38k</v>
      </c>
      <c r="T436" s="62">
        <f>IF($C436="B",INDEX(Batters[[#All],[Rnk]],MATCH(Table5[[#This Row],[PID]],Batters[[#All],[PID]],0)),INDEX(Table3[[#All],[Rnk]],MATCH(Table5[[#This Row],[PID]],Table3[[#All],[PID]],0)))</f>
        <v>930</v>
      </c>
      <c r="U436" s="67">
        <f>IF($C436="B",VLOOKUP($A436,Bat!$A$4:$BA$1314,47,FALSE),VLOOKUP($A436,Pit!$A$4:$BF$1214,56,FALSE))</f>
        <v>291</v>
      </c>
      <c r="V436" s="50">
        <f>IF($C436="B",VLOOKUP($A436,Bat!$A$4:$BA$1314,48,FALSE),VLOOKUP($A436,Pit!$A$4:$BF$1214,57,FALSE))</f>
        <v>0</v>
      </c>
      <c r="W436" s="68">
        <f>IF(Table5[[#This Row],[posRnk]]=999,9999,Table5[[#This Row],[posRnk]]+Table5[[#This Row],[zRnk]]+IF($W$3&lt;&gt;Table5[[#This Row],[Type]],50,0))</f>
        <v>1356</v>
      </c>
      <c r="X436" s="51">
        <f>RANK(Table5[[#This Row],[zScore]],Table5[[#All],[zScore]])</f>
        <v>426</v>
      </c>
      <c r="Y436" s="50">
        <f>IFERROR(INDEX(DraftResults[[#All],[OVR]],MATCH(Table5[[#This Row],[PID]],DraftResults[[#All],[Player ID]],0)),"")</f>
        <v>356</v>
      </c>
      <c r="Z436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11</v>
      </c>
      <c r="AA436" s="50">
        <f>IFERROR(INDEX(DraftResults[[#All],[Pick in Round]],MATCH(Table5[[#This Row],[PID]],DraftResults[[#All],[Player ID]],0)),"")</f>
        <v>25</v>
      </c>
      <c r="AB436" s="50" t="str">
        <f>IFERROR(INDEX(DraftResults[[#All],[Team Name]],MATCH(Table5[[#This Row],[PID]],DraftResults[[#All],[Player ID]],0)),"")</f>
        <v>Kalamazoo Badgers</v>
      </c>
      <c r="AC436" s="50">
        <f>IF(Table5[[#This Row],[Ovr]]="","",IF(Table5[[#This Row],[cmbList]]="","",Table5[[#This Row],[cmbList]]-Table5[[#This Row],[Ovr]]))</f>
        <v>1000</v>
      </c>
      <c r="AD436" s="54" t="str">
        <f>IF(ISERROR(VLOOKUP($AB436&amp;"-"&amp;$E436&amp;" "&amp;F436,Bonuses!$B$1:$G$1006,4,FALSE)),"",INT(VLOOKUP($AB436&amp;"-"&amp;$E436&amp;" "&amp;$F436,Bonuses!$B$1:$G$1006,4,FALSE)))</f>
        <v/>
      </c>
      <c r="AE436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11.25 (356) - SP Clarence Shields</v>
      </c>
    </row>
    <row r="437" spans="1:31" s="50" customFormat="1" x14ac:dyDescent="0.3">
      <c r="A437" s="50">
        <v>9734</v>
      </c>
      <c r="B437" s="50">
        <f>COUNTIF(Table5[PID],A437)</f>
        <v>1</v>
      </c>
      <c r="C437" s="50" t="str">
        <f>IF(COUNTIF(Table3[[#All],[PID]],A437)&gt;0,"P","B")</f>
        <v>B</v>
      </c>
      <c r="D437" s="59" t="str">
        <f>IF($C437="B",INDEX(Batters[[#All],[POS]],MATCH(Table5[[#This Row],[PID]],Batters[[#All],[PID]],0)),INDEX(Table3[[#All],[POS]],MATCH(Table5[[#This Row],[PID]],Table3[[#All],[PID]],0)))</f>
        <v>C</v>
      </c>
      <c r="E437" s="52" t="str">
        <f>IF($C437="B",INDEX(Batters[[#All],[First]],MATCH(Table5[[#This Row],[PID]],Batters[[#All],[PID]],0)),INDEX(Table3[[#All],[First]],MATCH(Table5[[#This Row],[PID]],Table3[[#All],[PID]],0)))</f>
        <v>Michael</v>
      </c>
      <c r="F437" s="50" t="str">
        <f>IF($C437="B",INDEX(Batters[[#All],[Last]],MATCH(A437,Batters[[#All],[PID]],0)),INDEX(Table3[[#All],[Last]],MATCH(A437,Table3[[#All],[PID]],0)))</f>
        <v>Green</v>
      </c>
      <c r="G437" s="56">
        <f>IF($C437="B",INDEX(Batters[[#All],[Age]],MATCH(Table5[[#This Row],[PID]],Batters[[#All],[PID]],0)),INDEX(Table3[[#All],[Age]],MATCH(Table5[[#This Row],[PID]],Table3[[#All],[PID]],0)))</f>
        <v>18</v>
      </c>
      <c r="H437" s="52" t="str">
        <f>IF($C437="B",INDEX(Batters[[#All],[B]],MATCH(Table5[[#This Row],[PID]],Batters[[#All],[PID]],0)),INDEX(Table3[[#All],[B]],MATCH(Table5[[#This Row],[PID]],Table3[[#All],[PID]],0)))</f>
        <v>R</v>
      </c>
      <c r="I437" s="52" t="str">
        <f>IF($C437="B",INDEX(Batters[[#All],[T]],MATCH(Table5[[#This Row],[PID]],Batters[[#All],[PID]],0)),INDEX(Table3[[#All],[T]],MATCH(Table5[[#This Row],[PID]],Table3[[#All],[PID]],0)))</f>
        <v>R</v>
      </c>
      <c r="J437" s="52" t="str">
        <f>IF($C437="B",INDEX(Batters[[#All],[WE]],MATCH(Table5[[#This Row],[PID]],Batters[[#All],[PID]],0)),INDEX(Table3[[#All],[WE]],MATCH(Table5[[#This Row],[PID]],Table3[[#All],[PID]],0)))</f>
        <v>High</v>
      </c>
      <c r="K437" s="52" t="str">
        <f>IF($C437="B",INDEX(Batters[[#All],[INT]],MATCH(Table5[[#This Row],[PID]],Batters[[#All],[PID]],0)),INDEX(Table3[[#All],[INT]],MATCH(Table5[[#This Row],[PID]],Table3[[#All],[PID]],0)))</f>
        <v>Normal</v>
      </c>
      <c r="L437" s="60">
        <f>IF($C437="B",INDEX(Batters[[#All],[CON P]],MATCH(Table5[[#This Row],[PID]],Batters[[#All],[PID]],0)),INDEX(Table3[[#All],[STU P]],MATCH(Table5[[#This Row],[PID]],Table3[[#All],[PID]],0)))</f>
        <v>3</v>
      </c>
      <c r="M437" s="56">
        <f>IF($C437="B",INDEX(Batters[[#All],[GAP P]],MATCH(Table5[[#This Row],[PID]],Batters[[#All],[PID]],0)),INDEX(Table3[[#All],[MOV P]],MATCH(Table5[[#This Row],[PID]],Table3[[#All],[PID]],0)))</f>
        <v>4</v>
      </c>
      <c r="N437" s="56">
        <f>IF($C437="B",INDEX(Batters[[#All],[POW P]],MATCH(Table5[[#This Row],[PID]],Batters[[#All],[PID]],0)),INDEX(Table3[[#All],[CON P]],MATCH(Table5[[#This Row],[PID]],Table3[[#All],[PID]],0)))</f>
        <v>3</v>
      </c>
      <c r="O437" s="56">
        <f>IF($C437="B",INDEX(Batters[[#All],[EYE P]],MATCH(Table5[[#This Row],[PID]],Batters[[#All],[PID]],0)),INDEX(Table3[[#All],[VELO]],MATCH(Table5[[#This Row],[PID]],Table3[[#All],[PID]],0)))</f>
        <v>5</v>
      </c>
      <c r="P437" s="56">
        <f>IF($C437="B",INDEX(Batters[[#All],[K P]],MATCH(Table5[[#This Row],[PID]],Batters[[#All],[PID]],0)),INDEX(Table3[[#All],[STM]],MATCH(Table5[[#This Row],[PID]],Table3[[#All],[PID]],0)))</f>
        <v>2</v>
      </c>
      <c r="Q437" s="61">
        <f>IF($C437="B",INDEX(Batters[[#All],[Tot]],MATCH(Table5[[#This Row],[PID]],Batters[[#All],[PID]],0)),INDEX(Table3[[#All],[Tot]],MATCH(Table5[[#This Row],[PID]],Table3[[#All],[PID]],0)))</f>
        <v>41.677083674426683</v>
      </c>
      <c r="R437" s="52">
        <f>IF($C437="B",INDEX(Batters[[#All],[zScore]],MATCH(Table5[[#This Row],[PID]],Batters[[#All],[PID]],0)),INDEX(Table3[[#All],[zScore]],MATCH(Table5[[#This Row],[PID]],Table3[[#All],[PID]],0)))</f>
        <v>-0.22499624905798934</v>
      </c>
      <c r="S437" s="58" t="str">
        <f>IF($C437="B",INDEX(Batters[[#All],[DEM]],MATCH(Table5[[#This Row],[PID]],Batters[[#All],[PID]],0)),INDEX(Table3[[#All],[DEM]],MATCH(Table5[[#This Row],[PID]],Table3[[#All],[PID]],0)))</f>
        <v>$65k</v>
      </c>
      <c r="T437" s="62">
        <f>IF($C437="B",INDEX(Batters[[#All],[Rnk]],MATCH(Table5[[#This Row],[PID]],Batters[[#All],[PID]],0)),INDEX(Table3[[#All],[Rnk]],MATCH(Table5[[#This Row],[PID]],Table3[[#All],[PID]],0)))</f>
        <v>900</v>
      </c>
      <c r="U437" s="67">
        <f>IF($C437="B",VLOOKUP($A437,Bat!$A$4:$BA$1314,47,FALSE),VLOOKUP($A437,Pit!$A$4:$BF$1214,56,FALSE))</f>
        <v>183</v>
      </c>
      <c r="V437" s="50">
        <f>IF($C437="B",VLOOKUP($A437,Bat!$A$4:$BA$1314,48,FALSE),VLOOKUP($A437,Pit!$A$4:$BF$1214,57,FALSE))</f>
        <v>0</v>
      </c>
      <c r="W437" s="68">
        <f>IF(Table5[[#This Row],[posRnk]]=999,9999,Table5[[#This Row],[posRnk]]+Table5[[#This Row],[zRnk]]+IF($W$3&lt;&gt;Table5[[#This Row],[Type]],50,0))</f>
        <v>1408</v>
      </c>
      <c r="X437" s="51">
        <f>RANK(Table5[[#This Row],[zScore]],Table5[[#All],[zScore]])</f>
        <v>458</v>
      </c>
      <c r="Y437" s="50" t="str">
        <f>IFERROR(INDEX(DraftResults[[#All],[OVR]],MATCH(Table5[[#This Row],[PID]],DraftResults[[#All],[Player ID]],0)),"")</f>
        <v/>
      </c>
      <c r="Z437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/>
      </c>
      <c r="AA437" s="50" t="str">
        <f>IFERROR(INDEX(DraftResults[[#All],[Pick in Round]],MATCH(Table5[[#This Row],[PID]],DraftResults[[#All],[Player ID]],0)),"")</f>
        <v/>
      </c>
      <c r="AB437" s="50" t="str">
        <f>IFERROR(INDEX(DraftResults[[#All],[Team Name]],MATCH(Table5[[#This Row],[PID]],DraftResults[[#All],[Player ID]],0)),"")</f>
        <v/>
      </c>
      <c r="AC437" s="50" t="str">
        <f>IF(Table5[[#This Row],[Ovr]]="","",IF(Table5[[#This Row],[cmbList]]="","",Table5[[#This Row],[cmbList]]-Table5[[#This Row],[Ovr]]))</f>
        <v/>
      </c>
      <c r="AD437" s="54" t="str">
        <f>IF(ISERROR(VLOOKUP($AB437&amp;"-"&amp;$E437&amp;" "&amp;F437,Bonuses!$B$1:$G$1006,4,FALSE)),"",INT(VLOOKUP($AB437&amp;"-"&amp;$E437&amp;" "&amp;$F437,Bonuses!$B$1:$G$1006,4,FALSE)))</f>
        <v/>
      </c>
      <c r="AE437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/>
      </c>
    </row>
    <row r="438" spans="1:31" s="50" customFormat="1" x14ac:dyDescent="0.3">
      <c r="A438" s="50">
        <v>20574</v>
      </c>
      <c r="B438" s="50">
        <f>COUNTIF(Table5[PID],A438)</f>
        <v>1</v>
      </c>
      <c r="C438" s="50" t="str">
        <f>IF(COUNTIF(Table3[[#All],[PID]],A438)&gt;0,"P","B")</f>
        <v>B</v>
      </c>
      <c r="D438" s="59" t="str">
        <f>IF($C438="B",INDEX(Batters[[#All],[POS]],MATCH(Table5[[#This Row],[PID]],Batters[[#All],[PID]],0)),INDEX(Table3[[#All],[POS]],MATCH(Table5[[#This Row],[PID]],Table3[[#All],[PID]],0)))</f>
        <v>3B</v>
      </c>
      <c r="E438" s="52" t="str">
        <f>IF($C438="B",INDEX(Batters[[#All],[First]],MATCH(Table5[[#This Row],[PID]],Batters[[#All],[PID]],0)),INDEX(Table3[[#All],[First]],MATCH(Table5[[#This Row],[PID]],Table3[[#All],[PID]],0)))</f>
        <v>Bill</v>
      </c>
      <c r="F438" s="50" t="str">
        <f>IF($C438="B",INDEX(Batters[[#All],[Last]],MATCH(A438,Batters[[#All],[PID]],0)),INDEX(Table3[[#All],[Last]],MATCH(A438,Table3[[#All],[PID]],0)))</f>
        <v>Hornby</v>
      </c>
      <c r="G438" s="56">
        <f>IF($C438="B",INDEX(Batters[[#All],[Age]],MATCH(Table5[[#This Row],[PID]],Batters[[#All],[PID]],0)),INDEX(Table3[[#All],[Age]],MATCH(Table5[[#This Row],[PID]],Table3[[#All],[PID]],0)))</f>
        <v>17</v>
      </c>
      <c r="H438" s="52" t="str">
        <f>IF($C438="B",INDEX(Batters[[#All],[B]],MATCH(Table5[[#This Row],[PID]],Batters[[#All],[PID]],0)),INDEX(Table3[[#All],[B]],MATCH(Table5[[#This Row],[PID]],Table3[[#All],[PID]],0)))</f>
        <v>S</v>
      </c>
      <c r="I438" s="52" t="str">
        <f>IF($C438="B",INDEX(Batters[[#All],[T]],MATCH(Table5[[#This Row],[PID]],Batters[[#All],[PID]],0)),INDEX(Table3[[#All],[T]],MATCH(Table5[[#This Row],[PID]],Table3[[#All],[PID]],0)))</f>
        <v>R</v>
      </c>
      <c r="J438" s="52" t="str">
        <f>IF($C438="B",INDEX(Batters[[#All],[WE]],MATCH(Table5[[#This Row],[PID]],Batters[[#All],[PID]],0)),INDEX(Table3[[#All],[WE]],MATCH(Table5[[#This Row],[PID]],Table3[[#All],[PID]],0)))</f>
        <v>Low</v>
      </c>
      <c r="K438" s="52" t="str">
        <f>IF($C438="B",INDEX(Batters[[#All],[INT]],MATCH(Table5[[#This Row],[PID]],Batters[[#All],[PID]],0)),INDEX(Table3[[#All],[INT]],MATCH(Table5[[#This Row],[PID]],Table3[[#All],[PID]],0)))</f>
        <v>Low</v>
      </c>
      <c r="L438" s="60">
        <f>IF($C438="B",INDEX(Batters[[#All],[CON P]],MATCH(Table5[[#This Row],[PID]],Batters[[#All],[PID]],0)),INDEX(Table3[[#All],[STU P]],MATCH(Table5[[#This Row],[PID]],Table3[[#All],[PID]],0)))</f>
        <v>3</v>
      </c>
      <c r="M438" s="56">
        <f>IF($C438="B",INDEX(Batters[[#All],[GAP P]],MATCH(Table5[[#This Row],[PID]],Batters[[#All],[PID]],0)),INDEX(Table3[[#All],[MOV P]],MATCH(Table5[[#This Row],[PID]],Table3[[#All],[PID]],0)))</f>
        <v>6</v>
      </c>
      <c r="N438" s="56">
        <f>IF($C438="B",INDEX(Batters[[#All],[POW P]],MATCH(Table5[[#This Row],[PID]],Batters[[#All],[PID]],0)),INDEX(Table3[[#All],[CON P]],MATCH(Table5[[#This Row],[PID]],Table3[[#All],[PID]],0)))</f>
        <v>2</v>
      </c>
      <c r="O438" s="56">
        <f>IF($C438="B",INDEX(Batters[[#All],[EYE P]],MATCH(Table5[[#This Row],[PID]],Batters[[#All],[PID]],0)),INDEX(Table3[[#All],[VELO]],MATCH(Table5[[#This Row],[PID]],Table3[[#All],[PID]],0)))</f>
        <v>6</v>
      </c>
      <c r="P438" s="56">
        <f>IF($C438="B",INDEX(Batters[[#All],[K P]],MATCH(Table5[[#This Row],[PID]],Batters[[#All],[PID]],0)),INDEX(Table3[[#All],[STM]],MATCH(Table5[[#This Row],[PID]],Table3[[#All],[PID]],0)))</f>
        <v>4</v>
      </c>
      <c r="Q438" s="61">
        <f>IF($C438="B",INDEX(Batters[[#All],[Tot]],MATCH(Table5[[#This Row],[PID]],Batters[[#All],[PID]],0)),INDEX(Table3[[#All],[Tot]],MATCH(Table5[[#This Row],[PID]],Table3[[#All],[PID]],0)))</f>
        <v>42.709920441602208</v>
      </c>
      <c r="R438" s="52">
        <f>IF($C438="B",INDEX(Batters[[#All],[zScore]],MATCH(Table5[[#This Row],[PID]],Batters[[#All],[PID]],0)),INDEX(Table3[[#All],[zScore]],MATCH(Table5[[#This Row],[PID]],Table3[[#All],[PID]],0)))</f>
        <v>-7.4235018579302425E-2</v>
      </c>
      <c r="S438" s="58" t="str">
        <f>IF($C438="B",INDEX(Batters[[#All],[DEM]],MATCH(Table5[[#This Row],[PID]],Batters[[#All],[PID]],0)),INDEX(Table3[[#All],[DEM]],MATCH(Table5[[#This Row],[PID]],Table3[[#All],[PID]],0)))</f>
        <v>$65k</v>
      </c>
      <c r="T438" s="62">
        <f>IF($C438="B",INDEX(Batters[[#All],[Rnk]],MATCH(Table5[[#This Row],[PID]],Batters[[#All],[PID]],0)),INDEX(Table3[[#All],[Rnk]],MATCH(Table5[[#This Row],[PID]],Table3[[#All],[PID]],0)))</f>
        <v>950</v>
      </c>
      <c r="U438" s="67">
        <f>IF($C438="B",VLOOKUP($A438,Bat!$A$4:$BA$1314,47,FALSE),VLOOKUP($A438,Pit!$A$4:$BF$1214,56,FALSE))</f>
        <v>432</v>
      </c>
      <c r="V438" s="50">
        <f>IF($C438="B",VLOOKUP($A438,Bat!$A$4:$BA$1314,48,FALSE),VLOOKUP($A438,Pit!$A$4:$BF$1214,57,FALSE))</f>
        <v>0</v>
      </c>
      <c r="W438" s="68">
        <f>IF(Table5[[#This Row],[posRnk]]=999,9999,Table5[[#This Row],[posRnk]]+Table5[[#This Row],[zRnk]]+IF($W$3&lt;&gt;Table5[[#This Row],[Type]],50,0))</f>
        <v>1408</v>
      </c>
      <c r="X438" s="51">
        <f>RANK(Table5[[#This Row],[zScore]],Table5[[#All],[zScore]])</f>
        <v>408</v>
      </c>
      <c r="Y438" s="50" t="str">
        <f>IFERROR(INDEX(DraftResults[[#All],[OVR]],MATCH(Table5[[#This Row],[PID]],DraftResults[[#All],[Player ID]],0)),"")</f>
        <v/>
      </c>
      <c r="Z438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/>
      </c>
      <c r="AA438" s="50" t="str">
        <f>IFERROR(INDEX(DraftResults[[#All],[Pick in Round]],MATCH(Table5[[#This Row],[PID]],DraftResults[[#All],[Player ID]],0)),"")</f>
        <v/>
      </c>
      <c r="AB438" s="50" t="str">
        <f>IFERROR(INDEX(DraftResults[[#All],[Team Name]],MATCH(Table5[[#This Row],[PID]],DraftResults[[#All],[Player ID]],0)),"")</f>
        <v/>
      </c>
      <c r="AC438" s="50" t="str">
        <f>IF(Table5[[#This Row],[Ovr]]="","",IF(Table5[[#This Row],[cmbList]]="","",Table5[[#This Row],[cmbList]]-Table5[[#This Row],[Ovr]]))</f>
        <v/>
      </c>
      <c r="AD438" s="54" t="str">
        <f>IF(ISERROR(VLOOKUP($AB438&amp;"-"&amp;$E438&amp;" "&amp;F438,Bonuses!$B$1:$G$1006,4,FALSE)),"",INT(VLOOKUP($AB438&amp;"-"&amp;$E438&amp;" "&amp;$F438,Bonuses!$B$1:$G$1006,4,FALSE)))</f>
        <v/>
      </c>
      <c r="AE438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/>
      </c>
    </row>
    <row r="439" spans="1:31" s="50" customFormat="1" x14ac:dyDescent="0.3">
      <c r="A439" s="50">
        <v>21032</v>
      </c>
      <c r="B439" s="50">
        <f>COUNTIF(Table5[PID],A439)</f>
        <v>1</v>
      </c>
      <c r="C439" s="50" t="str">
        <f>IF(COUNTIF(Table3[[#All],[PID]],A439)&gt;0,"P","B")</f>
        <v>B</v>
      </c>
      <c r="D439" s="59" t="str">
        <f>IF($C439="B",INDEX(Batters[[#All],[POS]],MATCH(Table5[[#This Row],[PID]],Batters[[#All],[PID]],0)),INDEX(Table3[[#All],[POS]],MATCH(Table5[[#This Row],[PID]],Table3[[#All],[PID]],0)))</f>
        <v>1B</v>
      </c>
      <c r="E439" s="52" t="str">
        <f>IF($C439="B",INDEX(Batters[[#All],[First]],MATCH(Table5[[#This Row],[PID]],Batters[[#All],[PID]],0)),INDEX(Table3[[#All],[First]],MATCH(Table5[[#This Row],[PID]],Table3[[#All],[PID]],0)))</f>
        <v>Dale</v>
      </c>
      <c r="F439" s="50" t="str">
        <f>IF($C439="B",INDEX(Batters[[#All],[Last]],MATCH(A439,Batters[[#All],[PID]],0)),INDEX(Table3[[#All],[Last]],MATCH(A439,Table3[[#All],[PID]],0)))</f>
        <v>Lewis</v>
      </c>
      <c r="G439" s="56">
        <f>IF($C439="B",INDEX(Batters[[#All],[Age]],MATCH(Table5[[#This Row],[PID]],Batters[[#All],[PID]],0)),INDEX(Table3[[#All],[Age]],MATCH(Table5[[#This Row],[PID]],Table3[[#All],[PID]],0)))</f>
        <v>17</v>
      </c>
      <c r="H439" s="52" t="str">
        <f>IF($C439="B",INDEX(Batters[[#All],[B]],MATCH(Table5[[#This Row],[PID]],Batters[[#All],[PID]],0)),INDEX(Table3[[#All],[B]],MATCH(Table5[[#This Row],[PID]],Table3[[#All],[PID]],0)))</f>
        <v>L</v>
      </c>
      <c r="I439" s="52" t="str">
        <f>IF($C439="B",INDEX(Batters[[#All],[T]],MATCH(Table5[[#This Row],[PID]],Batters[[#All],[PID]],0)),INDEX(Table3[[#All],[T]],MATCH(Table5[[#This Row],[PID]],Table3[[#All],[PID]],0)))</f>
        <v>L</v>
      </c>
      <c r="J439" s="52" t="str">
        <f>IF($C439="B",INDEX(Batters[[#All],[WE]],MATCH(Table5[[#This Row],[PID]],Batters[[#All],[PID]],0)),INDEX(Table3[[#All],[WE]],MATCH(Table5[[#This Row],[PID]],Table3[[#All],[PID]],0)))</f>
        <v>Low</v>
      </c>
      <c r="K439" s="52" t="str">
        <f>IF($C439="B",INDEX(Batters[[#All],[INT]],MATCH(Table5[[#This Row],[PID]],Batters[[#All],[PID]],0)),INDEX(Table3[[#All],[INT]],MATCH(Table5[[#This Row],[PID]],Table3[[#All],[PID]],0)))</f>
        <v>Normal</v>
      </c>
      <c r="L439" s="60">
        <f>IF($C439="B",INDEX(Batters[[#All],[CON P]],MATCH(Table5[[#This Row],[PID]],Batters[[#All],[PID]],0)),INDEX(Table3[[#All],[STU P]],MATCH(Table5[[#This Row],[PID]],Table3[[#All],[PID]],0)))</f>
        <v>4</v>
      </c>
      <c r="M439" s="56">
        <f>IF($C439="B",INDEX(Batters[[#All],[GAP P]],MATCH(Table5[[#This Row],[PID]],Batters[[#All],[PID]],0)),INDEX(Table3[[#All],[MOV P]],MATCH(Table5[[#This Row],[PID]],Table3[[#All],[PID]],0)))</f>
        <v>2</v>
      </c>
      <c r="N439" s="56">
        <f>IF($C439="B",INDEX(Batters[[#All],[POW P]],MATCH(Table5[[#This Row],[PID]],Batters[[#All],[PID]],0)),INDEX(Table3[[#All],[CON P]],MATCH(Table5[[#This Row],[PID]],Table3[[#All],[PID]],0)))</f>
        <v>2</v>
      </c>
      <c r="O439" s="56">
        <f>IF($C439="B",INDEX(Batters[[#All],[EYE P]],MATCH(Table5[[#This Row],[PID]],Batters[[#All],[PID]],0)),INDEX(Table3[[#All],[VELO]],MATCH(Table5[[#This Row],[PID]],Table3[[#All],[PID]],0)))</f>
        <v>4</v>
      </c>
      <c r="P439" s="56">
        <f>IF($C439="B",INDEX(Batters[[#All],[K P]],MATCH(Table5[[#This Row],[PID]],Batters[[#All],[PID]],0)),INDEX(Table3[[#All],[STM]],MATCH(Table5[[#This Row],[PID]],Table3[[#All],[PID]],0)))</f>
        <v>4</v>
      </c>
      <c r="Q439" s="61">
        <f>IF($C439="B",INDEX(Batters[[#All],[Tot]],MATCH(Table5[[#This Row],[PID]],Batters[[#All],[PID]],0)),INDEX(Table3[[#All],[Tot]],MATCH(Table5[[#This Row],[PID]],Table3[[#All],[PID]],0)))</f>
        <v>42.238321192257196</v>
      </c>
      <c r="R439" s="52">
        <f>IF($C439="B",INDEX(Batters[[#All],[zScore]],MATCH(Table5[[#This Row],[PID]],Batters[[#All],[PID]],0)),INDEX(Table3[[#All],[zScore]],MATCH(Table5[[#This Row],[PID]],Table3[[#All],[PID]],0)))</f>
        <v>-0.14307346951720964</v>
      </c>
      <c r="S439" s="58" t="str">
        <f>IF($C439="B",INDEX(Batters[[#All],[DEM]],MATCH(Table5[[#This Row],[PID]],Batters[[#All],[PID]],0)),INDEX(Table3[[#All],[DEM]],MATCH(Table5[[#This Row],[PID]],Table3[[#All],[PID]],0)))</f>
        <v>$65k</v>
      </c>
      <c r="T439" s="62">
        <f>IF($C439="B",INDEX(Batters[[#All],[Rnk]],MATCH(Table5[[#This Row],[PID]],Batters[[#All],[PID]],0)),INDEX(Table3[[#All],[Rnk]],MATCH(Table5[[#This Row],[PID]],Table3[[#All],[PID]],0)))</f>
        <v>930</v>
      </c>
      <c r="U439" s="67">
        <f>IF($C439="B",VLOOKUP($A439,Bat!$A$4:$BA$1314,47,FALSE),VLOOKUP($A439,Pit!$A$4:$BF$1214,56,FALSE))</f>
        <v>335</v>
      </c>
      <c r="V439" s="50">
        <f>IF($C439="B",VLOOKUP($A439,Bat!$A$4:$BA$1314,48,FALSE),VLOOKUP($A439,Pit!$A$4:$BF$1214,57,FALSE))</f>
        <v>0</v>
      </c>
      <c r="W439" s="68">
        <f>IF(Table5[[#This Row],[posRnk]]=999,9999,Table5[[#This Row],[posRnk]]+Table5[[#This Row],[zRnk]]+IF($W$3&lt;&gt;Table5[[#This Row],[Type]],50,0))</f>
        <v>1410</v>
      </c>
      <c r="X439" s="51">
        <f>RANK(Table5[[#This Row],[zScore]],Table5[[#All],[zScore]])</f>
        <v>430</v>
      </c>
      <c r="Y439" s="50" t="str">
        <f>IFERROR(INDEX(DraftResults[[#All],[OVR]],MATCH(Table5[[#This Row],[PID]],DraftResults[[#All],[Player ID]],0)),"")</f>
        <v/>
      </c>
      <c r="Z439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/>
      </c>
      <c r="AA439" s="50" t="str">
        <f>IFERROR(INDEX(DraftResults[[#All],[Pick in Round]],MATCH(Table5[[#This Row],[PID]],DraftResults[[#All],[Player ID]],0)),"")</f>
        <v/>
      </c>
      <c r="AB439" s="50" t="str">
        <f>IFERROR(INDEX(DraftResults[[#All],[Team Name]],MATCH(Table5[[#This Row],[PID]],DraftResults[[#All],[Player ID]],0)),"")</f>
        <v/>
      </c>
      <c r="AC439" s="50" t="str">
        <f>IF(Table5[[#This Row],[Ovr]]="","",IF(Table5[[#This Row],[cmbList]]="","",Table5[[#This Row],[cmbList]]-Table5[[#This Row],[Ovr]]))</f>
        <v/>
      </c>
      <c r="AD439" s="54" t="str">
        <f>IF(ISERROR(VLOOKUP($AB439&amp;"-"&amp;$E439&amp;" "&amp;F439,Bonuses!$B$1:$G$1006,4,FALSE)),"",INT(VLOOKUP($AB439&amp;"-"&amp;$E439&amp;" "&amp;$F439,Bonuses!$B$1:$G$1006,4,FALSE)))</f>
        <v/>
      </c>
      <c r="AE439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/>
      </c>
    </row>
    <row r="440" spans="1:31" s="50" customFormat="1" x14ac:dyDescent="0.3">
      <c r="A440" s="67">
        <v>20286</v>
      </c>
      <c r="B440" s="68">
        <f>COUNTIF(Table5[PID],A440)</f>
        <v>1</v>
      </c>
      <c r="C440" s="68" t="str">
        <f>IF(COUNTIF(Table3[[#All],[PID]],A440)&gt;0,"P","B")</f>
        <v>B</v>
      </c>
      <c r="D440" s="59" t="str">
        <f>IF($C440="B",INDEX(Batters[[#All],[POS]],MATCH(Table5[[#This Row],[PID]],Batters[[#All],[PID]],0)),INDEX(Table3[[#All],[POS]],MATCH(Table5[[#This Row],[PID]],Table3[[#All],[PID]],0)))</f>
        <v>CF</v>
      </c>
      <c r="E440" s="52" t="str">
        <f>IF($C440="B",INDEX(Batters[[#All],[First]],MATCH(Table5[[#This Row],[PID]],Batters[[#All],[PID]],0)),INDEX(Table3[[#All],[First]],MATCH(Table5[[#This Row],[PID]],Table3[[#All],[PID]],0)))</f>
        <v>Du</v>
      </c>
      <c r="F440" s="55" t="str">
        <f>IF($C440="B",INDEX(Batters[[#All],[Last]],MATCH(A440,Batters[[#All],[PID]],0)),INDEX(Table3[[#All],[Last]],MATCH(A440,Table3[[#All],[PID]],0)))</f>
        <v>Sen</v>
      </c>
      <c r="G440" s="56">
        <f>IF($C440="B",INDEX(Batters[[#All],[Age]],MATCH(Table5[[#This Row],[PID]],Batters[[#All],[PID]],0)),INDEX(Table3[[#All],[Age]],MATCH(Table5[[#This Row],[PID]],Table3[[#All],[PID]],0)))</f>
        <v>21</v>
      </c>
      <c r="H440" s="52" t="str">
        <f>IF($C440="B",INDEX(Batters[[#All],[B]],MATCH(Table5[[#This Row],[PID]],Batters[[#All],[PID]],0)),INDEX(Table3[[#All],[B]],MATCH(Table5[[#This Row],[PID]],Table3[[#All],[PID]],0)))</f>
        <v>R</v>
      </c>
      <c r="I440" s="52" t="str">
        <f>IF($C440="B",INDEX(Batters[[#All],[T]],MATCH(Table5[[#This Row],[PID]],Batters[[#All],[PID]],0)),INDEX(Table3[[#All],[T]],MATCH(Table5[[#This Row],[PID]],Table3[[#All],[PID]],0)))</f>
        <v>L</v>
      </c>
      <c r="J440" s="69" t="str">
        <f>IF($C440="B",INDEX(Batters[[#All],[WE]],MATCH(Table5[[#This Row],[PID]],Batters[[#All],[PID]],0)),INDEX(Table3[[#All],[WE]],MATCH(Table5[[#This Row],[PID]],Table3[[#All],[PID]],0)))</f>
        <v>Normal</v>
      </c>
      <c r="K440" s="52" t="str">
        <f>IF($C440="B",INDEX(Batters[[#All],[INT]],MATCH(Table5[[#This Row],[PID]],Batters[[#All],[PID]],0)),INDEX(Table3[[#All],[INT]],MATCH(Table5[[#This Row],[PID]],Table3[[#All],[PID]],0)))</f>
        <v>Normal</v>
      </c>
      <c r="L440" s="60">
        <f>IF($C440="B",INDEX(Batters[[#All],[CON P]],MATCH(Table5[[#This Row],[PID]],Batters[[#All],[PID]],0)),INDEX(Table3[[#All],[STU P]],MATCH(Table5[[#This Row],[PID]],Table3[[#All],[PID]],0)))</f>
        <v>4</v>
      </c>
      <c r="M440" s="70">
        <f>IF($C440="B",INDEX(Batters[[#All],[GAP P]],MATCH(Table5[[#This Row],[PID]],Batters[[#All],[PID]],0)),INDEX(Table3[[#All],[MOV P]],MATCH(Table5[[#This Row],[PID]],Table3[[#All],[PID]],0)))</f>
        <v>4</v>
      </c>
      <c r="N440" s="70">
        <f>IF($C440="B",INDEX(Batters[[#All],[POW P]],MATCH(Table5[[#This Row],[PID]],Batters[[#All],[PID]],0)),INDEX(Table3[[#All],[CON P]],MATCH(Table5[[#This Row],[PID]],Table3[[#All],[PID]],0)))</f>
        <v>4</v>
      </c>
      <c r="O440" s="70">
        <f>IF($C440="B",INDEX(Batters[[#All],[EYE P]],MATCH(Table5[[#This Row],[PID]],Batters[[#All],[PID]],0)),INDEX(Table3[[#All],[VELO]],MATCH(Table5[[#This Row],[PID]],Table3[[#All],[PID]],0)))</f>
        <v>5</v>
      </c>
      <c r="P440" s="56">
        <f>IF($C440="B",INDEX(Batters[[#All],[K P]],MATCH(Table5[[#This Row],[PID]],Batters[[#All],[PID]],0)),INDEX(Table3[[#All],[STM]],MATCH(Table5[[#This Row],[PID]],Table3[[#All],[PID]],0)))</f>
        <v>3</v>
      </c>
      <c r="Q440" s="61">
        <f>IF($C440="B",INDEX(Batters[[#All],[Tot]],MATCH(Table5[[#This Row],[PID]],Batters[[#All],[PID]],0)),INDEX(Table3[[#All],[Tot]],MATCH(Table5[[#This Row],[PID]],Table3[[#All],[PID]],0)))</f>
        <v>41.590346877882538</v>
      </c>
      <c r="R440" s="52">
        <f>IF($C440="B",INDEX(Batters[[#All],[zScore]],MATCH(Table5[[#This Row],[PID]],Batters[[#All],[PID]],0)),INDEX(Table3[[#All],[zScore]],MATCH(Table5[[#This Row],[PID]],Table3[[#All],[PID]],0)))</f>
        <v>-0.23765705528638775</v>
      </c>
      <c r="S440" s="75" t="str">
        <f>IF($C440="B",INDEX(Batters[[#All],[DEM]],MATCH(Table5[[#This Row],[PID]],Batters[[#All],[PID]],0)),INDEX(Table3[[#All],[DEM]],MATCH(Table5[[#This Row],[PID]],Table3[[#All],[PID]],0)))</f>
        <v>$34k</v>
      </c>
      <c r="T440" s="72">
        <f>IF($C440="B",INDEX(Batters[[#All],[Rnk]],MATCH(Table5[[#This Row],[PID]],Batters[[#All],[PID]],0)),INDEX(Table3[[#All],[Rnk]],MATCH(Table5[[#This Row],[PID]],Table3[[#All],[PID]],0)))</f>
        <v>900</v>
      </c>
      <c r="U440" s="67">
        <f>IF($C440="B",VLOOKUP($A440,Bat!$A$4:$BA$1314,47,FALSE),VLOOKUP($A440,Pit!$A$4:$BF$1214,56,FALSE))</f>
        <v>188</v>
      </c>
      <c r="V440" s="50">
        <f>IF($C440="B",VLOOKUP($A440,Bat!$A$4:$BA$1314,48,FALSE),VLOOKUP($A440,Pit!$A$4:$BF$1214,57,FALSE))</f>
        <v>0</v>
      </c>
      <c r="W440" s="68">
        <f>IF(Table5[[#This Row],[posRnk]]=999,9999,Table5[[#This Row],[posRnk]]+Table5[[#This Row],[zRnk]]+IF($W$3&lt;&gt;Table5[[#This Row],[Type]],50,0))</f>
        <v>1414</v>
      </c>
      <c r="X440" s="71">
        <f>RANK(Table5[[#This Row],[zScore]],Table5[[#All],[zScore]])</f>
        <v>464</v>
      </c>
      <c r="Y440" s="68">
        <f>IFERROR(INDEX(DraftResults[[#All],[OVR]],MATCH(Table5[[#This Row],[PID]],DraftResults[[#All],[Player ID]],0)),"")</f>
        <v>332</v>
      </c>
      <c r="Z440" s="7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11</v>
      </c>
      <c r="AA440" s="68">
        <f>IFERROR(INDEX(DraftResults[[#All],[Pick in Round]],MATCH(Table5[[#This Row],[PID]],DraftResults[[#All],[Player ID]],0)),"")</f>
        <v>1</v>
      </c>
      <c r="AB440" s="68" t="str">
        <f>IFERROR(INDEX(DraftResults[[#All],[Team Name]],MATCH(Table5[[#This Row],[PID]],DraftResults[[#All],[Player ID]],0)),"")</f>
        <v>Yuma Arroyos</v>
      </c>
      <c r="AC440" s="68">
        <f>IF(Table5[[#This Row],[Ovr]]="","",IF(Table5[[#This Row],[cmbList]]="","",Table5[[#This Row],[cmbList]]-Table5[[#This Row],[Ovr]]))</f>
        <v>1082</v>
      </c>
      <c r="AD440" s="74" t="str">
        <f>IF(ISERROR(VLOOKUP($AB440&amp;"-"&amp;$E440&amp;" "&amp;F440,Bonuses!$B$1:$G$1006,4,FALSE)),"",INT(VLOOKUP($AB440&amp;"-"&amp;$E440&amp;" "&amp;$F440,Bonuses!$B$1:$G$1006,4,FALSE)))</f>
        <v/>
      </c>
      <c r="AE440" s="68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11.1 (332) - CF Du Sen</v>
      </c>
    </row>
    <row r="441" spans="1:31" s="50" customFormat="1" x14ac:dyDescent="0.3">
      <c r="A441" s="67">
        <v>20531</v>
      </c>
      <c r="B441" s="68">
        <f>COUNTIF(Table5[PID],A441)</f>
        <v>1</v>
      </c>
      <c r="C441" s="68" t="str">
        <f>IF(COUNTIF(Table3[[#All],[PID]],A441)&gt;0,"P","B")</f>
        <v>P</v>
      </c>
      <c r="D441" s="59" t="str">
        <f>IF($C441="B",INDEX(Batters[[#All],[POS]],MATCH(Table5[[#This Row],[PID]],Batters[[#All],[PID]],0)),INDEX(Table3[[#All],[POS]],MATCH(Table5[[#This Row],[PID]],Table3[[#All],[PID]],0)))</f>
        <v>RP</v>
      </c>
      <c r="E441" s="52" t="str">
        <f>IF($C441="B",INDEX(Batters[[#All],[First]],MATCH(Table5[[#This Row],[PID]],Batters[[#All],[PID]],0)),INDEX(Table3[[#All],[First]],MATCH(Table5[[#This Row],[PID]],Table3[[#All],[PID]],0)))</f>
        <v>Allen</v>
      </c>
      <c r="F441" s="55" t="str">
        <f>IF($C441="B",INDEX(Batters[[#All],[Last]],MATCH(A441,Batters[[#All],[PID]],0)),INDEX(Table3[[#All],[Last]],MATCH(A441,Table3[[#All],[PID]],0)))</f>
        <v>Blanch</v>
      </c>
      <c r="G441" s="56">
        <f>IF($C441="B",INDEX(Batters[[#All],[Age]],MATCH(Table5[[#This Row],[PID]],Batters[[#All],[PID]],0)),INDEX(Table3[[#All],[Age]],MATCH(Table5[[#This Row],[PID]],Table3[[#All],[PID]],0)))</f>
        <v>17</v>
      </c>
      <c r="H441" s="52" t="str">
        <f>IF($C441="B",INDEX(Batters[[#All],[B]],MATCH(Table5[[#This Row],[PID]],Batters[[#All],[PID]],0)),INDEX(Table3[[#All],[B]],MATCH(Table5[[#This Row],[PID]],Table3[[#All],[PID]],0)))</f>
        <v>L</v>
      </c>
      <c r="I441" s="52" t="str">
        <f>IF($C441="B",INDEX(Batters[[#All],[T]],MATCH(Table5[[#This Row],[PID]],Batters[[#All],[PID]],0)),INDEX(Table3[[#All],[T]],MATCH(Table5[[#This Row],[PID]],Table3[[#All],[PID]],0)))</f>
        <v>L</v>
      </c>
      <c r="J441" s="69" t="str">
        <f>IF($C441="B",INDEX(Batters[[#All],[WE]],MATCH(Table5[[#This Row],[PID]],Batters[[#All],[PID]],0)),INDEX(Table3[[#All],[WE]],MATCH(Table5[[#This Row],[PID]],Table3[[#All],[PID]],0)))</f>
        <v>Low</v>
      </c>
      <c r="K441" s="52" t="str">
        <f>IF($C441="B",INDEX(Batters[[#All],[INT]],MATCH(Table5[[#This Row],[PID]],Batters[[#All],[PID]],0)),INDEX(Table3[[#All],[INT]],MATCH(Table5[[#This Row],[PID]],Table3[[#All],[PID]],0)))</f>
        <v>Normal</v>
      </c>
      <c r="L441" s="60">
        <f>IF($C441="B",INDEX(Batters[[#All],[CON P]],MATCH(Table5[[#This Row],[PID]],Batters[[#All],[PID]],0)),INDEX(Table3[[#All],[STU P]],MATCH(Table5[[#This Row],[PID]],Table3[[#All],[PID]],0)))</f>
        <v>4</v>
      </c>
      <c r="M441" s="70">
        <f>IF($C441="B",INDEX(Batters[[#All],[GAP P]],MATCH(Table5[[#This Row],[PID]],Batters[[#All],[PID]],0)),INDEX(Table3[[#All],[MOV P]],MATCH(Table5[[#This Row],[PID]],Table3[[#All],[PID]],0)))</f>
        <v>3</v>
      </c>
      <c r="N441" s="70">
        <f>IF($C441="B",INDEX(Batters[[#All],[POW P]],MATCH(Table5[[#This Row],[PID]],Batters[[#All],[PID]],0)),INDEX(Table3[[#All],[CON P]],MATCH(Table5[[#This Row],[PID]],Table3[[#All],[PID]],0)))</f>
        <v>3</v>
      </c>
      <c r="O441" s="70" t="str">
        <f>IF($C441="B",INDEX(Batters[[#All],[EYE P]],MATCH(Table5[[#This Row],[PID]],Batters[[#All],[PID]],0)),INDEX(Table3[[#All],[VELO]],MATCH(Table5[[#This Row],[PID]],Table3[[#All],[PID]],0)))</f>
        <v>87-89 Mph</v>
      </c>
      <c r="P441" s="56">
        <f>IF($C441="B",INDEX(Batters[[#All],[K P]],MATCH(Table5[[#This Row],[PID]],Batters[[#All],[PID]],0)),INDEX(Table3[[#All],[STM]],MATCH(Table5[[#This Row],[PID]],Table3[[#All],[PID]],0)))</f>
        <v>3</v>
      </c>
      <c r="Q441" s="61">
        <f>IF($C441="B",INDEX(Batters[[#All],[Tot]],MATCH(Table5[[#This Row],[PID]],Batters[[#All],[PID]],0)),INDEX(Table3[[#All],[Tot]],MATCH(Table5[[#This Row],[PID]],Table3[[#All],[PID]],0)))</f>
        <v>35.554033346605799</v>
      </c>
      <c r="R441" s="52">
        <f>IF($C441="B",INDEX(Batters[[#All],[zScore]],MATCH(Table5[[#This Row],[PID]],Batters[[#All],[PID]],0)),INDEX(Table3[[#All],[zScore]],MATCH(Table5[[#This Row],[PID]],Table3[[#All],[PID]],0)))</f>
        <v>-0.16011251991104103</v>
      </c>
      <c r="S441" s="75" t="str">
        <f>IF($C441="B",INDEX(Batters[[#All],[DEM]],MATCH(Table5[[#This Row],[PID]],Batters[[#All],[PID]],0)),INDEX(Table3[[#All],[DEM]],MATCH(Table5[[#This Row],[PID]],Table3[[#All],[PID]],0)))</f>
        <v>$65k</v>
      </c>
      <c r="T441" s="72">
        <f>IF($C441="B",INDEX(Batters[[#All],[Rnk]],MATCH(Table5[[#This Row],[PID]],Batters[[#All],[PID]],0)),INDEX(Table3[[#All],[Rnk]],MATCH(Table5[[#This Row],[PID]],Table3[[#All],[PID]],0)))</f>
        <v>930</v>
      </c>
      <c r="U441" s="67">
        <f>IF($C441="B",VLOOKUP($A441,Bat!$A$4:$BA$1314,47,FALSE),VLOOKUP($A441,Pit!$A$4:$BF$1214,56,FALSE))</f>
        <v>292</v>
      </c>
      <c r="V441" s="50">
        <f>IF($C441="B",VLOOKUP($A441,Bat!$A$4:$BA$1314,48,FALSE),VLOOKUP($A441,Pit!$A$4:$BF$1214,57,FALSE))</f>
        <v>0</v>
      </c>
      <c r="W441" s="68">
        <f>IF(Table5[[#This Row],[posRnk]]=999,9999,Table5[[#This Row],[posRnk]]+Table5[[#This Row],[zRnk]]+IF($W$3&lt;&gt;Table5[[#This Row],[Type]],50,0))</f>
        <v>1364</v>
      </c>
      <c r="X441" s="71">
        <f>RANK(Table5[[#This Row],[zScore]],Table5[[#All],[zScore]])</f>
        <v>434</v>
      </c>
      <c r="Y441" s="68" t="str">
        <f>IFERROR(INDEX(DraftResults[[#All],[OVR]],MATCH(Table5[[#This Row],[PID]],DraftResults[[#All],[Player ID]],0)),"")</f>
        <v/>
      </c>
      <c r="Z441" s="7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/>
      </c>
      <c r="AA441" s="68" t="str">
        <f>IFERROR(INDEX(DraftResults[[#All],[Pick in Round]],MATCH(Table5[[#This Row],[PID]],DraftResults[[#All],[Player ID]],0)),"")</f>
        <v/>
      </c>
      <c r="AB441" s="68" t="str">
        <f>IFERROR(INDEX(DraftResults[[#All],[Team Name]],MATCH(Table5[[#This Row],[PID]],DraftResults[[#All],[Player ID]],0)),"")</f>
        <v/>
      </c>
      <c r="AC441" s="68" t="str">
        <f>IF(Table5[[#This Row],[Ovr]]="","",IF(Table5[[#This Row],[cmbList]]="","",Table5[[#This Row],[cmbList]]-Table5[[#This Row],[Ovr]]))</f>
        <v/>
      </c>
      <c r="AD441" s="74" t="str">
        <f>IF(ISERROR(VLOOKUP($AB441&amp;"-"&amp;$E441&amp;" "&amp;F441,Bonuses!$B$1:$G$1006,4,FALSE)),"",INT(VLOOKUP($AB441&amp;"-"&amp;$E441&amp;" "&amp;$F441,Bonuses!$B$1:$G$1006,4,FALSE)))</f>
        <v/>
      </c>
      <c r="AE441" s="68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/>
      </c>
    </row>
    <row r="442" spans="1:31" s="50" customFormat="1" x14ac:dyDescent="0.3">
      <c r="A442" s="50">
        <v>20723</v>
      </c>
      <c r="B442" s="50">
        <f>COUNTIF(Table5[PID],A442)</f>
        <v>1</v>
      </c>
      <c r="C442" s="50" t="str">
        <f>IF(COUNTIF(Table3[[#All],[PID]],A442)&gt;0,"P","B")</f>
        <v>B</v>
      </c>
      <c r="D442" s="59" t="str">
        <f>IF($C442="B",INDEX(Batters[[#All],[POS]],MATCH(Table5[[#This Row],[PID]],Batters[[#All],[PID]],0)),INDEX(Table3[[#All],[POS]],MATCH(Table5[[#This Row],[PID]],Table3[[#All],[PID]],0)))</f>
        <v>SS</v>
      </c>
      <c r="E442" s="52" t="str">
        <f>IF($C442="B",INDEX(Batters[[#All],[First]],MATCH(Table5[[#This Row],[PID]],Batters[[#All],[PID]],0)),INDEX(Table3[[#All],[First]],MATCH(Table5[[#This Row],[PID]],Table3[[#All],[PID]],0)))</f>
        <v>Charles</v>
      </c>
      <c r="F442" s="50" t="str">
        <f>IF($C442="B",INDEX(Batters[[#All],[Last]],MATCH(A442,Batters[[#All],[PID]],0)),INDEX(Table3[[#All],[Last]],MATCH(A442,Table3[[#All],[PID]],0)))</f>
        <v>Ramos</v>
      </c>
      <c r="G442" s="56">
        <f>IF($C442="B",INDEX(Batters[[#All],[Age]],MATCH(Table5[[#This Row],[PID]],Batters[[#All],[PID]],0)),INDEX(Table3[[#All],[Age]],MATCH(Table5[[#This Row],[PID]],Table3[[#All],[PID]],0)))</f>
        <v>17</v>
      </c>
      <c r="H442" s="52" t="str">
        <f>IF($C442="B",INDEX(Batters[[#All],[B]],MATCH(Table5[[#This Row],[PID]],Batters[[#All],[PID]],0)),INDEX(Table3[[#All],[B]],MATCH(Table5[[#This Row],[PID]],Table3[[#All],[PID]],0)))</f>
        <v>R</v>
      </c>
      <c r="I442" s="52" t="str">
        <f>IF($C442="B",INDEX(Batters[[#All],[T]],MATCH(Table5[[#This Row],[PID]],Batters[[#All],[PID]],0)),INDEX(Table3[[#All],[T]],MATCH(Table5[[#This Row],[PID]],Table3[[#All],[PID]],0)))</f>
        <v>R</v>
      </c>
      <c r="J442" s="52" t="str">
        <f>IF($C442="B",INDEX(Batters[[#All],[WE]],MATCH(Table5[[#This Row],[PID]],Batters[[#All],[PID]],0)),INDEX(Table3[[#All],[WE]],MATCH(Table5[[#This Row],[PID]],Table3[[#All],[PID]],0)))</f>
        <v>Low</v>
      </c>
      <c r="K442" s="52" t="str">
        <f>IF($C442="B",INDEX(Batters[[#All],[INT]],MATCH(Table5[[#This Row],[PID]],Batters[[#All],[PID]],0)),INDEX(Table3[[#All],[INT]],MATCH(Table5[[#This Row],[PID]],Table3[[#All],[PID]],0)))</f>
        <v>Normal</v>
      </c>
      <c r="L442" s="60">
        <f>IF($C442="B",INDEX(Batters[[#All],[CON P]],MATCH(Table5[[#This Row],[PID]],Batters[[#All],[PID]],0)),INDEX(Table3[[#All],[STU P]],MATCH(Table5[[#This Row],[PID]],Table3[[#All],[PID]],0)))</f>
        <v>3</v>
      </c>
      <c r="M442" s="56">
        <f>IF($C442="B",INDEX(Batters[[#All],[GAP P]],MATCH(Table5[[#This Row],[PID]],Batters[[#All],[PID]],0)),INDEX(Table3[[#All],[MOV P]],MATCH(Table5[[#This Row],[PID]],Table3[[#All],[PID]],0)))</f>
        <v>4</v>
      </c>
      <c r="N442" s="56">
        <f>IF($C442="B",INDEX(Batters[[#All],[POW P]],MATCH(Table5[[#This Row],[PID]],Batters[[#All],[PID]],0)),INDEX(Table3[[#All],[CON P]],MATCH(Table5[[#This Row],[PID]],Table3[[#All],[PID]],0)))</f>
        <v>2</v>
      </c>
      <c r="O442" s="56">
        <f>IF($C442="B",INDEX(Batters[[#All],[EYE P]],MATCH(Table5[[#This Row],[PID]],Batters[[#All],[PID]],0)),INDEX(Table3[[#All],[VELO]],MATCH(Table5[[#This Row],[PID]],Table3[[#All],[PID]],0)))</f>
        <v>6</v>
      </c>
      <c r="P442" s="56">
        <f>IF($C442="B",INDEX(Batters[[#All],[K P]],MATCH(Table5[[#This Row],[PID]],Batters[[#All],[PID]],0)),INDEX(Table3[[#All],[STM]],MATCH(Table5[[#This Row],[PID]],Table3[[#All],[PID]],0)))</f>
        <v>4</v>
      </c>
      <c r="Q442" s="61">
        <f>IF($C442="B",INDEX(Batters[[#All],[Tot]],MATCH(Table5[[#This Row],[PID]],Batters[[#All],[PID]],0)),INDEX(Table3[[#All],[Tot]],MATCH(Table5[[#This Row],[PID]],Table3[[#All],[PID]],0)))</f>
        <v>42.067890123532464</v>
      </c>
      <c r="R442" s="52">
        <f>IF($C442="B",INDEX(Batters[[#All],[zScore]],MATCH(Table5[[#This Row],[PID]],Batters[[#All],[PID]],0)),INDEX(Table3[[#All],[zScore]],MATCH(Table5[[#This Row],[PID]],Table3[[#All],[PID]],0)))</f>
        <v>-0.16795097044410254</v>
      </c>
      <c r="S442" s="58" t="str">
        <f>IF($C442="B",INDEX(Batters[[#All],[DEM]],MATCH(Table5[[#This Row],[PID]],Batters[[#All],[PID]],0)),INDEX(Table3[[#All],[DEM]],MATCH(Table5[[#This Row],[PID]],Table3[[#All],[PID]],0)))</f>
        <v>$38k</v>
      </c>
      <c r="T442" s="62">
        <f>IF($C442="B",INDEX(Batters[[#All],[Rnk]],MATCH(Table5[[#This Row],[PID]],Batters[[#All],[PID]],0)),INDEX(Table3[[#All],[Rnk]],MATCH(Table5[[#This Row],[PID]],Table3[[#All],[PID]],0)))</f>
        <v>930</v>
      </c>
      <c r="U442" s="67">
        <f>IF($C442="B",VLOOKUP($A442,Bat!$A$4:$BA$1314,47,FALSE),VLOOKUP($A442,Pit!$A$4:$BF$1214,56,FALSE))</f>
        <v>336</v>
      </c>
      <c r="V442" s="50">
        <f>IF($C442="B",VLOOKUP($A442,Bat!$A$4:$BA$1314,48,FALSE),VLOOKUP($A442,Pit!$A$4:$BF$1214,57,FALSE))</f>
        <v>0</v>
      </c>
      <c r="W442" s="68">
        <f>IF(Table5[[#This Row],[posRnk]]=999,9999,Table5[[#This Row],[posRnk]]+Table5[[#This Row],[zRnk]]+IF($W$3&lt;&gt;Table5[[#This Row],[Type]],50,0))</f>
        <v>1415</v>
      </c>
      <c r="X442" s="51">
        <f>RANK(Table5[[#This Row],[zScore]],Table5[[#All],[zScore]])</f>
        <v>435</v>
      </c>
      <c r="Y442" s="50" t="str">
        <f>IFERROR(INDEX(DraftResults[[#All],[OVR]],MATCH(Table5[[#This Row],[PID]],DraftResults[[#All],[Player ID]],0)),"")</f>
        <v/>
      </c>
      <c r="Z442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/>
      </c>
      <c r="AA442" s="50" t="str">
        <f>IFERROR(INDEX(DraftResults[[#All],[Pick in Round]],MATCH(Table5[[#This Row],[PID]],DraftResults[[#All],[Player ID]],0)),"")</f>
        <v/>
      </c>
      <c r="AB442" s="50" t="str">
        <f>IFERROR(INDEX(DraftResults[[#All],[Team Name]],MATCH(Table5[[#This Row],[PID]],DraftResults[[#All],[Player ID]],0)),"")</f>
        <v/>
      </c>
      <c r="AC442" s="50" t="str">
        <f>IF(Table5[[#This Row],[Ovr]]="","",IF(Table5[[#This Row],[cmbList]]="","",Table5[[#This Row],[cmbList]]-Table5[[#This Row],[Ovr]]))</f>
        <v/>
      </c>
      <c r="AD442" s="54" t="str">
        <f>IF(ISERROR(VLOOKUP($AB442&amp;"-"&amp;$E442&amp;" "&amp;F442,Bonuses!$B$1:$G$1006,4,FALSE)),"",INT(VLOOKUP($AB442&amp;"-"&amp;$E442&amp;" "&amp;$F442,Bonuses!$B$1:$G$1006,4,FALSE)))</f>
        <v/>
      </c>
      <c r="AE442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/>
      </c>
    </row>
    <row r="443" spans="1:31" s="50" customFormat="1" x14ac:dyDescent="0.3">
      <c r="A443" s="50">
        <v>5662</v>
      </c>
      <c r="B443" s="50">
        <f>COUNTIF(Table5[PID],A443)</f>
        <v>1</v>
      </c>
      <c r="C443" s="50" t="str">
        <f>IF(COUNTIF(Table3[[#All],[PID]],A443)&gt;0,"P","B")</f>
        <v>P</v>
      </c>
      <c r="D443" s="59" t="str">
        <f>IF($C443="B",INDEX(Batters[[#All],[POS]],MATCH(Table5[[#This Row],[PID]],Batters[[#All],[PID]],0)),INDEX(Table3[[#All],[POS]],MATCH(Table5[[#This Row],[PID]],Table3[[#All],[PID]],0)))</f>
        <v>RP</v>
      </c>
      <c r="E443" s="52" t="str">
        <f>IF($C443="B",INDEX(Batters[[#All],[First]],MATCH(Table5[[#This Row],[PID]],Batters[[#All],[PID]],0)),INDEX(Table3[[#All],[First]],MATCH(Table5[[#This Row],[PID]],Table3[[#All],[PID]],0)))</f>
        <v>Franklin</v>
      </c>
      <c r="F443" s="50" t="str">
        <f>IF($C443="B",INDEX(Batters[[#All],[Last]],MATCH(A443,Batters[[#All],[PID]],0)),INDEX(Table3[[#All],[Last]],MATCH(A443,Table3[[#All],[PID]],0)))</f>
        <v>Ferguson</v>
      </c>
      <c r="G443" s="56">
        <f>IF($C443="B",INDEX(Batters[[#All],[Age]],MATCH(Table5[[#This Row],[PID]],Batters[[#All],[PID]],0)),INDEX(Table3[[#All],[Age]],MATCH(Table5[[#This Row],[PID]],Table3[[#All],[PID]],0)))</f>
        <v>21</v>
      </c>
      <c r="H443" s="52" t="str">
        <f>IF($C443="B",INDEX(Batters[[#All],[B]],MATCH(Table5[[#This Row],[PID]],Batters[[#All],[PID]],0)),INDEX(Table3[[#All],[B]],MATCH(Table5[[#This Row],[PID]],Table3[[#All],[PID]],0)))</f>
        <v>L</v>
      </c>
      <c r="I443" s="52" t="str">
        <f>IF($C443="B",INDEX(Batters[[#All],[T]],MATCH(Table5[[#This Row],[PID]],Batters[[#All],[PID]],0)),INDEX(Table3[[#All],[T]],MATCH(Table5[[#This Row],[PID]],Table3[[#All],[PID]],0)))</f>
        <v>R</v>
      </c>
      <c r="J443" s="52" t="str">
        <f>IF($C443="B",INDEX(Batters[[#All],[WE]],MATCH(Table5[[#This Row],[PID]],Batters[[#All],[PID]],0)),INDEX(Table3[[#All],[WE]],MATCH(Table5[[#This Row],[PID]],Table3[[#All],[PID]],0)))</f>
        <v>High</v>
      </c>
      <c r="K443" s="52" t="str">
        <f>IF($C443="B",INDEX(Batters[[#All],[INT]],MATCH(Table5[[#This Row],[PID]],Batters[[#All],[PID]],0)),INDEX(Table3[[#All],[INT]],MATCH(Table5[[#This Row],[PID]],Table3[[#All],[PID]],0)))</f>
        <v>Normal</v>
      </c>
      <c r="L443" s="60">
        <f>IF($C443="B",INDEX(Batters[[#All],[CON P]],MATCH(Table5[[#This Row],[PID]],Batters[[#All],[PID]],0)),INDEX(Table3[[#All],[STU P]],MATCH(Table5[[#This Row],[PID]],Table3[[#All],[PID]],0)))</f>
        <v>5</v>
      </c>
      <c r="M443" s="56">
        <f>IF($C443="B",INDEX(Batters[[#All],[GAP P]],MATCH(Table5[[#This Row],[PID]],Batters[[#All],[PID]],0)),INDEX(Table3[[#All],[MOV P]],MATCH(Table5[[#This Row],[PID]],Table3[[#All],[PID]],0)))</f>
        <v>1</v>
      </c>
      <c r="N443" s="56">
        <f>IF($C443="B",INDEX(Batters[[#All],[POW P]],MATCH(Table5[[#This Row],[PID]],Batters[[#All],[PID]],0)),INDEX(Table3[[#All],[CON P]],MATCH(Table5[[#This Row],[PID]],Table3[[#All],[PID]],0)))</f>
        <v>4</v>
      </c>
      <c r="O443" s="56" t="str">
        <f>IF($C443="B",INDEX(Batters[[#All],[EYE P]],MATCH(Table5[[#This Row],[PID]],Batters[[#All],[PID]],0)),INDEX(Table3[[#All],[VELO]],MATCH(Table5[[#This Row],[PID]],Table3[[#All],[PID]],0)))</f>
        <v>91-93 Mph</v>
      </c>
      <c r="P443" s="56">
        <f>IF($C443="B",INDEX(Batters[[#All],[K P]],MATCH(Table5[[#This Row],[PID]],Batters[[#All],[PID]],0)),INDEX(Table3[[#All],[STM]],MATCH(Table5[[#This Row],[PID]],Table3[[#All],[PID]],0)))</f>
        <v>4</v>
      </c>
      <c r="Q443" s="61">
        <f>IF($C443="B",INDEX(Batters[[#All],[Tot]],MATCH(Table5[[#This Row],[PID]],Batters[[#All],[PID]],0)),INDEX(Table3[[#All],[Tot]],MATCH(Table5[[#This Row],[PID]],Table3[[#All],[PID]],0)))</f>
        <v>34.36872201684438</v>
      </c>
      <c r="R443" s="52">
        <f>IF($C443="B",INDEX(Batters[[#All],[zScore]],MATCH(Table5[[#This Row],[PID]],Batters[[#All],[PID]],0)),INDEX(Table3[[#All],[zScore]],MATCH(Table5[[#This Row],[PID]],Table3[[#All],[PID]],0)))</f>
        <v>-0.24451502273407269</v>
      </c>
      <c r="S443" s="58" t="str">
        <f>IF($C443="B",INDEX(Batters[[#All],[DEM]],MATCH(Table5[[#This Row],[PID]],Batters[[#All],[PID]],0)),INDEX(Table3[[#All],[DEM]],MATCH(Table5[[#This Row],[PID]],Table3[[#All],[PID]],0)))</f>
        <v>-</v>
      </c>
      <c r="T443" s="62">
        <f>IF($C443="B",INDEX(Batters[[#All],[Rnk]],MATCH(Table5[[#This Row],[PID]],Batters[[#All],[PID]],0)),INDEX(Table3[[#All],[Rnk]],MATCH(Table5[[#This Row],[PID]],Table3[[#All],[PID]],0)))</f>
        <v>900</v>
      </c>
      <c r="U443" s="67">
        <f>IF($C443="B",VLOOKUP($A443,Bat!$A$4:$BA$1314,47,FALSE),VLOOKUP($A443,Pit!$A$4:$BF$1214,56,FALSE))</f>
        <v>152</v>
      </c>
      <c r="V443" s="50">
        <f>IF($C443="B",VLOOKUP($A443,Bat!$A$4:$BA$1314,48,FALSE),VLOOKUP($A443,Pit!$A$4:$BF$1214,57,FALSE))</f>
        <v>0</v>
      </c>
      <c r="W443" s="68">
        <f>IF(Table5[[#This Row],[posRnk]]=999,9999,Table5[[#This Row],[posRnk]]+Table5[[#This Row],[zRnk]]+IF($W$3&lt;&gt;Table5[[#This Row],[Type]],50,0))</f>
        <v>1366</v>
      </c>
      <c r="X443" s="51">
        <f>RANK(Table5[[#This Row],[zScore]],Table5[[#All],[zScore]])</f>
        <v>466</v>
      </c>
      <c r="Y443" s="50">
        <f>IFERROR(INDEX(DraftResults[[#All],[OVR]],MATCH(Table5[[#This Row],[PID]],DraftResults[[#All],[Player ID]],0)),"")</f>
        <v>411</v>
      </c>
      <c r="Z443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13</v>
      </c>
      <c r="AA443" s="50">
        <f>IFERROR(INDEX(DraftResults[[#All],[Pick in Round]],MATCH(Table5[[#This Row],[PID]],DraftResults[[#All],[Player ID]],0)),"")</f>
        <v>12</v>
      </c>
      <c r="AB443" s="50" t="str">
        <f>IFERROR(INDEX(DraftResults[[#All],[Team Name]],MATCH(Table5[[#This Row],[PID]],DraftResults[[#All],[Player ID]],0)),"")</f>
        <v>Manchester Maulers</v>
      </c>
      <c r="AC443" s="50">
        <f>IF(Table5[[#This Row],[Ovr]]="","",IF(Table5[[#This Row],[cmbList]]="","",Table5[[#This Row],[cmbList]]-Table5[[#This Row],[Ovr]]))</f>
        <v>955</v>
      </c>
      <c r="AD443" s="54" t="str">
        <f>IF(ISERROR(VLOOKUP($AB443&amp;"-"&amp;$E443&amp;" "&amp;F443,Bonuses!$B$1:$G$1006,4,FALSE)),"",INT(VLOOKUP($AB443&amp;"-"&amp;$E443&amp;" "&amp;$F443,Bonuses!$B$1:$G$1006,4,FALSE)))</f>
        <v/>
      </c>
      <c r="AE443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13.12 (411) - RP Franklin Ferguson</v>
      </c>
    </row>
    <row r="444" spans="1:31" s="50" customFormat="1" x14ac:dyDescent="0.3">
      <c r="A444" s="67">
        <v>20482</v>
      </c>
      <c r="B444" s="68">
        <f>COUNTIF(Table5[PID],A444)</f>
        <v>1</v>
      </c>
      <c r="C444" s="68" t="str">
        <f>IF(COUNTIF(Table3[[#All],[PID]],A444)&gt;0,"P","B")</f>
        <v>P</v>
      </c>
      <c r="D444" s="59" t="str">
        <f>IF($C444="B",INDEX(Batters[[#All],[POS]],MATCH(Table5[[#This Row],[PID]],Batters[[#All],[PID]],0)),INDEX(Table3[[#All],[POS]],MATCH(Table5[[#This Row],[PID]],Table3[[#All],[PID]],0)))</f>
        <v>CL</v>
      </c>
      <c r="E444" s="52" t="str">
        <f>IF($C444="B",INDEX(Batters[[#All],[First]],MATCH(Table5[[#This Row],[PID]],Batters[[#All],[PID]],0)),INDEX(Table3[[#All],[First]],MATCH(Table5[[#This Row],[PID]],Table3[[#All],[PID]],0)))</f>
        <v>Tsuyoshi</v>
      </c>
      <c r="F444" s="55" t="str">
        <f>IF($C444="B",INDEX(Batters[[#All],[Last]],MATCH(A444,Batters[[#All],[PID]],0)),INDEX(Table3[[#All],[Last]],MATCH(A444,Table3[[#All],[PID]],0)))</f>
        <v>Kaneko</v>
      </c>
      <c r="G444" s="56">
        <f>IF($C444="B",INDEX(Batters[[#All],[Age]],MATCH(Table5[[#This Row],[PID]],Batters[[#All],[PID]],0)),INDEX(Table3[[#All],[Age]],MATCH(Table5[[#This Row],[PID]],Table3[[#All],[PID]],0)))</f>
        <v>17</v>
      </c>
      <c r="H444" s="52" t="str">
        <f>IF($C444="B",INDEX(Batters[[#All],[B]],MATCH(Table5[[#This Row],[PID]],Batters[[#All],[PID]],0)),INDEX(Table3[[#All],[B]],MATCH(Table5[[#This Row],[PID]],Table3[[#All],[PID]],0)))</f>
        <v>L</v>
      </c>
      <c r="I444" s="52" t="str">
        <f>IF($C444="B",INDEX(Batters[[#All],[T]],MATCH(Table5[[#This Row],[PID]],Batters[[#All],[PID]],0)),INDEX(Table3[[#All],[T]],MATCH(Table5[[#This Row],[PID]],Table3[[#All],[PID]],0)))</f>
        <v>L</v>
      </c>
      <c r="J444" s="69" t="str">
        <f>IF($C444="B",INDEX(Batters[[#All],[WE]],MATCH(Table5[[#This Row],[PID]],Batters[[#All],[PID]],0)),INDEX(Table3[[#All],[WE]],MATCH(Table5[[#This Row],[PID]],Table3[[#All],[PID]],0)))</f>
        <v>Low</v>
      </c>
      <c r="K444" s="52" t="str">
        <f>IF($C444="B",INDEX(Batters[[#All],[INT]],MATCH(Table5[[#This Row],[PID]],Batters[[#All],[PID]],0)),INDEX(Table3[[#All],[INT]],MATCH(Table5[[#This Row],[PID]],Table3[[#All],[PID]],0)))</f>
        <v>Normal</v>
      </c>
      <c r="L444" s="60">
        <f>IF($C444="B",INDEX(Batters[[#All],[CON P]],MATCH(Table5[[#This Row],[PID]],Batters[[#All],[PID]],0)),INDEX(Table3[[#All],[STU P]],MATCH(Table5[[#This Row],[PID]],Table3[[#All],[PID]],0)))</f>
        <v>4</v>
      </c>
      <c r="M444" s="70">
        <f>IF($C444="B",INDEX(Batters[[#All],[GAP P]],MATCH(Table5[[#This Row],[PID]],Batters[[#All],[PID]],0)),INDEX(Table3[[#All],[MOV P]],MATCH(Table5[[#This Row],[PID]],Table3[[#All],[PID]],0)))</f>
        <v>3</v>
      </c>
      <c r="N444" s="70">
        <f>IF($C444="B",INDEX(Batters[[#All],[POW P]],MATCH(Table5[[#This Row],[PID]],Batters[[#All],[PID]],0)),INDEX(Table3[[#All],[CON P]],MATCH(Table5[[#This Row],[PID]],Table3[[#All],[PID]],0)))</f>
        <v>4</v>
      </c>
      <c r="O444" s="70" t="str">
        <f>IF($C444="B",INDEX(Batters[[#All],[EYE P]],MATCH(Table5[[#This Row],[PID]],Batters[[#All],[PID]],0)),INDEX(Table3[[#All],[VELO]],MATCH(Table5[[#This Row],[PID]],Table3[[#All],[PID]],0)))</f>
        <v>90-92 Mph</v>
      </c>
      <c r="P444" s="56">
        <f>IF($C444="B",INDEX(Batters[[#All],[K P]],MATCH(Table5[[#This Row],[PID]],Batters[[#All],[PID]],0)),INDEX(Table3[[#All],[STM]],MATCH(Table5[[#This Row],[PID]],Table3[[#All],[PID]],0)))</f>
        <v>10</v>
      </c>
      <c r="Q444" s="61">
        <f>IF($C444="B",INDEX(Batters[[#All],[Tot]],MATCH(Table5[[#This Row],[PID]],Batters[[#All],[PID]],0)),INDEX(Table3[[#All],[Tot]],MATCH(Table5[[#This Row],[PID]],Table3[[#All],[PID]],0)))</f>
        <v>35.366833763697038</v>
      </c>
      <c r="R444" s="52">
        <f>IF($C444="B",INDEX(Batters[[#All],[zScore]],MATCH(Table5[[#This Row],[PID]],Batters[[#All],[PID]],0)),INDEX(Table3[[#All],[zScore]],MATCH(Table5[[#This Row],[PID]],Table3[[#All],[PID]],0)))</f>
        <v>-0.17344244676503248</v>
      </c>
      <c r="S444" s="75" t="str">
        <f>IF($C444="B",INDEX(Batters[[#All],[DEM]],MATCH(Table5[[#This Row],[PID]],Batters[[#All],[PID]],0)),INDEX(Table3[[#All],[DEM]],MATCH(Table5[[#This Row],[PID]],Table3[[#All],[PID]],0)))</f>
        <v>$38k</v>
      </c>
      <c r="T444" s="72">
        <f>IF($C444="B",INDEX(Batters[[#All],[Rnk]],MATCH(Table5[[#This Row],[PID]],Batters[[#All],[PID]],0)),INDEX(Table3[[#All],[Rnk]],MATCH(Table5[[#This Row],[PID]],Table3[[#All],[PID]],0)))</f>
        <v>930</v>
      </c>
      <c r="U444" s="67">
        <f>IF($C444="B",VLOOKUP($A444,Bat!$A$4:$BA$1314,47,FALSE),VLOOKUP($A444,Pit!$A$4:$BF$1214,56,FALSE))</f>
        <v>293</v>
      </c>
      <c r="V444" s="50">
        <f>IF($C444="B",VLOOKUP($A444,Bat!$A$4:$BA$1314,48,FALSE),VLOOKUP($A444,Pit!$A$4:$BF$1214,57,FALSE))</f>
        <v>0</v>
      </c>
      <c r="W444" s="68">
        <f>IF(Table5[[#This Row],[posRnk]]=999,9999,Table5[[#This Row],[posRnk]]+Table5[[#This Row],[zRnk]]+IF($W$3&lt;&gt;Table5[[#This Row],[Type]],50,0))</f>
        <v>1366</v>
      </c>
      <c r="X444" s="71">
        <f>RANK(Table5[[#This Row],[zScore]],Table5[[#All],[zScore]])</f>
        <v>436</v>
      </c>
      <c r="Y444" s="68">
        <f>IFERROR(INDEX(DraftResults[[#All],[OVR]],MATCH(Table5[[#This Row],[PID]],DraftResults[[#All],[Player ID]],0)),"")</f>
        <v>360</v>
      </c>
      <c r="Z444" s="7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11</v>
      </c>
      <c r="AA444" s="68">
        <f>IFERROR(INDEX(DraftResults[[#All],[Pick in Round]],MATCH(Table5[[#This Row],[PID]],DraftResults[[#All],[Player ID]],0)),"")</f>
        <v>29</v>
      </c>
      <c r="AB444" s="68" t="str">
        <f>IFERROR(INDEX(DraftResults[[#All],[Team Name]],MATCH(Table5[[#This Row],[PID]],DraftResults[[#All],[Player ID]],0)),"")</f>
        <v>Shin Seiki Evas</v>
      </c>
      <c r="AC444" s="68">
        <f>IF(Table5[[#This Row],[Ovr]]="","",IF(Table5[[#This Row],[cmbList]]="","",Table5[[#This Row],[cmbList]]-Table5[[#This Row],[Ovr]]))</f>
        <v>1006</v>
      </c>
      <c r="AD444" s="74" t="str">
        <f>IF(ISERROR(VLOOKUP($AB444&amp;"-"&amp;$E444&amp;" "&amp;F444,Bonuses!$B$1:$G$1006,4,FALSE)),"",INT(VLOOKUP($AB444&amp;"-"&amp;$E444&amp;" "&amp;$F444,Bonuses!$B$1:$G$1006,4,FALSE)))</f>
        <v/>
      </c>
      <c r="AE444" s="68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11.29 (360) - CL Tsuyoshi Kaneko</v>
      </c>
    </row>
    <row r="445" spans="1:31" s="50" customFormat="1" x14ac:dyDescent="0.3">
      <c r="A445" s="50">
        <v>5487</v>
      </c>
      <c r="B445" s="55">
        <f>COUNTIF(Table5[PID],A445)</f>
        <v>1</v>
      </c>
      <c r="C445" s="55" t="str">
        <f>IF(COUNTIF(Table3[[#All],[PID]],A445)&gt;0,"P","B")</f>
        <v>P</v>
      </c>
      <c r="D445" s="59" t="str">
        <f>IF($C445="B",INDEX(Batters[[#All],[POS]],MATCH(Table5[[#This Row],[PID]],Batters[[#All],[PID]],0)),INDEX(Table3[[#All],[POS]],MATCH(Table5[[#This Row],[PID]],Table3[[#All],[PID]],0)))</f>
        <v>RP</v>
      </c>
      <c r="E445" s="52" t="str">
        <f>IF($C445="B",INDEX(Batters[[#All],[First]],MATCH(Table5[[#This Row],[PID]],Batters[[#All],[PID]],0)),INDEX(Table3[[#All],[First]],MATCH(Table5[[#This Row],[PID]],Table3[[#All],[PID]],0)))</f>
        <v>Tim</v>
      </c>
      <c r="F445" s="50" t="str">
        <f>IF($C445="B",INDEX(Batters[[#All],[Last]],MATCH(A445,Batters[[#All],[PID]],0)),INDEX(Table3[[#All],[Last]],MATCH(A445,Table3[[#All],[PID]],0)))</f>
        <v>Parkinson</v>
      </c>
      <c r="G445" s="56">
        <f>IF($C445="B",INDEX(Batters[[#All],[Age]],MATCH(Table5[[#This Row],[PID]],Batters[[#All],[PID]],0)),INDEX(Table3[[#All],[Age]],MATCH(Table5[[#This Row],[PID]],Table3[[#All],[PID]],0)))</f>
        <v>21</v>
      </c>
      <c r="H445" s="52" t="str">
        <f>IF($C445="B",INDEX(Batters[[#All],[B]],MATCH(Table5[[#This Row],[PID]],Batters[[#All],[PID]],0)),INDEX(Table3[[#All],[B]],MATCH(Table5[[#This Row],[PID]],Table3[[#All],[PID]],0)))</f>
        <v>L</v>
      </c>
      <c r="I445" s="52" t="str">
        <f>IF($C445="B",INDEX(Batters[[#All],[T]],MATCH(Table5[[#This Row],[PID]],Batters[[#All],[PID]],0)),INDEX(Table3[[#All],[T]],MATCH(Table5[[#This Row],[PID]],Table3[[#All],[PID]],0)))</f>
        <v>L</v>
      </c>
      <c r="J445" s="52" t="str">
        <f>IF($C445="B",INDEX(Batters[[#All],[WE]],MATCH(Table5[[#This Row],[PID]],Batters[[#All],[PID]],0)),INDEX(Table3[[#All],[WE]],MATCH(Table5[[#This Row],[PID]],Table3[[#All],[PID]],0)))</f>
        <v>Normal</v>
      </c>
      <c r="K445" s="52" t="str">
        <f>IF($C445="B",INDEX(Batters[[#All],[INT]],MATCH(Table5[[#This Row],[PID]],Batters[[#All],[PID]],0)),INDEX(Table3[[#All],[INT]],MATCH(Table5[[#This Row],[PID]],Table3[[#All],[PID]],0)))</f>
        <v>Normal</v>
      </c>
      <c r="L445" s="60">
        <f>IF($C445="B",INDEX(Batters[[#All],[CON P]],MATCH(Table5[[#This Row],[PID]],Batters[[#All],[PID]],0)),INDEX(Table3[[#All],[STU P]],MATCH(Table5[[#This Row],[PID]],Table3[[#All],[PID]],0)))</f>
        <v>4</v>
      </c>
      <c r="M445" s="56">
        <f>IF($C445="B",INDEX(Batters[[#All],[GAP P]],MATCH(Table5[[#This Row],[PID]],Batters[[#All],[PID]],0)),INDEX(Table3[[#All],[MOV P]],MATCH(Table5[[#This Row],[PID]],Table3[[#All],[PID]],0)))</f>
        <v>2</v>
      </c>
      <c r="N445" s="56">
        <f>IF($C445="B",INDEX(Batters[[#All],[POW P]],MATCH(Table5[[#This Row],[PID]],Batters[[#All],[PID]],0)),INDEX(Table3[[#All],[CON P]],MATCH(Table5[[#This Row],[PID]],Table3[[#All],[PID]],0)))</f>
        <v>4</v>
      </c>
      <c r="O445" s="56" t="str">
        <f>IF($C445="B",INDEX(Batters[[#All],[EYE P]],MATCH(Table5[[#This Row],[PID]],Batters[[#All],[PID]],0)),INDEX(Table3[[#All],[VELO]],MATCH(Table5[[#This Row],[PID]],Table3[[#All],[PID]],0)))</f>
        <v>87-89 Mph</v>
      </c>
      <c r="P445" s="56">
        <f>IF($C445="B",INDEX(Batters[[#All],[K P]],MATCH(Table5[[#This Row],[PID]],Batters[[#All],[PID]],0)),INDEX(Table3[[#All],[STM]],MATCH(Table5[[#This Row],[PID]],Table3[[#All],[PID]],0)))</f>
        <v>7</v>
      </c>
      <c r="Q445" s="61">
        <f>IF($C445="B",INDEX(Batters[[#All],[Tot]],MATCH(Table5[[#This Row],[PID]],Batters[[#All],[PID]],0)),INDEX(Table3[[#All],[Tot]],MATCH(Table5[[#This Row],[PID]],Table3[[#All],[PID]],0)))</f>
        <v>34.345749891592767</v>
      </c>
      <c r="R445" s="52">
        <f>IF($C445="B",INDEX(Batters[[#All],[zScore]],MATCH(Table5[[#This Row],[PID]],Batters[[#All],[PID]],0)),INDEX(Table3[[#All],[zScore]],MATCH(Table5[[#This Row],[PID]],Table3[[#All],[PID]],0)))</f>
        <v>-0.24615079961202641</v>
      </c>
      <c r="S445" s="58" t="str">
        <f>IF($C445="B",INDEX(Batters[[#All],[DEM]],MATCH(Table5[[#This Row],[PID]],Batters[[#All],[PID]],0)),INDEX(Table3[[#All],[DEM]],MATCH(Table5[[#This Row],[PID]],Table3[[#All],[PID]],0)))</f>
        <v>-</v>
      </c>
      <c r="T445" s="62">
        <f>IF($C445="B",INDEX(Batters[[#All],[Rnk]],MATCH(Table5[[#This Row],[PID]],Batters[[#All],[PID]],0)),INDEX(Table3[[#All],[Rnk]],MATCH(Table5[[#This Row],[PID]],Table3[[#All],[PID]],0)))</f>
        <v>900</v>
      </c>
      <c r="U445" s="67">
        <f>IF($C445="B",VLOOKUP($A445,Bat!$A$4:$BA$1314,47,FALSE),VLOOKUP($A445,Pit!$A$4:$BF$1214,56,FALSE))</f>
        <v>156</v>
      </c>
      <c r="V445" s="50">
        <f>IF($C445="B",VLOOKUP($A445,Bat!$A$4:$BA$1314,48,FALSE),VLOOKUP($A445,Pit!$A$4:$BF$1214,57,FALSE))</f>
        <v>0</v>
      </c>
      <c r="W445" s="68">
        <f>IF(Table5[[#This Row],[posRnk]]=999,9999,Table5[[#This Row],[posRnk]]+Table5[[#This Row],[zRnk]]+IF($W$3&lt;&gt;Table5[[#This Row],[Type]],50,0))</f>
        <v>1367</v>
      </c>
      <c r="X445" s="51">
        <f>RANK(Table5[[#This Row],[zScore]],Table5[[#All],[zScore]])</f>
        <v>467</v>
      </c>
      <c r="Y445" s="50">
        <f>IFERROR(INDEX(DraftResults[[#All],[OVR]],MATCH(Table5[[#This Row],[PID]],DraftResults[[#All],[Player ID]],0)),"")</f>
        <v>421</v>
      </c>
      <c r="Z445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13</v>
      </c>
      <c r="AA445" s="50">
        <f>IFERROR(INDEX(DraftResults[[#All],[Pick in Round]],MATCH(Table5[[#This Row],[PID]],DraftResults[[#All],[Player ID]],0)),"")</f>
        <v>22</v>
      </c>
      <c r="AB445" s="50" t="str">
        <f>IFERROR(INDEX(DraftResults[[#All],[Team Name]],MATCH(Table5[[#This Row],[PID]],DraftResults[[#All],[Player ID]],0)),"")</f>
        <v>Bakersfield Bears</v>
      </c>
      <c r="AC445" s="50">
        <f>IF(Table5[[#This Row],[Ovr]]="","",IF(Table5[[#This Row],[cmbList]]="","",Table5[[#This Row],[cmbList]]-Table5[[#This Row],[Ovr]]))</f>
        <v>946</v>
      </c>
      <c r="AD445" s="54" t="str">
        <f>IF(ISERROR(VLOOKUP($AB445&amp;"-"&amp;$E445&amp;" "&amp;F445,Bonuses!$B$1:$G$1006,4,FALSE)),"",INT(VLOOKUP($AB445&amp;"-"&amp;$E445&amp;" "&amp;$F445,Bonuses!$B$1:$G$1006,4,FALSE)))</f>
        <v/>
      </c>
      <c r="AE445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13.22 (421) - RP Tim Parkinson</v>
      </c>
    </row>
    <row r="446" spans="1:31" s="50" customFormat="1" x14ac:dyDescent="0.3">
      <c r="A446" s="50">
        <v>20850</v>
      </c>
      <c r="B446" s="50">
        <f>COUNTIF(Table5[PID],A446)</f>
        <v>1</v>
      </c>
      <c r="C446" s="50" t="str">
        <f>IF(COUNTIF(Table3[[#All],[PID]],A446)&gt;0,"P","B")</f>
        <v>P</v>
      </c>
      <c r="D446" s="59" t="str">
        <f>IF($C446="B",INDEX(Batters[[#All],[POS]],MATCH(Table5[[#This Row],[PID]],Batters[[#All],[PID]],0)),INDEX(Table3[[#All],[POS]],MATCH(Table5[[#This Row],[PID]],Table3[[#All],[PID]],0)))</f>
        <v>SP</v>
      </c>
      <c r="E446" s="52" t="str">
        <f>IF($C446="B",INDEX(Batters[[#All],[First]],MATCH(Table5[[#This Row],[PID]],Batters[[#All],[PID]],0)),INDEX(Table3[[#All],[First]],MATCH(Table5[[#This Row],[PID]],Table3[[#All],[PID]],0)))</f>
        <v>Bruce</v>
      </c>
      <c r="F446" s="50" t="str">
        <f>IF($C446="B",INDEX(Batters[[#All],[Last]],MATCH(A446,Batters[[#All],[PID]],0)),INDEX(Table3[[#All],[Last]],MATCH(A446,Table3[[#All],[PID]],0)))</f>
        <v>Brandt</v>
      </c>
      <c r="G446" s="56">
        <f>IF($C446="B",INDEX(Batters[[#All],[Age]],MATCH(Table5[[#This Row],[PID]],Batters[[#All],[PID]],0)),INDEX(Table3[[#All],[Age]],MATCH(Table5[[#This Row],[PID]],Table3[[#All],[PID]],0)))</f>
        <v>17</v>
      </c>
      <c r="H446" s="52" t="str">
        <f>IF($C446="B",INDEX(Batters[[#All],[B]],MATCH(Table5[[#This Row],[PID]],Batters[[#All],[PID]],0)),INDEX(Table3[[#All],[B]],MATCH(Table5[[#This Row],[PID]],Table3[[#All],[PID]],0)))</f>
        <v>R</v>
      </c>
      <c r="I446" s="52" t="str">
        <f>IF($C446="B",INDEX(Batters[[#All],[T]],MATCH(Table5[[#This Row],[PID]],Batters[[#All],[PID]],0)),INDEX(Table3[[#All],[T]],MATCH(Table5[[#This Row],[PID]],Table3[[#All],[PID]],0)))</f>
        <v>R</v>
      </c>
      <c r="J446" s="52" t="str">
        <f>IF($C446="B",INDEX(Batters[[#All],[WE]],MATCH(Table5[[#This Row],[PID]],Batters[[#All],[PID]],0)),INDEX(Table3[[#All],[WE]],MATCH(Table5[[#This Row],[PID]],Table3[[#All],[PID]],0)))</f>
        <v>Low</v>
      </c>
      <c r="K446" s="52" t="str">
        <f>IF($C446="B",INDEX(Batters[[#All],[INT]],MATCH(Table5[[#This Row],[PID]],Batters[[#All],[PID]],0)),INDEX(Table3[[#All],[INT]],MATCH(Table5[[#This Row],[PID]],Table3[[#All],[PID]],0)))</f>
        <v>Normal</v>
      </c>
      <c r="L446" s="60">
        <f>IF($C446="B",INDEX(Batters[[#All],[CON P]],MATCH(Table5[[#This Row],[PID]],Batters[[#All],[PID]],0)),INDEX(Table3[[#All],[STU P]],MATCH(Table5[[#This Row],[PID]],Table3[[#All],[PID]],0)))</f>
        <v>4</v>
      </c>
      <c r="M446" s="56">
        <f>IF($C446="B",INDEX(Batters[[#All],[GAP P]],MATCH(Table5[[#This Row],[PID]],Batters[[#All],[PID]],0)),INDEX(Table3[[#All],[MOV P]],MATCH(Table5[[#This Row],[PID]],Table3[[#All],[PID]],0)))</f>
        <v>2</v>
      </c>
      <c r="N446" s="56">
        <f>IF($C446="B",INDEX(Batters[[#All],[POW P]],MATCH(Table5[[#This Row],[PID]],Batters[[#All],[PID]],0)),INDEX(Table3[[#All],[CON P]],MATCH(Table5[[#This Row],[PID]],Table3[[#All],[PID]],0)))</f>
        <v>3</v>
      </c>
      <c r="O446" s="56" t="str">
        <f>IF($C446="B",INDEX(Batters[[#All],[EYE P]],MATCH(Table5[[#This Row],[PID]],Batters[[#All],[PID]],0)),INDEX(Table3[[#All],[VELO]],MATCH(Table5[[#This Row],[PID]],Table3[[#All],[PID]],0)))</f>
        <v>92-94 Mph</v>
      </c>
      <c r="P446" s="56">
        <f>IF($C446="B",INDEX(Batters[[#All],[K P]],MATCH(Table5[[#This Row],[PID]],Batters[[#All],[PID]],0)),INDEX(Table3[[#All],[STM]],MATCH(Table5[[#This Row],[PID]],Table3[[#All],[PID]],0)))</f>
        <v>8</v>
      </c>
      <c r="Q446" s="61">
        <f>IF($C446="B",INDEX(Batters[[#All],[Tot]],MATCH(Table5[[#This Row],[PID]],Batters[[#All],[PID]],0)),INDEX(Table3[[#All],[Tot]],MATCH(Table5[[#This Row],[PID]],Table3[[#All],[PID]],0)))</f>
        <v>35.36178811401372</v>
      </c>
      <c r="R446" s="52">
        <f>IF($C446="B",INDEX(Batters[[#All],[zScore]],MATCH(Table5[[#This Row],[PID]],Batters[[#All],[PID]],0)),INDEX(Table3[[#All],[zScore]],MATCH(Table5[[#This Row],[PID]],Table3[[#All],[PID]],0)))</f>
        <v>-0.17380173250789802</v>
      </c>
      <c r="S446" s="58" t="str">
        <f>IF($C446="B",INDEX(Batters[[#All],[DEM]],MATCH(Table5[[#This Row],[PID]],Batters[[#All],[PID]],0)),INDEX(Table3[[#All],[DEM]],MATCH(Table5[[#This Row],[PID]],Table3[[#All],[PID]],0)))</f>
        <v>$75k</v>
      </c>
      <c r="T446" s="62">
        <f>IF($C446="B",INDEX(Batters[[#All],[Rnk]],MATCH(Table5[[#This Row],[PID]],Batters[[#All],[PID]],0)),INDEX(Table3[[#All],[Rnk]],MATCH(Table5[[#This Row],[PID]],Table3[[#All],[PID]],0)))</f>
        <v>930</v>
      </c>
      <c r="U446" s="67">
        <f>IF($C446="B",VLOOKUP($A446,Bat!$A$4:$BA$1314,47,FALSE),VLOOKUP($A446,Pit!$A$4:$BF$1214,56,FALSE))</f>
        <v>294</v>
      </c>
      <c r="V446" s="50">
        <f>IF($C446="B",VLOOKUP($A446,Bat!$A$4:$BA$1314,48,FALSE),VLOOKUP($A446,Pit!$A$4:$BF$1214,57,FALSE))</f>
        <v>0</v>
      </c>
      <c r="W446" s="68">
        <f>IF(Table5[[#This Row],[posRnk]]=999,9999,Table5[[#This Row],[posRnk]]+Table5[[#This Row],[zRnk]]+IF($W$3&lt;&gt;Table5[[#This Row],[Type]],50,0))</f>
        <v>1367</v>
      </c>
      <c r="X446" s="51">
        <f>RANK(Table5[[#This Row],[zScore]],Table5[[#All],[zScore]])</f>
        <v>437</v>
      </c>
      <c r="Y446" s="50">
        <f>IFERROR(INDEX(DraftResults[[#All],[OVR]],MATCH(Table5[[#This Row],[PID]],DraftResults[[#All],[Player ID]],0)),"")</f>
        <v>443</v>
      </c>
      <c r="Z446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14</v>
      </c>
      <c r="AA446" s="50">
        <f>IFERROR(INDEX(DraftResults[[#All],[Pick in Round]],MATCH(Table5[[#This Row],[PID]],DraftResults[[#All],[Player ID]],0)),"")</f>
        <v>10</v>
      </c>
      <c r="AB446" s="50" t="str">
        <f>IFERROR(INDEX(DraftResults[[#All],[Team Name]],MATCH(Table5[[#This Row],[PID]],DraftResults[[#All],[Player ID]],0)),"")</f>
        <v>London Underground</v>
      </c>
      <c r="AC446" s="50">
        <f>IF(Table5[[#This Row],[Ovr]]="","",IF(Table5[[#This Row],[cmbList]]="","",Table5[[#This Row],[cmbList]]-Table5[[#This Row],[Ovr]]))</f>
        <v>924</v>
      </c>
      <c r="AD446" s="54" t="str">
        <f>IF(ISERROR(VLOOKUP($AB446&amp;"-"&amp;$E446&amp;" "&amp;F446,Bonuses!$B$1:$G$1006,4,FALSE)),"",INT(VLOOKUP($AB446&amp;"-"&amp;$E446&amp;" "&amp;$F446,Bonuses!$B$1:$G$1006,4,FALSE)))</f>
        <v/>
      </c>
      <c r="AE446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14.10 (443) - SP Bruce Brandt</v>
      </c>
    </row>
    <row r="447" spans="1:31" s="50" customFormat="1" x14ac:dyDescent="0.3">
      <c r="A447" s="50">
        <v>7295</v>
      </c>
      <c r="B447" s="50">
        <f>COUNTIF(Table5[PID],A447)</f>
        <v>1</v>
      </c>
      <c r="C447" s="50" t="str">
        <f>IF(COUNTIF(Table3[[#All],[PID]],A447)&gt;0,"P","B")</f>
        <v>B</v>
      </c>
      <c r="D447" s="59" t="str">
        <f>IF($C447="B",INDEX(Batters[[#All],[POS]],MATCH(Table5[[#This Row],[PID]],Batters[[#All],[PID]],0)),INDEX(Table3[[#All],[POS]],MATCH(Table5[[#This Row],[PID]],Table3[[#All],[PID]],0)))</f>
        <v>2B</v>
      </c>
      <c r="E447" s="52" t="str">
        <f>IF($C447="B",INDEX(Batters[[#All],[First]],MATCH(Table5[[#This Row],[PID]],Batters[[#All],[PID]],0)),INDEX(Table3[[#All],[First]],MATCH(Table5[[#This Row],[PID]],Table3[[#All],[PID]],0)))</f>
        <v>Jorge</v>
      </c>
      <c r="F447" s="50" t="str">
        <f>IF($C447="B",INDEX(Batters[[#All],[Last]],MATCH(A447,Batters[[#All],[PID]],0)),INDEX(Table3[[#All],[Last]],MATCH(A447,Table3[[#All],[PID]],0)))</f>
        <v>Mora</v>
      </c>
      <c r="G447" s="56">
        <f>IF($C447="B",INDEX(Batters[[#All],[Age]],MATCH(Table5[[#This Row],[PID]],Batters[[#All],[PID]],0)),INDEX(Table3[[#All],[Age]],MATCH(Table5[[#This Row],[PID]],Table3[[#All],[PID]],0)))</f>
        <v>21</v>
      </c>
      <c r="H447" s="52" t="str">
        <f>IF($C447="B",INDEX(Batters[[#All],[B]],MATCH(Table5[[#This Row],[PID]],Batters[[#All],[PID]],0)),INDEX(Table3[[#All],[B]],MATCH(Table5[[#This Row],[PID]],Table3[[#All],[PID]],0)))</f>
        <v>R</v>
      </c>
      <c r="I447" s="52" t="str">
        <f>IF($C447="B",INDEX(Batters[[#All],[T]],MATCH(Table5[[#This Row],[PID]],Batters[[#All],[PID]],0)),INDEX(Table3[[#All],[T]],MATCH(Table5[[#This Row],[PID]],Table3[[#All],[PID]],0)))</f>
        <v>R</v>
      </c>
      <c r="J447" s="52" t="str">
        <f>IF($C447="B",INDEX(Batters[[#All],[WE]],MATCH(Table5[[#This Row],[PID]],Batters[[#All],[PID]],0)),INDEX(Table3[[#All],[WE]],MATCH(Table5[[#This Row],[PID]],Table3[[#All],[PID]],0)))</f>
        <v>Normal</v>
      </c>
      <c r="K447" s="52" t="str">
        <f>IF($C447="B",INDEX(Batters[[#All],[INT]],MATCH(Table5[[#This Row],[PID]],Batters[[#All],[PID]],0)),INDEX(Table3[[#All],[INT]],MATCH(Table5[[#This Row],[PID]],Table3[[#All],[PID]],0)))</f>
        <v>Normal</v>
      </c>
      <c r="L447" s="60">
        <f>IF($C447="B",INDEX(Batters[[#All],[CON P]],MATCH(Table5[[#This Row],[PID]],Batters[[#All],[PID]],0)),INDEX(Table3[[#All],[STU P]],MATCH(Table5[[#This Row],[PID]],Table3[[#All],[PID]],0)))</f>
        <v>4</v>
      </c>
      <c r="M447" s="56">
        <f>IF($C447="B",INDEX(Batters[[#All],[GAP P]],MATCH(Table5[[#This Row],[PID]],Batters[[#All],[PID]],0)),INDEX(Table3[[#All],[MOV P]],MATCH(Table5[[#This Row],[PID]],Table3[[#All],[PID]],0)))</f>
        <v>4</v>
      </c>
      <c r="N447" s="56">
        <f>IF($C447="B",INDEX(Batters[[#All],[POW P]],MATCH(Table5[[#This Row],[PID]],Batters[[#All],[PID]],0)),INDEX(Table3[[#All],[CON P]],MATCH(Table5[[#This Row],[PID]],Table3[[#All],[PID]],0)))</f>
        <v>3</v>
      </c>
      <c r="O447" s="56">
        <f>IF($C447="B",INDEX(Batters[[#All],[EYE P]],MATCH(Table5[[#This Row],[PID]],Batters[[#All],[PID]],0)),INDEX(Table3[[#All],[VELO]],MATCH(Table5[[#This Row],[PID]],Table3[[#All],[PID]],0)))</f>
        <v>5</v>
      </c>
      <c r="P447" s="56">
        <f>IF($C447="B",INDEX(Batters[[#All],[K P]],MATCH(Table5[[#This Row],[PID]],Batters[[#All],[PID]],0)),INDEX(Table3[[#All],[STM]],MATCH(Table5[[#This Row],[PID]],Table3[[#All],[PID]],0)))</f>
        <v>5</v>
      </c>
      <c r="Q447" s="61">
        <f>IF($C447="B",INDEX(Batters[[#All],[Tot]],MATCH(Table5[[#This Row],[PID]],Batters[[#All],[PID]],0)),INDEX(Table3[[#All],[Tot]],MATCH(Table5[[#This Row],[PID]],Table3[[#All],[PID]],0)))</f>
        <v>41.526648691821258</v>
      </c>
      <c r="R447" s="52">
        <f>IF($C447="B",INDEX(Batters[[#All],[zScore]],MATCH(Table5[[#This Row],[PID]],Batters[[#All],[PID]],0)),INDEX(Table3[[#All],[zScore]],MATCH(Table5[[#This Row],[PID]],Table3[[#All],[PID]],0)))</f>
        <v>-0.24695495909370546</v>
      </c>
      <c r="S447" s="58" t="str">
        <f>IF($C447="B",INDEX(Batters[[#All],[DEM]],MATCH(Table5[[#This Row],[PID]],Batters[[#All],[PID]],0)),INDEX(Table3[[#All],[DEM]],MATCH(Table5[[#This Row],[PID]],Table3[[#All],[PID]],0)))</f>
        <v>-</v>
      </c>
      <c r="T447" s="62">
        <f>IF($C447="B",INDEX(Batters[[#All],[Rnk]],MATCH(Table5[[#This Row],[PID]],Batters[[#All],[PID]],0)),INDEX(Table3[[#All],[Rnk]],MATCH(Table5[[#This Row],[PID]],Table3[[#All],[PID]],0)))</f>
        <v>900</v>
      </c>
      <c r="U447" s="67">
        <f>IF($C447="B",VLOOKUP($A447,Bat!$A$4:$BA$1314,47,FALSE),VLOOKUP($A447,Pit!$A$4:$BF$1214,56,FALSE))</f>
        <v>189</v>
      </c>
      <c r="V447" s="50">
        <f>IF($C447="B",VLOOKUP($A447,Bat!$A$4:$BA$1314,48,FALSE),VLOOKUP($A447,Pit!$A$4:$BF$1214,57,FALSE))</f>
        <v>0</v>
      </c>
      <c r="W447" s="68">
        <f>IF(Table5[[#This Row],[posRnk]]=999,9999,Table5[[#This Row],[posRnk]]+Table5[[#This Row],[zRnk]]+IF($W$3&lt;&gt;Table5[[#This Row],[Type]],50,0))</f>
        <v>1419</v>
      </c>
      <c r="X447" s="51">
        <f>RANK(Table5[[#This Row],[zScore]],Table5[[#All],[zScore]])</f>
        <v>469</v>
      </c>
      <c r="Y447" s="50">
        <f>IFERROR(INDEX(DraftResults[[#All],[OVR]],MATCH(Table5[[#This Row],[PID]],DraftResults[[#All],[Player ID]],0)),"")</f>
        <v>466</v>
      </c>
      <c r="Z447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14</v>
      </c>
      <c r="AA447" s="50">
        <f>IFERROR(INDEX(DraftResults[[#All],[Pick in Round]],MATCH(Table5[[#This Row],[PID]],DraftResults[[#All],[Player ID]],0)),"")</f>
        <v>33</v>
      </c>
      <c r="AB447" s="50" t="str">
        <f>IFERROR(INDEX(DraftResults[[#All],[Team Name]],MATCH(Table5[[#This Row],[PID]],DraftResults[[#All],[Player ID]],0)),"")</f>
        <v>New Jersey Hitmen</v>
      </c>
      <c r="AC447" s="50">
        <f>IF(Table5[[#This Row],[Ovr]]="","",IF(Table5[[#This Row],[cmbList]]="","",Table5[[#This Row],[cmbList]]-Table5[[#This Row],[Ovr]]))</f>
        <v>953</v>
      </c>
      <c r="AD447" s="54" t="str">
        <f>IF(ISERROR(VLOOKUP($AB447&amp;"-"&amp;$E447&amp;" "&amp;F447,Bonuses!$B$1:$G$1006,4,FALSE)),"",INT(VLOOKUP($AB447&amp;"-"&amp;$E447&amp;" "&amp;$F447,Bonuses!$B$1:$G$1006,4,FALSE)))</f>
        <v/>
      </c>
      <c r="AE447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14.33 (466) - 2B Jorge Mora</v>
      </c>
    </row>
    <row r="448" spans="1:31" s="50" customFormat="1" x14ac:dyDescent="0.3">
      <c r="A448" s="67">
        <v>6826</v>
      </c>
      <c r="B448" s="68">
        <f>COUNTIF(Table5[PID],A448)</f>
        <v>1</v>
      </c>
      <c r="C448" s="68" t="str">
        <f>IF(COUNTIF(Table3[[#All],[PID]],A448)&gt;0,"P","B")</f>
        <v>P</v>
      </c>
      <c r="D448" s="59" t="str">
        <f>IF($C448="B",INDEX(Batters[[#All],[POS]],MATCH(Table5[[#This Row],[PID]],Batters[[#All],[PID]],0)),INDEX(Table3[[#All],[POS]],MATCH(Table5[[#This Row],[PID]],Table3[[#All],[PID]],0)))</f>
        <v>RP</v>
      </c>
      <c r="E448" s="52" t="str">
        <f>IF($C448="B",INDEX(Batters[[#All],[First]],MATCH(Table5[[#This Row],[PID]],Batters[[#All],[PID]],0)),INDEX(Table3[[#All],[First]],MATCH(Table5[[#This Row],[PID]],Table3[[#All],[PID]],0)))</f>
        <v>Ricky</v>
      </c>
      <c r="F448" s="55" t="str">
        <f>IF($C448="B",INDEX(Batters[[#All],[Last]],MATCH(A448,Batters[[#All],[PID]],0)),INDEX(Table3[[#All],[Last]],MATCH(A448,Table3[[#All],[PID]],0)))</f>
        <v>Ewing</v>
      </c>
      <c r="G448" s="56">
        <f>IF($C448="B",INDEX(Batters[[#All],[Age]],MATCH(Table5[[#This Row],[PID]],Batters[[#All],[PID]],0)),INDEX(Table3[[#All],[Age]],MATCH(Table5[[#This Row],[PID]],Table3[[#All],[PID]],0)))</f>
        <v>21</v>
      </c>
      <c r="H448" s="52" t="str">
        <f>IF($C448="B",INDEX(Batters[[#All],[B]],MATCH(Table5[[#This Row],[PID]],Batters[[#All],[PID]],0)),INDEX(Table3[[#All],[B]],MATCH(Table5[[#This Row],[PID]],Table3[[#All],[PID]],0)))</f>
        <v>S</v>
      </c>
      <c r="I448" s="52" t="str">
        <f>IF($C448="B",INDEX(Batters[[#All],[T]],MATCH(Table5[[#This Row],[PID]],Batters[[#All],[PID]],0)),INDEX(Table3[[#All],[T]],MATCH(Table5[[#This Row],[PID]],Table3[[#All],[PID]],0)))</f>
        <v>R</v>
      </c>
      <c r="J448" s="69" t="str">
        <f>IF($C448="B",INDEX(Batters[[#All],[WE]],MATCH(Table5[[#This Row],[PID]],Batters[[#All],[PID]],0)),INDEX(Table3[[#All],[WE]],MATCH(Table5[[#This Row],[PID]],Table3[[#All],[PID]],0)))</f>
        <v>Normal</v>
      </c>
      <c r="K448" s="52" t="str">
        <f>IF($C448="B",INDEX(Batters[[#All],[INT]],MATCH(Table5[[#This Row],[PID]],Batters[[#All],[PID]],0)),INDEX(Table3[[#All],[INT]],MATCH(Table5[[#This Row],[PID]],Table3[[#All],[PID]],0)))</f>
        <v>Low</v>
      </c>
      <c r="L448" s="60">
        <f>IF($C448="B",INDEX(Batters[[#All],[CON P]],MATCH(Table5[[#This Row],[PID]],Batters[[#All],[PID]],0)),INDEX(Table3[[#All],[STU P]],MATCH(Table5[[#This Row],[PID]],Table3[[#All],[PID]],0)))</f>
        <v>5</v>
      </c>
      <c r="M448" s="70">
        <f>IF($C448="B",INDEX(Batters[[#All],[GAP P]],MATCH(Table5[[#This Row],[PID]],Batters[[#All],[PID]],0)),INDEX(Table3[[#All],[MOV P]],MATCH(Table5[[#This Row],[PID]],Table3[[#All],[PID]],0)))</f>
        <v>2</v>
      </c>
      <c r="N448" s="70">
        <f>IF($C448="B",INDEX(Batters[[#All],[POW P]],MATCH(Table5[[#This Row],[PID]],Batters[[#All],[PID]],0)),INDEX(Table3[[#All],[CON P]],MATCH(Table5[[#This Row],[PID]],Table3[[#All],[PID]],0)))</f>
        <v>3</v>
      </c>
      <c r="O448" s="70" t="str">
        <f>IF($C448="B",INDEX(Batters[[#All],[EYE P]],MATCH(Table5[[#This Row],[PID]],Batters[[#All],[PID]],0)),INDEX(Table3[[#All],[VELO]],MATCH(Table5[[#This Row],[PID]],Table3[[#All],[PID]],0)))</f>
        <v>91-93 Mph</v>
      </c>
      <c r="P448" s="56">
        <f>IF($C448="B",INDEX(Batters[[#All],[K P]],MATCH(Table5[[#This Row],[PID]],Batters[[#All],[PID]],0)),INDEX(Table3[[#All],[STM]],MATCH(Table5[[#This Row],[PID]],Table3[[#All],[PID]],0)))</f>
        <v>9</v>
      </c>
      <c r="Q448" s="61">
        <f>IF($C448="B",INDEX(Batters[[#All],[Tot]],MATCH(Table5[[#This Row],[PID]],Batters[[#All],[PID]],0)),INDEX(Table3[[#All],[Tot]],MATCH(Table5[[#This Row],[PID]],Table3[[#All],[PID]],0)))</f>
        <v>35.818016982309842</v>
      </c>
      <c r="R448" s="52">
        <f>IF($C448="B",INDEX(Batters[[#All],[zScore]],MATCH(Table5[[#This Row],[PID]],Batters[[#All],[PID]],0)),INDEX(Table3[[#All],[zScore]],MATCH(Table5[[#This Row],[PID]],Table3[[#All],[PID]],0)))</f>
        <v>-0.14131502848553559</v>
      </c>
      <c r="S448" s="75" t="str">
        <f>IF($C448="B",INDEX(Batters[[#All],[DEM]],MATCH(Table5[[#This Row],[PID]],Batters[[#All],[PID]],0)),INDEX(Table3[[#All],[DEM]],MATCH(Table5[[#This Row],[PID]],Table3[[#All],[PID]],0)))</f>
        <v>$20k</v>
      </c>
      <c r="T448" s="72">
        <f>IF($C448="B",INDEX(Batters[[#All],[Rnk]],MATCH(Table5[[#This Row],[PID]],Batters[[#All],[PID]],0)),INDEX(Table3[[#All],[Rnk]],MATCH(Table5[[#This Row],[PID]],Table3[[#All],[PID]],0)))</f>
        <v>940</v>
      </c>
      <c r="U448" s="67">
        <f>IF($C448="B",VLOOKUP($A448,Bat!$A$4:$BA$1314,47,FALSE),VLOOKUP($A448,Pit!$A$4:$BF$1214,56,FALSE))</f>
        <v>391</v>
      </c>
      <c r="V448" s="50">
        <f>IF($C448="B",VLOOKUP($A448,Bat!$A$4:$BA$1314,48,FALSE),VLOOKUP($A448,Pit!$A$4:$BF$1214,57,FALSE))</f>
        <v>0</v>
      </c>
      <c r="W448" s="68">
        <f>IF(Table5[[#This Row],[posRnk]]=999,9999,Table5[[#This Row],[posRnk]]+Table5[[#This Row],[zRnk]]+IF($W$3&lt;&gt;Table5[[#This Row],[Type]],50,0))</f>
        <v>1369</v>
      </c>
      <c r="X448" s="71">
        <f>RANK(Table5[[#This Row],[zScore]],Table5[[#All],[zScore]])</f>
        <v>429</v>
      </c>
      <c r="Y448" s="68">
        <f>IFERROR(INDEX(DraftResults[[#All],[OVR]],MATCH(Table5[[#This Row],[PID]],DraftResults[[#All],[Player ID]],0)),"")</f>
        <v>388</v>
      </c>
      <c r="Z448" s="7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12</v>
      </c>
      <c r="AA448" s="68">
        <f>IFERROR(INDEX(DraftResults[[#All],[Pick in Round]],MATCH(Table5[[#This Row],[PID]],DraftResults[[#All],[Player ID]],0)),"")</f>
        <v>23</v>
      </c>
      <c r="AB448" s="68" t="str">
        <f>IFERROR(INDEX(DraftResults[[#All],[Team Name]],MATCH(Table5[[#This Row],[PID]],DraftResults[[#All],[Player ID]],0)),"")</f>
        <v>Kentucky Thoroughbreds</v>
      </c>
      <c r="AC448" s="68">
        <f>IF(Table5[[#This Row],[Ovr]]="","",IF(Table5[[#This Row],[cmbList]]="","",Table5[[#This Row],[cmbList]]-Table5[[#This Row],[Ovr]]))</f>
        <v>981</v>
      </c>
      <c r="AD448" s="74" t="str">
        <f>IF(ISERROR(VLOOKUP($AB448&amp;"-"&amp;$E448&amp;" "&amp;F448,Bonuses!$B$1:$G$1006,4,FALSE)),"",INT(VLOOKUP($AB448&amp;"-"&amp;$E448&amp;" "&amp;$F448,Bonuses!$B$1:$G$1006,4,FALSE)))</f>
        <v/>
      </c>
      <c r="AE448" s="68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12.23 (388) - RP Ricky Ewing</v>
      </c>
    </row>
    <row r="449" spans="1:31" s="50" customFormat="1" x14ac:dyDescent="0.3">
      <c r="A449" s="67">
        <v>20631</v>
      </c>
      <c r="B449" s="68">
        <f>COUNTIF(Table5[PID],A449)</f>
        <v>1</v>
      </c>
      <c r="C449" s="68" t="str">
        <f>IF(COUNTIF(Table3[[#All],[PID]],A449)&gt;0,"P","B")</f>
        <v>P</v>
      </c>
      <c r="D449" s="59" t="str">
        <f>IF($C449="B",INDEX(Batters[[#All],[POS]],MATCH(Table5[[#This Row],[PID]],Batters[[#All],[PID]],0)),INDEX(Table3[[#All],[POS]],MATCH(Table5[[#This Row],[PID]],Table3[[#All],[PID]],0)))</f>
        <v>RP</v>
      </c>
      <c r="E449" s="52" t="str">
        <f>IF($C449="B",INDEX(Batters[[#All],[First]],MATCH(Table5[[#This Row],[PID]],Batters[[#All],[PID]],0)),INDEX(Table3[[#All],[First]],MATCH(Table5[[#This Row],[PID]],Table3[[#All],[PID]],0)))</f>
        <v>Hwan-mo</v>
      </c>
      <c r="F449" s="55" t="str">
        <f>IF($C449="B",INDEX(Batters[[#All],[Last]],MATCH(A449,Batters[[#All],[PID]],0)),INDEX(Table3[[#All],[Last]],MATCH(A449,Table3[[#All],[PID]],0)))</f>
        <v>Kyong</v>
      </c>
      <c r="G449" s="56">
        <f>IF($C449="B",INDEX(Batters[[#All],[Age]],MATCH(Table5[[#This Row],[PID]],Batters[[#All],[PID]],0)),INDEX(Table3[[#All],[Age]],MATCH(Table5[[#This Row],[PID]],Table3[[#All],[PID]],0)))</f>
        <v>16</v>
      </c>
      <c r="H449" s="52" t="str">
        <f>IF($C449="B",INDEX(Batters[[#All],[B]],MATCH(Table5[[#This Row],[PID]],Batters[[#All],[PID]],0)),INDEX(Table3[[#All],[B]],MATCH(Table5[[#This Row],[PID]],Table3[[#All],[PID]],0)))</f>
        <v>L</v>
      </c>
      <c r="I449" s="52" t="str">
        <f>IF($C449="B",INDEX(Batters[[#All],[T]],MATCH(Table5[[#This Row],[PID]],Batters[[#All],[PID]],0)),INDEX(Table3[[#All],[T]],MATCH(Table5[[#This Row],[PID]],Table3[[#All],[PID]],0)))</f>
        <v>L</v>
      </c>
      <c r="J449" s="69" t="str">
        <f>IF($C449="B",INDEX(Batters[[#All],[WE]],MATCH(Table5[[#This Row],[PID]],Batters[[#All],[PID]],0)),INDEX(Table3[[#All],[WE]],MATCH(Table5[[#This Row],[PID]],Table3[[#All],[PID]],0)))</f>
        <v>Normal</v>
      </c>
      <c r="K449" s="52" t="str">
        <f>IF($C449="B",INDEX(Batters[[#All],[INT]],MATCH(Table5[[#This Row],[PID]],Batters[[#All],[PID]],0)),INDEX(Table3[[#All],[INT]],MATCH(Table5[[#This Row],[PID]],Table3[[#All],[PID]],0)))</f>
        <v>Normal</v>
      </c>
      <c r="L449" s="60">
        <f>IF($C449="B",INDEX(Batters[[#All],[CON P]],MATCH(Table5[[#This Row],[PID]],Batters[[#All],[PID]],0)),INDEX(Table3[[#All],[STU P]],MATCH(Table5[[#This Row],[PID]],Table3[[#All],[PID]],0)))</f>
        <v>3</v>
      </c>
      <c r="M449" s="70">
        <f>IF($C449="B",INDEX(Batters[[#All],[GAP P]],MATCH(Table5[[#This Row],[PID]],Batters[[#All],[PID]],0)),INDEX(Table3[[#All],[MOV P]],MATCH(Table5[[#This Row],[PID]],Table3[[#All],[PID]],0)))</f>
        <v>2</v>
      </c>
      <c r="N449" s="70">
        <f>IF($C449="B",INDEX(Batters[[#All],[POW P]],MATCH(Table5[[#This Row],[PID]],Batters[[#All],[PID]],0)),INDEX(Table3[[#All],[CON P]],MATCH(Table5[[#This Row],[PID]],Table3[[#All],[PID]],0)))</f>
        <v>4</v>
      </c>
      <c r="O449" s="70" t="str">
        <f>IF($C449="B",INDEX(Batters[[#All],[EYE P]],MATCH(Table5[[#This Row],[PID]],Batters[[#All],[PID]],0)),INDEX(Table3[[#All],[VELO]],MATCH(Table5[[#This Row],[PID]],Table3[[#All],[PID]],0)))</f>
        <v>86-88 Mph</v>
      </c>
      <c r="P449" s="56">
        <f>IF($C449="B",INDEX(Batters[[#All],[K P]],MATCH(Table5[[#This Row],[PID]],Batters[[#All],[PID]],0)),INDEX(Table3[[#All],[STM]],MATCH(Table5[[#This Row],[PID]],Table3[[#All],[PID]],0)))</f>
        <v>3</v>
      </c>
      <c r="Q449" s="61">
        <f>IF($C449="B",INDEX(Batters[[#All],[Tot]],MATCH(Table5[[#This Row],[PID]],Batters[[#All],[PID]],0)),INDEX(Table3[[#All],[Tot]],MATCH(Table5[[#This Row],[PID]],Table3[[#All],[PID]],0)))</f>
        <v>34.30960522352521</v>
      </c>
      <c r="R449" s="52">
        <f>IF($C449="B",INDEX(Batters[[#All],[zScore]],MATCH(Table5[[#This Row],[PID]],Batters[[#All],[PID]],0)),INDEX(Table3[[#All],[zScore]],MATCH(Table5[[#This Row],[PID]],Table3[[#All],[PID]],0)))</f>
        <v>-0.24872455417929573</v>
      </c>
      <c r="S449" s="75" t="str">
        <f>IF($C449="B",INDEX(Batters[[#All],[DEM]],MATCH(Table5[[#This Row],[PID]],Batters[[#All],[PID]],0)),INDEX(Table3[[#All],[DEM]],MATCH(Table5[[#This Row],[PID]],Table3[[#All],[PID]],0)))</f>
        <v>$38k</v>
      </c>
      <c r="T449" s="72">
        <f>IF($C449="B",INDEX(Batters[[#All],[Rnk]],MATCH(Table5[[#This Row],[PID]],Batters[[#All],[PID]],0)),INDEX(Table3[[#All],[Rnk]],MATCH(Table5[[#This Row],[PID]],Table3[[#All],[PID]],0)))</f>
        <v>900</v>
      </c>
      <c r="U449" s="67">
        <f>IF($C449="B",VLOOKUP($A449,Bat!$A$4:$BA$1314,47,FALSE),VLOOKUP($A449,Pit!$A$4:$BF$1214,56,FALSE))</f>
        <v>157</v>
      </c>
      <c r="V449" s="50">
        <f>IF($C449="B",VLOOKUP($A449,Bat!$A$4:$BA$1314,48,FALSE),VLOOKUP($A449,Pit!$A$4:$BF$1214,57,FALSE))</f>
        <v>0</v>
      </c>
      <c r="W449" s="68">
        <f>IF(Table5[[#This Row],[posRnk]]=999,9999,Table5[[#This Row],[posRnk]]+Table5[[#This Row],[zRnk]]+IF($W$3&lt;&gt;Table5[[#This Row],[Type]],50,0))</f>
        <v>1370</v>
      </c>
      <c r="X449" s="71">
        <f>RANK(Table5[[#This Row],[zScore]],Table5[[#All],[zScore]])</f>
        <v>470</v>
      </c>
      <c r="Y449" s="68" t="str">
        <f>IFERROR(INDEX(DraftResults[[#All],[OVR]],MATCH(Table5[[#This Row],[PID]],DraftResults[[#All],[Player ID]],0)),"")</f>
        <v/>
      </c>
      <c r="Z449" s="7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/>
      </c>
      <c r="AA449" s="68" t="str">
        <f>IFERROR(INDEX(DraftResults[[#All],[Pick in Round]],MATCH(Table5[[#This Row],[PID]],DraftResults[[#All],[Player ID]],0)),"")</f>
        <v/>
      </c>
      <c r="AB449" s="68" t="str">
        <f>IFERROR(INDEX(DraftResults[[#All],[Team Name]],MATCH(Table5[[#This Row],[PID]],DraftResults[[#All],[Player ID]],0)),"")</f>
        <v/>
      </c>
      <c r="AC449" s="68" t="str">
        <f>IF(Table5[[#This Row],[Ovr]]="","",IF(Table5[[#This Row],[cmbList]]="","",Table5[[#This Row],[cmbList]]-Table5[[#This Row],[Ovr]]))</f>
        <v/>
      </c>
      <c r="AD449" s="74" t="str">
        <f>IF(ISERROR(VLOOKUP($AB449&amp;"-"&amp;$E449&amp;" "&amp;F449,Bonuses!$B$1:$G$1006,4,FALSE)),"",INT(VLOOKUP($AB449&amp;"-"&amp;$E449&amp;" "&amp;$F449,Bonuses!$B$1:$G$1006,4,FALSE)))</f>
        <v/>
      </c>
      <c r="AE449" s="68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/>
      </c>
    </row>
    <row r="450" spans="1:31" s="50" customFormat="1" x14ac:dyDescent="0.3">
      <c r="A450" s="50">
        <v>5224</v>
      </c>
      <c r="B450" s="50">
        <f>COUNTIF(Table5[PID],A450)</f>
        <v>1</v>
      </c>
      <c r="C450" s="50" t="str">
        <f>IF(COUNTIF(Table3[[#All],[PID]],A450)&gt;0,"P","B")</f>
        <v>P</v>
      </c>
      <c r="D450" s="59" t="str">
        <f>IF($C450="B",INDEX(Batters[[#All],[POS]],MATCH(Table5[[#This Row],[PID]],Batters[[#All],[PID]],0)),INDEX(Table3[[#All],[POS]],MATCH(Table5[[#This Row],[PID]],Table3[[#All],[PID]],0)))</f>
        <v>RP</v>
      </c>
      <c r="E450" s="52" t="str">
        <f>IF($C450="B",INDEX(Batters[[#All],[First]],MATCH(Table5[[#This Row],[PID]],Batters[[#All],[PID]],0)),INDEX(Table3[[#All],[First]],MATCH(Table5[[#This Row],[PID]],Table3[[#All],[PID]],0)))</f>
        <v>Dwayne</v>
      </c>
      <c r="F450" s="50" t="str">
        <f>IF($C450="B",INDEX(Batters[[#All],[Last]],MATCH(A450,Batters[[#All],[PID]],0)),INDEX(Table3[[#All],[Last]],MATCH(A450,Table3[[#All],[PID]],0)))</f>
        <v>Brown</v>
      </c>
      <c r="G450" s="56">
        <f>IF($C450="B",INDEX(Batters[[#All],[Age]],MATCH(Table5[[#This Row],[PID]],Batters[[#All],[PID]],0)),INDEX(Table3[[#All],[Age]],MATCH(Table5[[#This Row],[PID]],Table3[[#All],[PID]],0)))</f>
        <v>21</v>
      </c>
      <c r="H450" s="52" t="str">
        <f>IF($C450="B",INDEX(Batters[[#All],[B]],MATCH(Table5[[#This Row],[PID]],Batters[[#All],[PID]],0)),INDEX(Table3[[#All],[B]],MATCH(Table5[[#This Row],[PID]],Table3[[#All],[PID]],0)))</f>
        <v>S</v>
      </c>
      <c r="I450" s="52" t="str">
        <f>IF($C450="B",INDEX(Batters[[#All],[T]],MATCH(Table5[[#This Row],[PID]],Batters[[#All],[PID]],0)),INDEX(Table3[[#All],[T]],MATCH(Table5[[#This Row],[PID]],Table3[[#All],[PID]],0)))</f>
        <v>R</v>
      </c>
      <c r="J450" s="52" t="str">
        <f>IF($C450="B",INDEX(Batters[[#All],[WE]],MATCH(Table5[[#This Row],[PID]],Batters[[#All],[PID]],0)),INDEX(Table3[[#All],[WE]],MATCH(Table5[[#This Row],[PID]],Table3[[#All],[PID]],0)))</f>
        <v>Normal</v>
      </c>
      <c r="K450" s="52" t="str">
        <f>IF($C450="B",INDEX(Batters[[#All],[INT]],MATCH(Table5[[#This Row],[PID]],Batters[[#All],[PID]],0)),INDEX(Table3[[#All],[INT]],MATCH(Table5[[#This Row],[PID]],Table3[[#All],[PID]],0)))</f>
        <v>Normal</v>
      </c>
      <c r="L450" s="60">
        <f>IF($C450="B",INDEX(Batters[[#All],[CON P]],MATCH(Table5[[#This Row],[PID]],Batters[[#All],[PID]],0)),INDEX(Table3[[#All],[STU P]],MATCH(Table5[[#This Row],[PID]],Table3[[#All],[PID]],0)))</f>
        <v>5</v>
      </c>
      <c r="M450" s="56">
        <f>IF($C450="B",INDEX(Batters[[#All],[GAP P]],MATCH(Table5[[#This Row],[PID]],Batters[[#All],[PID]],0)),INDEX(Table3[[#All],[MOV P]],MATCH(Table5[[#This Row],[PID]],Table3[[#All],[PID]],0)))</f>
        <v>2</v>
      </c>
      <c r="N450" s="56">
        <f>IF($C450="B",INDEX(Batters[[#All],[POW P]],MATCH(Table5[[#This Row],[PID]],Batters[[#All],[PID]],0)),INDEX(Table3[[#All],[CON P]],MATCH(Table5[[#This Row],[PID]],Table3[[#All],[PID]],0)))</f>
        <v>3</v>
      </c>
      <c r="O450" s="56" t="str">
        <f>IF($C450="B",INDEX(Batters[[#All],[EYE P]],MATCH(Table5[[#This Row],[PID]],Batters[[#All],[PID]],0)),INDEX(Table3[[#All],[VELO]],MATCH(Table5[[#This Row],[PID]],Table3[[#All],[PID]],0)))</f>
        <v>90-92 Mph</v>
      </c>
      <c r="P450" s="56">
        <f>IF($C450="B",INDEX(Batters[[#All],[K P]],MATCH(Table5[[#This Row],[PID]],Batters[[#All],[PID]],0)),INDEX(Table3[[#All],[STM]],MATCH(Table5[[#This Row],[PID]],Table3[[#All],[PID]],0)))</f>
        <v>6</v>
      </c>
      <c r="Q450" s="61">
        <f>IF($C450="B",INDEX(Batters[[#All],[Tot]],MATCH(Table5[[#This Row],[PID]],Batters[[#All],[PID]],0)),INDEX(Table3[[#All],[Tot]],MATCH(Table5[[#This Row],[PID]],Table3[[#All],[PID]],0)))</f>
        <v>34.108800742455962</v>
      </c>
      <c r="R450" s="52">
        <f>IF($C450="B",INDEX(Batters[[#All],[zScore]],MATCH(Table5[[#This Row],[PID]],Batters[[#All],[PID]],0)),INDEX(Table3[[#All],[zScore]],MATCH(Table5[[#This Row],[PID]],Table3[[#All],[PID]],0)))</f>
        <v>-0.26302324546383449</v>
      </c>
      <c r="S450" s="58" t="str">
        <f>IF($C450="B",INDEX(Batters[[#All],[DEM]],MATCH(Table5[[#This Row],[PID]],Batters[[#All],[PID]],0)),INDEX(Table3[[#All],[DEM]],MATCH(Table5[[#This Row],[PID]],Table3[[#All],[PID]],0)))</f>
        <v>-</v>
      </c>
      <c r="T450" s="62">
        <f>IF($C450="B",INDEX(Batters[[#All],[Rnk]],MATCH(Table5[[#This Row],[PID]],Batters[[#All],[PID]],0)),INDEX(Table3[[#All],[Rnk]],MATCH(Table5[[#This Row],[PID]],Table3[[#All],[PID]],0)))</f>
        <v>900</v>
      </c>
      <c r="U450" s="67">
        <f>IF($C450="B",VLOOKUP($A450,Bat!$A$4:$BA$1314,47,FALSE),VLOOKUP($A450,Pit!$A$4:$BF$1214,56,FALSE))</f>
        <v>158</v>
      </c>
      <c r="V450" s="50">
        <f>IF($C450="B",VLOOKUP($A450,Bat!$A$4:$BA$1314,48,FALSE),VLOOKUP($A450,Pit!$A$4:$BF$1214,57,FALSE))</f>
        <v>0</v>
      </c>
      <c r="W450" s="68">
        <f>IF(Table5[[#This Row],[posRnk]]=999,9999,Table5[[#This Row],[posRnk]]+Table5[[#This Row],[zRnk]]+IF($W$3&lt;&gt;Table5[[#This Row],[Type]],50,0))</f>
        <v>1374</v>
      </c>
      <c r="X450" s="51">
        <f>RANK(Table5[[#This Row],[zScore]],Table5[[#All],[zScore]])</f>
        <v>474</v>
      </c>
      <c r="Y450" s="50" t="str">
        <f>IFERROR(INDEX(DraftResults[[#All],[OVR]],MATCH(Table5[[#This Row],[PID]],DraftResults[[#All],[Player ID]],0)),"")</f>
        <v/>
      </c>
      <c r="Z450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/>
      </c>
      <c r="AA450" s="50" t="str">
        <f>IFERROR(INDEX(DraftResults[[#All],[Pick in Round]],MATCH(Table5[[#This Row],[PID]],DraftResults[[#All],[Player ID]],0)),"")</f>
        <v/>
      </c>
      <c r="AB450" s="50" t="str">
        <f>IFERROR(INDEX(DraftResults[[#All],[Team Name]],MATCH(Table5[[#This Row],[PID]],DraftResults[[#All],[Player ID]],0)),"")</f>
        <v/>
      </c>
      <c r="AC450" s="50" t="str">
        <f>IF(Table5[[#This Row],[Ovr]]="","",IF(Table5[[#This Row],[cmbList]]="","",Table5[[#This Row],[cmbList]]-Table5[[#This Row],[Ovr]]))</f>
        <v/>
      </c>
      <c r="AD450" s="54" t="str">
        <f>IF(ISERROR(VLOOKUP($AB450&amp;"-"&amp;$E450&amp;" "&amp;F450,Bonuses!$B$1:$G$1006,4,FALSE)),"",INT(VLOOKUP($AB450&amp;"-"&amp;$E450&amp;" "&amp;$F450,Bonuses!$B$1:$G$1006,4,FALSE)))</f>
        <v/>
      </c>
      <c r="AE450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/>
      </c>
    </row>
    <row r="451" spans="1:31" s="50" customFormat="1" x14ac:dyDescent="0.3">
      <c r="A451" s="50">
        <v>20768</v>
      </c>
      <c r="B451" s="50">
        <f>COUNTIF(Table5[PID],A451)</f>
        <v>1</v>
      </c>
      <c r="C451" s="50" t="str">
        <f>IF(COUNTIF(Table3[[#All],[PID]],A451)&gt;0,"P","B")</f>
        <v>B</v>
      </c>
      <c r="D451" s="59" t="str">
        <f>IF($C451="B",INDEX(Batters[[#All],[POS]],MATCH(Table5[[#This Row],[PID]],Batters[[#All],[PID]],0)),INDEX(Table3[[#All],[POS]],MATCH(Table5[[#This Row],[PID]],Table3[[#All],[PID]],0)))</f>
        <v>2B</v>
      </c>
      <c r="E451" s="52" t="str">
        <f>IF($C451="B",INDEX(Batters[[#All],[First]],MATCH(Table5[[#This Row],[PID]],Batters[[#All],[PID]],0)),INDEX(Table3[[#All],[First]],MATCH(Table5[[#This Row],[PID]],Table3[[#All],[PID]],0)))</f>
        <v>Arthur</v>
      </c>
      <c r="F451" s="50" t="str">
        <f>IF($C451="B",INDEX(Batters[[#All],[Last]],MATCH(A451,Batters[[#All],[PID]],0)),INDEX(Table3[[#All],[Last]],MATCH(A451,Table3[[#All],[PID]],0)))</f>
        <v>Hedgepeth</v>
      </c>
      <c r="G451" s="56">
        <f>IF($C451="B",INDEX(Batters[[#All],[Age]],MATCH(Table5[[#This Row],[PID]],Batters[[#All],[PID]],0)),INDEX(Table3[[#All],[Age]],MATCH(Table5[[#This Row],[PID]],Table3[[#All],[PID]],0)))</f>
        <v>17</v>
      </c>
      <c r="H451" s="52" t="str">
        <f>IF($C451="B",INDEX(Batters[[#All],[B]],MATCH(Table5[[#This Row],[PID]],Batters[[#All],[PID]],0)),INDEX(Table3[[#All],[B]],MATCH(Table5[[#This Row],[PID]],Table3[[#All],[PID]],0)))</f>
        <v>R</v>
      </c>
      <c r="I451" s="52" t="str">
        <f>IF($C451="B",INDEX(Batters[[#All],[T]],MATCH(Table5[[#This Row],[PID]],Batters[[#All],[PID]],0)),INDEX(Table3[[#All],[T]],MATCH(Table5[[#This Row],[PID]],Table3[[#All],[PID]],0)))</f>
        <v>R</v>
      </c>
      <c r="J451" s="52" t="str">
        <f>IF($C451="B",INDEX(Batters[[#All],[WE]],MATCH(Table5[[#This Row],[PID]],Batters[[#All],[PID]],0)),INDEX(Table3[[#All],[WE]],MATCH(Table5[[#This Row],[PID]],Table3[[#All],[PID]],0)))</f>
        <v>Normal</v>
      </c>
      <c r="K451" s="52" t="str">
        <f>IF($C451="B",INDEX(Batters[[#All],[INT]],MATCH(Table5[[#This Row],[PID]],Batters[[#All],[PID]],0)),INDEX(Table3[[#All],[INT]],MATCH(Table5[[#This Row],[PID]],Table3[[#All],[PID]],0)))</f>
        <v>Normal</v>
      </c>
      <c r="L451" s="60">
        <f>IF($C451="B",INDEX(Batters[[#All],[CON P]],MATCH(Table5[[#This Row],[PID]],Batters[[#All],[PID]],0)),INDEX(Table3[[#All],[STU P]],MATCH(Table5[[#This Row],[PID]],Table3[[#All],[PID]],0)))</f>
        <v>4</v>
      </c>
      <c r="M451" s="56">
        <f>IF($C451="B",INDEX(Batters[[#All],[GAP P]],MATCH(Table5[[#This Row],[PID]],Batters[[#All],[PID]],0)),INDEX(Table3[[#All],[MOV P]],MATCH(Table5[[#This Row],[PID]],Table3[[#All],[PID]],0)))</f>
        <v>3</v>
      </c>
      <c r="N451" s="56">
        <f>IF($C451="B",INDEX(Batters[[#All],[POW P]],MATCH(Table5[[#This Row],[PID]],Batters[[#All],[PID]],0)),INDEX(Table3[[#All],[CON P]],MATCH(Table5[[#This Row],[PID]],Table3[[#All],[PID]],0)))</f>
        <v>3</v>
      </c>
      <c r="O451" s="56">
        <f>IF($C451="B",INDEX(Batters[[#All],[EYE P]],MATCH(Table5[[#This Row],[PID]],Batters[[#All],[PID]],0)),INDEX(Table3[[#All],[VELO]],MATCH(Table5[[#This Row],[PID]],Table3[[#All],[PID]],0)))</f>
        <v>1</v>
      </c>
      <c r="P451" s="56">
        <f>IF($C451="B",INDEX(Batters[[#All],[K P]],MATCH(Table5[[#This Row],[PID]],Batters[[#All],[PID]],0)),INDEX(Table3[[#All],[STM]],MATCH(Table5[[#This Row],[PID]],Table3[[#All],[PID]],0)))</f>
        <v>4</v>
      </c>
      <c r="Q451" s="61">
        <f>IF($C451="B",INDEX(Batters[[#All],[Tot]],MATCH(Table5[[#This Row],[PID]],Batters[[#All],[PID]],0)),INDEX(Table3[[#All],[Tot]],MATCH(Table5[[#This Row],[PID]],Table3[[#All],[PID]],0)))</f>
        <v>41.41436890858445</v>
      </c>
      <c r="R451" s="52">
        <f>IF($C451="B",INDEX(Batters[[#All],[zScore]],MATCH(Table5[[#This Row],[PID]],Batters[[#All],[PID]],0)),INDEX(Table3[[#All],[zScore]],MATCH(Table5[[#This Row],[PID]],Table3[[#All],[PID]],0)))</f>
        <v>-0.26334422680437425</v>
      </c>
      <c r="S451" s="58" t="str">
        <f>IF($C451="B",INDEX(Batters[[#All],[DEM]],MATCH(Table5[[#This Row],[PID]],Batters[[#All],[PID]],0)),INDEX(Table3[[#All],[DEM]],MATCH(Table5[[#This Row],[PID]],Table3[[#All],[PID]],0)))</f>
        <v>$38k</v>
      </c>
      <c r="T451" s="62">
        <f>IF($C451="B",INDEX(Batters[[#All],[Rnk]],MATCH(Table5[[#This Row],[PID]],Batters[[#All],[PID]],0)),INDEX(Table3[[#All],[Rnk]],MATCH(Table5[[#This Row],[PID]],Table3[[#All],[PID]],0)))</f>
        <v>900</v>
      </c>
      <c r="U451" s="67">
        <f>IF($C451="B",VLOOKUP($A451,Bat!$A$4:$BA$1314,47,FALSE),VLOOKUP($A451,Pit!$A$4:$BF$1214,56,FALSE))</f>
        <v>191</v>
      </c>
      <c r="V451" s="50">
        <f>IF($C451="B",VLOOKUP($A451,Bat!$A$4:$BA$1314,48,FALSE),VLOOKUP($A451,Pit!$A$4:$BF$1214,57,FALSE))</f>
        <v>0</v>
      </c>
      <c r="W451" s="68">
        <f>IF(Table5[[#This Row],[posRnk]]=999,9999,Table5[[#This Row],[posRnk]]+Table5[[#This Row],[zRnk]]+IF($W$3&lt;&gt;Table5[[#This Row],[Type]],50,0))</f>
        <v>1425</v>
      </c>
      <c r="X451" s="51">
        <f>RANK(Table5[[#This Row],[zScore]],Table5[[#All],[zScore]])</f>
        <v>475</v>
      </c>
      <c r="Y451" s="50">
        <f>IFERROR(INDEX(DraftResults[[#All],[OVR]],MATCH(Table5[[#This Row],[PID]],DraftResults[[#All],[Player ID]],0)),"")</f>
        <v>391</v>
      </c>
      <c r="Z451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12</v>
      </c>
      <c r="AA451" s="50">
        <f>IFERROR(INDEX(DraftResults[[#All],[Pick in Round]],MATCH(Table5[[#This Row],[PID]],DraftResults[[#All],[Player ID]],0)),"")</f>
        <v>26</v>
      </c>
      <c r="AB451" s="50" t="str">
        <f>IFERROR(INDEX(DraftResults[[#All],[Team Name]],MATCH(Table5[[#This Row],[PID]],DraftResults[[#All],[Player ID]],0)),"")</f>
        <v>Aurora Borealis</v>
      </c>
      <c r="AC451" s="50">
        <f>IF(Table5[[#This Row],[Ovr]]="","",IF(Table5[[#This Row],[cmbList]]="","",Table5[[#This Row],[cmbList]]-Table5[[#This Row],[Ovr]]))</f>
        <v>1034</v>
      </c>
      <c r="AD451" s="54" t="str">
        <f>IF(ISERROR(VLOOKUP($AB451&amp;"-"&amp;$E451&amp;" "&amp;F451,Bonuses!$B$1:$G$1006,4,FALSE)),"",INT(VLOOKUP($AB451&amp;"-"&amp;$E451&amp;" "&amp;$F451,Bonuses!$B$1:$G$1006,4,FALSE)))</f>
        <v/>
      </c>
      <c r="AE451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12.26 (391) - 2B Arthur Hedgepeth</v>
      </c>
    </row>
    <row r="452" spans="1:31" s="50" customFormat="1" x14ac:dyDescent="0.3">
      <c r="A452" s="50">
        <v>14404</v>
      </c>
      <c r="B452" s="55">
        <f>COUNTIF(Table5[PID],A452)</f>
        <v>1</v>
      </c>
      <c r="C452" s="55" t="str">
        <f>IF(COUNTIF(Table3[[#All],[PID]],A452)&gt;0,"P","B")</f>
        <v>B</v>
      </c>
      <c r="D452" s="59" t="str">
        <f>IF($C452="B",INDEX(Batters[[#All],[POS]],MATCH(Table5[[#This Row],[PID]],Batters[[#All],[PID]],0)),INDEX(Table3[[#All],[POS]],MATCH(Table5[[#This Row],[PID]],Table3[[#All],[PID]],0)))</f>
        <v>3B</v>
      </c>
      <c r="E452" s="52" t="str">
        <f>IF($C452="B",INDEX(Batters[[#All],[First]],MATCH(Table5[[#This Row],[PID]],Batters[[#All],[PID]],0)),INDEX(Table3[[#All],[First]],MATCH(Table5[[#This Row],[PID]],Table3[[#All],[PID]],0)))</f>
        <v>Gary</v>
      </c>
      <c r="F452" s="50" t="str">
        <f>IF($C452="B",INDEX(Batters[[#All],[Last]],MATCH(A452,Batters[[#All],[PID]],0)),INDEX(Table3[[#All],[Last]],MATCH(A452,Table3[[#All],[PID]],0)))</f>
        <v>Taylor</v>
      </c>
      <c r="G452" s="56">
        <f>IF($C452="B",INDEX(Batters[[#All],[Age]],MATCH(Table5[[#This Row],[PID]],Batters[[#All],[PID]],0)),INDEX(Table3[[#All],[Age]],MATCH(Table5[[#This Row],[PID]],Table3[[#All],[PID]],0)))</f>
        <v>21</v>
      </c>
      <c r="H452" s="52" t="str">
        <f>IF($C452="B",INDEX(Batters[[#All],[B]],MATCH(Table5[[#This Row],[PID]],Batters[[#All],[PID]],0)),INDEX(Table3[[#All],[B]],MATCH(Table5[[#This Row],[PID]],Table3[[#All],[PID]],0)))</f>
        <v>R</v>
      </c>
      <c r="I452" s="52" t="str">
        <f>IF($C452="B",INDEX(Batters[[#All],[T]],MATCH(Table5[[#This Row],[PID]],Batters[[#All],[PID]],0)),INDEX(Table3[[#All],[T]],MATCH(Table5[[#This Row],[PID]],Table3[[#All],[PID]],0)))</f>
        <v>R</v>
      </c>
      <c r="J452" s="52" t="str">
        <f>IF($C452="B",INDEX(Batters[[#All],[WE]],MATCH(Table5[[#This Row],[PID]],Batters[[#All],[PID]],0)),INDEX(Table3[[#All],[WE]],MATCH(Table5[[#This Row],[PID]],Table3[[#All],[PID]],0)))</f>
        <v>Normal</v>
      </c>
      <c r="K452" s="52" t="str">
        <f>IF($C452="B",INDEX(Batters[[#All],[INT]],MATCH(Table5[[#This Row],[PID]],Batters[[#All],[PID]],0)),INDEX(Table3[[#All],[INT]],MATCH(Table5[[#This Row],[PID]],Table3[[#All],[PID]],0)))</f>
        <v>Normal</v>
      </c>
      <c r="L452" s="60">
        <f>IF($C452="B",INDEX(Batters[[#All],[CON P]],MATCH(Table5[[#This Row],[PID]],Batters[[#All],[PID]],0)),INDEX(Table3[[#All],[STU P]],MATCH(Table5[[#This Row],[PID]],Table3[[#All],[PID]],0)))</f>
        <v>4</v>
      </c>
      <c r="M452" s="56">
        <f>IF($C452="B",INDEX(Batters[[#All],[GAP P]],MATCH(Table5[[#This Row],[PID]],Batters[[#All],[PID]],0)),INDEX(Table3[[#All],[MOV P]],MATCH(Table5[[#This Row],[PID]],Table3[[#All],[PID]],0)))</f>
        <v>4</v>
      </c>
      <c r="N452" s="56">
        <f>IF($C452="B",INDEX(Batters[[#All],[POW P]],MATCH(Table5[[#This Row],[PID]],Batters[[#All],[PID]],0)),INDEX(Table3[[#All],[CON P]],MATCH(Table5[[#This Row],[PID]],Table3[[#All],[PID]],0)))</f>
        <v>3</v>
      </c>
      <c r="O452" s="56">
        <f>IF($C452="B",INDEX(Batters[[#All],[EYE P]],MATCH(Table5[[#This Row],[PID]],Batters[[#All],[PID]],0)),INDEX(Table3[[#All],[VELO]],MATCH(Table5[[#This Row],[PID]],Table3[[#All],[PID]],0)))</f>
        <v>5</v>
      </c>
      <c r="P452" s="56">
        <f>IF($C452="B",INDEX(Batters[[#All],[K P]],MATCH(Table5[[#This Row],[PID]],Batters[[#All],[PID]],0)),INDEX(Table3[[#All],[STM]],MATCH(Table5[[#This Row],[PID]],Table3[[#All],[PID]],0)))</f>
        <v>4</v>
      </c>
      <c r="Q452" s="61">
        <f>IF($C452="B",INDEX(Batters[[#All],[Tot]],MATCH(Table5[[#This Row],[PID]],Batters[[#All],[PID]],0)),INDEX(Table3[[#All],[Tot]],MATCH(Table5[[#This Row],[PID]],Table3[[#All],[PID]],0)))</f>
        <v>41.37578431336788</v>
      </c>
      <c r="R452" s="52">
        <f>IF($C452="B",INDEX(Batters[[#All],[zScore]],MATCH(Table5[[#This Row],[PID]],Batters[[#All],[PID]],0)),INDEX(Table3[[#All],[zScore]],MATCH(Table5[[#This Row],[PID]],Table3[[#All],[PID]],0)))</f>
        <v>-0.26897634722963748</v>
      </c>
      <c r="S452" s="58" t="str">
        <f>IF($C452="B",INDEX(Batters[[#All],[DEM]],MATCH(Table5[[#This Row],[PID]],Batters[[#All],[PID]],0)),INDEX(Table3[[#All],[DEM]],MATCH(Table5[[#This Row],[PID]],Table3[[#All],[PID]],0)))</f>
        <v>$20k</v>
      </c>
      <c r="T452" s="62">
        <f>IF($C452="B",INDEX(Batters[[#All],[Rnk]],MATCH(Table5[[#This Row],[PID]],Batters[[#All],[PID]],0)),INDEX(Table3[[#All],[Rnk]],MATCH(Table5[[#This Row],[PID]],Table3[[#All],[PID]],0)))</f>
        <v>900</v>
      </c>
      <c r="U452" s="67">
        <f>IF($C452="B",VLOOKUP($A452,Bat!$A$4:$BA$1314,47,FALSE),VLOOKUP($A452,Pit!$A$4:$BF$1214,56,FALSE))</f>
        <v>192</v>
      </c>
      <c r="V452" s="50">
        <f>IF($C452="B",VLOOKUP($A452,Bat!$A$4:$BA$1314,48,FALSE),VLOOKUP($A452,Pit!$A$4:$BF$1214,57,FALSE))</f>
        <v>0</v>
      </c>
      <c r="W452" s="68">
        <f>IF(Table5[[#This Row],[posRnk]]=999,9999,Table5[[#This Row],[posRnk]]+Table5[[#This Row],[zRnk]]+IF($W$3&lt;&gt;Table5[[#This Row],[Type]],50,0))</f>
        <v>1426</v>
      </c>
      <c r="X452" s="51">
        <f>RANK(Table5[[#This Row],[zScore]],Table5[[#All],[zScore]])</f>
        <v>476</v>
      </c>
      <c r="Y452" s="50">
        <f>IFERROR(INDEX(DraftResults[[#All],[OVR]],MATCH(Table5[[#This Row],[PID]],DraftResults[[#All],[Player ID]],0)),"")</f>
        <v>192</v>
      </c>
      <c r="Z452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6</v>
      </c>
      <c r="AA452" s="50">
        <f>IFERROR(INDEX(DraftResults[[#All],[Pick in Round]],MATCH(Table5[[#This Row],[PID]],DraftResults[[#All],[Player ID]],0)),"")</f>
        <v>23</v>
      </c>
      <c r="AB452" s="50" t="str">
        <f>IFERROR(INDEX(DraftResults[[#All],[Team Name]],MATCH(Table5[[#This Row],[PID]],DraftResults[[#All],[Player ID]],0)),"")</f>
        <v>Kentucky Thoroughbreds</v>
      </c>
      <c r="AC452" s="50">
        <f>IF(Table5[[#This Row],[Ovr]]="","",IF(Table5[[#This Row],[cmbList]]="","",Table5[[#This Row],[cmbList]]-Table5[[#This Row],[Ovr]]))</f>
        <v>1234</v>
      </c>
      <c r="AD452" s="54" t="str">
        <f>IF(ISERROR(VLOOKUP($AB452&amp;"-"&amp;$E452&amp;" "&amp;F452,Bonuses!$B$1:$G$1006,4,FALSE)),"",INT(VLOOKUP($AB452&amp;"-"&amp;$E452&amp;" "&amp;$F452,Bonuses!$B$1:$G$1006,4,FALSE)))</f>
        <v/>
      </c>
      <c r="AE452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6.23 (192) - 3B Gary Taylor</v>
      </c>
    </row>
    <row r="453" spans="1:31" s="50" customFormat="1" x14ac:dyDescent="0.3">
      <c r="A453" s="67">
        <v>15827</v>
      </c>
      <c r="B453" s="68">
        <f>COUNTIF(Table5[PID],A453)</f>
        <v>1</v>
      </c>
      <c r="C453" s="68" t="str">
        <f>IF(COUNTIF(Table3[[#All],[PID]],A453)&gt;0,"P","B")</f>
        <v>B</v>
      </c>
      <c r="D453" s="59" t="str">
        <f>IF($C453="B",INDEX(Batters[[#All],[POS]],MATCH(Table5[[#This Row],[PID]],Batters[[#All],[PID]],0)),INDEX(Table3[[#All],[POS]],MATCH(Table5[[#This Row],[PID]],Table3[[#All],[PID]],0)))</f>
        <v>CF</v>
      </c>
      <c r="E453" s="52" t="str">
        <f>IF($C453="B",INDEX(Batters[[#All],[First]],MATCH(Table5[[#This Row],[PID]],Batters[[#All],[PID]],0)),INDEX(Table3[[#All],[First]],MATCH(Table5[[#This Row],[PID]],Table3[[#All],[PID]],0)))</f>
        <v>Tsunesaburo</v>
      </c>
      <c r="F453" s="55" t="str">
        <f>IF($C453="B",INDEX(Batters[[#All],[Last]],MATCH(A453,Batters[[#All],[PID]],0)),INDEX(Table3[[#All],[Last]],MATCH(A453,Table3[[#All],[PID]],0)))</f>
        <v>Kouno</v>
      </c>
      <c r="G453" s="56">
        <f>IF($C453="B",INDEX(Batters[[#All],[Age]],MATCH(Table5[[#This Row],[PID]],Batters[[#All],[PID]],0)),INDEX(Table3[[#All],[Age]],MATCH(Table5[[#This Row],[PID]],Table3[[#All],[PID]],0)))</f>
        <v>21</v>
      </c>
      <c r="H453" s="52" t="str">
        <f>IF($C453="B",INDEX(Batters[[#All],[B]],MATCH(Table5[[#This Row],[PID]],Batters[[#All],[PID]],0)),INDEX(Table3[[#All],[B]],MATCH(Table5[[#This Row],[PID]],Table3[[#All],[PID]],0)))</f>
        <v>R</v>
      </c>
      <c r="I453" s="52" t="str">
        <f>IF($C453="B",INDEX(Batters[[#All],[T]],MATCH(Table5[[#This Row],[PID]],Batters[[#All],[PID]],0)),INDEX(Table3[[#All],[T]],MATCH(Table5[[#This Row],[PID]],Table3[[#All],[PID]],0)))</f>
        <v>R</v>
      </c>
      <c r="J453" s="69" t="str">
        <f>IF($C453="B",INDEX(Batters[[#All],[WE]],MATCH(Table5[[#This Row],[PID]],Batters[[#All],[PID]],0)),INDEX(Table3[[#All],[WE]],MATCH(Table5[[#This Row],[PID]],Table3[[#All],[PID]],0)))</f>
        <v>Normal</v>
      </c>
      <c r="K453" s="52" t="str">
        <f>IF($C453="B",INDEX(Batters[[#All],[INT]],MATCH(Table5[[#This Row],[PID]],Batters[[#All],[PID]],0)),INDEX(Table3[[#All],[INT]],MATCH(Table5[[#This Row],[PID]],Table3[[#All],[PID]],0)))</f>
        <v>Normal</v>
      </c>
      <c r="L453" s="60">
        <f>IF($C453="B",INDEX(Batters[[#All],[CON P]],MATCH(Table5[[#This Row],[PID]],Batters[[#All],[PID]],0)),INDEX(Table3[[#All],[STU P]],MATCH(Table5[[#This Row],[PID]],Table3[[#All],[PID]],0)))</f>
        <v>4</v>
      </c>
      <c r="M453" s="70">
        <f>IF($C453="B",INDEX(Batters[[#All],[GAP P]],MATCH(Table5[[#This Row],[PID]],Batters[[#All],[PID]],0)),INDEX(Table3[[#All],[MOV P]],MATCH(Table5[[#This Row],[PID]],Table3[[#All],[PID]],0)))</f>
        <v>4</v>
      </c>
      <c r="N453" s="70">
        <f>IF($C453="B",INDEX(Batters[[#All],[POW P]],MATCH(Table5[[#This Row],[PID]],Batters[[#All],[PID]],0)),INDEX(Table3[[#All],[CON P]],MATCH(Table5[[#This Row],[PID]],Table3[[#All],[PID]],0)))</f>
        <v>3</v>
      </c>
      <c r="O453" s="70">
        <f>IF($C453="B",INDEX(Batters[[#All],[EYE P]],MATCH(Table5[[#This Row],[PID]],Batters[[#All],[PID]],0)),INDEX(Table3[[#All],[VELO]],MATCH(Table5[[#This Row],[PID]],Table3[[#All],[PID]],0)))</f>
        <v>5</v>
      </c>
      <c r="P453" s="56">
        <f>IF($C453="B",INDEX(Batters[[#All],[K P]],MATCH(Table5[[#This Row],[PID]],Batters[[#All],[PID]],0)),INDEX(Table3[[#All],[STM]],MATCH(Table5[[#This Row],[PID]],Table3[[#All],[PID]],0)))</f>
        <v>3</v>
      </c>
      <c r="Q453" s="61">
        <f>IF($C453="B",INDEX(Batters[[#All],[Tot]],MATCH(Table5[[#This Row],[PID]],Batters[[#All],[PID]],0)),INDEX(Table3[[#All],[Tot]],MATCH(Table5[[#This Row],[PID]],Table3[[#All],[PID]],0)))</f>
        <v>41.316559417650225</v>
      </c>
      <c r="R453" s="52">
        <f>IF($C453="B",INDEX(Batters[[#All],[zScore]],MATCH(Table5[[#This Row],[PID]],Batters[[#All],[PID]],0)),INDEX(Table3[[#All],[zScore]],MATCH(Table5[[#This Row],[PID]],Table3[[#All],[PID]],0)))</f>
        <v>-0.2776212933015933</v>
      </c>
      <c r="S453" s="75" t="str">
        <f>IF($C453="B",INDEX(Batters[[#All],[DEM]],MATCH(Table5[[#This Row],[PID]],Batters[[#All],[PID]],0)),INDEX(Table3[[#All],[DEM]],MATCH(Table5[[#This Row],[PID]],Table3[[#All],[PID]],0)))</f>
        <v>$100k</v>
      </c>
      <c r="T453" s="72">
        <f>IF($C453="B",INDEX(Batters[[#All],[Rnk]],MATCH(Table5[[#This Row],[PID]],Batters[[#All],[PID]],0)),INDEX(Table3[[#All],[Rnk]],MATCH(Table5[[#This Row],[PID]],Table3[[#All],[PID]],0)))</f>
        <v>900</v>
      </c>
      <c r="U453" s="67">
        <f>IF($C453="B",VLOOKUP($A453,Bat!$A$4:$BA$1314,47,FALSE),VLOOKUP($A453,Pit!$A$4:$BF$1214,56,FALSE))</f>
        <v>193</v>
      </c>
      <c r="V453" s="50">
        <f>IF($C453="B",VLOOKUP($A453,Bat!$A$4:$BA$1314,48,FALSE),VLOOKUP($A453,Pit!$A$4:$BF$1214,57,FALSE))</f>
        <v>0</v>
      </c>
      <c r="W453" s="68">
        <f>IF(Table5[[#This Row],[posRnk]]=999,9999,Table5[[#This Row],[posRnk]]+Table5[[#This Row],[zRnk]]+IF($W$3&lt;&gt;Table5[[#This Row],[Type]],50,0))</f>
        <v>1428</v>
      </c>
      <c r="X453" s="71">
        <f>RANK(Table5[[#This Row],[zScore]],Table5[[#All],[zScore]])</f>
        <v>478</v>
      </c>
      <c r="Y453" s="68">
        <f>IFERROR(INDEX(DraftResults[[#All],[OVR]],MATCH(Table5[[#This Row],[PID]],DraftResults[[#All],[Player ID]],0)),"")</f>
        <v>295</v>
      </c>
      <c r="Z453" s="7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9</v>
      </c>
      <c r="AA453" s="68">
        <f>IFERROR(INDEX(DraftResults[[#All],[Pick in Round]],MATCH(Table5[[#This Row],[PID]],DraftResults[[#All],[Player ID]],0)),"")</f>
        <v>30</v>
      </c>
      <c r="AB453" s="68" t="str">
        <f>IFERROR(INDEX(DraftResults[[#All],[Team Name]],MATCH(Table5[[#This Row],[PID]],DraftResults[[#All],[Player ID]],0)),"")</f>
        <v>Toyama Wind Dancers</v>
      </c>
      <c r="AC453" s="68">
        <f>IF(Table5[[#This Row],[Ovr]]="","",IF(Table5[[#This Row],[cmbList]]="","",Table5[[#This Row],[cmbList]]-Table5[[#This Row],[Ovr]]))</f>
        <v>1133</v>
      </c>
      <c r="AD453" s="74" t="str">
        <f>IF(ISERROR(VLOOKUP($AB453&amp;"-"&amp;$E453&amp;" "&amp;F453,Bonuses!$B$1:$G$1006,4,FALSE)),"",INT(VLOOKUP($AB453&amp;"-"&amp;$E453&amp;" "&amp;$F453,Bonuses!$B$1:$G$1006,4,FALSE)))</f>
        <v/>
      </c>
      <c r="AE453" s="68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9.30 (295) - CF Tsunesaburo Kouno</v>
      </c>
    </row>
    <row r="454" spans="1:31" s="50" customFormat="1" x14ac:dyDescent="0.3">
      <c r="A454" s="50">
        <v>20908</v>
      </c>
      <c r="B454" s="50">
        <f>COUNTIF(Table5[PID],A454)</f>
        <v>1</v>
      </c>
      <c r="C454" s="50" t="str">
        <f>IF(COUNTIF(Table3[[#All],[PID]],A454)&gt;0,"P","B")</f>
        <v>P</v>
      </c>
      <c r="D454" s="59" t="str">
        <f>IF($C454="B",INDEX(Batters[[#All],[POS]],MATCH(Table5[[#This Row],[PID]],Batters[[#All],[PID]],0)),INDEX(Table3[[#All],[POS]],MATCH(Table5[[#This Row],[PID]],Table3[[#All],[PID]],0)))</f>
        <v>RP</v>
      </c>
      <c r="E454" s="52" t="str">
        <f>IF($C454="B",INDEX(Batters[[#All],[First]],MATCH(Table5[[#This Row],[PID]],Batters[[#All],[PID]],0)),INDEX(Table3[[#All],[First]],MATCH(Table5[[#This Row],[PID]],Table3[[#All],[PID]],0)))</f>
        <v>Paco</v>
      </c>
      <c r="F454" s="50" t="str">
        <f>IF($C454="B",INDEX(Batters[[#All],[Last]],MATCH(A454,Batters[[#All],[PID]],0)),INDEX(Table3[[#All],[Last]],MATCH(A454,Table3[[#All],[PID]],0)))</f>
        <v>Rodríguez</v>
      </c>
      <c r="G454" s="56">
        <f>IF($C454="B",INDEX(Batters[[#All],[Age]],MATCH(Table5[[#This Row],[PID]],Batters[[#All],[PID]],0)),INDEX(Table3[[#All],[Age]],MATCH(Table5[[#This Row],[PID]],Table3[[#All],[PID]],0)))</f>
        <v>17</v>
      </c>
      <c r="H454" s="52" t="str">
        <f>IF($C454="B",INDEX(Batters[[#All],[B]],MATCH(Table5[[#This Row],[PID]],Batters[[#All],[PID]],0)),INDEX(Table3[[#All],[B]],MATCH(Table5[[#This Row],[PID]],Table3[[#All],[PID]],0)))</f>
        <v>R</v>
      </c>
      <c r="I454" s="52" t="str">
        <f>IF($C454="B",INDEX(Batters[[#All],[T]],MATCH(Table5[[#This Row],[PID]],Batters[[#All],[PID]],0)),INDEX(Table3[[#All],[T]],MATCH(Table5[[#This Row],[PID]],Table3[[#All],[PID]],0)))</f>
        <v>R</v>
      </c>
      <c r="J454" s="52" t="str">
        <f>IF($C454="B",INDEX(Batters[[#All],[WE]],MATCH(Table5[[#This Row],[PID]],Batters[[#All],[PID]],0)),INDEX(Table3[[#All],[WE]],MATCH(Table5[[#This Row],[PID]],Table3[[#All],[PID]],0)))</f>
        <v>High</v>
      </c>
      <c r="K454" s="52" t="str">
        <f>IF($C454="B",INDEX(Batters[[#All],[INT]],MATCH(Table5[[#This Row],[PID]],Batters[[#All],[PID]],0)),INDEX(Table3[[#All],[INT]],MATCH(Table5[[#This Row],[PID]],Table3[[#All],[PID]],0)))</f>
        <v>Normal</v>
      </c>
      <c r="L454" s="60">
        <f>IF($C454="B",INDEX(Batters[[#All],[CON P]],MATCH(Table5[[#This Row],[PID]],Batters[[#All],[PID]],0)),INDEX(Table3[[#All],[STU P]],MATCH(Table5[[#This Row],[PID]],Table3[[#All],[PID]],0)))</f>
        <v>4</v>
      </c>
      <c r="M454" s="56">
        <f>IF($C454="B",INDEX(Batters[[#All],[GAP P]],MATCH(Table5[[#This Row],[PID]],Batters[[#All],[PID]],0)),INDEX(Table3[[#All],[MOV P]],MATCH(Table5[[#This Row],[PID]],Table3[[#All],[PID]],0)))</f>
        <v>2</v>
      </c>
      <c r="N454" s="56">
        <f>IF($C454="B",INDEX(Batters[[#All],[POW P]],MATCH(Table5[[#This Row],[PID]],Batters[[#All],[PID]],0)),INDEX(Table3[[#All],[CON P]],MATCH(Table5[[#This Row],[PID]],Table3[[#All],[PID]],0)))</f>
        <v>3</v>
      </c>
      <c r="O454" s="56" t="str">
        <f>IF($C454="B",INDEX(Batters[[#All],[EYE P]],MATCH(Table5[[#This Row],[PID]],Batters[[#All],[PID]],0)),INDEX(Table3[[#All],[VELO]],MATCH(Table5[[#This Row],[PID]],Table3[[#All],[PID]],0)))</f>
        <v>88-90 Mph</v>
      </c>
      <c r="P454" s="56">
        <f>IF($C454="B",INDEX(Batters[[#All],[K P]],MATCH(Table5[[#This Row],[PID]],Batters[[#All],[PID]],0)),INDEX(Table3[[#All],[STM]],MATCH(Table5[[#This Row],[PID]],Table3[[#All],[PID]],0)))</f>
        <v>9</v>
      </c>
      <c r="Q454" s="61">
        <f>IF($C454="B",INDEX(Batters[[#All],[Tot]],MATCH(Table5[[#This Row],[PID]],Batters[[#All],[PID]],0)),INDEX(Table3[[#All],[Tot]],MATCH(Table5[[#This Row],[PID]],Table3[[#All],[PID]],0)))</f>
        <v>33.686788114013716</v>
      </c>
      <c r="R454" s="52">
        <f>IF($C454="B",INDEX(Batters[[#All],[zScore]],MATCH(Table5[[#This Row],[PID]],Batters[[#All],[PID]],0)),INDEX(Table3[[#All],[zScore]],MATCH(Table5[[#This Row],[PID]],Table3[[#All],[PID]],0)))</f>
        <v>-0.29307351257013231</v>
      </c>
      <c r="S454" s="58" t="str">
        <f>IF($C454="B",INDEX(Batters[[#All],[DEM]],MATCH(Table5[[#This Row],[PID]],Batters[[#All],[PID]],0)),INDEX(Table3[[#All],[DEM]],MATCH(Table5[[#This Row],[PID]],Table3[[#All],[PID]],0)))</f>
        <v>$70k</v>
      </c>
      <c r="T454" s="62">
        <f>IF($C454="B",INDEX(Batters[[#All],[Rnk]],MATCH(Table5[[#This Row],[PID]],Batters[[#All],[PID]],0)),INDEX(Table3[[#All],[Rnk]],MATCH(Table5[[#This Row],[PID]],Table3[[#All],[PID]],0)))</f>
        <v>900</v>
      </c>
      <c r="U454" s="67">
        <f>IF($C454="B",VLOOKUP($A454,Bat!$A$4:$BA$1314,47,FALSE),VLOOKUP($A454,Pit!$A$4:$BF$1214,56,FALSE))</f>
        <v>155</v>
      </c>
      <c r="V454" s="50">
        <f>IF($C454="B",VLOOKUP($A454,Bat!$A$4:$BA$1314,48,FALSE),VLOOKUP($A454,Pit!$A$4:$BF$1214,57,FALSE))</f>
        <v>0</v>
      </c>
      <c r="W454" s="68">
        <f>IF(Table5[[#This Row],[posRnk]]=999,9999,Table5[[#This Row],[posRnk]]+Table5[[#This Row],[zRnk]]+IF($W$3&lt;&gt;Table5[[#This Row],[Type]],50,0))</f>
        <v>1383</v>
      </c>
      <c r="X454" s="51">
        <f>RANK(Table5[[#This Row],[zScore]],Table5[[#All],[zScore]])</f>
        <v>483</v>
      </c>
      <c r="Y454" s="50">
        <f>IFERROR(INDEX(DraftResults[[#All],[OVR]],MATCH(Table5[[#This Row],[PID]],DraftResults[[#All],[Player ID]],0)),"")</f>
        <v>568</v>
      </c>
      <c r="Z454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17</v>
      </c>
      <c r="AA454" s="50">
        <f>IFERROR(INDEX(DraftResults[[#All],[Pick in Round]],MATCH(Table5[[#This Row],[PID]],DraftResults[[#All],[Player ID]],0)),"")</f>
        <v>33</v>
      </c>
      <c r="AB454" s="50" t="str">
        <f>IFERROR(INDEX(DraftResults[[#All],[Team Name]],MATCH(Table5[[#This Row],[PID]],DraftResults[[#All],[Player ID]],0)),"")</f>
        <v>Gloucester Fishermen</v>
      </c>
      <c r="AC454" s="50">
        <f>IF(Table5[[#This Row],[Ovr]]="","",IF(Table5[[#This Row],[cmbList]]="","",Table5[[#This Row],[cmbList]]-Table5[[#This Row],[Ovr]]))</f>
        <v>815</v>
      </c>
      <c r="AD454" s="54" t="str">
        <f>IF(ISERROR(VLOOKUP($AB454&amp;"-"&amp;$E454&amp;" "&amp;F454,Bonuses!$B$1:$G$1006,4,FALSE)),"",INT(VLOOKUP($AB454&amp;"-"&amp;$E454&amp;" "&amp;$F454,Bonuses!$B$1:$G$1006,4,FALSE)))</f>
        <v/>
      </c>
      <c r="AE454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17.33 (568) - RP Paco Rodríguez</v>
      </c>
    </row>
    <row r="455" spans="1:31" s="50" customFormat="1" x14ac:dyDescent="0.3">
      <c r="A455" s="50">
        <v>20861</v>
      </c>
      <c r="B455" s="50">
        <f>COUNTIF(Table5[PID],A455)</f>
        <v>1</v>
      </c>
      <c r="C455" s="50" t="str">
        <f>IF(COUNTIF(Table3[[#All],[PID]],A455)&gt;0,"P","B")</f>
        <v>P</v>
      </c>
      <c r="D455" s="59" t="str">
        <f>IF($C455="B",INDEX(Batters[[#All],[POS]],MATCH(Table5[[#This Row],[PID]],Batters[[#All],[PID]],0)),INDEX(Table3[[#All],[POS]],MATCH(Table5[[#This Row],[PID]],Table3[[#All],[PID]],0)))</f>
        <v>RP</v>
      </c>
      <c r="E455" s="52" t="str">
        <f>IF($C455="B",INDEX(Batters[[#All],[First]],MATCH(Table5[[#This Row],[PID]],Batters[[#All],[PID]],0)),INDEX(Table3[[#All],[First]],MATCH(Table5[[#This Row],[PID]],Table3[[#All],[PID]],0)))</f>
        <v>António</v>
      </c>
      <c r="F455" s="50" t="str">
        <f>IF($C455="B",INDEX(Batters[[#All],[Last]],MATCH(A455,Batters[[#All],[PID]],0)),INDEX(Table3[[#All],[Last]],MATCH(A455,Table3[[#All],[PID]],0)))</f>
        <v>Bruno</v>
      </c>
      <c r="G455" s="56">
        <f>IF($C455="B",INDEX(Batters[[#All],[Age]],MATCH(Table5[[#This Row],[PID]],Batters[[#All],[PID]],0)),INDEX(Table3[[#All],[Age]],MATCH(Table5[[#This Row],[PID]],Table3[[#All],[PID]],0)))</f>
        <v>16</v>
      </c>
      <c r="H455" s="52" t="str">
        <f>IF($C455="B",INDEX(Batters[[#All],[B]],MATCH(Table5[[#This Row],[PID]],Batters[[#All],[PID]],0)),INDEX(Table3[[#All],[B]],MATCH(Table5[[#This Row],[PID]],Table3[[#All],[PID]],0)))</f>
        <v>L</v>
      </c>
      <c r="I455" s="52" t="str">
        <f>IF($C455="B",INDEX(Batters[[#All],[T]],MATCH(Table5[[#This Row],[PID]],Batters[[#All],[PID]],0)),INDEX(Table3[[#All],[T]],MATCH(Table5[[#This Row],[PID]],Table3[[#All],[PID]],0)))</f>
        <v>L</v>
      </c>
      <c r="J455" s="52" t="str">
        <f>IF($C455="B",INDEX(Batters[[#All],[WE]],MATCH(Table5[[#This Row],[PID]],Batters[[#All],[PID]],0)),INDEX(Table3[[#All],[WE]],MATCH(Table5[[#This Row],[PID]],Table3[[#All],[PID]],0)))</f>
        <v>Normal</v>
      </c>
      <c r="K455" s="52" t="str">
        <f>IF($C455="B",INDEX(Batters[[#All],[INT]],MATCH(Table5[[#This Row],[PID]],Batters[[#All],[PID]],0)),INDEX(Table3[[#All],[INT]],MATCH(Table5[[#This Row],[PID]],Table3[[#All],[PID]],0)))</f>
        <v>Normal</v>
      </c>
      <c r="L455" s="60">
        <f>IF($C455="B",INDEX(Batters[[#All],[CON P]],MATCH(Table5[[#This Row],[PID]],Batters[[#All],[PID]],0)),INDEX(Table3[[#All],[STU P]],MATCH(Table5[[#This Row],[PID]],Table3[[#All],[PID]],0)))</f>
        <v>5</v>
      </c>
      <c r="M455" s="56">
        <f>IF($C455="B",INDEX(Batters[[#All],[GAP P]],MATCH(Table5[[#This Row],[PID]],Batters[[#All],[PID]],0)),INDEX(Table3[[#All],[MOV P]],MATCH(Table5[[#This Row],[PID]],Table3[[#All],[PID]],0)))</f>
        <v>1</v>
      </c>
      <c r="N455" s="56">
        <f>IF($C455="B",INDEX(Batters[[#All],[POW P]],MATCH(Table5[[#This Row],[PID]],Batters[[#All],[PID]],0)),INDEX(Table3[[#All],[CON P]],MATCH(Table5[[#This Row],[PID]],Table3[[#All],[PID]],0)))</f>
        <v>4</v>
      </c>
      <c r="O455" s="56" t="str">
        <f>IF($C455="B",INDEX(Batters[[#All],[EYE P]],MATCH(Table5[[#This Row],[PID]],Batters[[#All],[PID]],0)),INDEX(Table3[[#All],[VELO]],MATCH(Table5[[#This Row],[PID]],Table3[[#All],[PID]],0)))</f>
        <v>89-91 Mph</v>
      </c>
      <c r="P455" s="56">
        <f>IF($C455="B",INDEX(Batters[[#All],[K P]],MATCH(Table5[[#This Row],[PID]],Batters[[#All],[PID]],0)),INDEX(Table3[[#All],[STM]],MATCH(Table5[[#This Row],[PID]],Table3[[#All],[PID]],0)))</f>
        <v>1</v>
      </c>
      <c r="Q455" s="61">
        <f>IF($C455="B",INDEX(Batters[[#All],[Tot]],MATCH(Table5[[#This Row],[PID]],Batters[[#All],[PID]],0)),INDEX(Table3[[#All],[Tot]],MATCH(Table5[[#This Row],[PID]],Table3[[#All],[PID]],0)))</f>
        <v>33.593722016844382</v>
      </c>
      <c r="R455" s="52">
        <f>IF($C455="B",INDEX(Batters[[#All],[zScore]],MATCH(Table5[[#This Row],[PID]],Batters[[#All],[PID]],0)),INDEX(Table3[[#All],[zScore]],MATCH(Table5[[#This Row],[PID]],Table3[[#All],[PID]],0)))</f>
        <v>-0.29320402285433828</v>
      </c>
      <c r="S455" s="58" t="str">
        <f>IF($C455="B",INDEX(Batters[[#All],[DEM]],MATCH(Table5[[#This Row],[PID]],Batters[[#All],[PID]],0)),INDEX(Table3[[#All],[DEM]],MATCH(Table5[[#This Row],[PID]],Table3[[#All],[PID]],0)))</f>
        <v>$38k</v>
      </c>
      <c r="T455" s="62">
        <f>IF($C455="B",INDEX(Batters[[#All],[Rnk]],MATCH(Table5[[#This Row],[PID]],Batters[[#All],[PID]],0)),INDEX(Table3[[#All],[Rnk]],MATCH(Table5[[#This Row],[PID]],Table3[[#All],[PID]],0)))</f>
        <v>900</v>
      </c>
      <c r="U455" s="67">
        <f>IF($C455="B",VLOOKUP($A455,Bat!$A$4:$BA$1314,47,FALSE),VLOOKUP($A455,Pit!$A$4:$BF$1214,56,FALSE))</f>
        <v>161</v>
      </c>
      <c r="V455" s="50">
        <f>IF($C455="B",VLOOKUP($A455,Bat!$A$4:$BA$1314,48,FALSE),VLOOKUP($A455,Pit!$A$4:$BF$1214,57,FALSE))</f>
        <v>0</v>
      </c>
      <c r="W455" s="68">
        <f>IF(Table5[[#This Row],[posRnk]]=999,9999,Table5[[#This Row],[posRnk]]+Table5[[#This Row],[zRnk]]+IF($W$3&lt;&gt;Table5[[#This Row],[Type]],50,0))</f>
        <v>1384</v>
      </c>
      <c r="X455" s="51">
        <f>RANK(Table5[[#This Row],[zScore]],Table5[[#All],[zScore]])</f>
        <v>484</v>
      </c>
      <c r="Y455" s="50">
        <f>IFERROR(INDEX(DraftResults[[#All],[OVR]],MATCH(Table5[[#This Row],[PID]],DraftResults[[#All],[Player ID]],0)),"")</f>
        <v>553</v>
      </c>
      <c r="Z455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17</v>
      </c>
      <c r="AA455" s="50">
        <f>IFERROR(INDEX(DraftResults[[#All],[Pick in Round]],MATCH(Table5[[#This Row],[PID]],DraftResults[[#All],[Player ID]],0)),"")</f>
        <v>18</v>
      </c>
      <c r="AB455" s="50" t="str">
        <f>IFERROR(INDEX(DraftResults[[#All],[Team Name]],MATCH(Table5[[#This Row],[PID]],DraftResults[[#All],[Player ID]],0)),"")</f>
        <v>San Juan Coqui</v>
      </c>
      <c r="AC455" s="50">
        <f>IF(Table5[[#This Row],[Ovr]]="","",IF(Table5[[#This Row],[cmbList]]="","",Table5[[#This Row],[cmbList]]-Table5[[#This Row],[Ovr]]))</f>
        <v>831</v>
      </c>
      <c r="AD455" s="54" t="str">
        <f>IF(ISERROR(VLOOKUP($AB455&amp;"-"&amp;$E455&amp;" "&amp;F455,Bonuses!$B$1:$G$1006,4,FALSE)),"",INT(VLOOKUP($AB455&amp;"-"&amp;$E455&amp;" "&amp;$F455,Bonuses!$B$1:$G$1006,4,FALSE)))</f>
        <v/>
      </c>
      <c r="AE455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17.18 (553) - RP António Bruno</v>
      </c>
    </row>
    <row r="456" spans="1:31" s="50" customFormat="1" x14ac:dyDescent="0.3">
      <c r="A456" s="50">
        <v>20426</v>
      </c>
      <c r="B456" s="50">
        <f>COUNTIF(Table5[PID],A456)</f>
        <v>1</v>
      </c>
      <c r="C456" s="50" t="str">
        <f>IF(COUNTIF(Table3[[#All],[PID]],A456)&gt;0,"P","B")</f>
        <v>P</v>
      </c>
      <c r="D456" s="59" t="str">
        <f>IF($C456="B",INDEX(Batters[[#All],[POS]],MATCH(Table5[[#This Row],[PID]],Batters[[#All],[PID]],0)),INDEX(Table3[[#All],[POS]],MATCH(Table5[[#This Row],[PID]],Table3[[#All],[PID]],0)))</f>
        <v>RP</v>
      </c>
      <c r="E456" s="52" t="str">
        <f>IF($C456="B",INDEX(Batters[[#All],[First]],MATCH(Table5[[#This Row],[PID]],Batters[[#All],[PID]],0)),INDEX(Table3[[#All],[First]],MATCH(Table5[[#This Row],[PID]],Table3[[#All],[PID]],0)))</f>
        <v>Cheung</v>
      </c>
      <c r="F456" s="50" t="str">
        <f>IF($C456="B",INDEX(Batters[[#All],[Last]],MATCH(A456,Batters[[#All],[PID]],0)),INDEX(Table3[[#All],[Last]],MATCH(A456,Table3[[#All],[PID]],0)))</f>
        <v>Kuai</v>
      </c>
      <c r="G456" s="56">
        <f>IF($C456="B",INDEX(Batters[[#All],[Age]],MATCH(Table5[[#This Row],[PID]],Batters[[#All],[PID]],0)),INDEX(Table3[[#All],[Age]],MATCH(Table5[[#This Row],[PID]],Table3[[#All],[PID]],0)))</f>
        <v>16</v>
      </c>
      <c r="H456" s="52" t="str">
        <f>IF($C456="B",INDEX(Batters[[#All],[B]],MATCH(Table5[[#This Row],[PID]],Batters[[#All],[PID]],0)),INDEX(Table3[[#All],[B]],MATCH(Table5[[#This Row],[PID]],Table3[[#All],[PID]],0)))</f>
        <v>R</v>
      </c>
      <c r="I456" s="52" t="str">
        <f>IF($C456="B",INDEX(Batters[[#All],[T]],MATCH(Table5[[#This Row],[PID]],Batters[[#All],[PID]],0)),INDEX(Table3[[#All],[T]],MATCH(Table5[[#This Row],[PID]],Table3[[#All],[PID]],0)))</f>
        <v>R</v>
      </c>
      <c r="J456" s="52" t="str">
        <f>IF($C456="B",INDEX(Batters[[#All],[WE]],MATCH(Table5[[#This Row],[PID]],Batters[[#All],[PID]],0)),INDEX(Table3[[#All],[WE]],MATCH(Table5[[#This Row],[PID]],Table3[[#All],[PID]],0)))</f>
        <v>Normal</v>
      </c>
      <c r="K456" s="52" t="str">
        <f>IF($C456="B",INDEX(Batters[[#All],[INT]],MATCH(Table5[[#This Row],[PID]],Batters[[#All],[PID]],0)),INDEX(Table3[[#All],[INT]],MATCH(Table5[[#This Row],[PID]],Table3[[#All],[PID]],0)))</f>
        <v>Normal</v>
      </c>
      <c r="L456" s="60">
        <f>IF($C456="B",INDEX(Batters[[#All],[CON P]],MATCH(Table5[[#This Row],[PID]],Batters[[#All],[PID]],0)),INDEX(Table3[[#All],[STU P]],MATCH(Table5[[#This Row],[PID]],Table3[[#All],[PID]],0)))</f>
        <v>4</v>
      </c>
      <c r="M456" s="56">
        <f>IF($C456="B",INDEX(Batters[[#All],[GAP P]],MATCH(Table5[[#This Row],[PID]],Batters[[#All],[PID]],0)),INDEX(Table3[[#All],[MOV P]],MATCH(Table5[[#This Row],[PID]],Table3[[#All],[PID]],0)))</f>
        <v>2</v>
      </c>
      <c r="N456" s="56">
        <f>IF($C456="B",INDEX(Batters[[#All],[POW P]],MATCH(Table5[[#This Row],[PID]],Batters[[#All],[PID]],0)),INDEX(Table3[[#All],[CON P]],MATCH(Table5[[#This Row],[PID]],Table3[[#All],[PID]],0)))</f>
        <v>3</v>
      </c>
      <c r="O456" s="56" t="str">
        <f>IF($C456="B",INDEX(Batters[[#All],[EYE P]],MATCH(Table5[[#This Row],[PID]],Batters[[#All],[PID]],0)),INDEX(Table3[[#All],[VELO]],MATCH(Table5[[#This Row],[PID]],Table3[[#All],[PID]],0)))</f>
        <v>88-90 Mph</v>
      </c>
      <c r="P456" s="56">
        <f>IF($C456="B",INDEX(Batters[[#All],[K P]],MATCH(Table5[[#This Row],[PID]],Batters[[#All],[PID]],0)),INDEX(Table3[[#All],[STM]],MATCH(Table5[[#This Row],[PID]],Table3[[#All],[PID]],0)))</f>
        <v>6</v>
      </c>
      <c r="Q456" s="61">
        <f>IF($C456="B",INDEX(Batters[[#All],[Tot]],MATCH(Table5[[#This Row],[PID]],Batters[[#All],[PID]],0)),INDEX(Table3[[#All],[Tot]],MATCH(Table5[[#This Row],[PID]],Table3[[#All],[PID]],0)))</f>
        <v>33.670852595867238</v>
      </c>
      <c r="R456" s="52">
        <f>IF($C456="B",INDEX(Batters[[#All],[zScore]],MATCH(Table5[[#This Row],[PID]],Batters[[#All],[PID]],0)),INDEX(Table3[[#All],[zScore]],MATCH(Table5[[#This Row],[PID]],Table3[[#All],[PID]],0)))</f>
        <v>-0.29420823353463643</v>
      </c>
      <c r="S456" s="58" t="str">
        <f>IF($C456="B",INDEX(Batters[[#All],[DEM]],MATCH(Table5[[#This Row],[PID]],Batters[[#All],[PID]],0)),INDEX(Table3[[#All],[DEM]],MATCH(Table5[[#This Row],[PID]],Table3[[#All],[PID]],0)))</f>
        <v>$65k</v>
      </c>
      <c r="T456" s="62">
        <f>IF($C456="B",INDEX(Batters[[#All],[Rnk]],MATCH(Table5[[#This Row],[PID]],Batters[[#All],[PID]],0)),INDEX(Table3[[#All],[Rnk]],MATCH(Table5[[#This Row],[PID]],Table3[[#All],[PID]],0)))</f>
        <v>900</v>
      </c>
      <c r="U456" s="67">
        <f>IF($C456="B",VLOOKUP($A456,Bat!$A$4:$BA$1314,47,FALSE),VLOOKUP($A456,Pit!$A$4:$BF$1214,56,FALSE))</f>
        <v>162</v>
      </c>
      <c r="V456" s="50">
        <f>IF($C456="B",VLOOKUP($A456,Bat!$A$4:$BA$1314,48,FALSE),VLOOKUP($A456,Pit!$A$4:$BF$1214,57,FALSE))</f>
        <v>0</v>
      </c>
      <c r="W456" s="68">
        <f>IF(Table5[[#This Row],[posRnk]]=999,9999,Table5[[#This Row],[posRnk]]+Table5[[#This Row],[zRnk]]+IF($W$3&lt;&gt;Table5[[#This Row],[Type]],50,0))</f>
        <v>1385</v>
      </c>
      <c r="X456" s="51">
        <f>RANK(Table5[[#This Row],[zScore]],Table5[[#All],[zScore]])</f>
        <v>485</v>
      </c>
      <c r="Y456" s="50" t="str">
        <f>IFERROR(INDEX(DraftResults[[#All],[OVR]],MATCH(Table5[[#This Row],[PID]],DraftResults[[#All],[Player ID]],0)),"")</f>
        <v/>
      </c>
      <c r="Z456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/>
      </c>
      <c r="AA456" s="50" t="str">
        <f>IFERROR(INDEX(DraftResults[[#All],[Pick in Round]],MATCH(Table5[[#This Row],[PID]],DraftResults[[#All],[Player ID]],0)),"")</f>
        <v/>
      </c>
      <c r="AB456" s="50" t="str">
        <f>IFERROR(INDEX(DraftResults[[#All],[Team Name]],MATCH(Table5[[#This Row],[PID]],DraftResults[[#All],[Player ID]],0)),"")</f>
        <v/>
      </c>
      <c r="AC456" s="50" t="str">
        <f>IF(Table5[[#This Row],[Ovr]]="","",IF(Table5[[#This Row],[cmbList]]="","",Table5[[#This Row],[cmbList]]-Table5[[#This Row],[Ovr]]))</f>
        <v/>
      </c>
      <c r="AD456" s="54" t="str">
        <f>IF(ISERROR(VLOOKUP($AB456&amp;"-"&amp;$E456&amp;" "&amp;F456,Bonuses!$B$1:$G$1006,4,FALSE)),"",INT(VLOOKUP($AB456&amp;"-"&amp;$E456&amp;" "&amp;$F456,Bonuses!$B$1:$G$1006,4,FALSE)))</f>
        <v/>
      </c>
      <c r="AE456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/>
      </c>
    </row>
    <row r="457" spans="1:31" s="50" customFormat="1" x14ac:dyDescent="0.3">
      <c r="A457" s="50">
        <v>13512</v>
      </c>
      <c r="B457" s="50">
        <f>COUNTIF(Table5[PID],A457)</f>
        <v>1</v>
      </c>
      <c r="C457" s="50" t="str">
        <f>IF(COUNTIF(Table3[[#All],[PID]],A457)&gt;0,"P","B")</f>
        <v>P</v>
      </c>
      <c r="D457" s="59" t="str">
        <f>IF($C457="B",INDEX(Batters[[#All],[POS]],MATCH(Table5[[#This Row],[PID]],Batters[[#All],[PID]],0)),INDEX(Table3[[#All],[POS]],MATCH(Table5[[#This Row],[PID]],Table3[[#All],[PID]],0)))</f>
        <v>SP</v>
      </c>
      <c r="E457" s="52" t="str">
        <f>IF($C457="B",INDEX(Batters[[#All],[First]],MATCH(Table5[[#This Row],[PID]],Batters[[#All],[PID]],0)),INDEX(Table3[[#All],[First]],MATCH(Table5[[#This Row],[PID]],Table3[[#All],[PID]],0)))</f>
        <v>Junzo</v>
      </c>
      <c r="F457" s="50" t="str">
        <f>IF($C457="B",INDEX(Batters[[#All],[Last]],MATCH(A457,Batters[[#All],[PID]],0)),INDEX(Table3[[#All],[Last]],MATCH(A457,Table3[[#All],[PID]],0)))</f>
        <v>Nakamura</v>
      </c>
      <c r="G457" s="56">
        <f>IF($C457="B",INDEX(Batters[[#All],[Age]],MATCH(Table5[[#This Row],[PID]],Batters[[#All],[PID]],0)),INDEX(Table3[[#All],[Age]],MATCH(Table5[[#This Row],[PID]],Table3[[#All],[PID]],0)))</f>
        <v>18</v>
      </c>
      <c r="H457" s="52" t="str">
        <f>IF($C457="B",INDEX(Batters[[#All],[B]],MATCH(Table5[[#This Row],[PID]],Batters[[#All],[PID]],0)),INDEX(Table3[[#All],[B]],MATCH(Table5[[#This Row],[PID]],Table3[[#All],[PID]],0)))</f>
        <v>L</v>
      </c>
      <c r="I457" s="52" t="str">
        <f>IF($C457="B",INDEX(Batters[[#All],[T]],MATCH(Table5[[#This Row],[PID]],Batters[[#All],[PID]],0)),INDEX(Table3[[#All],[T]],MATCH(Table5[[#This Row],[PID]],Table3[[#All],[PID]],0)))</f>
        <v>R</v>
      </c>
      <c r="J457" s="52" t="str">
        <f>IF($C457="B",INDEX(Batters[[#All],[WE]],MATCH(Table5[[#This Row],[PID]],Batters[[#All],[PID]],0)),INDEX(Table3[[#All],[WE]],MATCH(Table5[[#This Row],[PID]],Table3[[#All],[PID]],0)))</f>
        <v>Normal</v>
      </c>
      <c r="K457" s="52" t="str">
        <f>IF($C457="B",INDEX(Batters[[#All],[INT]],MATCH(Table5[[#This Row],[PID]],Batters[[#All],[PID]],0)),INDEX(Table3[[#All],[INT]],MATCH(Table5[[#This Row],[PID]],Table3[[#All],[PID]],0)))</f>
        <v>Normal</v>
      </c>
      <c r="L457" s="60">
        <f>IF($C457="B",INDEX(Batters[[#All],[CON P]],MATCH(Table5[[#This Row],[PID]],Batters[[#All],[PID]],0)),INDEX(Table3[[#All],[STU P]],MATCH(Table5[[#This Row],[PID]],Table3[[#All],[PID]],0)))</f>
        <v>4</v>
      </c>
      <c r="M457" s="56">
        <f>IF($C457="B",INDEX(Batters[[#All],[GAP P]],MATCH(Table5[[#This Row],[PID]],Batters[[#All],[PID]],0)),INDEX(Table3[[#All],[MOV P]],MATCH(Table5[[#This Row],[PID]],Table3[[#All],[PID]],0)))</f>
        <v>2</v>
      </c>
      <c r="N457" s="56">
        <f>IF($C457="B",INDEX(Batters[[#All],[POW P]],MATCH(Table5[[#This Row],[PID]],Batters[[#All],[PID]],0)),INDEX(Table3[[#All],[CON P]],MATCH(Table5[[#This Row],[PID]],Table3[[#All],[PID]],0)))</f>
        <v>3</v>
      </c>
      <c r="O457" s="56" t="str">
        <f>IF($C457="B",INDEX(Batters[[#All],[EYE P]],MATCH(Table5[[#This Row],[PID]],Batters[[#All],[PID]],0)),INDEX(Table3[[#All],[VELO]],MATCH(Table5[[#This Row],[PID]],Table3[[#All],[PID]],0)))</f>
        <v>90-92 Mph</v>
      </c>
      <c r="P457" s="56">
        <f>IF($C457="B",INDEX(Batters[[#All],[K P]],MATCH(Table5[[#This Row],[PID]],Batters[[#All],[PID]],0)),INDEX(Table3[[#All],[STM]],MATCH(Table5[[#This Row],[PID]],Table3[[#All],[PID]],0)))</f>
        <v>5</v>
      </c>
      <c r="Q457" s="61">
        <f>IF($C457="B",INDEX(Batters[[#All],[Tot]],MATCH(Table5[[#This Row],[PID]],Batters[[#All],[PID]],0)),INDEX(Table3[[#All],[Tot]],MATCH(Table5[[#This Row],[PID]],Table3[[#All],[PID]],0)))</f>
        <v>33.670852595867238</v>
      </c>
      <c r="R457" s="52">
        <f>IF($C457="B",INDEX(Batters[[#All],[zScore]],MATCH(Table5[[#This Row],[PID]],Batters[[#All],[PID]],0)),INDEX(Table3[[#All],[zScore]],MATCH(Table5[[#This Row],[PID]],Table3[[#All],[PID]],0)))</f>
        <v>-0.29420823353463643</v>
      </c>
      <c r="S457" s="58" t="str">
        <f>IF($C457="B",INDEX(Batters[[#All],[DEM]],MATCH(Table5[[#This Row],[PID]],Batters[[#All],[PID]],0)),INDEX(Table3[[#All],[DEM]],MATCH(Table5[[#This Row],[PID]],Table3[[#All],[PID]],0)))</f>
        <v>$65k</v>
      </c>
      <c r="T457" s="62">
        <f>IF($C457="B",INDEX(Batters[[#All],[Rnk]],MATCH(Table5[[#This Row],[PID]],Batters[[#All],[PID]],0)),INDEX(Table3[[#All],[Rnk]],MATCH(Table5[[#This Row],[PID]],Table3[[#All],[PID]],0)))</f>
        <v>900</v>
      </c>
      <c r="U457" s="67">
        <f>IF($C457="B",VLOOKUP($A457,Bat!$A$4:$BA$1314,47,FALSE),VLOOKUP($A457,Pit!$A$4:$BF$1214,56,FALSE))</f>
        <v>163</v>
      </c>
      <c r="V457" s="50">
        <f>IF($C457="B",VLOOKUP($A457,Bat!$A$4:$BA$1314,48,FALSE),VLOOKUP($A457,Pit!$A$4:$BF$1214,57,FALSE))</f>
        <v>0</v>
      </c>
      <c r="W457" s="68">
        <f>IF(Table5[[#This Row],[posRnk]]=999,9999,Table5[[#This Row],[posRnk]]+Table5[[#This Row],[zRnk]]+IF($W$3&lt;&gt;Table5[[#This Row],[Type]],50,0))</f>
        <v>1385</v>
      </c>
      <c r="X457" s="51">
        <f>RANK(Table5[[#This Row],[zScore]],Table5[[#All],[zScore]])</f>
        <v>485</v>
      </c>
      <c r="Y457" s="50">
        <f>IFERROR(INDEX(DraftResults[[#All],[OVR]],MATCH(Table5[[#This Row],[PID]],DraftResults[[#All],[Player ID]],0)),"")</f>
        <v>667</v>
      </c>
      <c r="Z457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20</v>
      </c>
      <c r="AA457" s="50">
        <f>IFERROR(INDEX(DraftResults[[#All],[Pick in Round]],MATCH(Table5[[#This Row],[PID]],DraftResults[[#All],[Player ID]],0)),"")</f>
        <v>30</v>
      </c>
      <c r="AB457" s="50" t="str">
        <f>IFERROR(INDEX(DraftResults[[#All],[Team Name]],MATCH(Table5[[#This Row],[PID]],DraftResults[[#All],[Player ID]],0)),"")</f>
        <v>Toyama Wind Dancers</v>
      </c>
      <c r="AC457" s="50">
        <f>IF(Table5[[#This Row],[Ovr]]="","",IF(Table5[[#This Row],[cmbList]]="","",Table5[[#This Row],[cmbList]]-Table5[[#This Row],[Ovr]]))</f>
        <v>718</v>
      </c>
      <c r="AD457" s="54" t="str">
        <f>IF(ISERROR(VLOOKUP($AB457&amp;"-"&amp;$E457&amp;" "&amp;F457,Bonuses!$B$1:$G$1006,4,FALSE)),"",INT(VLOOKUP($AB457&amp;"-"&amp;$E457&amp;" "&amp;$F457,Bonuses!$B$1:$G$1006,4,FALSE)))</f>
        <v/>
      </c>
      <c r="AE457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20.30 (667) - SP Junzo Nakamura</v>
      </c>
    </row>
    <row r="458" spans="1:31" s="50" customFormat="1" x14ac:dyDescent="0.3">
      <c r="A458" s="50">
        <v>20852</v>
      </c>
      <c r="B458" s="50">
        <f>COUNTIF(Table5[PID],A458)</f>
        <v>1</v>
      </c>
      <c r="C458" s="50" t="str">
        <f>IF(COUNTIF(Table3[[#All],[PID]],A458)&gt;0,"P","B")</f>
        <v>P</v>
      </c>
      <c r="D458" s="59" t="str">
        <f>IF($C458="B",INDEX(Batters[[#All],[POS]],MATCH(Table5[[#This Row],[PID]],Batters[[#All],[PID]],0)),INDEX(Table3[[#All],[POS]],MATCH(Table5[[#This Row],[PID]],Table3[[#All],[PID]],0)))</f>
        <v>RP</v>
      </c>
      <c r="E458" s="52" t="str">
        <f>IF($C458="B",INDEX(Batters[[#All],[First]],MATCH(Table5[[#This Row],[PID]],Batters[[#All],[PID]],0)),INDEX(Table3[[#All],[First]],MATCH(Table5[[#This Row],[PID]],Table3[[#All],[PID]],0)))</f>
        <v>Scott</v>
      </c>
      <c r="F458" s="50" t="str">
        <f>IF($C458="B",INDEX(Batters[[#All],[Last]],MATCH(A458,Batters[[#All],[PID]],0)),INDEX(Table3[[#All],[Last]],MATCH(A458,Table3[[#All],[PID]],0)))</f>
        <v>Williams</v>
      </c>
      <c r="G458" s="56">
        <f>IF($C458="B",INDEX(Batters[[#All],[Age]],MATCH(Table5[[#This Row],[PID]],Batters[[#All],[PID]],0)),INDEX(Table3[[#All],[Age]],MATCH(Table5[[#This Row],[PID]],Table3[[#All],[PID]],0)))</f>
        <v>17</v>
      </c>
      <c r="H458" s="52" t="str">
        <f>IF($C458="B",INDEX(Batters[[#All],[B]],MATCH(Table5[[#This Row],[PID]],Batters[[#All],[PID]],0)),INDEX(Table3[[#All],[B]],MATCH(Table5[[#This Row],[PID]],Table3[[#All],[PID]],0)))</f>
        <v>R</v>
      </c>
      <c r="I458" s="52" t="str">
        <f>IF($C458="B",INDEX(Batters[[#All],[T]],MATCH(Table5[[#This Row],[PID]],Batters[[#All],[PID]],0)),INDEX(Table3[[#All],[T]],MATCH(Table5[[#This Row],[PID]],Table3[[#All],[PID]],0)))</f>
        <v>R</v>
      </c>
      <c r="J458" s="52" t="str">
        <f>IF($C458="B",INDEX(Batters[[#All],[WE]],MATCH(Table5[[#This Row],[PID]],Batters[[#All],[PID]],0)),INDEX(Table3[[#All],[WE]],MATCH(Table5[[#This Row],[PID]],Table3[[#All],[PID]],0)))</f>
        <v>Low</v>
      </c>
      <c r="K458" s="52" t="str">
        <f>IF($C458="B",INDEX(Batters[[#All],[INT]],MATCH(Table5[[#This Row],[PID]],Batters[[#All],[PID]],0)),INDEX(Table3[[#All],[INT]],MATCH(Table5[[#This Row],[PID]],Table3[[#All],[PID]],0)))</f>
        <v>Normal</v>
      </c>
      <c r="L458" s="60">
        <f>IF($C458="B",INDEX(Batters[[#All],[CON P]],MATCH(Table5[[#This Row],[PID]],Batters[[#All],[PID]],0)),INDEX(Table3[[#All],[STU P]],MATCH(Table5[[#This Row],[PID]],Table3[[#All],[PID]],0)))</f>
        <v>4</v>
      </c>
      <c r="M458" s="56">
        <f>IF($C458="B",INDEX(Batters[[#All],[GAP P]],MATCH(Table5[[#This Row],[PID]],Batters[[#All],[PID]],0)),INDEX(Table3[[#All],[MOV P]],MATCH(Table5[[#This Row],[PID]],Table3[[#All],[PID]],0)))</f>
        <v>1</v>
      </c>
      <c r="N458" s="56">
        <f>IF($C458="B",INDEX(Batters[[#All],[POW P]],MATCH(Table5[[#This Row],[PID]],Batters[[#All],[PID]],0)),INDEX(Table3[[#All],[CON P]],MATCH(Table5[[#This Row],[PID]],Table3[[#All],[PID]],0)))</f>
        <v>4</v>
      </c>
      <c r="O458" s="56" t="str">
        <f>IF($C458="B",INDEX(Batters[[#All],[EYE P]],MATCH(Table5[[#This Row],[PID]],Batters[[#All],[PID]],0)),INDEX(Table3[[#All],[VELO]],MATCH(Table5[[#This Row],[PID]],Table3[[#All],[PID]],0)))</f>
        <v>85-87 Mph</v>
      </c>
      <c r="P458" s="56">
        <f>IF($C458="B",INDEX(Batters[[#All],[K P]],MATCH(Table5[[#This Row],[PID]],Batters[[#All],[PID]],0)),INDEX(Table3[[#All],[STM]],MATCH(Table5[[#This Row],[PID]],Table3[[#All],[PID]],0)))</f>
        <v>10</v>
      </c>
      <c r="Q458" s="61">
        <f>IF($C458="B",INDEX(Batters[[#All],[Tot]],MATCH(Table5[[#This Row],[PID]],Batters[[#All],[PID]],0)),INDEX(Table3[[#All],[Tot]],MATCH(Table5[[#This Row],[PID]],Table3[[#All],[PID]],0)))</f>
        <v>34.657595499513334</v>
      </c>
      <c r="R458" s="52">
        <f>IF($C458="B",INDEX(Batters[[#All],[zScore]],MATCH(Table5[[#This Row],[PID]],Batters[[#All],[PID]],0)),INDEX(Table3[[#All],[zScore]],MATCH(Table5[[#This Row],[PID]],Table3[[#All],[PID]],0)))</f>
        <v>-0.22394519915753355</v>
      </c>
      <c r="S458" s="58" t="str">
        <f>IF($C458="B",INDEX(Batters[[#All],[DEM]],MATCH(Table5[[#This Row],[PID]],Batters[[#All],[PID]],0)),INDEX(Table3[[#All],[DEM]],MATCH(Table5[[#This Row],[PID]],Table3[[#All],[PID]],0)))</f>
        <v>-</v>
      </c>
      <c r="T458" s="62">
        <f>IF($C458="B",INDEX(Batters[[#All],[Rnk]],MATCH(Table5[[#This Row],[PID]],Batters[[#All],[PID]],0)),INDEX(Table3[[#All],[Rnk]],MATCH(Table5[[#This Row],[PID]],Table3[[#All],[PID]],0)))</f>
        <v>930</v>
      </c>
      <c r="U458" s="67">
        <f>IF($C458="B",VLOOKUP($A458,Bat!$A$4:$BA$1314,47,FALSE),VLOOKUP($A458,Pit!$A$4:$BF$1214,56,FALSE))</f>
        <v>295</v>
      </c>
      <c r="V458" s="50">
        <f>IF($C458="B",VLOOKUP($A458,Bat!$A$4:$BA$1314,48,FALSE),VLOOKUP($A458,Pit!$A$4:$BF$1214,57,FALSE))</f>
        <v>0</v>
      </c>
      <c r="W458" s="68">
        <f>IF(Table5[[#This Row],[posRnk]]=999,9999,Table5[[#This Row],[posRnk]]+Table5[[#This Row],[zRnk]]+IF($W$3&lt;&gt;Table5[[#This Row],[Type]],50,0))</f>
        <v>1385</v>
      </c>
      <c r="X458" s="51">
        <f>RANK(Table5[[#This Row],[zScore]],Table5[[#All],[zScore]])</f>
        <v>455</v>
      </c>
      <c r="Y458" s="50">
        <f>IFERROR(INDEX(DraftResults[[#All],[OVR]],MATCH(Table5[[#This Row],[PID]],DraftResults[[#All],[Player ID]],0)),"")</f>
        <v>447</v>
      </c>
      <c r="Z458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14</v>
      </c>
      <c r="AA458" s="50">
        <f>IFERROR(INDEX(DraftResults[[#All],[Pick in Round]],MATCH(Table5[[#This Row],[PID]],DraftResults[[#All],[Player ID]],0)),"")</f>
        <v>14</v>
      </c>
      <c r="AB458" s="50" t="str">
        <f>IFERROR(INDEX(DraftResults[[#All],[Team Name]],MATCH(Table5[[#This Row],[PID]],DraftResults[[#All],[Player ID]],0)),"")</f>
        <v>San Antonio Calzones of Laredo</v>
      </c>
      <c r="AC458" s="50">
        <f>IF(Table5[[#This Row],[Ovr]]="","",IF(Table5[[#This Row],[cmbList]]="","",Table5[[#This Row],[cmbList]]-Table5[[#This Row],[Ovr]]))</f>
        <v>938</v>
      </c>
      <c r="AD458" s="54" t="str">
        <f>IF(ISERROR(VLOOKUP($AB458&amp;"-"&amp;$E458&amp;" "&amp;F458,Bonuses!$B$1:$G$1006,4,FALSE)),"",INT(VLOOKUP($AB458&amp;"-"&amp;$E458&amp;" "&amp;$F458,Bonuses!$B$1:$G$1006,4,FALSE)))</f>
        <v/>
      </c>
      <c r="AE458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14.14 (447) - RP Scott Williams</v>
      </c>
    </row>
    <row r="459" spans="1:31" s="50" customFormat="1" x14ac:dyDescent="0.3">
      <c r="A459" s="50">
        <v>11958</v>
      </c>
      <c r="B459" s="50">
        <f>COUNTIF(Table5[PID],A459)</f>
        <v>1</v>
      </c>
      <c r="C459" s="50" t="str">
        <f>IF(COUNTIF(Table3[[#All],[PID]],A459)&gt;0,"P","B")</f>
        <v>P</v>
      </c>
      <c r="D459" s="59" t="str">
        <f>IF($C459="B",INDEX(Batters[[#All],[POS]],MATCH(Table5[[#This Row],[PID]],Batters[[#All],[PID]],0)),INDEX(Table3[[#All],[POS]],MATCH(Table5[[#This Row],[PID]],Table3[[#All],[PID]],0)))</f>
        <v>SP</v>
      </c>
      <c r="E459" s="52" t="str">
        <f>IF($C459="B",INDEX(Batters[[#All],[First]],MATCH(Table5[[#This Row],[PID]],Batters[[#All],[PID]],0)),INDEX(Table3[[#All],[First]],MATCH(Table5[[#This Row],[PID]],Table3[[#All],[PID]],0)))</f>
        <v>Pablo</v>
      </c>
      <c r="F459" s="50" t="str">
        <f>IF($C459="B",INDEX(Batters[[#All],[Last]],MATCH(A459,Batters[[#All],[PID]],0)),INDEX(Table3[[#All],[Last]],MATCH(A459,Table3[[#All],[PID]],0)))</f>
        <v>Cordón</v>
      </c>
      <c r="G459" s="56">
        <f>IF($C459="B",INDEX(Batters[[#All],[Age]],MATCH(Table5[[#This Row],[PID]],Batters[[#All],[PID]],0)),INDEX(Table3[[#All],[Age]],MATCH(Table5[[#This Row],[PID]],Table3[[#All],[PID]],0)))</f>
        <v>17</v>
      </c>
      <c r="H459" s="52" t="str">
        <f>IF($C459="B",INDEX(Batters[[#All],[B]],MATCH(Table5[[#This Row],[PID]],Batters[[#All],[PID]],0)),INDEX(Table3[[#All],[B]],MATCH(Table5[[#This Row],[PID]],Table3[[#All],[PID]],0)))</f>
        <v>L</v>
      </c>
      <c r="I459" s="52" t="str">
        <f>IF($C459="B",INDEX(Batters[[#All],[T]],MATCH(Table5[[#This Row],[PID]],Batters[[#All],[PID]],0)),INDEX(Table3[[#All],[T]],MATCH(Table5[[#This Row],[PID]],Table3[[#All],[PID]],0)))</f>
        <v>L</v>
      </c>
      <c r="J459" s="52" t="str">
        <f>IF($C459="B",INDEX(Batters[[#All],[WE]],MATCH(Table5[[#This Row],[PID]],Batters[[#All],[PID]],0)),INDEX(Table3[[#All],[WE]],MATCH(Table5[[#This Row],[PID]],Table3[[#All],[PID]],0)))</f>
        <v>Low</v>
      </c>
      <c r="K459" s="52" t="str">
        <f>IF($C459="B",INDEX(Batters[[#All],[INT]],MATCH(Table5[[#This Row],[PID]],Batters[[#All],[PID]],0)),INDEX(Table3[[#All],[INT]],MATCH(Table5[[#This Row],[PID]],Table3[[#All],[PID]],0)))</f>
        <v>Normal</v>
      </c>
      <c r="L459" s="60">
        <f>IF($C459="B",INDEX(Batters[[#All],[CON P]],MATCH(Table5[[#This Row],[PID]],Batters[[#All],[PID]],0)),INDEX(Table3[[#All],[STU P]],MATCH(Table5[[#This Row],[PID]],Table3[[#All],[PID]],0)))</f>
        <v>4</v>
      </c>
      <c r="M459" s="56">
        <f>IF($C459="B",INDEX(Batters[[#All],[GAP P]],MATCH(Table5[[#This Row],[PID]],Batters[[#All],[PID]],0)),INDEX(Table3[[#All],[MOV P]],MATCH(Table5[[#This Row],[PID]],Table3[[#All],[PID]],0)))</f>
        <v>2</v>
      </c>
      <c r="N459" s="56">
        <f>IF($C459="B",INDEX(Batters[[#All],[POW P]],MATCH(Table5[[#This Row],[PID]],Batters[[#All],[PID]],0)),INDEX(Table3[[#All],[CON P]],MATCH(Table5[[#This Row],[PID]],Table3[[#All],[PID]],0)))</f>
        <v>3</v>
      </c>
      <c r="O459" s="56" t="str">
        <f>IF($C459="B",INDEX(Batters[[#All],[EYE P]],MATCH(Table5[[#This Row],[PID]],Batters[[#All],[PID]],0)),INDEX(Table3[[#All],[VELO]],MATCH(Table5[[#This Row],[PID]],Table3[[#All],[PID]],0)))</f>
        <v>90-92 Mph</v>
      </c>
      <c r="P459" s="56">
        <f>IF($C459="B",INDEX(Batters[[#All],[K P]],MATCH(Table5[[#This Row],[PID]],Batters[[#All],[PID]],0)),INDEX(Table3[[#All],[STM]],MATCH(Table5[[#This Row],[PID]],Table3[[#All],[PID]],0)))</f>
        <v>10</v>
      </c>
      <c r="Q459" s="61">
        <f>IF($C459="B",INDEX(Batters[[#All],[Tot]],MATCH(Table5[[#This Row],[PID]],Batters[[#All],[PID]],0)),INDEX(Table3[[#All],[Tot]],MATCH(Table5[[#This Row],[PID]],Table3[[#All],[PID]],0)))</f>
        <v>34.650874457299729</v>
      </c>
      <c r="R459" s="52">
        <f>IF($C459="B",INDEX(Batters[[#All],[zScore]],MATCH(Table5[[#This Row],[PID]],Batters[[#All],[PID]],0)),INDEX(Table3[[#All],[zScore]],MATCH(Table5[[#This Row],[PID]],Table3[[#All],[PID]],0)))</f>
        <v>-0.22442378463137844</v>
      </c>
      <c r="S459" s="58" t="str">
        <f>IF($C459="B",INDEX(Batters[[#All],[DEM]],MATCH(Table5[[#This Row],[PID]],Batters[[#All],[PID]],0)),INDEX(Table3[[#All],[DEM]],MATCH(Table5[[#This Row],[PID]],Table3[[#All],[PID]],0)))</f>
        <v>$70k</v>
      </c>
      <c r="T459" s="62">
        <f>IF($C459="B",INDEX(Batters[[#All],[Rnk]],MATCH(Table5[[#This Row],[PID]],Batters[[#All],[PID]],0)),INDEX(Table3[[#All],[Rnk]],MATCH(Table5[[#This Row],[PID]],Table3[[#All],[PID]],0)))</f>
        <v>930</v>
      </c>
      <c r="U459" s="67">
        <f>IF($C459="B",VLOOKUP($A459,Bat!$A$4:$BA$1314,47,FALSE),VLOOKUP($A459,Pit!$A$4:$BF$1214,56,FALSE))</f>
        <v>296</v>
      </c>
      <c r="V459" s="50">
        <f>IF($C459="B",VLOOKUP($A459,Bat!$A$4:$BA$1314,48,FALSE),VLOOKUP($A459,Pit!$A$4:$BF$1214,57,FALSE))</f>
        <v>0</v>
      </c>
      <c r="W459" s="68">
        <f>IF(Table5[[#This Row],[posRnk]]=999,9999,Table5[[#This Row],[posRnk]]+Table5[[#This Row],[zRnk]]+IF($W$3&lt;&gt;Table5[[#This Row],[Type]],50,0))</f>
        <v>1386</v>
      </c>
      <c r="X459" s="51">
        <f>RANK(Table5[[#This Row],[zScore]],Table5[[#All],[zScore]])</f>
        <v>456</v>
      </c>
      <c r="Y459" s="50">
        <f>IFERROR(INDEX(DraftResults[[#All],[OVR]],MATCH(Table5[[#This Row],[PID]],DraftResults[[#All],[Player ID]],0)),"")</f>
        <v>434</v>
      </c>
      <c r="Z459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14</v>
      </c>
      <c r="AA459" s="50">
        <f>IFERROR(INDEX(DraftResults[[#All],[Pick in Round]],MATCH(Table5[[#This Row],[PID]],DraftResults[[#All],[Player ID]],0)),"")</f>
        <v>1</v>
      </c>
      <c r="AB459" s="50" t="str">
        <f>IFERROR(INDEX(DraftResults[[#All],[Team Name]],MATCH(Table5[[#This Row],[PID]],DraftResults[[#All],[Player ID]],0)),"")</f>
        <v>Yuma Arroyos</v>
      </c>
      <c r="AC459" s="50">
        <f>IF(Table5[[#This Row],[Ovr]]="","",IF(Table5[[#This Row],[cmbList]]="","",Table5[[#This Row],[cmbList]]-Table5[[#This Row],[Ovr]]))</f>
        <v>952</v>
      </c>
      <c r="AD459" s="54" t="str">
        <f>IF(ISERROR(VLOOKUP($AB459&amp;"-"&amp;$E459&amp;" "&amp;F459,Bonuses!$B$1:$G$1006,4,FALSE)),"",INT(VLOOKUP($AB459&amp;"-"&amp;$E459&amp;" "&amp;$F459,Bonuses!$B$1:$G$1006,4,FALSE)))</f>
        <v/>
      </c>
      <c r="AE459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14.1 (434) - SP Pablo Cordón</v>
      </c>
    </row>
    <row r="460" spans="1:31" s="50" customFormat="1" x14ac:dyDescent="0.3">
      <c r="A460" s="50">
        <v>12666</v>
      </c>
      <c r="B460" s="50">
        <f>COUNTIF(Table5[PID],A460)</f>
        <v>1</v>
      </c>
      <c r="C460" s="50" t="str">
        <f>IF(COUNTIF(Table3[[#All],[PID]],A460)&gt;0,"P","B")</f>
        <v>P</v>
      </c>
      <c r="D460" s="59" t="str">
        <f>IF($C460="B",INDEX(Batters[[#All],[POS]],MATCH(Table5[[#This Row],[PID]],Batters[[#All],[PID]],0)),INDEX(Table3[[#All],[POS]],MATCH(Table5[[#This Row],[PID]],Table3[[#All],[PID]],0)))</f>
        <v>RP</v>
      </c>
      <c r="E460" s="52" t="str">
        <f>IF($C460="B",INDEX(Batters[[#All],[First]],MATCH(Table5[[#This Row],[PID]],Batters[[#All],[PID]],0)),INDEX(Table3[[#All],[First]],MATCH(Table5[[#This Row],[PID]],Table3[[#All],[PID]],0)))</f>
        <v>River</v>
      </c>
      <c r="F460" s="50" t="str">
        <f>IF($C460="B",INDEX(Batters[[#All],[Last]],MATCH(A460,Batters[[#All],[PID]],0)),INDEX(Table3[[#All],[Last]],MATCH(A460,Table3[[#All],[PID]],0)))</f>
        <v>Donaldson</v>
      </c>
      <c r="G460" s="56">
        <f>IF($C460="B",INDEX(Batters[[#All],[Age]],MATCH(Table5[[#This Row],[PID]],Batters[[#All],[PID]],0)),INDEX(Table3[[#All],[Age]],MATCH(Table5[[#This Row],[PID]],Table3[[#All],[PID]],0)))</f>
        <v>17</v>
      </c>
      <c r="H460" s="52" t="str">
        <f>IF($C460="B",INDEX(Batters[[#All],[B]],MATCH(Table5[[#This Row],[PID]],Batters[[#All],[PID]],0)),INDEX(Table3[[#All],[B]],MATCH(Table5[[#This Row],[PID]],Table3[[#All],[PID]],0)))</f>
        <v>R</v>
      </c>
      <c r="I460" s="52" t="str">
        <f>IF($C460="B",INDEX(Batters[[#All],[T]],MATCH(Table5[[#This Row],[PID]],Batters[[#All],[PID]],0)),INDEX(Table3[[#All],[T]],MATCH(Table5[[#This Row],[PID]],Table3[[#All],[PID]],0)))</f>
        <v>L</v>
      </c>
      <c r="J460" s="52" t="str">
        <f>IF($C460="B",INDEX(Batters[[#All],[WE]],MATCH(Table5[[#This Row],[PID]],Batters[[#All],[PID]],0)),INDEX(Table3[[#All],[WE]],MATCH(Table5[[#This Row],[PID]],Table3[[#All],[PID]],0)))</f>
        <v>Low</v>
      </c>
      <c r="K460" s="52" t="str">
        <f>IF($C460="B",INDEX(Batters[[#All],[INT]],MATCH(Table5[[#This Row],[PID]],Batters[[#All],[PID]],0)),INDEX(Table3[[#All],[INT]],MATCH(Table5[[#This Row],[PID]],Table3[[#All],[PID]],0)))</f>
        <v>Normal</v>
      </c>
      <c r="L460" s="60">
        <f>IF($C460="B",INDEX(Batters[[#All],[CON P]],MATCH(Table5[[#This Row],[PID]],Batters[[#All],[PID]],0)),INDEX(Table3[[#All],[STU P]],MATCH(Table5[[#This Row],[PID]],Table3[[#All],[PID]],0)))</f>
        <v>4</v>
      </c>
      <c r="M460" s="56">
        <f>IF($C460="B",INDEX(Batters[[#All],[GAP P]],MATCH(Table5[[#This Row],[PID]],Batters[[#All],[PID]],0)),INDEX(Table3[[#All],[MOV P]],MATCH(Table5[[#This Row],[PID]],Table3[[#All],[PID]],0)))</f>
        <v>2</v>
      </c>
      <c r="N460" s="56">
        <f>IF($C460="B",INDEX(Batters[[#All],[POW P]],MATCH(Table5[[#This Row],[PID]],Batters[[#All],[PID]],0)),INDEX(Table3[[#All],[CON P]],MATCH(Table5[[#This Row],[PID]],Table3[[#All],[PID]],0)))</f>
        <v>3</v>
      </c>
      <c r="O460" s="56" t="str">
        <f>IF($C460="B",INDEX(Batters[[#All],[EYE P]],MATCH(Table5[[#This Row],[PID]],Batters[[#All],[PID]],0)),INDEX(Table3[[#All],[VELO]],MATCH(Table5[[#This Row],[PID]],Table3[[#All],[PID]],0)))</f>
        <v>90-92 Mph</v>
      </c>
      <c r="P460" s="56">
        <f>IF($C460="B",INDEX(Batters[[#All],[K P]],MATCH(Table5[[#This Row],[PID]],Batters[[#All],[PID]],0)),INDEX(Table3[[#All],[STM]],MATCH(Table5[[#This Row],[PID]],Table3[[#All],[PID]],0)))</f>
        <v>8</v>
      </c>
      <c r="Q460" s="61">
        <f>IF($C460="B",INDEX(Batters[[#All],[Tot]],MATCH(Table5[[#This Row],[PID]],Batters[[#All],[PID]],0)),INDEX(Table3[[#All],[Tot]],MATCH(Table5[[#This Row],[PID]],Table3[[#All],[PID]],0)))</f>
        <v>34.650874457299729</v>
      </c>
      <c r="R460" s="52">
        <f>IF($C460="B",INDEX(Batters[[#All],[zScore]],MATCH(Table5[[#This Row],[PID]],Batters[[#All],[PID]],0)),INDEX(Table3[[#All],[zScore]],MATCH(Table5[[#This Row],[PID]],Table3[[#All],[PID]],0)))</f>
        <v>-0.22442378463137844</v>
      </c>
      <c r="S460" s="58" t="str">
        <f>IF($C460="B",INDEX(Batters[[#All],[DEM]],MATCH(Table5[[#This Row],[PID]],Batters[[#All],[PID]],0)),INDEX(Table3[[#All],[DEM]],MATCH(Table5[[#This Row],[PID]],Table3[[#All],[PID]],0)))</f>
        <v>$75k</v>
      </c>
      <c r="T460" s="62">
        <f>IF($C460="B",INDEX(Batters[[#All],[Rnk]],MATCH(Table5[[#This Row],[PID]],Batters[[#All],[PID]],0)),INDEX(Table3[[#All],[Rnk]],MATCH(Table5[[#This Row],[PID]],Table3[[#All],[PID]],0)))</f>
        <v>930</v>
      </c>
      <c r="U460" s="67">
        <f>IF($C460="B",VLOOKUP($A460,Bat!$A$4:$BA$1314,47,FALSE),VLOOKUP($A460,Pit!$A$4:$BF$1214,56,FALSE))</f>
        <v>297</v>
      </c>
      <c r="V460" s="50">
        <f>IF($C460="B",VLOOKUP($A460,Bat!$A$4:$BA$1314,48,FALSE),VLOOKUP($A460,Pit!$A$4:$BF$1214,57,FALSE))</f>
        <v>0</v>
      </c>
      <c r="W460" s="68">
        <f>IF(Table5[[#This Row],[posRnk]]=999,9999,Table5[[#This Row],[posRnk]]+Table5[[#This Row],[zRnk]]+IF($W$3&lt;&gt;Table5[[#This Row],[Type]],50,0))</f>
        <v>1386</v>
      </c>
      <c r="X460" s="51">
        <f>RANK(Table5[[#This Row],[zScore]],Table5[[#All],[zScore]])</f>
        <v>456</v>
      </c>
      <c r="Y460" s="50">
        <f>IFERROR(INDEX(DraftResults[[#All],[OVR]],MATCH(Table5[[#This Row],[PID]],DraftResults[[#All],[Player ID]],0)),"")</f>
        <v>382</v>
      </c>
      <c r="Z460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12</v>
      </c>
      <c r="AA460" s="50">
        <f>IFERROR(INDEX(DraftResults[[#All],[Pick in Round]],MATCH(Table5[[#This Row],[PID]],DraftResults[[#All],[Player ID]],0)),"")</f>
        <v>17</v>
      </c>
      <c r="AB460" s="50" t="str">
        <f>IFERROR(INDEX(DraftResults[[#All],[Team Name]],MATCH(Table5[[#This Row],[PID]],DraftResults[[#All],[Player ID]],0)),"")</f>
        <v>Duluth Warriors</v>
      </c>
      <c r="AC460" s="50">
        <f>IF(Table5[[#This Row],[Ovr]]="","",IF(Table5[[#This Row],[cmbList]]="","",Table5[[#This Row],[cmbList]]-Table5[[#This Row],[Ovr]]))</f>
        <v>1004</v>
      </c>
      <c r="AD460" s="54" t="str">
        <f>IF(ISERROR(VLOOKUP($AB460&amp;"-"&amp;$E460&amp;" "&amp;F460,Bonuses!$B$1:$G$1006,4,FALSE)),"",INT(VLOOKUP($AB460&amp;"-"&amp;$E460&amp;" "&amp;$F460,Bonuses!$B$1:$G$1006,4,FALSE)))</f>
        <v/>
      </c>
      <c r="AE460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12.17 (382) - RP River Donaldson</v>
      </c>
    </row>
    <row r="461" spans="1:31" s="50" customFormat="1" x14ac:dyDescent="0.3">
      <c r="A461" s="50">
        <v>12065</v>
      </c>
      <c r="B461" s="50">
        <f>COUNTIF(Table5[PID],A461)</f>
        <v>1</v>
      </c>
      <c r="C461" s="50" t="str">
        <f>IF(COUNTIF(Table3[[#All],[PID]],A461)&gt;0,"P","B")</f>
        <v>B</v>
      </c>
      <c r="D461" s="59" t="str">
        <f>IF($C461="B",INDEX(Batters[[#All],[POS]],MATCH(Table5[[#This Row],[PID]],Batters[[#All],[PID]],0)),INDEX(Table3[[#All],[POS]],MATCH(Table5[[#This Row],[PID]],Table3[[#All],[PID]],0)))</f>
        <v>C</v>
      </c>
      <c r="E461" s="52" t="str">
        <f>IF($C461="B",INDEX(Batters[[#All],[First]],MATCH(Table5[[#This Row],[PID]],Batters[[#All],[PID]],0)),INDEX(Table3[[#All],[First]],MATCH(Table5[[#This Row],[PID]],Table3[[#All],[PID]],0)))</f>
        <v>Lionel</v>
      </c>
      <c r="F461" s="50" t="str">
        <f>IF($C461="B",INDEX(Batters[[#All],[Last]],MATCH(A461,Batters[[#All],[PID]],0)),INDEX(Table3[[#All],[Last]],MATCH(A461,Table3[[#All],[PID]],0)))</f>
        <v>Ferrari</v>
      </c>
      <c r="G461" s="56">
        <f>IF($C461="B",INDEX(Batters[[#All],[Age]],MATCH(Table5[[#This Row],[PID]],Batters[[#All],[PID]],0)),INDEX(Table3[[#All],[Age]],MATCH(Table5[[#This Row],[PID]],Table3[[#All],[PID]],0)))</f>
        <v>17</v>
      </c>
      <c r="H461" s="52" t="str">
        <f>IF($C461="B",INDEX(Batters[[#All],[B]],MATCH(Table5[[#This Row],[PID]],Batters[[#All],[PID]],0)),INDEX(Table3[[#All],[B]],MATCH(Table5[[#This Row],[PID]],Table3[[#All],[PID]],0)))</f>
        <v>R</v>
      </c>
      <c r="I461" s="52" t="str">
        <f>IF($C461="B",INDEX(Batters[[#All],[T]],MATCH(Table5[[#This Row],[PID]],Batters[[#All],[PID]],0)),INDEX(Table3[[#All],[T]],MATCH(Table5[[#This Row],[PID]],Table3[[#All],[PID]],0)))</f>
        <v>R</v>
      </c>
      <c r="J461" s="52" t="str">
        <f>IF($C461="B",INDEX(Batters[[#All],[WE]],MATCH(Table5[[#This Row],[PID]],Batters[[#All],[PID]],0)),INDEX(Table3[[#All],[WE]],MATCH(Table5[[#This Row],[PID]],Table3[[#All],[PID]],0)))</f>
        <v>Low</v>
      </c>
      <c r="K461" s="52" t="str">
        <f>IF($C461="B",INDEX(Batters[[#All],[INT]],MATCH(Table5[[#This Row],[PID]],Batters[[#All],[PID]],0)),INDEX(Table3[[#All],[INT]],MATCH(Table5[[#This Row],[PID]],Table3[[#All],[PID]],0)))</f>
        <v>Low</v>
      </c>
      <c r="L461" s="60">
        <f>IF($C461="B",INDEX(Batters[[#All],[CON P]],MATCH(Table5[[#This Row],[PID]],Batters[[#All],[PID]],0)),INDEX(Table3[[#All],[STU P]],MATCH(Table5[[#This Row],[PID]],Table3[[#All],[PID]],0)))</f>
        <v>3</v>
      </c>
      <c r="M461" s="56">
        <f>IF($C461="B",INDEX(Batters[[#All],[GAP P]],MATCH(Table5[[#This Row],[PID]],Batters[[#All],[PID]],0)),INDEX(Table3[[#All],[MOV P]],MATCH(Table5[[#This Row],[PID]],Table3[[#All],[PID]],0)))</f>
        <v>4</v>
      </c>
      <c r="N461" s="56">
        <f>IF($C461="B",INDEX(Batters[[#All],[POW P]],MATCH(Table5[[#This Row],[PID]],Batters[[#All],[PID]],0)),INDEX(Table3[[#All],[CON P]],MATCH(Table5[[#This Row],[PID]],Table3[[#All],[PID]],0)))</f>
        <v>3</v>
      </c>
      <c r="O461" s="56">
        <f>IF($C461="B",INDEX(Batters[[#All],[EYE P]],MATCH(Table5[[#This Row],[PID]],Batters[[#All],[PID]],0)),INDEX(Table3[[#All],[VELO]],MATCH(Table5[[#This Row],[PID]],Table3[[#All],[PID]],0)))</f>
        <v>6</v>
      </c>
      <c r="P461" s="56">
        <f>IF($C461="B",INDEX(Batters[[#All],[K P]],MATCH(Table5[[#This Row],[PID]],Batters[[#All],[PID]],0)),INDEX(Table3[[#All],[STM]],MATCH(Table5[[#This Row],[PID]],Table3[[#All],[PID]],0)))</f>
        <v>3</v>
      </c>
      <c r="Q461" s="61">
        <f>IF($C461="B",INDEX(Batters[[#All],[Tot]],MATCH(Table5[[#This Row],[PID]],Batters[[#All],[PID]],0)),INDEX(Table3[[#All],[Tot]],MATCH(Table5[[#This Row],[PID]],Table3[[#All],[PID]],0)))</f>
        <v>41.98184225031045</v>
      </c>
      <c r="R461" s="52">
        <f>IF($C461="B",INDEX(Batters[[#All],[zScore]],MATCH(Table5[[#This Row],[PID]],Batters[[#All],[PID]],0)),INDEX(Table3[[#All],[zScore]],MATCH(Table5[[#This Row],[PID]],Table3[[#All],[PID]],0)))</f>
        <v>-0.18051121583747776</v>
      </c>
      <c r="S461" s="58" t="str">
        <f>IF($C461="B",INDEX(Batters[[#All],[DEM]],MATCH(Table5[[#This Row],[PID]],Batters[[#All],[PID]],0)),INDEX(Table3[[#All],[DEM]],MATCH(Table5[[#This Row],[PID]],Table3[[#All],[PID]],0)))</f>
        <v>$80k</v>
      </c>
      <c r="T461" s="62">
        <f>IF($C461="B",INDEX(Batters[[#All],[Rnk]],MATCH(Table5[[#This Row],[PID]],Batters[[#All],[PID]],0)),INDEX(Table3[[#All],[Rnk]],MATCH(Table5[[#This Row],[PID]],Table3[[#All],[PID]],0)))</f>
        <v>950</v>
      </c>
      <c r="U461" s="67">
        <f>IF($C461="B",VLOOKUP($A461,Bat!$A$4:$BA$1314,47,FALSE),VLOOKUP($A461,Pit!$A$4:$BF$1214,56,FALSE))</f>
        <v>433</v>
      </c>
      <c r="V461" s="50">
        <f>IF($C461="B",VLOOKUP($A461,Bat!$A$4:$BA$1314,48,FALSE),VLOOKUP($A461,Pit!$A$4:$BF$1214,57,FALSE))</f>
        <v>0</v>
      </c>
      <c r="W461" s="68">
        <f>IF(Table5[[#This Row],[posRnk]]=999,9999,Table5[[#This Row],[posRnk]]+Table5[[#This Row],[zRnk]]+IF($W$3&lt;&gt;Table5[[#This Row],[Type]],50,0))</f>
        <v>1438</v>
      </c>
      <c r="X461" s="51">
        <f>RANK(Table5[[#This Row],[zScore]],Table5[[#All],[zScore]])</f>
        <v>438</v>
      </c>
      <c r="Y461" s="50">
        <f>IFERROR(INDEX(DraftResults[[#All],[OVR]],MATCH(Table5[[#This Row],[PID]],DraftResults[[#All],[Player ID]],0)),"")</f>
        <v>645</v>
      </c>
      <c r="Z461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20</v>
      </c>
      <c r="AA461" s="50">
        <f>IFERROR(INDEX(DraftResults[[#All],[Pick in Round]],MATCH(Table5[[#This Row],[PID]],DraftResults[[#All],[Player ID]],0)),"")</f>
        <v>8</v>
      </c>
      <c r="AB461" s="50" t="str">
        <f>IFERROR(INDEX(DraftResults[[#All],[Team Name]],MATCH(Table5[[#This Row],[PID]],DraftResults[[#All],[Player ID]],0)),"")</f>
        <v>Gloucester Fishermen</v>
      </c>
      <c r="AC461" s="50">
        <f>IF(Table5[[#This Row],[Ovr]]="","",IF(Table5[[#This Row],[cmbList]]="","",Table5[[#This Row],[cmbList]]-Table5[[#This Row],[Ovr]]))</f>
        <v>793</v>
      </c>
      <c r="AD461" s="54" t="str">
        <f>IF(ISERROR(VLOOKUP($AB461&amp;"-"&amp;$E461&amp;" "&amp;F461,Bonuses!$B$1:$G$1006,4,FALSE)),"",INT(VLOOKUP($AB461&amp;"-"&amp;$E461&amp;" "&amp;$F461,Bonuses!$B$1:$G$1006,4,FALSE)))</f>
        <v/>
      </c>
      <c r="AE461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20.8 (645) - C Lionel Ferrari</v>
      </c>
    </row>
    <row r="462" spans="1:31" s="50" customFormat="1" x14ac:dyDescent="0.3">
      <c r="A462" s="50">
        <v>5137</v>
      </c>
      <c r="B462" s="50">
        <f>COUNTIF(Table5[PID],A462)</f>
        <v>1</v>
      </c>
      <c r="C462" s="50" t="str">
        <f>IF(COUNTIF(Table3[[#All],[PID]],A462)&gt;0,"P","B")</f>
        <v>P</v>
      </c>
      <c r="D462" s="59" t="str">
        <f>IF($C462="B",INDEX(Batters[[#All],[POS]],MATCH(Table5[[#This Row],[PID]],Batters[[#All],[PID]],0)),INDEX(Table3[[#All],[POS]],MATCH(Table5[[#This Row],[PID]],Table3[[#All],[PID]],0)))</f>
        <v>RP</v>
      </c>
      <c r="E462" s="52" t="str">
        <f>IF($C462="B",INDEX(Batters[[#All],[First]],MATCH(Table5[[#This Row],[PID]],Batters[[#All],[PID]],0)),INDEX(Table3[[#All],[First]],MATCH(Table5[[#This Row],[PID]],Table3[[#All],[PID]],0)))</f>
        <v>Guillermo</v>
      </c>
      <c r="F462" s="50" t="str">
        <f>IF($C462="B",INDEX(Batters[[#All],[Last]],MATCH(A462,Batters[[#All],[PID]],0)),INDEX(Table3[[#All],[Last]],MATCH(A462,Table3[[#All],[PID]],0)))</f>
        <v>Campos</v>
      </c>
      <c r="G462" s="56">
        <f>IF($C462="B",INDEX(Batters[[#All],[Age]],MATCH(Table5[[#This Row],[PID]],Batters[[#All],[PID]],0)),INDEX(Table3[[#All],[Age]],MATCH(Table5[[#This Row],[PID]],Table3[[#All],[PID]],0)))</f>
        <v>21</v>
      </c>
      <c r="H462" s="52" t="str">
        <f>IF($C462="B",INDEX(Batters[[#All],[B]],MATCH(Table5[[#This Row],[PID]],Batters[[#All],[PID]],0)),INDEX(Table3[[#All],[B]],MATCH(Table5[[#This Row],[PID]],Table3[[#All],[PID]],0)))</f>
        <v>R</v>
      </c>
      <c r="I462" s="52" t="str">
        <f>IF($C462="B",INDEX(Batters[[#All],[T]],MATCH(Table5[[#This Row],[PID]],Batters[[#All],[PID]],0)),INDEX(Table3[[#All],[T]],MATCH(Table5[[#This Row],[PID]],Table3[[#All],[PID]],0)))</f>
        <v>R</v>
      </c>
      <c r="J462" s="52" t="str">
        <f>IF($C462="B",INDEX(Batters[[#All],[WE]],MATCH(Table5[[#This Row],[PID]],Batters[[#All],[PID]],0)),INDEX(Table3[[#All],[WE]],MATCH(Table5[[#This Row],[PID]],Table3[[#All],[PID]],0)))</f>
        <v>Low</v>
      </c>
      <c r="K462" s="52" t="str">
        <f>IF($C462="B",INDEX(Batters[[#All],[INT]],MATCH(Table5[[#This Row],[PID]],Batters[[#All],[PID]],0)),INDEX(Table3[[#All],[INT]],MATCH(Table5[[#This Row],[PID]],Table3[[#All],[PID]],0)))</f>
        <v>Normal</v>
      </c>
      <c r="L462" s="60">
        <f>IF($C462="B",INDEX(Batters[[#All],[CON P]],MATCH(Table5[[#This Row],[PID]],Batters[[#All],[PID]],0)),INDEX(Table3[[#All],[STU P]],MATCH(Table5[[#This Row],[PID]],Table3[[#All],[PID]],0)))</f>
        <v>5</v>
      </c>
      <c r="M462" s="56">
        <f>IF($C462="B",INDEX(Batters[[#All],[GAP P]],MATCH(Table5[[#This Row],[PID]],Batters[[#All],[PID]],0)),INDEX(Table3[[#All],[MOV P]],MATCH(Table5[[#This Row],[PID]],Table3[[#All],[PID]],0)))</f>
        <v>2</v>
      </c>
      <c r="N462" s="56">
        <f>IF($C462="B",INDEX(Batters[[#All],[POW P]],MATCH(Table5[[#This Row],[PID]],Batters[[#All],[PID]],0)),INDEX(Table3[[#All],[CON P]],MATCH(Table5[[#This Row],[PID]],Table3[[#All],[PID]],0)))</f>
        <v>3</v>
      </c>
      <c r="O462" s="56" t="str">
        <f>IF($C462="B",INDEX(Batters[[#All],[EYE P]],MATCH(Table5[[#This Row],[PID]],Batters[[#All],[PID]],0)),INDEX(Table3[[#All],[VELO]],MATCH(Table5[[#This Row],[PID]],Table3[[#All],[PID]],0)))</f>
        <v>88-90 Mph</v>
      </c>
      <c r="P462" s="56">
        <f>IF($C462="B",INDEX(Batters[[#All],[K P]],MATCH(Table5[[#This Row],[PID]],Batters[[#All],[PID]],0)),INDEX(Table3[[#All],[STM]],MATCH(Table5[[#This Row],[PID]],Table3[[#All],[PID]],0)))</f>
        <v>6</v>
      </c>
      <c r="Q462" s="61">
        <f>IF($C462="B",INDEX(Batters[[#All],[Tot]],MATCH(Table5[[#This Row],[PID]],Batters[[#All],[PID]],0)),INDEX(Table3[[#All],[Tot]],MATCH(Table5[[#This Row],[PID]],Table3[[#All],[PID]],0)))</f>
        <v>34.604833423796123</v>
      </c>
      <c r="R462" s="52">
        <f>IF($C462="B",INDEX(Batters[[#All],[zScore]],MATCH(Table5[[#This Row],[PID]],Batters[[#All],[PID]],0)),INDEX(Table3[[#All],[zScore]],MATCH(Table5[[#This Row],[PID]],Table3[[#All],[PID]],0)))</f>
        <v>-0.22770223001757545</v>
      </c>
      <c r="S462" s="58" t="str">
        <f>IF($C462="B",INDEX(Batters[[#All],[DEM]],MATCH(Table5[[#This Row],[PID]],Batters[[#All],[PID]],0)),INDEX(Table3[[#All],[DEM]],MATCH(Table5[[#This Row],[PID]],Table3[[#All],[PID]],0)))</f>
        <v>-</v>
      </c>
      <c r="T462" s="62">
        <f>IF($C462="B",INDEX(Batters[[#All],[Rnk]],MATCH(Table5[[#This Row],[PID]],Batters[[#All],[PID]],0)),INDEX(Table3[[#All],[Rnk]],MATCH(Table5[[#This Row],[PID]],Table3[[#All],[PID]],0)))</f>
        <v>930</v>
      </c>
      <c r="U462" s="67">
        <f>IF($C462="B",VLOOKUP($A462,Bat!$A$4:$BA$1314,47,FALSE),VLOOKUP($A462,Pit!$A$4:$BF$1214,56,FALSE))</f>
        <v>298</v>
      </c>
      <c r="V462" s="50">
        <f>IF($C462="B",VLOOKUP($A462,Bat!$A$4:$BA$1314,48,FALSE),VLOOKUP($A462,Pit!$A$4:$BF$1214,57,FALSE))</f>
        <v>0</v>
      </c>
      <c r="W462" s="68">
        <f>IF(Table5[[#This Row],[posRnk]]=999,9999,Table5[[#This Row],[posRnk]]+Table5[[#This Row],[zRnk]]+IF($W$3&lt;&gt;Table5[[#This Row],[Type]],50,0))</f>
        <v>1389</v>
      </c>
      <c r="X462" s="51">
        <f>RANK(Table5[[#This Row],[zScore]],Table5[[#All],[zScore]])</f>
        <v>459</v>
      </c>
      <c r="Y462" s="50">
        <f>IFERROR(INDEX(DraftResults[[#All],[OVR]],MATCH(Table5[[#This Row],[PID]],DraftResults[[#All],[Player ID]],0)),"")</f>
        <v>329</v>
      </c>
      <c r="Z462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10</v>
      </c>
      <c r="AA462" s="50">
        <f>IFERROR(INDEX(DraftResults[[#All],[Pick in Round]],MATCH(Table5[[#This Row],[PID]],DraftResults[[#All],[Player ID]],0)),"")</f>
        <v>32</v>
      </c>
      <c r="AB462" s="50" t="str">
        <f>IFERROR(INDEX(DraftResults[[#All],[Team Name]],MATCH(Table5[[#This Row],[PID]],DraftResults[[#All],[Player ID]],0)),"")</f>
        <v>Florida Farstriders</v>
      </c>
      <c r="AC462" s="50">
        <f>IF(Table5[[#This Row],[Ovr]]="","",IF(Table5[[#This Row],[cmbList]]="","",Table5[[#This Row],[cmbList]]-Table5[[#This Row],[Ovr]]))</f>
        <v>1060</v>
      </c>
      <c r="AD462" s="54" t="str">
        <f>IF(ISERROR(VLOOKUP($AB462&amp;"-"&amp;$E462&amp;" "&amp;F462,Bonuses!$B$1:$G$1006,4,FALSE)),"",INT(VLOOKUP($AB462&amp;"-"&amp;$E462&amp;" "&amp;$F462,Bonuses!$B$1:$G$1006,4,FALSE)))</f>
        <v/>
      </c>
      <c r="AE462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10.32 (329) - RP Guillermo Campos</v>
      </c>
    </row>
    <row r="463" spans="1:31" s="50" customFormat="1" x14ac:dyDescent="0.3">
      <c r="A463" s="50">
        <v>20329</v>
      </c>
      <c r="B463" s="50">
        <f>COUNTIF(Table5[PID],A463)</f>
        <v>1</v>
      </c>
      <c r="C463" s="50" t="str">
        <f>IF(COUNTIF(Table3[[#All],[PID]],A463)&gt;0,"P","B")</f>
        <v>P</v>
      </c>
      <c r="D463" s="59" t="str">
        <f>IF($C463="B",INDEX(Batters[[#All],[POS]],MATCH(Table5[[#This Row],[PID]],Batters[[#All],[PID]],0)),INDEX(Table3[[#All],[POS]],MATCH(Table5[[#This Row],[PID]],Table3[[#All],[PID]],0)))</f>
        <v>RP</v>
      </c>
      <c r="E463" s="52" t="str">
        <f>IF($C463="B",INDEX(Batters[[#All],[First]],MATCH(Table5[[#This Row],[PID]],Batters[[#All],[PID]],0)),INDEX(Table3[[#All],[First]],MATCH(Table5[[#This Row],[PID]],Table3[[#All],[PID]],0)))</f>
        <v>Sebastian</v>
      </c>
      <c r="F463" s="50" t="str">
        <f>IF($C463="B",INDEX(Batters[[#All],[Last]],MATCH(A463,Batters[[#All],[PID]],0)),INDEX(Table3[[#All],[Last]],MATCH(A463,Table3[[#All],[PID]],0)))</f>
        <v>Cooke</v>
      </c>
      <c r="G463" s="56">
        <f>IF($C463="B",INDEX(Batters[[#All],[Age]],MATCH(Table5[[#This Row],[PID]],Batters[[#All],[PID]],0)),INDEX(Table3[[#All],[Age]],MATCH(Table5[[#This Row],[PID]],Table3[[#All],[PID]],0)))</f>
        <v>17</v>
      </c>
      <c r="H463" s="52" t="str">
        <f>IF($C463="B",INDEX(Batters[[#All],[B]],MATCH(Table5[[#This Row],[PID]],Batters[[#All],[PID]],0)),INDEX(Table3[[#All],[B]],MATCH(Table5[[#This Row],[PID]],Table3[[#All],[PID]],0)))</f>
        <v>R</v>
      </c>
      <c r="I463" s="52" t="str">
        <f>IF($C463="B",INDEX(Batters[[#All],[T]],MATCH(Table5[[#This Row],[PID]],Batters[[#All],[PID]],0)),INDEX(Table3[[#All],[T]],MATCH(Table5[[#This Row],[PID]],Table3[[#All],[PID]],0)))</f>
        <v>R</v>
      </c>
      <c r="J463" s="52" t="str">
        <f>IF($C463="B",INDEX(Batters[[#All],[WE]],MATCH(Table5[[#This Row],[PID]],Batters[[#All],[PID]],0)),INDEX(Table3[[#All],[WE]],MATCH(Table5[[#This Row],[PID]],Table3[[#All],[PID]],0)))</f>
        <v>Normal</v>
      </c>
      <c r="K463" s="52" t="str">
        <f>IF($C463="B",INDEX(Batters[[#All],[INT]],MATCH(Table5[[#This Row],[PID]],Batters[[#All],[PID]],0)),INDEX(Table3[[#All],[INT]],MATCH(Table5[[#This Row],[PID]],Table3[[#All],[PID]],0)))</f>
        <v>Normal</v>
      </c>
      <c r="L463" s="60">
        <f>IF($C463="B",INDEX(Batters[[#All],[CON P]],MATCH(Table5[[#This Row],[PID]],Batters[[#All],[PID]],0)),INDEX(Table3[[#All],[STU P]],MATCH(Table5[[#This Row],[PID]],Table3[[#All],[PID]],0)))</f>
        <v>4</v>
      </c>
      <c r="M463" s="56">
        <f>IF($C463="B",INDEX(Batters[[#All],[GAP P]],MATCH(Table5[[#This Row],[PID]],Batters[[#All],[PID]],0)),INDEX(Table3[[#All],[MOV P]],MATCH(Table5[[#This Row],[PID]],Table3[[#All],[PID]],0)))</f>
        <v>2</v>
      </c>
      <c r="N463" s="56">
        <f>IF($C463="B",INDEX(Batters[[#All],[POW P]],MATCH(Table5[[#This Row],[PID]],Batters[[#All],[PID]],0)),INDEX(Table3[[#All],[CON P]],MATCH(Table5[[#This Row],[PID]],Table3[[#All],[PID]],0)))</f>
        <v>3</v>
      </c>
      <c r="O463" s="56" t="str">
        <f>IF($C463="B",INDEX(Batters[[#All],[EYE P]],MATCH(Table5[[#This Row],[PID]],Batters[[#All],[PID]],0)),INDEX(Table3[[#All],[VELO]],MATCH(Table5[[#This Row],[PID]],Table3[[#All],[PID]],0)))</f>
        <v>87-89 Mph</v>
      </c>
      <c r="P463" s="56">
        <f>IF($C463="B",INDEX(Batters[[#All],[K P]],MATCH(Table5[[#This Row],[PID]],Batters[[#All],[PID]],0)),INDEX(Table3[[#All],[STM]],MATCH(Table5[[#This Row],[PID]],Table3[[#All],[PID]],0)))</f>
        <v>6</v>
      </c>
      <c r="Q463" s="61">
        <f>IF($C463="B",INDEX(Batters[[#All],[Tot]],MATCH(Table5[[#This Row],[PID]],Batters[[#All],[PID]],0)),INDEX(Table3[[#All],[Tot]],MATCH(Table5[[#This Row],[PID]],Table3[[#All],[PID]],0)))</f>
        <v>33.52085259586724</v>
      </c>
      <c r="R463" s="52">
        <f>IF($C463="B",INDEX(Batters[[#All],[zScore]],MATCH(Table5[[#This Row],[PID]],Batters[[#All],[PID]],0)),INDEX(Table3[[#All],[zScore]],MATCH(Table5[[#This Row],[PID]],Table3[[#All],[PID]],0)))</f>
        <v>-0.29838821828935819</v>
      </c>
      <c r="S463" s="58" t="str">
        <f>IF($C463="B",INDEX(Batters[[#All],[DEM]],MATCH(Table5[[#This Row],[PID]],Batters[[#All],[PID]],0)),INDEX(Table3[[#All],[DEM]],MATCH(Table5[[#This Row],[PID]],Table3[[#All],[PID]],0)))</f>
        <v>$70k</v>
      </c>
      <c r="T463" s="62">
        <f>IF($C463="B",INDEX(Batters[[#All],[Rnk]],MATCH(Table5[[#This Row],[PID]],Batters[[#All],[PID]],0)),INDEX(Table3[[#All],[Rnk]],MATCH(Table5[[#This Row],[PID]],Table3[[#All],[PID]],0)))</f>
        <v>900</v>
      </c>
      <c r="U463" s="67">
        <f>IF($C463="B",VLOOKUP($A463,Bat!$A$4:$BA$1314,47,FALSE),VLOOKUP($A463,Pit!$A$4:$BF$1214,56,FALSE))</f>
        <v>164</v>
      </c>
      <c r="V463" s="50">
        <f>IF($C463="B",VLOOKUP($A463,Bat!$A$4:$BA$1314,48,FALSE),VLOOKUP($A463,Pit!$A$4:$BF$1214,57,FALSE))</f>
        <v>0</v>
      </c>
      <c r="W463" s="68">
        <f>IF(Table5[[#This Row],[posRnk]]=999,9999,Table5[[#This Row],[posRnk]]+Table5[[#This Row],[zRnk]]+IF($W$3&lt;&gt;Table5[[#This Row],[Type]],50,0))</f>
        <v>1390</v>
      </c>
      <c r="X463" s="51">
        <f>RANK(Table5[[#This Row],[zScore]],Table5[[#All],[zScore]])</f>
        <v>490</v>
      </c>
      <c r="Y463" s="50" t="str">
        <f>IFERROR(INDEX(DraftResults[[#All],[OVR]],MATCH(Table5[[#This Row],[PID]],DraftResults[[#All],[Player ID]],0)),"")</f>
        <v/>
      </c>
      <c r="Z463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/>
      </c>
      <c r="AA463" s="50" t="str">
        <f>IFERROR(INDEX(DraftResults[[#All],[Pick in Round]],MATCH(Table5[[#This Row],[PID]],DraftResults[[#All],[Player ID]],0)),"")</f>
        <v/>
      </c>
      <c r="AB463" s="50" t="str">
        <f>IFERROR(INDEX(DraftResults[[#All],[Team Name]],MATCH(Table5[[#This Row],[PID]],DraftResults[[#All],[Player ID]],0)),"")</f>
        <v/>
      </c>
      <c r="AC463" s="50" t="str">
        <f>IF(Table5[[#This Row],[Ovr]]="","",IF(Table5[[#This Row],[cmbList]]="","",Table5[[#This Row],[cmbList]]-Table5[[#This Row],[Ovr]]))</f>
        <v/>
      </c>
      <c r="AD463" s="54" t="str">
        <f>IF(ISERROR(VLOOKUP($AB463&amp;"-"&amp;$E463&amp;" "&amp;F463,Bonuses!$B$1:$G$1006,4,FALSE)),"",INT(VLOOKUP($AB463&amp;"-"&amp;$E463&amp;" "&amp;$F463,Bonuses!$B$1:$G$1006,4,FALSE)))</f>
        <v/>
      </c>
      <c r="AE463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/>
      </c>
    </row>
    <row r="464" spans="1:31" s="50" customFormat="1" x14ac:dyDescent="0.3">
      <c r="A464" s="67">
        <v>12450</v>
      </c>
      <c r="B464" s="68">
        <f>COUNTIF(Table5[PID],A464)</f>
        <v>1</v>
      </c>
      <c r="C464" s="68" t="str">
        <f>IF(COUNTIF(Table3[[#All],[PID]],A464)&gt;0,"P","B")</f>
        <v>B</v>
      </c>
      <c r="D464" s="59" t="str">
        <f>IF($C464="B",INDEX(Batters[[#All],[POS]],MATCH(Table5[[#This Row],[PID]],Batters[[#All],[PID]],0)),INDEX(Table3[[#All],[POS]],MATCH(Table5[[#This Row],[PID]],Table3[[#All],[PID]],0)))</f>
        <v>C</v>
      </c>
      <c r="E464" s="52" t="str">
        <f>IF($C464="B",INDEX(Batters[[#All],[First]],MATCH(Table5[[#This Row],[PID]],Batters[[#All],[PID]],0)),INDEX(Table3[[#All],[First]],MATCH(Table5[[#This Row],[PID]],Table3[[#All],[PID]],0)))</f>
        <v>Jeremy</v>
      </c>
      <c r="F464" s="55" t="str">
        <f>IF($C464="B",INDEX(Batters[[#All],[Last]],MATCH(A464,Batters[[#All],[PID]],0)),INDEX(Table3[[#All],[Last]],MATCH(A464,Table3[[#All],[PID]],0)))</f>
        <v>Laporte</v>
      </c>
      <c r="G464" s="56">
        <f>IF($C464="B",INDEX(Batters[[#All],[Age]],MATCH(Table5[[#This Row],[PID]],Batters[[#All],[PID]],0)),INDEX(Table3[[#All],[Age]],MATCH(Table5[[#This Row],[PID]],Table3[[#All],[PID]],0)))</f>
        <v>18</v>
      </c>
      <c r="H464" s="52" t="str">
        <f>IF($C464="B",INDEX(Batters[[#All],[B]],MATCH(Table5[[#This Row],[PID]],Batters[[#All],[PID]],0)),INDEX(Table3[[#All],[B]],MATCH(Table5[[#This Row],[PID]],Table3[[#All],[PID]],0)))</f>
        <v>R</v>
      </c>
      <c r="I464" s="52" t="str">
        <f>IF($C464="B",INDEX(Batters[[#All],[T]],MATCH(Table5[[#This Row],[PID]],Batters[[#All],[PID]],0)),INDEX(Table3[[#All],[T]],MATCH(Table5[[#This Row],[PID]],Table3[[#All],[PID]],0)))</f>
        <v>R</v>
      </c>
      <c r="J464" s="69" t="str">
        <f>IF($C464="B",INDEX(Batters[[#All],[WE]],MATCH(Table5[[#This Row],[PID]],Batters[[#All],[PID]],0)),INDEX(Table3[[#All],[WE]],MATCH(Table5[[#This Row],[PID]],Table3[[#All],[PID]],0)))</f>
        <v>Low</v>
      </c>
      <c r="K464" s="52" t="str">
        <f>IF($C464="B",INDEX(Batters[[#All],[INT]],MATCH(Table5[[#This Row],[PID]],Batters[[#All],[PID]],0)),INDEX(Table3[[#All],[INT]],MATCH(Table5[[#This Row],[PID]],Table3[[#All],[PID]],0)))</f>
        <v>High</v>
      </c>
      <c r="L464" s="60">
        <f>IF($C464="B",INDEX(Batters[[#All],[CON P]],MATCH(Table5[[#This Row],[PID]],Batters[[#All],[PID]],0)),INDEX(Table3[[#All],[STU P]],MATCH(Table5[[#This Row],[PID]],Table3[[#All],[PID]],0)))</f>
        <v>3</v>
      </c>
      <c r="M464" s="70">
        <f>IF($C464="B",INDEX(Batters[[#All],[GAP P]],MATCH(Table5[[#This Row],[PID]],Batters[[#All],[PID]],0)),INDEX(Table3[[#All],[MOV P]],MATCH(Table5[[#This Row],[PID]],Table3[[#All],[PID]],0)))</f>
        <v>4</v>
      </c>
      <c r="N464" s="70">
        <f>IF($C464="B",INDEX(Batters[[#All],[POW P]],MATCH(Table5[[#This Row],[PID]],Batters[[#All],[PID]],0)),INDEX(Table3[[#All],[CON P]],MATCH(Table5[[#This Row],[PID]],Table3[[#All],[PID]],0)))</f>
        <v>3</v>
      </c>
      <c r="O464" s="70">
        <f>IF($C464="B",INDEX(Batters[[#All],[EYE P]],MATCH(Table5[[#This Row],[PID]],Batters[[#All],[PID]],0)),INDEX(Table3[[#All],[VELO]],MATCH(Table5[[#This Row],[PID]],Table3[[#All],[PID]],0)))</f>
        <v>5</v>
      </c>
      <c r="P464" s="56">
        <f>IF($C464="B",INDEX(Batters[[#All],[K P]],MATCH(Table5[[#This Row],[PID]],Batters[[#All],[PID]],0)),INDEX(Table3[[#All],[STM]],MATCH(Table5[[#This Row],[PID]],Table3[[#All],[PID]],0)))</f>
        <v>3</v>
      </c>
      <c r="Q464" s="61">
        <f>IF($C464="B",INDEX(Batters[[#All],[Tot]],MATCH(Table5[[#This Row],[PID]],Batters[[#All],[PID]],0)),INDEX(Table3[[#All],[Tot]],MATCH(Table5[[#This Row],[PID]],Table3[[#All],[PID]],0)))</f>
        <v>41.658527811635992</v>
      </c>
      <c r="R464" s="52">
        <f>IF($C464="B",INDEX(Batters[[#All],[zScore]],MATCH(Table5[[#This Row],[PID]],Batters[[#All],[PID]],0)),INDEX(Table3[[#All],[zScore]],MATCH(Table5[[#This Row],[PID]],Table3[[#All],[PID]],0)))</f>
        <v>-0.22770481327241851</v>
      </c>
      <c r="S464" s="75" t="str">
        <f>IF($C464="B",INDEX(Batters[[#All],[DEM]],MATCH(Table5[[#This Row],[PID]],Batters[[#All],[PID]],0)),INDEX(Table3[[#All],[DEM]],MATCH(Table5[[#This Row],[PID]],Table3[[#All],[PID]],0)))</f>
        <v>$130k</v>
      </c>
      <c r="T464" s="72">
        <f>IF($C464="B",INDEX(Batters[[#All],[Rnk]],MATCH(Table5[[#This Row],[PID]],Batters[[#All],[PID]],0)),INDEX(Table3[[#All],[Rnk]],MATCH(Table5[[#This Row],[PID]],Table3[[#All],[PID]],0)))</f>
        <v>930</v>
      </c>
      <c r="U464" s="67">
        <f>IF($C464="B",VLOOKUP($A464,Bat!$A$4:$BA$1314,47,FALSE),VLOOKUP($A464,Pit!$A$4:$BF$1214,56,FALSE))</f>
        <v>334</v>
      </c>
      <c r="V464" s="50">
        <f>IF($C464="B",VLOOKUP($A464,Bat!$A$4:$BA$1314,48,FALSE),VLOOKUP($A464,Pit!$A$4:$BF$1214,57,FALSE))</f>
        <v>0</v>
      </c>
      <c r="W464" s="68">
        <f>IF(Table5[[#This Row],[posRnk]]=999,9999,Table5[[#This Row],[posRnk]]+Table5[[#This Row],[zRnk]]+IF($W$3&lt;&gt;Table5[[#This Row],[Type]],50,0))</f>
        <v>1440</v>
      </c>
      <c r="X464" s="71">
        <f>RANK(Table5[[#This Row],[zScore]],Table5[[#All],[zScore]])</f>
        <v>460</v>
      </c>
      <c r="Y464" s="68" t="str">
        <f>IFERROR(INDEX(DraftResults[[#All],[OVR]],MATCH(Table5[[#This Row],[PID]],DraftResults[[#All],[Player ID]],0)),"")</f>
        <v/>
      </c>
      <c r="Z464" s="7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/>
      </c>
      <c r="AA464" s="68" t="str">
        <f>IFERROR(INDEX(DraftResults[[#All],[Pick in Round]],MATCH(Table5[[#This Row],[PID]],DraftResults[[#All],[Player ID]],0)),"")</f>
        <v/>
      </c>
      <c r="AB464" s="68" t="str">
        <f>IFERROR(INDEX(DraftResults[[#All],[Team Name]],MATCH(Table5[[#This Row],[PID]],DraftResults[[#All],[Player ID]],0)),"")</f>
        <v/>
      </c>
      <c r="AC464" s="68" t="str">
        <f>IF(Table5[[#This Row],[Ovr]]="","",IF(Table5[[#This Row],[cmbList]]="","",Table5[[#This Row],[cmbList]]-Table5[[#This Row],[Ovr]]))</f>
        <v/>
      </c>
      <c r="AD464" s="74" t="str">
        <f>IF(ISERROR(VLOOKUP($AB464&amp;"-"&amp;$E464&amp;" "&amp;F464,Bonuses!$B$1:$G$1006,4,FALSE)),"",INT(VLOOKUP($AB464&amp;"-"&amp;$E464&amp;" "&amp;$F464,Bonuses!$B$1:$G$1006,4,FALSE)))</f>
        <v/>
      </c>
      <c r="AE464" s="68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/>
      </c>
    </row>
    <row r="465" spans="1:31" s="50" customFormat="1" x14ac:dyDescent="0.3">
      <c r="A465" s="50">
        <v>9246</v>
      </c>
      <c r="B465" s="50">
        <f>COUNTIF(Table5[PID],A465)</f>
        <v>1</v>
      </c>
      <c r="C465" s="50" t="str">
        <f>IF(COUNTIF(Table3[[#All],[PID]],A465)&gt;0,"P","B")</f>
        <v>B</v>
      </c>
      <c r="D465" s="59" t="str">
        <f>IF($C465="B",INDEX(Batters[[#All],[POS]],MATCH(Table5[[#This Row],[PID]],Batters[[#All],[PID]],0)),INDEX(Table3[[#All],[POS]],MATCH(Table5[[#This Row],[PID]],Table3[[#All],[PID]],0)))</f>
        <v>SS</v>
      </c>
      <c r="E465" s="52" t="str">
        <f>IF($C465="B",INDEX(Batters[[#All],[First]],MATCH(Table5[[#This Row],[PID]],Batters[[#All],[PID]],0)),INDEX(Table3[[#All],[First]],MATCH(Table5[[#This Row],[PID]],Table3[[#All],[PID]],0)))</f>
        <v>David</v>
      </c>
      <c r="F465" s="50" t="str">
        <f>IF($C465="B",INDEX(Batters[[#All],[Last]],MATCH(A465,Batters[[#All],[PID]],0)),INDEX(Table3[[#All],[Last]],MATCH(A465,Table3[[#All],[PID]],0)))</f>
        <v>O'Bryan</v>
      </c>
      <c r="G465" s="56">
        <f>IF($C465="B",INDEX(Batters[[#All],[Age]],MATCH(Table5[[#This Row],[PID]],Batters[[#All],[PID]],0)),INDEX(Table3[[#All],[Age]],MATCH(Table5[[#This Row],[PID]],Table3[[#All],[PID]],0)))</f>
        <v>18</v>
      </c>
      <c r="H465" s="52" t="str">
        <f>IF($C465="B",INDEX(Batters[[#All],[B]],MATCH(Table5[[#This Row],[PID]],Batters[[#All],[PID]],0)),INDEX(Table3[[#All],[B]],MATCH(Table5[[#This Row],[PID]],Table3[[#All],[PID]],0)))</f>
        <v>S</v>
      </c>
      <c r="I465" s="52" t="str">
        <f>IF($C465="B",INDEX(Batters[[#All],[T]],MATCH(Table5[[#This Row],[PID]],Batters[[#All],[PID]],0)),INDEX(Table3[[#All],[T]],MATCH(Table5[[#This Row],[PID]],Table3[[#All],[PID]],0)))</f>
        <v>R</v>
      </c>
      <c r="J465" s="52" t="str">
        <f>IF($C465="B",INDEX(Batters[[#All],[WE]],MATCH(Table5[[#This Row],[PID]],Batters[[#All],[PID]],0)),INDEX(Table3[[#All],[WE]],MATCH(Table5[[#This Row],[PID]],Table3[[#All],[PID]],0)))</f>
        <v>High</v>
      </c>
      <c r="K465" s="52" t="str">
        <f>IF($C465="B",INDEX(Batters[[#All],[INT]],MATCH(Table5[[#This Row],[PID]],Batters[[#All],[PID]],0)),INDEX(Table3[[#All],[INT]],MATCH(Table5[[#This Row],[PID]],Table3[[#All],[PID]],0)))</f>
        <v>Normal</v>
      </c>
      <c r="L465" s="60">
        <f>IF($C465="B",INDEX(Batters[[#All],[CON P]],MATCH(Table5[[#This Row],[PID]],Batters[[#All],[PID]],0)),INDEX(Table3[[#All],[STU P]],MATCH(Table5[[#This Row],[PID]],Table3[[#All],[PID]],0)))</f>
        <v>2</v>
      </c>
      <c r="M465" s="56">
        <f>IF($C465="B",INDEX(Batters[[#All],[GAP P]],MATCH(Table5[[#This Row],[PID]],Batters[[#All],[PID]],0)),INDEX(Table3[[#All],[MOV P]],MATCH(Table5[[#This Row],[PID]],Table3[[#All],[PID]],0)))</f>
        <v>6</v>
      </c>
      <c r="N465" s="56">
        <f>IF($C465="B",INDEX(Batters[[#All],[POW P]],MATCH(Table5[[#This Row],[PID]],Batters[[#All],[PID]],0)),INDEX(Table3[[#All],[CON P]],MATCH(Table5[[#This Row],[PID]],Table3[[#All],[PID]],0)))</f>
        <v>4</v>
      </c>
      <c r="O465" s="56">
        <f>IF($C465="B",INDEX(Batters[[#All],[EYE P]],MATCH(Table5[[#This Row],[PID]],Batters[[#All],[PID]],0)),INDEX(Table3[[#All],[VELO]],MATCH(Table5[[#This Row],[PID]],Table3[[#All],[PID]],0)))</f>
        <v>6</v>
      </c>
      <c r="P465" s="56">
        <f>IF($C465="B",INDEX(Batters[[#All],[K P]],MATCH(Table5[[#This Row],[PID]],Batters[[#All],[PID]],0)),INDEX(Table3[[#All],[STM]],MATCH(Table5[[#This Row],[PID]],Table3[[#All],[PID]],0)))</f>
        <v>2</v>
      </c>
      <c r="Q465" s="61">
        <f>IF($C465="B",INDEX(Batters[[#All],[Tot]],MATCH(Table5[[#This Row],[PID]],Batters[[#All],[PID]],0)),INDEX(Table3[[#All],[Tot]],MATCH(Table5[[#This Row],[PID]],Table3[[#All],[PID]],0)))</f>
        <v>41.119180222208087</v>
      </c>
      <c r="R465" s="52">
        <f>IF($C465="B",INDEX(Batters[[#All],[zScore]],MATCH(Table5[[#This Row],[PID]],Batters[[#All],[PID]],0)),INDEX(Table3[[#All],[zScore]],MATCH(Table5[[#This Row],[PID]],Table3[[#All],[PID]],0)))</f>
        <v>-0.30643236134395802</v>
      </c>
      <c r="S465" s="58" t="str">
        <f>IF($C465="B",INDEX(Batters[[#All],[DEM]],MATCH(Table5[[#This Row],[PID]],Batters[[#All],[PID]],0)),INDEX(Table3[[#All],[DEM]],MATCH(Table5[[#This Row],[PID]],Table3[[#All],[PID]],0)))</f>
        <v>$65k</v>
      </c>
      <c r="T465" s="62">
        <f>IF($C465="B",INDEX(Batters[[#All],[Rnk]],MATCH(Table5[[#This Row],[PID]],Batters[[#All],[PID]],0)),INDEX(Table3[[#All],[Rnk]],MATCH(Table5[[#This Row],[PID]],Table3[[#All],[PID]],0)))</f>
        <v>900</v>
      </c>
      <c r="U465" s="67">
        <f>IF($C465="B",VLOOKUP($A465,Bat!$A$4:$BA$1314,47,FALSE),VLOOKUP($A465,Pit!$A$4:$BF$1214,56,FALSE))</f>
        <v>186</v>
      </c>
      <c r="V465" s="50">
        <f>IF($C465="B",VLOOKUP($A465,Bat!$A$4:$BA$1314,48,FALSE),VLOOKUP($A465,Pit!$A$4:$BF$1214,57,FALSE))</f>
        <v>0</v>
      </c>
      <c r="W465" s="68">
        <f>IF(Table5[[#This Row],[posRnk]]=999,9999,Table5[[#This Row],[posRnk]]+Table5[[#This Row],[zRnk]]+IF($W$3&lt;&gt;Table5[[#This Row],[Type]],50,0))</f>
        <v>1441</v>
      </c>
      <c r="X465" s="51">
        <f>RANK(Table5[[#This Row],[zScore]],Table5[[#All],[zScore]])</f>
        <v>491</v>
      </c>
      <c r="Y465" s="50">
        <f>IFERROR(INDEX(DraftResults[[#All],[OVR]],MATCH(Table5[[#This Row],[PID]],DraftResults[[#All],[Player ID]],0)),"")</f>
        <v>339</v>
      </c>
      <c r="Z465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11</v>
      </c>
      <c r="AA465" s="50">
        <f>IFERROR(INDEX(DraftResults[[#All],[Pick in Round]],MATCH(Table5[[#This Row],[PID]],DraftResults[[#All],[Player ID]],0)),"")</f>
        <v>8</v>
      </c>
      <c r="AB465" s="50" t="str">
        <f>IFERROR(INDEX(DraftResults[[#All],[Team Name]],MATCH(Table5[[#This Row],[PID]],DraftResults[[#All],[Player ID]],0)),"")</f>
        <v>Gloucester Fishermen</v>
      </c>
      <c r="AC465" s="50">
        <f>IF(Table5[[#This Row],[Ovr]]="","",IF(Table5[[#This Row],[cmbList]]="","",Table5[[#This Row],[cmbList]]-Table5[[#This Row],[Ovr]]))</f>
        <v>1102</v>
      </c>
      <c r="AD465" s="54" t="str">
        <f>IF(ISERROR(VLOOKUP($AB465&amp;"-"&amp;$E465&amp;" "&amp;F465,Bonuses!$B$1:$G$1006,4,FALSE)),"",INT(VLOOKUP($AB465&amp;"-"&amp;$E465&amp;" "&amp;$F465,Bonuses!$B$1:$G$1006,4,FALSE)))</f>
        <v/>
      </c>
      <c r="AE465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11.8 (339) - SS David O'Bryan</v>
      </c>
    </row>
    <row r="466" spans="1:31" s="50" customFormat="1" x14ac:dyDescent="0.3">
      <c r="A466" s="67">
        <v>20430</v>
      </c>
      <c r="B466" s="68">
        <f>COUNTIF(Table5[PID],A466)</f>
        <v>1</v>
      </c>
      <c r="C466" s="68" t="str">
        <f>IF(COUNTIF(Table3[[#All],[PID]],A466)&gt;0,"P","B")</f>
        <v>P</v>
      </c>
      <c r="D466" s="59" t="str">
        <f>IF($C466="B",INDEX(Batters[[#All],[POS]],MATCH(Table5[[#This Row],[PID]],Batters[[#All],[PID]],0)),INDEX(Table3[[#All],[POS]],MATCH(Table5[[#This Row],[PID]],Table3[[#All],[PID]],0)))</f>
        <v>RP</v>
      </c>
      <c r="E466" s="52" t="str">
        <f>IF($C466="B",INDEX(Batters[[#All],[First]],MATCH(Table5[[#This Row],[PID]],Batters[[#All],[PID]],0)),INDEX(Table3[[#All],[First]],MATCH(Table5[[#This Row],[PID]],Table3[[#All],[PID]],0)))</f>
        <v>Hsin-ta</v>
      </c>
      <c r="F466" s="55" t="str">
        <f>IF($C466="B",INDEX(Batters[[#All],[Last]],MATCH(A466,Batters[[#All],[PID]],0)),INDEX(Table3[[#All],[Last]],MATCH(A466,Table3[[#All],[PID]],0)))</f>
        <v>Shen</v>
      </c>
      <c r="G466" s="56">
        <f>IF($C466="B",INDEX(Batters[[#All],[Age]],MATCH(Table5[[#This Row],[PID]],Batters[[#All],[PID]],0)),INDEX(Table3[[#All],[Age]],MATCH(Table5[[#This Row],[PID]],Table3[[#All],[PID]],0)))</f>
        <v>17</v>
      </c>
      <c r="H466" s="52" t="str">
        <f>IF($C466="B",INDEX(Batters[[#All],[B]],MATCH(Table5[[#This Row],[PID]],Batters[[#All],[PID]],0)),INDEX(Table3[[#All],[B]],MATCH(Table5[[#This Row],[PID]],Table3[[#All],[PID]],0)))</f>
        <v>R</v>
      </c>
      <c r="I466" s="52" t="str">
        <f>IF($C466="B",INDEX(Batters[[#All],[T]],MATCH(Table5[[#This Row],[PID]],Batters[[#All],[PID]],0)),INDEX(Table3[[#All],[T]],MATCH(Table5[[#This Row],[PID]],Table3[[#All],[PID]],0)))</f>
        <v>R</v>
      </c>
      <c r="J466" s="69" t="str">
        <f>IF($C466="B",INDEX(Batters[[#All],[WE]],MATCH(Table5[[#This Row],[PID]],Batters[[#All],[PID]],0)),INDEX(Table3[[#All],[WE]],MATCH(Table5[[#This Row],[PID]],Table3[[#All],[PID]],0)))</f>
        <v>Low</v>
      </c>
      <c r="K466" s="52" t="str">
        <f>IF($C466="B",INDEX(Batters[[#All],[INT]],MATCH(Table5[[#This Row],[PID]],Batters[[#All],[PID]],0)),INDEX(Table3[[#All],[INT]],MATCH(Table5[[#This Row],[PID]],Table3[[#All],[PID]],0)))</f>
        <v>Low</v>
      </c>
      <c r="L466" s="60">
        <f>IF($C466="B",INDEX(Batters[[#All],[CON P]],MATCH(Table5[[#This Row],[PID]],Batters[[#All],[PID]],0)),INDEX(Table3[[#All],[STU P]],MATCH(Table5[[#This Row],[PID]],Table3[[#All],[PID]],0)))</f>
        <v>4</v>
      </c>
      <c r="M466" s="70">
        <f>IF($C466="B",INDEX(Batters[[#All],[GAP P]],MATCH(Table5[[#This Row],[PID]],Batters[[#All],[PID]],0)),INDEX(Table3[[#All],[MOV P]],MATCH(Table5[[#This Row],[PID]],Table3[[#All],[PID]],0)))</f>
        <v>3</v>
      </c>
      <c r="N466" s="70">
        <f>IF($C466="B",INDEX(Batters[[#All],[POW P]],MATCH(Table5[[#This Row],[PID]],Batters[[#All],[PID]],0)),INDEX(Table3[[#All],[CON P]],MATCH(Table5[[#This Row],[PID]],Table3[[#All],[PID]],0)))</f>
        <v>3</v>
      </c>
      <c r="O466" s="70" t="str">
        <f>IF($C466="B",INDEX(Batters[[#All],[EYE P]],MATCH(Table5[[#This Row],[PID]],Batters[[#All],[PID]],0)),INDEX(Table3[[#All],[VELO]],MATCH(Table5[[#This Row],[PID]],Table3[[#All],[PID]],0)))</f>
        <v>88-90 Mph</v>
      </c>
      <c r="P466" s="56">
        <f>IF($C466="B",INDEX(Batters[[#All],[K P]],MATCH(Table5[[#This Row],[PID]],Batters[[#All],[PID]],0)),INDEX(Table3[[#All],[STM]],MATCH(Table5[[#This Row],[PID]],Table3[[#All],[PID]],0)))</f>
        <v>2</v>
      </c>
      <c r="Q466" s="61">
        <f>IF($C466="B",INDEX(Batters[[#All],[Tot]],MATCH(Table5[[#This Row],[PID]],Batters[[#All],[PID]],0)),INDEX(Table3[[#All],[Tot]],MATCH(Table5[[#This Row],[PID]],Table3[[#All],[PID]],0)))</f>
        <v>35.150074254156081</v>
      </c>
      <c r="R466" s="52">
        <f>IF($C466="B",INDEX(Batters[[#All],[zScore]],MATCH(Table5[[#This Row],[PID]],Batters[[#All],[PID]],0)),INDEX(Table3[[#All],[zScore]],MATCH(Table5[[#This Row],[PID]],Table3[[#All],[PID]],0)))</f>
        <v>-0.18887724828644545</v>
      </c>
      <c r="S466" s="75" t="str">
        <f>IF($C466="B",INDEX(Batters[[#All],[DEM]],MATCH(Table5[[#This Row],[PID]],Batters[[#All],[PID]],0)),INDEX(Table3[[#All],[DEM]],MATCH(Table5[[#This Row],[PID]],Table3[[#All],[PID]],0)))</f>
        <v>$80k</v>
      </c>
      <c r="T466" s="72">
        <f>IF($C466="B",INDEX(Batters[[#All],[Rnk]],MATCH(Table5[[#This Row],[PID]],Batters[[#All],[PID]],0)),INDEX(Table3[[#All],[Rnk]],MATCH(Table5[[#This Row],[PID]],Table3[[#All],[PID]],0)))</f>
        <v>950</v>
      </c>
      <c r="U466" s="67">
        <f>IF($C466="B",VLOOKUP($A466,Bat!$A$4:$BA$1314,47,FALSE),VLOOKUP($A466,Pit!$A$4:$BF$1214,56,FALSE))</f>
        <v>413</v>
      </c>
      <c r="V466" s="50">
        <f>IF($C466="B",VLOOKUP($A466,Bat!$A$4:$BA$1314,48,FALSE),VLOOKUP($A466,Pit!$A$4:$BF$1214,57,FALSE))</f>
        <v>0</v>
      </c>
      <c r="W466" s="68">
        <f>IF(Table5[[#This Row],[posRnk]]=999,9999,Table5[[#This Row],[posRnk]]+Table5[[#This Row],[zRnk]]+IF($W$3&lt;&gt;Table5[[#This Row],[Type]],50,0))</f>
        <v>1391</v>
      </c>
      <c r="X466" s="71">
        <f>RANK(Table5[[#This Row],[zScore]],Table5[[#All],[zScore]])</f>
        <v>441</v>
      </c>
      <c r="Y466" s="68" t="str">
        <f>IFERROR(INDEX(DraftResults[[#All],[OVR]],MATCH(Table5[[#This Row],[PID]],DraftResults[[#All],[Player ID]],0)),"")</f>
        <v/>
      </c>
      <c r="Z466" s="7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/>
      </c>
      <c r="AA466" s="68" t="str">
        <f>IFERROR(INDEX(DraftResults[[#All],[Pick in Round]],MATCH(Table5[[#This Row],[PID]],DraftResults[[#All],[Player ID]],0)),"")</f>
        <v/>
      </c>
      <c r="AB466" s="68" t="str">
        <f>IFERROR(INDEX(DraftResults[[#All],[Team Name]],MATCH(Table5[[#This Row],[PID]],DraftResults[[#All],[Player ID]],0)),"")</f>
        <v/>
      </c>
      <c r="AC466" s="68" t="str">
        <f>IF(Table5[[#This Row],[Ovr]]="","",IF(Table5[[#This Row],[cmbList]]="","",Table5[[#This Row],[cmbList]]-Table5[[#This Row],[Ovr]]))</f>
        <v/>
      </c>
      <c r="AD466" s="74" t="str">
        <f>IF(ISERROR(VLOOKUP($AB466&amp;"-"&amp;$E466&amp;" "&amp;F466,Bonuses!$B$1:$G$1006,4,FALSE)),"",INT(VLOOKUP($AB466&amp;"-"&amp;$E466&amp;" "&amp;$F466,Bonuses!$B$1:$G$1006,4,FALSE)))</f>
        <v/>
      </c>
      <c r="AE466" s="68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/>
      </c>
    </row>
    <row r="467" spans="1:31" s="50" customFormat="1" x14ac:dyDescent="0.3">
      <c r="A467" s="50">
        <v>7170</v>
      </c>
      <c r="B467" s="55">
        <f>COUNTIF(Table5[PID],A467)</f>
        <v>1</v>
      </c>
      <c r="C467" s="55" t="str">
        <f>IF(COUNTIF(Table3[[#All],[PID]],A467)&gt;0,"P","B")</f>
        <v>B</v>
      </c>
      <c r="D467" s="59" t="str">
        <f>IF($C467="B",INDEX(Batters[[#All],[POS]],MATCH(Table5[[#This Row],[PID]],Batters[[#All],[PID]],0)),INDEX(Table3[[#All],[POS]],MATCH(Table5[[#This Row],[PID]],Table3[[#All],[PID]],0)))</f>
        <v>C</v>
      </c>
      <c r="E467" s="52" t="str">
        <f>IF($C467="B",INDEX(Batters[[#All],[First]],MATCH(Table5[[#This Row],[PID]],Batters[[#All],[PID]],0)),INDEX(Table3[[#All],[First]],MATCH(Table5[[#This Row],[PID]],Table3[[#All],[PID]],0)))</f>
        <v>Javier</v>
      </c>
      <c r="F467" s="50" t="str">
        <f>IF($C467="B",INDEX(Batters[[#All],[Last]],MATCH(A467,Batters[[#All],[PID]],0)),INDEX(Table3[[#All],[Last]],MATCH(A467,Table3[[#All],[PID]],0)))</f>
        <v>Leal</v>
      </c>
      <c r="G467" s="56">
        <f>IF($C467="B",INDEX(Batters[[#All],[Age]],MATCH(Table5[[#This Row],[PID]],Batters[[#All],[PID]],0)),INDEX(Table3[[#All],[Age]],MATCH(Table5[[#This Row],[PID]],Table3[[#All],[PID]],0)))</f>
        <v>21</v>
      </c>
      <c r="H467" s="52" t="str">
        <f>IF($C467="B",INDEX(Batters[[#All],[B]],MATCH(Table5[[#This Row],[PID]],Batters[[#All],[PID]],0)),INDEX(Table3[[#All],[B]],MATCH(Table5[[#This Row],[PID]],Table3[[#All],[PID]],0)))</f>
        <v>L</v>
      </c>
      <c r="I467" s="52" t="str">
        <f>IF($C467="B",INDEX(Batters[[#All],[T]],MATCH(Table5[[#This Row],[PID]],Batters[[#All],[PID]],0)),INDEX(Table3[[#All],[T]],MATCH(Table5[[#This Row],[PID]],Table3[[#All],[PID]],0)))</f>
        <v>R</v>
      </c>
      <c r="J467" s="52" t="str">
        <f>IF($C467="B",INDEX(Batters[[#All],[WE]],MATCH(Table5[[#This Row],[PID]],Batters[[#All],[PID]],0)),INDEX(Table3[[#All],[WE]],MATCH(Table5[[#This Row],[PID]],Table3[[#All],[PID]],0)))</f>
        <v>Normal</v>
      </c>
      <c r="K467" s="52" t="str">
        <f>IF($C467="B",INDEX(Batters[[#All],[INT]],MATCH(Table5[[#This Row],[PID]],Batters[[#All],[PID]],0)),INDEX(Table3[[#All],[INT]],MATCH(Table5[[#This Row],[PID]],Table3[[#All],[PID]],0)))</f>
        <v>Low</v>
      </c>
      <c r="L467" s="60">
        <f>IF($C467="B",INDEX(Batters[[#All],[CON P]],MATCH(Table5[[#This Row],[PID]],Batters[[#All],[PID]],0)),INDEX(Table3[[#All],[STU P]],MATCH(Table5[[#This Row],[PID]],Table3[[#All],[PID]],0)))</f>
        <v>4</v>
      </c>
      <c r="M467" s="56">
        <f>IF($C467="B",INDEX(Batters[[#All],[GAP P]],MATCH(Table5[[#This Row],[PID]],Batters[[#All],[PID]],0)),INDEX(Table3[[#All],[MOV P]],MATCH(Table5[[#This Row],[PID]],Table3[[#All],[PID]],0)))</f>
        <v>5</v>
      </c>
      <c r="N467" s="56">
        <f>IF($C467="B",INDEX(Batters[[#All],[POW P]],MATCH(Table5[[#This Row],[PID]],Batters[[#All],[PID]],0)),INDEX(Table3[[#All],[CON P]],MATCH(Table5[[#This Row],[PID]],Table3[[#All],[PID]],0)))</f>
        <v>4</v>
      </c>
      <c r="O467" s="56">
        <f>IF($C467="B",INDEX(Batters[[#All],[EYE P]],MATCH(Table5[[#This Row],[PID]],Batters[[#All],[PID]],0)),INDEX(Table3[[#All],[VELO]],MATCH(Table5[[#This Row],[PID]],Table3[[#All],[PID]],0)))</f>
        <v>4</v>
      </c>
      <c r="P467" s="56">
        <f>IF($C467="B",INDEX(Batters[[#All],[K P]],MATCH(Table5[[#This Row],[PID]],Batters[[#All],[PID]],0)),INDEX(Table3[[#All],[STM]],MATCH(Table5[[#This Row],[PID]],Table3[[#All],[PID]],0)))</f>
        <v>5</v>
      </c>
      <c r="Q467" s="61">
        <f>IF($C467="B",INDEX(Batters[[#All],[Tot]],MATCH(Table5[[#This Row],[PID]],Batters[[#All],[PID]],0)),INDEX(Table3[[#All],[Tot]],MATCH(Table5[[#This Row],[PID]],Table3[[#All],[PID]],0)))</f>
        <v>41.714362402814615</v>
      </c>
      <c r="R467" s="52">
        <f>IF($C467="B",INDEX(Batters[[#All],[zScore]],MATCH(Table5[[#This Row],[PID]],Batters[[#All],[PID]],0)),INDEX(Table3[[#All],[zScore]],MATCH(Table5[[#This Row],[PID]],Table3[[#All],[PID]],0)))</f>
        <v>-0.21955474354515331</v>
      </c>
      <c r="S467" s="58" t="str">
        <f>IF($C467="B",INDEX(Batters[[#All],[DEM]],MATCH(Table5[[#This Row],[PID]],Batters[[#All],[PID]],0)),INDEX(Table3[[#All],[DEM]],MATCH(Table5[[#This Row],[PID]],Table3[[#All],[PID]],0)))</f>
        <v>$180k</v>
      </c>
      <c r="T467" s="62">
        <f>IF($C467="B",INDEX(Batters[[#All],[Rnk]],MATCH(Table5[[#This Row],[PID]],Batters[[#All],[PID]],0)),INDEX(Table3[[#All],[Rnk]],MATCH(Table5[[#This Row],[PID]],Table3[[#All],[PID]],0)))</f>
        <v>940</v>
      </c>
      <c r="U467" s="67">
        <f>IF($C467="B",VLOOKUP($A467,Bat!$A$4:$BA$1314,47,FALSE),VLOOKUP($A467,Pit!$A$4:$BF$1214,56,FALSE))</f>
        <v>413</v>
      </c>
      <c r="V467" s="50">
        <f>IF($C467="B",VLOOKUP($A467,Bat!$A$4:$BA$1314,48,FALSE),VLOOKUP($A467,Pit!$A$4:$BF$1214,57,FALSE))</f>
        <v>0</v>
      </c>
      <c r="W467" s="68">
        <f>IF(Table5[[#This Row],[posRnk]]=999,9999,Table5[[#This Row],[posRnk]]+Table5[[#This Row],[zRnk]]+IF($W$3&lt;&gt;Table5[[#This Row],[Type]],50,0))</f>
        <v>1442</v>
      </c>
      <c r="X467" s="51">
        <f>RANK(Table5[[#This Row],[zScore]],Table5[[#All],[zScore]])</f>
        <v>452</v>
      </c>
      <c r="Y467" s="50">
        <f>IFERROR(INDEX(DraftResults[[#All],[OVR]],MATCH(Table5[[#This Row],[PID]],DraftResults[[#All],[Player ID]],0)),"")</f>
        <v>127</v>
      </c>
      <c r="Z467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4</v>
      </c>
      <c r="AA467" s="50">
        <f>IFERROR(INDEX(DraftResults[[#All],[Pick in Round]],MATCH(Table5[[#This Row],[PID]],DraftResults[[#All],[Player ID]],0)),"")</f>
        <v>22</v>
      </c>
      <c r="AB467" s="50" t="str">
        <f>IFERROR(INDEX(DraftResults[[#All],[Team Name]],MATCH(Table5[[#This Row],[PID]],DraftResults[[#All],[Player ID]],0)),"")</f>
        <v>Bakersfield Bears</v>
      </c>
      <c r="AC467" s="50">
        <f>IF(Table5[[#This Row],[Ovr]]="","",IF(Table5[[#This Row],[cmbList]]="","",Table5[[#This Row],[cmbList]]-Table5[[#This Row],[Ovr]]))</f>
        <v>1315</v>
      </c>
      <c r="AD467" s="54" t="str">
        <f>IF(ISERROR(VLOOKUP($AB467&amp;"-"&amp;$E467&amp;" "&amp;F467,Bonuses!$B$1:$G$1006,4,FALSE)),"",INT(VLOOKUP($AB467&amp;"-"&amp;$E467&amp;" "&amp;$F467,Bonuses!$B$1:$G$1006,4,FALSE)))</f>
        <v/>
      </c>
      <c r="AE467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4.22 (127) - C Javier Leal</v>
      </c>
    </row>
    <row r="468" spans="1:31" s="50" customFormat="1" x14ac:dyDescent="0.3">
      <c r="A468" s="50">
        <v>13219</v>
      </c>
      <c r="B468" s="50">
        <f>COUNTIF(Table5[PID],A468)</f>
        <v>1</v>
      </c>
      <c r="C468" s="50" t="str">
        <f>IF(COUNTIF(Table3[[#All],[PID]],A468)&gt;0,"P","B")</f>
        <v>P</v>
      </c>
      <c r="D468" s="59" t="str">
        <f>IF($C468="B",INDEX(Batters[[#All],[POS]],MATCH(Table5[[#This Row],[PID]],Batters[[#All],[PID]],0)),INDEX(Table3[[#All],[POS]],MATCH(Table5[[#This Row],[PID]],Table3[[#All],[PID]],0)))</f>
        <v>SP</v>
      </c>
      <c r="E468" s="52" t="str">
        <f>IF($C468="B",INDEX(Batters[[#All],[First]],MATCH(Table5[[#This Row],[PID]],Batters[[#All],[PID]],0)),INDEX(Table3[[#All],[First]],MATCH(Table5[[#This Row],[PID]],Table3[[#All],[PID]],0)))</f>
        <v>Yugoro</v>
      </c>
      <c r="F468" s="50" t="str">
        <f>IF($C468="B",INDEX(Batters[[#All],[Last]],MATCH(A468,Batters[[#All],[PID]],0)),INDEX(Table3[[#All],[Last]],MATCH(A468,Table3[[#All],[PID]],0)))</f>
        <v>Kamuta</v>
      </c>
      <c r="G468" s="56">
        <f>IF($C468="B",INDEX(Batters[[#All],[Age]],MATCH(Table5[[#This Row],[PID]],Batters[[#All],[PID]],0)),INDEX(Table3[[#All],[Age]],MATCH(Table5[[#This Row],[PID]],Table3[[#All],[PID]],0)))</f>
        <v>17</v>
      </c>
      <c r="H468" s="52" t="str">
        <f>IF($C468="B",INDEX(Batters[[#All],[B]],MATCH(Table5[[#This Row],[PID]],Batters[[#All],[PID]],0)),INDEX(Table3[[#All],[B]],MATCH(Table5[[#This Row],[PID]],Table3[[#All],[PID]],0)))</f>
        <v>L</v>
      </c>
      <c r="I468" s="52" t="str">
        <f>IF($C468="B",INDEX(Batters[[#All],[T]],MATCH(Table5[[#This Row],[PID]],Batters[[#All],[PID]],0)),INDEX(Table3[[#All],[T]],MATCH(Table5[[#This Row],[PID]],Table3[[#All],[PID]],0)))</f>
        <v>R</v>
      </c>
      <c r="J468" s="52" t="str">
        <f>IF($C468="B",INDEX(Batters[[#All],[WE]],MATCH(Table5[[#This Row],[PID]],Batters[[#All],[PID]],0)),INDEX(Table3[[#All],[WE]],MATCH(Table5[[#This Row],[PID]],Table3[[#All],[PID]],0)))</f>
        <v>Normal</v>
      </c>
      <c r="K468" s="52" t="str">
        <f>IF($C468="B",INDEX(Batters[[#All],[INT]],MATCH(Table5[[#This Row],[PID]],Batters[[#All],[PID]],0)),INDEX(Table3[[#All],[INT]],MATCH(Table5[[#This Row],[PID]],Table3[[#All],[PID]],0)))</f>
        <v>Normal</v>
      </c>
      <c r="L468" s="60">
        <f>IF($C468="B",INDEX(Batters[[#All],[CON P]],MATCH(Table5[[#This Row],[PID]],Batters[[#All],[PID]],0)),INDEX(Table3[[#All],[STU P]],MATCH(Table5[[#This Row],[PID]],Table3[[#All],[PID]],0)))</f>
        <v>5</v>
      </c>
      <c r="M468" s="56">
        <f>IF($C468="B",INDEX(Batters[[#All],[GAP P]],MATCH(Table5[[#This Row],[PID]],Batters[[#All],[PID]],0)),INDEX(Table3[[#All],[MOV P]],MATCH(Table5[[#This Row],[PID]],Table3[[#All],[PID]],0)))</f>
        <v>1</v>
      </c>
      <c r="N468" s="56">
        <f>IF($C468="B",INDEX(Batters[[#All],[POW P]],MATCH(Table5[[#This Row],[PID]],Batters[[#All],[PID]],0)),INDEX(Table3[[#All],[CON P]],MATCH(Table5[[#This Row],[PID]],Table3[[#All],[PID]],0)))</f>
        <v>2</v>
      </c>
      <c r="O468" s="56" t="str">
        <f>IF($C468="B",INDEX(Batters[[#All],[EYE P]],MATCH(Table5[[#This Row],[PID]],Batters[[#All],[PID]],0)),INDEX(Table3[[#All],[VELO]],MATCH(Table5[[#This Row],[PID]],Table3[[#All],[PID]],0)))</f>
        <v>92-94 Mph</v>
      </c>
      <c r="P468" s="56">
        <f>IF($C468="B",INDEX(Batters[[#All],[K P]],MATCH(Table5[[#This Row],[PID]],Batters[[#All],[PID]],0)),INDEX(Table3[[#All],[STM]],MATCH(Table5[[#This Row],[PID]],Table3[[#All],[PID]],0)))</f>
        <v>6</v>
      </c>
      <c r="Q468" s="61">
        <f>IF($C468="B",INDEX(Batters[[#All],[Tot]],MATCH(Table5[[#This Row],[PID]],Batters[[#All],[PID]],0)),INDEX(Table3[[#All],[Tot]],MATCH(Table5[[#This Row],[PID]],Table3[[#All],[PID]],0)))</f>
        <v>33.29976953893032</v>
      </c>
      <c r="R468" s="52">
        <f>IF($C468="B",INDEX(Batters[[#All],[zScore]],MATCH(Table5[[#This Row],[PID]],Batters[[#All],[PID]],0)),INDEX(Table3[[#All],[zScore]],MATCH(Table5[[#This Row],[PID]],Table3[[#All],[PID]],0)))</f>
        <v>-0.32063195696854779</v>
      </c>
      <c r="S468" s="58" t="str">
        <f>IF($C468="B",INDEX(Batters[[#All],[DEM]],MATCH(Table5[[#This Row],[PID]],Batters[[#All],[PID]],0)),INDEX(Table3[[#All],[DEM]],MATCH(Table5[[#This Row],[PID]],Table3[[#All],[PID]],0)))</f>
        <v>$65k</v>
      </c>
      <c r="T468" s="62">
        <f>IF($C468="B",INDEX(Batters[[#All],[Rnk]],MATCH(Table5[[#This Row],[PID]],Batters[[#All],[PID]],0)),INDEX(Table3[[#All],[Rnk]],MATCH(Table5[[#This Row],[PID]],Table3[[#All],[PID]],0)))</f>
        <v>900</v>
      </c>
      <c r="U468" s="67">
        <f>IF($C468="B",VLOOKUP($A468,Bat!$A$4:$BA$1314,47,FALSE),VLOOKUP($A468,Pit!$A$4:$BF$1214,56,FALSE))</f>
        <v>167</v>
      </c>
      <c r="V468" s="50">
        <f>IF($C468="B",VLOOKUP($A468,Bat!$A$4:$BA$1314,48,FALSE),VLOOKUP($A468,Pit!$A$4:$BF$1214,57,FALSE))</f>
        <v>0</v>
      </c>
      <c r="W468" s="68">
        <f>IF(Table5[[#This Row],[posRnk]]=999,9999,Table5[[#This Row],[posRnk]]+Table5[[#This Row],[zRnk]]+IF($W$3&lt;&gt;Table5[[#This Row],[Type]],50,0))</f>
        <v>1393</v>
      </c>
      <c r="X468" s="51">
        <f>RANK(Table5[[#This Row],[zScore]],Table5[[#All],[zScore]])</f>
        <v>493</v>
      </c>
      <c r="Y468" s="50">
        <f>IFERROR(INDEX(DraftResults[[#All],[OVR]],MATCH(Table5[[#This Row],[PID]],DraftResults[[#All],[Player ID]],0)),"")</f>
        <v>514</v>
      </c>
      <c r="Z468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16</v>
      </c>
      <c r="AA468" s="50">
        <f>IFERROR(INDEX(DraftResults[[#All],[Pick in Round]],MATCH(Table5[[#This Row],[PID]],DraftResults[[#All],[Player ID]],0)),"")</f>
        <v>13</v>
      </c>
      <c r="AB468" s="50" t="str">
        <f>IFERROR(INDEX(DraftResults[[#All],[Team Name]],MATCH(Table5[[#This Row],[PID]],DraftResults[[#All],[Player ID]],0)),"")</f>
        <v>Scottish Claymores</v>
      </c>
      <c r="AC468" s="50">
        <f>IF(Table5[[#This Row],[Ovr]]="","",IF(Table5[[#This Row],[cmbList]]="","",Table5[[#This Row],[cmbList]]-Table5[[#This Row],[Ovr]]))</f>
        <v>879</v>
      </c>
      <c r="AD468" s="54" t="str">
        <f>IF(ISERROR(VLOOKUP($AB468&amp;"-"&amp;$E468&amp;" "&amp;F468,Bonuses!$B$1:$G$1006,4,FALSE)),"",INT(VLOOKUP($AB468&amp;"-"&amp;$E468&amp;" "&amp;$F468,Bonuses!$B$1:$G$1006,4,FALSE)))</f>
        <v/>
      </c>
      <c r="AE468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16.13 (514) - SP Yugoro Kamuta</v>
      </c>
    </row>
    <row r="469" spans="1:31" s="50" customFormat="1" x14ac:dyDescent="0.3">
      <c r="A469" s="50">
        <v>5209</v>
      </c>
      <c r="B469" s="50">
        <f>COUNTIF(Table5[PID],A469)</f>
        <v>1</v>
      </c>
      <c r="C469" s="50" t="str">
        <f>IF(COUNTIF(Table3[[#All],[PID]],A469)&gt;0,"P","B")</f>
        <v>P</v>
      </c>
      <c r="D469" s="59" t="str">
        <f>IF($C469="B",INDEX(Batters[[#All],[POS]],MATCH(Table5[[#This Row],[PID]],Batters[[#All],[PID]],0)),INDEX(Table3[[#All],[POS]],MATCH(Table5[[#This Row],[PID]],Table3[[#All],[PID]],0)))</f>
        <v>SP</v>
      </c>
      <c r="E469" s="52" t="str">
        <f>IF($C469="B",INDEX(Batters[[#All],[First]],MATCH(Table5[[#This Row],[PID]],Batters[[#All],[PID]],0)),INDEX(Table3[[#All],[First]],MATCH(Table5[[#This Row],[PID]],Table3[[#All],[PID]],0)))</f>
        <v>Mark</v>
      </c>
      <c r="F469" s="50" t="str">
        <f>IF($C469="B",INDEX(Batters[[#All],[Last]],MATCH(A469,Batters[[#All],[PID]],0)),INDEX(Table3[[#All],[Last]],MATCH(A469,Table3[[#All],[PID]],0)))</f>
        <v>Sanders</v>
      </c>
      <c r="G469" s="56">
        <f>IF($C469="B",INDEX(Batters[[#All],[Age]],MATCH(Table5[[#This Row],[PID]],Batters[[#All],[PID]],0)),INDEX(Table3[[#All],[Age]],MATCH(Table5[[#This Row],[PID]],Table3[[#All],[PID]],0)))</f>
        <v>21</v>
      </c>
      <c r="H469" s="52" t="str">
        <f>IF($C469="B",INDEX(Batters[[#All],[B]],MATCH(Table5[[#This Row],[PID]],Batters[[#All],[PID]],0)),INDEX(Table3[[#All],[B]],MATCH(Table5[[#This Row],[PID]],Table3[[#All],[PID]],0)))</f>
        <v>R</v>
      </c>
      <c r="I469" s="52" t="str">
        <f>IF($C469="B",INDEX(Batters[[#All],[T]],MATCH(Table5[[#This Row],[PID]],Batters[[#All],[PID]],0)),INDEX(Table3[[#All],[T]],MATCH(Table5[[#This Row],[PID]],Table3[[#All],[PID]],0)))</f>
        <v>R</v>
      </c>
      <c r="J469" s="52" t="str">
        <f>IF($C469="B",INDEX(Batters[[#All],[WE]],MATCH(Table5[[#This Row],[PID]],Batters[[#All],[PID]],0)),INDEX(Table3[[#All],[WE]],MATCH(Table5[[#This Row],[PID]],Table3[[#All],[PID]],0)))</f>
        <v>Low</v>
      </c>
      <c r="K469" s="52" t="str">
        <f>IF($C469="B",INDEX(Batters[[#All],[INT]],MATCH(Table5[[#This Row],[PID]],Batters[[#All],[PID]],0)),INDEX(Table3[[#All],[INT]],MATCH(Table5[[#This Row],[PID]],Table3[[#All],[PID]],0)))</f>
        <v>Normal</v>
      </c>
      <c r="L469" s="60">
        <f>IF($C469="B",INDEX(Batters[[#All],[CON P]],MATCH(Table5[[#This Row],[PID]],Batters[[#All],[PID]],0)),INDEX(Table3[[#All],[STU P]],MATCH(Table5[[#This Row],[PID]],Table3[[#All],[PID]],0)))</f>
        <v>4</v>
      </c>
      <c r="M469" s="56">
        <f>IF($C469="B",INDEX(Batters[[#All],[GAP P]],MATCH(Table5[[#This Row],[PID]],Batters[[#All],[PID]],0)),INDEX(Table3[[#All],[MOV P]],MATCH(Table5[[#This Row],[PID]],Table3[[#All],[PID]],0)))</f>
        <v>2</v>
      </c>
      <c r="N469" s="56">
        <f>IF($C469="B",INDEX(Batters[[#All],[POW P]],MATCH(Table5[[#This Row],[PID]],Batters[[#All],[PID]],0)),INDEX(Table3[[#All],[CON P]],MATCH(Table5[[#This Row],[PID]],Table3[[#All],[PID]],0)))</f>
        <v>4</v>
      </c>
      <c r="O469" s="56" t="str">
        <f>IF($C469="B",INDEX(Batters[[#All],[EYE P]],MATCH(Table5[[#This Row],[PID]],Batters[[#All],[PID]],0)),INDEX(Table3[[#All],[VELO]],MATCH(Table5[[#This Row],[PID]],Table3[[#All],[PID]],0)))</f>
        <v>93-95 Mph</v>
      </c>
      <c r="P469" s="56">
        <f>IF($C469="B",INDEX(Batters[[#All],[K P]],MATCH(Table5[[#This Row],[PID]],Batters[[#All],[PID]],0)),INDEX(Table3[[#All],[STM]],MATCH(Table5[[#This Row],[PID]],Table3[[#All],[PID]],0)))</f>
        <v>6</v>
      </c>
      <c r="Q469" s="61">
        <f>IF($C469="B",INDEX(Batters[[#All],[Tot]],MATCH(Table5[[#This Row],[PID]],Batters[[#All],[PID]],0)),INDEX(Table3[[#All],[Tot]],MATCH(Table5[[#This Row],[PID]],Table3[[#All],[PID]],0)))</f>
        <v>34.553346297910522</v>
      </c>
      <c r="R469" s="52">
        <f>IF($C469="B",INDEX(Batters[[#All],[zScore]],MATCH(Table5[[#This Row],[PID]],Batters[[#All],[PID]],0)),INDEX(Table3[[#All],[zScore]],MATCH(Table5[[#This Row],[PID]],Table3[[#All],[PID]],0)))</f>
        <v>-0.23136847548304643</v>
      </c>
      <c r="S469" s="58" t="str">
        <f>IF($C469="B",INDEX(Batters[[#All],[DEM]],MATCH(Table5[[#This Row],[PID]],Batters[[#All],[PID]],0)),INDEX(Table3[[#All],[DEM]],MATCH(Table5[[#This Row],[PID]],Table3[[#All],[PID]],0)))</f>
        <v>-</v>
      </c>
      <c r="T469" s="62">
        <f>IF($C469="B",INDEX(Batters[[#All],[Rnk]],MATCH(Table5[[#This Row],[PID]],Batters[[#All],[PID]],0)),INDEX(Table3[[#All],[Rnk]],MATCH(Table5[[#This Row],[PID]],Table3[[#All],[PID]],0)))</f>
        <v>930</v>
      </c>
      <c r="U469" s="67">
        <f>IF($C469="B",VLOOKUP($A469,Bat!$A$4:$BA$1314,47,FALSE),VLOOKUP($A469,Pit!$A$4:$BF$1214,56,FALSE))</f>
        <v>299</v>
      </c>
      <c r="V469" s="50">
        <f>IF($C469="B",VLOOKUP($A469,Bat!$A$4:$BA$1314,48,FALSE),VLOOKUP($A469,Pit!$A$4:$BF$1214,57,FALSE))</f>
        <v>0</v>
      </c>
      <c r="W469" s="68">
        <f>IF(Table5[[#This Row],[posRnk]]=999,9999,Table5[[#This Row],[posRnk]]+Table5[[#This Row],[zRnk]]+IF($W$3&lt;&gt;Table5[[#This Row],[Type]],50,0))</f>
        <v>1393</v>
      </c>
      <c r="X469" s="51">
        <f>RANK(Table5[[#This Row],[zScore]],Table5[[#All],[zScore]])</f>
        <v>463</v>
      </c>
      <c r="Y469" s="50">
        <f>IFERROR(INDEX(DraftResults[[#All],[OVR]],MATCH(Table5[[#This Row],[PID]],DraftResults[[#All],[Player ID]],0)),"")</f>
        <v>450</v>
      </c>
      <c r="Z469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14</v>
      </c>
      <c r="AA469" s="50">
        <f>IFERROR(INDEX(DraftResults[[#All],[Pick in Round]],MATCH(Table5[[#This Row],[PID]],DraftResults[[#All],[Player ID]],0)),"")</f>
        <v>17</v>
      </c>
      <c r="AB469" s="50" t="str">
        <f>IFERROR(INDEX(DraftResults[[#All],[Team Name]],MATCH(Table5[[#This Row],[PID]],DraftResults[[#All],[Player ID]],0)),"")</f>
        <v>Duluth Warriors</v>
      </c>
      <c r="AC469" s="50">
        <f>IF(Table5[[#This Row],[Ovr]]="","",IF(Table5[[#This Row],[cmbList]]="","",Table5[[#This Row],[cmbList]]-Table5[[#This Row],[Ovr]]))</f>
        <v>943</v>
      </c>
      <c r="AD469" s="54" t="str">
        <f>IF(ISERROR(VLOOKUP($AB469&amp;"-"&amp;$E469&amp;" "&amp;F469,Bonuses!$B$1:$G$1006,4,FALSE)),"",INT(VLOOKUP($AB469&amp;"-"&amp;$E469&amp;" "&amp;$F469,Bonuses!$B$1:$G$1006,4,FALSE)))</f>
        <v/>
      </c>
      <c r="AE469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14.17 (450) - SP Mark Sanders</v>
      </c>
    </row>
    <row r="470" spans="1:31" s="50" customFormat="1" x14ac:dyDescent="0.3">
      <c r="A470" s="50">
        <v>9270</v>
      </c>
      <c r="B470" s="50">
        <f>COUNTIF(Table5[PID],A470)</f>
        <v>1</v>
      </c>
      <c r="C470" s="50" t="str">
        <f>IF(COUNTIF(Table3[[#All],[PID]],A470)&gt;0,"P","B")</f>
        <v>P</v>
      </c>
      <c r="D470" s="59" t="str">
        <f>IF($C470="B",INDEX(Batters[[#All],[POS]],MATCH(Table5[[#This Row],[PID]],Batters[[#All],[PID]],0)),INDEX(Table3[[#All],[POS]],MATCH(Table5[[#This Row],[PID]],Table3[[#All],[PID]],0)))</f>
        <v>RP</v>
      </c>
      <c r="E470" s="52" t="str">
        <f>IF($C470="B",INDEX(Batters[[#All],[First]],MATCH(Table5[[#This Row],[PID]],Batters[[#All],[PID]],0)),INDEX(Table3[[#All],[First]],MATCH(Table5[[#This Row],[PID]],Table3[[#All],[PID]],0)))</f>
        <v>Ed</v>
      </c>
      <c r="F470" s="50" t="str">
        <f>IF($C470="B",INDEX(Batters[[#All],[Last]],MATCH(A470,Batters[[#All],[PID]],0)),INDEX(Table3[[#All],[Last]],MATCH(A470,Table3[[#All],[PID]],0)))</f>
        <v>Bates</v>
      </c>
      <c r="G470" s="56">
        <f>IF($C470="B",INDEX(Batters[[#All],[Age]],MATCH(Table5[[#This Row],[PID]],Batters[[#All],[PID]],0)),INDEX(Table3[[#All],[Age]],MATCH(Table5[[#This Row],[PID]],Table3[[#All],[PID]],0)))</f>
        <v>18</v>
      </c>
      <c r="H470" s="52" t="str">
        <f>IF($C470="B",INDEX(Batters[[#All],[B]],MATCH(Table5[[#This Row],[PID]],Batters[[#All],[PID]],0)),INDEX(Table3[[#All],[B]],MATCH(Table5[[#This Row],[PID]],Table3[[#All],[PID]],0)))</f>
        <v>L</v>
      </c>
      <c r="I470" s="52" t="str">
        <f>IF($C470="B",INDEX(Batters[[#All],[T]],MATCH(Table5[[#This Row],[PID]],Batters[[#All],[PID]],0)),INDEX(Table3[[#All],[T]],MATCH(Table5[[#This Row],[PID]],Table3[[#All],[PID]],0)))</f>
        <v>L</v>
      </c>
      <c r="J470" s="52" t="str">
        <f>IF($C470="B",INDEX(Batters[[#All],[WE]],MATCH(Table5[[#This Row],[PID]],Batters[[#All],[PID]],0)),INDEX(Table3[[#All],[WE]],MATCH(Table5[[#This Row],[PID]],Table3[[#All],[PID]],0)))</f>
        <v>Low</v>
      </c>
      <c r="K470" s="52" t="str">
        <f>IF($C470="B",INDEX(Batters[[#All],[INT]],MATCH(Table5[[#This Row],[PID]],Batters[[#All],[PID]],0)),INDEX(Table3[[#All],[INT]],MATCH(Table5[[#This Row],[PID]],Table3[[#All],[PID]],0)))</f>
        <v>Low</v>
      </c>
      <c r="L470" s="60">
        <f>IF($C470="B",INDEX(Batters[[#All],[CON P]],MATCH(Table5[[#This Row],[PID]],Batters[[#All],[PID]],0)),INDEX(Table3[[#All],[STU P]],MATCH(Table5[[#This Row],[PID]],Table3[[#All],[PID]],0)))</f>
        <v>5</v>
      </c>
      <c r="M470" s="56">
        <f>IF($C470="B",INDEX(Batters[[#All],[GAP P]],MATCH(Table5[[#This Row],[PID]],Batters[[#All],[PID]],0)),INDEX(Table3[[#All],[MOV P]],MATCH(Table5[[#This Row],[PID]],Table3[[#All],[PID]],0)))</f>
        <v>1</v>
      </c>
      <c r="N470" s="56">
        <f>IF($C470="B",INDEX(Batters[[#All],[POW P]],MATCH(Table5[[#This Row],[PID]],Batters[[#All],[PID]],0)),INDEX(Table3[[#All],[CON P]],MATCH(Table5[[#This Row],[PID]],Table3[[#All],[PID]],0)))</f>
        <v>3</v>
      </c>
      <c r="O470" s="56" t="str">
        <f>IF($C470="B",INDEX(Batters[[#All],[EYE P]],MATCH(Table5[[#This Row],[PID]],Batters[[#All],[PID]],0)),INDEX(Table3[[#All],[VELO]],MATCH(Table5[[#This Row],[PID]],Table3[[#All],[PID]],0)))</f>
        <v>90-92 Mph</v>
      </c>
      <c r="P470" s="56">
        <f>IF($C470="B",INDEX(Batters[[#All],[K P]],MATCH(Table5[[#This Row],[PID]],Batters[[#All],[PID]],0)),INDEX(Table3[[#All],[STM]],MATCH(Table5[[#This Row],[PID]],Table3[[#All],[PID]],0)))</f>
        <v>7</v>
      </c>
      <c r="Q470" s="61">
        <f>IF($C470="B",INDEX(Batters[[#All],[Tot]],MATCH(Table5[[#This Row],[PID]],Batters[[#All],[PID]],0)),INDEX(Table3[[#All],[Tot]],MATCH(Table5[[#This Row],[PID]],Table3[[#All],[PID]],0)))</f>
        <v>35.046980275596077</v>
      </c>
      <c r="R470" s="52">
        <f>IF($C470="B",INDEX(Batters[[#All],[zScore]],MATCH(Table5[[#This Row],[PID]],Batters[[#All],[PID]],0)),INDEX(Table3[[#All],[zScore]],MATCH(Table5[[#This Row],[PID]],Table3[[#All],[PID]],0)))</f>
        <v>-0.19621826460677347</v>
      </c>
      <c r="S470" s="58" t="str">
        <f>IF($C470="B",INDEX(Batters[[#All],[DEM]],MATCH(Table5[[#This Row],[PID]],Batters[[#All],[PID]],0)),INDEX(Table3[[#All],[DEM]],MATCH(Table5[[#This Row],[PID]],Table3[[#All],[PID]],0)))</f>
        <v>$75k</v>
      </c>
      <c r="T470" s="62">
        <f>IF($C470="B",INDEX(Batters[[#All],[Rnk]],MATCH(Table5[[#This Row],[PID]],Batters[[#All],[PID]],0)),INDEX(Table3[[#All],[Rnk]],MATCH(Table5[[#This Row],[PID]],Table3[[#All],[PID]],0)))</f>
        <v>950</v>
      </c>
      <c r="U470" s="67">
        <f>IF($C470="B",VLOOKUP($A470,Bat!$A$4:$BA$1314,47,FALSE),VLOOKUP($A470,Pit!$A$4:$BF$1214,56,FALSE))</f>
        <v>414</v>
      </c>
      <c r="V470" s="50">
        <f>IF($C470="B",VLOOKUP($A470,Bat!$A$4:$BA$1314,48,FALSE),VLOOKUP($A470,Pit!$A$4:$BF$1214,57,FALSE))</f>
        <v>0</v>
      </c>
      <c r="W470" s="68">
        <f>IF(Table5[[#This Row],[posRnk]]=999,9999,Table5[[#This Row],[posRnk]]+Table5[[#This Row],[zRnk]]+IF($W$3&lt;&gt;Table5[[#This Row],[Type]],50,0))</f>
        <v>1393</v>
      </c>
      <c r="X470" s="51">
        <f>RANK(Table5[[#This Row],[zScore]],Table5[[#All],[zScore]])</f>
        <v>443</v>
      </c>
      <c r="Y470" s="50">
        <f>IFERROR(INDEX(DraftResults[[#All],[OVR]],MATCH(Table5[[#This Row],[PID]],DraftResults[[#All],[Player ID]],0)),"")</f>
        <v>505</v>
      </c>
      <c r="Z470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16</v>
      </c>
      <c r="AA470" s="50">
        <f>IFERROR(INDEX(DraftResults[[#All],[Pick in Round]],MATCH(Table5[[#This Row],[PID]],DraftResults[[#All],[Player ID]],0)),"")</f>
        <v>4</v>
      </c>
      <c r="AB470" s="50" t="str">
        <f>IFERROR(INDEX(DraftResults[[#All],[Team Name]],MATCH(Table5[[#This Row],[PID]],DraftResults[[#All],[Player ID]],0)),"")</f>
        <v>Palm Springs Codgers</v>
      </c>
      <c r="AC470" s="50">
        <f>IF(Table5[[#This Row],[Ovr]]="","",IF(Table5[[#This Row],[cmbList]]="","",Table5[[#This Row],[cmbList]]-Table5[[#This Row],[Ovr]]))</f>
        <v>888</v>
      </c>
      <c r="AD470" s="54" t="str">
        <f>IF(ISERROR(VLOOKUP($AB470&amp;"-"&amp;$E470&amp;" "&amp;F470,Bonuses!$B$1:$G$1006,4,FALSE)),"",INT(VLOOKUP($AB470&amp;"-"&amp;$E470&amp;" "&amp;$F470,Bonuses!$B$1:$G$1006,4,FALSE)))</f>
        <v/>
      </c>
      <c r="AE470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16.4 (505) - RP Ed Bates</v>
      </c>
    </row>
    <row r="471" spans="1:31" s="50" customFormat="1" x14ac:dyDescent="0.3">
      <c r="A471" s="67">
        <v>5086</v>
      </c>
      <c r="B471" s="68">
        <f>COUNTIF(Table5[PID],A471)</f>
        <v>1</v>
      </c>
      <c r="C471" s="68" t="str">
        <f>IF(COUNTIF(Table3[[#All],[PID]],A471)&gt;0,"P","B")</f>
        <v>P</v>
      </c>
      <c r="D471" s="59" t="str">
        <f>IF($C471="B",INDEX(Batters[[#All],[POS]],MATCH(Table5[[#This Row],[PID]],Batters[[#All],[PID]],0)),INDEX(Table3[[#All],[POS]],MATCH(Table5[[#This Row],[PID]],Table3[[#All],[PID]],0)))</f>
        <v>RP</v>
      </c>
      <c r="E471" s="52" t="str">
        <f>IF($C471="B",INDEX(Batters[[#All],[First]],MATCH(Table5[[#This Row],[PID]],Batters[[#All],[PID]],0)),INDEX(Table3[[#All],[First]],MATCH(Table5[[#This Row],[PID]],Table3[[#All],[PID]],0)))</f>
        <v>Brian</v>
      </c>
      <c r="F471" s="55" t="str">
        <f>IF($C471="B",INDEX(Batters[[#All],[Last]],MATCH(A471,Batters[[#All],[PID]],0)),INDEX(Table3[[#All],[Last]],MATCH(A471,Table3[[#All],[PID]],0)))</f>
        <v>Brown</v>
      </c>
      <c r="G471" s="56">
        <f>IF($C471="B",INDEX(Batters[[#All],[Age]],MATCH(Table5[[#This Row],[PID]],Batters[[#All],[PID]],0)),INDEX(Table3[[#All],[Age]],MATCH(Table5[[#This Row],[PID]],Table3[[#All],[PID]],0)))</f>
        <v>21</v>
      </c>
      <c r="H471" s="52" t="str">
        <f>IF($C471="B",INDEX(Batters[[#All],[B]],MATCH(Table5[[#This Row],[PID]],Batters[[#All],[PID]],0)),INDEX(Table3[[#All],[B]],MATCH(Table5[[#This Row],[PID]],Table3[[#All],[PID]],0)))</f>
        <v>R</v>
      </c>
      <c r="I471" s="52" t="str">
        <f>IF($C471="B",INDEX(Batters[[#All],[T]],MATCH(Table5[[#This Row],[PID]],Batters[[#All],[PID]],0)),INDEX(Table3[[#All],[T]],MATCH(Table5[[#This Row],[PID]],Table3[[#All],[PID]],0)))</f>
        <v>R</v>
      </c>
      <c r="J471" s="69" t="str">
        <f>IF($C471="B",INDEX(Batters[[#All],[WE]],MATCH(Table5[[#This Row],[PID]],Batters[[#All],[PID]],0)),INDEX(Table3[[#All],[WE]],MATCH(Table5[[#This Row],[PID]],Table3[[#All],[PID]],0)))</f>
        <v>High</v>
      </c>
      <c r="K471" s="52" t="str">
        <f>IF($C471="B",INDEX(Batters[[#All],[INT]],MATCH(Table5[[#This Row],[PID]],Batters[[#All],[PID]],0)),INDEX(Table3[[#All],[INT]],MATCH(Table5[[#This Row],[PID]],Table3[[#All],[PID]],0)))</f>
        <v>Normal</v>
      </c>
      <c r="L471" s="60">
        <f>IF($C471="B",INDEX(Batters[[#All],[CON P]],MATCH(Table5[[#This Row],[PID]],Batters[[#All],[PID]],0)),INDEX(Table3[[#All],[STU P]],MATCH(Table5[[#This Row],[PID]],Table3[[#All],[PID]],0)))</f>
        <v>5</v>
      </c>
      <c r="M471" s="70">
        <f>IF($C471="B",INDEX(Batters[[#All],[GAP P]],MATCH(Table5[[#This Row],[PID]],Batters[[#All],[PID]],0)),INDEX(Table3[[#All],[MOV P]],MATCH(Table5[[#This Row],[PID]],Table3[[#All],[PID]],0)))</f>
        <v>3</v>
      </c>
      <c r="N471" s="70">
        <f>IF($C471="B",INDEX(Batters[[#All],[POW P]],MATCH(Table5[[#This Row],[PID]],Batters[[#All],[PID]],0)),INDEX(Table3[[#All],[CON P]],MATCH(Table5[[#This Row],[PID]],Table3[[#All],[PID]],0)))</f>
        <v>2</v>
      </c>
      <c r="O471" s="70" t="str">
        <f>IF($C471="B",INDEX(Batters[[#All],[EYE P]],MATCH(Table5[[#This Row],[PID]],Batters[[#All],[PID]],0)),INDEX(Table3[[#All],[VELO]],MATCH(Table5[[#This Row],[PID]],Table3[[#All],[PID]],0)))</f>
        <v>92-94 Mph</v>
      </c>
      <c r="P471" s="56">
        <f>IF($C471="B",INDEX(Batters[[#All],[K P]],MATCH(Table5[[#This Row],[PID]],Batters[[#All],[PID]],0)),INDEX(Table3[[#All],[STM]],MATCH(Table5[[#This Row],[PID]],Table3[[#All],[PID]],0)))</f>
        <v>7</v>
      </c>
      <c r="Q471" s="61">
        <f>IF($C471="B",INDEX(Batters[[#All],[Tot]],MATCH(Table5[[#This Row],[PID]],Batters[[#All],[PID]],0)),INDEX(Table3[[#All],[Tot]],MATCH(Table5[[#This Row],[PID]],Table3[[#All],[PID]],0)))</f>
        <v>33.245862219903941</v>
      </c>
      <c r="R471" s="52">
        <f>IF($C471="B",INDEX(Batters[[#All],[zScore]],MATCH(Table5[[#This Row],[PID]],Batters[[#All],[PID]],0)),INDEX(Table3[[#All],[zScore]],MATCH(Table5[[#This Row],[PID]],Table3[[#All],[PID]],0)))</f>
        <v>-0.32447053720655317</v>
      </c>
      <c r="S471" s="75" t="str">
        <f>IF($C471="B",INDEX(Batters[[#All],[DEM]],MATCH(Table5[[#This Row],[PID]],Batters[[#All],[PID]],0)),INDEX(Table3[[#All],[DEM]],MATCH(Table5[[#This Row],[PID]],Table3[[#All],[PID]],0)))</f>
        <v>-</v>
      </c>
      <c r="T471" s="72">
        <f>IF($C471="B",INDEX(Batters[[#All],[Rnk]],MATCH(Table5[[#This Row],[PID]],Batters[[#All],[PID]],0)),INDEX(Table3[[#All],[Rnk]],MATCH(Table5[[#This Row],[PID]],Table3[[#All],[PID]],0)))</f>
        <v>900</v>
      </c>
      <c r="U471" s="67">
        <f>IF($C471="B",VLOOKUP($A471,Bat!$A$4:$BA$1314,47,FALSE),VLOOKUP($A471,Pit!$A$4:$BF$1214,56,FALSE))</f>
        <v>159</v>
      </c>
      <c r="V471" s="50">
        <f>IF($C471="B",VLOOKUP($A471,Bat!$A$4:$BA$1314,48,FALSE),VLOOKUP($A471,Pit!$A$4:$BF$1214,57,FALSE))</f>
        <v>0</v>
      </c>
      <c r="W471" s="68">
        <f>IF(Table5[[#This Row],[posRnk]]=999,9999,Table5[[#This Row],[posRnk]]+Table5[[#This Row],[zRnk]]+IF($W$3&lt;&gt;Table5[[#This Row],[Type]],50,0))</f>
        <v>1396</v>
      </c>
      <c r="X471" s="71">
        <f>RANK(Table5[[#This Row],[zScore]],Table5[[#All],[zScore]])</f>
        <v>496</v>
      </c>
      <c r="Y471" s="68">
        <f>IFERROR(INDEX(DraftResults[[#All],[OVR]],MATCH(Table5[[#This Row],[PID]],DraftResults[[#All],[Player ID]],0)),"")</f>
        <v>373</v>
      </c>
      <c r="Z471" s="7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12</v>
      </c>
      <c r="AA471" s="68">
        <f>IFERROR(INDEX(DraftResults[[#All],[Pick in Round]],MATCH(Table5[[#This Row],[PID]],DraftResults[[#All],[Player ID]],0)),"")</f>
        <v>8</v>
      </c>
      <c r="AB471" s="68" t="str">
        <f>IFERROR(INDEX(DraftResults[[#All],[Team Name]],MATCH(Table5[[#This Row],[PID]],DraftResults[[#All],[Player ID]],0)),"")</f>
        <v>Gloucester Fishermen</v>
      </c>
      <c r="AC471" s="68">
        <f>IF(Table5[[#This Row],[Ovr]]="","",IF(Table5[[#This Row],[cmbList]]="","",Table5[[#This Row],[cmbList]]-Table5[[#This Row],[Ovr]]))</f>
        <v>1023</v>
      </c>
      <c r="AD471" s="74" t="str">
        <f>IF(ISERROR(VLOOKUP($AB471&amp;"-"&amp;$E471&amp;" "&amp;F471,Bonuses!$B$1:$G$1006,4,FALSE)),"",INT(VLOOKUP($AB471&amp;"-"&amp;$E471&amp;" "&amp;$F471,Bonuses!$B$1:$G$1006,4,FALSE)))</f>
        <v/>
      </c>
      <c r="AE471" s="68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12.8 (373) - RP Brian Brown</v>
      </c>
    </row>
    <row r="472" spans="1:31" s="50" customFormat="1" x14ac:dyDescent="0.3">
      <c r="A472" s="50">
        <v>12796</v>
      </c>
      <c r="B472" s="50">
        <f>COUNTIF(Table5[PID],A472)</f>
        <v>1</v>
      </c>
      <c r="C472" s="50" t="str">
        <f>IF(COUNTIF(Table3[[#All],[PID]],A472)&gt;0,"P","B")</f>
        <v>P</v>
      </c>
      <c r="D472" s="59" t="str">
        <f>IF($C472="B",INDEX(Batters[[#All],[POS]],MATCH(Table5[[#This Row],[PID]],Batters[[#All],[PID]],0)),INDEX(Table3[[#All],[POS]],MATCH(Table5[[#This Row],[PID]],Table3[[#All],[PID]],0)))</f>
        <v>SP</v>
      </c>
      <c r="E472" s="52" t="str">
        <f>IF($C472="B",INDEX(Batters[[#All],[First]],MATCH(Table5[[#This Row],[PID]],Batters[[#All],[PID]],0)),INDEX(Table3[[#All],[First]],MATCH(Table5[[#This Row],[PID]],Table3[[#All],[PID]],0)))</f>
        <v>Amadeo</v>
      </c>
      <c r="F472" s="50" t="str">
        <f>IF($C472="B",INDEX(Batters[[#All],[Last]],MATCH(A472,Batters[[#All],[PID]],0)),INDEX(Table3[[#All],[Last]],MATCH(A472,Table3[[#All],[PID]],0)))</f>
        <v>Pedrazzini</v>
      </c>
      <c r="G472" s="56">
        <f>IF($C472="B",INDEX(Batters[[#All],[Age]],MATCH(Table5[[#This Row],[PID]],Batters[[#All],[PID]],0)),INDEX(Table3[[#All],[Age]],MATCH(Table5[[#This Row],[PID]],Table3[[#All],[PID]],0)))</f>
        <v>18</v>
      </c>
      <c r="H472" s="52" t="str">
        <f>IF($C472="B",INDEX(Batters[[#All],[B]],MATCH(Table5[[#This Row],[PID]],Batters[[#All],[PID]],0)),INDEX(Table3[[#All],[B]],MATCH(Table5[[#This Row],[PID]],Table3[[#All],[PID]],0)))</f>
        <v>R</v>
      </c>
      <c r="I472" s="52" t="str">
        <f>IF($C472="B",INDEX(Batters[[#All],[T]],MATCH(Table5[[#This Row],[PID]],Batters[[#All],[PID]],0)),INDEX(Table3[[#All],[T]],MATCH(Table5[[#This Row],[PID]],Table3[[#All],[PID]],0)))</f>
        <v>R</v>
      </c>
      <c r="J472" s="52" t="str">
        <f>IF($C472="B",INDEX(Batters[[#All],[WE]],MATCH(Table5[[#This Row],[PID]],Batters[[#All],[PID]],0)),INDEX(Table3[[#All],[WE]],MATCH(Table5[[#This Row],[PID]],Table3[[#All],[PID]],0)))</f>
        <v>Normal</v>
      </c>
      <c r="K472" s="52" t="str">
        <f>IF($C472="B",INDEX(Batters[[#All],[INT]],MATCH(Table5[[#This Row],[PID]],Batters[[#All],[PID]],0)),INDEX(Table3[[#All],[INT]],MATCH(Table5[[#This Row],[PID]],Table3[[#All],[PID]],0)))</f>
        <v>Normal</v>
      </c>
      <c r="L472" s="60">
        <f>IF($C472="B",INDEX(Batters[[#All],[CON P]],MATCH(Table5[[#This Row],[PID]],Batters[[#All],[PID]],0)),INDEX(Table3[[#All],[STU P]],MATCH(Table5[[#This Row],[PID]],Table3[[#All],[PID]],0)))</f>
        <v>4</v>
      </c>
      <c r="M472" s="56">
        <f>IF($C472="B",INDEX(Batters[[#All],[GAP P]],MATCH(Table5[[#This Row],[PID]],Batters[[#All],[PID]],0)),INDEX(Table3[[#All],[MOV P]],MATCH(Table5[[#This Row],[PID]],Table3[[#All],[PID]],0)))</f>
        <v>2</v>
      </c>
      <c r="N472" s="56">
        <f>IF($C472="B",INDEX(Batters[[#All],[POW P]],MATCH(Table5[[#This Row],[PID]],Batters[[#All],[PID]],0)),INDEX(Table3[[#All],[CON P]],MATCH(Table5[[#This Row],[PID]],Table3[[#All],[PID]],0)))</f>
        <v>3</v>
      </c>
      <c r="O472" s="56" t="str">
        <f>IF($C472="B",INDEX(Batters[[#All],[EYE P]],MATCH(Table5[[#This Row],[PID]],Batters[[#All],[PID]],0)),INDEX(Table3[[#All],[VELO]],MATCH(Table5[[#This Row],[PID]],Table3[[#All],[PID]],0)))</f>
        <v>92-94 Mph</v>
      </c>
      <c r="P472" s="56">
        <f>IF($C472="B",INDEX(Batters[[#All],[K P]],MATCH(Table5[[#This Row],[PID]],Batters[[#All],[PID]],0)),INDEX(Table3[[#All],[STM]],MATCH(Table5[[#This Row],[PID]],Table3[[#All],[PID]],0)))</f>
        <v>10</v>
      </c>
      <c r="Q472" s="61">
        <f>IF($C472="B",INDEX(Batters[[#All],[Tot]],MATCH(Table5[[#This Row],[PID]],Batters[[#All],[PID]],0)),INDEX(Table3[[#All],[Tot]],MATCH(Table5[[#This Row],[PID]],Table3[[#All],[PID]],0)))</f>
        <v>33.200874457299733</v>
      </c>
      <c r="R472" s="52">
        <f>IF($C472="B",INDEX(Batters[[#All],[zScore]],MATCH(Table5[[#This Row],[PID]],Batters[[#All],[PID]],0)),INDEX(Table3[[#All],[zScore]],MATCH(Table5[[#This Row],[PID]],Table3[[#All],[PID]],0)))</f>
        <v>-0.32767398229719263</v>
      </c>
      <c r="S472" s="58" t="str">
        <f>IF($C472="B",INDEX(Batters[[#All],[DEM]],MATCH(Table5[[#This Row],[PID]],Batters[[#All],[PID]],0)),INDEX(Table3[[#All],[DEM]],MATCH(Table5[[#This Row],[PID]],Table3[[#All],[PID]],0)))</f>
        <v>$70k</v>
      </c>
      <c r="T472" s="62">
        <f>IF($C472="B",INDEX(Batters[[#All],[Rnk]],MATCH(Table5[[#This Row],[PID]],Batters[[#All],[PID]],0)),INDEX(Table3[[#All],[Rnk]],MATCH(Table5[[#This Row],[PID]],Table3[[#All],[PID]],0)))</f>
        <v>900</v>
      </c>
      <c r="U472" s="67">
        <f>IF($C472="B",VLOOKUP($A472,Bat!$A$4:$BA$1314,47,FALSE),VLOOKUP($A472,Pit!$A$4:$BF$1214,56,FALSE))</f>
        <v>168</v>
      </c>
      <c r="V472" s="50">
        <f>IF($C472="B",VLOOKUP($A472,Bat!$A$4:$BA$1314,48,FALSE),VLOOKUP($A472,Pit!$A$4:$BF$1214,57,FALSE))</f>
        <v>0</v>
      </c>
      <c r="W472" s="68">
        <f>IF(Table5[[#This Row],[posRnk]]=999,9999,Table5[[#This Row],[posRnk]]+Table5[[#This Row],[zRnk]]+IF($W$3&lt;&gt;Table5[[#This Row],[Type]],50,0))</f>
        <v>1398</v>
      </c>
      <c r="X472" s="51">
        <f>RANK(Table5[[#This Row],[zScore]],Table5[[#All],[zScore]])</f>
        <v>498</v>
      </c>
      <c r="Y472" s="50">
        <f>IFERROR(INDEX(DraftResults[[#All],[OVR]],MATCH(Table5[[#This Row],[PID]],DraftResults[[#All],[Player ID]],0)),"")</f>
        <v>403</v>
      </c>
      <c r="Z472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13</v>
      </c>
      <c r="AA472" s="50">
        <f>IFERROR(INDEX(DraftResults[[#All],[Pick in Round]],MATCH(Table5[[#This Row],[PID]],DraftResults[[#All],[Player ID]],0)),"")</f>
        <v>4</v>
      </c>
      <c r="AB472" s="50" t="str">
        <f>IFERROR(INDEX(DraftResults[[#All],[Team Name]],MATCH(Table5[[#This Row],[PID]],DraftResults[[#All],[Player ID]],0)),"")</f>
        <v>Palm Springs Codgers</v>
      </c>
      <c r="AC472" s="50">
        <f>IF(Table5[[#This Row],[Ovr]]="","",IF(Table5[[#This Row],[cmbList]]="","",Table5[[#This Row],[cmbList]]-Table5[[#This Row],[Ovr]]))</f>
        <v>995</v>
      </c>
      <c r="AD472" s="54" t="str">
        <f>IF(ISERROR(VLOOKUP($AB472&amp;"-"&amp;$E472&amp;" "&amp;F472,Bonuses!$B$1:$G$1006,4,FALSE)),"",INT(VLOOKUP($AB472&amp;"-"&amp;$E472&amp;" "&amp;$F472,Bonuses!$B$1:$G$1006,4,FALSE)))</f>
        <v/>
      </c>
      <c r="AE472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13.4 (403) - SP Amadeo Pedrazzini</v>
      </c>
    </row>
    <row r="473" spans="1:31" s="50" customFormat="1" x14ac:dyDescent="0.3">
      <c r="A473" s="67">
        <v>20707</v>
      </c>
      <c r="B473" s="68">
        <f>COUNTIF(Table5[PID],A473)</f>
        <v>1</v>
      </c>
      <c r="C473" s="68" t="str">
        <f>IF(COUNTIF(Table3[[#All],[PID]],A473)&gt;0,"P","B")</f>
        <v>P</v>
      </c>
      <c r="D473" s="59" t="str">
        <f>IF($C473="B",INDEX(Batters[[#All],[POS]],MATCH(Table5[[#This Row],[PID]],Batters[[#All],[PID]],0)),INDEX(Table3[[#All],[POS]],MATCH(Table5[[#This Row],[PID]],Table3[[#All],[PID]],0)))</f>
        <v>RP</v>
      </c>
      <c r="E473" s="52" t="str">
        <f>IF($C473="B",INDEX(Batters[[#All],[First]],MATCH(Table5[[#This Row],[PID]],Batters[[#All],[PID]],0)),INDEX(Table3[[#All],[First]],MATCH(Table5[[#This Row],[PID]],Table3[[#All],[PID]],0)))</f>
        <v>Mario</v>
      </c>
      <c r="F473" s="55" t="str">
        <f>IF($C473="B",INDEX(Batters[[#All],[Last]],MATCH(A473,Batters[[#All],[PID]],0)),INDEX(Table3[[#All],[Last]],MATCH(A473,Table3[[#All],[PID]],0)))</f>
        <v>Velásquez</v>
      </c>
      <c r="G473" s="56">
        <f>IF($C473="B",INDEX(Batters[[#All],[Age]],MATCH(Table5[[#This Row],[PID]],Batters[[#All],[PID]],0)),INDEX(Table3[[#All],[Age]],MATCH(Table5[[#This Row],[PID]],Table3[[#All],[PID]],0)))</f>
        <v>17</v>
      </c>
      <c r="H473" s="52" t="str">
        <f>IF($C473="B",INDEX(Batters[[#All],[B]],MATCH(Table5[[#This Row],[PID]],Batters[[#All],[PID]],0)),INDEX(Table3[[#All],[B]],MATCH(Table5[[#This Row],[PID]],Table3[[#All],[PID]],0)))</f>
        <v>R</v>
      </c>
      <c r="I473" s="52" t="str">
        <f>IF($C473="B",INDEX(Batters[[#All],[T]],MATCH(Table5[[#This Row],[PID]],Batters[[#All],[PID]],0)),INDEX(Table3[[#All],[T]],MATCH(Table5[[#This Row],[PID]],Table3[[#All],[PID]],0)))</f>
        <v>R</v>
      </c>
      <c r="J473" s="69" t="str">
        <f>IF($C473="B",INDEX(Batters[[#All],[WE]],MATCH(Table5[[#This Row],[PID]],Batters[[#All],[PID]],0)),INDEX(Table3[[#All],[WE]],MATCH(Table5[[#This Row],[PID]],Table3[[#All],[PID]],0)))</f>
        <v>Normal</v>
      </c>
      <c r="K473" s="52" t="str">
        <f>IF($C473="B",INDEX(Batters[[#All],[INT]],MATCH(Table5[[#This Row],[PID]],Batters[[#All],[PID]],0)),INDEX(Table3[[#All],[INT]],MATCH(Table5[[#This Row],[PID]],Table3[[#All],[PID]],0)))</f>
        <v>Normal</v>
      </c>
      <c r="L473" s="60">
        <f>IF($C473="B",INDEX(Batters[[#All],[CON P]],MATCH(Table5[[#This Row],[PID]],Batters[[#All],[PID]],0)),INDEX(Table3[[#All],[STU P]],MATCH(Table5[[#This Row],[PID]],Table3[[#All],[PID]],0)))</f>
        <v>4</v>
      </c>
      <c r="M473" s="70">
        <f>IF($C473="B",INDEX(Batters[[#All],[GAP P]],MATCH(Table5[[#This Row],[PID]],Batters[[#All],[PID]],0)),INDEX(Table3[[#All],[MOV P]],MATCH(Table5[[#This Row],[PID]],Table3[[#All],[PID]],0)))</f>
        <v>2</v>
      </c>
      <c r="N473" s="70">
        <f>IF($C473="B",INDEX(Batters[[#All],[POW P]],MATCH(Table5[[#This Row],[PID]],Batters[[#All],[PID]],0)),INDEX(Table3[[#All],[CON P]],MATCH(Table5[[#This Row],[PID]],Table3[[#All],[PID]],0)))</f>
        <v>3</v>
      </c>
      <c r="O473" s="70" t="str">
        <f>IF($C473="B",INDEX(Batters[[#All],[EYE P]],MATCH(Table5[[#This Row],[PID]],Batters[[#All],[PID]],0)),INDEX(Table3[[#All],[VELO]],MATCH(Table5[[#This Row],[PID]],Table3[[#All],[PID]],0)))</f>
        <v>87-89 Mph</v>
      </c>
      <c r="P473" s="56">
        <f>IF($C473="B",INDEX(Batters[[#All],[K P]],MATCH(Table5[[#This Row],[PID]],Batters[[#All],[PID]],0)),INDEX(Table3[[#All],[STM]],MATCH(Table5[[#This Row],[PID]],Table3[[#All],[PID]],0)))</f>
        <v>7</v>
      </c>
      <c r="Q473" s="61">
        <f>IF($C473="B",INDEX(Batters[[#All],[Tot]],MATCH(Table5[[#This Row],[PID]],Batters[[#All],[PID]],0)),INDEX(Table3[[#All],[Tot]],MATCH(Table5[[#This Row],[PID]],Table3[[#All],[PID]],0)))</f>
        <v>33.200874457299733</v>
      </c>
      <c r="R473" s="52">
        <f>IF($C473="B",INDEX(Batters[[#All],[zScore]],MATCH(Table5[[#This Row],[PID]],Batters[[#All],[PID]],0)),INDEX(Table3[[#All],[zScore]],MATCH(Table5[[#This Row],[PID]],Table3[[#All],[PID]],0)))</f>
        <v>-0.32767398229719263</v>
      </c>
      <c r="S473" s="75" t="str">
        <f>IF($C473="B",INDEX(Batters[[#All],[DEM]],MATCH(Table5[[#This Row],[PID]],Batters[[#All],[PID]],0)),INDEX(Table3[[#All],[DEM]],MATCH(Table5[[#This Row],[PID]],Table3[[#All],[PID]],0)))</f>
        <v>$38k</v>
      </c>
      <c r="T473" s="72">
        <f>IF($C473="B",INDEX(Batters[[#All],[Rnk]],MATCH(Table5[[#This Row],[PID]],Batters[[#All],[PID]],0)),INDEX(Table3[[#All],[Rnk]],MATCH(Table5[[#This Row],[PID]],Table3[[#All],[PID]],0)))</f>
        <v>900</v>
      </c>
      <c r="U473" s="67">
        <f>IF($C473="B",VLOOKUP($A473,Bat!$A$4:$BA$1314,47,FALSE),VLOOKUP($A473,Pit!$A$4:$BF$1214,56,FALSE))</f>
        <v>169</v>
      </c>
      <c r="V473" s="50">
        <f>IF($C473="B",VLOOKUP($A473,Bat!$A$4:$BA$1314,48,FALSE),VLOOKUP($A473,Pit!$A$4:$BF$1214,57,FALSE))</f>
        <v>0</v>
      </c>
      <c r="W473" s="68">
        <f>IF(Table5[[#This Row],[posRnk]]=999,9999,Table5[[#This Row],[posRnk]]+Table5[[#This Row],[zRnk]]+IF($W$3&lt;&gt;Table5[[#This Row],[Type]],50,0))</f>
        <v>1398</v>
      </c>
      <c r="X473" s="71">
        <f>RANK(Table5[[#This Row],[zScore]],Table5[[#All],[zScore]])</f>
        <v>498</v>
      </c>
      <c r="Y473" s="68">
        <f>IFERROR(INDEX(DraftResults[[#All],[OVR]],MATCH(Table5[[#This Row],[PID]],DraftResults[[#All],[Player ID]],0)),"")</f>
        <v>549</v>
      </c>
      <c r="Z473" s="7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17</v>
      </c>
      <c r="AA473" s="68">
        <f>IFERROR(INDEX(DraftResults[[#All],[Pick in Round]],MATCH(Table5[[#This Row],[PID]],DraftResults[[#All],[Player ID]],0)),"")</f>
        <v>14</v>
      </c>
      <c r="AB473" s="68" t="str">
        <f>IFERROR(INDEX(DraftResults[[#All],[Team Name]],MATCH(Table5[[#This Row],[PID]],DraftResults[[#All],[Player ID]],0)),"")</f>
        <v>San Antonio Calzones of Laredo</v>
      </c>
      <c r="AC473" s="68">
        <f>IF(Table5[[#This Row],[Ovr]]="","",IF(Table5[[#This Row],[cmbList]]="","",Table5[[#This Row],[cmbList]]-Table5[[#This Row],[Ovr]]))</f>
        <v>849</v>
      </c>
      <c r="AD473" s="74" t="str">
        <f>IF(ISERROR(VLOOKUP($AB473&amp;"-"&amp;$E473&amp;" "&amp;F473,Bonuses!$B$1:$G$1006,4,FALSE)),"",INT(VLOOKUP($AB473&amp;"-"&amp;$E473&amp;" "&amp;$F473,Bonuses!$B$1:$G$1006,4,FALSE)))</f>
        <v/>
      </c>
      <c r="AE473" s="68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17.14 (549) - RP Mario Velásquez</v>
      </c>
    </row>
    <row r="474" spans="1:31" s="50" customFormat="1" x14ac:dyDescent="0.3">
      <c r="A474" s="67">
        <v>12467</v>
      </c>
      <c r="B474" s="68">
        <f>COUNTIF(Table5[PID],A474)</f>
        <v>1</v>
      </c>
      <c r="C474" s="68" t="str">
        <f>IF(COUNTIF(Table3[[#All],[PID]],A474)&gt;0,"P","B")</f>
        <v>P</v>
      </c>
      <c r="D474" s="59" t="str">
        <f>IF($C474="B",INDEX(Batters[[#All],[POS]],MATCH(Table5[[#This Row],[PID]],Batters[[#All],[PID]],0)),INDEX(Table3[[#All],[POS]],MATCH(Table5[[#This Row],[PID]],Table3[[#All],[PID]],0)))</f>
        <v>SP</v>
      </c>
      <c r="E474" s="52" t="str">
        <f>IF($C474="B",INDEX(Batters[[#All],[First]],MATCH(Table5[[#This Row],[PID]],Batters[[#All],[PID]],0)),INDEX(Table3[[#All],[First]],MATCH(Table5[[#This Row],[PID]],Table3[[#All],[PID]],0)))</f>
        <v>Dave</v>
      </c>
      <c r="F474" s="55" t="str">
        <f>IF($C474="B",INDEX(Batters[[#All],[Last]],MATCH(A474,Batters[[#All],[PID]],0)),INDEX(Table3[[#All],[Last]],MATCH(A474,Table3[[#All],[PID]],0)))</f>
        <v>Woolridge</v>
      </c>
      <c r="G474" s="56">
        <f>IF($C474="B",INDEX(Batters[[#All],[Age]],MATCH(Table5[[#This Row],[PID]],Batters[[#All],[PID]],0)),INDEX(Table3[[#All],[Age]],MATCH(Table5[[#This Row],[PID]],Table3[[#All],[PID]],0)))</f>
        <v>17</v>
      </c>
      <c r="H474" s="52" t="str">
        <f>IF($C474="B",INDEX(Batters[[#All],[B]],MATCH(Table5[[#This Row],[PID]],Batters[[#All],[PID]],0)),INDEX(Table3[[#All],[B]],MATCH(Table5[[#This Row],[PID]],Table3[[#All],[PID]],0)))</f>
        <v>R</v>
      </c>
      <c r="I474" s="52" t="str">
        <f>IF($C474="B",INDEX(Batters[[#All],[T]],MATCH(Table5[[#This Row],[PID]],Batters[[#All],[PID]],0)),INDEX(Table3[[#All],[T]],MATCH(Table5[[#This Row],[PID]],Table3[[#All],[PID]],0)))</f>
        <v>R</v>
      </c>
      <c r="J474" s="69" t="str">
        <f>IF($C474="B",INDEX(Batters[[#All],[WE]],MATCH(Table5[[#This Row],[PID]],Batters[[#All],[PID]],0)),INDEX(Table3[[#All],[WE]],MATCH(Table5[[#This Row],[PID]],Table3[[#All],[PID]],0)))</f>
        <v>Normal</v>
      </c>
      <c r="K474" s="52" t="str">
        <f>IF($C474="B",INDEX(Batters[[#All],[INT]],MATCH(Table5[[#This Row],[PID]],Batters[[#All],[PID]],0)),INDEX(Table3[[#All],[INT]],MATCH(Table5[[#This Row],[PID]],Table3[[#All],[PID]],0)))</f>
        <v>Normal</v>
      </c>
      <c r="L474" s="60">
        <f>IF($C474="B",INDEX(Batters[[#All],[CON P]],MATCH(Table5[[#This Row],[PID]],Batters[[#All],[PID]],0)),INDEX(Table3[[#All],[STU P]],MATCH(Table5[[#This Row],[PID]],Table3[[#All],[PID]],0)))</f>
        <v>4</v>
      </c>
      <c r="M474" s="70">
        <f>IF($C474="B",INDEX(Batters[[#All],[GAP P]],MATCH(Table5[[#This Row],[PID]],Batters[[#All],[PID]],0)),INDEX(Table3[[#All],[MOV P]],MATCH(Table5[[#This Row],[PID]],Table3[[#All],[PID]],0)))</f>
        <v>2</v>
      </c>
      <c r="N474" s="70">
        <f>IF($C474="B",INDEX(Batters[[#All],[POW P]],MATCH(Table5[[#This Row],[PID]],Batters[[#All],[PID]],0)),INDEX(Table3[[#All],[CON P]],MATCH(Table5[[#This Row],[PID]],Table3[[#All],[PID]],0)))</f>
        <v>3</v>
      </c>
      <c r="O474" s="70" t="str">
        <f>IF($C474="B",INDEX(Batters[[#All],[EYE P]],MATCH(Table5[[#This Row],[PID]],Batters[[#All],[PID]],0)),INDEX(Table3[[#All],[VELO]],MATCH(Table5[[#This Row],[PID]],Table3[[#All],[PID]],0)))</f>
        <v>91-93 Mph</v>
      </c>
      <c r="P474" s="56">
        <f>IF($C474="B",INDEX(Batters[[#All],[K P]],MATCH(Table5[[#This Row],[PID]],Batters[[#All],[PID]],0)),INDEX(Table3[[#All],[STM]],MATCH(Table5[[#This Row],[PID]],Table3[[#All],[PID]],0)))</f>
        <v>9</v>
      </c>
      <c r="Q474" s="61">
        <f>IF($C474="B",INDEX(Batters[[#All],[Tot]],MATCH(Table5[[#This Row],[PID]],Batters[[#All],[PID]],0)),INDEX(Table3[[#All],[Tot]],MATCH(Table5[[#This Row],[PID]],Table3[[#All],[PID]],0)))</f>
        <v>33.200874457299733</v>
      </c>
      <c r="R474" s="52">
        <f>IF($C474="B",INDEX(Batters[[#All],[zScore]],MATCH(Table5[[#This Row],[PID]],Batters[[#All],[PID]],0)),INDEX(Table3[[#All],[zScore]],MATCH(Table5[[#This Row],[PID]],Table3[[#All],[PID]],0)))</f>
        <v>-0.32767398229719263</v>
      </c>
      <c r="S474" s="75" t="str">
        <f>IF($C474="B",INDEX(Batters[[#All],[DEM]],MATCH(Table5[[#This Row],[PID]],Batters[[#All],[PID]],0)),INDEX(Table3[[#All],[DEM]],MATCH(Table5[[#This Row],[PID]],Table3[[#All],[PID]],0)))</f>
        <v>$65k</v>
      </c>
      <c r="T474" s="72">
        <f>IF($C474="B",INDEX(Batters[[#All],[Rnk]],MATCH(Table5[[#This Row],[PID]],Batters[[#All],[PID]],0)),INDEX(Table3[[#All],[Rnk]],MATCH(Table5[[#This Row],[PID]],Table3[[#All],[PID]],0)))</f>
        <v>900</v>
      </c>
      <c r="U474" s="67">
        <f>IF($C474="B",VLOOKUP($A474,Bat!$A$4:$BA$1314,47,FALSE),VLOOKUP($A474,Pit!$A$4:$BF$1214,56,FALSE))</f>
        <v>170</v>
      </c>
      <c r="V474" s="50">
        <f>IF($C474="B",VLOOKUP($A474,Bat!$A$4:$BA$1314,48,FALSE),VLOOKUP($A474,Pit!$A$4:$BF$1214,57,FALSE))</f>
        <v>0</v>
      </c>
      <c r="W474" s="68">
        <f>IF(Table5[[#This Row],[posRnk]]=999,9999,Table5[[#This Row],[posRnk]]+Table5[[#This Row],[zRnk]]+IF($W$3&lt;&gt;Table5[[#This Row],[Type]],50,0))</f>
        <v>1398</v>
      </c>
      <c r="X474" s="71">
        <f>RANK(Table5[[#This Row],[zScore]],Table5[[#All],[zScore]])</f>
        <v>498</v>
      </c>
      <c r="Y474" s="68">
        <f>IFERROR(INDEX(DraftResults[[#All],[OVR]],MATCH(Table5[[#This Row],[PID]],DraftResults[[#All],[Player ID]],0)),"")</f>
        <v>558</v>
      </c>
      <c r="Z474" s="7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17</v>
      </c>
      <c r="AA474" s="68">
        <f>IFERROR(INDEX(DraftResults[[#All],[Pick in Round]],MATCH(Table5[[#This Row],[PID]],DraftResults[[#All],[Player ID]],0)),"")</f>
        <v>23</v>
      </c>
      <c r="AB474" s="68" t="str">
        <f>IFERROR(INDEX(DraftResults[[#All],[Team Name]],MATCH(Table5[[#This Row],[PID]],DraftResults[[#All],[Player ID]],0)),"")</f>
        <v>Kentucky Thoroughbreds</v>
      </c>
      <c r="AC474" s="68">
        <f>IF(Table5[[#This Row],[Ovr]]="","",IF(Table5[[#This Row],[cmbList]]="","",Table5[[#This Row],[cmbList]]-Table5[[#This Row],[Ovr]]))</f>
        <v>840</v>
      </c>
      <c r="AD474" s="74" t="str">
        <f>IF(ISERROR(VLOOKUP($AB474&amp;"-"&amp;$E474&amp;" "&amp;F474,Bonuses!$B$1:$G$1006,4,FALSE)),"",INT(VLOOKUP($AB474&amp;"-"&amp;$E474&amp;" "&amp;$F474,Bonuses!$B$1:$G$1006,4,FALSE)))</f>
        <v/>
      </c>
      <c r="AE474" s="68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17.23 (558) - SP Dave Woolridge</v>
      </c>
    </row>
    <row r="475" spans="1:31" s="50" customFormat="1" x14ac:dyDescent="0.3">
      <c r="A475" s="50">
        <v>20881</v>
      </c>
      <c r="B475" s="50">
        <f>COUNTIF(Table5[PID],A475)</f>
        <v>1</v>
      </c>
      <c r="C475" s="50" t="str">
        <f>IF(COUNTIF(Table3[[#All],[PID]],A475)&gt;0,"P","B")</f>
        <v>P</v>
      </c>
      <c r="D475" s="59" t="str">
        <f>IF($C475="B",INDEX(Batters[[#All],[POS]],MATCH(Table5[[#This Row],[PID]],Batters[[#All],[PID]],0)),INDEX(Table3[[#All],[POS]],MATCH(Table5[[#This Row],[PID]],Table3[[#All],[PID]],0)))</f>
        <v>RP</v>
      </c>
      <c r="E475" s="52" t="str">
        <f>IF($C475="B",INDEX(Batters[[#All],[First]],MATCH(Table5[[#This Row],[PID]],Batters[[#All],[PID]],0)),INDEX(Table3[[#All],[First]],MATCH(Table5[[#This Row],[PID]],Table3[[#All],[PID]],0)))</f>
        <v>Danny</v>
      </c>
      <c r="F475" s="50" t="str">
        <f>IF($C475="B",INDEX(Batters[[#All],[Last]],MATCH(A475,Batters[[#All],[PID]],0)),INDEX(Table3[[#All],[Last]],MATCH(A475,Table3[[#All],[PID]],0)))</f>
        <v>Young</v>
      </c>
      <c r="G475" s="56">
        <f>IF($C475="B",INDEX(Batters[[#All],[Age]],MATCH(Table5[[#This Row],[PID]],Batters[[#All],[PID]],0)),INDEX(Table3[[#All],[Age]],MATCH(Table5[[#This Row],[PID]],Table3[[#All],[PID]],0)))</f>
        <v>17</v>
      </c>
      <c r="H475" s="52" t="str">
        <f>IF($C475="B",INDEX(Batters[[#All],[B]],MATCH(Table5[[#This Row],[PID]],Batters[[#All],[PID]],0)),INDEX(Table3[[#All],[B]],MATCH(Table5[[#This Row],[PID]],Table3[[#All],[PID]],0)))</f>
        <v>R</v>
      </c>
      <c r="I475" s="52" t="str">
        <f>IF($C475="B",INDEX(Batters[[#All],[T]],MATCH(Table5[[#This Row],[PID]],Batters[[#All],[PID]],0)),INDEX(Table3[[#All],[T]],MATCH(Table5[[#This Row],[PID]],Table3[[#All],[PID]],0)))</f>
        <v>L</v>
      </c>
      <c r="J475" s="52" t="str">
        <f>IF($C475="B",INDEX(Batters[[#All],[WE]],MATCH(Table5[[#This Row],[PID]],Batters[[#All],[PID]],0)),INDEX(Table3[[#All],[WE]],MATCH(Table5[[#This Row],[PID]],Table3[[#All],[PID]],0)))</f>
        <v>High</v>
      </c>
      <c r="K475" s="52" t="str">
        <f>IF($C475="B",INDEX(Batters[[#All],[INT]],MATCH(Table5[[#This Row],[PID]],Batters[[#All],[PID]],0)),INDEX(Table3[[#All],[INT]],MATCH(Table5[[#This Row],[PID]],Table3[[#All],[PID]],0)))</f>
        <v>Normal</v>
      </c>
      <c r="L475" s="60">
        <f>IF($C475="B",INDEX(Batters[[#All],[CON P]],MATCH(Table5[[#This Row],[PID]],Batters[[#All],[PID]],0)),INDEX(Table3[[#All],[STU P]],MATCH(Table5[[#This Row],[PID]],Table3[[#All],[PID]],0)))</f>
        <v>4</v>
      </c>
      <c r="M475" s="56">
        <f>IF($C475="B",INDEX(Batters[[#All],[GAP P]],MATCH(Table5[[#This Row],[PID]],Batters[[#All],[PID]],0)),INDEX(Table3[[#All],[MOV P]],MATCH(Table5[[#This Row],[PID]],Table3[[#All],[PID]],0)))</f>
        <v>3</v>
      </c>
      <c r="N475" s="56">
        <f>IF($C475="B",INDEX(Batters[[#All],[POW P]],MATCH(Table5[[#This Row],[PID]],Batters[[#All],[PID]],0)),INDEX(Table3[[#All],[CON P]],MATCH(Table5[[#This Row],[PID]],Table3[[#All],[PID]],0)))</f>
        <v>2</v>
      </c>
      <c r="O475" s="56" t="str">
        <f>IF($C475="B",INDEX(Batters[[#All],[EYE P]],MATCH(Table5[[#This Row],[PID]],Batters[[#All],[PID]],0)),INDEX(Table3[[#All],[VELO]],MATCH(Table5[[#This Row],[PID]],Table3[[#All],[PID]],0)))</f>
        <v>91-93 Mph</v>
      </c>
      <c r="P475" s="56">
        <f>IF($C475="B",INDEX(Batters[[#All],[K P]],MATCH(Table5[[#This Row],[PID]],Batters[[#All],[PID]],0)),INDEX(Table3[[#All],[STM]],MATCH(Table5[[#This Row],[PID]],Table3[[#All],[PID]],0)))</f>
        <v>5</v>
      </c>
      <c r="Q475" s="61">
        <f>IF($C475="B",INDEX(Batters[[#All],[Tot]],MATCH(Table5[[#This Row],[PID]],Batters[[#All],[PID]],0)),INDEX(Table3[[#All],[Tot]],MATCH(Table5[[#This Row],[PID]],Table3[[#All],[PID]],0)))</f>
        <v>33.094629212902035</v>
      </c>
      <c r="R475" s="52">
        <f>IF($C475="B",INDEX(Batters[[#All],[zScore]],MATCH(Table5[[#This Row],[PID]],Batters[[#All],[PID]],0)),INDEX(Table3[[#All],[zScore]],MATCH(Table5[[#This Row],[PID]],Table3[[#All],[PID]],0)))</f>
        <v>-0.3287112987617567</v>
      </c>
      <c r="S475" s="58" t="str">
        <f>IF($C475="B",INDEX(Batters[[#All],[DEM]],MATCH(Table5[[#This Row],[PID]],Batters[[#All],[PID]],0)),INDEX(Table3[[#All],[DEM]],MATCH(Table5[[#This Row],[PID]],Table3[[#All],[PID]],0)))</f>
        <v>$65k</v>
      </c>
      <c r="T475" s="62">
        <f>IF($C475="B",INDEX(Batters[[#All],[Rnk]],MATCH(Table5[[#This Row],[PID]],Batters[[#All],[PID]],0)),INDEX(Table3[[#All],[Rnk]],MATCH(Table5[[#This Row],[PID]],Table3[[#All],[PID]],0)))</f>
        <v>900</v>
      </c>
      <c r="U475" s="67">
        <f>IF($C475="B",VLOOKUP($A475,Bat!$A$4:$BA$1314,47,FALSE),VLOOKUP($A475,Pit!$A$4:$BF$1214,56,FALSE))</f>
        <v>160</v>
      </c>
      <c r="V475" s="50">
        <f>IF($C475="B",VLOOKUP($A475,Bat!$A$4:$BA$1314,48,FALSE),VLOOKUP($A475,Pit!$A$4:$BF$1214,57,FALSE))</f>
        <v>0</v>
      </c>
      <c r="W475" s="68">
        <f>IF(Table5[[#This Row],[posRnk]]=999,9999,Table5[[#This Row],[posRnk]]+Table5[[#This Row],[zRnk]]+IF($W$3&lt;&gt;Table5[[#This Row],[Type]],50,0))</f>
        <v>1401</v>
      </c>
      <c r="X475" s="51">
        <f>RANK(Table5[[#This Row],[zScore]],Table5[[#All],[zScore]])</f>
        <v>501</v>
      </c>
      <c r="Y475" s="50" t="str">
        <f>IFERROR(INDEX(DraftResults[[#All],[OVR]],MATCH(Table5[[#This Row],[PID]],DraftResults[[#All],[Player ID]],0)),"")</f>
        <v/>
      </c>
      <c r="Z475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/>
      </c>
      <c r="AA475" s="50" t="str">
        <f>IFERROR(INDEX(DraftResults[[#All],[Pick in Round]],MATCH(Table5[[#This Row],[PID]],DraftResults[[#All],[Player ID]],0)),"")</f>
        <v/>
      </c>
      <c r="AB475" s="50" t="str">
        <f>IFERROR(INDEX(DraftResults[[#All],[Team Name]],MATCH(Table5[[#This Row],[PID]],DraftResults[[#All],[Player ID]],0)),"")</f>
        <v/>
      </c>
      <c r="AC475" s="50" t="str">
        <f>IF(Table5[[#This Row],[Ovr]]="","",IF(Table5[[#This Row],[cmbList]]="","",Table5[[#This Row],[cmbList]]-Table5[[#This Row],[Ovr]]))</f>
        <v/>
      </c>
      <c r="AD475" s="54" t="str">
        <f>IF(ISERROR(VLOOKUP($AB475&amp;"-"&amp;$E475&amp;" "&amp;F475,Bonuses!$B$1:$G$1006,4,FALSE)),"",INT(VLOOKUP($AB475&amp;"-"&amp;$E475&amp;" "&amp;$F475,Bonuses!$B$1:$G$1006,4,FALSE)))</f>
        <v/>
      </c>
      <c r="AE475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/>
      </c>
    </row>
    <row r="476" spans="1:31" s="50" customFormat="1" x14ac:dyDescent="0.3">
      <c r="A476" s="50">
        <v>20705</v>
      </c>
      <c r="B476" s="50">
        <f>COUNTIF(Table5[PID],A476)</f>
        <v>1</v>
      </c>
      <c r="C476" s="50" t="str">
        <f>IF(COUNTIF(Table3[[#All],[PID]],A476)&gt;0,"P","B")</f>
        <v>P</v>
      </c>
      <c r="D476" s="59" t="str">
        <f>IF($C476="B",INDEX(Batters[[#All],[POS]],MATCH(Table5[[#This Row],[PID]],Batters[[#All],[PID]],0)),INDEX(Table3[[#All],[POS]],MATCH(Table5[[#This Row],[PID]],Table3[[#All],[PID]],0)))</f>
        <v>RP</v>
      </c>
      <c r="E476" s="52" t="str">
        <f>IF($C476="B",INDEX(Batters[[#All],[First]],MATCH(Table5[[#This Row],[PID]],Batters[[#All],[PID]],0)),INDEX(Table3[[#All],[First]],MATCH(Table5[[#This Row],[PID]],Table3[[#All],[PID]],0)))</f>
        <v>Corey</v>
      </c>
      <c r="F476" s="50" t="str">
        <f>IF($C476="B",INDEX(Batters[[#All],[Last]],MATCH(A476,Batters[[#All],[PID]],0)),INDEX(Table3[[#All],[Last]],MATCH(A476,Table3[[#All],[PID]],0)))</f>
        <v>Webster</v>
      </c>
      <c r="G476" s="56">
        <f>IF($C476="B",INDEX(Batters[[#All],[Age]],MATCH(Table5[[#This Row],[PID]],Batters[[#All],[PID]],0)),INDEX(Table3[[#All],[Age]],MATCH(Table5[[#This Row],[PID]],Table3[[#All],[PID]],0)))</f>
        <v>17</v>
      </c>
      <c r="H476" s="52" t="str">
        <f>IF($C476="B",INDEX(Batters[[#All],[B]],MATCH(Table5[[#This Row],[PID]],Batters[[#All],[PID]],0)),INDEX(Table3[[#All],[B]],MATCH(Table5[[#This Row],[PID]],Table3[[#All],[PID]],0)))</f>
        <v>R</v>
      </c>
      <c r="I476" s="52" t="str">
        <f>IF($C476="B",INDEX(Batters[[#All],[T]],MATCH(Table5[[#This Row],[PID]],Batters[[#All],[PID]],0)),INDEX(Table3[[#All],[T]],MATCH(Table5[[#This Row],[PID]],Table3[[#All],[PID]],0)))</f>
        <v>R</v>
      </c>
      <c r="J476" s="52" t="str">
        <f>IF($C476="B",INDEX(Batters[[#All],[WE]],MATCH(Table5[[#This Row],[PID]],Batters[[#All],[PID]],0)),INDEX(Table3[[#All],[WE]],MATCH(Table5[[#This Row],[PID]],Table3[[#All],[PID]],0)))</f>
        <v>Low</v>
      </c>
      <c r="K476" s="52" t="str">
        <f>IF($C476="B",INDEX(Batters[[#All],[INT]],MATCH(Table5[[#This Row],[PID]],Batters[[#All],[PID]],0)),INDEX(Table3[[#All],[INT]],MATCH(Table5[[#This Row],[PID]],Table3[[#All],[PID]],0)))</f>
        <v>Normal</v>
      </c>
      <c r="L476" s="60">
        <f>IF($C476="B",INDEX(Batters[[#All],[CON P]],MATCH(Table5[[#This Row],[PID]],Batters[[#All],[PID]],0)),INDEX(Table3[[#All],[STU P]],MATCH(Table5[[#This Row],[PID]],Table3[[#All],[PID]],0)))</f>
        <v>3</v>
      </c>
      <c r="M476" s="56">
        <f>IF($C476="B",INDEX(Batters[[#All],[GAP P]],MATCH(Table5[[#This Row],[PID]],Batters[[#All],[PID]],0)),INDEX(Table3[[#All],[MOV P]],MATCH(Table5[[#This Row],[PID]],Table3[[#All],[PID]],0)))</f>
        <v>2</v>
      </c>
      <c r="N476" s="56">
        <f>IF($C476="B",INDEX(Batters[[#All],[POW P]],MATCH(Table5[[#This Row],[PID]],Batters[[#All],[PID]],0)),INDEX(Table3[[#All],[CON P]],MATCH(Table5[[#This Row],[PID]],Table3[[#All],[PID]],0)))</f>
        <v>4</v>
      </c>
      <c r="O476" s="56" t="str">
        <f>IF($C476="B",INDEX(Batters[[#All],[EYE P]],MATCH(Table5[[#This Row],[PID]],Batters[[#All],[PID]],0)),INDEX(Table3[[#All],[VELO]],MATCH(Table5[[#This Row],[PID]],Table3[[#All],[PID]],0)))</f>
        <v>87-89 Mph</v>
      </c>
      <c r="P476" s="56">
        <f>IF($C476="B",INDEX(Batters[[#All],[K P]],MATCH(Table5[[#This Row],[PID]],Batters[[#All],[PID]],0)),INDEX(Table3[[#All],[STM]],MATCH(Table5[[#This Row],[PID]],Table3[[#All],[PID]],0)))</f>
        <v>6</v>
      </c>
      <c r="Q476" s="61">
        <f>IF($C476="B",INDEX(Batters[[#All],[Tot]],MATCH(Table5[[#This Row],[PID]],Batters[[#All],[PID]],0)),INDEX(Table3[[#All],[Tot]],MATCH(Table5[[#This Row],[PID]],Table3[[#All],[PID]],0)))</f>
        <v>34.223548813010353</v>
      </c>
      <c r="R476" s="52">
        <f>IF($C476="B",INDEX(Batters[[#All],[zScore]],MATCH(Table5[[#This Row],[PID]],Batters[[#All],[PID]],0)),INDEX(Table3[[#All],[zScore]],MATCH(Table5[[#This Row],[PID]],Table3[[#All],[PID]],0)))</f>
        <v>-0.25485237583175741</v>
      </c>
      <c r="S476" s="58" t="str">
        <f>IF($C476="B",INDEX(Batters[[#All],[DEM]],MATCH(Table5[[#This Row],[PID]],Batters[[#All],[PID]],0)),INDEX(Table3[[#All],[DEM]],MATCH(Table5[[#This Row],[PID]],Table3[[#All],[PID]],0)))</f>
        <v>$70k</v>
      </c>
      <c r="T476" s="62">
        <f>IF($C476="B",INDEX(Batters[[#All],[Rnk]],MATCH(Table5[[#This Row],[PID]],Batters[[#All],[PID]],0)),INDEX(Table3[[#All],[Rnk]],MATCH(Table5[[#This Row],[PID]],Table3[[#All],[PID]],0)))</f>
        <v>930</v>
      </c>
      <c r="U476" s="67">
        <f>IF($C476="B",VLOOKUP($A476,Bat!$A$4:$BA$1314,47,FALSE),VLOOKUP($A476,Pit!$A$4:$BF$1214,56,FALSE))</f>
        <v>300</v>
      </c>
      <c r="V476" s="50">
        <f>IF($C476="B",VLOOKUP($A476,Bat!$A$4:$BA$1314,48,FALSE),VLOOKUP($A476,Pit!$A$4:$BF$1214,57,FALSE))</f>
        <v>0</v>
      </c>
      <c r="W476" s="68">
        <f>IF(Table5[[#This Row],[posRnk]]=999,9999,Table5[[#This Row],[posRnk]]+Table5[[#This Row],[zRnk]]+IF($W$3&lt;&gt;Table5[[#This Row],[Type]],50,0))</f>
        <v>1401</v>
      </c>
      <c r="X476" s="51">
        <f>RANK(Table5[[#This Row],[zScore]],Table5[[#All],[zScore]])</f>
        <v>471</v>
      </c>
      <c r="Y476" s="50" t="str">
        <f>IFERROR(INDEX(DraftResults[[#All],[OVR]],MATCH(Table5[[#This Row],[PID]],DraftResults[[#All],[Player ID]],0)),"")</f>
        <v/>
      </c>
      <c r="Z476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/>
      </c>
      <c r="AA476" s="50" t="str">
        <f>IFERROR(INDEX(DraftResults[[#All],[Pick in Round]],MATCH(Table5[[#This Row],[PID]],DraftResults[[#All],[Player ID]],0)),"")</f>
        <v/>
      </c>
      <c r="AB476" s="50" t="str">
        <f>IFERROR(INDEX(DraftResults[[#All],[Team Name]],MATCH(Table5[[#This Row],[PID]],DraftResults[[#All],[Player ID]],0)),"")</f>
        <v/>
      </c>
      <c r="AC476" s="50" t="str">
        <f>IF(Table5[[#This Row],[Ovr]]="","",IF(Table5[[#This Row],[cmbList]]="","",Table5[[#This Row],[cmbList]]-Table5[[#This Row],[Ovr]]))</f>
        <v/>
      </c>
      <c r="AD476" s="54" t="str">
        <f>IF(ISERROR(VLOOKUP($AB476&amp;"-"&amp;$E476&amp;" "&amp;F476,Bonuses!$B$1:$G$1006,4,FALSE)),"",INT(VLOOKUP($AB476&amp;"-"&amp;$E476&amp;" "&amp;$F476,Bonuses!$B$1:$G$1006,4,FALSE)))</f>
        <v/>
      </c>
      <c r="AE476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/>
      </c>
    </row>
    <row r="477" spans="1:31" s="50" customFormat="1" x14ac:dyDescent="0.3">
      <c r="A477" s="50">
        <v>7914</v>
      </c>
      <c r="B477" s="50">
        <f>COUNTIF(Table5[PID],A477)</f>
        <v>1</v>
      </c>
      <c r="C477" s="50" t="str">
        <f>IF(COUNTIF(Table3[[#All],[PID]],A477)&gt;0,"P","B")</f>
        <v>B</v>
      </c>
      <c r="D477" s="59" t="str">
        <f>IF($C477="B",INDEX(Batters[[#All],[POS]],MATCH(Table5[[#This Row],[PID]],Batters[[#All],[PID]],0)),INDEX(Table3[[#All],[POS]],MATCH(Table5[[#This Row],[PID]],Table3[[#All],[PID]],0)))</f>
        <v>C</v>
      </c>
      <c r="E477" s="52" t="str">
        <f>IF($C477="B",INDEX(Batters[[#All],[First]],MATCH(Table5[[#This Row],[PID]],Batters[[#All],[PID]],0)),INDEX(Table3[[#All],[First]],MATCH(Table5[[#This Row],[PID]],Table3[[#All],[PID]],0)))</f>
        <v>Terry</v>
      </c>
      <c r="F477" s="50" t="str">
        <f>IF($C477="B",INDEX(Batters[[#All],[Last]],MATCH(A477,Batters[[#All],[PID]],0)),INDEX(Table3[[#All],[Last]],MATCH(A477,Table3[[#All],[PID]],0)))</f>
        <v>Evers</v>
      </c>
      <c r="G477" s="56">
        <f>IF($C477="B",INDEX(Batters[[#All],[Age]],MATCH(Table5[[#This Row],[PID]],Batters[[#All],[PID]],0)),INDEX(Table3[[#All],[Age]],MATCH(Table5[[#This Row],[PID]],Table3[[#All],[PID]],0)))</f>
        <v>21</v>
      </c>
      <c r="H477" s="52" t="str">
        <f>IF($C477="B",INDEX(Batters[[#All],[B]],MATCH(Table5[[#This Row],[PID]],Batters[[#All],[PID]],0)),INDEX(Table3[[#All],[B]],MATCH(Table5[[#This Row],[PID]],Table3[[#All],[PID]],0)))</f>
        <v>R</v>
      </c>
      <c r="I477" s="52" t="str">
        <f>IF($C477="B",INDEX(Batters[[#All],[T]],MATCH(Table5[[#This Row],[PID]],Batters[[#All],[PID]],0)),INDEX(Table3[[#All],[T]],MATCH(Table5[[#This Row],[PID]],Table3[[#All],[PID]],0)))</f>
        <v>R</v>
      </c>
      <c r="J477" s="52" t="str">
        <f>IF($C477="B",INDEX(Batters[[#All],[WE]],MATCH(Table5[[#This Row],[PID]],Batters[[#All],[PID]],0)),INDEX(Table3[[#All],[WE]],MATCH(Table5[[#This Row],[PID]],Table3[[#All],[PID]],0)))</f>
        <v>Normal</v>
      </c>
      <c r="K477" s="52" t="str">
        <f>IF($C477="B",INDEX(Batters[[#All],[INT]],MATCH(Table5[[#This Row],[PID]],Batters[[#All],[PID]],0)),INDEX(Table3[[#All],[INT]],MATCH(Table5[[#This Row],[PID]],Table3[[#All],[PID]],0)))</f>
        <v>Low</v>
      </c>
      <c r="L477" s="60">
        <f>IF($C477="B",INDEX(Batters[[#All],[CON P]],MATCH(Table5[[#This Row],[PID]],Batters[[#All],[PID]],0)),INDEX(Table3[[#All],[STU P]],MATCH(Table5[[#This Row],[PID]],Table3[[#All],[PID]],0)))</f>
        <v>3</v>
      </c>
      <c r="M477" s="56">
        <f>IF($C477="B",INDEX(Batters[[#All],[GAP P]],MATCH(Table5[[#This Row],[PID]],Batters[[#All],[PID]],0)),INDEX(Table3[[#All],[MOV P]],MATCH(Table5[[#This Row],[PID]],Table3[[#All],[PID]],0)))</f>
        <v>5</v>
      </c>
      <c r="N477" s="56">
        <f>IF($C477="B",INDEX(Batters[[#All],[POW P]],MATCH(Table5[[#This Row],[PID]],Batters[[#All],[PID]],0)),INDEX(Table3[[#All],[CON P]],MATCH(Table5[[#This Row],[PID]],Table3[[#All],[PID]],0)))</f>
        <v>7</v>
      </c>
      <c r="O477" s="56">
        <f>IF($C477="B",INDEX(Batters[[#All],[EYE P]],MATCH(Table5[[#This Row],[PID]],Batters[[#All],[PID]],0)),INDEX(Table3[[#All],[VELO]],MATCH(Table5[[#This Row],[PID]],Table3[[#All],[PID]],0)))</f>
        <v>5</v>
      </c>
      <c r="P477" s="56">
        <f>IF($C477="B",INDEX(Batters[[#All],[K P]],MATCH(Table5[[#This Row],[PID]],Batters[[#All],[PID]],0)),INDEX(Table3[[#All],[STM]],MATCH(Table5[[#This Row],[PID]],Table3[[#All],[PID]],0)))</f>
        <v>2</v>
      </c>
      <c r="Q477" s="61">
        <f>IF($C477="B",INDEX(Batters[[#All],[Tot]],MATCH(Table5[[#This Row],[PID]],Batters[[#All],[PID]],0)),INDEX(Table3[[#All],[Tot]],MATCH(Table5[[#This Row],[PID]],Table3[[#All],[PID]],0)))</f>
        <v>41.654358965154842</v>
      </c>
      <c r="R477" s="52">
        <f>IF($C477="B",INDEX(Batters[[#All],[zScore]],MATCH(Table5[[#This Row],[PID]],Batters[[#All],[PID]],0)),INDEX(Table3[[#All],[zScore]],MATCH(Table5[[#This Row],[PID]],Table3[[#All],[PID]],0)))</f>
        <v>-0.22831333191268116</v>
      </c>
      <c r="S477" s="58" t="str">
        <f>IF($C477="B",INDEX(Batters[[#All],[DEM]],MATCH(Table5[[#This Row],[PID]],Batters[[#All],[PID]],0)),INDEX(Table3[[#All],[DEM]],MATCH(Table5[[#This Row],[PID]],Table3[[#All],[PID]],0)))</f>
        <v>$75k</v>
      </c>
      <c r="T477" s="62">
        <f>IF($C477="B",INDEX(Batters[[#All],[Rnk]],MATCH(Table5[[#This Row],[PID]],Batters[[#All],[PID]],0)),INDEX(Table3[[#All],[Rnk]],MATCH(Table5[[#This Row],[PID]],Table3[[#All],[PID]],0)))</f>
        <v>940</v>
      </c>
      <c r="U477" s="67">
        <f>IF($C477="B",VLOOKUP($A477,Bat!$A$4:$BA$1314,47,FALSE),VLOOKUP($A477,Pit!$A$4:$BF$1214,56,FALSE))</f>
        <v>414</v>
      </c>
      <c r="V477" s="50">
        <f>IF($C477="B",VLOOKUP($A477,Bat!$A$4:$BA$1314,48,FALSE),VLOOKUP($A477,Pit!$A$4:$BF$1214,57,FALSE))</f>
        <v>0</v>
      </c>
      <c r="W477" s="68">
        <f>IF(Table5[[#This Row],[posRnk]]=999,9999,Table5[[#This Row],[posRnk]]+Table5[[#This Row],[zRnk]]+IF($W$3&lt;&gt;Table5[[#This Row],[Type]],50,0))</f>
        <v>1451</v>
      </c>
      <c r="X477" s="51">
        <f>RANK(Table5[[#This Row],[zScore]],Table5[[#All],[zScore]])</f>
        <v>461</v>
      </c>
      <c r="Y477" s="50">
        <f>IFERROR(INDEX(DraftResults[[#All],[OVR]],MATCH(Table5[[#This Row],[PID]],DraftResults[[#All],[Player ID]],0)),"")</f>
        <v>156</v>
      </c>
      <c r="Z477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5</v>
      </c>
      <c r="AA477" s="50">
        <f>IFERROR(INDEX(DraftResults[[#All],[Pick in Round]],MATCH(Table5[[#This Row],[PID]],DraftResults[[#All],[Player ID]],0)),"")</f>
        <v>19</v>
      </c>
      <c r="AB477" s="50" t="str">
        <f>IFERROR(INDEX(DraftResults[[#All],[Team Name]],MATCH(Table5[[#This Row],[PID]],DraftResults[[#All],[Player ID]],0)),"")</f>
        <v>Fargo Dinosaurs</v>
      </c>
      <c r="AC477" s="50">
        <f>IF(Table5[[#This Row],[Ovr]]="","",IF(Table5[[#This Row],[cmbList]]="","",Table5[[#This Row],[cmbList]]-Table5[[#This Row],[Ovr]]))</f>
        <v>1295</v>
      </c>
      <c r="AD477" s="54" t="str">
        <f>IF(ISERROR(VLOOKUP($AB477&amp;"-"&amp;$E477&amp;" "&amp;F477,Bonuses!$B$1:$G$1006,4,FALSE)),"",INT(VLOOKUP($AB477&amp;"-"&amp;$E477&amp;" "&amp;$F477,Bonuses!$B$1:$G$1006,4,FALSE)))</f>
        <v/>
      </c>
      <c r="AE477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5.19 (156) - C Terry Evers</v>
      </c>
    </row>
    <row r="478" spans="1:31" s="50" customFormat="1" x14ac:dyDescent="0.3">
      <c r="A478" s="50">
        <v>20702</v>
      </c>
      <c r="B478" s="50">
        <f>COUNTIF(Table5[PID],A478)</f>
        <v>1</v>
      </c>
      <c r="C478" s="50" t="str">
        <f>IF(COUNTIF(Table3[[#All],[PID]],A478)&gt;0,"P","B")</f>
        <v>P</v>
      </c>
      <c r="D478" s="59" t="str">
        <f>IF($C478="B",INDEX(Batters[[#All],[POS]],MATCH(Table5[[#This Row],[PID]],Batters[[#All],[PID]],0)),INDEX(Table3[[#All],[POS]],MATCH(Table5[[#This Row],[PID]],Table3[[#All],[PID]],0)))</f>
        <v>SP</v>
      </c>
      <c r="E478" s="52" t="str">
        <f>IF($C478="B",INDEX(Batters[[#All],[First]],MATCH(Table5[[#This Row],[PID]],Batters[[#All],[PID]],0)),INDEX(Table3[[#All],[First]],MATCH(Table5[[#This Row],[PID]],Table3[[#All],[PID]],0)))</f>
        <v>Charles</v>
      </c>
      <c r="F478" s="50" t="str">
        <f>IF($C478="B",INDEX(Batters[[#All],[Last]],MATCH(A478,Batters[[#All],[PID]],0)),INDEX(Table3[[#All],[Last]],MATCH(A478,Table3[[#All],[PID]],0)))</f>
        <v>García</v>
      </c>
      <c r="G478" s="56">
        <f>IF($C478="B",INDEX(Batters[[#All],[Age]],MATCH(Table5[[#This Row],[PID]],Batters[[#All],[PID]],0)),INDEX(Table3[[#All],[Age]],MATCH(Table5[[#This Row],[PID]],Table3[[#All],[PID]],0)))</f>
        <v>16</v>
      </c>
      <c r="H478" s="52" t="str">
        <f>IF($C478="B",INDEX(Batters[[#All],[B]],MATCH(Table5[[#This Row],[PID]],Batters[[#All],[PID]],0)),INDEX(Table3[[#All],[B]],MATCH(Table5[[#This Row],[PID]],Table3[[#All],[PID]],0)))</f>
        <v>L</v>
      </c>
      <c r="I478" s="52" t="str">
        <f>IF($C478="B",INDEX(Batters[[#All],[T]],MATCH(Table5[[#This Row],[PID]],Batters[[#All],[PID]],0)),INDEX(Table3[[#All],[T]],MATCH(Table5[[#This Row],[PID]],Table3[[#All],[PID]],0)))</f>
        <v>R</v>
      </c>
      <c r="J478" s="52" t="str">
        <f>IF($C478="B",INDEX(Batters[[#All],[WE]],MATCH(Table5[[#This Row],[PID]],Batters[[#All],[PID]],0)),INDEX(Table3[[#All],[WE]],MATCH(Table5[[#This Row],[PID]],Table3[[#All],[PID]],0)))</f>
        <v>Normal</v>
      </c>
      <c r="K478" s="52" t="str">
        <f>IF($C478="B",INDEX(Batters[[#All],[INT]],MATCH(Table5[[#This Row],[PID]],Batters[[#All],[PID]],0)),INDEX(Table3[[#All],[INT]],MATCH(Table5[[#This Row],[PID]],Table3[[#All],[PID]],0)))</f>
        <v>Normal</v>
      </c>
      <c r="L478" s="60">
        <f>IF($C478="B",INDEX(Batters[[#All],[CON P]],MATCH(Table5[[#This Row],[PID]],Batters[[#All],[PID]],0)),INDEX(Table3[[#All],[STU P]],MATCH(Table5[[#This Row],[PID]],Table3[[#All],[PID]],0)))</f>
        <v>4</v>
      </c>
      <c r="M478" s="56">
        <f>IF($C478="B",INDEX(Batters[[#All],[GAP P]],MATCH(Table5[[#This Row],[PID]],Batters[[#All],[PID]],0)),INDEX(Table3[[#All],[MOV P]],MATCH(Table5[[#This Row],[PID]],Table3[[#All],[PID]],0)))</f>
        <v>2</v>
      </c>
      <c r="N478" s="56">
        <f>IF($C478="B",INDEX(Batters[[#All],[POW P]],MATCH(Table5[[#This Row],[PID]],Batters[[#All],[PID]],0)),INDEX(Table3[[#All],[CON P]],MATCH(Table5[[#This Row],[PID]],Table3[[#All],[PID]],0)))</f>
        <v>3</v>
      </c>
      <c r="O478" s="56" t="str">
        <f>IF($C478="B",INDEX(Batters[[#All],[EYE P]],MATCH(Table5[[#This Row],[PID]],Batters[[#All],[PID]],0)),INDEX(Table3[[#All],[VELO]],MATCH(Table5[[#This Row],[PID]],Table3[[#All],[PID]],0)))</f>
        <v>89-91 Mph</v>
      </c>
      <c r="P478" s="56">
        <f>IF($C478="B",INDEX(Batters[[#All],[K P]],MATCH(Table5[[#This Row],[PID]],Batters[[#All],[PID]],0)),INDEX(Table3[[#All],[STM]],MATCH(Table5[[#This Row],[PID]],Table3[[#All],[PID]],0)))</f>
        <v>4</v>
      </c>
      <c r="Q478" s="61">
        <f>IF($C478="B",INDEX(Batters[[#All],[Tot]],MATCH(Table5[[#This Row],[PID]],Batters[[#All],[PID]],0)),INDEX(Table3[[#All],[Tot]],MATCH(Table5[[#This Row],[PID]],Table3[[#All],[PID]],0)))</f>
        <v>33.141339382778</v>
      </c>
      <c r="R478" s="52">
        <f>IF($C478="B",INDEX(Batters[[#All],[zScore]],MATCH(Table5[[#This Row],[PID]],Batters[[#All],[PID]],0)),INDEX(Table3[[#All],[zScore]],MATCH(Table5[[#This Row],[PID]],Table3[[#All],[PID]],0)))</f>
        <v>-0.33191329830575672</v>
      </c>
      <c r="S478" s="58" t="str">
        <f>IF($C478="B",INDEX(Batters[[#All],[DEM]],MATCH(Table5[[#This Row],[PID]],Batters[[#All],[PID]],0)),INDEX(Table3[[#All],[DEM]],MATCH(Table5[[#This Row],[PID]],Table3[[#All],[PID]],0)))</f>
        <v>$65k</v>
      </c>
      <c r="T478" s="62">
        <f>IF($C478="B",INDEX(Batters[[#All],[Rnk]],MATCH(Table5[[#This Row],[PID]],Batters[[#All],[PID]],0)),INDEX(Table3[[#All],[Rnk]],MATCH(Table5[[#This Row],[PID]],Table3[[#All],[PID]],0)))</f>
        <v>900</v>
      </c>
      <c r="U478" s="67">
        <f>IF($C478="B",VLOOKUP($A478,Bat!$A$4:$BA$1314,47,FALSE),VLOOKUP($A478,Pit!$A$4:$BF$1214,56,FALSE))</f>
        <v>171</v>
      </c>
      <c r="V478" s="50">
        <f>IF($C478="B",VLOOKUP($A478,Bat!$A$4:$BA$1314,48,FALSE),VLOOKUP($A478,Pit!$A$4:$BF$1214,57,FALSE))</f>
        <v>0</v>
      </c>
      <c r="W478" s="68">
        <f>IF(Table5[[#This Row],[posRnk]]=999,9999,Table5[[#This Row],[posRnk]]+Table5[[#This Row],[zRnk]]+IF($W$3&lt;&gt;Table5[[#This Row],[Type]],50,0))</f>
        <v>1402</v>
      </c>
      <c r="X478" s="51">
        <f>RANK(Table5[[#This Row],[zScore]],Table5[[#All],[zScore]])</f>
        <v>502</v>
      </c>
      <c r="Y478" s="50" t="str">
        <f>IFERROR(INDEX(DraftResults[[#All],[OVR]],MATCH(Table5[[#This Row],[PID]],DraftResults[[#All],[Player ID]],0)),"")</f>
        <v/>
      </c>
      <c r="Z478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/>
      </c>
      <c r="AA478" s="50" t="str">
        <f>IFERROR(INDEX(DraftResults[[#All],[Pick in Round]],MATCH(Table5[[#This Row],[PID]],DraftResults[[#All],[Player ID]],0)),"")</f>
        <v/>
      </c>
      <c r="AB478" s="50" t="str">
        <f>IFERROR(INDEX(DraftResults[[#All],[Team Name]],MATCH(Table5[[#This Row],[PID]],DraftResults[[#All],[Player ID]],0)),"")</f>
        <v/>
      </c>
      <c r="AC478" s="50" t="str">
        <f>IF(Table5[[#This Row],[Ovr]]="","",IF(Table5[[#This Row],[cmbList]]="","",Table5[[#This Row],[cmbList]]-Table5[[#This Row],[Ovr]]))</f>
        <v/>
      </c>
      <c r="AD478" s="54" t="str">
        <f>IF(ISERROR(VLOOKUP($AB478&amp;"-"&amp;$E478&amp;" "&amp;F478,Bonuses!$B$1:$G$1006,4,FALSE)),"",INT(VLOOKUP($AB478&amp;"-"&amp;$E478&amp;" "&amp;$F478,Bonuses!$B$1:$G$1006,4,FALSE)))</f>
        <v/>
      </c>
      <c r="AE478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/>
      </c>
    </row>
    <row r="479" spans="1:31" s="50" customFormat="1" x14ac:dyDescent="0.3">
      <c r="A479" s="50">
        <v>13309</v>
      </c>
      <c r="B479" s="50">
        <f>COUNTIF(Table5[PID],A479)</f>
        <v>1</v>
      </c>
      <c r="C479" s="50" t="str">
        <f>IF(COUNTIF(Table3[[#All],[PID]],A479)&gt;0,"P","B")</f>
        <v>P</v>
      </c>
      <c r="D479" s="59" t="str">
        <f>IF($C479="B",INDEX(Batters[[#All],[POS]],MATCH(Table5[[#This Row],[PID]],Batters[[#All],[PID]],0)),INDEX(Table3[[#All],[POS]],MATCH(Table5[[#This Row],[PID]],Table3[[#All],[PID]],0)))</f>
        <v>SP</v>
      </c>
      <c r="E479" s="52" t="str">
        <f>IF($C479="B",INDEX(Batters[[#All],[First]],MATCH(Table5[[#This Row],[PID]],Batters[[#All],[PID]],0)),INDEX(Table3[[#All],[First]],MATCH(Table5[[#This Row],[PID]],Table3[[#All],[PID]],0)))</f>
        <v>Yoshimasa</v>
      </c>
      <c r="F479" s="50" t="str">
        <f>IF($C479="B",INDEX(Batters[[#All],[Last]],MATCH(A479,Batters[[#All],[PID]],0)),INDEX(Table3[[#All],[Last]],MATCH(A479,Table3[[#All],[PID]],0)))</f>
        <v>Kitamura</v>
      </c>
      <c r="G479" s="56">
        <f>IF($C479="B",INDEX(Batters[[#All],[Age]],MATCH(Table5[[#This Row],[PID]],Batters[[#All],[PID]],0)),INDEX(Table3[[#All],[Age]],MATCH(Table5[[#This Row],[PID]],Table3[[#All],[PID]],0)))</f>
        <v>17</v>
      </c>
      <c r="H479" s="52" t="str">
        <f>IF($C479="B",INDEX(Batters[[#All],[B]],MATCH(Table5[[#This Row],[PID]],Batters[[#All],[PID]],0)),INDEX(Table3[[#All],[B]],MATCH(Table5[[#This Row],[PID]],Table3[[#All],[PID]],0)))</f>
        <v>L</v>
      </c>
      <c r="I479" s="52" t="str">
        <f>IF($C479="B",INDEX(Batters[[#All],[T]],MATCH(Table5[[#This Row],[PID]],Batters[[#All],[PID]],0)),INDEX(Table3[[#All],[T]],MATCH(Table5[[#This Row],[PID]],Table3[[#All],[PID]],0)))</f>
        <v>R</v>
      </c>
      <c r="J479" s="52" t="str">
        <f>IF($C479="B",INDEX(Batters[[#All],[WE]],MATCH(Table5[[#This Row],[PID]],Batters[[#All],[PID]],0)),INDEX(Table3[[#All],[WE]],MATCH(Table5[[#This Row],[PID]],Table3[[#All],[PID]],0)))</f>
        <v>Low</v>
      </c>
      <c r="K479" s="52" t="str">
        <f>IF($C479="B",INDEX(Batters[[#All],[INT]],MATCH(Table5[[#This Row],[PID]],Batters[[#All],[PID]],0)),INDEX(Table3[[#All],[INT]],MATCH(Table5[[#This Row],[PID]],Table3[[#All],[PID]],0)))</f>
        <v>Normal</v>
      </c>
      <c r="L479" s="60">
        <f>IF($C479="B",INDEX(Batters[[#All],[CON P]],MATCH(Table5[[#This Row],[PID]],Batters[[#All],[PID]],0)),INDEX(Table3[[#All],[STU P]],MATCH(Table5[[#This Row],[PID]],Table3[[#All],[PID]],0)))</f>
        <v>4</v>
      </c>
      <c r="M479" s="56">
        <f>IF($C479="B",INDEX(Batters[[#All],[GAP P]],MATCH(Table5[[#This Row],[PID]],Batters[[#All],[PID]],0)),INDEX(Table3[[#All],[MOV P]],MATCH(Table5[[#This Row],[PID]],Table3[[#All],[PID]],0)))</f>
        <v>2</v>
      </c>
      <c r="N479" s="56">
        <f>IF($C479="B",INDEX(Batters[[#All],[POW P]],MATCH(Table5[[#This Row],[PID]],Batters[[#All],[PID]],0)),INDEX(Table3[[#All],[CON P]],MATCH(Table5[[#This Row],[PID]],Table3[[#All],[PID]],0)))</f>
        <v>3</v>
      </c>
      <c r="O479" s="56" t="str">
        <f>IF($C479="B",INDEX(Batters[[#All],[EYE P]],MATCH(Table5[[#This Row],[PID]],Batters[[#All],[PID]],0)),INDEX(Table3[[#All],[VELO]],MATCH(Table5[[#This Row],[PID]],Table3[[#All],[PID]],0)))</f>
        <v>89-91 Mph</v>
      </c>
      <c r="P479" s="56">
        <f>IF($C479="B",INDEX(Batters[[#All],[K P]],MATCH(Table5[[#This Row],[PID]],Batters[[#All],[PID]],0)),INDEX(Table3[[#All],[STM]],MATCH(Table5[[#This Row],[PID]],Table3[[#All],[PID]],0)))</f>
        <v>9</v>
      </c>
      <c r="Q479" s="61">
        <f>IF($C479="B",INDEX(Batters[[#All],[Tot]],MATCH(Table5[[#This Row],[PID]],Batters[[#All],[PID]],0)),INDEX(Table3[[#All],[Tot]],MATCH(Table5[[#This Row],[PID]],Table3[[#All],[PID]],0)))</f>
        <v>34.150874457299729</v>
      </c>
      <c r="R479" s="52">
        <f>IF($C479="B",INDEX(Batters[[#All],[zScore]],MATCH(Table5[[#This Row],[PID]],Batters[[#All],[PID]],0)),INDEX(Table3[[#All],[zScore]],MATCH(Table5[[#This Row],[PID]],Table3[[#All],[PID]],0)))</f>
        <v>-0.2600273010678662</v>
      </c>
      <c r="S479" s="58" t="str">
        <f>IF($C479="B",INDEX(Batters[[#All],[DEM]],MATCH(Table5[[#This Row],[PID]],Batters[[#All],[PID]],0)),INDEX(Table3[[#All],[DEM]],MATCH(Table5[[#This Row],[PID]],Table3[[#All],[PID]],0)))</f>
        <v>$70k</v>
      </c>
      <c r="T479" s="62">
        <f>IF($C479="B",INDEX(Batters[[#All],[Rnk]],MATCH(Table5[[#This Row],[PID]],Batters[[#All],[PID]],0)),INDEX(Table3[[#All],[Rnk]],MATCH(Table5[[#This Row],[PID]],Table3[[#All],[PID]],0)))</f>
        <v>930</v>
      </c>
      <c r="U479" s="67">
        <f>IF($C479="B",VLOOKUP($A479,Bat!$A$4:$BA$1314,47,FALSE),VLOOKUP($A479,Pit!$A$4:$BF$1214,56,FALSE))</f>
        <v>301</v>
      </c>
      <c r="V479" s="50">
        <f>IF($C479="B",VLOOKUP($A479,Bat!$A$4:$BA$1314,48,FALSE),VLOOKUP($A479,Pit!$A$4:$BF$1214,57,FALSE))</f>
        <v>0</v>
      </c>
      <c r="W479" s="68">
        <f>IF(Table5[[#This Row],[posRnk]]=999,9999,Table5[[#This Row],[posRnk]]+Table5[[#This Row],[zRnk]]+IF($W$3&lt;&gt;Table5[[#This Row],[Type]],50,0))</f>
        <v>1402</v>
      </c>
      <c r="X479" s="51">
        <f>RANK(Table5[[#This Row],[zScore]],Table5[[#All],[zScore]])</f>
        <v>472</v>
      </c>
      <c r="Y479" s="50">
        <f>IFERROR(INDEX(DraftResults[[#All],[OVR]],MATCH(Table5[[#This Row],[PID]],DraftResults[[#All],[Player ID]],0)),"")</f>
        <v>354</v>
      </c>
      <c r="Z479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11</v>
      </c>
      <c r="AA479" s="50">
        <f>IFERROR(INDEX(DraftResults[[#All],[Pick in Round]],MATCH(Table5[[#This Row],[PID]],DraftResults[[#All],[Player ID]],0)),"")</f>
        <v>23</v>
      </c>
      <c r="AB479" s="50" t="str">
        <f>IFERROR(INDEX(DraftResults[[#All],[Team Name]],MATCH(Table5[[#This Row],[PID]],DraftResults[[#All],[Player ID]],0)),"")</f>
        <v>Kentucky Thoroughbreds</v>
      </c>
      <c r="AC479" s="50">
        <f>IF(Table5[[#This Row],[Ovr]]="","",IF(Table5[[#This Row],[cmbList]]="","",Table5[[#This Row],[cmbList]]-Table5[[#This Row],[Ovr]]))</f>
        <v>1048</v>
      </c>
      <c r="AD479" s="54" t="str">
        <f>IF(ISERROR(VLOOKUP($AB479&amp;"-"&amp;$E479&amp;" "&amp;F479,Bonuses!$B$1:$G$1006,4,FALSE)),"",INT(VLOOKUP($AB479&amp;"-"&amp;$E479&amp;" "&amp;$F479,Bonuses!$B$1:$G$1006,4,FALSE)))</f>
        <v/>
      </c>
      <c r="AE479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11.23 (354) - SP Yoshimasa Kitamura</v>
      </c>
    </row>
    <row r="480" spans="1:31" s="50" customFormat="1" x14ac:dyDescent="0.3">
      <c r="A480" s="50">
        <v>5780</v>
      </c>
      <c r="B480" s="50">
        <f>COUNTIF(Table5[PID],A480)</f>
        <v>1</v>
      </c>
      <c r="C480" s="50" t="str">
        <f>IF(COUNTIF(Table3[[#All],[PID]],A480)&gt;0,"P","B")</f>
        <v>B</v>
      </c>
      <c r="D480" s="59" t="str">
        <f>IF($C480="B",INDEX(Batters[[#All],[POS]],MATCH(Table5[[#This Row],[PID]],Batters[[#All],[PID]],0)),INDEX(Table3[[#All],[POS]],MATCH(Table5[[#This Row],[PID]],Table3[[#All],[PID]],0)))</f>
        <v>RF</v>
      </c>
      <c r="E480" s="52" t="str">
        <f>IF($C480="B",INDEX(Batters[[#All],[First]],MATCH(Table5[[#This Row],[PID]],Batters[[#All],[PID]],0)),INDEX(Table3[[#All],[First]],MATCH(Table5[[#This Row],[PID]],Table3[[#All],[PID]],0)))</f>
        <v>Carlos</v>
      </c>
      <c r="F480" s="50" t="str">
        <f>IF($C480="B",INDEX(Batters[[#All],[Last]],MATCH(A480,Batters[[#All],[PID]],0)),INDEX(Table3[[#All],[Last]],MATCH(A480,Table3[[#All],[PID]],0)))</f>
        <v>Pérez</v>
      </c>
      <c r="G480" s="56">
        <f>IF($C480="B",INDEX(Batters[[#All],[Age]],MATCH(Table5[[#This Row],[PID]],Batters[[#All],[PID]],0)),INDEX(Table3[[#All],[Age]],MATCH(Table5[[#This Row],[PID]],Table3[[#All],[PID]],0)))</f>
        <v>21</v>
      </c>
      <c r="H480" s="52" t="str">
        <f>IF($C480="B",INDEX(Batters[[#All],[B]],MATCH(Table5[[#This Row],[PID]],Batters[[#All],[PID]],0)),INDEX(Table3[[#All],[B]],MATCH(Table5[[#This Row],[PID]],Table3[[#All],[PID]],0)))</f>
        <v>R</v>
      </c>
      <c r="I480" s="52" t="str">
        <f>IF($C480="B",INDEX(Batters[[#All],[T]],MATCH(Table5[[#This Row],[PID]],Batters[[#All],[PID]],0)),INDEX(Table3[[#All],[T]],MATCH(Table5[[#This Row],[PID]],Table3[[#All],[PID]],0)))</f>
        <v>L</v>
      </c>
      <c r="J480" s="52" t="str">
        <f>IF($C480="B",INDEX(Batters[[#All],[WE]],MATCH(Table5[[#This Row],[PID]],Batters[[#All],[PID]],0)),INDEX(Table3[[#All],[WE]],MATCH(Table5[[#This Row],[PID]],Table3[[#All],[PID]],0)))</f>
        <v>Normal</v>
      </c>
      <c r="K480" s="52" t="str">
        <f>IF($C480="B",INDEX(Batters[[#All],[INT]],MATCH(Table5[[#This Row],[PID]],Batters[[#All],[PID]],0)),INDEX(Table3[[#All],[INT]],MATCH(Table5[[#This Row],[PID]],Table3[[#All],[PID]],0)))</f>
        <v>Low</v>
      </c>
      <c r="L480" s="60">
        <f>IF($C480="B",INDEX(Batters[[#All],[CON P]],MATCH(Table5[[#This Row],[PID]],Batters[[#All],[PID]],0)),INDEX(Table3[[#All],[STU P]],MATCH(Table5[[#This Row],[PID]],Table3[[#All],[PID]],0)))</f>
        <v>4</v>
      </c>
      <c r="M480" s="56">
        <f>IF($C480="B",INDEX(Batters[[#All],[GAP P]],MATCH(Table5[[#This Row],[PID]],Batters[[#All],[PID]],0)),INDEX(Table3[[#All],[MOV P]],MATCH(Table5[[#This Row],[PID]],Table3[[#All],[PID]],0)))</f>
        <v>3</v>
      </c>
      <c r="N480" s="56">
        <f>IF($C480="B",INDEX(Batters[[#All],[POW P]],MATCH(Table5[[#This Row],[PID]],Batters[[#All],[PID]],0)),INDEX(Table3[[#All],[CON P]],MATCH(Table5[[#This Row],[PID]],Table3[[#All],[PID]],0)))</f>
        <v>4</v>
      </c>
      <c r="O480" s="56">
        <f>IF($C480="B",INDEX(Batters[[#All],[EYE P]],MATCH(Table5[[#This Row],[PID]],Batters[[#All],[PID]],0)),INDEX(Table3[[#All],[VELO]],MATCH(Table5[[#This Row],[PID]],Table3[[#All],[PID]],0)))</f>
        <v>5</v>
      </c>
      <c r="P480" s="56">
        <f>IF($C480="B",INDEX(Batters[[#All],[K P]],MATCH(Table5[[#This Row],[PID]],Batters[[#All],[PID]],0)),INDEX(Table3[[#All],[STM]],MATCH(Table5[[#This Row],[PID]],Table3[[#All],[PID]],0)))</f>
        <v>4</v>
      </c>
      <c r="Q480" s="61">
        <f>IF($C480="B",INDEX(Batters[[#All],[Tot]],MATCH(Table5[[#This Row],[PID]],Batters[[#All],[PID]],0)),INDEX(Table3[[#All],[Tot]],MATCH(Table5[[#This Row],[PID]],Table3[[#All],[PID]],0)))</f>
        <v>41.634639835356694</v>
      </c>
      <c r="R480" s="52">
        <f>IF($C480="B",INDEX(Batters[[#All],[zScore]],MATCH(Table5[[#This Row],[PID]],Batters[[#All],[PID]],0)),INDEX(Table3[[#All],[zScore]],MATCH(Table5[[#This Row],[PID]],Table3[[#All],[PID]],0)))</f>
        <v>-0.23119169601320358</v>
      </c>
      <c r="S480" s="58" t="str">
        <f>IF($C480="B",INDEX(Batters[[#All],[DEM]],MATCH(Table5[[#This Row],[PID]],Batters[[#All],[PID]],0)),INDEX(Table3[[#All],[DEM]],MATCH(Table5[[#This Row],[PID]],Table3[[#All],[PID]],0)))</f>
        <v>$20k</v>
      </c>
      <c r="T480" s="62">
        <f>IF($C480="B",INDEX(Batters[[#All],[Rnk]],MATCH(Table5[[#This Row],[PID]],Batters[[#All],[PID]],0)),INDEX(Table3[[#All],[Rnk]],MATCH(Table5[[#This Row],[PID]],Table3[[#All],[PID]],0)))</f>
        <v>940</v>
      </c>
      <c r="U480" s="67">
        <f>IF($C480="B",VLOOKUP($A480,Bat!$A$4:$BA$1314,47,FALSE),VLOOKUP($A480,Pit!$A$4:$BF$1214,56,FALSE))</f>
        <v>415</v>
      </c>
      <c r="V480" s="50">
        <f>IF($C480="B",VLOOKUP($A480,Bat!$A$4:$BA$1314,48,FALSE),VLOOKUP($A480,Pit!$A$4:$BF$1214,57,FALSE))</f>
        <v>0</v>
      </c>
      <c r="W480" s="68">
        <f>IF(Table5[[#This Row],[posRnk]]=999,9999,Table5[[#This Row],[posRnk]]+Table5[[#This Row],[zRnk]]+IF($W$3&lt;&gt;Table5[[#This Row],[Type]],50,0))</f>
        <v>1452</v>
      </c>
      <c r="X480" s="51">
        <f>RANK(Table5[[#This Row],[zScore]],Table5[[#All],[zScore]])</f>
        <v>462</v>
      </c>
      <c r="Y480" s="50">
        <f>IFERROR(INDEX(DraftResults[[#All],[OVR]],MATCH(Table5[[#This Row],[PID]],DraftResults[[#All],[Player ID]],0)),"")</f>
        <v>273</v>
      </c>
      <c r="Z480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9</v>
      </c>
      <c r="AA480" s="50">
        <f>IFERROR(INDEX(DraftResults[[#All],[Pick in Round]],MATCH(Table5[[#This Row],[PID]],DraftResults[[#All],[Player ID]],0)),"")</f>
        <v>8</v>
      </c>
      <c r="AB480" s="50" t="str">
        <f>IFERROR(INDEX(DraftResults[[#All],[Team Name]],MATCH(Table5[[#This Row],[PID]],DraftResults[[#All],[Player ID]],0)),"")</f>
        <v>Gloucester Fishermen</v>
      </c>
      <c r="AC480" s="50">
        <f>IF(Table5[[#This Row],[Ovr]]="","",IF(Table5[[#This Row],[cmbList]]="","",Table5[[#This Row],[cmbList]]-Table5[[#This Row],[Ovr]]))</f>
        <v>1179</v>
      </c>
      <c r="AD480" s="54" t="str">
        <f>IF(ISERROR(VLOOKUP($AB480&amp;"-"&amp;$E480&amp;" "&amp;F480,Bonuses!$B$1:$G$1006,4,FALSE)),"",INT(VLOOKUP($AB480&amp;"-"&amp;$E480&amp;" "&amp;$F480,Bonuses!$B$1:$G$1006,4,FALSE)))</f>
        <v/>
      </c>
      <c r="AE480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9.8 (273) - RF Carlos Pérez</v>
      </c>
    </row>
    <row r="481" spans="1:31" s="50" customFormat="1" x14ac:dyDescent="0.3">
      <c r="A481" s="67">
        <v>13131</v>
      </c>
      <c r="B481" s="68">
        <f>COUNTIF(Table5[PID],A481)</f>
        <v>1</v>
      </c>
      <c r="C481" s="68" t="str">
        <f>IF(COUNTIF(Table3[[#All],[PID]],A481)&gt;0,"P","B")</f>
        <v>B</v>
      </c>
      <c r="D481" s="59" t="str">
        <f>IF($C481="B",INDEX(Batters[[#All],[POS]],MATCH(Table5[[#This Row],[PID]],Batters[[#All],[PID]],0)),INDEX(Table3[[#All],[POS]],MATCH(Table5[[#This Row],[PID]],Table3[[#All],[PID]],0)))</f>
        <v>RF</v>
      </c>
      <c r="E481" s="52" t="str">
        <f>IF($C481="B",INDEX(Batters[[#All],[First]],MATCH(Table5[[#This Row],[PID]],Batters[[#All],[PID]],0)),INDEX(Table3[[#All],[First]],MATCH(Table5[[#This Row],[PID]],Table3[[#All],[PID]],0)))</f>
        <v>David</v>
      </c>
      <c r="F481" s="55" t="str">
        <f>IF($C481="B",INDEX(Batters[[#All],[Last]],MATCH(A481,Batters[[#All],[PID]],0)),INDEX(Table3[[#All],[Last]],MATCH(A481,Table3[[#All],[PID]],0)))</f>
        <v>Stimpson</v>
      </c>
      <c r="G481" s="56">
        <f>IF($C481="B",INDEX(Batters[[#All],[Age]],MATCH(Table5[[#This Row],[PID]],Batters[[#All],[PID]],0)),INDEX(Table3[[#All],[Age]],MATCH(Table5[[#This Row],[PID]],Table3[[#All],[PID]],0)))</f>
        <v>17</v>
      </c>
      <c r="H481" s="52" t="str">
        <f>IF($C481="B",INDEX(Batters[[#All],[B]],MATCH(Table5[[#This Row],[PID]],Batters[[#All],[PID]],0)),INDEX(Table3[[#All],[B]],MATCH(Table5[[#This Row],[PID]],Table3[[#All],[PID]],0)))</f>
        <v>R</v>
      </c>
      <c r="I481" s="52" t="str">
        <f>IF($C481="B",INDEX(Batters[[#All],[T]],MATCH(Table5[[#This Row],[PID]],Batters[[#All],[PID]],0)),INDEX(Table3[[#All],[T]],MATCH(Table5[[#This Row],[PID]],Table3[[#All],[PID]],0)))</f>
        <v>R</v>
      </c>
      <c r="J481" s="69" t="str">
        <f>IF($C481="B",INDEX(Batters[[#All],[WE]],MATCH(Table5[[#This Row],[PID]],Batters[[#All],[PID]],0)),INDEX(Table3[[#All],[WE]],MATCH(Table5[[#This Row],[PID]],Table3[[#All],[PID]],0)))</f>
        <v>Normal</v>
      </c>
      <c r="K481" s="52" t="str">
        <f>IF($C481="B",INDEX(Batters[[#All],[INT]],MATCH(Table5[[#This Row],[PID]],Batters[[#All],[PID]],0)),INDEX(Table3[[#All],[INT]],MATCH(Table5[[#This Row],[PID]],Table3[[#All],[PID]],0)))</f>
        <v>Normal</v>
      </c>
      <c r="L481" s="60">
        <f>IF($C481="B",INDEX(Batters[[#All],[CON P]],MATCH(Table5[[#This Row],[PID]],Batters[[#All],[PID]],0)),INDEX(Table3[[#All],[STU P]],MATCH(Table5[[#This Row],[PID]],Table3[[#All],[PID]],0)))</f>
        <v>3</v>
      </c>
      <c r="M481" s="70">
        <f>IF($C481="B",INDEX(Batters[[#All],[GAP P]],MATCH(Table5[[#This Row],[PID]],Batters[[#All],[PID]],0)),INDEX(Table3[[#All],[MOV P]],MATCH(Table5[[#This Row],[PID]],Table3[[#All],[PID]],0)))</f>
        <v>3</v>
      </c>
      <c r="N481" s="70">
        <f>IF($C481="B",INDEX(Batters[[#All],[POW P]],MATCH(Table5[[#This Row],[PID]],Batters[[#All],[PID]],0)),INDEX(Table3[[#All],[CON P]],MATCH(Table5[[#This Row],[PID]],Table3[[#All],[PID]],0)))</f>
        <v>3</v>
      </c>
      <c r="O481" s="70">
        <f>IF($C481="B",INDEX(Batters[[#All],[EYE P]],MATCH(Table5[[#This Row],[PID]],Batters[[#All],[PID]],0)),INDEX(Table3[[#All],[VELO]],MATCH(Table5[[#This Row],[PID]],Table3[[#All],[PID]],0)))</f>
        <v>5</v>
      </c>
      <c r="P481" s="56">
        <f>IF($C481="B",INDEX(Batters[[#All],[K P]],MATCH(Table5[[#This Row],[PID]],Batters[[#All],[PID]],0)),INDEX(Table3[[#All],[STM]],MATCH(Table5[[#This Row],[PID]],Table3[[#All],[PID]],0)))</f>
        <v>3</v>
      </c>
      <c r="Q481" s="61">
        <f>IF($C481="B",INDEX(Batters[[#All],[Tot]],MATCH(Table5[[#This Row],[PID]],Batters[[#All],[PID]],0)),INDEX(Table3[[#All],[Tot]],MATCH(Table5[[#This Row],[PID]],Table3[[#All],[PID]],0)))</f>
        <v>40.904916878155127</v>
      </c>
      <c r="R481" s="52">
        <f>IF($C481="B",INDEX(Batters[[#All],[zScore]],MATCH(Table5[[#This Row],[PID]],Batters[[#All],[PID]],0)),INDEX(Table3[[#All],[zScore]],MATCH(Table5[[#This Row],[PID]],Table3[[#All],[PID]],0)))</f>
        <v>-0.33770797664204583</v>
      </c>
      <c r="S481" s="75" t="str">
        <f>IF($C481="B",INDEX(Batters[[#All],[DEM]],MATCH(Table5[[#This Row],[PID]],Batters[[#All],[PID]],0)),INDEX(Table3[[#All],[DEM]],MATCH(Table5[[#This Row],[PID]],Table3[[#All],[PID]],0)))</f>
        <v>$85k</v>
      </c>
      <c r="T481" s="72">
        <f>IF($C481="B",INDEX(Batters[[#All],[Rnk]],MATCH(Table5[[#This Row],[PID]],Batters[[#All],[PID]],0)),INDEX(Table3[[#All],[Rnk]],MATCH(Table5[[#This Row],[PID]],Table3[[#All],[PID]],0)))</f>
        <v>900</v>
      </c>
      <c r="U481" s="67">
        <f>IF($C481="B",VLOOKUP($A481,Bat!$A$4:$BA$1314,47,FALSE),VLOOKUP($A481,Pit!$A$4:$BF$1214,56,FALSE))</f>
        <v>195</v>
      </c>
      <c r="V481" s="50">
        <f>IF($C481="B",VLOOKUP($A481,Bat!$A$4:$BA$1314,48,FALSE),VLOOKUP($A481,Pit!$A$4:$BF$1214,57,FALSE))</f>
        <v>0</v>
      </c>
      <c r="W481" s="68">
        <f>IF(Table5[[#This Row],[posRnk]]=999,9999,Table5[[#This Row],[posRnk]]+Table5[[#This Row],[zRnk]]+IF($W$3&lt;&gt;Table5[[#This Row],[Type]],50,0))</f>
        <v>1453</v>
      </c>
      <c r="X481" s="71">
        <f>RANK(Table5[[#This Row],[zScore]],Table5[[#All],[zScore]])</f>
        <v>503</v>
      </c>
      <c r="Y481" s="68" t="str">
        <f>IFERROR(INDEX(DraftResults[[#All],[OVR]],MATCH(Table5[[#This Row],[PID]],DraftResults[[#All],[Player ID]],0)),"")</f>
        <v/>
      </c>
      <c r="Z481" s="7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/>
      </c>
      <c r="AA481" s="68" t="str">
        <f>IFERROR(INDEX(DraftResults[[#All],[Pick in Round]],MATCH(Table5[[#This Row],[PID]],DraftResults[[#All],[Player ID]],0)),"")</f>
        <v/>
      </c>
      <c r="AB481" s="68" t="str">
        <f>IFERROR(INDEX(DraftResults[[#All],[Team Name]],MATCH(Table5[[#This Row],[PID]],DraftResults[[#All],[Player ID]],0)),"")</f>
        <v/>
      </c>
      <c r="AC481" s="68" t="str">
        <f>IF(Table5[[#This Row],[Ovr]]="","",IF(Table5[[#This Row],[cmbList]]="","",Table5[[#This Row],[cmbList]]-Table5[[#This Row],[Ovr]]))</f>
        <v/>
      </c>
      <c r="AD481" s="74" t="str">
        <f>IF(ISERROR(VLOOKUP($AB481&amp;"-"&amp;$E481&amp;" "&amp;F481,Bonuses!$B$1:$G$1006,4,FALSE)),"",INT(VLOOKUP($AB481&amp;"-"&amp;$E481&amp;" "&amp;$F481,Bonuses!$B$1:$G$1006,4,FALSE)))</f>
        <v/>
      </c>
      <c r="AE481" s="68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/>
      </c>
    </row>
    <row r="482" spans="1:31" s="50" customFormat="1" x14ac:dyDescent="0.3">
      <c r="A482" s="50">
        <v>8567</v>
      </c>
      <c r="B482" s="50">
        <f>COUNTIF(Table5[PID],A482)</f>
        <v>1</v>
      </c>
      <c r="C482" s="50" t="str">
        <f>IF(COUNTIF(Table3[[#All],[PID]],A482)&gt;0,"P","B")</f>
        <v>B</v>
      </c>
      <c r="D482" s="59" t="str">
        <f>IF($C482="B",INDEX(Batters[[#All],[POS]],MATCH(Table5[[#This Row],[PID]],Batters[[#All],[PID]],0)),INDEX(Table3[[#All],[POS]],MATCH(Table5[[#This Row],[PID]],Table3[[#All],[PID]],0)))</f>
        <v>LF</v>
      </c>
      <c r="E482" s="52" t="str">
        <f>IF($C482="B",INDEX(Batters[[#All],[First]],MATCH(Table5[[#This Row],[PID]],Batters[[#All],[PID]],0)),INDEX(Table3[[#All],[First]],MATCH(Table5[[#This Row],[PID]],Table3[[#All],[PID]],0)))</f>
        <v>Katsumoto</v>
      </c>
      <c r="F482" s="50" t="str">
        <f>IF($C482="B",INDEX(Batters[[#All],[Last]],MATCH(A482,Batters[[#All],[PID]],0)),INDEX(Table3[[#All],[Last]],MATCH(A482,Table3[[#All],[PID]],0)))</f>
        <v>Nakamura</v>
      </c>
      <c r="G482" s="56">
        <f>IF($C482="B",INDEX(Batters[[#All],[Age]],MATCH(Table5[[#This Row],[PID]],Batters[[#All],[PID]],0)),INDEX(Table3[[#All],[Age]],MATCH(Table5[[#This Row],[PID]],Table3[[#All],[PID]],0)))</f>
        <v>21</v>
      </c>
      <c r="H482" s="52" t="str">
        <f>IF($C482="B",INDEX(Batters[[#All],[B]],MATCH(Table5[[#This Row],[PID]],Batters[[#All],[PID]],0)),INDEX(Table3[[#All],[B]],MATCH(Table5[[#This Row],[PID]],Table3[[#All],[PID]],0)))</f>
        <v>R</v>
      </c>
      <c r="I482" s="52" t="str">
        <f>IF($C482="B",INDEX(Batters[[#All],[T]],MATCH(Table5[[#This Row],[PID]],Batters[[#All],[PID]],0)),INDEX(Table3[[#All],[T]],MATCH(Table5[[#This Row],[PID]],Table3[[#All],[PID]],0)))</f>
        <v>R</v>
      </c>
      <c r="J482" s="52" t="str">
        <f>IF($C482="B",INDEX(Batters[[#All],[WE]],MATCH(Table5[[#This Row],[PID]],Batters[[#All],[PID]],0)),INDEX(Table3[[#All],[WE]],MATCH(Table5[[#This Row],[PID]],Table3[[#All],[PID]],0)))</f>
        <v>Normal</v>
      </c>
      <c r="K482" s="52" t="str">
        <f>IF($C482="B",INDEX(Batters[[#All],[INT]],MATCH(Table5[[#This Row],[PID]],Batters[[#All],[PID]],0)),INDEX(Table3[[#All],[INT]],MATCH(Table5[[#This Row],[PID]],Table3[[#All],[PID]],0)))</f>
        <v>Normal</v>
      </c>
      <c r="L482" s="60">
        <f>IF($C482="B",INDEX(Batters[[#All],[CON P]],MATCH(Table5[[#This Row],[PID]],Batters[[#All],[PID]],0)),INDEX(Table3[[#All],[STU P]],MATCH(Table5[[#This Row],[PID]],Table3[[#All],[PID]],0)))</f>
        <v>4</v>
      </c>
      <c r="M482" s="56">
        <f>IF($C482="B",INDEX(Batters[[#All],[GAP P]],MATCH(Table5[[#This Row],[PID]],Batters[[#All],[PID]],0)),INDEX(Table3[[#All],[MOV P]],MATCH(Table5[[#This Row],[PID]],Table3[[#All],[PID]],0)))</f>
        <v>4</v>
      </c>
      <c r="N482" s="56">
        <f>IF($C482="B",INDEX(Batters[[#All],[POW P]],MATCH(Table5[[#This Row],[PID]],Batters[[#All],[PID]],0)),INDEX(Table3[[#All],[CON P]],MATCH(Table5[[#This Row],[PID]],Table3[[#All],[PID]],0)))</f>
        <v>2</v>
      </c>
      <c r="O482" s="56">
        <f>IF($C482="B",INDEX(Batters[[#All],[EYE P]],MATCH(Table5[[#This Row],[PID]],Batters[[#All],[PID]],0)),INDEX(Table3[[#All],[VELO]],MATCH(Table5[[#This Row],[PID]],Table3[[#All],[PID]],0)))</f>
        <v>5</v>
      </c>
      <c r="P482" s="56">
        <f>IF($C482="B",INDEX(Batters[[#All],[K P]],MATCH(Table5[[#This Row],[PID]],Batters[[#All],[PID]],0)),INDEX(Table3[[#All],[STM]],MATCH(Table5[[#This Row],[PID]],Table3[[#All],[PID]],0)))</f>
        <v>5</v>
      </c>
      <c r="Q482" s="61">
        <f>IF($C482="B",INDEX(Batters[[#All],[Tot]],MATCH(Table5[[#This Row],[PID]],Batters[[#All],[PID]],0)),INDEX(Table3[[#All],[Tot]],MATCH(Table5[[#This Row],[PID]],Table3[[#All],[PID]],0)))</f>
        <v>40.892883352517103</v>
      </c>
      <c r="R482" s="52">
        <f>IF($C482="B",INDEX(Batters[[#All],[zScore]],MATCH(Table5[[#This Row],[PID]],Batters[[#All],[PID]],0)),INDEX(Table3[[#All],[zScore]],MATCH(Table5[[#This Row],[PID]],Table3[[#All],[PID]],0)))</f>
        <v>-0.3394644876318188</v>
      </c>
      <c r="S482" s="58" t="str">
        <f>IF($C482="B",INDEX(Batters[[#All],[DEM]],MATCH(Table5[[#This Row],[PID]],Batters[[#All],[PID]],0)),INDEX(Table3[[#All],[DEM]],MATCH(Table5[[#This Row],[PID]],Table3[[#All],[PID]],0)))</f>
        <v>-</v>
      </c>
      <c r="T482" s="62">
        <f>IF($C482="B",INDEX(Batters[[#All],[Rnk]],MATCH(Table5[[#This Row],[PID]],Batters[[#All],[PID]],0)),INDEX(Table3[[#All],[Rnk]],MATCH(Table5[[#This Row],[PID]],Table3[[#All],[PID]],0)))</f>
        <v>900</v>
      </c>
      <c r="U482" s="67">
        <f>IF($C482="B",VLOOKUP($A482,Bat!$A$4:$BA$1314,47,FALSE),VLOOKUP($A482,Pit!$A$4:$BF$1214,56,FALSE))</f>
        <v>196</v>
      </c>
      <c r="V482" s="50">
        <f>IF($C482="B",VLOOKUP($A482,Bat!$A$4:$BA$1314,48,FALSE),VLOOKUP($A482,Pit!$A$4:$BF$1214,57,FALSE))</f>
        <v>0</v>
      </c>
      <c r="W482" s="68">
        <f>IF(Table5[[#This Row],[posRnk]]=999,9999,Table5[[#This Row],[posRnk]]+Table5[[#This Row],[zRnk]]+IF($W$3&lt;&gt;Table5[[#This Row],[Type]],50,0))</f>
        <v>1455</v>
      </c>
      <c r="X482" s="51">
        <f>RANK(Table5[[#This Row],[zScore]],Table5[[#All],[zScore]])</f>
        <v>505</v>
      </c>
      <c r="Y482" s="50">
        <f>IFERROR(INDEX(DraftResults[[#All],[OVR]],MATCH(Table5[[#This Row],[PID]],DraftResults[[#All],[Player ID]],0)),"")</f>
        <v>433</v>
      </c>
      <c r="Z482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13</v>
      </c>
      <c r="AA482" s="50">
        <f>IFERROR(INDEX(DraftResults[[#All],[Pick in Round]],MATCH(Table5[[#This Row],[PID]],DraftResults[[#All],[Player ID]],0)),"")</f>
        <v>34</v>
      </c>
      <c r="AB482" s="50" t="str">
        <f>IFERROR(INDEX(DraftResults[[#All],[Team Name]],MATCH(Table5[[#This Row],[PID]],DraftResults[[#All],[Player ID]],0)),"")</f>
        <v>New Jersey Hitmen</v>
      </c>
      <c r="AC482" s="50">
        <f>IF(Table5[[#This Row],[Ovr]]="","",IF(Table5[[#This Row],[cmbList]]="","",Table5[[#This Row],[cmbList]]-Table5[[#This Row],[Ovr]]))</f>
        <v>1022</v>
      </c>
      <c r="AD482" s="54" t="str">
        <f>IF(ISERROR(VLOOKUP($AB482&amp;"-"&amp;$E482&amp;" "&amp;F482,Bonuses!$B$1:$G$1006,4,FALSE)),"",INT(VLOOKUP($AB482&amp;"-"&amp;$E482&amp;" "&amp;$F482,Bonuses!$B$1:$G$1006,4,FALSE)))</f>
        <v/>
      </c>
      <c r="AE482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13.34 (433) - LF Katsumoto Nakamura</v>
      </c>
    </row>
    <row r="483" spans="1:31" s="50" customFormat="1" x14ac:dyDescent="0.3">
      <c r="A483" s="50">
        <v>16410</v>
      </c>
      <c r="B483" s="50">
        <f>COUNTIF(Table5[PID],A483)</f>
        <v>1</v>
      </c>
      <c r="C483" s="50" t="str">
        <f>IF(COUNTIF(Table3[[#All],[PID]],A483)&gt;0,"P","B")</f>
        <v>P</v>
      </c>
      <c r="D483" s="59" t="str">
        <f>IF($C483="B",INDEX(Batters[[#All],[POS]],MATCH(Table5[[#This Row],[PID]],Batters[[#All],[PID]],0)),INDEX(Table3[[#All],[POS]],MATCH(Table5[[#This Row],[PID]],Table3[[#All],[PID]],0)))</f>
        <v>RP</v>
      </c>
      <c r="E483" s="52" t="str">
        <f>IF($C483="B",INDEX(Batters[[#All],[First]],MATCH(Table5[[#This Row],[PID]],Batters[[#All],[PID]],0)),INDEX(Table3[[#All],[First]],MATCH(Table5[[#This Row],[PID]],Table3[[#All],[PID]],0)))</f>
        <v>Katsuyuki</v>
      </c>
      <c r="F483" s="50" t="str">
        <f>IF($C483="B",INDEX(Batters[[#All],[Last]],MATCH(A483,Batters[[#All],[PID]],0)),INDEX(Table3[[#All],[Last]],MATCH(A483,Table3[[#All],[PID]],0)))</f>
        <v>Takahashi</v>
      </c>
      <c r="G483" s="56">
        <f>IF($C483="B",INDEX(Batters[[#All],[Age]],MATCH(Table5[[#This Row],[PID]],Batters[[#All],[PID]],0)),INDEX(Table3[[#All],[Age]],MATCH(Table5[[#This Row],[PID]],Table3[[#All],[PID]],0)))</f>
        <v>21</v>
      </c>
      <c r="H483" s="52" t="str">
        <f>IF($C483="B",INDEX(Batters[[#All],[B]],MATCH(Table5[[#This Row],[PID]],Batters[[#All],[PID]],0)),INDEX(Table3[[#All],[B]],MATCH(Table5[[#This Row],[PID]],Table3[[#All],[PID]],0)))</f>
        <v>R</v>
      </c>
      <c r="I483" s="52" t="str">
        <f>IF($C483="B",INDEX(Batters[[#All],[T]],MATCH(Table5[[#This Row],[PID]],Batters[[#All],[PID]],0)),INDEX(Table3[[#All],[T]],MATCH(Table5[[#This Row],[PID]],Table3[[#All],[PID]],0)))</f>
        <v>R</v>
      </c>
      <c r="J483" s="52" t="str">
        <f>IF($C483="B",INDEX(Batters[[#All],[WE]],MATCH(Table5[[#This Row],[PID]],Batters[[#All],[PID]],0)),INDEX(Table3[[#All],[WE]],MATCH(Table5[[#This Row],[PID]],Table3[[#All],[PID]],0)))</f>
        <v>Normal</v>
      </c>
      <c r="K483" s="52" t="str">
        <f>IF($C483="B",INDEX(Batters[[#All],[INT]],MATCH(Table5[[#This Row],[PID]],Batters[[#All],[PID]],0)),INDEX(Table3[[#All],[INT]],MATCH(Table5[[#This Row],[PID]],Table3[[#All],[PID]],0)))</f>
        <v>Low</v>
      </c>
      <c r="L483" s="60">
        <f>IF($C483="B",INDEX(Batters[[#All],[CON P]],MATCH(Table5[[#This Row],[PID]],Batters[[#All],[PID]],0)),INDEX(Table3[[#All],[STU P]],MATCH(Table5[[#This Row],[PID]],Table3[[#All],[PID]],0)))</f>
        <v>6</v>
      </c>
      <c r="M483" s="56">
        <f>IF($C483="B",INDEX(Batters[[#All],[GAP P]],MATCH(Table5[[#This Row],[PID]],Batters[[#All],[PID]],0)),INDEX(Table3[[#All],[MOV P]],MATCH(Table5[[#This Row],[PID]],Table3[[#All],[PID]],0)))</f>
        <v>1</v>
      </c>
      <c r="N483" s="56">
        <f>IF($C483="B",INDEX(Batters[[#All],[POW P]],MATCH(Table5[[#This Row],[PID]],Batters[[#All],[PID]],0)),INDEX(Table3[[#All],[CON P]],MATCH(Table5[[#This Row],[PID]],Table3[[#All],[PID]],0)))</f>
        <v>3</v>
      </c>
      <c r="O483" s="56" t="str">
        <f>IF($C483="B",INDEX(Batters[[#All],[EYE P]],MATCH(Table5[[#This Row],[PID]],Batters[[#All],[PID]],0)),INDEX(Table3[[#All],[VELO]],MATCH(Table5[[#This Row],[PID]],Table3[[#All],[PID]],0)))</f>
        <v>92-94 Mph</v>
      </c>
      <c r="P483" s="56">
        <f>IF($C483="B",INDEX(Batters[[#All],[K P]],MATCH(Table5[[#This Row],[PID]],Batters[[#All],[PID]],0)),INDEX(Table3[[#All],[STM]],MATCH(Table5[[#This Row],[PID]],Table3[[#All],[PID]],0)))</f>
        <v>9</v>
      </c>
      <c r="Q483" s="61">
        <f>IF($C483="B",INDEX(Batters[[#All],[Tot]],MATCH(Table5[[#This Row],[PID]],Batters[[#All],[PID]],0)),INDEX(Table3[[#All],[Tot]],MATCH(Table5[[#This Row],[PID]],Table3[[#All],[PID]],0)))</f>
        <v>34.328209143892209</v>
      </c>
      <c r="R483" s="52">
        <f>IF($C483="B",INDEX(Batters[[#All],[zScore]],MATCH(Table5[[#This Row],[PID]],Batters[[#All],[PID]],0)),INDEX(Table3[[#All],[zScore]],MATCH(Table5[[#This Row],[PID]],Table3[[#All],[PID]],0)))</f>
        <v>-0.24094993931610528</v>
      </c>
      <c r="S483" s="58" t="str">
        <f>IF($C483="B",INDEX(Batters[[#All],[DEM]],MATCH(Table5[[#This Row],[PID]],Batters[[#All],[PID]],0)),INDEX(Table3[[#All],[DEM]],MATCH(Table5[[#This Row],[PID]],Table3[[#All],[PID]],0)))</f>
        <v>-</v>
      </c>
      <c r="T483" s="62">
        <f>IF($C483="B",INDEX(Batters[[#All],[Rnk]],MATCH(Table5[[#This Row],[PID]],Batters[[#All],[PID]],0)),INDEX(Table3[[#All],[Rnk]],MATCH(Table5[[#This Row],[PID]],Table3[[#All],[PID]],0)))</f>
        <v>940</v>
      </c>
      <c r="U483" s="67">
        <f>IF($C483="B",VLOOKUP($A483,Bat!$A$4:$BA$1314,47,FALSE),VLOOKUP($A483,Pit!$A$4:$BF$1214,56,FALSE))</f>
        <v>392</v>
      </c>
      <c r="V483" s="50">
        <f>IF($C483="B",VLOOKUP($A483,Bat!$A$4:$BA$1314,48,FALSE),VLOOKUP($A483,Pit!$A$4:$BF$1214,57,FALSE))</f>
        <v>0</v>
      </c>
      <c r="W483" s="68">
        <f>IF(Table5[[#This Row],[posRnk]]=999,9999,Table5[[#This Row],[posRnk]]+Table5[[#This Row],[zRnk]]+IF($W$3&lt;&gt;Table5[[#This Row],[Type]],50,0))</f>
        <v>1405</v>
      </c>
      <c r="X483" s="51">
        <f>RANK(Table5[[#This Row],[zScore]],Table5[[#All],[zScore]])</f>
        <v>465</v>
      </c>
      <c r="Y483" s="50">
        <f>IFERROR(INDEX(DraftResults[[#All],[OVR]],MATCH(Table5[[#This Row],[PID]],DraftResults[[#All],[Player ID]],0)),"")</f>
        <v>194</v>
      </c>
      <c r="Z483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6</v>
      </c>
      <c r="AA483" s="50">
        <f>IFERROR(INDEX(DraftResults[[#All],[Pick in Round]],MATCH(Table5[[#This Row],[PID]],DraftResults[[#All],[Player ID]],0)),"")</f>
        <v>25</v>
      </c>
      <c r="AB483" s="50" t="str">
        <f>IFERROR(INDEX(DraftResults[[#All],[Team Name]],MATCH(Table5[[#This Row],[PID]],DraftResults[[#All],[Player ID]],0)),"")</f>
        <v>Bakersfield Bears</v>
      </c>
      <c r="AC483" s="50">
        <f>IF(Table5[[#This Row],[Ovr]]="","",IF(Table5[[#This Row],[cmbList]]="","",Table5[[#This Row],[cmbList]]-Table5[[#This Row],[Ovr]]))</f>
        <v>1211</v>
      </c>
      <c r="AD483" s="54" t="str">
        <f>IF(ISERROR(VLOOKUP($AB483&amp;"-"&amp;$E483&amp;" "&amp;F483,Bonuses!$B$1:$G$1006,4,FALSE)),"",INT(VLOOKUP($AB483&amp;"-"&amp;$E483&amp;" "&amp;$F483,Bonuses!$B$1:$G$1006,4,FALSE)))</f>
        <v/>
      </c>
      <c r="AE483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6.25 (194) - RP Katsuyuki Takahashi</v>
      </c>
    </row>
    <row r="484" spans="1:31" s="50" customFormat="1" x14ac:dyDescent="0.3">
      <c r="A484" s="50">
        <v>5827</v>
      </c>
      <c r="B484" s="50">
        <f>COUNTIF(Table5[PID],A484)</f>
        <v>1</v>
      </c>
      <c r="C484" s="50" t="str">
        <f>IF(COUNTIF(Table3[[#All],[PID]],A484)&gt;0,"P","B")</f>
        <v>P</v>
      </c>
      <c r="D484" s="59" t="str">
        <f>IF($C484="B",INDEX(Batters[[#All],[POS]],MATCH(Table5[[#This Row],[PID]],Batters[[#All],[PID]],0)),INDEX(Table3[[#All],[POS]],MATCH(Table5[[#This Row],[PID]],Table3[[#All],[PID]],0)))</f>
        <v>RP</v>
      </c>
      <c r="E484" s="52" t="str">
        <f>IF($C484="B",INDEX(Batters[[#All],[First]],MATCH(Table5[[#This Row],[PID]],Batters[[#All],[PID]],0)),INDEX(Table3[[#All],[First]],MATCH(Table5[[#This Row],[PID]],Table3[[#All],[PID]],0)))</f>
        <v>Mike</v>
      </c>
      <c r="F484" s="50" t="str">
        <f>IF($C484="B",INDEX(Batters[[#All],[Last]],MATCH(A484,Batters[[#All],[PID]],0)),INDEX(Table3[[#All],[Last]],MATCH(A484,Table3[[#All],[PID]],0)))</f>
        <v>Decker</v>
      </c>
      <c r="G484" s="56">
        <f>IF($C484="B",INDEX(Batters[[#All],[Age]],MATCH(Table5[[#This Row],[PID]],Batters[[#All],[PID]],0)),INDEX(Table3[[#All],[Age]],MATCH(Table5[[#This Row],[PID]],Table3[[#All],[PID]],0)))</f>
        <v>21</v>
      </c>
      <c r="H484" s="52" t="str">
        <f>IF($C484="B",INDEX(Batters[[#All],[B]],MATCH(Table5[[#This Row],[PID]],Batters[[#All],[PID]],0)),INDEX(Table3[[#All],[B]],MATCH(Table5[[#This Row],[PID]],Table3[[#All],[PID]],0)))</f>
        <v>R</v>
      </c>
      <c r="I484" s="52" t="str">
        <f>IF($C484="B",INDEX(Batters[[#All],[T]],MATCH(Table5[[#This Row],[PID]],Batters[[#All],[PID]],0)),INDEX(Table3[[#All],[T]],MATCH(Table5[[#This Row],[PID]],Table3[[#All],[PID]],0)))</f>
        <v>R</v>
      </c>
      <c r="J484" s="52" t="str">
        <f>IF($C484="B",INDEX(Batters[[#All],[WE]],MATCH(Table5[[#This Row],[PID]],Batters[[#All],[PID]],0)),INDEX(Table3[[#All],[WE]],MATCH(Table5[[#This Row],[PID]],Table3[[#All],[PID]],0)))</f>
        <v>Normal</v>
      </c>
      <c r="K484" s="52" t="str">
        <f>IF($C484="B",INDEX(Batters[[#All],[INT]],MATCH(Table5[[#This Row],[PID]],Batters[[#All],[PID]],0)),INDEX(Table3[[#All],[INT]],MATCH(Table5[[#This Row],[PID]],Table3[[#All],[PID]],0)))</f>
        <v>Low</v>
      </c>
      <c r="L484" s="60">
        <f>IF($C484="B",INDEX(Batters[[#All],[CON P]],MATCH(Table5[[#This Row],[PID]],Batters[[#All],[PID]],0)),INDEX(Table3[[#All],[STU P]],MATCH(Table5[[#This Row],[PID]],Table3[[#All],[PID]],0)))</f>
        <v>5</v>
      </c>
      <c r="M484" s="56">
        <f>IF($C484="B",INDEX(Batters[[#All],[GAP P]],MATCH(Table5[[#This Row],[PID]],Batters[[#All],[PID]],0)),INDEX(Table3[[#All],[MOV P]],MATCH(Table5[[#This Row],[PID]],Table3[[#All],[PID]],0)))</f>
        <v>2</v>
      </c>
      <c r="N484" s="56">
        <f>IF($C484="B",INDEX(Batters[[#All],[POW P]],MATCH(Table5[[#This Row],[PID]],Batters[[#All],[PID]],0)),INDEX(Table3[[#All],[CON P]],MATCH(Table5[[#This Row],[PID]],Table3[[#All],[PID]],0)))</f>
        <v>3</v>
      </c>
      <c r="O484" s="56" t="str">
        <f>IF($C484="B",INDEX(Batters[[#All],[EYE P]],MATCH(Table5[[#This Row],[PID]],Batters[[#All],[PID]],0)),INDEX(Table3[[#All],[VELO]],MATCH(Table5[[#This Row],[PID]],Table3[[#All],[PID]],0)))</f>
        <v>91-93 Mph</v>
      </c>
      <c r="P484" s="56">
        <f>IF($C484="B",INDEX(Batters[[#All],[K P]],MATCH(Table5[[#This Row],[PID]],Batters[[#All],[PID]],0)),INDEX(Table3[[#All],[STM]],MATCH(Table5[[#This Row],[PID]],Table3[[#All],[PID]],0)))</f>
        <v>9</v>
      </c>
      <c r="Q484" s="61">
        <f>IF($C484="B",INDEX(Batters[[#All],[Tot]],MATCH(Table5[[#This Row],[PID]],Batters[[#All],[PID]],0)),INDEX(Table3[[#All],[Tot]],MATCH(Table5[[#This Row],[PID]],Table3[[#All],[PID]],0)))</f>
        <v>34.34316506069402</v>
      </c>
      <c r="R484" s="52">
        <f>IF($C484="B",INDEX(Batters[[#All],[zScore]],MATCH(Table5[[#This Row],[PID]],Batters[[#All],[PID]],0)),INDEX(Table3[[#All],[zScore]],MATCH(Table5[[#This Row],[PID]],Table3[[#All],[PID]],0)))</f>
        <v>-0.24633485775080463</v>
      </c>
      <c r="S484" s="58" t="str">
        <f>IF($C484="B",INDEX(Batters[[#All],[DEM]],MATCH(Table5[[#This Row],[PID]],Batters[[#All],[PID]],0)),INDEX(Table3[[#All],[DEM]],MATCH(Table5[[#This Row],[PID]],Table3[[#All],[PID]],0)))</f>
        <v>-</v>
      </c>
      <c r="T484" s="62">
        <f>IF($C484="B",INDEX(Batters[[#All],[Rnk]],MATCH(Table5[[#This Row],[PID]],Batters[[#All],[PID]],0)),INDEX(Table3[[#All],[Rnk]],MATCH(Table5[[#This Row],[PID]],Table3[[#All],[PID]],0)))</f>
        <v>940</v>
      </c>
      <c r="U484" s="67">
        <f>IF($C484="B",VLOOKUP($A484,Bat!$A$4:$BA$1314,47,FALSE),VLOOKUP($A484,Pit!$A$4:$BF$1214,56,FALSE))</f>
        <v>393</v>
      </c>
      <c r="V484" s="50">
        <f>IF($C484="B",VLOOKUP($A484,Bat!$A$4:$BA$1314,48,FALSE),VLOOKUP($A484,Pit!$A$4:$BF$1214,57,FALSE))</f>
        <v>0</v>
      </c>
      <c r="W484" s="68">
        <f>IF(Table5[[#This Row],[posRnk]]=999,9999,Table5[[#This Row],[posRnk]]+Table5[[#This Row],[zRnk]]+IF($W$3&lt;&gt;Table5[[#This Row],[Type]],50,0))</f>
        <v>1408</v>
      </c>
      <c r="X484" s="51">
        <f>RANK(Table5[[#This Row],[zScore]],Table5[[#All],[zScore]])</f>
        <v>468</v>
      </c>
      <c r="Y484" s="50">
        <f>IFERROR(INDEX(DraftResults[[#All],[OVR]],MATCH(Table5[[#This Row],[PID]],DraftResults[[#All],[Player ID]],0)),"")</f>
        <v>416</v>
      </c>
      <c r="Z484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13</v>
      </c>
      <c r="AA484" s="50">
        <f>IFERROR(INDEX(DraftResults[[#All],[Pick in Round]],MATCH(Table5[[#This Row],[PID]],DraftResults[[#All],[Player ID]],0)),"")</f>
        <v>17</v>
      </c>
      <c r="AB484" s="50" t="str">
        <f>IFERROR(INDEX(DraftResults[[#All],[Team Name]],MATCH(Table5[[#This Row],[PID]],DraftResults[[#All],[Player ID]],0)),"")</f>
        <v>Duluth Warriors</v>
      </c>
      <c r="AC484" s="50">
        <f>IF(Table5[[#This Row],[Ovr]]="","",IF(Table5[[#This Row],[cmbList]]="","",Table5[[#This Row],[cmbList]]-Table5[[#This Row],[Ovr]]))</f>
        <v>992</v>
      </c>
      <c r="AD484" s="54" t="str">
        <f>IF(ISERROR(VLOOKUP($AB484&amp;"-"&amp;$E484&amp;" "&amp;F484,Bonuses!$B$1:$G$1006,4,FALSE)),"",INT(VLOOKUP($AB484&amp;"-"&amp;$E484&amp;" "&amp;$F484,Bonuses!$B$1:$G$1006,4,FALSE)))</f>
        <v/>
      </c>
      <c r="AE484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13.17 (416) - RP Mike Decker</v>
      </c>
    </row>
    <row r="485" spans="1:31" s="50" customFormat="1" x14ac:dyDescent="0.3">
      <c r="A485" s="50">
        <v>20929</v>
      </c>
      <c r="B485" s="50">
        <f>COUNTIF(Table5[PID],A485)</f>
        <v>1</v>
      </c>
      <c r="C485" s="50" t="str">
        <f>IF(COUNTIF(Table3[[#All],[PID]],A485)&gt;0,"P","B")</f>
        <v>P</v>
      </c>
      <c r="D485" s="59" t="str">
        <f>IF($C485="B",INDEX(Batters[[#All],[POS]],MATCH(Table5[[#This Row],[PID]],Batters[[#All],[PID]],0)),INDEX(Table3[[#All],[POS]],MATCH(Table5[[#This Row],[PID]],Table3[[#All],[PID]],0)))</f>
        <v>RP</v>
      </c>
      <c r="E485" s="52" t="str">
        <f>IF($C485="B",INDEX(Batters[[#All],[First]],MATCH(Table5[[#This Row],[PID]],Batters[[#All],[PID]],0)),INDEX(Table3[[#All],[First]],MATCH(Table5[[#This Row],[PID]],Table3[[#All],[PID]],0)))</f>
        <v>Iván</v>
      </c>
      <c r="F485" s="50" t="str">
        <f>IF($C485="B",INDEX(Batters[[#All],[Last]],MATCH(A485,Batters[[#All],[PID]],0)),INDEX(Table3[[#All],[Last]],MATCH(A485,Table3[[#All],[PID]],0)))</f>
        <v>Liñares</v>
      </c>
      <c r="G485" s="56">
        <f>IF($C485="B",INDEX(Batters[[#All],[Age]],MATCH(Table5[[#This Row],[PID]],Batters[[#All],[PID]],0)),INDEX(Table3[[#All],[Age]],MATCH(Table5[[#This Row],[PID]],Table3[[#All],[PID]],0)))</f>
        <v>16</v>
      </c>
      <c r="H485" s="52" t="str">
        <f>IF($C485="B",INDEX(Batters[[#All],[B]],MATCH(Table5[[#This Row],[PID]],Batters[[#All],[PID]],0)),INDEX(Table3[[#All],[B]],MATCH(Table5[[#This Row],[PID]],Table3[[#All],[PID]],0)))</f>
        <v>S</v>
      </c>
      <c r="I485" s="52" t="str">
        <f>IF($C485="B",INDEX(Batters[[#All],[T]],MATCH(Table5[[#This Row],[PID]],Batters[[#All],[PID]],0)),INDEX(Table3[[#All],[T]],MATCH(Table5[[#This Row],[PID]],Table3[[#All],[PID]],0)))</f>
        <v>R</v>
      </c>
      <c r="J485" s="52" t="str">
        <f>IF($C485="B",INDEX(Batters[[#All],[WE]],MATCH(Table5[[#This Row],[PID]],Batters[[#All],[PID]],0)),INDEX(Table3[[#All],[WE]],MATCH(Table5[[#This Row],[PID]],Table3[[#All],[PID]],0)))</f>
        <v>Low</v>
      </c>
      <c r="K485" s="52" t="str">
        <f>IF($C485="B",INDEX(Batters[[#All],[INT]],MATCH(Table5[[#This Row],[PID]],Batters[[#All],[PID]],0)),INDEX(Table3[[#All],[INT]],MATCH(Table5[[#This Row],[PID]],Table3[[#All],[PID]],0)))</f>
        <v>Normal</v>
      </c>
      <c r="L485" s="60">
        <f>IF($C485="B",INDEX(Batters[[#All],[CON P]],MATCH(Table5[[#This Row],[PID]],Batters[[#All],[PID]],0)),INDEX(Table3[[#All],[STU P]],MATCH(Table5[[#This Row],[PID]],Table3[[#All],[PID]],0)))</f>
        <v>4</v>
      </c>
      <c r="M485" s="56">
        <f>IF($C485="B",INDEX(Batters[[#All],[GAP P]],MATCH(Table5[[#This Row],[PID]],Batters[[#All],[PID]],0)),INDEX(Table3[[#All],[MOV P]],MATCH(Table5[[#This Row],[PID]],Table3[[#All],[PID]],0)))</f>
        <v>1</v>
      </c>
      <c r="N485" s="56">
        <f>IF($C485="B",INDEX(Batters[[#All],[POW P]],MATCH(Table5[[#This Row],[PID]],Batters[[#All],[PID]],0)),INDEX(Table3[[#All],[CON P]],MATCH(Table5[[#This Row],[PID]],Table3[[#All],[PID]],0)))</f>
        <v>4</v>
      </c>
      <c r="O485" s="56" t="str">
        <f>IF($C485="B",INDEX(Batters[[#All],[EYE P]],MATCH(Table5[[#This Row],[PID]],Batters[[#All],[PID]],0)),INDEX(Table3[[#All],[VELO]],MATCH(Table5[[#This Row],[PID]],Table3[[#All],[PID]],0)))</f>
        <v>89-91 Mph</v>
      </c>
      <c r="P485" s="56">
        <f>IF($C485="B",INDEX(Batters[[#All],[K P]],MATCH(Table5[[#This Row],[PID]],Batters[[#All],[PID]],0)),INDEX(Table3[[#All],[STM]],MATCH(Table5[[#This Row],[PID]],Table3[[#All],[PID]],0)))</f>
        <v>10</v>
      </c>
      <c r="Q485" s="61">
        <f>IF($C485="B",INDEX(Batters[[#All],[Tot]],MATCH(Table5[[#This Row],[PID]],Batters[[#All],[PID]],0)),INDEX(Table3[[#All],[Tot]],MATCH(Table5[[#This Row],[PID]],Table3[[#All],[PID]],0)))</f>
        <v>33.799565106494818</v>
      </c>
      <c r="R485" s="52">
        <f>IF($C485="B",INDEX(Batters[[#All],[zScore]],MATCH(Table5[[#This Row],[PID]],Batters[[#All],[PID]],0)),INDEX(Table3[[#All],[zScore]],MATCH(Table5[[#This Row],[PID]],Table3[[#All],[PID]],0)))</f>
        <v>-0.27855959736849656</v>
      </c>
      <c r="S485" s="58" t="str">
        <f>IF($C485="B",INDEX(Batters[[#All],[DEM]],MATCH(Table5[[#This Row],[PID]],Batters[[#All],[PID]],0)),INDEX(Table3[[#All],[DEM]],MATCH(Table5[[#This Row],[PID]],Table3[[#All],[PID]],0)))</f>
        <v>$65k</v>
      </c>
      <c r="T485" s="62">
        <f>IF($C485="B",INDEX(Batters[[#All],[Rnk]],MATCH(Table5[[#This Row],[PID]],Batters[[#All],[PID]],0)),INDEX(Table3[[#All],[Rnk]],MATCH(Table5[[#This Row],[PID]],Table3[[#All],[PID]],0)))</f>
        <v>930</v>
      </c>
      <c r="U485" s="67">
        <f>IF($C485="B",VLOOKUP($A485,Bat!$A$4:$BA$1314,47,FALSE),VLOOKUP($A485,Pit!$A$4:$BF$1214,56,FALSE))</f>
        <v>302</v>
      </c>
      <c r="V485" s="50">
        <f>IF($C485="B",VLOOKUP($A485,Bat!$A$4:$BA$1314,48,FALSE),VLOOKUP($A485,Pit!$A$4:$BF$1214,57,FALSE))</f>
        <v>0</v>
      </c>
      <c r="W485" s="68">
        <f>IF(Table5[[#This Row],[posRnk]]=999,9999,Table5[[#This Row],[posRnk]]+Table5[[#This Row],[zRnk]]+IF($W$3&lt;&gt;Table5[[#This Row],[Type]],50,0))</f>
        <v>1409</v>
      </c>
      <c r="X485" s="51">
        <f>RANK(Table5[[#This Row],[zScore]],Table5[[#All],[zScore]])</f>
        <v>479</v>
      </c>
      <c r="Y485" s="50">
        <f>IFERROR(INDEX(DraftResults[[#All],[OVR]],MATCH(Table5[[#This Row],[PID]],DraftResults[[#All],[Player ID]],0)),"")</f>
        <v>479</v>
      </c>
      <c r="Z485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15</v>
      </c>
      <c r="AA485" s="50">
        <f>IFERROR(INDEX(DraftResults[[#All],[Pick in Round]],MATCH(Table5[[#This Row],[PID]],DraftResults[[#All],[Player ID]],0)),"")</f>
        <v>12</v>
      </c>
      <c r="AB485" s="50" t="str">
        <f>IFERROR(INDEX(DraftResults[[#All],[Team Name]],MATCH(Table5[[#This Row],[PID]],DraftResults[[#All],[Player ID]],0)),"")</f>
        <v>Manchester Maulers</v>
      </c>
      <c r="AC485" s="50">
        <f>IF(Table5[[#This Row],[Ovr]]="","",IF(Table5[[#This Row],[cmbList]]="","",Table5[[#This Row],[cmbList]]-Table5[[#This Row],[Ovr]]))</f>
        <v>930</v>
      </c>
      <c r="AD485" s="54" t="str">
        <f>IF(ISERROR(VLOOKUP($AB485&amp;"-"&amp;$E485&amp;" "&amp;F485,Bonuses!$B$1:$G$1006,4,FALSE)),"",INT(VLOOKUP($AB485&amp;"-"&amp;$E485&amp;" "&amp;$F485,Bonuses!$B$1:$G$1006,4,FALSE)))</f>
        <v/>
      </c>
      <c r="AE485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15.12 (479) - RP Iván Liñares</v>
      </c>
    </row>
    <row r="486" spans="1:31" s="50" customFormat="1" x14ac:dyDescent="0.3">
      <c r="A486" s="50">
        <v>20403</v>
      </c>
      <c r="B486" s="50">
        <f>COUNTIF(Table5[PID],A486)</f>
        <v>1</v>
      </c>
      <c r="C486" s="50" t="str">
        <f>IF(COUNTIF(Table3[[#All],[PID]],A486)&gt;0,"P","B")</f>
        <v>P</v>
      </c>
      <c r="D486" s="59" t="str">
        <f>IF($C486="B",INDEX(Batters[[#All],[POS]],MATCH(Table5[[#This Row],[PID]],Batters[[#All],[PID]],0)),INDEX(Table3[[#All],[POS]],MATCH(Table5[[#This Row],[PID]],Table3[[#All],[PID]],0)))</f>
        <v>SP</v>
      </c>
      <c r="E486" s="52" t="str">
        <f>IF($C486="B",INDEX(Batters[[#All],[First]],MATCH(Table5[[#This Row],[PID]],Batters[[#All],[PID]],0)),INDEX(Table3[[#All],[First]],MATCH(Table5[[#This Row],[PID]],Table3[[#All],[PID]],0)))</f>
        <v>Jarod</v>
      </c>
      <c r="F486" s="50" t="str">
        <f>IF($C486="B",INDEX(Batters[[#All],[Last]],MATCH(A486,Batters[[#All],[PID]],0)),INDEX(Table3[[#All],[Last]],MATCH(A486,Table3[[#All],[PID]],0)))</f>
        <v>Barnes</v>
      </c>
      <c r="G486" s="56">
        <f>IF($C486="B",INDEX(Batters[[#All],[Age]],MATCH(Table5[[#This Row],[PID]],Batters[[#All],[PID]],0)),INDEX(Table3[[#All],[Age]],MATCH(Table5[[#This Row],[PID]],Table3[[#All],[PID]],0)))</f>
        <v>17</v>
      </c>
      <c r="H486" s="52" t="str">
        <f>IF($C486="B",INDEX(Batters[[#All],[B]],MATCH(Table5[[#This Row],[PID]],Batters[[#All],[PID]],0)),INDEX(Table3[[#All],[B]],MATCH(Table5[[#This Row],[PID]],Table3[[#All],[PID]],0)))</f>
        <v>R</v>
      </c>
      <c r="I486" s="52" t="str">
        <f>IF($C486="B",INDEX(Batters[[#All],[T]],MATCH(Table5[[#This Row],[PID]],Batters[[#All],[PID]],0)),INDEX(Table3[[#All],[T]],MATCH(Table5[[#This Row],[PID]],Table3[[#All],[PID]],0)))</f>
        <v>R</v>
      </c>
      <c r="J486" s="52" t="str">
        <f>IF($C486="B",INDEX(Batters[[#All],[WE]],MATCH(Table5[[#This Row],[PID]],Batters[[#All],[PID]],0)),INDEX(Table3[[#All],[WE]],MATCH(Table5[[#This Row],[PID]],Table3[[#All],[PID]],0)))</f>
        <v>Low</v>
      </c>
      <c r="K486" s="52" t="str">
        <f>IF($C486="B",INDEX(Batters[[#All],[INT]],MATCH(Table5[[#This Row],[PID]],Batters[[#All],[PID]],0)),INDEX(Table3[[#All],[INT]],MATCH(Table5[[#This Row],[PID]],Table3[[#All],[PID]],0)))</f>
        <v>Normal</v>
      </c>
      <c r="L486" s="60">
        <f>IF($C486="B",INDEX(Batters[[#All],[CON P]],MATCH(Table5[[#This Row],[PID]],Batters[[#All],[PID]],0)),INDEX(Table3[[#All],[STU P]],MATCH(Table5[[#This Row],[PID]],Table3[[#All],[PID]],0)))</f>
        <v>3</v>
      </c>
      <c r="M486" s="56">
        <f>IF($C486="B",INDEX(Batters[[#All],[GAP P]],MATCH(Table5[[#This Row],[PID]],Batters[[#All],[PID]],0)),INDEX(Table3[[#All],[MOV P]],MATCH(Table5[[#This Row],[PID]],Table3[[#All],[PID]],0)))</f>
        <v>2</v>
      </c>
      <c r="N486" s="56">
        <f>IF($C486="B",INDEX(Batters[[#All],[POW P]],MATCH(Table5[[#This Row],[PID]],Batters[[#All],[PID]],0)),INDEX(Table3[[#All],[CON P]],MATCH(Table5[[#This Row],[PID]],Table3[[#All],[PID]],0)))</f>
        <v>4</v>
      </c>
      <c r="O486" s="56" t="str">
        <f>IF($C486="B",INDEX(Batters[[#All],[EYE P]],MATCH(Table5[[#This Row],[PID]],Batters[[#All],[PID]],0)),INDEX(Table3[[#All],[VELO]],MATCH(Table5[[#This Row],[PID]],Table3[[#All],[PID]],0)))</f>
        <v>89-91 Mph</v>
      </c>
      <c r="P486" s="56">
        <f>IF($C486="B",INDEX(Batters[[#All],[K P]],MATCH(Table5[[#This Row],[PID]],Batters[[#All],[PID]],0)),INDEX(Table3[[#All],[STM]],MATCH(Table5[[#This Row],[PID]],Table3[[#All],[PID]],0)))</f>
        <v>8</v>
      </c>
      <c r="Q486" s="61">
        <f>IF($C486="B",INDEX(Batters[[#All],[Tot]],MATCH(Table5[[#This Row],[PID]],Batters[[#All],[PID]],0)),INDEX(Table3[[#All],[Tot]],MATCH(Table5[[#This Row],[PID]],Table3[[#All],[PID]],0)))</f>
        <v>33.853459288198465</v>
      </c>
      <c r="R486" s="52">
        <f>IF($C486="B",INDEX(Batters[[#All],[zScore]],MATCH(Table5[[#This Row],[PID]],Batters[[#All],[PID]],0)),INDEX(Table3[[#All],[zScore]],MATCH(Table5[[#This Row],[PID]],Table3[[#All],[PID]],0)))</f>
        <v>-0.28120535279098147</v>
      </c>
      <c r="S486" s="58" t="str">
        <f>IF($C486="B",INDEX(Batters[[#All],[DEM]],MATCH(Table5[[#This Row],[PID]],Batters[[#All],[PID]],0)),INDEX(Table3[[#All],[DEM]],MATCH(Table5[[#This Row],[PID]],Table3[[#All],[PID]],0)))</f>
        <v>$65k</v>
      </c>
      <c r="T486" s="62">
        <f>IF($C486="B",INDEX(Batters[[#All],[Rnk]],MATCH(Table5[[#This Row],[PID]],Batters[[#All],[PID]],0)),INDEX(Table3[[#All],[Rnk]],MATCH(Table5[[#This Row],[PID]],Table3[[#All],[PID]],0)))</f>
        <v>930</v>
      </c>
      <c r="U486" s="67">
        <f>IF($C486="B",VLOOKUP($A486,Bat!$A$4:$BA$1314,47,FALSE),VLOOKUP($A486,Pit!$A$4:$BF$1214,56,FALSE))</f>
        <v>303</v>
      </c>
      <c r="V486" s="50">
        <f>IF($C486="B",VLOOKUP($A486,Bat!$A$4:$BA$1314,48,FALSE),VLOOKUP($A486,Pit!$A$4:$BF$1214,57,FALSE))</f>
        <v>0</v>
      </c>
      <c r="W486" s="68">
        <f>IF(Table5[[#This Row],[posRnk]]=999,9999,Table5[[#This Row],[posRnk]]+Table5[[#This Row],[zRnk]]+IF($W$3&lt;&gt;Table5[[#This Row],[Type]],50,0))</f>
        <v>1410</v>
      </c>
      <c r="X486" s="51">
        <f>RANK(Table5[[#This Row],[zScore]],Table5[[#All],[zScore]])</f>
        <v>480</v>
      </c>
      <c r="Y486" s="50" t="str">
        <f>IFERROR(INDEX(DraftResults[[#All],[OVR]],MATCH(Table5[[#This Row],[PID]],DraftResults[[#All],[Player ID]],0)),"")</f>
        <v/>
      </c>
      <c r="Z486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/>
      </c>
      <c r="AA486" s="50" t="str">
        <f>IFERROR(INDEX(DraftResults[[#All],[Pick in Round]],MATCH(Table5[[#This Row],[PID]],DraftResults[[#All],[Player ID]],0)),"")</f>
        <v/>
      </c>
      <c r="AB486" s="50" t="str">
        <f>IFERROR(INDEX(DraftResults[[#All],[Team Name]],MATCH(Table5[[#This Row],[PID]],DraftResults[[#All],[Player ID]],0)),"")</f>
        <v/>
      </c>
      <c r="AC486" s="50" t="str">
        <f>IF(Table5[[#This Row],[Ovr]]="","",IF(Table5[[#This Row],[cmbList]]="","",Table5[[#This Row],[cmbList]]-Table5[[#This Row],[Ovr]]))</f>
        <v/>
      </c>
      <c r="AD486" s="54" t="str">
        <f>IF(ISERROR(VLOOKUP($AB486&amp;"-"&amp;$E486&amp;" "&amp;F486,Bonuses!$B$1:$G$1006,4,FALSE)),"",INT(VLOOKUP($AB486&amp;"-"&amp;$E486&amp;" "&amp;$F486,Bonuses!$B$1:$G$1006,4,FALSE)))</f>
        <v/>
      </c>
      <c r="AE486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/>
      </c>
    </row>
    <row r="487" spans="1:31" s="50" customFormat="1" x14ac:dyDescent="0.3">
      <c r="A487" s="67">
        <v>20382</v>
      </c>
      <c r="B487" s="68">
        <f>COUNTIF(Table5[PID],A487)</f>
        <v>1</v>
      </c>
      <c r="C487" s="68" t="str">
        <f>IF(COUNTIF(Table3[[#All],[PID]],A487)&gt;0,"P","B")</f>
        <v>P</v>
      </c>
      <c r="D487" s="59" t="str">
        <f>IF($C487="B",INDEX(Batters[[#All],[POS]],MATCH(Table5[[#This Row],[PID]],Batters[[#All],[PID]],0)),INDEX(Table3[[#All],[POS]],MATCH(Table5[[#This Row],[PID]],Table3[[#All],[PID]],0)))</f>
        <v>RP</v>
      </c>
      <c r="E487" s="52" t="str">
        <f>IF($C487="B",INDEX(Batters[[#All],[First]],MATCH(Table5[[#This Row],[PID]],Batters[[#All],[PID]],0)),INDEX(Table3[[#All],[First]],MATCH(Table5[[#This Row],[PID]],Table3[[#All],[PID]],0)))</f>
        <v>Malone</v>
      </c>
      <c r="F487" s="55" t="str">
        <f>IF($C487="B",INDEX(Batters[[#All],[Last]],MATCH(A487,Batters[[#All],[PID]],0)),INDEX(Table3[[#All],[Last]],MATCH(A487,Table3[[#All],[PID]],0)))</f>
        <v>McDurkan</v>
      </c>
      <c r="G487" s="56">
        <f>IF($C487="B",INDEX(Batters[[#All],[Age]],MATCH(Table5[[#This Row],[PID]],Batters[[#All],[PID]],0)),INDEX(Table3[[#All],[Age]],MATCH(Table5[[#This Row],[PID]],Table3[[#All],[PID]],0)))</f>
        <v>17</v>
      </c>
      <c r="H487" s="52" t="str">
        <f>IF($C487="B",INDEX(Batters[[#All],[B]],MATCH(Table5[[#This Row],[PID]],Batters[[#All],[PID]],0)),INDEX(Table3[[#All],[B]],MATCH(Table5[[#This Row],[PID]],Table3[[#All],[PID]],0)))</f>
        <v>R</v>
      </c>
      <c r="I487" s="52" t="str">
        <f>IF($C487="B",INDEX(Batters[[#All],[T]],MATCH(Table5[[#This Row],[PID]],Batters[[#All],[PID]],0)),INDEX(Table3[[#All],[T]],MATCH(Table5[[#This Row],[PID]],Table3[[#All],[PID]],0)))</f>
        <v>R</v>
      </c>
      <c r="J487" s="69" t="str">
        <f>IF($C487="B",INDEX(Batters[[#All],[WE]],MATCH(Table5[[#This Row],[PID]],Batters[[#All],[PID]],0)),INDEX(Table3[[#All],[WE]],MATCH(Table5[[#This Row],[PID]],Table3[[#All],[PID]],0)))</f>
        <v>Low</v>
      </c>
      <c r="K487" s="52" t="str">
        <f>IF($C487="B",INDEX(Batters[[#All],[INT]],MATCH(Table5[[#This Row],[PID]],Batters[[#All],[PID]],0)),INDEX(Table3[[#All],[INT]],MATCH(Table5[[#This Row],[PID]],Table3[[#All],[PID]],0)))</f>
        <v>Normal</v>
      </c>
      <c r="L487" s="60">
        <f>IF($C487="B",INDEX(Batters[[#All],[CON P]],MATCH(Table5[[#This Row],[PID]],Batters[[#All],[PID]],0)),INDEX(Table3[[#All],[STU P]],MATCH(Table5[[#This Row],[PID]],Table3[[#All],[PID]],0)))</f>
        <v>4</v>
      </c>
      <c r="M487" s="70">
        <f>IF($C487="B",INDEX(Batters[[#All],[GAP P]],MATCH(Table5[[#This Row],[PID]],Batters[[#All],[PID]],0)),INDEX(Table3[[#All],[MOV P]],MATCH(Table5[[#This Row],[PID]],Table3[[#All],[PID]],0)))</f>
        <v>1</v>
      </c>
      <c r="N487" s="70">
        <f>IF($C487="B",INDEX(Batters[[#All],[POW P]],MATCH(Table5[[#This Row],[PID]],Batters[[#All],[PID]],0)),INDEX(Table3[[#All],[CON P]],MATCH(Table5[[#This Row],[PID]],Table3[[#All],[PID]],0)))</f>
        <v>4</v>
      </c>
      <c r="O487" s="70" t="str">
        <f>IF($C487="B",INDEX(Batters[[#All],[EYE P]],MATCH(Table5[[#This Row],[PID]],Batters[[#All],[PID]],0)),INDEX(Table3[[#All],[VELO]],MATCH(Table5[[#This Row],[PID]],Table3[[#All],[PID]],0)))</f>
        <v>90-92 Mph</v>
      </c>
      <c r="P487" s="56">
        <f>IF($C487="B",INDEX(Batters[[#All],[K P]],MATCH(Table5[[#This Row],[PID]],Batters[[#All],[PID]],0)),INDEX(Table3[[#All],[STM]],MATCH(Table5[[#This Row],[PID]],Table3[[#All],[PID]],0)))</f>
        <v>8</v>
      </c>
      <c r="Q487" s="61">
        <f>IF($C487="B",INDEX(Batters[[#All],[Tot]],MATCH(Table5[[#This Row],[PID]],Batters[[#All],[PID]],0)),INDEX(Table3[[#All],[Tot]],MATCH(Table5[[#This Row],[PID]],Table3[[#All],[PID]],0)))</f>
        <v>33.799565106494818</v>
      </c>
      <c r="R487" s="52">
        <f>IF($C487="B",INDEX(Batters[[#All],[zScore]],MATCH(Table5[[#This Row],[PID]],Batters[[#All],[PID]],0)),INDEX(Table3[[#All],[zScore]],MATCH(Table5[[#This Row],[PID]],Table3[[#All],[PID]],0)))</f>
        <v>-0.28504299755921519</v>
      </c>
      <c r="S487" s="75" t="str">
        <f>IF($C487="B",INDEX(Batters[[#All],[DEM]],MATCH(Table5[[#This Row],[PID]],Batters[[#All],[PID]],0)),INDEX(Table3[[#All],[DEM]],MATCH(Table5[[#This Row],[PID]],Table3[[#All],[PID]],0)))</f>
        <v>$65k</v>
      </c>
      <c r="T487" s="72">
        <f>IF($C487="B",INDEX(Batters[[#All],[Rnk]],MATCH(Table5[[#This Row],[PID]],Batters[[#All],[PID]],0)),INDEX(Table3[[#All],[Rnk]],MATCH(Table5[[#This Row],[PID]],Table3[[#All],[PID]],0)))</f>
        <v>930</v>
      </c>
      <c r="U487" s="67">
        <f>IF($C487="B",VLOOKUP($A487,Bat!$A$4:$BA$1314,47,FALSE),VLOOKUP($A487,Pit!$A$4:$BF$1214,56,FALSE))</f>
        <v>304</v>
      </c>
      <c r="V487" s="50">
        <f>IF($C487="B",VLOOKUP($A487,Bat!$A$4:$BA$1314,48,FALSE),VLOOKUP($A487,Pit!$A$4:$BF$1214,57,FALSE))</f>
        <v>0</v>
      </c>
      <c r="W487" s="68">
        <f>IF(Table5[[#This Row],[posRnk]]=999,9999,Table5[[#This Row],[posRnk]]+Table5[[#This Row],[zRnk]]+IF($W$3&lt;&gt;Table5[[#This Row],[Type]],50,0))</f>
        <v>1411</v>
      </c>
      <c r="X487" s="71">
        <f>RANK(Table5[[#This Row],[zScore]],Table5[[#All],[zScore]])</f>
        <v>481</v>
      </c>
      <c r="Y487" s="68" t="str">
        <f>IFERROR(INDEX(DraftResults[[#All],[OVR]],MATCH(Table5[[#This Row],[PID]],DraftResults[[#All],[Player ID]],0)),"")</f>
        <v/>
      </c>
      <c r="Z487" s="7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/>
      </c>
      <c r="AA487" s="68" t="str">
        <f>IFERROR(INDEX(DraftResults[[#All],[Pick in Round]],MATCH(Table5[[#This Row],[PID]],DraftResults[[#All],[Player ID]],0)),"")</f>
        <v/>
      </c>
      <c r="AB487" s="68" t="str">
        <f>IFERROR(INDEX(DraftResults[[#All],[Team Name]],MATCH(Table5[[#This Row],[PID]],DraftResults[[#All],[Player ID]],0)),"")</f>
        <v/>
      </c>
      <c r="AC487" s="68" t="str">
        <f>IF(Table5[[#This Row],[Ovr]]="","",IF(Table5[[#This Row],[cmbList]]="","",Table5[[#This Row],[cmbList]]-Table5[[#This Row],[Ovr]]))</f>
        <v/>
      </c>
      <c r="AD487" s="74" t="str">
        <f>IF(ISERROR(VLOOKUP($AB487&amp;"-"&amp;$E487&amp;" "&amp;F487,Bonuses!$B$1:$G$1006,4,FALSE)),"",INT(VLOOKUP($AB487&amp;"-"&amp;$E487&amp;" "&amp;$F487,Bonuses!$B$1:$G$1006,4,FALSE)))</f>
        <v/>
      </c>
      <c r="AE487" s="68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/>
      </c>
    </row>
    <row r="488" spans="1:31" s="50" customFormat="1" x14ac:dyDescent="0.3">
      <c r="A488" s="67">
        <v>12948</v>
      </c>
      <c r="B488" s="68">
        <f>COUNTIF(Table5[PID],A488)</f>
        <v>1</v>
      </c>
      <c r="C488" s="68" t="str">
        <f>IF(COUNTIF(Table3[[#All],[PID]],A488)&gt;0,"P","B")</f>
        <v>B</v>
      </c>
      <c r="D488" s="59" t="str">
        <f>IF($C488="B",INDEX(Batters[[#All],[POS]],MATCH(Table5[[#This Row],[PID]],Batters[[#All],[PID]],0)),INDEX(Table3[[#All],[POS]],MATCH(Table5[[#This Row],[PID]],Table3[[#All],[PID]],0)))</f>
        <v>C</v>
      </c>
      <c r="E488" s="52" t="str">
        <f>IF($C488="B",INDEX(Batters[[#All],[First]],MATCH(Table5[[#This Row],[PID]],Batters[[#All],[PID]],0)),INDEX(Table3[[#All],[First]],MATCH(Table5[[#This Row],[PID]],Table3[[#All],[PID]],0)))</f>
        <v>Bertil</v>
      </c>
      <c r="F488" s="55" t="str">
        <f>IF($C488="B",INDEX(Batters[[#All],[Last]],MATCH(A488,Batters[[#All],[PID]],0)),INDEX(Table3[[#All],[Last]],MATCH(A488,Table3[[#All],[PID]],0)))</f>
        <v>Verkade</v>
      </c>
      <c r="G488" s="56">
        <f>IF($C488="B",INDEX(Batters[[#All],[Age]],MATCH(Table5[[#This Row],[PID]],Batters[[#All],[PID]],0)),INDEX(Table3[[#All],[Age]],MATCH(Table5[[#This Row],[PID]],Table3[[#All],[PID]],0)))</f>
        <v>17</v>
      </c>
      <c r="H488" s="52" t="str">
        <f>IF($C488="B",INDEX(Batters[[#All],[B]],MATCH(Table5[[#This Row],[PID]],Batters[[#All],[PID]],0)),INDEX(Table3[[#All],[B]],MATCH(Table5[[#This Row],[PID]],Table3[[#All],[PID]],0)))</f>
        <v>R</v>
      </c>
      <c r="I488" s="52" t="str">
        <f>IF($C488="B",INDEX(Batters[[#All],[T]],MATCH(Table5[[#This Row],[PID]],Batters[[#All],[PID]],0)),INDEX(Table3[[#All],[T]],MATCH(Table5[[#This Row],[PID]],Table3[[#All],[PID]],0)))</f>
        <v>R</v>
      </c>
      <c r="J488" s="69" t="str">
        <f>IF($C488="B",INDEX(Batters[[#All],[WE]],MATCH(Table5[[#This Row],[PID]],Batters[[#All],[PID]],0)),INDEX(Table3[[#All],[WE]],MATCH(Table5[[#This Row],[PID]],Table3[[#All],[PID]],0)))</f>
        <v>Normal</v>
      </c>
      <c r="K488" s="52" t="str">
        <f>IF($C488="B",INDEX(Batters[[#All],[INT]],MATCH(Table5[[#This Row],[PID]],Batters[[#All],[PID]],0)),INDEX(Table3[[#All],[INT]],MATCH(Table5[[#This Row],[PID]],Table3[[#All],[PID]],0)))</f>
        <v>Normal</v>
      </c>
      <c r="L488" s="60">
        <f>IF($C488="B",INDEX(Batters[[#All],[CON P]],MATCH(Table5[[#This Row],[PID]],Batters[[#All],[PID]],0)),INDEX(Table3[[#All],[STU P]],MATCH(Table5[[#This Row],[PID]],Table3[[#All],[PID]],0)))</f>
        <v>3</v>
      </c>
      <c r="M488" s="70">
        <f>IF($C488="B",INDEX(Batters[[#All],[GAP P]],MATCH(Table5[[#This Row],[PID]],Batters[[#All],[PID]],0)),INDEX(Table3[[#All],[MOV P]],MATCH(Table5[[#This Row],[PID]],Table3[[#All],[PID]],0)))</f>
        <v>3</v>
      </c>
      <c r="N488" s="70">
        <f>IF($C488="B",INDEX(Batters[[#All],[POW P]],MATCH(Table5[[#This Row],[PID]],Batters[[#All],[PID]],0)),INDEX(Table3[[#All],[CON P]],MATCH(Table5[[#This Row],[PID]],Table3[[#All],[PID]],0)))</f>
        <v>3</v>
      </c>
      <c r="O488" s="70">
        <f>IF($C488="B",INDEX(Batters[[#All],[EYE P]],MATCH(Table5[[#This Row],[PID]],Batters[[#All],[PID]],0)),INDEX(Table3[[#All],[VELO]],MATCH(Table5[[#This Row],[PID]],Table3[[#All],[PID]],0)))</f>
        <v>5</v>
      </c>
      <c r="P488" s="56">
        <f>IF($C488="B",INDEX(Batters[[#All],[K P]],MATCH(Table5[[#This Row],[PID]],Batters[[#All],[PID]],0)),INDEX(Table3[[#All],[STM]],MATCH(Table5[[#This Row],[PID]],Table3[[#All],[PID]],0)))</f>
        <v>2</v>
      </c>
      <c r="Q488" s="61">
        <f>IF($C488="B",INDEX(Batters[[#All],[Tot]],MATCH(Table5[[#This Row],[PID]],Batters[[#All],[PID]],0)),INDEX(Table3[[#All],[Tot]],MATCH(Table5[[#This Row],[PID]],Table3[[#All],[PID]],0)))</f>
        <v>40.787413016966028</v>
      </c>
      <c r="R488" s="52">
        <f>IF($C488="B",INDEX(Batters[[#All],[zScore]],MATCH(Table5[[#This Row],[PID]],Batters[[#All],[PID]],0)),INDEX(Table3[[#All],[zScore]],MATCH(Table5[[#This Row],[PID]],Table3[[#All],[PID]],0)))</f>
        <v>-0.35485979313606009</v>
      </c>
      <c r="S488" s="75" t="str">
        <f>IF($C488="B",INDEX(Batters[[#All],[DEM]],MATCH(Table5[[#This Row],[PID]],Batters[[#All],[PID]],0)),INDEX(Table3[[#All],[DEM]],MATCH(Table5[[#This Row],[PID]],Table3[[#All],[PID]],0)))</f>
        <v>$65k</v>
      </c>
      <c r="T488" s="72">
        <f>IF($C488="B",INDEX(Batters[[#All],[Rnk]],MATCH(Table5[[#This Row],[PID]],Batters[[#All],[PID]],0)),INDEX(Table3[[#All],[Rnk]],MATCH(Table5[[#This Row],[PID]],Table3[[#All],[PID]],0)))</f>
        <v>900</v>
      </c>
      <c r="U488" s="67">
        <f>IF($C488="B",VLOOKUP($A488,Bat!$A$4:$BA$1314,47,FALSE),VLOOKUP($A488,Pit!$A$4:$BF$1214,56,FALSE))</f>
        <v>198</v>
      </c>
      <c r="V488" s="50">
        <f>IF($C488="B",VLOOKUP($A488,Bat!$A$4:$BA$1314,48,FALSE),VLOOKUP($A488,Pit!$A$4:$BF$1214,57,FALSE))</f>
        <v>0</v>
      </c>
      <c r="W488" s="68">
        <f>IF(Table5[[#This Row],[posRnk]]=999,9999,Table5[[#This Row],[posRnk]]+Table5[[#This Row],[zRnk]]+IF($W$3&lt;&gt;Table5[[#This Row],[Type]],50,0))</f>
        <v>1462</v>
      </c>
      <c r="X488" s="71">
        <f>RANK(Table5[[#This Row],[zScore]],Table5[[#All],[zScore]])</f>
        <v>512</v>
      </c>
      <c r="Y488" s="68" t="str">
        <f>IFERROR(INDEX(DraftResults[[#All],[OVR]],MATCH(Table5[[#This Row],[PID]],DraftResults[[#All],[Player ID]],0)),"")</f>
        <v/>
      </c>
      <c r="Z488" s="7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/>
      </c>
      <c r="AA488" s="68" t="str">
        <f>IFERROR(INDEX(DraftResults[[#All],[Pick in Round]],MATCH(Table5[[#This Row],[PID]],DraftResults[[#All],[Player ID]],0)),"")</f>
        <v/>
      </c>
      <c r="AB488" s="68" t="str">
        <f>IFERROR(INDEX(DraftResults[[#All],[Team Name]],MATCH(Table5[[#This Row],[PID]],DraftResults[[#All],[Player ID]],0)),"")</f>
        <v/>
      </c>
      <c r="AC488" s="68" t="str">
        <f>IF(Table5[[#This Row],[Ovr]]="","",IF(Table5[[#This Row],[cmbList]]="","",Table5[[#This Row],[cmbList]]-Table5[[#This Row],[Ovr]]))</f>
        <v/>
      </c>
      <c r="AD488" s="74" t="str">
        <f>IF(ISERROR(VLOOKUP($AB488&amp;"-"&amp;$E488&amp;" "&amp;F488,Bonuses!$B$1:$G$1006,4,FALSE)),"",INT(VLOOKUP($AB488&amp;"-"&amp;$E488&amp;" "&amp;$F488,Bonuses!$B$1:$G$1006,4,FALSE)))</f>
        <v/>
      </c>
      <c r="AE488" s="68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/>
      </c>
    </row>
    <row r="489" spans="1:31" s="50" customFormat="1" x14ac:dyDescent="0.3">
      <c r="A489" s="50">
        <v>12309</v>
      </c>
      <c r="B489" s="50">
        <f>COUNTIF(Table5[PID],A489)</f>
        <v>1</v>
      </c>
      <c r="C489" s="50" t="str">
        <f>IF(COUNTIF(Table3[[#All],[PID]],A489)&gt;0,"P","B")</f>
        <v>P</v>
      </c>
      <c r="D489" s="59" t="str">
        <f>IF($C489="B",INDEX(Batters[[#All],[POS]],MATCH(Table5[[#This Row],[PID]],Batters[[#All],[PID]],0)),INDEX(Table3[[#All],[POS]],MATCH(Table5[[#This Row],[PID]],Table3[[#All],[PID]],0)))</f>
        <v>RP</v>
      </c>
      <c r="E489" s="52" t="str">
        <f>IF($C489="B",INDEX(Batters[[#All],[First]],MATCH(Table5[[#This Row],[PID]],Batters[[#All],[PID]],0)),INDEX(Table3[[#All],[First]],MATCH(Table5[[#This Row],[PID]],Table3[[#All],[PID]],0)))</f>
        <v>Bill</v>
      </c>
      <c r="F489" s="50" t="str">
        <f>IF($C489="B",INDEX(Batters[[#All],[Last]],MATCH(A489,Batters[[#All],[PID]],0)),INDEX(Table3[[#All],[Last]],MATCH(A489,Table3[[#All],[PID]],0)))</f>
        <v>Clark</v>
      </c>
      <c r="G489" s="56">
        <f>IF($C489="B",INDEX(Batters[[#All],[Age]],MATCH(Table5[[#This Row],[PID]],Batters[[#All],[PID]],0)),INDEX(Table3[[#All],[Age]],MATCH(Table5[[#This Row],[PID]],Table3[[#All],[PID]],0)))</f>
        <v>21</v>
      </c>
      <c r="H489" s="52" t="str">
        <f>IF($C489="B",INDEX(Batters[[#All],[B]],MATCH(Table5[[#This Row],[PID]],Batters[[#All],[PID]],0)),INDEX(Table3[[#All],[B]],MATCH(Table5[[#This Row],[PID]],Table3[[#All],[PID]],0)))</f>
        <v>L</v>
      </c>
      <c r="I489" s="52" t="str">
        <f>IF($C489="B",INDEX(Batters[[#All],[T]],MATCH(Table5[[#This Row],[PID]],Batters[[#All],[PID]],0)),INDEX(Table3[[#All],[T]],MATCH(Table5[[#This Row],[PID]],Table3[[#All],[PID]],0)))</f>
        <v>L</v>
      </c>
      <c r="J489" s="52" t="str">
        <f>IF($C489="B",INDEX(Batters[[#All],[WE]],MATCH(Table5[[#This Row],[PID]],Batters[[#All],[PID]],0)),INDEX(Table3[[#All],[WE]],MATCH(Table5[[#This Row],[PID]],Table3[[#All],[PID]],0)))</f>
        <v>Low</v>
      </c>
      <c r="K489" s="52" t="str">
        <f>IF($C489="B",INDEX(Batters[[#All],[INT]],MATCH(Table5[[#This Row],[PID]],Batters[[#All],[PID]],0)),INDEX(Table3[[#All],[INT]],MATCH(Table5[[#This Row],[PID]],Table3[[#All],[PID]],0)))</f>
        <v>Normal</v>
      </c>
      <c r="L489" s="60">
        <f>IF($C489="B",INDEX(Batters[[#All],[CON P]],MATCH(Table5[[#This Row],[PID]],Batters[[#All],[PID]],0)),INDEX(Table3[[#All],[STU P]],MATCH(Table5[[#This Row],[PID]],Table3[[#All],[PID]],0)))</f>
        <v>6</v>
      </c>
      <c r="M489" s="56">
        <f>IF($C489="B",INDEX(Batters[[#All],[GAP P]],MATCH(Table5[[#This Row],[PID]],Batters[[#All],[PID]],0)),INDEX(Table3[[#All],[MOV P]],MATCH(Table5[[#This Row],[PID]],Table3[[#All],[PID]],0)))</f>
        <v>2</v>
      </c>
      <c r="N489" s="56">
        <f>IF($C489="B",INDEX(Batters[[#All],[POW P]],MATCH(Table5[[#This Row],[PID]],Batters[[#All],[PID]],0)),INDEX(Table3[[#All],[CON P]],MATCH(Table5[[#This Row],[PID]],Table3[[#All],[PID]],0)))</f>
        <v>2</v>
      </c>
      <c r="O489" s="56" t="str">
        <f>IF($C489="B",INDEX(Batters[[#All],[EYE P]],MATCH(Table5[[#This Row],[PID]],Batters[[#All],[PID]],0)),INDEX(Table3[[#All],[VELO]],MATCH(Table5[[#This Row],[PID]],Table3[[#All],[PID]],0)))</f>
        <v>92-94 Mph</v>
      </c>
      <c r="P489" s="56">
        <f>IF($C489="B",INDEX(Batters[[#All],[K P]],MATCH(Table5[[#This Row],[PID]],Batters[[#All],[PID]],0)),INDEX(Table3[[#All],[STM]],MATCH(Table5[[#This Row],[PID]],Table3[[#All],[PID]],0)))</f>
        <v>6</v>
      </c>
      <c r="Q489" s="61">
        <f>IF($C489="B",INDEX(Batters[[#All],[Tot]],MATCH(Table5[[#This Row],[PID]],Batters[[#All],[PID]],0)),INDEX(Table3[[#All],[Tot]],MATCH(Table5[[#This Row],[PID]],Table3[[#All],[PID]],0)))</f>
        <v>33.71402802194914</v>
      </c>
      <c r="R489" s="52">
        <f>IF($C489="B",INDEX(Batters[[#All],[zScore]],MATCH(Table5[[#This Row],[PID]],Batters[[#All],[PID]],0)),INDEX(Table3[[#All],[zScore]],MATCH(Table5[[#This Row],[PID]],Table3[[#All],[PID]],0)))</f>
        <v>-0.29113383955031774</v>
      </c>
      <c r="S489" s="58" t="str">
        <f>IF($C489="B",INDEX(Batters[[#All],[DEM]],MATCH(Table5[[#This Row],[PID]],Batters[[#All],[PID]],0)),INDEX(Table3[[#All],[DEM]],MATCH(Table5[[#This Row],[PID]],Table3[[#All],[PID]],0)))</f>
        <v>-</v>
      </c>
      <c r="T489" s="62">
        <f>IF($C489="B",INDEX(Batters[[#All],[Rnk]],MATCH(Table5[[#This Row],[PID]],Batters[[#All],[PID]],0)),INDEX(Table3[[#All],[Rnk]],MATCH(Table5[[#This Row],[PID]],Table3[[#All],[PID]],0)))</f>
        <v>930</v>
      </c>
      <c r="U489" s="67">
        <f>IF($C489="B",VLOOKUP($A489,Bat!$A$4:$BA$1314,47,FALSE),VLOOKUP($A489,Pit!$A$4:$BF$1214,56,FALSE))</f>
        <v>305</v>
      </c>
      <c r="V489" s="50">
        <f>IF($C489="B",VLOOKUP($A489,Bat!$A$4:$BA$1314,48,FALSE),VLOOKUP($A489,Pit!$A$4:$BF$1214,57,FALSE))</f>
        <v>0</v>
      </c>
      <c r="W489" s="68">
        <f>IF(Table5[[#This Row],[posRnk]]=999,9999,Table5[[#This Row],[posRnk]]+Table5[[#This Row],[zRnk]]+IF($W$3&lt;&gt;Table5[[#This Row],[Type]],50,0))</f>
        <v>1412</v>
      </c>
      <c r="X489" s="51">
        <f>RANK(Table5[[#This Row],[zScore]],Table5[[#All],[zScore]])</f>
        <v>482</v>
      </c>
      <c r="Y489" s="50">
        <f>IFERROR(INDEX(DraftResults[[#All],[OVR]],MATCH(Table5[[#This Row],[PID]],DraftResults[[#All],[Player ID]],0)),"")</f>
        <v>459</v>
      </c>
      <c r="Z489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14</v>
      </c>
      <c r="AA489" s="50">
        <f>IFERROR(INDEX(DraftResults[[#All],[Pick in Round]],MATCH(Table5[[#This Row],[PID]],DraftResults[[#All],[Player ID]],0)),"")</f>
        <v>26</v>
      </c>
      <c r="AB489" s="50" t="str">
        <f>IFERROR(INDEX(DraftResults[[#All],[Team Name]],MATCH(Table5[[#This Row],[PID]],DraftResults[[#All],[Player ID]],0)),"")</f>
        <v>Aurora Borealis</v>
      </c>
      <c r="AC489" s="50">
        <f>IF(Table5[[#This Row],[Ovr]]="","",IF(Table5[[#This Row],[cmbList]]="","",Table5[[#This Row],[cmbList]]-Table5[[#This Row],[Ovr]]))</f>
        <v>953</v>
      </c>
      <c r="AD489" s="54" t="str">
        <f>IF(ISERROR(VLOOKUP($AB489&amp;"-"&amp;$E489&amp;" "&amp;F489,Bonuses!$B$1:$G$1006,4,FALSE)),"",INT(VLOOKUP($AB489&amp;"-"&amp;$E489&amp;" "&amp;$F489,Bonuses!$B$1:$G$1006,4,FALSE)))</f>
        <v/>
      </c>
      <c r="AE489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14.26 (459) - RP Bill Clark</v>
      </c>
    </row>
    <row r="490" spans="1:31" s="50" customFormat="1" x14ac:dyDescent="0.3">
      <c r="A490" s="50">
        <v>20879</v>
      </c>
      <c r="B490" s="50">
        <f>COUNTIF(Table5[PID],A490)</f>
        <v>1</v>
      </c>
      <c r="C490" s="50" t="str">
        <f>IF(COUNTIF(Table3[[#All],[PID]],A490)&gt;0,"P","B")</f>
        <v>P</v>
      </c>
      <c r="D490" s="59" t="str">
        <f>IF($C490="B",INDEX(Batters[[#All],[POS]],MATCH(Table5[[#This Row],[PID]],Batters[[#All],[PID]],0)),INDEX(Table3[[#All],[POS]],MATCH(Table5[[#This Row],[PID]],Table3[[#All],[PID]],0)))</f>
        <v>SP</v>
      </c>
      <c r="E490" s="52" t="str">
        <f>IF($C490="B",INDEX(Batters[[#All],[First]],MATCH(Table5[[#This Row],[PID]],Batters[[#All],[PID]],0)),INDEX(Table3[[#All],[First]],MATCH(Table5[[#This Row],[PID]],Table3[[#All],[PID]],0)))</f>
        <v>Andre</v>
      </c>
      <c r="F490" s="50" t="str">
        <f>IF($C490="B",INDEX(Batters[[#All],[Last]],MATCH(A490,Batters[[#All],[PID]],0)),INDEX(Table3[[#All],[Last]],MATCH(A490,Table3[[#All],[PID]],0)))</f>
        <v>Cranford</v>
      </c>
      <c r="G490" s="56">
        <f>IF($C490="B",INDEX(Batters[[#All],[Age]],MATCH(Table5[[#This Row],[PID]],Batters[[#All],[PID]],0)),INDEX(Table3[[#All],[Age]],MATCH(Table5[[#This Row],[PID]],Table3[[#All],[PID]],0)))</f>
        <v>18</v>
      </c>
      <c r="H490" s="52" t="str">
        <f>IF($C490="B",INDEX(Batters[[#All],[B]],MATCH(Table5[[#This Row],[PID]],Batters[[#All],[PID]],0)),INDEX(Table3[[#All],[B]],MATCH(Table5[[#This Row],[PID]],Table3[[#All],[PID]],0)))</f>
        <v>R</v>
      </c>
      <c r="I490" s="52" t="str">
        <f>IF($C490="B",INDEX(Batters[[#All],[T]],MATCH(Table5[[#This Row],[PID]],Batters[[#All],[PID]],0)),INDEX(Table3[[#All],[T]],MATCH(Table5[[#This Row],[PID]],Table3[[#All],[PID]],0)))</f>
        <v>R</v>
      </c>
      <c r="J490" s="52" t="str">
        <f>IF($C490="B",INDEX(Batters[[#All],[WE]],MATCH(Table5[[#This Row],[PID]],Batters[[#All],[PID]],0)),INDEX(Table3[[#All],[WE]],MATCH(Table5[[#This Row],[PID]],Table3[[#All],[PID]],0)))</f>
        <v>Normal</v>
      </c>
      <c r="K490" s="52" t="str">
        <f>IF($C490="B",INDEX(Batters[[#All],[INT]],MATCH(Table5[[#This Row],[PID]],Batters[[#All],[PID]],0)),INDEX(Table3[[#All],[INT]],MATCH(Table5[[#This Row],[PID]],Table3[[#All],[PID]],0)))</f>
        <v>Low</v>
      </c>
      <c r="L490" s="60">
        <f>IF($C490="B",INDEX(Batters[[#All],[CON P]],MATCH(Table5[[#This Row],[PID]],Batters[[#All],[PID]],0)),INDEX(Table3[[#All],[STU P]],MATCH(Table5[[#This Row],[PID]],Table3[[#All],[PID]],0)))</f>
        <v>4</v>
      </c>
      <c r="M490" s="56">
        <f>IF($C490="B",INDEX(Batters[[#All],[GAP P]],MATCH(Table5[[#This Row],[PID]],Batters[[#All],[PID]],0)),INDEX(Table3[[#All],[MOV P]],MATCH(Table5[[#This Row],[PID]],Table3[[#All],[PID]],0)))</f>
        <v>2</v>
      </c>
      <c r="N490" s="56">
        <f>IF($C490="B",INDEX(Batters[[#All],[POW P]],MATCH(Table5[[#This Row],[PID]],Batters[[#All],[PID]],0)),INDEX(Table3[[#All],[CON P]],MATCH(Table5[[#This Row],[PID]],Table3[[#All],[PID]],0)))</f>
        <v>3</v>
      </c>
      <c r="O490" s="56" t="str">
        <f>IF($C490="B",INDEX(Batters[[#All],[EYE P]],MATCH(Table5[[#This Row],[PID]],Batters[[#All],[PID]],0)),INDEX(Table3[[#All],[VELO]],MATCH(Table5[[#This Row],[PID]],Table3[[#All],[PID]],0)))</f>
        <v>91-93 Mph</v>
      </c>
      <c r="P490" s="56">
        <f>IF($C490="B",INDEX(Batters[[#All],[K P]],MATCH(Table5[[#This Row],[PID]],Batters[[#All],[PID]],0)),INDEX(Table3[[#All],[STM]],MATCH(Table5[[#This Row],[PID]],Table3[[#All],[PID]],0)))</f>
        <v>7</v>
      </c>
      <c r="Q490" s="61">
        <f>IF($C490="B",INDEX(Batters[[#All],[Tot]],MATCH(Table5[[#This Row],[PID]],Batters[[#All],[PID]],0)),INDEX(Table3[[#All],[Tot]],MATCH(Table5[[#This Row],[PID]],Table3[[#All],[PID]],0)))</f>
        <v>34.150874457299729</v>
      </c>
      <c r="R490" s="52">
        <f>IF($C490="B",INDEX(Batters[[#All],[zScore]],MATCH(Table5[[#This Row],[PID]],Batters[[#All],[PID]],0)),INDEX(Table3[[#All],[zScore]],MATCH(Table5[[#This Row],[PID]],Table3[[#All],[PID]],0)))</f>
        <v>-0.2600273010678662</v>
      </c>
      <c r="S490" s="58" t="str">
        <f>IF($C490="B",INDEX(Batters[[#All],[DEM]],MATCH(Table5[[#This Row],[PID]],Batters[[#All],[PID]],0)),INDEX(Table3[[#All],[DEM]],MATCH(Table5[[#This Row],[PID]],Table3[[#All],[PID]],0)))</f>
        <v>$65k</v>
      </c>
      <c r="T490" s="62">
        <f>IF($C490="B",INDEX(Batters[[#All],[Rnk]],MATCH(Table5[[#This Row],[PID]],Batters[[#All],[PID]],0)),INDEX(Table3[[#All],[Rnk]],MATCH(Table5[[#This Row],[PID]],Table3[[#All],[PID]],0)))</f>
        <v>940</v>
      </c>
      <c r="U490" s="67">
        <f>IF($C490="B",VLOOKUP($A490,Bat!$A$4:$BA$1314,47,FALSE),VLOOKUP($A490,Pit!$A$4:$BF$1214,56,FALSE))</f>
        <v>394</v>
      </c>
      <c r="V490" s="50">
        <f>IF($C490="B",VLOOKUP($A490,Bat!$A$4:$BA$1314,48,FALSE),VLOOKUP($A490,Pit!$A$4:$BF$1214,57,FALSE))</f>
        <v>0</v>
      </c>
      <c r="W490" s="68">
        <f>IF(Table5[[#This Row],[posRnk]]=999,9999,Table5[[#This Row],[posRnk]]+Table5[[#This Row],[zRnk]]+IF($W$3&lt;&gt;Table5[[#This Row],[Type]],50,0))</f>
        <v>1412</v>
      </c>
      <c r="X490" s="51">
        <f>RANK(Table5[[#This Row],[zScore]],Table5[[#All],[zScore]])</f>
        <v>472</v>
      </c>
      <c r="Y490" s="50">
        <f>IFERROR(INDEX(DraftResults[[#All],[OVR]],MATCH(Table5[[#This Row],[PID]],DraftResults[[#All],[Player ID]],0)),"")</f>
        <v>592</v>
      </c>
      <c r="Z490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18</v>
      </c>
      <c r="AA490" s="50">
        <f>IFERROR(INDEX(DraftResults[[#All],[Pick in Round]],MATCH(Table5[[#This Row],[PID]],DraftResults[[#All],[Player ID]],0)),"")</f>
        <v>23</v>
      </c>
      <c r="AB490" s="50" t="str">
        <f>IFERROR(INDEX(DraftResults[[#All],[Team Name]],MATCH(Table5[[#This Row],[PID]],DraftResults[[#All],[Player ID]],0)),"")</f>
        <v>Kentucky Thoroughbreds</v>
      </c>
      <c r="AC490" s="50">
        <f>IF(Table5[[#This Row],[Ovr]]="","",IF(Table5[[#This Row],[cmbList]]="","",Table5[[#This Row],[cmbList]]-Table5[[#This Row],[Ovr]]))</f>
        <v>820</v>
      </c>
      <c r="AD490" s="54" t="str">
        <f>IF(ISERROR(VLOOKUP($AB490&amp;"-"&amp;$E490&amp;" "&amp;F490,Bonuses!$B$1:$G$1006,4,FALSE)),"",INT(VLOOKUP($AB490&amp;"-"&amp;$E490&amp;" "&amp;$F490,Bonuses!$B$1:$G$1006,4,FALSE)))</f>
        <v/>
      </c>
      <c r="AE490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18.23 (592) - SP Andre Cranford</v>
      </c>
    </row>
    <row r="491" spans="1:31" s="50" customFormat="1" x14ac:dyDescent="0.3">
      <c r="A491" s="50">
        <v>8287</v>
      </c>
      <c r="B491" s="50">
        <f>COUNTIF(Table5[PID],A491)</f>
        <v>1</v>
      </c>
      <c r="C491" s="50" t="str">
        <f>IF(COUNTIF(Table3[[#All],[PID]],A491)&gt;0,"P","B")</f>
        <v>P</v>
      </c>
      <c r="D491" s="59" t="str">
        <f>IF($C491="B",INDEX(Batters[[#All],[POS]],MATCH(Table5[[#This Row],[PID]],Batters[[#All],[PID]],0)),INDEX(Table3[[#All],[POS]],MATCH(Table5[[#This Row],[PID]],Table3[[#All],[PID]],0)))</f>
        <v>RP</v>
      </c>
      <c r="E491" s="52" t="str">
        <f>IF($C491="B",INDEX(Batters[[#All],[First]],MATCH(Table5[[#This Row],[PID]],Batters[[#All],[PID]],0)),INDEX(Table3[[#All],[First]],MATCH(Table5[[#This Row],[PID]],Table3[[#All],[PID]],0)))</f>
        <v>Jing-quo</v>
      </c>
      <c r="F491" s="50" t="str">
        <f>IF($C491="B",INDEX(Batters[[#All],[Last]],MATCH(A491,Batters[[#All],[PID]],0)),INDEX(Table3[[#All],[Last]],MATCH(A491,Table3[[#All],[PID]],0)))</f>
        <v>Zhang</v>
      </c>
      <c r="G491" s="56">
        <f>IF($C491="B",INDEX(Batters[[#All],[Age]],MATCH(Table5[[#This Row],[PID]],Batters[[#All],[PID]],0)),INDEX(Table3[[#All],[Age]],MATCH(Table5[[#This Row],[PID]],Table3[[#All],[PID]],0)))</f>
        <v>21</v>
      </c>
      <c r="H491" s="52" t="str">
        <f>IF($C491="B",INDEX(Batters[[#All],[B]],MATCH(Table5[[#This Row],[PID]],Batters[[#All],[PID]],0)),INDEX(Table3[[#All],[B]],MATCH(Table5[[#This Row],[PID]],Table3[[#All],[PID]],0)))</f>
        <v>L</v>
      </c>
      <c r="I491" s="52" t="str">
        <f>IF($C491="B",INDEX(Batters[[#All],[T]],MATCH(Table5[[#This Row],[PID]],Batters[[#All],[PID]],0)),INDEX(Table3[[#All],[T]],MATCH(Table5[[#This Row],[PID]],Table3[[#All],[PID]],0)))</f>
        <v>L</v>
      </c>
      <c r="J491" s="52" t="str">
        <f>IF($C491="B",INDEX(Batters[[#All],[WE]],MATCH(Table5[[#This Row],[PID]],Batters[[#All],[PID]],0)),INDEX(Table3[[#All],[WE]],MATCH(Table5[[#This Row],[PID]],Table3[[#All],[PID]],0)))</f>
        <v>High</v>
      </c>
      <c r="K491" s="52" t="str">
        <f>IF($C491="B",INDEX(Batters[[#All],[INT]],MATCH(Table5[[#This Row],[PID]],Batters[[#All],[PID]],0)),INDEX(Table3[[#All],[INT]],MATCH(Table5[[#This Row],[PID]],Table3[[#All],[PID]],0)))</f>
        <v>Normal</v>
      </c>
      <c r="L491" s="60">
        <f>IF($C491="B",INDEX(Batters[[#All],[CON P]],MATCH(Table5[[#This Row],[PID]],Batters[[#All],[PID]],0)),INDEX(Table3[[#All],[STU P]],MATCH(Table5[[#This Row],[PID]],Table3[[#All],[PID]],0)))</f>
        <v>5</v>
      </c>
      <c r="M491" s="56">
        <f>IF($C491="B",INDEX(Batters[[#All],[GAP P]],MATCH(Table5[[#This Row],[PID]],Batters[[#All],[PID]],0)),INDEX(Table3[[#All],[MOV P]],MATCH(Table5[[#This Row],[PID]],Table3[[#All],[PID]],0)))</f>
        <v>1</v>
      </c>
      <c r="N491" s="56">
        <f>IF($C491="B",INDEX(Batters[[#All],[POW P]],MATCH(Table5[[#This Row],[PID]],Batters[[#All],[PID]],0)),INDEX(Table3[[#All],[CON P]],MATCH(Table5[[#This Row],[PID]],Table3[[#All],[PID]],0)))</f>
        <v>3</v>
      </c>
      <c r="O491" s="56" t="str">
        <f>IF($C491="B",INDEX(Batters[[#All],[EYE P]],MATCH(Table5[[#This Row],[PID]],Batters[[#All],[PID]],0)),INDEX(Table3[[#All],[VELO]],MATCH(Table5[[#This Row],[PID]],Table3[[#All],[PID]],0)))</f>
        <v>88-90 Mph</v>
      </c>
      <c r="P491" s="56">
        <f>IF($C491="B",INDEX(Batters[[#All],[K P]],MATCH(Table5[[#This Row],[PID]],Batters[[#All],[PID]],0)),INDEX(Table3[[#All],[STM]],MATCH(Table5[[#This Row],[PID]],Table3[[#All],[PID]],0)))</f>
        <v>6</v>
      </c>
      <c r="Q491" s="61">
        <f>IF($C491="B",INDEX(Batters[[#All],[Tot]],MATCH(Table5[[#This Row],[PID]],Batters[[#All],[PID]],0)),INDEX(Table3[[#All],[Tot]],MATCH(Table5[[#This Row],[PID]],Table3[[#All],[PID]],0)))</f>
        <v>32.697737895645311</v>
      </c>
      <c r="R491" s="52">
        <f>IF($C491="B",INDEX(Batters[[#All],[zScore]],MATCH(Table5[[#This Row],[PID]],Batters[[#All],[PID]],0)),INDEX(Table3[[#All],[zScore]],MATCH(Table5[[#This Row],[PID]],Table3[[#All],[PID]],0)))</f>
        <v>-0.35694758947918642</v>
      </c>
      <c r="S491" s="58" t="str">
        <f>IF($C491="B",INDEX(Batters[[#All],[DEM]],MATCH(Table5[[#This Row],[PID]],Batters[[#All],[PID]],0)),INDEX(Table3[[#All],[DEM]],MATCH(Table5[[#This Row],[PID]],Table3[[#All],[PID]],0)))</f>
        <v>-</v>
      </c>
      <c r="T491" s="62">
        <f>IF($C491="B",INDEX(Batters[[#All],[Rnk]],MATCH(Table5[[#This Row],[PID]],Batters[[#All],[PID]],0)),INDEX(Table3[[#All],[Rnk]],MATCH(Table5[[#This Row],[PID]],Table3[[#All],[PID]],0)))</f>
        <v>900</v>
      </c>
      <c r="U491" s="67">
        <f>IF($C491="B",VLOOKUP($A491,Bat!$A$4:$BA$1314,47,FALSE),VLOOKUP($A491,Pit!$A$4:$BF$1214,56,FALSE))</f>
        <v>165</v>
      </c>
      <c r="V491" s="50">
        <f>IF($C491="B",VLOOKUP($A491,Bat!$A$4:$BA$1314,48,FALSE),VLOOKUP($A491,Pit!$A$4:$BF$1214,57,FALSE))</f>
        <v>0</v>
      </c>
      <c r="W491" s="68">
        <f>IF(Table5[[#This Row],[posRnk]]=999,9999,Table5[[#This Row],[posRnk]]+Table5[[#This Row],[zRnk]]+IF($W$3&lt;&gt;Table5[[#This Row],[Type]],50,0))</f>
        <v>1413</v>
      </c>
      <c r="X491" s="51">
        <f>RANK(Table5[[#This Row],[zScore]],Table5[[#All],[zScore]])</f>
        <v>513</v>
      </c>
      <c r="Y491" s="50">
        <f>IFERROR(INDEX(DraftResults[[#All],[OVR]],MATCH(Table5[[#This Row],[PID]],DraftResults[[#All],[Player ID]],0)),"")</f>
        <v>419</v>
      </c>
      <c r="Z491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13</v>
      </c>
      <c r="AA491" s="50">
        <f>IFERROR(INDEX(DraftResults[[#All],[Pick in Round]],MATCH(Table5[[#This Row],[PID]],DraftResults[[#All],[Player ID]],0)),"")</f>
        <v>20</v>
      </c>
      <c r="AB491" s="50" t="str">
        <f>IFERROR(INDEX(DraftResults[[#All],[Team Name]],MATCH(Table5[[#This Row],[PID]],DraftResults[[#All],[Player ID]],0)),"")</f>
        <v>Crystal Lake Sandgnats</v>
      </c>
      <c r="AC491" s="50">
        <f>IF(Table5[[#This Row],[Ovr]]="","",IF(Table5[[#This Row],[cmbList]]="","",Table5[[#This Row],[cmbList]]-Table5[[#This Row],[Ovr]]))</f>
        <v>994</v>
      </c>
      <c r="AD491" s="54" t="str">
        <f>IF(ISERROR(VLOOKUP($AB491&amp;"-"&amp;$E491&amp;" "&amp;F491,Bonuses!$B$1:$G$1006,4,FALSE)),"",INT(VLOOKUP($AB491&amp;"-"&amp;$E491&amp;" "&amp;$F491,Bonuses!$B$1:$G$1006,4,FALSE)))</f>
        <v/>
      </c>
      <c r="AE491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13.20 (419) - RP Jing-quo Zhang</v>
      </c>
    </row>
    <row r="492" spans="1:31" s="50" customFormat="1" x14ac:dyDescent="0.3">
      <c r="A492" s="50">
        <v>12109</v>
      </c>
      <c r="B492" s="50">
        <f>COUNTIF(Table5[PID],A492)</f>
        <v>1</v>
      </c>
      <c r="C492" s="50" t="str">
        <f>IF(COUNTIF(Table3[[#All],[PID]],A492)&gt;0,"P","B")</f>
        <v>B</v>
      </c>
      <c r="D492" s="59" t="str">
        <f>IF($C492="B",INDEX(Batters[[#All],[POS]],MATCH(Table5[[#This Row],[PID]],Batters[[#All],[PID]],0)),INDEX(Table3[[#All],[POS]],MATCH(Table5[[#This Row],[PID]],Table3[[#All],[PID]],0)))</f>
        <v>RF</v>
      </c>
      <c r="E492" s="52" t="str">
        <f>IF($C492="B",INDEX(Batters[[#All],[First]],MATCH(Table5[[#This Row],[PID]],Batters[[#All],[PID]],0)),INDEX(Table3[[#All],[First]],MATCH(Table5[[#This Row],[PID]],Table3[[#All],[PID]],0)))</f>
        <v>James</v>
      </c>
      <c r="F492" s="50" t="str">
        <f>IF($C492="B",INDEX(Batters[[#All],[Last]],MATCH(A492,Batters[[#All],[PID]],0)),INDEX(Table3[[#All],[Last]],MATCH(A492,Table3[[#All],[PID]],0)))</f>
        <v>Hollingsworth</v>
      </c>
      <c r="G492" s="56">
        <f>IF($C492="B",INDEX(Batters[[#All],[Age]],MATCH(Table5[[#This Row],[PID]],Batters[[#All],[PID]],0)),INDEX(Table3[[#All],[Age]],MATCH(Table5[[#This Row],[PID]],Table3[[#All],[PID]],0)))</f>
        <v>17</v>
      </c>
      <c r="H492" s="52" t="str">
        <f>IF($C492="B",INDEX(Batters[[#All],[B]],MATCH(Table5[[#This Row],[PID]],Batters[[#All],[PID]],0)),INDEX(Table3[[#All],[B]],MATCH(Table5[[#This Row],[PID]],Table3[[#All],[PID]],0)))</f>
        <v>L</v>
      </c>
      <c r="I492" s="52" t="str">
        <f>IF($C492="B",INDEX(Batters[[#All],[T]],MATCH(Table5[[#This Row],[PID]],Batters[[#All],[PID]],0)),INDEX(Table3[[#All],[T]],MATCH(Table5[[#This Row],[PID]],Table3[[#All],[PID]],0)))</f>
        <v>L</v>
      </c>
      <c r="J492" s="52" t="str">
        <f>IF($C492="B",INDEX(Batters[[#All],[WE]],MATCH(Table5[[#This Row],[PID]],Batters[[#All],[PID]],0)),INDEX(Table3[[#All],[WE]],MATCH(Table5[[#This Row],[PID]],Table3[[#All],[PID]],0)))</f>
        <v>Normal</v>
      </c>
      <c r="K492" s="52" t="str">
        <f>IF($C492="B",INDEX(Batters[[#All],[INT]],MATCH(Table5[[#This Row],[PID]],Batters[[#All],[PID]],0)),INDEX(Table3[[#All],[INT]],MATCH(Table5[[#This Row],[PID]],Table3[[#All],[PID]],0)))</f>
        <v>Normal</v>
      </c>
      <c r="L492" s="60">
        <f>IF($C492="B",INDEX(Batters[[#All],[CON P]],MATCH(Table5[[#This Row],[PID]],Batters[[#All],[PID]],0)),INDEX(Table3[[#All],[STU P]],MATCH(Table5[[#This Row],[PID]],Table3[[#All],[PID]],0)))</f>
        <v>3</v>
      </c>
      <c r="M492" s="56">
        <f>IF($C492="B",INDEX(Batters[[#All],[GAP P]],MATCH(Table5[[#This Row],[PID]],Batters[[#All],[PID]],0)),INDEX(Table3[[#All],[MOV P]],MATCH(Table5[[#This Row],[PID]],Table3[[#All],[PID]],0)))</f>
        <v>2</v>
      </c>
      <c r="N492" s="56">
        <f>IF($C492="B",INDEX(Batters[[#All],[POW P]],MATCH(Table5[[#This Row],[PID]],Batters[[#All],[PID]],0)),INDEX(Table3[[#All],[CON P]],MATCH(Table5[[#This Row],[PID]],Table3[[#All],[PID]],0)))</f>
        <v>3</v>
      </c>
      <c r="O492" s="56">
        <f>IF($C492="B",INDEX(Batters[[#All],[EYE P]],MATCH(Table5[[#This Row],[PID]],Batters[[#All],[PID]],0)),INDEX(Table3[[#All],[VELO]],MATCH(Table5[[#This Row],[PID]],Table3[[#All],[PID]],0)))</f>
        <v>5</v>
      </c>
      <c r="P492" s="56">
        <f>IF($C492="B",INDEX(Batters[[#All],[K P]],MATCH(Table5[[#This Row],[PID]],Batters[[#All],[PID]],0)),INDEX(Table3[[#All],[STM]],MATCH(Table5[[#This Row],[PID]],Table3[[#All],[PID]],0)))</f>
        <v>4</v>
      </c>
      <c r="Q492" s="61">
        <f>IF($C492="B",INDEX(Batters[[#All],[Tot]],MATCH(Table5[[#This Row],[PID]],Batters[[#All],[PID]],0)),INDEX(Table3[[#All],[Tot]],MATCH(Table5[[#This Row],[PID]],Table3[[#All],[PID]],0)))</f>
        <v>40.763286778592111</v>
      </c>
      <c r="R492" s="52">
        <f>IF($C492="B",INDEX(Batters[[#All],[zScore]],MATCH(Table5[[#This Row],[PID]],Batters[[#All],[PID]],0)),INDEX(Table3[[#All],[zScore]],MATCH(Table5[[#This Row],[PID]],Table3[[#All],[PID]],0)))</f>
        <v>-0.35838145454439729</v>
      </c>
      <c r="S492" s="58" t="str">
        <f>IF($C492="B",INDEX(Batters[[#All],[DEM]],MATCH(Table5[[#This Row],[PID]],Batters[[#All],[PID]],0)),INDEX(Table3[[#All],[DEM]],MATCH(Table5[[#This Row],[PID]],Table3[[#All],[PID]],0)))</f>
        <v>$70k</v>
      </c>
      <c r="T492" s="62">
        <f>IF($C492="B",INDEX(Batters[[#All],[Rnk]],MATCH(Table5[[#This Row],[PID]],Batters[[#All],[PID]],0)),INDEX(Table3[[#All],[Rnk]],MATCH(Table5[[#This Row],[PID]],Table3[[#All],[PID]],0)))</f>
        <v>900</v>
      </c>
      <c r="U492" s="67">
        <f>IF($C492="B",VLOOKUP($A492,Bat!$A$4:$BA$1314,47,FALSE),VLOOKUP($A492,Pit!$A$4:$BF$1214,56,FALSE))</f>
        <v>199</v>
      </c>
      <c r="V492" s="50">
        <f>IF($C492="B",VLOOKUP($A492,Bat!$A$4:$BA$1314,48,FALSE),VLOOKUP($A492,Pit!$A$4:$BF$1214,57,FALSE))</f>
        <v>0</v>
      </c>
      <c r="W492" s="68">
        <f>IF(Table5[[#This Row],[posRnk]]=999,9999,Table5[[#This Row],[posRnk]]+Table5[[#This Row],[zRnk]]+IF($W$3&lt;&gt;Table5[[#This Row],[Type]],50,0))</f>
        <v>1464</v>
      </c>
      <c r="X492" s="51">
        <f>RANK(Table5[[#This Row],[zScore]],Table5[[#All],[zScore]])</f>
        <v>514</v>
      </c>
      <c r="Y492" s="50">
        <f>IFERROR(INDEX(DraftResults[[#All],[OVR]],MATCH(Table5[[#This Row],[PID]],DraftResults[[#All],[Player ID]],0)),"")</f>
        <v>298</v>
      </c>
      <c r="Z492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10</v>
      </c>
      <c r="AA492" s="50">
        <f>IFERROR(INDEX(DraftResults[[#All],[Pick in Round]],MATCH(Table5[[#This Row],[PID]],DraftResults[[#All],[Player ID]],0)),"")</f>
        <v>1</v>
      </c>
      <c r="AB492" s="50" t="str">
        <f>IFERROR(INDEX(DraftResults[[#All],[Team Name]],MATCH(Table5[[#This Row],[PID]],DraftResults[[#All],[Player ID]],0)),"")</f>
        <v>Yuma Arroyos</v>
      </c>
      <c r="AC492" s="50">
        <f>IF(Table5[[#This Row],[Ovr]]="","",IF(Table5[[#This Row],[cmbList]]="","",Table5[[#This Row],[cmbList]]-Table5[[#This Row],[Ovr]]))</f>
        <v>1166</v>
      </c>
      <c r="AD492" s="54" t="str">
        <f>IF(ISERROR(VLOOKUP($AB492&amp;"-"&amp;$E492&amp;" "&amp;F492,Bonuses!$B$1:$G$1006,4,FALSE)),"",INT(VLOOKUP($AB492&amp;"-"&amp;$E492&amp;" "&amp;$F492,Bonuses!$B$1:$G$1006,4,FALSE)))</f>
        <v/>
      </c>
      <c r="AE492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10.1 (298) - RF James Hollingsworth</v>
      </c>
    </row>
    <row r="493" spans="1:31" s="50" customFormat="1" x14ac:dyDescent="0.3">
      <c r="A493" s="50">
        <v>6040</v>
      </c>
      <c r="B493" s="50">
        <f>COUNTIF(Table5[PID],A493)</f>
        <v>1</v>
      </c>
      <c r="C493" s="50" t="str">
        <f>IF(COUNTIF(Table3[[#All],[PID]],A493)&gt;0,"P","B")</f>
        <v>P</v>
      </c>
      <c r="D493" s="59" t="str">
        <f>IF($C493="B",INDEX(Batters[[#All],[POS]],MATCH(Table5[[#This Row],[PID]],Batters[[#All],[PID]],0)),INDEX(Table3[[#All],[POS]],MATCH(Table5[[#This Row],[PID]],Table3[[#All],[PID]],0)))</f>
        <v>CL</v>
      </c>
      <c r="E493" s="52" t="str">
        <f>IF($C493="B",INDEX(Batters[[#All],[First]],MATCH(Table5[[#This Row],[PID]],Batters[[#All],[PID]],0)),INDEX(Table3[[#All],[First]],MATCH(Table5[[#This Row],[PID]],Table3[[#All],[PID]],0)))</f>
        <v>Pedro</v>
      </c>
      <c r="F493" s="50" t="str">
        <f>IF($C493="B",INDEX(Batters[[#All],[Last]],MATCH(A493,Batters[[#All],[PID]],0)),INDEX(Table3[[#All],[Last]],MATCH(A493,Table3[[#All],[PID]],0)))</f>
        <v>Rivera</v>
      </c>
      <c r="G493" s="56">
        <f>IF($C493="B",INDEX(Batters[[#All],[Age]],MATCH(Table5[[#This Row],[PID]],Batters[[#All],[PID]],0)),INDEX(Table3[[#All],[Age]],MATCH(Table5[[#This Row],[PID]],Table3[[#All],[PID]],0)))</f>
        <v>21</v>
      </c>
      <c r="H493" s="52" t="str">
        <f>IF($C493="B",INDEX(Batters[[#All],[B]],MATCH(Table5[[#This Row],[PID]],Batters[[#All],[PID]],0)),INDEX(Table3[[#All],[B]],MATCH(Table5[[#This Row],[PID]],Table3[[#All],[PID]],0)))</f>
        <v>S</v>
      </c>
      <c r="I493" s="52" t="str">
        <f>IF($C493="B",INDEX(Batters[[#All],[T]],MATCH(Table5[[#This Row],[PID]],Batters[[#All],[PID]],0)),INDEX(Table3[[#All],[T]],MATCH(Table5[[#This Row],[PID]],Table3[[#All],[PID]],0)))</f>
        <v>R</v>
      </c>
      <c r="J493" s="52" t="str">
        <f>IF($C493="B",INDEX(Batters[[#All],[WE]],MATCH(Table5[[#This Row],[PID]],Batters[[#All],[PID]],0)),INDEX(Table3[[#All],[WE]],MATCH(Table5[[#This Row],[PID]],Table3[[#All],[PID]],0)))</f>
        <v>Normal</v>
      </c>
      <c r="K493" s="52" t="str">
        <f>IF($C493="B",INDEX(Batters[[#All],[INT]],MATCH(Table5[[#This Row],[PID]],Batters[[#All],[PID]],0)),INDEX(Table3[[#All],[INT]],MATCH(Table5[[#This Row],[PID]],Table3[[#All],[PID]],0)))</f>
        <v>Normal</v>
      </c>
      <c r="L493" s="60">
        <f>IF($C493="B",INDEX(Batters[[#All],[CON P]],MATCH(Table5[[#This Row],[PID]],Batters[[#All],[PID]],0)),INDEX(Table3[[#All],[STU P]],MATCH(Table5[[#This Row],[PID]],Table3[[#All],[PID]],0)))</f>
        <v>4</v>
      </c>
      <c r="M493" s="56">
        <f>IF($C493="B",INDEX(Batters[[#All],[GAP P]],MATCH(Table5[[#This Row],[PID]],Batters[[#All],[PID]],0)),INDEX(Table3[[#All],[MOV P]],MATCH(Table5[[#This Row],[PID]],Table3[[#All],[PID]],0)))</f>
        <v>3</v>
      </c>
      <c r="N493" s="56">
        <f>IF($C493="B",INDEX(Batters[[#All],[POW P]],MATCH(Table5[[#This Row],[PID]],Batters[[#All],[PID]],0)),INDEX(Table3[[#All],[CON P]],MATCH(Table5[[#This Row],[PID]],Table3[[#All],[PID]],0)))</f>
        <v>3</v>
      </c>
      <c r="O493" s="56" t="str">
        <f>IF($C493="B",INDEX(Batters[[#All],[EYE P]],MATCH(Table5[[#This Row],[PID]],Batters[[#All],[PID]],0)),INDEX(Table3[[#All],[VELO]],MATCH(Table5[[#This Row],[PID]],Table3[[#All],[PID]],0)))</f>
        <v>86-88 Mph</v>
      </c>
      <c r="P493" s="56">
        <f>IF($C493="B",INDEX(Batters[[#All],[K P]],MATCH(Table5[[#This Row],[PID]],Batters[[#All],[PID]],0)),INDEX(Table3[[#All],[STM]],MATCH(Table5[[#This Row],[PID]],Table3[[#All],[PID]],0)))</f>
        <v>3</v>
      </c>
      <c r="Q493" s="61">
        <f>IF($C493="B",INDEX(Batters[[#All],[Tot]],MATCH(Table5[[#This Row],[PID]],Batters[[#All],[PID]],0)),INDEX(Table3[[#All],[Tot]],MATCH(Table5[[#This Row],[PID]],Table3[[#All],[PID]],0)))</f>
        <v>32.724598463349416</v>
      </c>
      <c r="R493" s="52">
        <f>IF($C493="B",INDEX(Batters[[#All],[zScore]],MATCH(Table5[[#This Row],[PID]],Batters[[#All],[PID]],0)),INDEX(Table3[[#All],[zScore]],MATCH(Table5[[#This Row],[PID]],Table3[[#All],[PID]],0)))</f>
        <v>-0.36158818265502196</v>
      </c>
      <c r="S493" s="58" t="str">
        <f>IF($C493="B",INDEX(Batters[[#All],[DEM]],MATCH(Table5[[#This Row],[PID]],Batters[[#All],[PID]],0)),INDEX(Table3[[#All],[DEM]],MATCH(Table5[[#This Row],[PID]],Table3[[#All],[PID]],0)))</f>
        <v>-</v>
      </c>
      <c r="T493" s="62">
        <f>IF($C493="B",INDEX(Batters[[#All],[Rnk]],MATCH(Table5[[#This Row],[PID]],Batters[[#All],[PID]],0)),INDEX(Table3[[#All],[Rnk]],MATCH(Table5[[#This Row],[PID]],Table3[[#All],[PID]],0)))</f>
        <v>900</v>
      </c>
      <c r="U493" s="67">
        <f>IF($C493="B",VLOOKUP($A493,Bat!$A$4:$BA$1314,47,FALSE),VLOOKUP($A493,Pit!$A$4:$BF$1214,56,FALSE))</f>
        <v>172</v>
      </c>
      <c r="V493" s="50">
        <f>IF($C493="B",VLOOKUP($A493,Bat!$A$4:$BA$1314,48,FALSE),VLOOKUP($A493,Pit!$A$4:$BF$1214,57,FALSE))</f>
        <v>0</v>
      </c>
      <c r="W493" s="68">
        <f>IF(Table5[[#This Row],[posRnk]]=999,9999,Table5[[#This Row],[posRnk]]+Table5[[#This Row],[zRnk]]+IF($W$3&lt;&gt;Table5[[#This Row],[Type]],50,0))</f>
        <v>1415</v>
      </c>
      <c r="X493" s="51">
        <f>RANK(Table5[[#This Row],[zScore]],Table5[[#All],[zScore]])</f>
        <v>515</v>
      </c>
      <c r="Y493" s="50" t="str">
        <f>IFERROR(INDEX(DraftResults[[#All],[OVR]],MATCH(Table5[[#This Row],[PID]],DraftResults[[#All],[Player ID]],0)),"")</f>
        <v/>
      </c>
      <c r="Z493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/>
      </c>
      <c r="AA493" s="50" t="str">
        <f>IFERROR(INDEX(DraftResults[[#All],[Pick in Round]],MATCH(Table5[[#This Row],[PID]],DraftResults[[#All],[Player ID]],0)),"")</f>
        <v/>
      </c>
      <c r="AB493" s="50" t="str">
        <f>IFERROR(INDEX(DraftResults[[#All],[Team Name]],MATCH(Table5[[#This Row],[PID]],DraftResults[[#All],[Player ID]],0)),"")</f>
        <v/>
      </c>
      <c r="AC493" s="50" t="str">
        <f>IF(Table5[[#This Row],[Ovr]]="","",IF(Table5[[#This Row],[cmbList]]="","",Table5[[#This Row],[cmbList]]-Table5[[#This Row],[Ovr]]))</f>
        <v/>
      </c>
      <c r="AD493" s="54" t="str">
        <f>IF(ISERROR(VLOOKUP($AB493&amp;"-"&amp;$E493&amp;" "&amp;F493,Bonuses!$B$1:$G$1006,4,FALSE)),"",INT(VLOOKUP($AB493&amp;"-"&amp;$E493&amp;" "&amp;$F493,Bonuses!$B$1:$G$1006,4,FALSE)))</f>
        <v/>
      </c>
      <c r="AE493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/>
      </c>
    </row>
    <row r="494" spans="1:31" s="50" customFormat="1" x14ac:dyDescent="0.3">
      <c r="A494" s="67">
        <v>20910</v>
      </c>
      <c r="B494" s="68">
        <f>COUNTIF(Table5[PID],A494)</f>
        <v>1</v>
      </c>
      <c r="C494" s="68" t="str">
        <f>IF(COUNTIF(Table3[[#All],[PID]],A494)&gt;0,"P","B")</f>
        <v>P</v>
      </c>
      <c r="D494" s="59" t="str">
        <f>IF($C494="B",INDEX(Batters[[#All],[POS]],MATCH(Table5[[#This Row],[PID]],Batters[[#All],[PID]],0)),INDEX(Table3[[#All],[POS]],MATCH(Table5[[#This Row],[PID]],Table3[[#All],[PID]],0)))</f>
        <v>RP</v>
      </c>
      <c r="E494" s="52" t="str">
        <f>IF($C494="B",INDEX(Batters[[#All],[First]],MATCH(Table5[[#This Row],[PID]],Batters[[#All],[PID]],0)),INDEX(Table3[[#All],[First]],MATCH(Table5[[#This Row],[PID]],Table3[[#All],[PID]],0)))</f>
        <v>John</v>
      </c>
      <c r="F494" s="55" t="str">
        <f>IF($C494="B",INDEX(Batters[[#All],[Last]],MATCH(A494,Batters[[#All],[PID]],0)),INDEX(Table3[[#All],[Last]],MATCH(A494,Table3[[#All],[PID]],0)))</f>
        <v>Johnston</v>
      </c>
      <c r="G494" s="56">
        <f>IF($C494="B",INDEX(Batters[[#All],[Age]],MATCH(Table5[[#This Row],[PID]],Batters[[#All],[PID]],0)),INDEX(Table3[[#All],[Age]],MATCH(Table5[[#This Row],[PID]],Table3[[#All],[PID]],0)))</f>
        <v>17</v>
      </c>
      <c r="H494" s="52" t="str">
        <f>IF($C494="B",INDEX(Batters[[#All],[B]],MATCH(Table5[[#This Row],[PID]],Batters[[#All],[PID]],0)),INDEX(Table3[[#All],[B]],MATCH(Table5[[#This Row],[PID]],Table3[[#All],[PID]],0)))</f>
        <v>L</v>
      </c>
      <c r="I494" s="52" t="str">
        <f>IF($C494="B",INDEX(Batters[[#All],[T]],MATCH(Table5[[#This Row],[PID]],Batters[[#All],[PID]],0)),INDEX(Table3[[#All],[T]],MATCH(Table5[[#This Row],[PID]],Table3[[#All],[PID]],0)))</f>
        <v>L</v>
      </c>
      <c r="J494" s="69" t="str">
        <f>IF($C494="B",INDEX(Batters[[#All],[WE]],MATCH(Table5[[#This Row],[PID]],Batters[[#All],[PID]],0)),INDEX(Table3[[#All],[WE]],MATCH(Table5[[#This Row],[PID]],Table3[[#All],[PID]],0)))</f>
        <v>Normal</v>
      </c>
      <c r="K494" s="52" t="str">
        <f>IF($C494="B",INDEX(Batters[[#All],[INT]],MATCH(Table5[[#This Row],[PID]],Batters[[#All],[PID]],0)),INDEX(Table3[[#All],[INT]],MATCH(Table5[[#This Row],[PID]],Table3[[#All],[PID]],0)))</f>
        <v>High</v>
      </c>
      <c r="L494" s="60">
        <f>IF($C494="B",INDEX(Batters[[#All],[CON P]],MATCH(Table5[[#This Row],[PID]],Batters[[#All],[PID]],0)),INDEX(Table3[[#All],[STU P]],MATCH(Table5[[#This Row],[PID]],Table3[[#All],[PID]],0)))</f>
        <v>5</v>
      </c>
      <c r="M494" s="70">
        <f>IF($C494="B",INDEX(Batters[[#All],[GAP P]],MATCH(Table5[[#This Row],[PID]],Batters[[#All],[PID]],0)),INDEX(Table3[[#All],[MOV P]],MATCH(Table5[[#This Row],[PID]],Table3[[#All],[PID]],0)))</f>
        <v>2</v>
      </c>
      <c r="N494" s="70">
        <f>IF($C494="B",INDEX(Batters[[#All],[POW P]],MATCH(Table5[[#This Row],[PID]],Batters[[#All],[PID]],0)),INDEX(Table3[[#All],[CON P]],MATCH(Table5[[#This Row],[PID]],Table3[[#All],[PID]],0)))</f>
        <v>3</v>
      </c>
      <c r="O494" s="70" t="str">
        <f>IF($C494="B",INDEX(Batters[[#All],[EYE P]],MATCH(Table5[[#This Row],[PID]],Batters[[#All],[PID]],0)),INDEX(Table3[[#All],[VELO]],MATCH(Table5[[#This Row],[PID]],Table3[[#All],[PID]],0)))</f>
        <v>91-93 Mph</v>
      </c>
      <c r="P494" s="56">
        <f>IF($C494="B",INDEX(Batters[[#All],[K P]],MATCH(Table5[[#This Row],[PID]],Batters[[#All],[PID]],0)),INDEX(Table3[[#All],[STM]],MATCH(Table5[[#This Row],[PID]],Table3[[#All],[PID]],0)))</f>
        <v>6</v>
      </c>
      <c r="Q494" s="61">
        <f>IF($C494="B",INDEX(Batters[[#All],[Tot]],MATCH(Table5[[#This Row],[PID]],Batters[[#All],[PID]],0)),INDEX(Table3[[#All],[Tot]],MATCH(Table5[[#This Row],[PID]],Table3[[#All],[PID]],0)))</f>
        <v>32.71733342379612</v>
      </c>
      <c r="R494" s="52">
        <f>IF($C494="B",INDEX(Batters[[#All],[zScore]],MATCH(Table5[[#This Row],[PID]],Batters[[#All],[PID]],0)),INDEX(Table3[[#All],[zScore]],MATCH(Table5[[#This Row],[PID]],Table3[[#All],[PID]],0)))</f>
        <v>-0.36210550456531698</v>
      </c>
      <c r="S494" s="75" t="str">
        <f>IF($C494="B",INDEX(Batters[[#All],[DEM]],MATCH(Table5[[#This Row],[PID]],Batters[[#All],[PID]],0)),INDEX(Table3[[#All],[DEM]],MATCH(Table5[[#This Row],[PID]],Table3[[#All],[PID]],0)))</f>
        <v>$75k</v>
      </c>
      <c r="T494" s="72">
        <f>IF($C494="B",INDEX(Batters[[#All],[Rnk]],MATCH(Table5[[#This Row],[PID]],Batters[[#All],[PID]],0)),INDEX(Table3[[#All],[Rnk]],MATCH(Table5[[#This Row],[PID]],Table3[[#All],[PID]],0)))</f>
        <v>900</v>
      </c>
      <c r="U494" s="67">
        <f>IF($C494="B",VLOOKUP($A494,Bat!$A$4:$BA$1314,47,FALSE),VLOOKUP($A494,Pit!$A$4:$BF$1214,56,FALSE))</f>
        <v>166</v>
      </c>
      <c r="V494" s="50">
        <f>IF($C494="B",VLOOKUP($A494,Bat!$A$4:$BA$1314,48,FALSE),VLOOKUP($A494,Pit!$A$4:$BF$1214,57,FALSE))</f>
        <v>0</v>
      </c>
      <c r="W494" s="68">
        <f>IF(Table5[[#This Row],[posRnk]]=999,9999,Table5[[#This Row],[posRnk]]+Table5[[#This Row],[zRnk]]+IF($W$3&lt;&gt;Table5[[#This Row],[Type]],50,0))</f>
        <v>1416</v>
      </c>
      <c r="X494" s="71">
        <f>RANK(Table5[[#This Row],[zScore]],Table5[[#All],[zScore]])</f>
        <v>516</v>
      </c>
      <c r="Y494" s="68">
        <f>IFERROR(INDEX(DraftResults[[#All],[OVR]],MATCH(Table5[[#This Row],[PID]],DraftResults[[#All],[Player ID]],0)),"")</f>
        <v>453</v>
      </c>
      <c r="Z494" s="7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14</v>
      </c>
      <c r="AA494" s="68">
        <f>IFERROR(INDEX(DraftResults[[#All],[Pick in Round]],MATCH(Table5[[#This Row],[PID]],DraftResults[[#All],[Player ID]],0)),"")</f>
        <v>20</v>
      </c>
      <c r="AB494" s="68" t="str">
        <f>IFERROR(INDEX(DraftResults[[#All],[Team Name]],MATCH(Table5[[#This Row],[PID]],DraftResults[[#All],[Player ID]],0)),"")</f>
        <v>Crystal Lake Sandgnats</v>
      </c>
      <c r="AC494" s="68">
        <f>IF(Table5[[#This Row],[Ovr]]="","",IF(Table5[[#This Row],[cmbList]]="","",Table5[[#This Row],[cmbList]]-Table5[[#This Row],[Ovr]]))</f>
        <v>963</v>
      </c>
      <c r="AD494" s="74" t="str">
        <f>IF(ISERROR(VLOOKUP($AB494&amp;"-"&amp;$E494&amp;" "&amp;F494,Bonuses!$B$1:$G$1006,4,FALSE)),"",INT(VLOOKUP($AB494&amp;"-"&amp;$E494&amp;" "&amp;$F494,Bonuses!$B$1:$G$1006,4,FALSE)))</f>
        <v/>
      </c>
      <c r="AE494" s="68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14.20 (453) - RP John Johnston</v>
      </c>
    </row>
    <row r="495" spans="1:31" s="50" customFormat="1" x14ac:dyDescent="0.3">
      <c r="A495" s="67">
        <v>20936</v>
      </c>
      <c r="B495" s="68">
        <f>COUNTIF(Table5[PID],A495)</f>
        <v>1</v>
      </c>
      <c r="C495" s="68" t="str">
        <f>IF(COUNTIF(Table3[[#All],[PID]],A495)&gt;0,"P","B")</f>
        <v>P</v>
      </c>
      <c r="D495" s="59" t="str">
        <f>IF($C495="B",INDEX(Batters[[#All],[POS]],MATCH(Table5[[#This Row],[PID]],Batters[[#All],[PID]],0)),INDEX(Table3[[#All],[POS]],MATCH(Table5[[#This Row],[PID]],Table3[[#All],[PID]],0)))</f>
        <v>RP</v>
      </c>
      <c r="E495" s="52" t="str">
        <f>IF($C495="B",INDEX(Batters[[#All],[First]],MATCH(Table5[[#This Row],[PID]],Batters[[#All],[PID]],0)),INDEX(Table3[[#All],[First]],MATCH(Table5[[#This Row],[PID]],Table3[[#All],[PID]],0)))</f>
        <v>Keith</v>
      </c>
      <c r="F495" s="55" t="str">
        <f>IF($C495="B",INDEX(Batters[[#All],[Last]],MATCH(A495,Batters[[#All],[PID]],0)),INDEX(Table3[[#All],[Last]],MATCH(A495,Table3[[#All],[PID]],0)))</f>
        <v>Brown</v>
      </c>
      <c r="G495" s="56">
        <f>IF($C495="B",INDEX(Batters[[#All],[Age]],MATCH(Table5[[#This Row],[PID]],Batters[[#All],[PID]],0)),INDEX(Table3[[#All],[Age]],MATCH(Table5[[#This Row],[PID]],Table3[[#All],[PID]],0)))</f>
        <v>17</v>
      </c>
      <c r="H495" s="52" t="str">
        <f>IF($C495="B",INDEX(Batters[[#All],[B]],MATCH(Table5[[#This Row],[PID]],Batters[[#All],[PID]],0)),INDEX(Table3[[#All],[B]],MATCH(Table5[[#This Row],[PID]],Table3[[#All],[PID]],0)))</f>
        <v>R</v>
      </c>
      <c r="I495" s="52" t="str">
        <f>IF($C495="B",INDEX(Batters[[#All],[T]],MATCH(Table5[[#This Row],[PID]],Batters[[#All],[PID]],0)),INDEX(Table3[[#All],[T]],MATCH(Table5[[#This Row],[PID]],Table3[[#All],[PID]],0)))</f>
        <v>R</v>
      </c>
      <c r="J495" s="69" t="str">
        <f>IF($C495="B",INDEX(Batters[[#All],[WE]],MATCH(Table5[[#This Row],[PID]],Batters[[#All],[PID]],0)),INDEX(Table3[[#All],[WE]],MATCH(Table5[[#This Row],[PID]],Table3[[#All],[PID]],0)))</f>
        <v>Low</v>
      </c>
      <c r="K495" s="52" t="str">
        <f>IF($C495="B",INDEX(Batters[[#All],[INT]],MATCH(Table5[[#This Row],[PID]],Batters[[#All],[PID]],0)),INDEX(Table3[[#All],[INT]],MATCH(Table5[[#This Row],[PID]],Table3[[#All],[PID]],0)))</f>
        <v>Normal</v>
      </c>
      <c r="L495" s="60">
        <f>IF($C495="B",INDEX(Batters[[#All],[CON P]],MATCH(Table5[[#This Row],[PID]],Batters[[#All],[PID]],0)),INDEX(Table3[[#All],[STU P]],MATCH(Table5[[#This Row],[PID]],Table3[[#All],[PID]],0)))</f>
        <v>5</v>
      </c>
      <c r="M495" s="70">
        <f>IF($C495="B",INDEX(Batters[[#All],[GAP P]],MATCH(Table5[[#This Row],[PID]],Batters[[#All],[PID]],0)),INDEX(Table3[[#All],[MOV P]],MATCH(Table5[[#This Row],[PID]],Table3[[#All],[PID]],0)))</f>
        <v>2</v>
      </c>
      <c r="N495" s="70">
        <f>IF($C495="B",INDEX(Batters[[#All],[POW P]],MATCH(Table5[[#This Row],[PID]],Batters[[#All],[PID]],0)),INDEX(Table3[[#All],[CON P]],MATCH(Table5[[#This Row],[PID]],Table3[[#All],[PID]],0)))</f>
        <v>2</v>
      </c>
      <c r="O495" s="70" t="str">
        <f>IF($C495="B",INDEX(Batters[[#All],[EYE P]],MATCH(Table5[[#This Row],[PID]],Batters[[#All],[PID]],0)),INDEX(Table3[[#All],[VELO]],MATCH(Table5[[#This Row],[PID]],Table3[[#All],[PID]],0)))</f>
        <v>89-91 Mph</v>
      </c>
      <c r="P495" s="56">
        <f>IF($C495="B",INDEX(Batters[[#All],[K P]],MATCH(Table5[[#This Row],[PID]],Batters[[#All],[PID]],0)),INDEX(Table3[[#All],[STM]],MATCH(Table5[[#This Row],[PID]],Table3[[#All],[PID]],0)))</f>
        <v>5</v>
      </c>
      <c r="Q495" s="61">
        <f>IF($C495="B",INDEX(Batters[[#All],[Tot]],MATCH(Table5[[#This Row],[PID]],Batters[[#All],[PID]],0)),INDEX(Table3[[#All],[Tot]],MATCH(Table5[[#This Row],[PID]],Table3[[#All],[PID]],0)))</f>
        <v>33.660832385740967</v>
      </c>
      <c r="R495" s="52">
        <f>IF($C495="B",INDEX(Batters[[#All],[zScore]],MATCH(Table5[[#This Row],[PID]],Batters[[#All],[PID]],0)),INDEX(Table3[[#All],[zScore]],MATCH(Table5[[#This Row],[PID]],Table3[[#All],[PID]],0)))</f>
        <v>-0.29492174296649193</v>
      </c>
      <c r="S495" s="75" t="str">
        <f>IF($C495="B",INDEX(Batters[[#All],[DEM]],MATCH(Table5[[#This Row],[PID]],Batters[[#All],[PID]],0)),INDEX(Table3[[#All],[DEM]],MATCH(Table5[[#This Row],[PID]],Table3[[#All],[PID]],0)))</f>
        <v>$80k</v>
      </c>
      <c r="T495" s="72">
        <f>IF($C495="B",INDEX(Batters[[#All],[Rnk]],MATCH(Table5[[#This Row],[PID]],Batters[[#All],[PID]],0)),INDEX(Table3[[#All],[Rnk]],MATCH(Table5[[#This Row],[PID]],Table3[[#All],[PID]],0)))</f>
        <v>930</v>
      </c>
      <c r="U495" s="67">
        <f>IF($C495="B",VLOOKUP($A495,Bat!$A$4:$BA$1314,47,FALSE),VLOOKUP($A495,Pit!$A$4:$BF$1214,56,FALSE))</f>
        <v>306</v>
      </c>
      <c r="V495" s="50">
        <f>IF($C495="B",VLOOKUP($A495,Bat!$A$4:$BA$1314,48,FALSE),VLOOKUP($A495,Pit!$A$4:$BF$1214,57,FALSE))</f>
        <v>0</v>
      </c>
      <c r="W495" s="68">
        <f>IF(Table5[[#This Row],[posRnk]]=999,9999,Table5[[#This Row],[posRnk]]+Table5[[#This Row],[zRnk]]+IF($W$3&lt;&gt;Table5[[#This Row],[Type]],50,0))</f>
        <v>1417</v>
      </c>
      <c r="X495" s="71">
        <f>RANK(Table5[[#This Row],[zScore]],Table5[[#All],[zScore]])</f>
        <v>487</v>
      </c>
      <c r="Y495" s="68">
        <f>IFERROR(INDEX(DraftResults[[#All],[OVR]],MATCH(Table5[[#This Row],[PID]],DraftResults[[#All],[Player ID]],0)),"")</f>
        <v>559</v>
      </c>
      <c r="Z495" s="7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17</v>
      </c>
      <c r="AA495" s="68">
        <f>IFERROR(INDEX(DraftResults[[#All],[Pick in Round]],MATCH(Table5[[#This Row],[PID]],DraftResults[[#All],[Player ID]],0)),"")</f>
        <v>24</v>
      </c>
      <c r="AB495" s="68" t="str">
        <f>IFERROR(INDEX(DraftResults[[#All],[Team Name]],MATCH(Table5[[#This Row],[PID]],DraftResults[[#All],[Player ID]],0)),"")</f>
        <v>Reno Zephyrs</v>
      </c>
      <c r="AC495" s="68">
        <f>IF(Table5[[#This Row],[Ovr]]="","",IF(Table5[[#This Row],[cmbList]]="","",Table5[[#This Row],[cmbList]]-Table5[[#This Row],[Ovr]]))</f>
        <v>858</v>
      </c>
      <c r="AD495" s="74" t="str">
        <f>IF(ISERROR(VLOOKUP($AB495&amp;"-"&amp;$E495&amp;" "&amp;F495,Bonuses!$B$1:$G$1006,4,FALSE)),"",INT(VLOOKUP($AB495&amp;"-"&amp;$E495&amp;" "&amp;$F495,Bonuses!$B$1:$G$1006,4,FALSE)))</f>
        <v/>
      </c>
      <c r="AE495" s="68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17.24 (559) - RP Keith Brown</v>
      </c>
    </row>
    <row r="496" spans="1:31" s="50" customFormat="1" x14ac:dyDescent="0.3">
      <c r="A496" s="50">
        <v>6643</v>
      </c>
      <c r="B496" s="50">
        <f>COUNTIF(Table5[PID],A496)</f>
        <v>1</v>
      </c>
      <c r="C496" s="50" t="str">
        <f>IF(COUNTIF(Table3[[#All],[PID]],A496)&gt;0,"P","B")</f>
        <v>P</v>
      </c>
      <c r="D496" s="59" t="str">
        <f>IF($C496="B",INDEX(Batters[[#All],[POS]],MATCH(Table5[[#This Row],[PID]],Batters[[#All],[PID]],0)),INDEX(Table3[[#All],[POS]],MATCH(Table5[[#This Row],[PID]],Table3[[#All],[PID]],0)))</f>
        <v>SP</v>
      </c>
      <c r="E496" s="52" t="str">
        <f>IF($C496="B",INDEX(Batters[[#All],[First]],MATCH(Table5[[#This Row],[PID]],Batters[[#All],[PID]],0)),INDEX(Table3[[#All],[First]],MATCH(Table5[[#This Row],[PID]],Table3[[#All],[PID]],0)))</f>
        <v>Juan</v>
      </c>
      <c r="F496" s="50" t="str">
        <f>IF($C496="B",INDEX(Batters[[#All],[Last]],MATCH(A496,Batters[[#All],[PID]],0)),INDEX(Table3[[#All],[Last]],MATCH(A496,Table3[[#All],[PID]],0)))</f>
        <v>Vázquez</v>
      </c>
      <c r="G496" s="56">
        <f>IF($C496="B",INDEX(Batters[[#All],[Age]],MATCH(Table5[[#This Row],[PID]],Batters[[#All],[PID]],0)),INDEX(Table3[[#All],[Age]],MATCH(Table5[[#This Row],[PID]],Table3[[#All],[PID]],0)))</f>
        <v>21</v>
      </c>
      <c r="H496" s="52" t="str">
        <f>IF($C496="B",INDEX(Batters[[#All],[B]],MATCH(Table5[[#This Row],[PID]],Batters[[#All],[PID]],0)),INDEX(Table3[[#All],[B]],MATCH(Table5[[#This Row],[PID]],Table3[[#All],[PID]],0)))</f>
        <v>L</v>
      </c>
      <c r="I496" s="52" t="str">
        <f>IF($C496="B",INDEX(Batters[[#All],[T]],MATCH(Table5[[#This Row],[PID]],Batters[[#All],[PID]],0)),INDEX(Table3[[#All],[T]],MATCH(Table5[[#This Row],[PID]],Table3[[#All],[PID]],0)))</f>
        <v>R</v>
      </c>
      <c r="J496" s="52" t="str">
        <f>IF($C496="B",INDEX(Batters[[#All],[WE]],MATCH(Table5[[#This Row],[PID]],Batters[[#All],[PID]],0)),INDEX(Table3[[#All],[WE]],MATCH(Table5[[#This Row],[PID]],Table3[[#All],[PID]],0)))</f>
        <v>Low</v>
      </c>
      <c r="K496" s="52" t="str">
        <f>IF($C496="B",INDEX(Batters[[#All],[INT]],MATCH(Table5[[#This Row],[PID]],Batters[[#All],[PID]],0)),INDEX(Table3[[#All],[INT]],MATCH(Table5[[#This Row],[PID]],Table3[[#All],[PID]],0)))</f>
        <v>Normal</v>
      </c>
      <c r="L496" s="60">
        <f>IF($C496="B",INDEX(Batters[[#All],[CON P]],MATCH(Table5[[#This Row],[PID]],Batters[[#All],[PID]],0)),INDEX(Table3[[#All],[STU P]],MATCH(Table5[[#This Row],[PID]],Table3[[#All],[PID]],0)))</f>
        <v>4</v>
      </c>
      <c r="M496" s="56">
        <f>IF($C496="B",INDEX(Batters[[#All],[GAP P]],MATCH(Table5[[#This Row],[PID]],Batters[[#All],[PID]],0)),INDEX(Table3[[#All],[MOV P]],MATCH(Table5[[#This Row],[PID]],Table3[[#All],[PID]],0)))</f>
        <v>2</v>
      </c>
      <c r="N496" s="56">
        <f>IF($C496="B",INDEX(Batters[[#All],[POW P]],MATCH(Table5[[#This Row],[PID]],Batters[[#All],[PID]],0)),INDEX(Table3[[#All],[CON P]],MATCH(Table5[[#This Row],[PID]],Table3[[#All],[PID]],0)))</f>
        <v>4</v>
      </c>
      <c r="O496" s="56" t="str">
        <f>IF($C496="B",INDEX(Batters[[#All],[EYE P]],MATCH(Table5[[#This Row],[PID]],Batters[[#All],[PID]],0)),INDEX(Table3[[#All],[VELO]],MATCH(Table5[[#This Row],[PID]],Table3[[#All],[PID]],0)))</f>
        <v>94-96 Mph</v>
      </c>
      <c r="P496" s="56">
        <f>IF($C496="B",INDEX(Batters[[#All],[K P]],MATCH(Table5[[#This Row],[PID]],Batters[[#All],[PID]],0)),INDEX(Table3[[#All],[STM]],MATCH(Table5[[#This Row],[PID]],Table3[[#All],[PID]],0)))</f>
        <v>3</v>
      </c>
      <c r="Q496" s="61">
        <f>IF($C496="B",INDEX(Batters[[#All],[Tot]],MATCH(Table5[[#This Row],[PID]],Batters[[#All],[PID]],0)),INDEX(Table3[[#All],[Tot]],MATCH(Table5[[#This Row],[PID]],Table3[[#All],[PID]],0)))</f>
        <v>33.633027592386618</v>
      </c>
      <c r="R496" s="52">
        <f>IF($C496="B",INDEX(Batters[[#All],[zScore]],MATCH(Table5[[#This Row],[PID]],Batters[[#All],[PID]],0)),INDEX(Table3[[#All],[zScore]],MATCH(Table5[[#This Row],[PID]],Table3[[#All],[PID]],0)))</f>
        <v>-0.29690163980090134</v>
      </c>
      <c r="S496" s="58" t="str">
        <f>IF($C496="B",INDEX(Batters[[#All],[DEM]],MATCH(Table5[[#This Row],[PID]],Batters[[#All],[PID]],0)),INDEX(Table3[[#All],[DEM]],MATCH(Table5[[#This Row],[PID]],Table3[[#All],[PID]],0)))</f>
        <v>-</v>
      </c>
      <c r="T496" s="62">
        <f>IF($C496="B",INDEX(Batters[[#All],[Rnk]],MATCH(Table5[[#This Row],[PID]],Batters[[#All],[PID]],0)),INDEX(Table3[[#All],[Rnk]],MATCH(Table5[[#This Row],[PID]],Table3[[#All],[PID]],0)))</f>
        <v>930</v>
      </c>
      <c r="U496" s="67">
        <f>IF($C496="B",VLOOKUP($A496,Bat!$A$4:$BA$1314,47,FALSE),VLOOKUP($A496,Pit!$A$4:$BF$1214,56,FALSE))</f>
        <v>307</v>
      </c>
      <c r="V496" s="50">
        <f>IF($C496="B",VLOOKUP($A496,Bat!$A$4:$BA$1314,48,FALSE),VLOOKUP($A496,Pit!$A$4:$BF$1214,57,FALSE))</f>
        <v>0</v>
      </c>
      <c r="W496" s="68">
        <f>IF(Table5[[#This Row],[posRnk]]=999,9999,Table5[[#This Row],[posRnk]]+Table5[[#This Row],[zRnk]]+IF($W$3&lt;&gt;Table5[[#This Row],[Type]],50,0))</f>
        <v>1418</v>
      </c>
      <c r="X496" s="51">
        <f>RANK(Table5[[#This Row],[zScore]],Table5[[#All],[zScore]])</f>
        <v>488</v>
      </c>
      <c r="Y496" s="50">
        <f>IFERROR(INDEX(DraftResults[[#All],[OVR]],MATCH(Table5[[#This Row],[PID]],DraftResults[[#All],[Player ID]],0)),"")</f>
        <v>588</v>
      </c>
      <c r="Z496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18</v>
      </c>
      <c r="AA496" s="50">
        <f>IFERROR(INDEX(DraftResults[[#All],[Pick in Round]],MATCH(Table5[[#This Row],[PID]],DraftResults[[#All],[Player ID]],0)),"")</f>
        <v>19</v>
      </c>
      <c r="AB496" s="50" t="str">
        <f>IFERROR(INDEX(DraftResults[[#All],[Team Name]],MATCH(Table5[[#This Row],[PID]],DraftResults[[#All],[Player ID]],0)),"")</f>
        <v>Fargo Dinosaurs</v>
      </c>
      <c r="AC496" s="50">
        <f>IF(Table5[[#This Row],[Ovr]]="","",IF(Table5[[#This Row],[cmbList]]="","",Table5[[#This Row],[cmbList]]-Table5[[#This Row],[Ovr]]))</f>
        <v>830</v>
      </c>
      <c r="AD496" s="54" t="str">
        <f>IF(ISERROR(VLOOKUP($AB496&amp;"-"&amp;$E496&amp;" "&amp;F496,Bonuses!$B$1:$G$1006,4,FALSE)),"",INT(VLOOKUP($AB496&amp;"-"&amp;$E496&amp;" "&amp;$F496,Bonuses!$B$1:$G$1006,4,FALSE)))</f>
        <v/>
      </c>
      <c r="AE496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18.19 (588) - SP Juan Vázquez</v>
      </c>
    </row>
    <row r="497" spans="1:31" s="50" customFormat="1" x14ac:dyDescent="0.3">
      <c r="A497" s="67">
        <v>7123</v>
      </c>
      <c r="B497" s="68">
        <f>COUNTIF(Table5[PID],A497)</f>
        <v>1</v>
      </c>
      <c r="C497" s="68" t="str">
        <f>IF(COUNTIF(Table3[[#All],[PID]],A497)&gt;0,"P","B")</f>
        <v>P</v>
      </c>
      <c r="D497" s="59" t="str">
        <f>IF($C497="B",INDEX(Batters[[#All],[POS]],MATCH(Table5[[#This Row],[PID]],Batters[[#All],[PID]],0)),INDEX(Table3[[#All],[POS]],MATCH(Table5[[#This Row],[PID]],Table3[[#All],[PID]],0)))</f>
        <v>RP</v>
      </c>
      <c r="E497" s="52" t="str">
        <f>IF($C497="B",INDEX(Batters[[#All],[First]],MATCH(Table5[[#This Row],[PID]],Batters[[#All],[PID]],0)),INDEX(Table3[[#All],[First]],MATCH(Table5[[#This Row],[PID]],Table3[[#All],[PID]],0)))</f>
        <v>Lúcio</v>
      </c>
      <c r="F497" s="55" t="str">
        <f>IF($C497="B",INDEX(Batters[[#All],[Last]],MATCH(A497,Batters[[#All],[PID]],0)),INDEX(Table3[[#All],[Last]],MATCH(A497,Table3[[#All],[PID]],0)))</f>
        <v>Amaya</v>
      </c>
      <c r="G497" s="56">
        <f>IF($C497="B",INDEX(Batters[[#All],[Age]],MATCH(Table5[[#This Row],[PID]],Batters[[#All],[PID]],0)),INDEX(Table3[[#All],[Age]],MATCH(Table5[[#This Row],[PID]],Table3[[#All],[PID]],0)))</f>
        <v>21</v>
      </c>
      <c r="H497" s="52" t="str">
        <f>IF($C497="B",INDEX(Batters[[#All],[B]],MATCH(Table5[[#This Row],[PID]],Batters[[#All],[PID]],0)),INDEX(Table3[[#All],[B]],MATCH(Table5[[#This Row],[PID]],Table3[[#All],[PID]],0)))</f>
        <v>R</v>
      </c>
      <c r="I497" s="52" t="str">
        <f>IF($C497="B",INDEX(Batters[[#All],[T]],MATCH(Table5[[#This Row],[PID]],Batters[[#All],[PID]],0)),INDEX(Table3[[#All],[T]],MATCH(Table5[[#This Row],[PID]],Table3[[#All],[PID]],0)))</f>
        <v>R</v>
      </c>
      <c r="J497" s="69" t="str">
        <f>IF($C497="B",INDEX(Batters[[#All],[WE]],MATCH(Table5[[#This Row],[PID]],Batters[[#All],[PID]],0)),INDEX(Table3[[#All],[WE]],MATCH(Table5[[#This Row],[PID]],Table3[[#All],[PID]],0)))</f>
        <v>Low</v>
      </c>
      <c r="K497" s="52" t="str">
        <f>IF($C497="B",INDEX(Batters[[#All],[INT]],MATCH(Table5[[#This Row],[PID]],Batters[[#All],[PID]],0)),INDEX(Table3[[#All],[INT]],MATCH(Table5[[#This Row],[PID]],Table3[[#All],[PID]],0)))</f>
        <v>Normal</v>
      </c>
      <c r="L497" s="60">
        <f>IF($C497="B",INDEX(Batters[[#All],[CON P]],MATCH(Table5[[#This Row],[PID]],Batters[[#All],[PID]],0)),INDEX(Table3[[#All],[STU P]],MATCH(Table5[[#This Row],[PID]],Table3[[#All],[PID]],0)))</f>
        <v>5</v>
      </c>
      <c r="M497" s="70">
        <f>IF($C497="B",INDEX(Batters[[#All],[GAP P]],MATCH(Table5[[#This Row],[PID]],Batters[[#All],[PID]],0)),INDEX(Table3[[#All],[MOV P]],MATCH(Table5[[#This Row],[PID]],Table3[[#All],[PID]],0)))</f>
        <v>3</v>
      </c>
      <c r="N497" s="70">
        <f>IF($C497="B",INDEX(Batters[[#All],[POW P]],MATCH(Table5[[#This Row],[PID]],Batters[[#All],[PID]],0)),INDEX(Table3[[#All],[CON P]],MATCH(Table5[[#This Row],[PID]],Table3[[#All],[PID]],0)))</f>
        <v>2</v>
      </c>
      <c r="O497" s="70" t="str">
        <f>IF($C497="B",INDEX(Batters[[#All],[EYE P]],MATCH(Table5[[#This Row],[PID]],Batters[[#All],[PID]],0)),INDEX(Table3[[#All],[VELO]],MATCH(Table5[[#This Row],[PID]],Table3[[#All],[PID]],0)))</f>
        <v>91-93 Mph</v>
      </c>
      <c r="P497" s="56">
        <f>IF($C497="B",INDEX(Batters[[#All],[K P]],MATCH(Table5[[#This Row],[PID]],Batters[[#All],[PID]],0)),INDEX(Table3[[#All],[STM]],MATCH(Table5[[#This Row],[PID]],Table3[[#All],[PID]],0)))</f>
        <v>6</v>
      </c>
      <c r="Q497" s="61">
        <f>IF($C497="B",INDEX(Batters[[#All],[Tot]],MATCH(Table5[[#This Row],[PID]],Batters[[#All],[PID]],0)),INDEX(Table3[[#All],[Tot]],MATCH(Table5[[#This Row],[PID]],Table3[[#All],[PID]],0)))</f>
        <v>33.625862551211462</v>
      </c>
      <c r="R497" s="52">
        <f>IF($C497="B",INDEX(Batters[[#All],[zScore]],MATCH(Table5[[#This Row],[PID]],Batters[[#All],[PID]],0)),INDEX(Table3[[#All],[zScore]],MATCH(Table5[[#This Row],[PID]],Table3[[#All],[PID]],0)))</f>
        <v>-0.29741184112339691</v>
      </c>
      <c r="S497" s="75" t="str">
        <f>IF($C497="B",INDEX(Batters[[#All],[DEM]],MATCH(Table5[[#This Row],[PID]],Batters[[#All],[PID]],0)),INDEX(Table3[[#All],[DEM]],MATCH(Table5[[#This Row],[PID]],Table3[[#All],[PID]],0)))</f>
        <v>-</v>
      </c>
      <c r="T497" s="72">
        <f>IF($C497="B",INDEX(Batters[[#All],[Rnk]],MATCH(Table5[[#This Row],[PID]],Batters[[#All],[PID]],0)),INDEX(Table3[[#All],[Rnk]],MATCH(Table5[[#This Row],[PID]],Table3[[#All],[PID]],0)))</f>
        <v>930</v>
      </c>
      <c r="U497" s="67">
        <f>IF($C497="B",VLOOKUP($A497,Bat!$A$4:$BA$1314,47,FALSE),VLOOKUP($A497,Pit!$A$4:$BF$1214,56,FALSE))</f>
        <v>308</v>
      </c>
      <c r="V497" s="50">
        <f>IF($C497="B",VLOOKUP($A497,Bat!$A$4:$BA$1314,48,FALSE),VLOOKUP($A497,Pit!$A$4:$BF$1214,57,FALSE))</f>
        <v>0</v>
      </c>
      <c r="W497" s="68">
        <f>IF(Table5[[#This Row],[posRnk]]=999,9999,Table5[[#This Row],[posRnk]]+Table5[[#This Row],[zRnk]]+IF($W$3&lt;&gt;Table5[[#This Row],[Type]],50,0))</f>
        <v>1419</v>
      </c>
      <c r="X497" s="71">
        <f>RANK(Table5[[#This Row],[zScore]],Table5[[#All],[zScore]])</f>
        <v>489</v>
      </c>
      <c r="Y497" s="68">
        <f>IFERROR(INDEX(DraftResults[[#All],[OVR]],MATCH(Table5[[#This Row],[PID]],DraftResults[[#All],[Player ID]],0)),"")</f>
        <v>604</v>
      </c>
      <c r="Z497" s="7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19</v>
      </c>
      <c r="AA497" s="68">
        <f>IFERROR(INDEX(DraftResults[[#All],[Pick in Round]],MATCH(Table5[[#This Row],[PID]],DraftResults[[#All],[Player ID]],0)),"")</f>
        <v>1</v>
      </c>
      <c r="AB497" s="68" t="str">
        <f>IFERROR(INDEX(DraftResults[[#All],[Team Name]],MATCH(Table5[[#This Row],[PID]],DraftResults[[#All],[Player ID]],0)),"")</f>
        <v>Yuma Arroyos</v>
      </c>
      <c r="AC497" s="68">
        <f>IF(Table5[[#This Row],[Ovr]]="","",IF(Table5[[#This Row],[cmbList]]="","",Table5[[#This Row],[cmbList]]-Table5[[#This Row],[Ovr]]))</f>
        <v>815</v>
      </c>
      <c r="AD497" s="74" t="str">
        <f>IF(ISERROR(VLOOKUP($AB497&amp;"-"&amp;$E497&amp;" "&amp;F497,Bonuses!$B$1:$G$1006,4,FALSE)),"",INT(VLOOKUP($AB497&amp;"-"&amp;$E497&amp;" "&amp;$F497,Bonuses!$B$1:$G$1006,4,FALSE)))</f>
        <v/>
      </c>
      <c r="AE497" s="68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19.1 (604) - RP Lúcio Amaya</v>
      </c>
    </row>
    <row r="498" spans="1:31" s="50" customFormat="1" x14ac:dyDescent="0.3">
      <c r="A498" s="50">
        <v>11789</v>
      </c>
      <c r="B498" s="50">
        <f>COUNTIF(Table5[PID],A498)</f>
        <v>1</v>
      </c>
      <c r="C498" s="50" t="str">
        <f>IF(COUNTIF(Table3[[#All],[PID]],A498)&gt;0,"P","B")</f>
        <v>P</v>
      </c>
      <c r="D498" s="59" t="str">
        <f>IF($C498="B",INDEX(Batters[[#All],[POS]],MATCH(Table5[[#This Row],[PID]],Batters[[#All],[PID]],0)),INDEX(Table3[[#All],[POS]],MATCH(Table5[[#This Row],[PID]],Table3[[#All],[PID]],0)))</f>
        <v>RP</v>
      </c>
      <c r="E498" s="52" t="str">
        <f>IF($C498="B",INDEX(Batters[[#All],[First]],MATCH(Table5[[#This Row],[PID]],Batters[[#All],[PID]],0)),INDEX(Table3[[#All],[First]],MATCH(Table5[[#This Row],[PID]],Table3[[#All],[PID]],0)))</f>
        <v>Pedro</v>
      </c>
      <c r="F498" s="50" t="str">
        <f>IF($C498="B",INDEX(Batters[[#All],[Last]],MATCH(A498,Batters[[#All],[PID]],0)),INDEX(Table3[[#All],[Last]],MATCH(A498,Table3[[#All],[PID]],0)))</f>
        <v>Carrillo</v>
      </c>
      <c r="G498" s="56">
        <f>IF($C498="B",INDEX(Batters[[#All],[Age]],MATCH(Table5[[#This Row],[PID]],Batters[[#All],[PID]],0)),INDEX(Table3[[#All],[Age]],MATCH(Table5[[#This Row],[PID]],Table3[[#All],[PID]],0)))</f>
        <v>21</v>
      </c>
      <c r="H498" s="52" t="str">
        <f>IF($C498="B",INDEX(Batters[[#All],[B]],MATCH(Table5[[#This Row],[PID]],Batters[[#All],[PID]],0)),INDEX(Table3[[#All],[B]],MATCH(Table5[[#This Row],[PID]],Table3[[#All],[PID]],0)))</f>
        <v>S</v>
      </c>
      <c r="I498" s="52" t="str">
        <f>IF($C498="B",INDEX(Batters[[#All],[T]],MATCH(Table5[[#This Row],[PID]],Batters[[#All],[PID]],0)),INDEX(Table3[[#All],[T]],MATCH(Table5[[#This Row],[PID]],Table3[[#All],[PID]],0)))</f>
        <v>R</v>
      </c>
      <c r="J498" s="52" t="str">
        <f>IF($C498="B",INDEX(Batters[[#All],[WE]],MATCH(Table5[[#This Row],[PID]],Batters[[#All],[PID]],0)),INDEX(Table3[[#All],[WE]],MATCH(Table5[[#This Row],[PID]],Table3[[#All],[PID]],0)))</f>
        <v>Normal</v>
      </c>
      <c r="K498" s="52" t="str">
        <f>IF($C498="B",INDEX(Batters[[#All],[INT]],MATCH(Table5[[#This Row],[PID]],Batters[[#All],[PID]],0)),INDEX(Table3[[#All],[INT]],MATCH(Table5[[#This Row],[PID]],Table3[[#All],[PID]],0)))</f>
        <v>Normal</v>
      </c>
      <c r="L498" s="60">
        <f>IF($C498="B",INDEX(Batters[[#All],[CON P]],MATCH(Table5[[#This Row],[PID]],Batters[[#All],[PID]],0)),INDEX(Table3[[#All],[STU P]],MATCH(Table5[[#This Row],[PID]],Table3[[#All],[PID]],0)))</f>
        <v>5</v>
      </c>
      <c r="M498" s="56">
        <f>IF($C498="B",INDEX(Batters[[#All],[GAP P]],MATCH(Table5[[#This Row],[PID]],Batters[[#All],[PID]],0)),INDEX(Table3[[#All],[MOV P]],MATCH(Table5[[#This Row],[PID]],Table3[[#All],[PID]],0)))</f>
        <v>1</v>
      </c>
      <c r="N498" s="56">
        <f>IF($C498="B",INDEX(Batters[[#All],[POW P]],MATCH(Table5[[#This Row],[PID]],Batters[[#All],[PID]],0)),INDEX(Table3[[#All],[CON P]],MATCH(Table5[[#This Row],[PID]],Table3[[#All],[PID]],0)))</f>
        <v>3</v>
      </c>
      <c r="O498" s="56" t="str">
        <f>IF($C498="B",INDEX(Batters[[#All],[EYE P]],MATCH(Table5[[#This Row],[PID]],Batters[[#All],[PID]],0)),INDEX(Table3[[#All],[VELO]],MATCH(Table5[[#This Row],[PID]],Table3[[#All],[PID]],0)))</f>
        <v>90-92 Mph</v>
      </c>
      <c r="P498" s="56">
        <f>IF($C498="B",INDEX(Batters[[#All],[K P]],MATCH(Table5[[#This Row],[PID]],Batters[[#All],[PID]],0)),INDEX(Table3[[#All],[STM]],MATCH(Table5[[#This Row],[PID]],Table3[[#All],[PID]],0)))</f>
        <v>6</v>
      </c>
      <c r="Q498" s="61">
        <f>IF($C498="B",INDEX(Batters[[#All],[Tot]],MATCH(Table5[[#This Row],[PID]],Batters[[#All],[PID]],0)),INDEX(Table3[[#All],[Tot]],MATCH(Table5[[#This Row],[PID]],Table3[[#All],[PID]],0)))</f>
        <v>32.584773087366017</v>
      </c>
      <c r="R498" s="52">
        <f>IF($C498="B",INDEX(Batters[[#All],[zScore]],MATCH(Table5[[#This Row],[PID]],Batters[[#All],[PID]],0)),INDEX(Table3[[#All],[zScore]],MATCH(Table5[[#This Row],[PID]],Table3[[#All],[PID]],0)))</f>
        <v>-0.37154473279914801</v>
      </c>
      <c r="S498" s="58" t="str">
        <f>IF($C498="B",INDEX(Batters[[#All],[DEM]],MATCH(Table5[[#This Row],[PID]],Batters[[#All],[PID]],0)),INDEX(Table3[[#All],[DEM]],MATCH(Table5[[#This Row],[PID]],Table3[[#All],[PID]],0)))</f>
        <v>-</v>
      </c>
      <c r="T498" s="62">
        <f>IF($C498="B",INDEX(Batters[[#All],[Rnk]],MATCH(Table5[[#This Row],[PID]],Batters[[#All],[PID]],0)),INDEX(Table3[[#All],[Rnk]],MATCH(Table5[[#This Row],[PID]],Table3[[#All],[PID]],0)))</f>
        <v>900</v>
      </c>
      <c r="U498" s="67">
        <f>IF($C498="B",VLOOKUP($A498,Bat!$A$4:$BA$1314,47,FALSE),VLOOKUP($A498,Pit!$A$4:$BF$1214,56,FALSE))</f>
        <v>174</v>
      </c>
      <c r="V498" s="50">
        <f>IF($C498="B",VLOOKUP($A498,Bat!$A$4:$BA$1314,48,FALSE),VLOOKUP($A498,Pit!$A$4:$BF$1214,57,FALSE))</f>
        <v>0</v>
      </c>
      <c r="W498" s="68">
        <f>IF(Table5[[#This Row],[posRnk]]=999,9999,Table5[[#This Row],[posRnk]]+Table5[[#This Row],[zRnk]]+IF($W$3&lt;&gt;Table5[[#This Row],[Type]],50,0))</f>
        <v>1420</v>
      </c>
      <c r="X498" s="51">
        <f>RANK(Table5[[#This Row],[zScore]],Table5[[#All],[zScore]])</f>
        <v>520</v>
      </c>
      <c r="Y498" s="50">
        <f>IFERROR(INDEX(DraftResults[[#All],[OVR]],MATCH(Table5[[#This Row],[PID]],DraftResults[[#All],[Player ID]],0)),"")</f>
        <v>458</v>
      </c>
      <c r="Z498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14</v>
      </c>
      <c r="AA498" s="50">
        <f>IFERROR(INDEX(DraftResults[[#All],[Pick in Round]],MATCH(Table5[[#This Row],[PID]],DraftResults[[#All],[Player ID]],0)),"")</f>
        <v>25</v>
      </c>
      <c r="AB498" s="50" t="str">
        <f>IFERROR(INDEX(DraftResults[[#All],[Team Name]],MATCH(Table5[[#This Row],[PID]],DraftResults[[#All],[Player ID]],0)),"")</f>
        <v>Kalamazoo Badgers</v>
      </c>
      <c r="AC498" s="50">
        <f>IF(Table5[[#This Row],[Ovr]]="","",IF(Table5[[#This Row],[cmbList]]="","",Table5[[#This Row],[cmbList]]-Table5[[#This Row],[Ovr]]))</f>
        <v>962</v>
      </c>
      <c r="AD498" s="54" t="str">
        <f>IF(ISERROR(VLOOKUP($AB498&amp;"-"&amp;$E498&amp;" "&amp;F498,Bonuses!$B$1:$G$1006,4,FALSE)),"",INT(VLOOKUP($AB498&amp;"-"&amp;$E498&amp;" "&amp;$F498,Bonuses!$B$1:$G$1006,4,FALSE)))</f>
        <v/>
      </c>
      <c r="AE498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14.25 (458) - RP Pedro Carrillo</v>
      </c>
    </row>
    <row r="499" spans="1:31" s="50" customFormat="1" x14ac:dyDescent="0.3">
      <c r="A499" s="50">
        <v>15560</v>
      </c>
      <c r="B499" s="55">
        <f>COUNTIF(Table5[PID],A499)</f>
        <v>1</v>
      </c>
      <c r="C499" s="55" t="str">
        <f>IF(COUNTIF(Table3[[#All],[PID]],A499)&gt;0,"P","B")</f>
        <v>P</v>
      </c>
      <c r="D499" s="59" t="str">
        <f>IF($C499="B",INDEX(Batters[[#All],[POS]],MATCH(Table5[[#This Row],[PID]],Batters[[#All],[PID]],0)),INDEX(Table3[[#All],[POS]],MATCH(Table5[[#This Row],[PID]],Table3[[#All],[PID]],0)))</f>
        <v>RP</v>
      </c>
      <c r="E499" s="52" t="str">
        <f>IF($C499="B",INDEX(Batters[[#All],[First]],MATCH(Table5[[#This Row],[PID]],Batters[[#All],[PID]],0)),INDEX(Table3[[#All],[First]],MATCH(Table5[[#This Row],[PID]],Table3[[#All],[PID]],0)))</f>
        <v>Kiyonaga</v>
      </c>
      <c r="F499" s="50" t="str">
        <f>IF($C499="B",INDEX(Batters[[#All],[Last]],MATCH(A499,Batters[[#All],[PID]],0)),INDEX(Table3[[#All],[Last]],MATCH(A499,Table3[[#All],[PID]],0)))</f>
        <v>Matsumoto</v>
      </c>
      <c r="G499" s="56">
        <f>IF($C499="B",INDEX(Batters[[#All],[Age]],MATCH(Table5[[#This Row],[PID]],Batters[[#All],[PID]],0)),INDEX(Table3[[#All],[Age]],MATCH(Table5[[#This Row],[PID]],Table3[[#All],[PID]],0)))</f>
        <v>21</v>
      </c>
      <c r="H499" s="52" t="str">
        <f>IF($C499="B",INDEX(Batters[[#All],[B]],MATCH(Table5[[#This Row],[PID]],Batters[[#All],[PID]],0)),INDEX(Table3[[#All],[B]],MATCH(Table5[[#This Row],[PID]],Table3[[#All],[PID]],0)))</f>
        <v>R</v>
      </c>
      <c r="I499" s="52" t="str">
        <f>IF($C499="B",INDEX(Batters[[#All],[T]],MATCH(Table5[[#This Row],[PID]],Batters[[#All],[PID]],0)),INDEX(Table3[[#All],[T]],MATCH(Table5[[#This Row],[PID]],Table3[[#All],[PID]],0)))</f>
        <v>R</v>
      </c>
      <c r="J499" s="52" t="str">
        <f>IF($C499="B",INDEX(Batters[[#All],[WE]],MATCH(Table5[[#This Row],[PID]],Batters[[#All],[PID]],0)),INDEX(Table3[[#All],[WE]],MATCH(Table5[[#This Row],[PID]],Table3[[#All],[PID]],0)))</f>
        <v>Normal</v>
      </c>
      <c r="K499" s="52" t="str">
        <f>IF($C499="B",INDEX(Batters[[#All],[INT]],MATCH(Table5[[#This Row],[PID]],Batters[[#All],[PID]],0)),INDEX(Table3[[#All],[INT]],MATCH(Table5[[#This Row],[PID]],Table3[[#All],[PID]],0)))</f>
        <v>Normal</v>
      </c>
      <c r="L499" s="60">
        <f>IF($C499="B",INDEX(Batters[[#All],[CON P]],MATCH(Table5[[#This Row],[PID]],Batters[[#All],[PID]],0)),INDEX(Table3[[#All],[STU P]],MATCH(Table5[[#This Row],[PID]],Table3[[#All],[PID]],0)))</f>
        <v>5</v>
      </c>
      <c r="M499" s="56">
        <f>IF($C499="B",INDEX(Batters[[#All],[GAP P]],MATCH(Table5[[#This Row],[PID]],Batters[[#All],[PID]],0)),INDEX(Table3[[#All],[MOV P]],MATCH(Table5[[#This Row],[PID]],Table3[[#All],[PID]],0)))</f>
        <v>1</v>
      </c>
      <c r="N499" s="56">
        <f>IF($C499="B",INDEX(Batters[[#All],[POW P]],MATCH(Table5[[#This Row],[PID]],Batters[[#All],[PID]],0)),INDEX(Table3[[#All],[CON P]],MATCH(Table5[[#This Row],[PID]],Table3[[#All],[PID]],0)))</f>
        <v>3</v>
      </c>
      <c r="O499" s="56" t="str">
        <f>IF($C499="B",INDEX(Batters[[#All],[EYE P]],MATCH(Table5[[#This Row],[PID]],Batters[[#All],[PID]],0)),INDEX(Table3[[#All],[VELO]],MATCH(Table5[[#This Row],[PID]],Table3[[#All],[PID]],0)))</f>
        <v>91-93 Mph</v>
      </c>
      <c r="P499" s="56">
        <f>IF($C499="B",INDEX(Batters[[#All],[K P]],MATCH(Table5[[#This Row],[PID]],Batters[[#All],[PID]],0)),INDEX(Table3[[#All],[STM]],MATCH(Table5[[#This Row],[PID]],Table3[[#All],[PID]],0)))</f>
        <v>6</v>
      </c>
      <c r="Q499" s="61">
        <f>IF($C499="B",INDEX(Batters[[#All],[Tot]],MATCH(Table5[[#This Row],[PID]],Batters[[#All],[PID]],0)),INDEX(Table3[[#All],[Tot]],MATCH(Table5[[#This Row],[PID]],Table3[[#All],[PID]],0)))</f>
        <v>32.537520576985465</v>
      </c>
      <c r="R499" s="52">
        <f>IF($C499="B",INDEX(Batters[[#All],[zScore]],MATCH(Table5[[#This Row],[PID]],Batters[[#All],[PID]],0)),INDEX(Table3[[#All],[zScore]],MATCH(Table5[[#This Row],[PID]],Table3[[#All],[PID]],0)))</f>
        <v>-0.3749094438591466</v>
      </c>
      <c r="S499" s="58" t="str">
        <f>IF($C499="B",INDEX(Batters[[#All],[DEM]],MATCH(Table5[[#This Row],[PID]],Batters[[#All],[PID]],0)),INDEX(Table3[[#All],[DEM]],MATCH(Table5[[#This Row],[PID]],Table3[[#All],[PID]],0)))</f>
        <v>-</v>
      </c>
      <c r="T499" s="62">
        <f>IF($C499="B",INDEX(Batters[[#All],[Rnk]],MATCH(Table5[[#This Row],[PID]],Batters[[#All],[PID]],0)),INDEX(Table3[[#All],[Rnk]],MATCH(Table5[[#This Row],[PID]],Table3[[#All],[PID]],0)))</f>
        <v>900</v>
      </c>
      <c r="U499" s="67">
        <f>IF($C499="B",VLOOKUP($A499,Bat!$A$4:$BA$1314,47,FALSE),VLOOKUP($A499,Pit!$A$4:$BF$1214,56,FALSE))</f>
        <v>175</v>
      </c>
      <c r="V499" s="50">
        <f>IF($C499="B",VLOOKUP($A499,Bat!$A$4:$BA$1314,48,FALSE),VLOOKUP($A499,Pit!$A$4:$BF$1214,57,FALSE))</f>
        <v>0</v>
      </c>
      <c r="W499" s="68">
        <f>IF(Table5[[#This Row],[posRnk]]=999,9999,Table5[[#This Row],[posRnk]]+Table5[[#This Row],[zRnk]]+IF($W$3&lt;&gt;Table5[[#This Row],[Type]],50,0))</f>
        <v>1421</v>
      </c>
      <c r="X499" s="51">
        <f>RANK(Table5[[#This Row],[zScore]],Table5[[#All],[zScore]])</f>
        <v>521</v>
      </c>
      <c r="Y499" s="50">
        <f>IFERROR(INDEX(DraftResults[[#All],[OVR]],MATCH(Table5[[#This Row],[PID]],DraftResults[[#All],[Player ID]],0)),"")</f>
        <v>528</v>
      </c>
      <c r="Z499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16</v>
      </c>
      <c r="AA499" s="50">
        <f>IFERROR(INDEX(DraftResults[[#All],[Pick in Round]],MATCH(Table5[[#This Row],[PID]],DraftResults[[#All],[Player ID]],0)),"")</f>
        <v>27</v>
      </c>
      <c r="AB499" s="50" t="str">
        <f>IFERROR(INDEX(DraftResults[[#All],[Team Name]],MATCH(Table5[[#This Row],[PID]],DraftResults[[#All],[Player ID]],0)),"")</f>
        <v>Havana Leones</v>
      </c>
      <c r="AC499" s="50">
        <f>IF(Table5[[#This Row],[Ovr]]="","",IF(Table5[[#This Row],[cmbList]]="","",Table5[[#This Row],[cmbList]]-Table5[[#This Row],[Ovr]]))</f>
        <v>893</v>
      </c>
      <c r="AD499" s="54" t="str">
        <f>IF(ISERROR(VLOOKUP($AB499&amp;"-"&amp;$E499&amp;" "&amp;F499,Bonuses!$B$1:$G$1006,4,FALSE)),"",INT(VLOOKUP($AB499&amp;"-"&amp;$E499&amp;" "&amp;$F499,Bonuses!$B$1:$G$1006,4,FALSE)))</f>
        <v/>
      </c>
      <c r="AE499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16.27 (528) - RP Kiyonaga Matsumoto</v>
      </c>
    </row>
    <row r="500" spans="1:31" s="50" customFormat="1" x14ac:dyDescent="0.3">
      <c r="A500" s="67">
        <v>20244</v>
      </c>
      <c r="B500" s="68">
        <f>COUNTIF(Table5[PID],A500)</f>
        <v>1</v>
      </c>
      <c r="C500" s="68" t="str">
        <f>IF(COUNTIF(Table3[[#All],[PID]],A500)&gt;0,"P","B")</f>
        <v>P</v>
      </c>
      <c r="D500" s="59" t="str">
        <f>IF($C500="B",INDEX(Batters[[#All],[POS]],MATCH(Table5[[#This Row],[PID]],Batters[[#All],[PID]],0)),INDEX(Table3[[#All],[POS]],MATCH(Table5[[#This Row],[PID]],Table3[[#All],[PID]],0)))</f>
        <v>RP</v>
      </c>
      <c r="E500" s="52" t="str">
        <f>IF($C500="B",INDEX(Batters[[#All],[First]],MATCH(Table5[[#This Row],[PID]],Batters[[#All],[PID]],0)),INDEX(Table3[[#All],[First]],MATCH(Table5[[#This Row],[PID]],Table3[[#All],[PID]],0)))</f>
        <v>Werner</v>
      </c>
      <c r="F500" s="55" t="str">
        <f>IF($C500="B",INDEX(Batters[[#All],[Last]],MATCH(A500,Batters[[#All],[PID]],0)),INDEX(Table3[[#All],[Last]],MATCH(A500,Table3[[#All],[PID]],0)))</f>
        <v>Bray</v>
      </c>
      <c r="G500" s="56">
        <f>IF($C500="B",INDEX(Batters[[#All],[Age]],MATCH(Table5[[#This Row],[PID]],Batters[[#All],[PID]],0)),INDEX(Table3[[#All],[Age]],MATCH(Table5[[#This Row],[PID]],Table3[[#All],[PID]],0)))</f>
        <v>21</v>
      </c>
      <c r="H500" s="52" t="str">
        <f>IF($C500="B",INDEX(Batters[[#All],[B]],MATCH(Table5[[#This Row],[PID]],Batters[[#All],[PID]],0)),INDEX(Table3[[#All],[B]],MATCH(Table5[[#This Row],[PID]],Table3[[#All],[PID]],0)))</f>
        <v>R</v>
      </c>
      <c r="I500" s="52" t="str">
        <f>IF($C500="B",INDEX(Batters[[#All],[T]],MATCH(Table5[[#This Row],[PID]],Batters[[#All],[PID]],0)),INDEX(Table3[[#All],[T]],MATCH(Table5[[#This Row],[PID]],Table3[[#All],[PID]],0)))</f>
        <v>R</v>
      </c>
      <c r="J500" s="69" t="str">
        <f>IF($C500="B",INDEX(Batters[[#All],[WE]],MATCH(Table5[[#This Row],[PID]],Batters[[#All],[PID]],0)),INDEX(Table3[[#All],[WE]],MATCH(Table5[[#This Row],[PID]],Table3[[#All],[PID]],0)))</f>
        <v>Normal</v>
      </c>
      <c r="K500" s="52" t="str">
        <f>IF($C500="B",INDEX(Batters[[#All],[INT]],MATCH(Table5[[#This Row],[PID]],Batters[[#All],[PID]],0)),INDEX(Table3[[#All],[INT]],MATCH(Table5[[#This Row],[PID]],Table3[[#All],[PID]],0)))</f>
        <v>Normal</v>
      </c>
      <c r="L500" s="60">
        <f>IF($C500="B",INDEX(Batters[[#All],[CON P]],MATCH(Table5[[#This Row],[PID]],Batters[[#All],[PID]],0)),INDEX(Table3[[#All],[STU P]],MATCH(Table5[[#This Row],[PID]],Table3[[#All],[PID]],0)))</f>
        <v>5</v>
      </c>
      <c r="M500" s="70">
        <f>IF($C500="B",INDEX(Batters[[#All],[GAP P]],MATCH(Table5[[#This Row],[PID]],Batters[[#All],[PID]],0)),INDEX(Table3[[#All],[MOV P]],MATCH(Table5[[#This Row],[PID]],Table3[[#All],[PID]],0)))</f>
        <v>2</v>
      </c>
      <c r="N500" s="70">
        <f>IF($C500="B",INDEX(Batters[[#All],[POW P]],MATCH(Table5[[#This Row],[PID]],Batters[[#All],[PID]],0)),INDEX(Table3[[#All],[CON P]],MATCH(Table5[[#This Row],[PID]],Table3[[#All],[PID]],0)))</f>
        <v>4</v>
      </c>
      <c r="O500" s="70" t="str">
        <f>IF($C500="B",INDEX(Batters[[#All],[EYE P]],MATCH(Table5[[#This Row],[PID]],Batters[[#All],[PID]],0)),INDEX(Table3[[#All],[VELO]],MATCH(Table5[[#This Row],[PID]],Table3[[#All],[PID]],0)))</f>
        <v>90-92 Mph</v>
      </c>
      <c r="P500" s="56">
        <f>IF($C500="B",INDEX(Batters[[#All],[K P]],MATCH(Table5[[#This Row],[PID]],Batters[[#All],[PID]],0)),INDEX(Table3[[#All],[STM]],MATCH(Table5[[#This Row],[PID]],Table3[[#All],[PID]],0)))</f>
        <v>4</v>
      </c>
      <c r="Q500" s="61">
        <f>IF($C500="B",INDEX(Batters[[#All],[Tot]],MATCH(Table5[[#This Row],[PID]],Batters[[#All],[PID]],0)),INDEX(Table3[[#All],[Tot]],MATCH(Table5[[#This Row],[PID]],Table3[[#All],[PID]],0)))</f>
        <v>32.473129821894446</v>
      </c>
      <c r="R500" s="52">
        <f>IF($C500="B",INDEX(Batters[[#All],[zScore]],MATCH(Table5[[#This Row],[PID]],Batters[[#All],[PID]],0)),INDEX(Table3[[#All],[zScore]],MATCH(Table5[[#This Row],[PID]],Table3[[#All],[PID]],0)))</f>
        <v>-0.37949451847362847</v>
      </c>
      <c r="S500" s="75" t="str">
        <f>IF($C500="B",INDEX(Batters[[#All],[DEM]],MATCH(Table5[[#This Row],[PID]],Batters[[#All],[PID]],0)),INDEX(Table3[[#All],[DEM]],MATCH(Table5[[#This Row],[PID]],Table3[[#All],[PID]],0)))</f>
        <v>$34k</v>
      </c>
      <c r="T500" s="72">
        <f>IF($C500="B",INDEX(Batters[[#All],[Rnk]],MATCH(Table5[[#This Row],[PID]],Batters[[#All],[PID]],0)),INDEX(Table3[[#All],[Rnk]],MATCH(Table5[[#This Row],[PID]],Table3[[#All],[PID]],0)))</f>
        <v>900</v>
      </c>
      <c r="U500" s="67">
        <f>IF($C500="B",VLOOKUP($A500,Bat!$A$4:$BA$1314,47,FALSE),VLOOKUP($A500,Pit!$A$4:$BF$1214,56,FALSE))</f>
        <v>176</v>
      </c>
      <c r="V500" s="50">
        <f>IF($C500="B",VLOOKUP($A500,Bat!$A$4:$BA$1314,48,FALSE),VLOOKUP($A500,Pit!$A$4:$BF$1214,57,FALSE))</f>
        <v>0</v>
      </c>
      <c r="W500" s="68">
        <f>IF(Table5[[#This Row],[posRnk]]=999,9999,Table5[[#This Row],[posRnk]]+Table5[[#This Row],[zRnk]]+IF($W$3&lt;&gt;Table5[[#This Row],[Type]],50,0))</f>
        <v>1422</v>
      </c>
      <c r="X500" s="71">
        <f>RANK(Table5[[#This Row],[zScore]],Table5[[#All],[zScore]])</f>
        <v>522</v>
      </c>
      <c r="Y500" s="68">
        <f>IFERROR(INDEX(DraftResults[[#All],[OVR]],MATCH(Table5[[#This Row],[PID]],DraftResults[[#All],[Player ID]],0)),"")</f>
        <v>487</v>
      </c>
      <c r="Z500" s="7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15</v>
      </c>
      <c r="AA500" s="68">
        <f>IFERROR(INDEX(DraftResults[[#All],[Pick in Round]],MATCH(Table5[[#This Row],[PID]],DraftResults[[#All],[Player ID]],0)),"")</f>
        <v>20</v>
      </c>
      <c r="AB500" s="68" t="str">
        <f>IFERROR(INDEX(DraftResults[[#All],[Team Name]],MATCH(Table5[[#This Row],[PID]],DraftResults[[#All],[Player ID]],0)),"")</f>
        <v>Florida Farstriders</v>
      </c>
      <c r="AC500" s="68">
        <f>IF(Table5[[#This Row],[Ovr]]="","",IF(Table5[[#This Row],[cmbList]]="","",Table5[[#This Row],[cmbList]]-Table5[[#This Row],[Ovr]]))</f>
        <v>935</v>
      </c>
      <c r="AD500" s="74" t="str">
        <f>IF(ISERROR(VLOOKUP($AB500&amp;"-"&amp;$E500&amp;" "&amp;F500,Bonuses!$B$1:$G$1006,4,FALSE)),"",INT(VLOOKUP($AB500&amp;"-"&amp;$E500&amp;" "&amp;$F500,Bonuses!$B$1:$G$1006,4,FALSE)))</f>
        <v/>
      </c>
      <c r="AE500" s="68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15.20 (487) - RP Werner Bray</v>
      </c>
    </row>
    <row r="501" spans="1:31" s="50" customFormat="1" x14ac:dyDescent="0.3">
      <c r="A501" s="50">
        <v>6147</v>
      </c>
      <c r="B501" s="50">
        <f>COUNTIF(Table5[PID],A501)</f>
        <v>1</v>
      </c>
      <c r="C501" s="50" t="str">
        <f>IF(COUNTIF(Table3[[#All],[PID]],A501)&gt;0,"P","B")</f>
        <v>P</v>
      </c>
      <c r="D501" s="59" t="str">
        <f>IF($C501="B",INDEX(Batters[[#All],[POS]],MATCH(Table5[[#This Row],[PID]],Batters[[#All],[PID]],0)),INDEX(Table3[[#All],[POS]],MATCH(Table5[[#This Row],[PID]],Table3[[#All],[PID]],0)))</f>
        <v>SP</v>
      </c>
      <c r="E501" s="52" t="str">
        <f>IF($C501="B",INDEX(Batters[[#All],[First]],MATCH(Table5[[#This Row],[PID]],Batters[[#All],[PID]],0)),INDEX(Table3[[#All],[First]],MATCH(Table5[[#This Row],[PID]],Table3[[#All],[PID]],0)))</f>
        <v>Kyle</v>
      </c>
      <c r="F501" s="50" t="str">
        <f>IF($C501="B",INDEX(Batters[[#All],[Last]],MATCH(A501,Batters[[#All],[PID]],0)),INDEX(Table3[[#All],[Last]],MATCH(A501,Table3[[#All],[PID]],0)))</f>
        <v>Dunnage</v>
      </c>
      <c r="G501" s="56">
        <f>IF($C501="B",INDEX(Batters[[#All],[Age]],MATCH(Table5[[#This Row],[PID]],Batters[[#All],[PID]],0)),INDEX(Table3[[#All],[Age]],MATCH(Table5[[#This Row],[PID]],Table3[[#All],[PID]],0)))</f>
        <v>21</v>
      </c>
      <c r="H501" s="52" t="str">
        <f>IF($C501="B",INDEX(Batters[[#All],[B]],MATCH(Table5[[#This Row],[PID]],Batters[[#All],[PID]],0)),INDEX(Table3[[#All],[B]],MATCH(Table5[[#This Row],[PID]],Table3[[#All],[PID]],0)))</f>
        <v>S</v>
      </c>
      <c r="I501" s="52" t="str">
        <f>IF($C501="B",INDEX(Batters[[#All],[T]],MATCH(Table5[[#This Row],[PID]],Batters[[#All],[PID]],0)),INDEX(Table3[[#All],[T]],MATCH(Table5[[#This Row],[PID]],Table3[[#All],[PID]],0)))</f>
        <v>R</v>
      </c>
      <c r="J501" s="52" t="str">
        <f>IF($C501="B",INDEX(Batters[[#All],[WE]],MATCH(Table5[[#This Row],[PID]],Batters[[#All],[PID]],0)),INDEX(Table3[[#All],[WE]],MATCH(Table5[[#This Row],[PID]],Table3[[#All],[PID]],0)))</f>
        <v>Normal</v>
      </c>
      <c r="K501" s="52" t="str">
        <f>IF($C501="B",INDEX(Batters[[#All],[INT]],MATCH(Table5[[#This Row],[PID]],Batters[[#All],[PID]],0)),INDEX(Table3[[#All],[INT]],MATCH(Table5[[#This Row],[PID]],Table3[[#All],[PID]],0)))</f>
        <v>Normal</v>
      </c>
      <c r="L501" s="60">
        <f>IF($C501="B",INDEX(Batters[[#All],[CON P]],MATCH(Table5[[#This Row],[PID]],Batters[[#All],[PID]],0)),INDEX(Table3[[#All],[STU P]],MATCH(Table5[[#This Row],[PID]],Table3[[#All],[PID]],0)))</f>
        <v>4</v>
      </c>
      <c r="M501" s="56">
        <f>IF($C501="B",INDEX(Batters[[#All],[GAP P]],MATCH(Table5[[#This Row],[PID]],Batters[[#All],[PID]],0)),INDEX(Table3[[#All],[MOV P]],MATCH(Table5[[#This Row],[PID]],Table3[[#All],[PID]],0)))</f>
        <v>1</v>
      </c>
      <c r="N501" s="56">
        <f>IF($C501="B",INDEX(Batters[[#All],[POW P]],MATCH(Table5[[#This Row],[PID]],Batters[[#All],[PID]],0)),INDEX(Table3[[#All],[CON P]],MATCH(Table5[[#This Row],[PID]],Table3[[#All],[PID]],0)))</f>
        <v>4</v>
      </c>
      <c r="O501" s="56" t="str">
        <f>IF($C501="B",INDEX(Batters[[#All],[EYE P]],MATCH(Table5[[#This Row],[PID]],Batters[[#All],[PID]],0)),INDEX(Table3[[#All],[VELO]],MATCH(Table5[[#This Row],[PID]],Table3[[#All],[PID]],0)))</f>
        <v>91-93 Mph</v>
      </c>
      <c r="P501" s="56">
        <f>IF($C501="B",INDEX(Batters[[#All],[K P]],MATCH(Table5[[#This Row],[PID]],Batters[[#All],[PID]],0)),INDEX(Table3[[#All],[STM]],MATCH(Table5[[#This Row],[PID]],Table3[[#All],[PID]],0)))</f>
        <v>6</v>
      </c>
      <c r="Q501" s="61">
        <f>IF($C501="B",INDEX(Batters[[#All],[Tot]],MATCH(Table5[[#This Row],[PID]],Batters[[#All],[PID]],0)),INDEX(Table3[[#All],[Tot]],MATCH(Table5[[#This Row],[PID]],Table3[[#All],[PID]],0)))</f>
        <v>32.47207597883245</v>
      </c>
      <c r="R501" s="52">
        <f>IF($C501="B",INDEX(Batters[[#All],[zScore]],MATCH(Table5[[#This Row],[PID]],Batters[[#All],[PID]],0)),INDEX(Table3[[#All],[zScore]],MATCH(Table5[[#This Row],[PID]],Table3[[#All],[PID]],0)))</f>
        <v>-0.37956955951118698</v>
      </c>
      <c r="S501" s="58" t="str">
        <f>IF($C501="B",INDEX(Batters[[#All],[DEM]],MATCH(Table5[[#This Row],[PID]],Batters[[#All],[PID]],0)),INDEX(Table3[[#All],[DEM]],MATCH(Table5[[#This Row],[PID]],Table3[[#All],[PID]],0)))</f>
        <v>-</v>
      </c>
      <c r="T501" s="62">
        <f>IF($C501="B",INDEX(Batters[[#All],[Rnk]],MATCH(Table5[[#This Row],[PID]],Batters[[#All],[PID]],0)),INDEX(Table3[[#All],[Rnk]],MATCH(Table5[[#This Row],[PID]],Table3[[#All],[PID]],0)))</f>
        <v>900</v>
      </c>
      <c r="U501" s="67">
        <f>IF($C501="B",VLOOKUP($A501,Bat!$A$4:$BA$1314,47,FALSE),VLOOKUP($A501,Pit!$A$4:$BF$1214,56,FALSE))</f>
        <v>177</v>
      </c>
      <c r="V501" s="50">
        <f>IF($C501="B",VLOOKUP($A501,Bat!$A$4:$BA$1314,48,FALSE),VLOOKUP($A501,Pit!$A$4:$BF$1214,57,FALSE))</f>
        <v>0</v>
      </c>
      <c r="W501" s="68">
        <f>IF(Table5[[#This Row],[posRnk]]=999,9999,Table5[[#This Row],[posRnk]]+Table5[[#This Row],[zRnk]]+IF($W$3&lt;&gt;Table5[[#This Row],[Type]],50,0))</f>
        <v>1423</v>
      </c>
      <c r="X501" s="51">
        <f>RANK(Table5[[#This Row],[zScore]],Table5[[#All],[zScore]])</f>
        <v>523</v>
      </c>
      <c r="Y501" s="50">
        <f>IFERROR(INDEX(DraftResults[[#All],[OVR]],MATCH(Table5[[#This Row],[PID]],DraftResults[[#All],[Player ID]],0)),"")</f>
        <v>572</v>
      </c>
      <c r="Z501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18</v>
      </c>
      <c r="AA501" s="50">
        <f>IFERROR(INDEX(DraftResults[[#All],[Pick in Round]],MATCH(Table5[[#This Row],[PID]],DraftResults[[#All],[Player ID]],0)),"")</f>
        <v>3</v>
      </c>
      <c r="AB501" s="50" t="str">
        <f>IFERROR(INDEX(DraftResults[[#All],[Team Name]],MATCH(Table5[[#This Row],[PID]],DraftResults[[#All],[Player ID]],0)),"")</f>
        <v>Okinawa Shisa</v>
      </c>
      <c r="AC501" s="50">
        <f>IF(Table5[[#This Row],[Ovr]]="","",IF(Table5[[#This Row],[cmbList]]="","",Table5[[#This Row],[cmbList]]-Table5[[#This Row],[Ovr]]))</f>
        <v>851</v>
      </c>
      <c r="AD501" s="54" t="str">
        <f>IF(ISERROR(VLOOKUP($AB501&amp;"-"&amp;$E501&amp;" "&amp;F501,Bonuses!$B$1:$G$1006,4,FALSE)),"",INT(VLOOKUP($AB501&amp;"-"&amp;$E501&amp;" "&amp;$F501,Bonuses!$B$1:$G$1006,4,FALSE)))</f>
        <v/>
      </c>
      <c r="AE501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18.3 (572) - SP Kyle Dunnage</v>
      </c>
    </row>
    <row r="502" spans="1:31" s="50" customFormat="1" x14ac:dyDescent="0.3">
      <c r="A502" s="50">
        <v>12916</v>
      </c>
      <c r="B502" s="50">
        <f>COUNTIF(Table5[PID],A502)</f>
        <v>1</v>
      </c>
      <c r="C502" s="50" t="str">
        <f>IF(COUNTIF(Table3[[#All],[PID]],A502)&gt;0,"P","B")</f>
        <v>P</v>
      </c>
      <c r="D502" s="59" t="str">
        <f>IF($C502="B",INDEX(Batters[[#All],[POS]],MATCH(Table5[[#This Row],[PID]],Batters[[#All],[PID]],0)),INDEX(Table3[[#All],[POS]],MATCH(Table5[[#This Row],[PID]],Table3[[#All],[PID]],0)))</f>
        <v>RP</v>
      </c>
      <c r="E502" s="52" t="str">
        <f>IF($C502="B",INDEX(Batters[[#All],[First]],MATCH(Table5[[#This Row],[PID]],Batters[[#All],[PID]],0)),INDEX(Table3[[#All],[First]],MATCH(Table5[[#This Row],[PID]],Table3[[#All],[PID]],0)))</f>
        <v>Mokichi</v>
      </c>
      <c r="F502" s="50" t="str">
        <f>IF($C502="B",INDEX(Batters[[#All],[Last]],MATCH(A502,Batters[[#All],[PID]],0)),INDEX(Table3[[#All],[Last]],MATCH(A502,Table3[[#All],[PID]],0)))</f>
        <v>Kimura</v>
      </c>
      <c r="G502" s="56">
        <f>IF($C502="B",INDEX(Batters[[#All],[Age]],MATCH(Table5[[#This Row],[PID]],Batters[[#All],[PID]],0)),INDEX(Table3[[#All],[Age]],MATCH(Table5[[#This Row],[PID]],Table3[[#All],[PID]],0)))</f>
        <v>21</v>
      </c>
      <c r="H502" s="52" t="str">
        <f>IF($C502="B",INDEX(Batters[[#All],[B]],MATCH(Table5[[#This Row],[PID]],Batters[[#All],[PID]],0)),INDEX(Table3[[#All],[B]],MATCH(Table5[[#This Row],[PID]],Table3[[#All],[PID]],0)))</f>
        <v>R</v>
      </c>
      <c r="I502" s="52" t="str">
        <f>IF($C502="B",INDEX(Batters[[#All],[T]],MATCH(Table5[[#This Row],[PID]],Batters[[#All],[PID]],0)),INDEX(Table3[[#All],[T]],MATCH(Table5[[#This Row],[PID]],Table3[[#All],[PID]],0)))</f>
        <v>R</v>
      </c>
      <c r="J502" s="52" t="str">
        <f>IF($C502="B",INDEX(Batters[[#All],[WE]],MATCH(Table5[[#This Row],[PID]],Batters[[#All],[PID]],0)),INDEX(Table3[[#All],[WE]],MATCH(Table5[[#This Row],[PID]],Table3[[#All],[PID]],0)))</f>
        <v>Low</v>
      </c>
      <c r="K502" s="52" t="str">
        <f>IF($C502="B",INDEX(Batters[[#All],[INT]],MATCH(Table5[[#This Row],[PID]],Batters[[#All],[PID]],0)),INDEX(Table3[[#All],[INT]],MATCH(Table5[[#This Row],[PID]],Table3[[#All],[PID]],0)))</f>
        <v>Normal</v>
      </c>
      <c r="L502" s="60">
        <f>IF($C502="B",INDEX(Batters[[#All],[CON P]],MATCH(Table5[[#This Row],[PID]],Batters[[#All],[PID]],0)),INDEX(Table3[[#All],[STU P]],MATCH(Table5[[#This Row],[PID]],Table3[[#All],[PID]],0)))</f>
        <v>4</v>
      </c>
      <c r="M502" s="56">
        <f>IF($C502="B",INDEX(Batters[[#All],[GAP P]],MATCH(Table5[[#This Row],[PID]],Batters[[#All],[PID]],0)),INDEX(Table3[[#All],[MOV P]],MATCH(Table5[[#This Row],[PID]],Table3[[#All],[PID]],0)))</f>
        <v>2</v>
      </c>
      <c r="N502" s="56">
        <f>IF($C502="B",INDEX(Batters[[#All],[POW P]],MATCH(Table5[[#This Row],[PID]],Batters[[#All],[PID]],0)),INDEX(Table3[[#All],[CON P]],MATCH(Table5[[#This Row],[PID]],Table3[[#All],[PID]],0)))</f>
        <v>4</v>
      </c>
      <c r="O502" s="56" t="str">
        <f>IF($C502="B",INDEX(Batters[[#All],[EYE P]],MATCH(Table5[[#This Row],[PID]],Batters[[#All],[PID]],0)),INDEX(Table3[[#All],[VELO]],MATCH(Table5[[#This Row],[PID]],Table3[[#All],[PID]],0)))</f>
        <v>89-91 Mph</v>
      </c>
      <c r="P502" s="56">
        <f>IF($C502="B",INDEX(Batters[[#All],[K P]],MATCH(Table5[[#This Row],[PID]],Batters[[#All],[PID]],0)),INDEX(Table3[[#All],[STM]],MATCH(Table5[[#This Row],[PID]],Table3[[#All],[PID]],0)))</f>
        <v>10</v>
      </c>
      <c r="Q502" s="61">
        <f>IF($C502="B",INDEX(Batters[[#All],[Tot]],MATCH(Table5[[#This Row],[PID]],Batters[[#All],[PID]],0)),INDEX(Table3[[#All],[Tot]],MATCH(Table5[[#This Row],[PID]],Table3[[#All],[PID]],0)))</f>
        <v>33.295749891592763</v>
      </c>
      <c r="R502" s="52">
        <f>IF($C502="B",INDEX(Batters[[#All],[zScore]],MATCH(Table5[[#This Row],[PID]],Batters[[#All],[PID]],0)),INDEX(Table3[[#All],[zScore]],MATCH(Table5[[#This Row],[PID]],Table3[[#All],[PID]],0)))</f>
        <v>-0.32091818412865103</v>
      </c>
      <c r="S502" s="58" t="str">
        <f>IF($C502="B",INDEX(Batters[[#All],[DEM]],MATCH(Table5[[#This Row],[PID]],Batters[[#All],[PID]],0)),INDEX(Table3[[#All],[DEM]],MATCH(Table5[[#This Row],[PID]],Table3[[#All],[PID]],0)))</f>
        <v>-</v>
      </c>
      <c r="T502" s="62">
        <f>IF($C502="B",INDEX(Batters[[#All],[Rnk]],MATCH(Table5[[#This Row],[PID]],Batters[[#All],[PID]],0)),INDEX(Table3[[#All],[Rnk]],MATCH(Table5[[#This Row],[PID]],Table3[[#All],[PID]],0)))</f>
        <v>930</v>
      </c>
      <c r="U502" s="67">
        <f>IF($C502="B",VLOOKUP($A502,Bat!$A$4:$BA$1314,47,FALSE),VLOOKUP($A502,Pit!$A$4:$BF$1214,56,FALSE))</f>
        <v>309</v>
      </c>
      <c r="V502" s="50">
        <f>IF($C502="B",VLOOKUP($A502,Bat!$A$4:$BA$1314,48,FALSE),VLOOKUP($A502,Pit!$A$4:$BF$1214,57,FALSE))</f>
        <v>0</v>
      </c>
      <c r="W502" s="68">
        <f>IF(Table5[[#This Row],[posRnk]]=999,9999,Table5[[#This Row],[posRnk]]+Table5[[#This Row],[zRnk]]+IF($W$3&lt;&gt;Table5[[#This Row],[Type]],50,0))</f>
        <v>1424</v>
      </c>
      <c r="X502" s="51">
        <f>RANK(Table5[[#This Row],[zScore]],Table5[[#All],[zScore]])</f>
        <v>494</v>
      </c>
      <c r="Y502" s="50">
        <f>IFERROR(INDEX(DraftResults[[#All],[OVR]],MATCH(Table5[[#This Row],[PID]],DraftResults[[#All],[Player ID]],0)),"")</f>
        <v>399</v>
      </c>
      <c r="Z502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12</v>
      </c>
      <c r="AA502" s="50">
        <f>IFERROR(INDEX(DraftResults[[#All],[Pick in Round]],MATCH(Table5[[#This Row],[PID]],DraftResults[[#All],[Player ID]],0)),"")</f>
        <v>34</v>
      </c>
      <c r="AB502" s="50" t="str">
        <f>IFERROR(INDEX(DraftResults[[#All],[Team Name]],MATCH(Table5[[#This Row],[PID]],DraftResults[[#All],[Player ID]],0)),"")</f>
        <v>Gloucester Fishermen</v>
      </c>
      <c r="AC502" s="50">
        <f>IF(Table5[[#This Row],[Ovr]]="","",IF(Table5[[#This Row],[cmbList]]="","",Table5[[#This Row],[cmbList]]-Table5[[#This Row],[Ovr]]))</f>
        <v>1025</v>
      </c>
      <c r="AD502" s="54" t="str">
        <f>IF(ISERROR(VLOOKUP($AB502&amp;"-"&amp;$E502&amp;" "&amp;F502,Bonuses!$B$1:$G$1006,4,FALSE)),"",INT(VLOOKUP($AB502&amp;"-"&amp;$E502&amp;" "&amp;$F502,Bonuses!$B$1:$G$1006,4,FALSE)))</f>
        <v/>
      </c>
      <c r="AE502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12.34 (399) - RP Mokichi Kimura</v>
      </c>
    </row>
    <row r="503" spans="1:31" s="50" customFormat="1" x14ac:dyDescent="0.3">
      <c r="A503" s="67">
        <v>20935</v>
      </c>
      <c r="B503" s="68">
        <f>COUNTIF(Table5[PID],A503)</f>
        <v>1</v>
      </c>
      <c r="C503" s="68" t="str">
        <f>IF(COUNTIF(Table3[[#All],[PID]],A503)&gt;0,"P","B")</f>
        <v>P</v>
      </c>
      <c r="D503" s="59" t="str">
        <f>IF($C503="B",INDEX(Batters[[#All],[POS]],MATCH(Table5[[#This Row],[PID]],Batters[[#All],[PID]],0)),INDEX(Table3[[#All],[POS]],MATCH(Table5[[#This Row],[PID]],Table3[[#All],[PID]],0)))</f>
        <v>RP</v>
      </c>
      <c r="E503" s="52" t="str">
        <f>IF($C503="B",INDEX(Batters[[#All],[First]],MATCH(Table5[[#This Row],[PID]],Batters[[#All],[PID]],0)),INDEX(Table3[[#All],[First]],MATCH(Table5[[#This Row],[PID]],Table3[[#All],[PID]],0)))</f>
        <v>Monte</v>
      </c>
      <c r="F503" s="55" t="str">
        <f>IF($C503="B",INDEX(Batters[[#All],[Last]],MATCH(A503,Batters[[#All],[PID]],0)),INDEX(Table3[[#All],[Last]],MATCH(A503,Table3[[#All],[PID]],0)))</f>
        <v>Paul</v>
      </c>
      <c r="G503" s="56">
        <f>IF($C503="B",INDEX(Batters[[#All],[Age]],MATCH(Table5[[#This Row],[PID]],Batters[[#All],[PID]],0)),INDEX(Table3[[#All],[Age]],MATCH(Table5[[#This Row],[PID]],Table3[[#All],[PID]],0)))</f>
        <v>17</v>
      </c>
      <c r="H503" s="52" t="str">
        <f>IF($C503="B",INDEX(Batters[[#All],[B]],MATCH(Table5[[#This Row],[PID]],Batters[[#All],[PID]],0)),INDEX(Table3[[#All],[B]],MATCH(Table5[[#This Row],[PID]],Table3[[#All],[PID]],0)))</f>
        <v>R</v>
      </c>
      <c r="I503" s="52" t="str">
        <f>IF($C503="B",INDEX(Batters[[#All],[T]],MATCH(Table5[[#This Row],[PID]],Batters[[#All],[PID]],0)),INDEX(Table3[[#All],[T]],MATCH(Table5[[#This Row],[PID]],Table3[[#All],[PID]],0)))</f>
        <v>R</v>
      </c>
      <c r="J503" s="69" t="str">
        <f>IF($C503="B",INDEX(Batters[[#All],[WE]],MATCH(Table5[[#This Row],[PID]],Batters[[#All],[PID]],0)),INDEX(Table3[[#All],[WE]],MATCH(Table5[[#This Row],[PID]],Table3[[#All],[PID]],0)))</f>
        <v>Low</v>
      </c>
      <c r="K503" s="52" t="str">
        <f>IF($C503="B",INDEX(Batters[[#All],[INT]],MATCH(Table5[[#This Row],[PID]],Batters[[#All],[PID]],0)),INDEX(Table3[[#All],[INT]],MATCH(Table5[[#This Row],[PID]],Table3[[#All],[PID]],0)))</f>
        <v>Normal</v>
      </c>
      <c r="L503" s="60">
        <f>IF($C503="B",INDEX(Batters[[#All],[CON P]],MATCH(Table5[[#This Row],[PID]],Batters[[#All],[PID]],0)),INDEX(Table3[[#All],[STU P]],MATCH(Table5[[#This Row],[PID]],Table3[[#All],[PID]],0)))</f>
        <v>5</v>
      </c>
      <c r="M503" s="70">
        <f>IF($C503="B",INDEX(Batters[[#All],[GAP P]],MATCH(Table5[[#This Row],[PID]],Batters[[#All],[PID]],0)),INDEX(Table3[[#All],[MOV P]],MATCH(Table5[[#This Row],[PID]],Table3[[#All],[PID]],0)))</f>
        <v>1</v>
      </c>
      <c r="N503" s="70">
        <f>IF($C503="B",INDEX(Batters[[#All],[POW P]],MATCH(Table5[[#This Row],[PID]],Batters[[#All],[PID]],0)),INDEX(Table3[[#All],[CON P]],MATCH(Table5[[#This Row],[PID]],Table3[[#All],[PID]],0)))</f>
        <v>4</v>
      </c>
      <c r="O503" s="70" t="str">
        <f>IF($C503="B",INDEX(Batters[[#All],[EYE P]],MATCH(Table5[[#This Row],[PID]],Batters[[#All],[PID]],0)),INDEX(Table3[[#All],[VELO]],MATCH(Table5[[#This Row],[PID]],Table3[[#All],[PID]],0)))</f>
        <v>92-94 Mph</v>
      </c>
      <c r="P503" s="56">
        <f>IF($C503="B",INDEX(Batters[[#All],[K P]],MATCH(Table5[[#This Row],[PID]],Batters[[#All],[PID]],0)),INDEX(Table3[[#All],[STM]],MATCH(Table5[[#This Row],[PID]],Table3[[#All],[PID]],0)))</f>
        <v>4</v>
      </c>
      <c r="Q503" s="61">
        <f>IF($C503="B",INDEX(Batters[[#All],[Tot]],MATCH(Table5[[#This Row],[PID]],Batters[[#All],[PID]],0)),INDEX(Table3[[#All],[Tot]],MATCH(Table5[[#This Row],[PID]],Table3[[#All],[PID]],0)))</f>
        <v>33.293722016844377</v>
      </c>
      <c r="R503" s="52">
        <f>IF($C503="B",INDEX(Batters[[#All],[zScore]],MATCH(Table5[[#This Row],[PID]],Batters[[#All],[PID]],0)),INDEX(Table3[[#All],[zScore]],MATCH(Table5[[#This Row],[PID]],Table3[[#All],[PID]],0)))</f>
        <v>-0.32106258307252161</v>
      </c>
      <c r="S503" s="75" t="str">
        <f>IF($C503="B",INDEX(Batters[[#All],[DEM]],MATCH(Table5[[#This Row],[PID]],Batters[[#All],[PID]],0)),INDEX(Table3[[#All],[DEM]],MATCH(Table5[[#This Row],[PID]],Table3[[#All],[PID]],0)))</f>
        <v>$90k</v>
      </c>
      <c r="T503" s="72">
        <f>IF($C503="B",INDEX(Batters[[#All],[Rnk]],MATCH(Table5[[#This Row],[PID]],Batters[[#All],[PID]],0)),INDEX(Table3[[#All],[Rnk]],MATCH(Table5[[#This Row],[PID]],Table3[[#All],[PID]],0)))</f>
        <v>930</v>
      </c>
      <c r="U503" s="67">
        <f>IF($C503="B",VLOOKUP($A503,Bat!$A$4:$BA$1314,47,FALSE),VLOOKUP($A503,Pit!$A$4:$BF$1214,56,FALSE))</f>
        <v>310</v>
      </c>
      <c r="V503" s="50">
        <f>IF($C503="B",VLOOKUP($A503,Bat!$A$4:$BA$1314,48,FALSE),VLOOKUP($A503,Pit!$A$4:$BF$1214,57,FALSE))</f>
        <v>0</v>
      </c>
      <c r="W503" s="68">
        <f>IF(Table5[[#This Row],[posRnk]]=999,9999,Table5[[#This Row],[posRnk]]+Table5[[#This Row],[zRnk]]+IF($W$3&lt;&gt;Table5[[#This Row],[Type]],50,0))</f>
        <v>1425</v>
      </c>
      <c r="X503" s="71">
        <f>RANK(Table5[[#This Row],[zScore]],Table5[[#All],[zScore]])</f>
        <v>495</v>
      </c>
      <c r="Y503" s="68" t="str">
        <f>IFERROR(INDEX(DraftResults[[#All],[OVR]],MATCH(Table5[[#This Row],[PID]],DraftResults[[#All],[Player ID]],0)),"")</f>
        <v/>
      </c>
      <c r="Z503" s="7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/>
      </c>
      <c r="AA503" s="68" t="str">
        <f>IFERROR(INDEX(DraftResults[[#All],[Pick in Round]],MATCH(Table5[[#This Row],[PID]],DraftResults[[#All],[Player ID]],0)),"")</f>
        <v/>
      </c>
      <c r="AB503" s="68" t="str">
        <f>IFERROR(INDEX(DraftResults[[#All],[Team Name]],MATCH(Table5[[#This Row],[PID]],DraftResults[[#All],[Player ID]],0)),"")</f>
        <v/>
      </c>
      <c r="AC503" s="68" t="str">
        <f>IF(Table5[[#This Row],[Ovr]]="","",IF(Table5[[#This Row],[cmbList]]="","",Table5[[#This Row],[cmbList]]-Table5[[#This Row],[Ovr]]))</f>
        <v/>
      </c>
      <c r="AD503" s="74" t="str">
        <f>IF(ISERROR(VLOOKUP($AB503&amp;"-"&amp;$E503&amp;" "&amp;F503,Bonuses!$B$1:$G$1006,4,FALSE)),"",INT(VLOOKUP($AB503&amp;"-"&amp;$E503&amp;" "&amp;$F503,Bonuses!$B$1:$G$1006,4,FALSE)))</f>
        <v/>
      </c>
      <c r="AE503" s="68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/>
      </c>
    </row>
    <row r="504" spans="1:31" s="50" customFormat="1" x14ac:dyDescent="0.3">
      <c r="A504" s="67">
        <v>7607</v>
      </c>
      <c r="B504" s="68">
        <f>COUNTIF(Table5[PID],A504)</f>
        <v>1</v>
      </c>
      <c r="C504" s="68" t="str">
        <f>IF(COUNTIF(Table3[[#All],[PID]],A504)&gt;0,"P","B")</f>
        <v>B</v>
      </c>
      <c r="D504" s="59" t="str">
        <f>IF($C504="B",INDEX(Batters[[#All],[POS]],MATCH(Table5[[#This Row],[PID]],Batters[[#All],[PID]],0)),INDEX(Table3[[#All],[POS]],MATCH(Table5[[#This Row],[PID]],Table3[[#All],[PID]],0)))</f>
        <v>C</v>
      </c>
      <c r="E504" s="52" t="str">
        <f>IF($C504="B",INDEX(Batters[[#All],[First]],MATCH(Table5[[#This Row],[PID]],Batters[[#All],[PID]],0)),INDEX(Table3[[#All],[First]],MATCH(Table5[[#This Row],[PID]],Table3[[#All],[PID]],0)))</f>
        <v>John</v>
      </c>
      <c r="F504" s="55" t="str">
        <f>IF($C504="B",INDEX(Batters[[#All],[Last]],MATCH(A504,Batters[[#All],[PID]],0)),INDEX(Table3[[#All],[Last]],MATCH(A504,Table3[[#All],[PID]],0)))</f>
        <v>Graves</v>
      </c>
      <c r="G504" s="56">
        <f>IF($C504="B",INDEX(Batters[[#All],[Age]],MATCH(Table5[[#This Row],[PID]],Batters[[#All],[PID]],0)),INDEX(Table3[[#All],[Age]],MATCH(Table5[[#This Row],[PID]],Table3[[#All],[PID]],0)))</f>
        <v>21</v>
      </c>
      <c r="H504" s="52" t="str">
        <f>IF($C504="B",INDEX(Batters[[#All],[B]],MATCH(Table5[[#This Row],[PID]],Batters[[#All],[PID]],0)),INDEX(Table3[[#All],[B]],MATCH(Table5[[#This Row],[PID]],Table3[[#All],[PID]],0)))</f>
        <v>R</v>
      </c>
      <c r="I504" s="52" t="str">
        <f>IF($C504="B",INDEX(Batters[[#All],[T]],MATCH(Table5[[#This Row],[PID]],Batters[[#All],[PID]],0)),INDEX(Table3[[#All],[T]],MATCH(Table5[[#This Row],[PID]],Table3[[#All],[PID]],0)))</f>
        <v>R</v>
      </c>
      <c r="J504" s="69" t="str">
        <f>IF($C504="B",INDEX(Batters[[#All],[WE]],MATCH(Table5[[#This Row],[PID]],Batters[[#All],[PID]],0)),INDEX(Table3[[#All],[WE]],MATCH(Table5[[#This Row],[PID]],Table3[[#All],[PID]],0)))</f>
        <v>Normal</v>
      </c>
      <c r="K504" s="52" t="str">
        <f>IF($C504="B",INDEX(Batters[[#All],[INT]],MATCH(Table5[[#This Row],[PID]],Batters[[#All],[PID]],0)),INDEX(Table3[[#All],[INT]],MATCH(Table5[[#This Row],[PID]],Table3[[#All],[PID]],0)))</f>
        <v>Normal</v>
      </c>
      <c r="L504" s="60">
        <f>IF($C504="B",INDEX(Batters[[#All],[CON P]],MATCH(Table5[[#This Row],[PID]],Batters[[#All],[PID]],0)),INDEX(Table3[[#All],[STU P]],MATCH(Table5[[#This Row],[PID]],Table3[[#All],[PID]],0)))</f>
        <v>3</v>
      </c>
      <c r="M504" s="70">
        <f>IF($C504="B",INDEX(Batters[[#All],[GAP P]],MATCH(Table5[[#This Row],[PID]],Batters[[#All],[PID]],0)),INDEX(Table3[[#All],[MOV P]],MATCH(Table5[[#This Row],[PID]],Table3[[#All],[PID]],0)))</f>
        <v>5</v>
      </c>
      <c r="N504" s="70">
        <f>IF($C504="B",INDEX(Batters[[#All],[POW P]],MATCH(Table5[[#This Row],[PID]],Batters[[#All],[PID]],0)),INDEX(Table3[[#All],[CON P]],MATCH(Table5[[#This Row],[PID]],Table3[[#All],[PID]],0)))</f>
        <v>4</v>
      </c>
      <c r="O504" s="70">
        <f>IF($C504="B",INDEX(Batters[[#All],[EYE P]],MATCH(Table5[[#This Row],[PID]],Batters[[#All],[PID]],0)),INDEX(Table3[[#All],[VELO]],MATCH(Table5[[#This Row],[PID]],Table3[[#All],[PID]],0)))</f>
        <v>6</v>
      </c>
      <c r="P504" s="56">
        <f>IF($C504="B",INDEX(Batters[[#All],[K P]],MATCH(Table5[[#This Row],[PID]],Batters[[#All],[PID]],0)),INDEX(Table3[[#All],[STM]],MATCH(Table5[[#This Row],[PID]],Table3[[#All],[PID]],0)))</f>
        <v>3</v>
      </c>
      <c r="Q504" s="61">
        <f>IF($C504="B",INDEX(Batters[[#All],[Tot]],MATCH(Table5[[#This Row],[PID]],Batters[[#All],[PID]],0)),INDEX(Table3[[#All],[Tot]],MATCH(Table5[[#This Row],[PID]],Table3[[#All],[PID]],0)))</f>
        <v>40.481860467044363</v>
      </c>
      <c r="R504" s="52">
        <f>IF($C504="B",INDEX(Batters[[#All],[zScore]],MATCH(Table5[[#This Row],[PID]],Batters[[#All],[PID]],0)),INDEX(Table3[[#All],[zScore]],MATCH(Table5[[#This Row],[PID]],Table3[[#All],[PID]],0)))</f>
        <v>-0.39946072124599241</v>
      </c>
      <c r="S504" s="75" t="str">
        <f>IF($C504="B",INDEX(Batters[[#All],[DEM]],MATCH(Table5[[#This Row],[PID]],Batters[[#All],[PID]],0)),INDEX(Table3[[#All],[DEM]],MATCH(Table5[[#This Row],[PID]],Table3[[#All],[PID]],0)))</f>
        <v>$85k</v>
      </c>
      <c r="T504" s="72">
        <f>IF($C504="B",INDEX(Batters[[#All],[Rnk]],MATCH(Table5[[#This Row],[PID]],Batters[[#All],[PID]],0)),INDEX(Table3[[#All],[Rnk]],MATCH(Table5[[#This Row],[PID]],Table3[[#All],[PID]],0)))</f>
        <v>900</v>
      </c>
      <c r="U504" s="67">
        <f>IF($C504="B",VLOOKUP($A504,Bat!$A$4:$BA$1314,47,FALSE),VLOOKUP($A504,Pit!$A$4:$BF$1214,56,FALSE))</f>
        <v>201</v>
      </c>
      <c r="V504" s="50">
        <f>IF($C504="B",VLOOKUP($A504,Bat!$A$4:$BA$1314,48,FALSE),VLOOKUP($A504,Pit!$A$4:$BF$1214,57,FALSE))</f>
        <v>0</v>
      </c>
      <c r="W504" s="68">
        <f>IF(Table5[[#This Row],[posRnk]]=999,9999,Table5[[#This Row],[posRnk]]+Table5[[#This Row],[zRnk]]+IF($W$3&lt;&gt;Table5[[#This Row],[Type]],50,0))</f>
        <v>1481</v>
      </c>
      <c r="X504" s="71">
        <f>RANK(Table5[[#This Row],[zScore]],Table5[[#All],[zScore]])</f>
        <v>531</v>
      </c>
      <c r="Y504" s="68">
        <f>IFERROR(INDEX(DraftResults[[#All],[OVR]],MATCH(Table5[[#This Row],[PID]],DraftResults[[#All],[Player ID]],0)),"")</f>
        <v>275</v>
      </c>
      <c r="Z504" s="7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9</v>
      </c>
      <c r="AA504" s="68">
        <f>IFERROR(INDEX(DraftResults[[#All],[Pick in Round]],MATCH(Table5[[#This Row],[PID]],DraftResults[[#All],[Player ID]],0)),"")</f>
        <v>10</v>
      </c>
      <c r="AB504" s="68" t="str">
        <f>IFERROR(INDEX(DraftResults[[#All],[Team Name]],MATCH(Table5[[#This Row],[PID]],DraftResults[[#All],[Player ID]],0)),"")</f>
        <v>London Underground</v>
      </c>
      <c r="AC504" s="68">
        <f>IF(Table5[[#This Row],[Ovr]]="","",IF(Table5[[#This Row],[cmbList]]="","",Table5[[#This Row],[cmbList]]-Table5[[#This Row],[Ovr]]))</f>
        <v>1206</v>
      </c>
      <c r="AD504" s="74" t="str">
        <f>IF(ISERROR(VLOOKUP($AB504&amp;"-"&amp;$E504&amp;" "&amp;F504,Bonuses!$B$1:$G$1006,4,FALSE)),"",INT(VLOOKUP($AB504&amp;"-"&amp;$E504&amp;" "&amp;$F504,Bonuses!$B$1:$G$1006,4,FALSE)))</f>
        <v/>
      </c>
      <c r="AE504" s="68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9.10 (275) - C John Graves</v>
      </c>
    </row>
    <row r="505" spans="1:31" s="50" customFormat="1" x14ac:dyDescent="0.3">
      <c r="A505" s="50">
        <v>14788</v>
      </c>
      <c r="B505" s="50">
        <f>COUNTIF(Table5[PID],A505)</f>
        <v>1</v>
      </c>
      <c r="C505" s="50" t="str">
        <f>IF(COUNTIF(Table3[[#All],[PID]],A505)&gt;0,"P","B")</f>
        <v>B</v>
      </c>
      <c r="D505" s="59" t="str">
        <f>IF($C505="B",INDEX(Batters[[#All],[POS]],MATCH(Table5[[#This Row],[PID]],Batters[[#All],[PID]],0)),INDEX(Table3[[#All],[POS]],MATCH(Table5[[#This Row],[PID]],Table3[[#All],[PID]],0)))</f>
        <v>RF</v>
      </c>
      <c r="E505" s="52" t="str">
        <f>IF($C505="B",INDEX(Batters[[#All],[First]],MATCH(Table5[[#This Row],[PID]],Batters[[#All],[PID]],0)),INDEX(Table3[[#All],[First]],MATCH(Table5[[#This Row],[PID]],Table3[[#All],[PID]],0)))</f>
        <v>Jaime</v>
      </c>
      <c r="F505" s="50" t="str">
        <f>IF($C505="B",INDEX(Batters[[#All],[Last]],MATCH(A505,Batters[[#All],[PID]],0)),INDEX(Table3[[#All],[Last]],MATCH(A505,Table3[[#All],[PID]],0)))</f>
        <v>Miranda</v>
      </c>
      <c r="G505" s="56">
        <f>IF($C505="B",INDEX(Batters[[#All],[Age]],MATCH(Table5[[#This Row],[PID]],Batters[[#All],[PID]],0)),INDEX(Table3[[#All],[Age]],MATCH(Table5[[#This Row],[PID]],Table3[[#All],[PID]],0)))</f>
        <v>21</v>
      </c>
      <c r="H505" s="52" t="str">
        <f>IF($C505="B",INDEX(Batters[[#All],[B]],MATCH(Table5[[#This Row],[PID]],Batters[[#All],[PID]],0)),INDEX(Table3[[#All],[B]],MATCH(Table5[[#This Row],[PID]],Table3[[#All],[PID]],0)))</f>
        <v>L</v>
      </c>
      <c r="I505" s="52" t="str">
        <f>IF($C505="B",INDEX(Batters[[#All],[T]],MATCH(Table5[[#This Row],[PID]],Batters[[#All],[PID]],0)),INDEX(Table3[[#All],[T]],MATCH(Table5[[#This Row],[PID]],Table3[[#All],[PID]],0)))</f>
        <v>L</v>
      </c>
      <c r="J505" s="52" t="str">
        <f>IF($C505="B",INDEX(Batters[[#All],[WE]],MATCH(Table5[[#This Row],[PID]],Batters[[#All],[PID]],0)),INDEX(Table3[[#All],[WE]],MATCH(Table5[[#This Row],[PID]],Table3[[#All],[PID]],0)))</f>
        <v>Normal</v>
      </c>
      <c r="K505" s="52" t="str">
        <f>IF($C505="B",INDEX(Batters[[#All],[INT]],MATCH(Table5[[#This Row],[PID]],Batters[[#All],[PID]],0)),INDEX(Table3[[#All],[INT]],MATCH(Table5[[#This Row],[PID]],Table3[[#All],[PID]],0)))</f>
        <v>Low</v>
      </c>
      <c r="L505" s="60">
        <f>IF($C505="B",INDEX(Batters[[#All],[CON P]],MATCH(Table5[[#This Row],[PID]],Batters[[#All],[PID]],0)),INDEX(Table3[[#All],[STU P]],MATCH(Table5[[#This Row],[PID]],Table3[[#All],[PID]],0)))</f>
        <v>4</v>
      </c>
      <c r="M505" s="56">
        <f>IF($C505="B",INDEX(Batters[[#All],[GAP P]],MATCH(Table5[[#This Row],[PID]],Batters[[#All],[PID]],0)),INDEX(Table3[[#All],[MOV P]],MATCH(Table5[[#This Row],[PID]],Table3[[#All],[PID]],0)))</f>
        <v>5</v>
      </c>
      <c r="N505" s="56">
        <f>IF($C505="B",INDEX(Batters[[#All],[POW P]],MATCH(Table5[[#This Row],[PID]],Batters[[#All],[PID]],0)),INDEX(Table3[[#All],[CON P]],MATCH(Table5[[#This Row],[PID]],Table3[[#All],[PID]],0)))</f>
        <v>2</v>
      </c>
      <c r="O505" s="56">
        <f>IF($C505="B",INDEX(Batters[[#All],[EYE P]],MATCH(Table5[[#This Row],[PID]],Batters[[#All],[PID]],0)),INDEX(Table3[[#All],[VELO]],MATCH(Table5[[#This Row],[PID]],Table3[[#All],[PID]],0)))</f>
        <v>5</v>
      </c>
      <c r="P505" s="56">
        <f>IF($C505="B",INDEX(Batters[[#All],[K P]],MATCH(Table5[[#This Row],[PID]],Batters[[#All],[PID]],0)),INDEX(Table3[[#All],[STM]],MATCH(Table5[[#This Row],[PID]],Table3[[#All],[PID]],0)))</f>
        <v>4</v>
      </c>
      <c r="Q505" s="61">
        <f>IF($C505="B",INDEX(Batters[[#All],[Tot]],MATCH(Table5[[#This Row],[PID]],Batters[[#All],[PID]],0)),INDEX(Table3[[#All],[Tot]],MATCH(Table5[[#This Row],[PID]],Table3[[#All],[PID]],0)))</f>
        <v>41.034069228839797</v>
      </c>
      <c r="R505" s="52">
        <f>IF($C505="B",INDEX(Batters[[#All],[zScore]],MATCH(Table5[[#This Row],[PID]],Batters[[#All],[PID]],0)),INDEX(Table3[[#All],[zScore]],MATCH(Table5[[#This Row],[PID]],Table3[[#All],[PID]],0)))</f>
        <v>-0.3188558521561185</v>
      </c>
      <c r="S505" s="58" t="str">
        <f>IF($C505="B",INDEX(Batters[[#All],[DEM]],MATCH(Table5[[#This Row],[PID]],Batters[[#All],[PID]],0)),INDEX(Table3[[#All],[DEM]],MATCH(Table5[[#This Row],[PID]],Table3[[#All],[PID]],0)))</f>
        <v>-</v>
      </c>
      <c r="T505" s="62">
        <f>IF($C505="B",INDEX(Batters[[#All],[Rnk]],MATCH(Table5[[#This Row],[PID]],Batters[[#All],[PID]],0)),INDEX(Table3[[#All],[Rnk]],MATCH(Table5[[#This Row],[PID]],Table3[[#All],[PID]],0)))</f>
        <v>940</v>
      </c>
      <c r="U505" s="67">
        <f>IF($C505="B",VLOOKUP($A505,Bat!$A$4:$BA$1314,47,FALSE),VLOOKUP($A505,Pit!$A$4:$BF$1214,56,FALSE))</f>
        <v>416</v>
      </c>
      <c r="V505" s="50">
        <f>IF($C505="B",VLOOKUP($A505,Bat!$A$4:$BA$1314,48,FALSE),VLOOKUP($A505,Pit!$A$4:$BF$1214,57,FALSE))</f>
        <v>0</v>
      </c>
      <c r="W505" s="68">
        <f>IF(Table5[[#This Row],[posRnk]]=999,9999,Table5[[#This Row],[posRnk]]+Table5[[#This Row],[zRnk]]+IF($W$3&lt;&gt;Table5[[#This Row],[Type]],50,0))</f>
        <v>1482</v>
      </c>
      <c r="X505" s="51">
        <f>RANK(Table5[[#This Row],[zScore]],Table5[[#All],[zScore]])</f>
        <v>492</v>
      </c>
      <c r="Y505" s="50">
        <f>IFERROR(INDEX(DraftResults[[#All],[OVR]],MATCH(Table5[[#This Row],[PID]],DraftResults[[#All],[Player ID]],0)),"")</f>
        <v>207</v>
      </c>
      <c r="Z505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7</v>
      </c>
      <c r="AA505" s="50">
        <f>IFERROR(INDEX(DraftResults[[#All],[Pick in Round]],MATCH(Table5[[#This Row],[PID]],DraftResults[[#All],[Player ID]],0)),"")</f>
        <v>6</v>
      </c>
      <c r="AB505" s="50" t="str">
        <f>IFERROR(INDEX(DraftResults[[#All],[Team Name]],MATCH(Table5[[#This Row],[PID]],DraftResults[[#All],[Player ID]],0)),"")</f>
        <v>New Orleans Trendsetters</v>
      </c>
      <c r="AC505" s="50">
        <f>IF(Table5[[#This Row],[Ovr]]="","",IF(Table5[[#This Row],[cmbList]]="","",Table5[[#This Row],[cmbList]]-Table5[[#This Row],[Ovr]]))</f>
        <v>1275</v>
      </c>
      <c r="AD505" s="54" t="str">
        <f>IF(ISERROR(VLOOKUP($AB505&amp;"-"&amp;$E505&amp;" "&amp;F505,Bonuses!$B$1:$G$1006,4,FALSE)),"",INT(VLOOKUP($AB505&amp;"-"&amp;$E505&amp;" "&amp;$F505,Bonuses!$B$1:$G$1006,4,FALSE)))</f>
        <v/>
      </c>
      <c r="AE505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7.6 (207) - RF Jaime Miranda</v>
      </c>
    </row>
    <row r="506" spans="1:31" s="50" customFormat="1" x14ac:dyDescent="0.3">
      <c r="A506" s="50">
        <v>9663</v>
      </c>
      <c r="B506" s="50">
        <f>COUNTIF(Table5[PID],A506)</f>
        <v>1</v>
      </c>
      <c r="C506" s="50" t="str">
        <f>IF(COUNTIF(Table3[[#All],[PID]],A506)&gt;0,"P","B")</f>
        <v>B</v>
      </c>
      <c r="D506" s="59" t="str">
        <f>IF($C506="B",INDEX(Batters[[#All],[POS]],MATCH(Table5[[#This Row],[PID]],Batters[[#All],[PID]],0)),INDEX(Table3[[#All],[POS]],MATCH(Table5[[#This Row],[PID]],Table3[[#All],[PID]],0)))</f>
        <v>SS</v>
      </c>
      <c r="E506" s="52" t="str">
        <f>IF($C506="B",INDEX(Batters[[#All],[First]],MATCH(Table5[[#This Row],[PID]],Batters[[#All],[PID]],0)),INDEX(Table3[[#All],[First]],MATCH(Table5[[#This Row],[PID]],Table3[[#All],[PID]],0)))</f>
        <v>Dave</v>
      </c>
      <c r="F506" s="50" t="str">
        <f>IF($C506="B",INDEX(Batters[[#All],[Last]],MATCH(A506,Batters[[#All],[PID]],0)),INDEX(Table3[[#All],[Last]],MATCH(A506,Table3[[#All],[PID]],0)))</f>
        <v>Tapia</v>
      </c>
      <c r="G506" s="56">
        <f>IF($C506="B",INDEX(Batters[[#All],[Age]],MATCH(Table5[[#This Row],[PID]],Batters[[#All],[PID]],0)),INDEX(Table3[[#All],[Age]],MATCH(Table5[[#This Row],[PID]],Table3[[#All],[PID]],0)))</f>
        <v>18</v>
      </c>
      <c r="H506" s="52" t="str">
        <f>IF($C506="B",INDEX(Batters[[#All],[B]],MATCH(Table5[[#This Row],[PID]],Batters[[#All],[PID]],0)),INDEX(Table3[[#All],[B]],MATCH(Table5[[#This Row],[PID]],Table3[[#All],[PID]],0)))</f>
        <v>S</v>
      </c>
      <c r="I506" s="52" t="str">
        <f>IF($C506="B",INDEX(Batters[[#All],[T]],MATCH(Table5[[#This Row],[PID]],Batters[[#All],[PID]],0)),INDEX(Table3[[#All],[T]],MATCH(Table5[[#This Row],[PID]],Table3[[#All],[PID]],0)))</f>
        <v>R</v>
      </c>
      <c r="J506" s="52" t="str">
        <f>IF($C506="B",INDEX(Batters[[#All],[WE]],MATCH(Table5[[#This Row],[PID]],Batters[[#All],[PID]],0)),INDEX(Table3[[#All],[WE]],MATCH(Table5[[#This Row],[PID]],Table3[[#All],[PID]],0)))</f>
        <v>Low</v>
      </c>
      <c r="K506" s="52" t="str">
        <f>IF($C506="B",INDEX(Batters[[#All],[INT]],MATCH(Table5[[#This Row],[PID]],Batters[[#All],[PID]],0)),INDEX(Table3[[#All],[INT]],MATCH(Table5[[#This Row],[PID]],Table3[[#All],[PID]],0)))</f>
        <v>Normal</v>
      </c>
      <c r="L506" s="60">
        <f>IF($C506="B",INDEX(Batters[[#All],[CON P]],MATCH(Table5[[#This Row],[PID]],Batters[[#All],[PID]],0)),INDEX(Table3[[#All],[STU P]],MATCH(Table5[[#This Row],[PID]],Table3[[#All],[PID]],0)))</f>
        <v>3</v>
      </c>
      <c r="M506" s="56">
        <f>IF($C506="B",INDEX(Batters[[#All],[GAP P]],MATCH(Table5[[#This Row],[PID]],Batters[[#All],[PID]],0)),INDEX(Table3[[#All],[MOV P]],MATCH(Table5[[#This Row],[PID]],Table3[[#All],[PID]],0)))</f>
        <v>3</v>
      </c>
      <c r="N506" s="56">
        <f>IF($C506="B",INDEX(Batters[[#All],[POW P]],MATCH(Table5[[#This Row],[PID]],Batters[[#All],[PID]],0)),INDEX(Table3[[#All],[CON P]],MATCH(Table5[[#This Row],[PID]],Table3[[#All],[PID]],0)))</f>
        <v>3</v>
      </c>
      <c r="O506" s="56">
        <f>IF($C506="B",INDEX(Batters[[#All],[EYE P]],MATCH(Table5[[#This Row],[PID]],Batters[[#All],[PID]],0)),INDEX(Table3[[#All],[VELO]],MATCH(Table5[[#This Row],[PID]],Table3[[#All],[PID]],0)))</f>
        <v>5</v>
      </c>
      <c r="P506" s="56">
        <f>IF($C506="B",INDEX(Batters[[#All],[K P]],MATCH(Table5[[#This Row],[PID]],Batters[[#All],[PID]],0)),INDEX(Table3[[#All],[STM]],MATCH(Table5[[#This Row],[PID]],Table3[[#All],[PID]],0)))</f>
        <v>3</v>
      </c>
      <c r="Q506" s="61">
        <f>IF($C506="B",INDEX(Batters[[#All],[Tot]],MATCH(Table5[[#This Row],[PID]],Batters[[#All],[PID]],0)),INDEX(Table3[[#All],[Tot]],MATCH(Table5[[#This Row],[PID]],Table3[[#All],[PID]],0)))</f>
        <v>40.904169773475829</v>
      </c>
      <c r="R506" s="52">
        <f>IF($C506="B",INDEX(Batters[[#All],[zScore]],MATCH(Table5[[#This Row],[PID]],Batters[[#All],[PID]],0)),INDEX(Table3[[#All],[zScore]],MATCH(Table5[[#This Row],[PID]],Table3[[#All],[PID]],0)))</f>
        <v>-0.33781703009979158</v>
      </c>
      <c r="S506" s="58" t="str">
        <f>IF($C506="B",INDEX(Batters[[#All],[DEM]],MATCH(Table5[[#This Row],[PID]],Batters[[#All],[PID]],0)),INDEX(Table3[[#All],[DEM]],MATCH(Table5[[#This Row],[PID]],Table3[[#All],[PID]],0)))</f>
        <v>$200k</v>
      </c>
      <c r="T506" s="62">
        <f>IF($C506="B",INDEX(Batters[[#All],[Rnk]],MATCH(Table5[[#This Row],[PID]],Batters[[#All],[PID]],0)),INDEX(Table3[[#All],[Rnk]],MATCH(Table5[[#This Row],[PID]],Table3[[#All],[PID]],0)))</f>
        <v>930</v>
      </c>
      <c r="U506" s="67">
        <f>IF($C506="B",VLOOKUP($A506,Bat!$A$4:$BA$1314,47,FALSE),VLOOKUP($A506,Pit!$A$4:$BF$1214,56,FALSE))</f>
        <v>339</v>
      </c>
      <c r="V506" s="50">
        <f>IF($C506="B",VLOOKUP($A506,Bat!$A$4:$BA$1314,48,FALSE),VLOOKUP($A506,Pit!$A$4:$BF$1214,57,FALSE))</f>
        <v>0</v>
      </c>
      <c r="W506" s="68">
        <f>IF(Table5[[#This Row],[posRnk]]=999,9999,Table5[[#This Row],[posRnk]]+Table5[[#This Row],[zRnk]]+IF($W$3&lt;&gt;Table5[[#This Row],[Type]],50,0))</f>
        <v>1484</v>
      </c>
      <c r="X506" s="51">
        <f>RANK(Table5[[#This Row],[zScore]],Table5[[#All],[zScore]])</f>
        <v>504</v>
      </c>
      <c r="Y506" s="50">
        <f>IFERROR(INDEX(DraftResults[[#All],[OVR]],MATCH(Table5[[#This Row],[PID]],DraftResults[[#All],[Player ID]],0)),"")</f>
        <v>451</v>
      </c>
      <c r="Z506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14</v>
      </c>
      <c r="AA506" s="50">
        <f>IFERROR(INDEX(DraftResults[[#All],[Pick in Round]],MATCH(Table5[[#This Row],[PID]],DraftResults[[#All],[Player ID]],0)),"")</f>
        <v>18</v>
      </c>
      <c r="AB506" s="50" t="str">
        <f>IFERROR(INDEX(DraftResults[[#All],[Team Name]],MATCH(Table5[[#This Row],[PID]],DraftResults[[#All],[Player ID]],0)),"")</f>
        <v>San Juan Coqui</v>
      </c>
      <c r="AC506" s="50">
        <f>IF(Table5[[#This Row],[Ovr]]="","",IF(Table5[[#This Row],[cmbList]]="","",Table5[[#This Row],[cmbList]]-Table5[[#This Row],[Ovr]]))</f>
        <v>1033</v>
      </c>
      <c r="AD506" s="54" t="str">
        <f>IF(ISERROR(VLOOKUP($AB506&amp;"-"&amp;$E506&amp;" "&amp;F506,Bonuses!$B$1:$G$1006,4,FALSE)),"",INT(VLOOKUP($AB506&amp;"-"&amp;$E506&amp;" "&amp;$F506,Bonuses!$B$1:$G$1006,4,FALSE)))</f>
        <v/>
      </c>
      <c r="AE506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14.18 (451) - SS Dave Tapia</v>
      </c>
    </row>
    <row r="507" spans="1:31" s="50" customFormat="1" x14ac:dyDescent="0.3">
      <c r="A507" s="50">
        <v>12731</v>
      </c>
      <c r="B507" s="50">
        <f>COUNTIF(Table5[PID],A507)</f>
        <v>1</v>
      </c>
      <c r="C507" s="50" t="str">
        <f>IF(COUNTIF(Table3[[#All],[PID]],A507)&gt;0,"P","B")</f>
        <v>B</v>
      </c>
      <c r="D507" s="59" t="str">
        <f>IF($C507="B",INDEX(Batters[[#All],[POS]],MATCH(Table5[[#This Row],[PID]],Batters[[#All],[PID]],0)),INDEX(Table3[[#All],[POS]],MATCH(Table5[[#This Row],[PID]],Table3[[#All],[PID]],0)))</f>
        <v>SS</v>
      </c>
      <c r="E507" s="52" t="str">
        <f>IF($C507="B",INDEX(Batters[[#All],[First]],MATCH(Table5[[#This Row],[PID]],Batters[[#All],[PID]],0)),INDEX(Table3[[#All],[First]],MATCH(Table5[[#This Row],[PID]],Table3[[#All],[PID]],0)))</f>
        <v>Craig</v>
      </c>
      <c r="F507" s="50" t="str">
        <f>IF($C507="B",INDEX(Batters[[#All],[Last]],MATCH(A507,Batters[[#All],[PID]],0)),INDEX(Table3[[#All],[Last]],MATCH(A507,Table3[[#All],[PID]],0)))</f>
        <v>Fountain</v>
      </c>
      <c r="G507" s="56">
        <f>IF($C507="B",INDEX(Batters[[#All],[Age]],MATCH(Table5[[#This Row],[PID]],Batters[[#All],[PID]],0)),INDEX(Table3[[#All],[Age]],MATCH(Table5[[#This Row],[PID]],Table3[[#All],[PID]],0)))</f>
        <v>18</v>
      </c>
      <c r="H507" s="52" t="str">
        <f>IF($C507="B",INDEX(Batters[[#All],[B]],MATCH(Table5[[#This Row],[PID]],Batters[[#All],[PID]],0)),INDEX(Table3[[#All],[B]],MATCH(Table5[[#This Row],[PID]],Table3[[#All],[PID]],0)))</f>
        <v>R</v>
      </c>
      <c r="I507" s="52" t="str">
        <f>IF($C507="B",INDEX(Batters[[#All],[T]],MATCH(Table5[[#This Row],[PID]],Batters[[#All],[PID]],0)),INDEX(Table3[[#All],[T]],MATCH(Table5[[#This Row],[PID]],Table3[[#All],[PID]],0)))</f>
        <v>R</v>
      </c>
      <c r="J507" s="52" t="str">
        <f>IF($C507="B",INDEX(Batters[[#All],[WE]],MATCH(Table5[[#This Row],[PID]],Batters[[#All],[PID]],0)),INDEX(Table3[[#All],[WE]],MATCH(Table5[[#This Row],[PID]],Table3[[#All],[PID]],0)))</f>
        <v>Normal</v>
      </c>
      <c r="K507" s="52" t="str">
        <f>IF($C507="B",INDEX(Batters[[#All],[INT]],MATCH(Table5[[#This Row],[PID]],Batters[[#All],[PID]],0)),INDEX(Table3[[#All],[INT]],MATCH(Table5[[#This Row],[PID]],Table3[[#All],[PID]],0)))</f>
        <v>Normal</v>
      </c>
      <c r="L507" s="60">
        <f>IF($C507="B",INDEX(Batters[[#All],[CON P]],MATCH(Table5[[#This Row],[PID]],Batters[[#All],[PID]],0)),INDEX(Table3[[#All],[STU P]],MATCH(Table5[[#This Row],[PID]],Table3[[#All],[PID]],0)))</f>
        <v>3</v>
      </c>
      <c r="M507" s="56">
        <f>IF($C507="B",INDEX(Batters[[#All],[GAP P]],MATCH(Table5[[#This Row],[PID]],Batters[[#All],[PID]],0)),INDEX(Table3[[#All],[MOV P]],MATCH(Table5[[#This Row],[PID]],Table3[[#All],[PID]],0)))</f>
        <v>3</v>
      </c>
      <c r="N507" s="56">
        <f>IF($C507="B",INDEX(Batters[[#All],[POW P]],MATCH(Table5[[#This Row],[PID]],Batters[[#All],[PID]],0)),INDEX(Table3[[#All],[CON P]],MATCH(Table5[[#This Row],[PID]],Table3[[#All],[PID]],0)))</f>
        <v>2</v>
      </c>
      <c r="O507" s="56">
        <f>IF($C507="B",INDEX(Batters[[#All],[EYE P]],MATCH(Table5[[#This Row],[PID]],Batters[[#All],[PID]],0)),INDEX(Table3[[#All],[VELO]],MATCH(Table5[[#This Row],[PID]],Table3[[#All],[PID]],0)))</f>
        <v>4</v>
      </c>
      <c r="P507" s="56">
        <f>IF($C507="B",INDEX(Batters[[#All],[K P]],MATCH(Table5[[#This Row],[PID]],Batters[[#All],[PID]],0)),INDEX(Table3[[#All],[STM]],MATCH(Table5[[#This Row],[PID]],Table3[[#All],[PID]],0)))</f>
        <v>4</v>
      </c>
      <c r="Q507" s="61">
        <f>IF($C507="B",INDEX(Batters[[#All],[Tot]],MATCH(Table5[[#This Row],[PID]],Batters[[#All],[PID]],0)),INDEX(Table3[[#All],[Tot]],MATCH(Table5[[#This Row],[PID]],Table3[[#All],[PID]],0)))</f>
        <v>40.435475701211416</v>
      </c>
      <c r="R507" s="52">
        <f>IF($C507="B",INDEX(Batters[[#All],[zScore]],MATCH(Table5[[#This Row],[PID]],Batters[[#All],[PID]],0)),INDEX(Table3[[#All],[zScore]],MATCH(Table5[[#This Row],[PID]],Table3[[#All],[PID]],0)))</f>
        <v>-0.40623141783105349</v>
      </c>
      <c r="S507" s="58" t="str">
        <f>IF($C507="B",INDEX(Batters[[#All],[DEM]],MATCH(Table5[[#This Row],[PID]],Batters[[#All],[PID]],0)),INDEX(Table3[[#All],[DEM]],MATCH(Table5[[#This Row],[PID]],Table3[[#All],[PID]],0)))</f>
        <v>$75k</v>
      </c>
      <c r="T507" s="62">
        <f>IF($C507="B",INDEX(Batters[[#All],[Rnk]],MATCH(Table5[[#This Row],[PID]],Batters[[#All],[PID]],0)),INDEX(Table3[[#All],[Rnk]],MATCH(Table5[[#This Row],[PID]],Table3[[#All],[PID]],0)))</f>
        <v>900</v>
      </c>
      <c r="U507" s="67">
        <f>IF($C507="B",VLOOKUP($A507,Bat!$A$4:$BA$1314,47,FALSE),VLOOKUP($A507,Pit!$A$4:$BF$1214,56,FALSE))</f>
        <v>203</v>
      </c>
      <c r="V507" s="50">
        <f>IF($C507="B",VLOOKUP($A507,Bat!$A$4:$BA$1314,48,FALSE),VLOOKUP($A507,Pit!$A$4:$BF$1214,57,FALSE))</f>
        <v>0</v>
      </c>
      <c r="W507" s="68">
        <f>IF(Table5[[#This Row],[posRnk]]=999,9999,Table5[[#This Row],[posRnk]]+Table5[[#This Row],[zRnk]]+IF($W$3&lt;&gt;Table5[[#This Row],[Type]],50,0))</f>
        <v>1485</v>
      </c>
      <c r="X507" s="51">
        <f>RANK(Table5[[#This Row],[zScore]],Table5[[#All],[zScore]])</f>
        <v>535</v>
      </c>
      <c r="Y507" s="50">
        <f>IFERROR(INDEX(DraftResults[[#All],[OVR]],MATCH(Table5[[#This Row],[PID]],DraftResults[[#All],[Player ID]],0)),"")</f>
        <v>531</v>
      </c>
      <c r="Z507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16</v>
      </c>
      <c r="AA507" s="50">
        <f>IFERROR(INDEX(DraftResults[[#All],[Pick in Round]],MATCH(Table5[[#This Row],[PID]],DraftResults[[#All],[Player ID]],0)),"")</f>
        <v>30</v>
      </c>
      <c r="AB507" s="50" t="str">
        <f>IFERROR(INDEX(DraftResults[[#All],[Team Name]],MATCH(Table5[[#This Row],[PID]],DraftResults[[#All],[Player ID]],0)),"")</f>
        <v>Toyama Wind Dancers</v>
      </c>
      <c r="AC507" s="50">
        <f>IF(Table5[[#This Row],[Ovr]]="","",IF(Table5[[#This Row],[cmbList]]="","",Table5[[#This Row],[cmbList]]-Table5[[#This Row],[Ovr]]))</f>
        <v>954</v>
      </c>
      <c r="AD507" s="54" t="str">
        <f>IF(ISERROR(VLOOKUP($AB507&amp;"-"&amp;$E507&amp;" "&amp;F507,Bonuses!$B$1:$G$1006,4,FALSE)),"",INT(VLOOKUP($AB507&amp;"-"&amp;$E507&amp;" "&amp;$F507,Bonuses!$B$1:$G$1006,4,FALSE)))</f>
        <v/>
      </c>
      <c r="AE507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16.30 (531) - SS Craig Fountain</v>
      </c>
    </row>
    <row r="508" spans="1:31" s="50" customFormat="1" x14ac:dyDescent="0.3">
      <c r="A508" s="67">
        <v>16883</v>
      </c>
      <c r="B508" s="68">
        <f>COUNTIF(Table5[PID],A508)</f>
        <v>1</v>
      </c>
      <c r="C508" s="68" t="str">
        <f>IF(COUNTIF(Table3[[#All],[PID]],A508)&gt;0,"P","B")</f>
        <v>P</v>
      </c>
      <c r="D508" s="59" t="str">
        <f>IF($C508="B",INDEX(Batters[[#All],[POS]],MATCH(Table5[[#This Row],[PID]],Batters[[#All],[PID]],0)),INDEX(Table3[[#All],[POS]],MATCH(Table5[[#This Row],[PID]],Table3[[#All],[PID]],0)))</f>
        <v>RP</v>
      </c>
      <c r="E508" s="52" t="str">
        <f>IF($C508="B",INDEX(Batters[[#All],[First]],MATCH(Table5[[#This Row],[PID]],Batters[[#All],[PID]],0)),INDEX(Table3[[#All],[First]],MATCH(Table5[[#This Row],[PID]],Table3[[#All],[PID]],0)))</f>
        <v>Tony</v>
      </c>
      <c r="F508" s="55" t="str">
        <f>IF($C508="B",INDEX(Batters[[#All],[Last]],MATCH(A508,Batters[[#All],[PID]],0)),INDEX(Table3[[#All],[Last]],MATCH(A508,Table3[[#All],[PID]],0)))</f>
        <v>Welch</v>
      </c>
      <c r="G508" s="56">
        <f>IF($C508="B",INDEX(Batters[[#All],[Age]],MATCH(Table5[[#This Row],[PID]],Batters[[#All],[PID]],0)),INDEX(Table3[[#All],[Age]],MATCH(Table5[[#This Row],[PID]],Table3[[#All],[PID]],0)))</f>
        <v>22</v>
      </c>
      <c r="H508" s="52" t="str">
        <f>IF($C508="B",INDEX(Batters[[#All],[B]],MATCH(Table5[[#This Row],[PID]],Batters[[#All],[PID]],0)),INDEX(Table3[[#All],[B]],MATCH(Table5[[#This Row],[PID]],Table3[[#All],[PID]],0)))</f>
        <v>L</v>
      </c>
      <c r="I508" s="52" t="str">
        <f>IF($C508="B",INDEX(Batters[[#All],[T]],MATCH(Table5[[#This Row],[PID]],Batters[[#All],[PID]],0)),INDEX(Table3[[#All],[T]],MATCH(Table5[[#This Row],[PID]],Table3[[#All],[PID]],0)))</f>
        <v>L</v>
      </c>
      <c r="J508" s="69" t="str">
        <f>IF($C508="B",INDEX(Batters[[#All],[WE]],MATCH(Table5[[#This Row],[PID]],Batters[[#All],[PID]],0)),INDEX(Table3[[#All],[WE]],MATCH(Table5[[#This Row],[PID]],Table3[[#All],[PID]],0)))</f>
        <v>High</v>
      </c>
      <c r="K508" s="52" t="str">
        <f>IF($C508="B",INDEX(Batters[[#All],[INT]],MATCH(Table5[[#This Row],[PID]],Batters[[#All],[PID]],0)),INDEX(Table3[[#All],[INT]],MATCH(Table5[[#This Row],[PID]],Table3[[#All],[PID]],0)))</f>
        <v>Normal</v>
      </c>
      <c r="L508" s="60">
        <f>IF($C508="B",INDEX(Batters[[#All],[CON P]],MATCH(Table5[[#This Row],[PID]],Batters[[#All],[PID]],0)),INDEX(Table3[[#All],[STU P]],MATCH(Table5[[#This Row],[PID]],Table3[[#All],[PID]],0)))</f>
        <v>4</v>
      </c>
      <c r="M508" s="70">
        <f>IF($C508="B",INDEX(Batters[[#All],[GAP P]],MATCH(Table5[[#This Row],[PID]],Batters[[#All],[PID]],0)),INDEX(Table3[[#All],[MOV P]],MATCH(Table5[[#This Row],[PID]],Table3[[#All],[PID]],0)))</f>
        <v>2</v>
      </c>
      <c r="N508" s="70">
        <f>IF($C508="B",INDEX(Batters[[#All],[POW P]],MATCH(Table5[[#This Row],[PID]],Batters[[#All],[PID]],0)),INDEX(Table3[[#All],[CON P]],MATCH(Table5[[#This Row],[PID]],Table3[[#All],[PID]],0)))</f>
        <v>3</v>
      </c>
      <c r="O508" s="70" t="str">
        <f>IF($C508="B",INDEX(Batters[[#All],[EYE P]],MATCH(Table5[[#This Row],[PID]],Batters[[#All],[PID]],0)),INDEX(Table3[[#All],[VELO]],MATCH(Table5[[#This Row],[PID]],Table3[[#All],[PID]],0)))</f>
        <v>84-86 Mph</v>
      </c>
      <c r="P508" s="56">
        <f>IF($C508="B",INDEX(Batters[[#All],[K P]],MATCH(Table5[[#This Row],[PID]],Batters[[#All],[PID]],0)),INDEX(Table3[[#All],[STM]],MATCH(Table5[[#This Row],[PID]],Table3[[#All],[PID]],0)))</f>
        <v>5</v>
      </c>
      <c r="Q508" s="61">
        <f>IF($C508="B",INDEX(Batters[[#All],[Tot]],MATCH(Table5[[#This Row],[PID]],Batters[[#All],[PID]],0)),INDEX(Table3[[#All],[Tot]],MATCH(Table5[[#This Row],[PID]],Table3[[#All],[PID]],0)))</f>
        <v>31.90900126817165</v>
      </c>
      <c r="R508" s="52">
        <f>IF($C508="B",INDEX(Batters[[#All],[zScore]],MATCH(Table5[[#This Row],[PID]],Batters[[#All],[PID]],0)),INDEX(Table3[[#All],[zScore]],MATCH(Table5[[#This Row],[PID]],Table3[[#All],[PID]],0)))</f>
        <v>-0.41306117963471417</v>
      </c>
      <c r="S508" s="75" t="str">
        <f>IF($C508="B",INDEX(Batters[[#All],[DEM]],MATCH(Table5[[#This Row],[PID]],Batters[[#All],[PID]],0)),INDEX(Table3[[#All],[DEM]],MATCH(Table5[[#This Row],[PID]],Table3[[#All],[PID]],0)))</f>
        <v>-</v>
      </c>
      <c r="T508" s="72">
        <f>IF($C508="B",INDEX(Batters[[#All],[Rnk]],MATCH(Table5[[#This Row],[PID]],Batters[[#All],[PID]],0)),INDEX(Table3[[#All],[Rnk]],MATCH(Table5[[#This Row],[PID]],Table3[[#All],[PID]],0)))</f>
        <v>900</v>
      </c>
      <c r="U508" s="67">
        <f>IF($C508="B",VLOOKUP($A508,Bat!$A$4:$BA$1314,47,FALSE),VLOOKUP($A508,Pit!$A$4:$BF$1214,56,FALSE))</f>
        <v>173</v>
      </c>
      <c r="V508" s="50">
        <f>IF($C508="B",VLOOKUP($A508,Bat!$A$4:$BA$1314,48,FALSE),VLOOKUP($A508,Pit!$A$4:$BF$1214,57,FALSE))</f>
        <v>0</v>
      </c>
      <c r="W508" s="68">
        <f>IF(Table5[[#This Row],[posRnk]]=999,9999,Table5[[#This Row],[posRnk]]+Table5[[#This Row],[zRnk]]+IF($W$3&lt;&gt;Table5[[#This Row],[Type]],50,0))</f>
        <v>1437</v>
      </c>
      <c r="X508" s="71">
        <f>RANK(Table5[[#This Row],[zScore]],Table5[[#All],[zScore]])</f>
        <v>537</v>
      </c>
      <c r="Y508" s="68" t="str">
        <f>IFERROR(INDEX(DraftResults[[#All],[OVR]],MATCH(Table5[[#This Row],[PID]],DraftResults[[#All],[Player ID]],0)),"")</f>
        <v/>
      </c>
      <c r="Z508" s="7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/>
      </c>
      <c r="AA508" s="68" t="str">
        <f>IFERROR(INDEX(DraftResults[[#All],[Pick in Round]],MATCH(Table5[[#This Row],[PID]],DraftResults[[#All],[Player ID]],0)),"")</f>
        <v/>
      </c>
      <c r="AB508" s="68" t="str">
        <f>IFERROR(INDEX(DraftResults[[#All],[Team Name]],MATCH(Table5[[#This Row],[PID]],DraftResults[[#All],[Player ID]],0)),"")</f>
        <v/>
      </c>
      <c r="AC508" s="68" t="str">
        <f>IF(Table5[[#This Row],[Ovr]]="","",IF(Table5[[#This Row],[cmbList]]="","",Table5[[#This Row],[cmbList]]-Table5[[#This Row],[Ovr]]))</f>
        <v/>
      </c>
      <c r="AD508" s="74" t="str">
        <f>IF(ISERROR(VLOOKUP($AB508&amp;"-"&amp;$E508&amp;" "&amp;F508,Bonuses!$B$1:$G$1006,4,FALSE)),"",INT(VLOOKUP($AB508&amp;"-"&amp;$E508&amp;" "&amp;$F508,Bonuses!$B$1:$G$1006,4,FALSE)))</f>
        <v/>
      </c>
      <c r="AE508" s="68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/>
      </c>
    </row>
    <row r="509" spans="1:31" s="50" customFormat="1" x14ac:dyDescent="0.3">
      <c r="A509" s="50">
        <v>9172</v>
      </c>
      <c r="B509" s="50">
        <f>COUNTIF(Table5[PID],A509)</f>
        <v>1</v>
      </c>
      <c r="C509" s="50" t="str">
        <f>IF(COUNTIF(Table3[[#All],[PID]],A509)&gt;0,"P","B")</f>
        <v>B</v>
      </c>
      <c r="D509" s="59" t="str">
        <f>IF($C509="B",INDEX(Batters[[#All],[POS]],MATCH(Table5[[#This Row],[PID]],Batters[[#All],[PID]],0)),INDEX(Table3[[#All],[POS]],MATCH(Table5[[#This Row],[PID]],Table3[[#All],[PID]],0)))</f>
        <v>2B</v>
      </c>
      <c r="E509" s="52" t="str">
        <f>IF($C509="B",INDEX(Batters[[#All],[First]],MATCH(Table5[[#This Row],[PID]],Batters[[#All],[PID]],0)),INDEX(Table3[[#All],[First]],MATCH(Table5[[#This Row],[PID]],Table3[[#All],[PID]],0)))</f>
        <v>Fred</v>
      </c>
      <c r="F509" s="50" t="str">
        <f>IF($C509="B",INDEX(Batters[[#All],[Last]],MATCH(A509,Batters[[#All],[PID]],0)),INDEX(Table3[[#All],[Last]],MATCH(A509,Table3[[#All],[PID]],0)))</f>
        <v>Rosas</v>
      </c>
      <c r="G509" s="56">
        <f>IF($C509="B",INDEX(Batters[[#All],[Age]],MATCH(Table5[[#This Row],[PID]],Batters[[#All],[PID]],0)),INDEX(Table3[[#All],[Age]],MATCH(Table5[[#This Row],[PID]],Table3[[#All],[PID]],0)))</f>
        <v>18</v>
      </c>
      <c r="H509" s="52" t="str">
        <f>IF($C509="B",INDEX(Batters[[#All],[B]],MATCH(Table5[[#This Row],[PID]],Batters[[#All],[PID]],0)),INDEX(Table3[[#All],[B]],MATCH(Table5[[#This Row],[PID]],Table3[[#All],[PID]],0)))</f>
        <v>R</v>
      </c>
      <c r="I509" s="52" t="str">
        <f>IF($C509="B",INDEX(Batters[[#All],[T]],MATCH(Table5[[#This Row],[PID]],Batters[[#All],[PID]],0)),INDEX(Table3[[#All],[T]],MATCH(Table5[[#This Row],[PID]],Table3[[#All],[PID]],0)))</f>
        <v>R</v>
      </c>
      <c r="J509" s="52" t="str">
        <f>IF($C509="B",INDEX(Batters[[#All],[WE]],MATCH(Table5[[#This Row],[PID]],Batters[[#All],[PID]],0)),INDEX(Table3[[#All],[WE]],MATCH(Table5[[#This Row],[PID]],Table3[[#All],[PID]],0)))</f>
        <v>Normal</v>
      </c>
      <c r="K509" s="52" t="str">
        <f>IF($C509="B",INDEX(Batters[[#All],[INT]],MATCH(Table5[[#This Row],[PID]],Batters[[#All],[PID]],0)),INDEX(Table3[[#All],[INT]],MATCH(Table5[[#This Row],[PID]],Table3[[#All],[PID]],0)))</f>
        <v>Normal</v>
      </c>
      <c r="L509" s="60">
        <f>IF($C509="B",INDEX(Batters[[#All],[CON P]],MATCH(Table5[[#This Row],[PID]],Batters[[#All],[PID]],0)),INDEX(Table3[[#All],[STU P]],MATCH(Table5[[#This Row],[PID]],Table3[[#All],[PID]],0)))</f>
        <v>3</v>
      </c>
      <c r="M509" s="56">
        <f>IF($C509="B",INDEX(Batters[[#All],[GAP P]],MATCH(Table5[[#This Row],[PID]],Batters[[#All],[PID]],0)),INDEX(Table3[[#All],[MOV P]],MATCH(Table5[[#This Row],[PID]],Table3[[#All],[PID]],0)))</f>
        <v>4</v>
      </c>
      <c r="N509" s="56">
        <f>IF($C509="B",INDEX(Batters[[#All],[POW P]],MATCH(Table5[[#This Row],[PID]],Batters[[#All],[PID]],0)),INDEX(Table3[[#All],[CON P]],MATCH(Table5[[#This Row],[PID]],Table3[[#All],[PID]],0)))</f>
        <v>2</v>
      </c>
      <c r="O509" s="56">
        <f>IF($C509="B",INDEX(Batters[[#All],[EYE P]],MATCH(Table5[[#This Row],[PID]],Batters[[#All],[PID]],0)),INDEX(Table3[[#All],[VELO]],MATCH(Table5[[#This Row],[PID]],Table3[[#All],[PID]],0)))</f>
        <v>4</v>
      </c>
      <c r="P509" s="56">
        <f>IF($C509="B",INDEX(Batters[[#All],[K P]],MATCH(Table5[[#This Row],[PID]],Batters[[#All],[PID]],0)),INDEX(Table3[[#All],[STM]],MATCH(Table5[[#This Row],[PID]],Table3[[#All],[PID]],0)))</f>
        <v>4</v>
      </c>
      <c r="Q509" s="61">
        <f>IF($C509="B",INDEX(Batters[[#All],[Tot]],MATCH(Table5[[#This Row],[PID]],Batters[[#All],[PID]],0)),INDEX(Table3[[#All],[Tot]],MATCH(Table5[[#This Row],[PID]],Table3[[#All],[PID]],0)))</f>
        <v>40.372556634968234</v>
      </c>
      <c r="R509" s="52">
        <f>IF($C509="B",INDEX(Batters[[#All],[zScore]],MATCH(Table5[[#This Row],[PID]],Batters[[#All],[PID]],0)),INDEX(Table3[[#All],[zScore]],MATCH(Table5[[#This Row],[PID]],Table3[[#All],[PID]],0)))</f>
        <v>-0.41541559499133479</v>
      </c>
      <c r="S509" s="58" t="str">
        <f>IF($C509="B",INDEX(Batters[[#All],[DEM]],MATCH(Table5[[#This Row],[PID]],Batters[[#All],[PID]],0)),INDEX(Table3[[#All],[DEM]],MATCH(Table5[[#This Row],[PID]],Table3[[#All],[PID]],0)))</f>
        <v>$65k</v>
      </c>
      <c r="T509" s="62">
        <f>IF($C509="B",INDEX(Batters[[#All],[Rnk]],MATCH(Table5[[#This Row],[PID]],Batters[[#All],[PID]],0)),INDEX(Table3[[#All],[Rnk]],MATCH(Table5[[#This Row],[PID]],Table3[[#All],[PID]],0)))</f>
        <v>900</v>
      </c>
      <c r="U509" s="67">
        <f>IF($C509="B",VLOOKUP($A509,Bat!$A$4:$BA$1314,47,FALSE),VLOOKUP($A509,Pit!$A$4:$BF$1214,56,FALSE))</f>
        <v>204</v>
      </c>
      <c r="V509" s="50">
        <f>IF($C509="B",VLOOKUP($A509,Bat!$A$4:$BA$1314,48,FALSE),VLOOKUP($A509,Pit!$A$4:$BF$1214,57,FALSE))</f>
        <v>0</v>
      </c>
      <c r="W509" s="68">
        <f>IF(Table5[[#This Row],[posRnk]]=999,9999,Table5[[#This Row],[posRnk]]+Table5[[#This Row],[zRnk]]+IF($W$3&lt;&gt;Table5[[#This Row],[Type]],50,0))</f>
        <v>1488</v>
      </c>
      <c r="X509" s="51">
        <f>RANK(Table5[[#This Row],[zScore]],Table5[[#All],[zScore]])</f>
        <v>538</v>
      </c>
      <c r="Y509" s="50">
        <f>IFERROR(INDEX(DraftResults[[#All],[OVR]],MATCH(Table5[[#This Row],[PID]],DraftResults[[#All],[Player ID]],0)),"")</f>
        <v>485</v>
      </c>
      <c r="Z509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15</v>
      </c>
      <c r="AA509" s="50">
        <f>IFERROR(INDEX(DraftResults[[#All],[Pick in Round]],MATCH(Table5[[#This Row],[PID]],DraftResults[[#All],[Player ID]],0)),"")</f>
        <v>18</v>
      </c>
      <c r="AB509" s="50" t="str">
        <f>IFERROR(INDEX(DraftResults[[#All],[Team Name]],MATCH(Table5[[#This Row],[PID]],DraftResults[[#All],[Player ID]],0)),"")</f>
        <v>San Juan Coqui</v>
      </c>
      <c r="AC509" s="50">
        <f>IF(Table5[[#This Row],[Ovr]]="","",IF(Table5[[#This Row],[cmbList]]="","",Table5[[#This Row],[cmbList]]-Table5[[#This Row],[Ovr]]))</f>
        <v>1003</v>
      </c>
      <c r="AD509" s="54" t="str">
        <f>IF(ISERROR(VLOOKUP($AB509&amp;"-"&amp;$E509&amp;" "&amp;F509,Bonuses!$B$1:$G$1006,4,FALSE)),"",INT(VLOOKUP($AB509&amp;"-"&amp;$E509&amp;" "&amp;$F509,Bonuses!$B$1:$G$1006,4,FALSE)))</f>
        <v/>
      </c>
      <c r="AE509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15.18 (485) - 2B Fred Rosas</v>
      </c>
    </row>
    <row r="510" spans="1:31" s="50" customFormat="1" x14ac:dyDescent="0.3">
      <c r="A510" s="67">
        <v>14415</v>
      </c>
      <c r="B510" s="68">
        <f>COUNTIF(Table5[PID],A510)</f>
        <v>1</v>
      </c>
      <c r="C510" s="68" t="str">
        <f>IF(COUNTIF(Table3[[#All],[PID]],A510)&gt;0,"P","B")</f>
        <v>B</v>
      </c>
      <c r="D510" s="59" t="str">
        <f>IF($C510="B",INDEX(Batters[[#All],[POS]],MATCH(Table5[[#This Row],[PID]],Batters[[#All],[PID]],0)),INDEX(Table3[[#All],[POS]],MATCH(Table5[[#This Row],[PID]],Table3[[#All],[PID]],0)))</f>
        <v>RF</v>
      </c>
      <c r="E510" s="52" t="str">
        <f>IF($C510="B",INDEX(Batters[[#All],[First]],MATCH(Table5[[#This Row],[PID]],Batters[[#All],[PID]],0)),INDEX(Table3[[#All],[First]],MATCH(Table5[[#This Row],[PID]],Table3[[#All],[PID]],0)))</f>
        <v>John</v>
      </c>
      <c r="F510" s="55" t="str">
        <f>IF($C510="B",INDEX(Batters[[#All],[Last]],MATCH(A510,Batters[[#All],[PID]],0)),INDEX(Table3[[#All],[Last]],MATCH(A510,Table3[[#All],[PID]],0)))</f>
        <v>Carlson</v>
      </c>
      <c r="G510" s="56">
        <f>IF($C510="B",INDEX(Batters[[#All],[Age]],MATCH(Table5[[#This Row],[PID]],Batters[[#All],[PID]],0)),INDEX(Table3[[#All],[Age]],MATCH(Table5[[#This Row],[PID]],Table3[[#All],[PID]],0)))</f>
        <v>21</v>
      </c>
      <c r="H510" s="52" t="str">
        <f>IF($C510="B",INDEX(Batters[[#All],[B]],MATCH(Table5[[#This Row],[PID]],Batters[[#All],[PID]],0)),INDEX(Table3[[#All],[B]],MATCH(Table5[[#This Row],[PID]],Table3[[#All],[PID]],0)))</f>
        <v>L</v>
      </c>
      <c r="I510" s="52" t="str">
        <f>IF($C510="B",INDEX(Batters[[#All],[T]],MATCH(Table5[[#This Row],[PID]],Batters[[#All],[PID]],0)),INDEX(Table3[[#All],[T]],MATCH(Table5[[#This Row],[PID]],Table3[[#All],[PID]],0)))</f>
        <v>L</v>
      </c>
      <c r="J510" s="69" t="str">
        <f>IF($C510="B",INDEX(Batters[[#All],[WE]],MATCH(Table5[[#This Row],[PID]],Batters[[#All],[PID]],0)),INDEX(Table3[[#All],[WE]],MATCH(Table5[[#This Row],[PID]],Table3[[#All],[PID]],0)))</f>
        <v>Normal</v>
      </c>
      <c r="K510" s="52" t="str">
        <f>IF($C510="B",INDEX(Batters[[#All],[INT]],MATCH(Table5[[#This Row],[PID]],Batters[[#All],[PID]],0)),INDEX(Table3[[#All],[INT]],MATCH(Table5[[#This Row],[PID]],Table3[[#All],[PID]],0)))</f>
        <v>High</v>
      </c>
      <c r="L510" s="60">
        <f>IF($C510="B",INDEX(Batters[[#All],[CON P]],MATCH(Table5[[#This Row],[PID]],Batters[[#All],[PID]],0)),INDEX(Table3[[#All],[STU P]],MATCH(Table5[[#This Row],[PID]],Table3[[#All],[PID]],0)))</f>
        <v>3</v>
      </c>
      <c r="M510" s="70">
        <f>IF($C510="B",INDEX(Batters[[#All],[GAP P]],MATCH(Table5[[#This Row],[PID]],Batters[[#All],[PID]],0)),INDEX(Table3[[#All],[MOV P]],MATCH(Table5[[#This Row],[PID]],Table3[[#All],[PID]],0)))</f>
        <v>5</v>
      </c>
      <c r="N510" s="70">
        <f>IF($C510="B",INDEX(Batters[[#All],[POW P]],MATCH(Table5[[#This Row],[PID]],Batters[[#All],[PID]],0)),INDEX(Table3[[#All],[CON P]],MATCH(Table5[[#This Row],[PID]],Table3[[#All],[PID]],0)))</f>
        <v>4</v>
      </c>
      <c r="O510" s="70">
        <f>IF($C510="B",INDEX(Batters[[#All],[EYE P]],MATCH(Table5[[#This Row],[PID]],Batters[[#All],[PID]],0)),INDEX(Table3[[#All],[VELO]],MATCH(Table5[[#This Row],[PID]],Table3[[#All],[PID]],0)))</f>
        <v>5</v>
      </c>
      <c r="P510" s="56">
        <f>IF($C510="B",INDEX(Batters[[#All],[K P]],MATCH(Table5[[#This Row],[PID]],Batters[[#All],[PID]],0)),INDEX(Table3[[#All],[STM]],MATCH(Table5[[#This Row],[PID]],Table3[[#All],[PID]],0)))</f>
        <v>5</v>
      </c>
      <c r="Q510" s="61">
        <f>IF($C510="B",INDEX(Batters[[#All],[Tot]],MATCH(Table5[[#This Row],[PID]],Batters[[#All],[PID]],0)),INDEX(Table3[[#All],[Tot]],MATCH(Table5[[#This Row],[PID]],Table3[[#All],[PID]],0)))</f>
        <v>40.363923167109647</v>
      </c>
      <c r="R510" s="52">
        <f>IF($C510="B",INDEX(Batters[[#All],[zScore]],MATCH(Table5[[#This Row],[PID]],Batters[[#All],[PID]],0)),INDEX(Table3[[#All],[zScore]],MATCH(Table5[[#This Row],[PID]],Table3[[#All],[PID]],0)))</f>
        <v>-0.41667580597435216</v>
      </c>
      <c r="S510" s="75" t="str">
        <f>IF($C510="B",INDEX(Batters[[#All],[DEM]],MATCH(Table5[[#This Row],[PID]],Batters[[#All],[PID]],0)),INDEX(Table3[[#All],[DEM]],MATCH(Table5[[#This Row],[PID]],Table3[[#All],[PID]],0)))</f>
        <v>$20k</v>
      </c>
      <c r="T510" s="72">
        <f>IF($C510="B",INDEX(Batters[[#All],[Rnk]],MATCH(Table5[[#This Row],[PID]],Batters[[#All],[PID]],0)),INDEX(Table3[[#All],[Rnk]],MATCH(Table5[[#This Row],[PID]],Table3[[#All],[PID]],0)))</f>
        <v>900</v>
      </c>
      <c r="U510" s="67">
        <f>IF($C510="B",VLOOKUP($A510,Bat!$A$4:$BA$1314,47,FALSE),VLOOKUP($A510,Pit!$A$4:$BF$1214,56,FALSE))</f>
        <v>194</v>
      </c>
      <c r="V510" s="50">
        <f>IF($C510="B",VLOOKUP($A510,Bat!$A$4:$BA$1314,48,FALSE),VLOOKUP($A510,Pit!$A$4:$BF$1214,57,FALSE))</f>
        <v>0</v>
      </c>
      <c r="W510" s="68">
        <f>IF(Table5[[#This Row],[posRnk]]=999,9999,Table5[[#This Row],[posRnk]]+Table5[[#This Row],[zRnk]]+IF($W$3&lt;&gt;Table5[[#This Row],[Type]],50,0))</f>
        <v>1489</v>
      </c>
      <c r="X510" s="71">
        <f>RANK(Table5[[#This Row],[zScore]],Table5[[#All],[zScore]])</f>
        <v>539</v>
      </c>
      <c r="Y510" s="68">
        <f>IFERROR(INDEX(DraftResults[[#All],[OVR]],MATCH(Table5[[#This Row],[PID]],DraftResults[[#All],[Player ID]],0)),"")</f>
        <v>282</v>
      </c>
      <c r="Z510" s="7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9</v>
      </c>
      <c r="AA510" s="68">
        <f>IFERROR(INDEX(DraftResults[[#All],[Pick in Round]],MATCH(Table5[[#This Row],[PID]],DraftResults[[#All],[Player ID]],0)),"")</f>
        <v>17</v>
      </c>
      <c r="AB510" s="68" t="str">
        <f>IFERROR(INDEX(DraftResults[[#All],[Team Name]],MATCH(Table5[[#This Row],[PID]],DraftResults[[#All],[Player ID]],0)),"")</f>
        <v>Duluth Warriors</v>
      </c>
      <c r="AC510" s="68">
        <f>IF(Table5[[#This Row],[Ovr]]="","",IF(Table5[[#This Row],[cmbList]]="","",Table5[[#This Row],[cmbList]]-Table5[[#This Row],[Ovr]]))</f>
        <v>1207</v>
      </c>
      <c r="AD510" s="74" t="str">
        <f>IF(ISERROR(VLOOKUP($AB510&amp;"-"&amp;$E510&amp;" "&amp;F510,Bonuses!$B$1:$G$1006,4,FALSE)),"",INT(VLOOKUP($AB510&amp;"-"&amp;$E510&amp;" "&amp;$F510,Bonuses!$B$1:$G$1006,4,FALSE)))</f>
        <v/>
      </c>
      <c r="AE510" s="68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9.17 (282) - RF John Carlson</v>
      </c>
    </row>
    <row r="511" spans="1:31" s="50" customFormat="1" x14ac:dyDescent="0.3">
      <c r="A511" s="50">
        <v>20789</v>
      </c>
      <c r="B511" s="50">
        <f>COUNTIF(Table5[PID],A511)</f>
        <v>1</v>
      </c>
      <c r="C511" s="50" t="str">
        <f>IF(COUNTIF(Table3[[#All],[PID]],A511)&gt;0,"P","B")</f>
        <v>B</v>
      </c>
      <c r="D511" s="59" t="str">
        <f>IF($C511="B",INDEX(Batters[[#All],[POS]],MATCH(Table5[[#This Row],[PID]],Batters[[#All],[PID]],0)),INDEX(Table3[[#All],[POS]],MATCH(Table5[[#This Row],[PID]],Table3[[#All],[PID]],0)))</f>
        <v>C</v>
      </c>
      <c r="E511" s="52" t="str">
        <f>IF($C511="B",INDEX(Batters[[#All],[First]],MATCH(Table5[[#This Row],[PID]],Batters[[#All],[PID]],0)),INDEX(Table3[[#All],[First]],MATCH(Table5[[#This Row],[PID]],Table3[[#All],[PID]],0)))</f>
        <v>Rory</v>
      </c>
      <c r="F511" s="50" t="str">
        <f>IF($C511="B",INDEX(Batters[[#All],[Last]],MATCH(A511,Batters[[#All],[PID]],0)),INDEX(Table3[[#All],[Last]],MATCH(A511,Table3[[#All],[PID]],0)))</f>
        <v>McNeill</v>
      </c>
      <c r="G511" s="56">
        <f>IF($C511="B",INDEX(Batters[[#All],[Age]],MATCH(Table5[[#This Row],[PID]],Batters[[#All],[PID]],0)),INDEX(Table3[[#All],[Age]],MATCH(Table5[[#This Row],[PID]],Table3[[#All],[PID]],0)))</f>
        <v>17</v>
      </c>
      <c r="H511" s="52" t="str">
        <f>IF($C511="B",INDEX(Batters[[#All],[B]],MATCH(Table5[[#This Row],[PID]],Batters[[#All],[PID]],0)),INDEX(Table3[[#All],[B]],MATCH(Table5[[#This Row],[PID]],Table3[[#All],[PID]],0)))</f>
        <v>R</v>
      </c>
      <c r="I511" s="52" t="str">
        <f>IF($C511="B",INDEX(Batters[[#All],[T]],MATCH(Table5[[#This Row],[PID]],Batters[[#All],[PID]],0)),INDEX(Table3[[#All],[T]],MATCH(Table5[[#This Row],[PID]],Table3[[#All],[PID]],0)))</f>
        <v>R</v>
      </c>
      <c r="J511" s="52" t="str">
        <f>IF($C511="B",INDEX(Batters[[#All],[WE]],MATCH(Table5[[#This Row],[PID]],Batters[[#All],[PID]],0)),INDEX(Table3[[#All],[WE]],MATCH(Table5[[#This Row],[PID]],Table3[[#All],[PID]],0)))</f>
        <v>Low</v>
      </c>
      <c r="K511" s="52" t="str">
        <f>IF($C511="B",INDEX(Batters[[#All],[INT]],MATCH(Table5[[#This Row],[PID]],Batters[[#All],[PID]],0)),INDEX(Table3[[#All],[INT]],MATCH(Table5[[#This Row],[PID]],Table3[[#All],[PID]],0)))</f>
        <v>Normal</v>
      </c>
      <c r="L511" s="60">
        <f>IF($C511="B",INDEX(Batters[[#All],[CON P]],MATCH(Table5[[#This Row],[PID]],Batters[[#All],[PID]],0)),INDEX(Table3[[#All],[STU P]],MATCH(Table5[[#This Row],[PID]],Table3[[#All],[PID]],0)))</f>
        <v>3</v>
      </c>
      <c r="M511" s="56">
        <f>IF($C511="B",INDEX(Batters[[#All],[GAP P]],MATCH(Table5[[#This Row],[PID]],Batters[[#All],[PID]],0)),INDEX(Table3[[#All],[MOV P]],MATCH(Table5[[#This Row],[PID]],Table3[[#All],[PID]],0)))</f>
        <v>5</v>
      </c>
      <c r="N511" s="56">
        <f>IF($C511="B",INDEX(Batters[[#All],[POW P]],MATCH(Table5[[#This Row],[PID]],Batters[[#All],[PID]],0)),INDEX(Table3[[#All],[CON P]],MATCH(Table5[[#This Row],[PID]],Table3[[#All],[PID]],0)))</f>
        <v>2</v>
      </c>
      <c r="O511" s="56">
        <f>IF($C511="B",INDEX(Batters[[#All],[EYE P]],MATCH(Table5[[#This Row],[PID]],Batters[[#All],[PID]],0)),INDEX(Table3[[#All],[VELO]],MATCH(Table5[[#This Row],[PID]],Table3[[#All],[PID]],0)))</f>
        <v>5</v>
      </c>
      <c r="P511" s="56">
        <f>IF($C511="B",INDEX(Batters[[#All],[K P]],MATCH(Table5[[#This Row],[PID]],Batters[[#All],[PID]],0)),INDEX(Table3[[#All],[STM]],MATCH(Table5[[#This Row],[PID]],Table3[[#All],[PID]],0)))</f>
        <v>3</v>
      </c>
      <c r="Q511" s="61">
        <f>IF($C511="B",INDEX(Batters[[#All],[Tot]],MATCH(Table5[[#This Row],[PID]],Batters[[#All],[PID]],0)),INDEX(Table3[[#All],[Tot]],MATCH(Table5[[#This Row],[PID]],Table3[[#All],[PID]],0)))</f>
        <v>40.807231334370265</v>
      </c>
      <c r="R511" s="52">
        <f>IF($C511="B",INDEX(Batters[[#All],[zScore]],MATCH(Table5[[#This Row],[PID]],Batters[[#All],[PID]],0)),INDEX(Table3[[#All],[zScore]],MATCH(Table5[[#This Row],[PID]],Table3[[#All],[PID]],0)))</f>
        <v>-0.35196695080817636</v>
      </c>
      <c r="S511" s="58" t="str">
        <f>IF($C511="B",INDEX(Batters[[#All],[DEM]],MATCH(Table5[[#This Row],[PID]],Batters[[#All],[PID]],0)),INDEX(Table3[[#All],[DEM]],MATCH(Table5[[#This Row],[PID]],Table3[[#All],[PID]],0)))</f>
        <v>$110k</v>
      </c>
      <c r="T511" s="62">
        <f>IF($C511="B",INDEX(Batters[[#All],[Rnk]],MATCH(Table5[[#This Row],[PID]],Batters[[#All],[PID]],0)),INDEX(Table3[[#All],[Rnk]],MATCH(Table5[[#This Row],[PID]],Table3[[#All],[PID]],0)))</f>
        <v>930</v>
      </c>
      <c r="U511" s="67">
        <f>IF($C511="B",VLOOKUP($A511,Bat!$A$4:$BA$1314,47,FALSE),VLOOKUP($A511,Pit!$A$4:$BF$1214,56,FALSE))</f>
        <v>340</v>
      </c>
      <c r="V511" s="50">
        <f>IF($C511="B",VLOOKUP($A511,Bat!$A$4:$BA$1314,48,FALSE),VLOOKUP($A511,Pit!$A$4:$BF$1214,57,FALSE))</f>
        <v>0</v>
      </c>
      <c r="W511" s="68">
        <f>IF(Table5[[#This Row],[posRnk]]=999,9999,Table5[[#This Row],[posRnk]]+Table5[[#This Row],[zRnk]]+IF($W$3&lt;&gt;Table5[[#This Row],[Type]],50,0))</f>
        <v>1489</v>
      </c>
      <c r="X511" s="51">
        <f>RANK(Table5[[#This Row],[zScore]],Table5[[#All],[zScore]])</f>
        <v>509</v>
      </c>
      <c r="Y511" s="50" t="str">
        <f>IFERROR(INDEX(DraftResults[[#All],[OVR]],MATCH(Table5[[#This Row],[PID]],DraftResults[[#All],[Player ID]],0)),"")</f>
        <v/>
      </c>
      <c r="Z511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/>
      </c>
      <c r="AA511" s="50" t="str">
        <f>IFERROR(INDEX(DraftResults[[#All],[Pick in Round]],MATCH(Table5[[#This Row],[PID]],DraftResults[[#All],[Player ID]],0)),"")</f>
        <v/>
      </c>
      <c r="AB511" s="50" t="str">
        <f>IFERROR(INDEX(DraftResults[[#All],[Team Name]],MATCH(Table5[[#This Row],[PID]],DraftResults[[#All],[Player ID]],0)),"")</f>
        <v/>
      </c>
      <c r="AC511" s="50" t="str">
        <f>IF(Table5[[#This Row],[Ovr]]="","",IF(Table5[[#This Row],[cmbList]]="","",Table5[[#This Row],[cmbList]]-Table5[[#This Row],[Ovr]]))</f>
        <v/>
      </c>
      <c r="AD511" s="54" t="str">
        <f>IF(ISERROR(VLOOKUP($AB511&amp;"-"&amp;$E511&amp;" "&amp;F511,Bonuses!$B$1:$G$1006,4,FALSE)),"",INT(VLOOKUP($AB511&amp;"-"&amp;$E511&amp;" "&amp;$F511,Bonuses!$B$1:$G$1006,4,FALSE)))</f>
        <v/>
      </c>
      <c r="AE511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/>
      </c>
    </row>
    <row r="512" spans="1:31" s="50" customFormat="1" x14ac:dyDescent="0.3">
      <c r="A512" s="50">
        <v>20514</v>
      </c>
      <c r="B512" s="55">
        <f>COUNTIF(Table5[PID],A512)</f>
        <v>1</v>
      </c>
      <c r="C512" s="55" t="str">
        <f>IF(COUNTIF(Table3[[#All],[PID]],A512)&gt;0,"P","B")</f>
        <v>B</v>
      </c>
      <c r="D512" s="59" t="str">
        <f>IF($C512="B",INDEX(Batters[[#All],[POS]],MATCH(Table5[[#This Row],[PID]],Batters[[#All],[PID]],0)),INDEX(Table3[[#All],[POS]],MATCH(Table5[[#This Row],[PID]],Table3[[#All],[PID]],0)))</f>
        <v>C</v>
      </c>
      <c r="E512" s="52" t="str">
        <f>IF($C512="B",INDEX(Batters[[#All],[First]],MATCH(Table5[[#This Row],[PID]],Batters[[#All],[PID]],0)),INDEX(Table3[[#All],[First]],MATCH(Table5[[#This Row],[PID]],Table3[[#All],[PID]],0)))</f>
        <v>Jejomar</v>
      </c>
      <c r="F512" s="50" t="str">
        <f>IF($C512="B",INDEX(Batters[[#All],[Last]],MATCH(A512,Batters[[#All],[PID]],0)),INDEX(Table3[[#All],[Last]],MATCH(A512,Table3[[#All],[PID]],0)))</f>
        <v>Castillanes</v>
      </c>
      <c r="G512" s="56">
        <f>IF($C512="B",INDEX(Batters[[#All],[Age]],MATCH(Table5[[#This Row],[PID]],Batters[[#All],[PID]],0)),INDEX(Table3[[#All],[Age]],MATCH(Table5[[#This Row],[PID]],Table3[[#All],[PID]],0)))</f>
        <v>18</v>
      </c>
      <c r="H512" s="52" t="str">
        <f>IF($C512="B",INDEX(Batters[[#All],[B]],MATCH(Table5[[#This Row],[PID]],Batters[[#All],[PID]],0)),INDEX(Table3[[#All],[B]],MATCH(Table5[[#This Row],[PID]],Table3[[#All],[PID]],0)))</f>
        <v>S</v>
      </c>
      <c r="I512" s="52" t="str">
        <f>IF($C512="B",INDEX(Batters[[#All],[T]],MATCH(Table5[[#This Row],[PID]],Batters[[#All],[PID]],0)),INDEX(Table3[[#All],[T]],MATCH(Table5[[#This Row],[PID]],Table3[[#All],[PID]],0)))</f>
        <v>R</v>
      </c>
      <c r="J512" s="52" t="str">
        <f>IF($C512="B",INDEX(Batters[[#All],[WE]],MATCH(Table5[[#This Row],[PID]],Batters[[#All],[PID]],0)),INDEX(Table3[[#All],[WE]],MATCH(Table5[[#This Row],[PID]],Table3[[#All],[PID]],0)))</f>
        <v>High</v>
      </c>
      <c r="K512" s="52" t="str">
        <f>IF($C512="B",INDEX(Batters[[#All],[INT]],MATCH(Table5[[#This Row],[PID]],Batters[[#All],[PID]],0)),INDEX(Table3[[#All],[INT]],MATCH(Table5[[#This Row],[PID]],Table3[[#All],[PID]],0)))</f>
        <v>Low</v>
      </c>
      <c r="L512" s="60">
        <f>IF($C512="B",INDEX(Batters[[#All],[CON P]],MATCH(Table5[[#This Row],[PID]],Batters[[#All],[PID]],0)),INDEX(Table3[[#All],[STU P]],MATCH(Table5[[#This Row],[PID]],Table3[[#All],[PID]],0)))</f>
        <v>2</v>
      </c>
      <c r="M512" s="56">
        <f>IF($C512="B",INDEX(Batters[[#All],[GAP P]],MATCH(Table5[[#This Row],[PID]],Batters[[#All],[PID]],0)),INDEX(Table3[[#All],[MOV P]],MATCH(Table5[[#This Row],[PID]],Table3[[#All],[PID]],0)))</f>
        <v>4</v>
      </c>
      <c r="N512" s="56">
        <f>IF($C512="B",INDEX(Batters[[#All],[POW P]],MATCH(Table5[[#This Row],[PID]],Batters[[#All],[PID]],0)),INDEX(Table3[[#All],[CON P]],MATCH(Table5[[#This Row],[PID]],Table3[[#All],[PID]],0)))</f>
        <v>4</v>
      </c>
      <c r="O512" s="56">
        <f>IF($C512="B",INDEX(Batters[[#All],[EYE P]],MATCH(Table5[[#This Row],[PID]],Batters[[#All],[PID]],0)),INDEX(Table3[[#All],[VELO]],MATCH(Table5[[#This Row],[PID]],Table3[[#All],[PID]],0)))</f>
        <v>6</v>
      </c>
      <c r="P512" s="56">
        <f>IF($C512="B",INDEX(Batters[[#All],[K P]],MATCH(Table5[[#This Row],[PID]],Batters[[#All],[PID]],0)),INDEX(Table3[[#All],[STM]],MATCH(Table5[[#This Row],[PID]],Table3[[#All],[PID]],0)))</f>
        <v>2</v>
      </c>
      <c r="Q512" s="61">
        <f>IF($C512="B",INDEX(Batters[[#All],[Tot]],MATCH(Table5[[#This Row],[PID]],Batters[[#All],[PID]],0)),INDEX(Table3[[#All],[Tot]],MATCH(Table5[[#This Row],[PID]],Table3[[#All],[PID]],0)))</f>
        <v>40.35009715872539</v>
      </c>
      <c r="R512" s="52">
        <f>IF($C512="B",INDEX(Batters[[#All],[zScore]],MATCH(Table5[[#This Row],[PID]],Batters[[#All],[PID]],0)),INDEX(Table3[[#All],[zScore]],MATCH(Table5[[#This Row],[PID]],Table3[[#All],[PID]],0)))</f>
        <v>-0.41869396228216782</v>
      </c>
      <c r="S512" s="58" t="str">
        <f>IF($C512="B",INDEX(Batters[[#All],[DEM]],MATCH(Table5[[#This Row],[PID]],Batters[[#All],[PID]],0)),INDEX(Table3[[#All],[DEM]],MATCH(Table5[[#This Row],[PID]],Table3[[#All],[PID]],0)))</f>
        <v>$65k</v>
      </c>
      <c r="T512" s="62">
        <f>IF($C512="B",INDEX(Batters[[#All],[Rnk]],MATCH(Table5[[#This Row],[PID]],Batters[[#All],[PID]],0)),INDEX(Table3[[#All],[Rnk]],MATCH(Table5[[#This Row],[PID]],Table3[[#All],[PID]],0)))</f>
        <v>900</v>
      </c>
      <c r="U512" s="67">
        <f>IF($C512="B",VLOOKUP($A512,Bat!$A$4:$BA$1314,47,FALSE),VLOOKUP($A512,Pit!$A$4:$BF$1214,56,FALSE))</f>
        <v>205</v>
      </c>
      <c r="V512" s="50">
        <f>IF($C512="B",VLOOKUP($A512,Bat!$A$4:$BA$1314,48,FALSE),VLOOKUP($A512,Pit!$A$4:$BF$1214,57,FALSE))</f>
        <v>0</v>
      </c>
      <c r="W512" s="68">
        <f>IF(Table5[[#This Row],[posRnk]]=999,9999,Table5[[#This Row],[posRnk]]+Table5[[#This Row],[zRnk]]+IF($W$3&lt;&gt;Table5[[#This Row],[Type]],50,0))</f>
        <v>1490</v>
      </c>
      <c r="X512" s="51">
        <f>RANK(Table5[[#This Row],[zScore]],Table5[[#All],[zScore]])</f>
        <v>540</v>
      </c>
      <c r="Y512" s="50">
        <f>IFERROR(INDEX(DraftResults[[#All],[OVR]],MATCH(Table5[[#This Row],[PID]],DraftResults[[#All],[Player ID]],0)),"")</f>
        <v>668</v>
      </c>
      <c r="Z512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20</v>
      </c>
      <c r="AA512" s="50">
        <f>IFERROR(INDEX(DraftResults[[#All],[Pick in Round]],MATCH(Table5[[#This Row],[PID]],DraftResults[[#All],[Player ID]],0)),"")</f>
        <v>31</v>
      </c>
      <c r="AB512" s="50" t="str">
        <f>IFERROR(INDEX(DraftResults[[#All],[Team Name]],MATCH(Table5[[#This Row],[PID]],DraftResults[[#All],[Player ID]],0)),"")</f>
        <v>West Virginia Alleghenies</v>
      </c>
      <c r="AC512" s="50">
        <f>IF(Table5[[#This Row],[Ovr]]="","",IF(Table5[[#This Row],[cmbList]]="","",Table5[[#This Row],[cmbList]]-Table5[[#This Row],[Ovr]]))</f>
        <v>822</v>
      </c>
      <c r="AD512" s="54" t="str">
        <f>IF(ISERROR(VLOOKUP($AB512&amp;"-"&amp;$E512&amp;" "&amp;F512,Bonuses!$B$1:$G$1006,4,FALSE)),"",INT(VLOOKUP($AB512&amp;"-"&amp;$E512&amp;" "&amp;$F512,Bonuses!$B$1:$G$1006,4,FALSE)))</f>
        <v/>
      </c>
      <c r="AE512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20.31 (668) - C Jejomar Castillanes</v>
      </c>
    </row>
    <row r="513" spans="1:31" s="50" customFormat="1" x14ac:dyDescent="0.3">
      <c r="A513" s="50">
        <v>20273</v>
      </c>
      <c r="B513" s="55">
        <f>COUNTIF(Table5[PID],A513)</f>
        <v>1</v>
      </c>
      <c r="C513" s="55" t="str">
        <f>IF(COUNTIF(Table3[[#All],[PID]],A513)&gt;0,"P","B")</f>
        <v>P</v>
      </c>
      <c r="D513" s="59" t="str">
        <f>IF($C513="B",INDEX(Batters[[#All],[POS]],MATCH(Table5[[#This Row],[PID]],Batters[[#All],[PID]],0)),INDEX(Table3[[#All],[POS]],MATCH(Table5[[#This Row],[PID]],Table3[[#All],[PID]],0)))</f>
        <v>RP</v>
      </c>
      <c r="E513" s="52" t="str">
        <f>IF($C513="B",INDEX(Batters[[#All],[First]],MATCH(Table5[[#This Row],[PID]],Batters[[#All],[PID]],0)),INDEX(Table3[[#All],[First]],MATCH(Table5[[#This Row],[PID]],Table3[[#All],[PID]],0)))</f>
        <v>Ze-min</v>
      </c>
      <c r="F513" s="50" t="str">
        <f>IF($C513="B",INDEX(Batters[[#All],[Last]],MATCH(A513,Batters[[#All],[PID]],0)),INDEX(Table3[[#All],[Last]],MATCH(A513,Table3[[#All],[PID]],0)))</f>
        <v>Mei</v>
      </c>
      <c r="G513" s="56">
        <f>IF($C513="B",INDEX(Batters[[#All],[Age]],MATCH(Table5[[#This Row],[PID]],Batters[[#All],[PID]],0)),INDEX(Table3[[#All],[Age]],MATCH(Table5[[#This Row],[PID]],Table3[[#All],[PID]],0)))</f>
        <v>23</v>
      </c>
      <c r="H513" s="52" t="str">
        <f>IF($C513="B",INDEX(Batters[[#All],[B]],MATCH(Table5[[#This Row],[PID]],Batters[[#All],[PID]],0)),INDEX(Table3[[#All],[B]],MATCH(Table5[[#This Row],[PID]],Table3[[#All],[PID]],0)))</f>
        <v>R</v>
      </c>
      <c r="I513" s="52" t="str">
        <f>IF($C513="B",INDEX(Batters[[#All],[T]],MATCH(Table5[[#This Row],[PID]],Batters[[#All],[PID]],0)),INDEX(Table3[[#All],[T]],MATCH(Table5[[#This Row],[PID]],Table3[[#All],[PID]],0)))</f>
        <v>R</v>
      </c>
      <c r="J513" s="52" t="str">
        <f>IF($C513="B",INDEX(Batters[[#All],[WE]],MATCH(Table5[[#This Row],[PID]],Batters[[#All],[PID]],0)),INDEX(Table3[[#All],[WE]],MATCH(Table5[[#This Row],[PID]],Table3[[#All],[PID]],0)))</f>
        <v>Low</v>
      </c>
      <c r="K513" s="52" t="str">
        <f>IF($C513="B",INDEX(Batters[[#All],[INT]],MATCH(Table5[[#This Row],[PID]],Batters[[#All],[PID]],0)),INDEX(Table3[[#All],[INT]],MATCH(Table5[[#This Row],[PID]],Table3[[#All],[PID]],0)))</f>
        <v>Normal</v>
      </c>
      <c r="L513" s="60">
        <f>IF($C513="B",INDEX(Batters[[#All],[CON P]],MATCH(Table5[[#This Row],[PID]],Batters[[#All],[PID]],0)),INDEX(Table3[[#All],[STU P]],MATCH(Table5[[#This Row],[PID]],Table3[[#All],[PID]],0)))</f>
        <v>4</v>
      </c>
      <c r="M513" s="56">
        <f>IF($C513="B",INDEX(Batters[[#All],[GAP P]],MATCH(Table5[[#This Row],[PID]],Batters[[#All],[PID]],0)),INDEX(Table3[[#All],[MOV P]],MATCH(Table5[[#This Row],[PID]],Table3[[#All],[PID]],0)))</f>
        <v>2</v>
      </c>
      <c r="N513" s="56">
        <f>IF($C513="B",INDEX(Batters[[#All],[POW P]],MATCH(Table5[[#This Row],[PID]],Batters[[#All],[PID]],0)),INDEX(Table3[[#All],[CON P]],MATCH(Table5[[#This Row],[PID]],Table3[[#All],[PID]],0)))</f>
        <v>4</v>
      </c>
      <c r="O513" s="56" t="str">
        <f>IF($C513="B",INDEX(Batters[[#All],[EYE P]],MATCH(Table5[[#This Row],[PID]],Batters[[#All],[PID]],0)),INDEX(Table3[[#All],[VELO]],MATCH(Table5[[#This Row],[PID]],Table3[[#All],[PID]],0)))</f>
        <v>94-96 Mph</v>
      </c>
      <c r="P513" s="56">
        <f>IF($C513="B",INDEX(Batters[[#All],[K P]],MATCH(Table5[[#This Row],[PID]],Batters[[#All],[PID]],0)),INDEX(Table3[[#All],[STM]],MATCH(Table5[[#This Row],[PID]],Table3[[#All],[PID]],0)))</f>
        <v>4</v>
      </c>
      <c r="Q513" s="61">
        <f>IF($C513="B",INDEX(Batters[[#All],[Tot]],MATCH(Table5[[#This Row],[PID]],Batters[[#All],[PID]],0)),INDEX(Table3[[#All],[Tot]],MATCH(Table5[[#This Row],[PID]],Table3[[#All],[PID]],0)))</f>
        <v>32.847098952864691</v>
      </c>
      <c r="R513" s="52">
        <f>IF($C513="B",INDEX(Batters[[#All],[zScore]],MATCH(Table5[[#This Row],[PID]],Batters[[#All],[PID]],0)),INDEX(Table3[[#All],[zScore]],MATCH(Table5[[#This Row],[PID]],Table3[[#All],[PID]],0)))</f>
        <v>-0.35286528627115216</v>
      </c>
      <c r="S513" s="58" t="str">
        <f>IF($C513="B",INDEX(Batters[[#All],[DEM]],MATCH(Table5[[#This Row],[PID]],Batters[[#All],[PID]],0)),INDEX(Table3[[#All],[DEM]],MATCH(Table5[[#This Row],[PID]],Table3[[#All],[PID]],0)))</f>
        <v>-</v>
      </c>
      <c r="T513" s="62">
        <f>IF($C513="B",INDEX(Batters[[#All],[Rnk]],MATCH(Table5[[#This Row],[PID]],Batters[[#All],[PID]],0)),INDEX(Table3[[#All],[Rnk]],MATCH(Table5[[#This Row],[PID]],Table3[[#All],[PID]],0)))</f>
        <v>930</v>
      </c>
      <c r="U513" s="67">
        <f>IF($C513="B",VLOOKUP($A513,Bat!$A$4:$BA$1314,47,FALSE),VLOOKUP($A513,Pit!$A$4:$BF$1214,56,FALSE))</f>
        <v>313</v>
      </c>
      <c r="V513" s="50">
        <f>IF($C513="B",VLOOKUP($A513,Bat!$A$4:$BA$1314,48,FALSE),VLOOKUP($A513,Pit!$A$4:$BF$1214,57,FALSE))</f>
        <v>0</v>
      </c>
      <c r="W513" s="68">
        <f>IF(Table5[[#This Row],[posRnk]]=999,9999,Table5[[#This Row],[posRnk]]+Table5[[#This Row],[zRnk]]+IF($W$3&lt;&gt;Table5[[#This Row],[Type]],50,0))</f>
        <v>1440</v>
      </c>
      <c r="X513" s="51">
        <f>RANK(Table5[[#This Row],[zScore]],Table5[[#All],[zScore]])</f>
        <v>510</v>
      </c>
      <c r="Y513" s="50">
        <f>IFERROR(INDEX(DraftResults[[#All],[OVR]],MATCH(Table5[[#This Row],[PID]],DraftResults[[#All],[Player ID]],0)),"")</f>
        <v>622</v>
      </c>
      <c r="Z513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19</v>
      </c>
      <c r="AA513" s="50">
        <f>IFERROR(INDEX(DraftResults[[#All],[Pick in Round]],MATCH(Table5[[#This Row],[PID]],DraftResults[[#All],[Player ID]],0)),"")</f>
        <v>19</v>
      </c>
      <c r="AB513" s="50" t="str">
        <f>IFERROR(INDEX(DraftResults[[#All],[Team Name]],MATCH(Table5[[#This Row],[PID]],DraftResults[[#All],[Player ID]],0)),"")</f>
        <v>Fargo Dinosaurs</v>
      </c>
      <c r="AC513" s="50">
        <f>IF(Table5[[#This Row],[Ovr]]="","",IF(Table5[[#This Row],[cmbList]]="","",Table5[[#This Row],[cmbList]]-Table5[[#This Row],[Ovr]]))</f>
        <v>818</v>
      </c>
      <c r="AD513" s="54" t="str">
        <f>IF(ISERROR(VLOOKUP($AB513&amp;"-"&amp;$E513&amp;" "&amp;F513,Bonuses!$B$1:$G$1006,4,FALSE)),"",INT(VLOOKUP($AB513&amp;"-"&amp;$E513&amp;" "&amp;$F513,Bonuses!$B$1:$G$1006,4,FALSE)))</f>
        <v/>
      </c>
      <c r="AE513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19.19 (622) - RP Ze-min Mei</v>
      </c>
    </row>
    <row r="514" spans="1:31" s="50" customFormat="1" x14ac:dyDescent="0.3">
      <c r="A514" s="50">
        <v>20333</v>
      </c>
      <c r="B514" s="50">
        <f>COUNTIF(Table5[PID],A514)</f>
        <v>1</v>
      </c>
      <c r="C514" s="50" t="str">
        <f>IF(COUNTIF(Table3[[#All],[PID]],A514)&gt;0,"P","B")</f>
        <v>P</v>
      </c>
      <c r="D514" s="59" t="str">
        <f>IF($C514="B",INDEX(Batters[[#All],[POS]],MATCH(Table5[[#This Row],[PID]],Batters[[#All],[PID]],0)),INDEX(Table3[[#All],[POS]],MATCH(Table5[[#This Row],[PID]],Table3[[#All],[PID]],0)))</f>
        <v>RP</v>
      </c>
      <c r="E514" s="52" t="str">
        <f>IF($C514="B",INDEX(Batters[[#All],[First]],MATCH(Table5[[#This Row],[PID]],Batters[[#All],[PID]],0)),INDEX(Table3[[#All],[First]],MATCH(Table5[[#This Row],[PID]],Table3[[#All],[PID]],0)))</f>
        <v>Shou-feng</v>
      </c>
      <c r="F514" s="50" t="str">
        <f>IF($C514="B",INDEX(Batters[[#All],[Last]],MATCH(A514,Batters[[#All],[PID]],0)),INDEX(Table3[[#All],[Last]],MATCH(A514,Table3[[#All],[PID]],0)))</f>
        <v>Gou</v>
      </c>
      <c r="G514" s="56">
        <f>IF($C514="B",INDEX(Batters[[#All],[Age]],MATCH(Table5[[#This Row],[PID]],Batters[[#All],[PID]],0)),INDEX(Table3[[#All],[Age]],MATCH(Table5[[#This Row],[PID]],Table3[[#All],[PID]],0)))</f>
        <v>17</v>
      </c>
      <c r="H514" s="52" t="str">
        <f>IF($C514="B",INDEX(Batters[[#All],[B]],MATCH(Table5[[#This Row],[PID]],Batters[[#All],[PID]],0)),INDEX(Table3[[#All],[B]],MATCH(Table5[[#This Row],[PID]],Table3[[#All],[PID]],0)))</f>
        <v>L</v>
      </c>
      <c r="I514" s="52" t="str">
        <f>IF($C514="B",INDEX(Batters[[#All],[T]],MATCH(Table5[[#This Row],[PID]],Batters[[#All],[PID]],0)),INDEX(Table3[[#All],[T]],MATCH(Table5[[#This Row],[PID]],Table3[[#All],[PID]],0)))</f>
        <v>L</v>
      </c>
      <c r="J514" s="52" t="str">
        <f>IF($C514="B",INDEX(Batters[[#All],[WE]],MATCH(Table5[[#This Row],[PID]],Batters[[#All],[PID]],0)),INDEX(Table3[[#All],[WE]],MATCH(Table5[[#This Row],[PID]],Table3[[#All],[PID]],0)))</f>
        <v>Normal</v>
      </c>
      <c r="K514" s="52" t="str">
        <f>IF($C514="B",INDEX(Batters[[#All],[INT]],MATCH(Table5[[#This Row],[PID]],Batters[[#All],[PID]],0)),INDEX(Table3[[#All],[INT]],MATCH(Table5[[#This Row],[PID]],Table3[[#All],[PID]],0)))</f>
        <v>Normal</v>
      </c>
      <c r="L514" s="60">
        <f>IF($C514="B",INDEX(Batters[[#All],[CON P]],MATCH(Table5[[#This Row],[PID]],Batters[[#All],[PID]],0)),INDEX(Table3[[#All],[STU P]],MATCH(Table5[[#This Row],[PID]],Table3[[#All],[PID]],0)))</f>
        <v>6</v>
      </c>
      <c r="M514" s="56">
        <f>IF($C514="B",INDEX(Batters[[#All],[GAP P]],MATCH(Table5[[#This Row],[PID]],Batters[[#All],[PID]],0)),INDEX(Table3[[#All],[MOV P]],MATCH(Table5[[#This Row],[PID]],Table3[[#All],[PID]],0)))</f>
        <v>2</v>
      </c>
      <c r="N514" s="56">
        <f>IF($C514="B",INDEX(Batters[[#All],[POW P]],MATCH(Table5[[#This Row],[PID]],Batters[[#All],[PID]],0)),INDEX(Table3[[#All],[CON P]],MATCH(Table5[[#This Row],[PID]],Table3[[#All],[PID]],0)))</f>
        <v>2</v>
      </c>
      <c r="O514" s="56" t="str">
        <f>IF($C514="B",INDEX(Batters[[#All],[EYE P]],MATCH(Table5[[#This Row],[PID]],Batters[[#All],[PID]],0)),INDEX(Table3[[#All],[VELO]],MATCH(Table5[[#This Row],[PID]],Table3[[#All],[PID]],0)))</f>
        <v>90-92 Mph</v>
      </c>
      <c r="P514" s="56">
        <f>IF($C514="B",INDEX(Batters[[#All],[K P]],MATCH(Table5[[#This Row],[PID]],Batters[[#All],[PID]],0)),INDEX(Table3[[#All],[STM]],MATCH(Table5[[#This Row],[PID]],Table3[[#All],[PID]],0)))</f>
        <v>1</v>
      </c>
      <c r="Q514" s="61">
        <f>IF($C514="B",INDEX(Batters[[#All],[Tot]],MATCH(Table5[[#This Row],[PID]],Batters[[#All],[PID]],0)),INDEX(Table3[[#All],[Tot]],MATCH(Table5[[#This Row],[PID]],Table3[[#All],[PID]],0)))</f>
        <v>31.872001662411982</v>
      </c>
      <c r="R514" s="52">
        <f>IF($C514="B",INDEX(Batters[[#All],[zScore]],MATCH(Table5[[#This Row],[PID]],Batters[[#All],[PID]],0)),INDEX(Table3[[#All],[zScore]],MATCH(Table5[[#This Row],[PID]],Table3[[#All],[PID]],0)))</f>
        <v>-0.42229907108676756</v>
      </c>
      <c r="S514" s="58" t="str">
        <f>IF($C514="B",INDEX(Batters[[#All],[DEM]],MATCH(Table5[[#This Row],[PID]],Batters[[#All],[PID]],0)),INDEX(Table3[[#All],[DEM]],MATCH(Table5[[#This Row],[PID]],Table3[[#All],[PID]],0)))</f>
        <v>$80k</v>
      </c>
      <c r="T514" s="62">
        <f>IF($C514="B",INDEX(Batters[[#All],[Rnk]],MATCH(Table5[[#This Row],[PID]],Batters[[#All],[PID]],0)),INDEX(Table3[[#All],[Rnk]],MATCH(Table5[[#This Row],[PID]],Table3[[#All],[PID]],0)))</f>
        <v>900</v>
      </c>
      <c r="U514" s="67">
        <f>IF($C514="B",VLOOKUP($A514,Bat!$A$4:$BA$1314,47,FALSE),VLOOKUP($A514,Pit!$A$4:$BF$1214,56,FALSE))</f>
        <v>179</v>
      </c>
      <c r="V514" s="50">
        <f>IF($C514="B",VLOOKUP($A514,Bat!$A$4:$BA$1314,48,FALSE),VLOOKUP($A514,Pit!$A$4:$BF$1214,57,FALSE))</f>
        <v>0</v>
      </c>
      <c r="W514" s="68">
        <f>IF(Table5[[#This Row],[posRnk]]=999,9999,Table5[[#This Row],[posRnk]]+Table5[[#This Row],[zRnk]]+IF($W$3&lt;&gt;Table5[[#This Row],[Type]],50,0))</f>
        <v>1441</v>
      </c>
      <c r="X514" s="51">
        <f>RANK(Table5[[#This Row],[zScore]],Table5[[#All],[zScore]])</f>
        <v>541</v>
      </c>
      <c r="Y514" s="50">
        <f>IFERROR(INDEX(DraftResults[[#All],[OVR]],MATCH(Table5[[#This Row],[PID]],DraftResults[[#All],[Player ID]],0)),"")</f>
        <v>593</v>
      </c>
      <c r="Z514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18</v>
      </c>
      <c r="AA514" s="50">
        <f>IFERROR(INDEX(DraftResults[[#All],[Pick in Round]],MATCH(Table5[[#This Row],[PID]],DraftResults[[#All],[Player ID]],0)),"")</f>
        <v>24</v>
      </c>
      <c r="AB514" s="50" t="str">
        <f>IFERROR(INDEX(DraftResults[[#All],[Team Name]],MATCH(Table5[[#This Row],[PID]],DraftResults[[#All],[Player ID]],0)),"")</f>
        <v>Reno Zephyrs</v>
      </c>
      <c r="AC514" s="50">
        <f>IF(Table5[[#This Row],[Ovr]]="","",IF(Table5[[#This Row],[cmbList]]="","",Table5[[#This Row],[cmbList]]-Table5[[#This Row],[Ovr]]))</f>
        <v>848</v>
      </c>
      <c r="AD514" s="54" t="str">
        <f>IF(ISERROR(VLOOKUP($AB514&amp;"-"&amp;$E514&amp;" "&amp;F514,Bonuses!$B$1:$G$1006,4,FALSE)),"",INT(VLOOKUP($AB514&amp;"-"&amp;$E514&amp;" "&amp;$F514,Bonuses!$B$1:$G$1006,4,FALSE)))</f>
        <v/>
      </c>
      <c r="AE514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18.24 (593) - RP Shou-feng Gou</v>
      </c>
    </row>
    <row r="515" spans="1:31" s="50" customFormat="1" x14ac:dyDescent="0.3">
      <c r="A515" s="50">
        <v>20931</v>
      </c>
      <c r="B515" s="50">
        <f>COUNTIF(Table5[PID],A515)</f>
        <v>1</v>
      </c>
      <c r="C515" s="50" t="str">
        <f>IF(COUNTIF(Table3[[#All],[PID]],A515)&gt;0,"P","B")</f>
        <v>P</v>
      </c>
      <c r="D515" s="59" t="str">
        <f>IF($C515="B",INDEX(Batters[[#All],[POS]],MATCH(Table5[[#This Row],[PID]],Batters[[#All],[PID]],0)),INDEX(Table3[[#All],[POS]],MATCH(Table5[[#This Row],[PID]],Table3[[#All],[PID]],0)))</f>
        <v>RP</v>
      </c>
      <c r="E515" s="52" t="str">
        <f>IF($C515="B",INDEX(Batters[[#All],[First]],MATCH(Table5[[#This Row],[PID]],Batters[[#All],[PID]],0)),INDEX(Table3[[#All],[First]],MATCH(Table5[[#This Row],[PID]],Table3[[#All],[PID]],0)))</f>
        <v>Aurelio</v>
      </c>
      <c r="F515" s="50" t="str">
        <f>IF($C515="B",INDEX(Batters[[#All],[Last]],MATCH(A515,Batters[[#All],[PID]],0)),INDEX(Table3[[#All],[Last]],MATCH(A515,Table3[[#All],[PID]],0)))</f>
        <v>Lucero</v>
      </c>
      <c r="G515" s="56">
        <f>IF($C515="B",INDEX(Batters[[#All],[Age]],MATCH(Table5[[#This Row],[PID]],Batters[[#All],[PID]],0)),INDEX(Table3[[#All],[Age]],MATCH(Table5[[#This Row],[PID]],Table3[[#All],[PID]],0)))</f>
        <v>17</v>
      </c>
      <c r="H515" s="52" t="str">
        <f>IF($C515="B",INDEX(Batters[[#All],[B]],MATCH(Table5[[#This Row],[PID]],Batters[[#All],[PID]],0)),INDEX(Table3[[#All],[B]],MATCH(Table5[[#This Row],[PID]],Table3[[#All],[PID]],0)))</f>
        <v>L</v>
      </c>
      <c r="I515" s="52" t="str">
        <f>IF($C515="B",INDEX(Batters[[#All],[T]],MATCH(Table5[[#This Row],[PID]],Batters[[#All],[PID]],0)),INDEX(Table3[[#All],[T]],MATCH(Table5[[#This Row],[PID]],Table3[[#All],[PID]],0)))</f>
        <v>L</v>
      </c>
      <c r="J515" s="52" t="str">
        <f>IF($C515="B",INDEX(Batters[[#All],[WE]],MATCH(Table5[[#This Row],[PID]],Batters[[#All],[PID]],0)),INDEX(Table3[[#All],[WE]],MATCH(Table5[[#This Row],[PID]],Table3[[#All],[PID]],0)))</f>
        <v>Normal</v>
      </c>
      <c r="K515" s="52" t="str">
        <f>IF($C515="B",INDEX(Batters[[#All],[INT]],MATCH(Table5[[#This Row],[PID]],Batters[[#All],[PID]],0)),INDEX(Table3[[#All],[INT]],MATCH(Table5[[#This Row],[PID]],Table3[[#All],[PID]],0)))</f>
        <v>Normal</v>
      </c>
      <c r="L515" s="60">
        <f>IF($C515="B",INDEX(Batters[[#All],[CON P]],MATCH(Table5[[#This Row],[PID]],Batters[[#All],[PID]],0)),INDEX(Table3[[#All],[STU P]],MATCH(Table5[[#This Row],[PID]],Table3[[#All],[PID]],0)))</f>
        <v>5</v>
      </c>
      <c r="M515" s="56">
        <f>IF($C515="B",INDEX(Batters[[#All],[GAP P]],MATCH(Table5[[#This Row],[PID]],Batters[[#All],[PID]],0)),INDEX(Table3[[#All],[MOV P]],MATCH(Table5[[#This Row],[PID]],Table3[[#All],[PID]],0)))</f>
        <v>1</v>
      </c>
      <c r="N515" s="56">
        <f>IF($C515="B",INDEX(Batters[[#All],[POW P]],MATCH(Table5[[#This Row],[PID]],Batters[[#All],[PID]],0)),INDEX(Table3[[#All],[CON P]],MATCH(Table5[[#This Row],[PID]],Table3[[#All],[PID]],0)))</f>
        <v>4</v>
      </c>
      <c r="O515" s="56" t="str">
        <f>IF($C515="B",INDEX(Batters[[#All],[EYE P]],MATCH(Table5[[#This Row],[PID]],Batters[[#All],[PID]],0)),INDEX(Table3[[#All],[VELO]],MATCH(Table5[[#This Row],[PID]],Table3[[#All],[PID]],0)))</f>
        <v>89-91 Mph</v>
      </c>
      <c r="P515" s="56">
        <f>IF($C515="B",INDEX(Batters[[#All],[K P]],MATCH(Table5[[#This Row],[PID]],Batters[[#All],[PID]],0)),INDEX(Table3[[#All],[STM]],MATCH(Table5[[#This Row],[PID]],Table3[[#All],[PID]],0)))</f>
        <v>8</v>
      </c>
      <c r="Q515" s="61">
        <f>IF($C515="B",INDEX(Batters[[#All],[Tot]],MATCH(Table5[[#This Row],[PID]],Batters[[#All],[PID]],0)),INDEX(Table3[[#All],[Tot]],MATCH(Table5[[#This Row],[PID]],Table3[[#All],[PID]],0)))</f>
        <v>31.593391596678291</v>
      </c>
      <c r="R515" s="52">
        <f>IF($C515="B",INDEX(Batters[[#All],[zScore]],MATCH(Table5[[#This Row],[PID]],Batters[[#All],[PID]],0)),INDEX(Table3[[#All],[zScore]],MATCH(Table5[[#This Row],[PID]],Table3[[#All],[PID]],0)))</f>
        <v>-0.43551479867358717</v>
      </c>
      <c r="S515" s="58" t="str">
        <f>IF($C515="B",INDEX(Batters[[#All],[DEM]],MATCH(Table5[[#This Row],[PID]],Batters[[#All],[PID]],0)),INDEX(Table3[[#All],[DEM]],MATCH(Table5[[#This Row],[PID]],Table3[[#All],[PID]],0)))</f>
        <v>$38k</v>
      </c>
      <c r="T515" s="62">
        <f>IF($C515="B",INDEX(Batters[[#All],[Rnk]],MATCH(Table5[[#This Row],[PID]],Batters[[#All],[PID]],0)),INDEX(Table3[[#All],[Rnk]],MATCH(Table5[[#This Row],[PID]],Table3[[#All],[PID]],0)))</f>
        <v>900</v>
      </c>
      <c r="U515" s="67">
        <f>IF($C515="B",VLOOKUP($A515,Bat!$A$4:$BA$1314,47,FALSE),VLOOKUP($A515,Pit!$A$4:$BF$1214,56,FALSE))</f>
        <v>182</v>
      </c>
      <c r="V515" s="50">
        <f>IF($C515="B",VLOOKUP($A515,Bat!$A$4:$BA$1314,48,FALSE),VLOOKUP($A515,Pit!$A$4:$BF$1214,57,FALSE))</f>
        <v>0</v>
      </c>
      <c r="W515" s="68">
        <f>IF(Table5[[#This Row],[posRnk]]=999,9999,Table5[[#This Row],[posRnk]]+Table5[[#This Row],[zRnk]]+IF($W$3&lt;&gt;Table5[[#This Row],[Type]],50,0))</f>
        <v>1443</v>
      </c>
      <c r="X515" s="51">
        <f>RANK(Table5[[#This Row],[zScore]],Table5[[#All],[zScore]])</f>
        <v>543</v>
      </c>
      <c r="Y515" s="50">
        <f>IFERROR(INDEX(DraftResults[[#All],[OVR]],MATCH(Table5[[#This Row],[PID]],DraftResults[[#All],[Player ID]],0)),"")</f>
        <v>455</v>
      </c>
      <c r="Z515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14</v>
      </c>
      <c r="AA515" s="50">
        <f>IFERROR(INDEX(DraftResults[[#All],[Pick in Round]],MATCH(Table5[[#This Row],[PID]],DraftResults[[#All],[Player ID]],0)),"")</f>
        <v>22</v>
      </c>
      <c r="AB515" s="50" t="str">
        <f>IFERROR(INDEX(DraftResults[[#All],[Team Name]],MATCH(Table5[[#This Row],[PID]],DraftResults[[#All],[Player ID]],0)),"")</f>
        <v>Bakersfield Bears</v>
      </c>
      <c r="AC515" s="50">
        <f>IF(Table5[[#This Row],[Ovr]]="","",IF(Table5[[#This Row],[cmbList]]="","",Table5[[#This Row],[cmbList]]-Table5[[#This Row],[Ovr]]))</f>
        <v>988</v>
      </c>
      <c r="AD515" s="54" t="str">
        <f>IF(ISERROR(VLOOKUP($AB515&amp;"-"&amp;$E515&amp;" "&amp;F515,Bonuses!$B$1:$G$1006,4,FALSE)),"",INT(VLOOKUP($AB515&amp;"-"&amp;$E515&amp;" "&amp;$F515,Bonuses!$B$1:$G$1006,4,FALSE)))</f>
        <v/>
      </c>
      <c r="AE515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14.22 (455) - RP Aurelio Lucero</v>
      </c>
    </row>
    <row r="516" spans="1:31" s="50" customFormat="1" x14ac:dyDescent="0.3">
      <c r="A516" s="50">
        <v>14473</v>
      </c>
      <c r="B516" s="50">
        <f>COUNTIF(Table5[PID],A516)</f>
        <v>1</v>
      </c>
      <c r="C516" s="50" t="str">
        <f>IF(COUNTIF(Table3[[#All],[PID]],A516)&gt;0,"P","B")</f>
        <v>P</v>
      </c>
      <c r="D516" s="59" t="str">
        <f>IF($C516="B",INDEX(Batters[[#All],[POS]],MATCH(Table5[[#This Row],[PID]],Batters[[#All],[PID]],0)),INDEX(Table3[[#All],[POS]],MATCH(Table5[[#This Row],[PID]],Table3[[#All],[PID]],0)))</f>
        <v>SP</v>
      </c>
      <c r="E516" s="52" t="str">
        <f>IF($C516="B",INDEX(Batters[[#All],[First]],MATCH(Table5[[#This Row],[PID]],Batters[[#All],[PID]],0)),INDEX(Table3[[#All],[First]],MATCH(Table5[[#This Row],[PID]],Table3[[#All],[PID]],0)))</f>
        <v>Luke</v>
      </c>
      <c r="F516" s="50" t="str">
        <f>IF($C516="B",INDEX(Batters[[#All],[Last]],MATCH(A516,Batters[[#All],[PID]],0)),INDEX(Table3[[#All],[Last]],MATCH(A516,Table3[[#All],[PID]],0)))</f>
        <v>MacWilliams</v>
      </c>
      <c r="G516" s="56">
        <f>IF($C516="B",INDEX(Batters[[#All],[Age]],MATCH(Table5[[#This Row],[PID]],Batters[[#All],[PID]],0)),INDEX(Table3[[#All],[Age]],MATCH(Table5[[#This Row],[PID]],Table3[[#All],[PID]],0)))</f>
        <v>21</v>
      </c>
      <c r="H516" s="52" t="str">
        <f>IF($C516="B",INDEX(Batters[[#All],[B]],MATCH(Table5[[#This Row],[PID]],Batters[[#All],[PID]],0)),INDEX(Table3[[#All],[B]],MATCH(Table5[[#This Row],[PID]],Table3[[#All],[PID]],0)))</f>
        <v>R</v>
      </c>
      <c r="I516" s="52" t="str">
        <f>IF($C516="B",INDEX(Batters[[#All],[T]],MATCH(Table5[[#This Row],[PID]],Batters[[#All],[PID]],0)),INDEX(Table3[[#All],[T]],MATCH(Table5[[#This Row],[PID]],Table3[[#All],[PID]],0)))</f>
        <v>R</v>
      </c>
      <c r="J516" s="52" t="str">
        <f>IF($C516="B",INDEX(Batters[[#All],[WE]],MATCH(Table5[[#This Row],[PID]],Batters[[#All],[PID]],0)),INDEX(Table3[[#All],[WE]],MATCH(Table5[[#This Row],[PID]],Table3[[#All],[PID]],0)))</f>
        <v>Normal</v>
      </c>
      <c r="K516" s="52" t="str">
        <f>IF($C516="B",INDEX(Batters[[#All],[INT]],MATCH(Table5[[#This Row],[PID]],Batters[[#All],[PID]],0)),INDEX(Table3[[#All],[INT]],MATCH(Table5[[#This Row],[PID]],Table3[[#All],[PID]],0)))</f>
        <v>Normal</v>
      </c>
      <c r="L516" s="60">
        <f>IF($C516="B",INDEX(Batters[[#All],[CON P]],MATCH(Table5[[#This Row],[PID]],Batters[[#All],[PID]],0)),INDEX(Table3[[#All],[STU P]],MATCH(Table5[[#This Row],[PID]],Table3[[#All],[PID]],0)))</f>
        <v>5</v>
      </c>
      <c r="M516" s="56">
        <f>IF($C516="B",INDEX(Batters[[#All],[GAP P]],MATCH(Table5[[#This Row],[PID]],Batters[[#All],[PID]],0)),INDEX(Table3[[#All],[MOV P]],MATCH(Table5[[#This Row],[PID]],Table3[[#All],[PID]],0)))</f>
        <v>2</v>
      </c>
      <c r="N516" s="56">
        <f>IF($C516="B",INDEX(Batters[[#All],[POW P]],MATCH(Table5[[#This Row],[PID]],Batters[[#All],[PID]],0)),INDEX(Table3[[#All],[CON P]],MATCH(Table5[[#This Row],[PID]],Table3[[#All],[PID]],0)))</f>
        <v>2</v>
      </c>
      <c r="O516" s="56" t="str">
        <f>IF($C516="B",INDEX(Batters[[#All],[EYE P]],MATCH(Table5[[#This Row],[PID]],Batters[[#All],[PID]],0)),INDEX(Table3[[#All],[VELO]],MATCH(Table5[[#This Row],[PID]],Table3[[#All],[PID]],0)))</f>
        <v>91-93 Mph</v>
      </c>
      <c r="P516" s="56">
        <f>IF($C516="B",INDEX(Batters[[#All],[K P]],MATCH(Table5[[#This Row],[PID]],Batters[[#All],[PID]],0)),INDEX(Table3[[#All],[STM]],MATCH(Table5[[#This Row],[PID]],Table3[[#All],[PID]],0)))</f>
        <v>5</v>
      </c>
      <c r="Q516" s="61">
        <f>IF($C516="B",INDEX(Batters[[#All],[Tot]],MATCH(Table5[[#This Row],[PID]],Batters[[#All],[PID]],0)),INDEX(Table3[[#All],[Tot]],MATCH(Table5[[#This Row],[PID]],Table3[[#All],[PID]],0)))</f>
        <v>31.398332385740968</v>
      </c>
      <c r="R516" s="52">
        <f>IF($C516="B",INDEX(Batters[[#All],[zScore]],MATCH(Table5[[#This Row],[PID]],Batters[[#All],[PID]],0)),INDEX(Table3[[#All],[zScore]],MATCH(Table5[[#This Row],[PID]],Table3[[#All],[PID]],0)))</f>
        <v>-0.44939201983631694</v>
      </c>
      <c r="S516" s="58" t="str">
        <f>IF($C516="B",INDEX(Batters[[#All],[DEM]],MATCH(Table5[[#This Row],[PID]],Batters[[#All],[PID]],0)),INDEX(Table3[[#All],[DEM]],MATCH(Table5[[#This Row],[PID]],Table3[[#All],[PID]],0)))</f>
        <v>-</v>
      </c>
      <c r="T516" s="62">
        <f>IF($C516="B",INDEX(Batters[[#All],[Rnk]],MATCH(Table5[[#This Row],[PID]],Batters[[#All],[PID]],0)),INDEX(Table3[[#All],[Rnk]],MATCH(Table5[[#This Row],[PID]],Table3[[#All],[PID]],0)))</f>
        <v>900</v>
      </c>
      <c r="U516" s="67">
        <f>IF($C516="B",VLOOKUP($A516,Bat!$A$4:$BA$1314,47,FALSE),VLOOKUP($A516,Pit!$A$4:$BF$1214,56,FALSE))</f>
        <v>183</v>
      </c>
      <c r="V516" s="50">
        <f>IF($C516="B",VLOOKUP($A516,Bat!$A$4:$BA$1314,48,FALSE),VLOOKUP($A516,Pit!$A$4:$BF$1214,57,FALSE))</f>
        <v>0</v>
      </c>
      <c r="W516" s="68">
        <f>IF(Table5[[#This Row],[posRnk]]=999,9999,Table5[[#This Row],[posRnk]]+Table5[[#This Row],[zRnk]]+IF($W$3&lt;&gt;Table5[[#This Row],[Type]],50,0))</f>
        <v>1446</v>
      </c>
      <c r="X516" s="51">
        <f>RANK(Table5[[#This Row],[zScore]],Table5[[#All],[zScore]])</f>
        <v>546</v>
      </c>
      <c r="Y516" s="50">
        <f>IFERROR(INDEX(DraftResults[[#All],[OVR]],MATCH(Table5[[#This Row],[PID]],DraftResults[[#All],[Player ID]],0)),"")</f>
        <v>301</v>
      </c>
      <c r="Z516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10</v>
      </c>
      <c r="AA516" s="50">
        <f>IFERROR(INDEX(DraftResults[[#All],[Pick in Round]],MATCH(Table5[[#This Row],[PID]],DraftResults[[#All],[Player ID]],0)),"")</f>
        <v>4</v>
      </c>
      <c r="AB516" s="50" t="str">
        <f>IFERROR(INDEX(DraftResults[[#All],[Team Name]],MATCH(Table5[[#This Row],[PID]],DraftResults[[#All],[Player ID]],0)),"")</f>
        <v>Palm Springs Codgers</v>
      </c>
      <c r="AC516" s="50">
        <f>IF(Table5[[#This Row],[Ovr]]="","",IF(Table5[[#This Row],[cmbList]]="","",Table5[[#This Row],[cmbList]]-Table5[[#This Row],[Ovr]]))</f>
        <v>1145</v>
      </c>
      <c r="AD516" s="54" t="str">
        <f>IF(ISERROR(VLOOKUP($AB516&amp;"-"&amp;$E516&amp;" "&amp;F516,Bonuses!$B$1:$G$1006,4,FALSE)),"",INT(VLOOKUP($AB516&amp;"-"&amp;$E516&amp;" "&amp;$F516,Bonuses!$B$1:$G$1006,4,FALSE)))</f>
        <v/>
      </c>
      <c r="AE516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10.4 (301) - SP Luke MacWilliams</v>
      </c>
    </row>
    <row r="517" spans="1:31" s="50" customFormat="1" x14ac:dyDescent="0.3">
      <c r="A517" s="50">
        <v>10648</v>
      </c>
      <c r="B517" s="50">
        <f>COUNTIF(Table5[PID],A517)</f>
        <v>1</v>
      </c>
      <c r="C517" s="50" t="str">
        <f>IF(COUNTIF(Table3[[#All],[PID]],A517)&gt;0,"P","B")</f>
        <v>P</v>
      </c>
      <c r="D517" s="59" t="str">
        <f>IF($C517="B",INDEX(Batters[[#All],[POS]],MATCH(Table5[[#This Row],[PID]],Batters[[#All],[PID]],0)),INDEX(Table3[[#All],[POS]],MATCH(Table5[[#This Row],[PID]],Table3[[#All],[PID]],0)))</f>
        <v>RP</v>
      </c>
      <c r="E517" s="52" t="str">
        <f>IF($C517="B",INDEX(Batters[[#All],[First]],MATCH(Table5[[#This Row],[PID]],Batters[[#All],[PID]],0)),INDEX(Table3[[#All],[First]],MATCH(Table5[[#This Row],[PID]],Table3[[#All],[PID]],0)))</f>
        <v>Aurelio</v>
      </c>
      <c r="F517" s="50" t="str">
        <f>IF($C517="B",INDEX(Batters[[#All],[Last]],MATCH(A517,Batters[[#All],[PID]],0)),INDEX(Table3[[#All],[Last]],MATCH(A517,Table3[[#All],[PID]],0)))</f>
        <v>Camacho</v>
      </c>
      <c r="G517" s="56">
        <f>IF($C517="B",INDEX(Batters[[#All],[Age]],MATCH(Table5[[#This Row],[PID]],Batters[[#All],[PID]],0)),INDEX(Table3[[#All],[Age]],MATCH(Table5[[#This Row],[PID]],Table3[[#All],[PID]],0)))</f>
        <v>17</v>
      </c>
      <c r="H517" s="52" t="str">
        <f>IF($C517="B",INDEX(Batters[[#All],[B]],MATCH(Table5[[#This Row],[PID]],Batters[[#All],[PID]],0)),INDEX(Table3[[#All],[B]],MATCH(Table5[[#This Row],[PID]],Table3[[#All],[PID]],0)))</f>
        <v>L</v>
      </c>
      <c r="I517" s="52" t="str">
        <f>IF($C517="B",INDEX(Batters[[#All],[T]],MATCH(Table5[[#This Row],[PID]],Batters[[#All],[PID]],0)),INDEX(Table3[[#All],[T]],MATCH(Table5[[#This Row],[PID]],Table3[[#All],[PID]],0)))</f>
        <v>L</v>
      </c>
      <c r="J517" s="52" t="str">
        <f>IF($C517="B",INDEX(Batters[[#All],[WE]],MATCH(Table5[[#This Row],[PID]],Batters[[#All],[PID]],0)),INDEX(Table3[[#All],[WE]],MATCH(Table5[[#This Row],[PID]],Table3[[#All],[PID]],0)))</f>
        <v>Normal</v>
      </c>
      <c r="K517" s="52" t="str">
        <f>IF($C517="B",INDEX(Batters[[#All],[INT]],MATCH(Table5[[#This Row],[PID]],Batters[[#All],[PID]],0)),INDEX(Table3[[#All],[INT]],MATCH(Table5[[#This Row],[PID]],Table3[[#All],[PID]],0)))</f>
        <v>Low</v>
      </c>
      <c r="L517" s="60">
        <f>IF($C517="B",INDEX(Batters[[#All],[CON P]],MATCH(Table5[[#This Row],[PID]],Batters[[#All],[PID]],0)),INDEX(Table3[[#All],[STU P]],MATCH(Table5[[#This Row],[PID]],Table3[[#All],[PID]],0)))</f>
        <v>5</v>
      </c>
      <c r="M517" s="56">
        <f>IF($C517="B",INDEX(Batters[[#All],[GAP P]],MATCH(Table5[[#This Row],[PID]],Batters[[#All],[PID]],0)),INDEX(Table3[[#All],[MOV P]],MATCH(Table5[[#This Row],[PID]],Table3[[#All],[PID]],0)))</f>
        <v>1</v>
      </c>
      <c r="N517" s="56">
        <f>IF($C517="B",INDEX(Batters[[#All],[POW P]],MATCH(Table5[[#This Row],[PID]],Batters[[#All],[PID]],0)),INDEX(Table3[[#All],[CON P]],MATCH(Table5[[#This Row],[PID]],Table3[[#All],[PID]],0)))</f>
        <v>3</v>
      </c>
      <c r="O517" s="56" t="str">
        <f>IF($C517="B",INDEX(Batters[[#All],[EYE P]],MATCH(Table5[[#This Row],[PID]],Batters[[#All],[PID]],0)),INDEX(Table3[[#All],[VELO]],MATCH(Table5[[#This Row],[PID]],Table3[[#All],[PID]],0)))</f>
        <v>89-91 Mph</v>
      </c>
      <c r="P517" s="56">
        <f>IF($C517="B",INDEX(Batters[[#All],[K P]],MATCH(Table5[[#This Row],[PID]],Batters[[#All],[PID]],0)),INDEX(Table3[[#All],[STM]],MATCH(Table5[[#This Row],[PID]],Table3[[#All],[PID]],0)))</f>
        <v>2</v>
      </c>
      <c r="Q517" s="61">
        <f>IF($C517="B",INDEX(Batters[[#All],[Tot]],MATCH(Table5[[#This Row],[PID]],Batters[[#All],[PID]],0)),INDEX(Table3[[#All],[Tot]],MATCH(Table5[[#This Row],[PID]],Table3[[#All],[PID]],0)))</f>
        <v>32.977131261816275</v>
      </c>
      <c r="R517" s="52">
        <f>IF($C517="B",INDEX(Batters[[#All],[zScore]],MATCH(Table5[[#This Row],[PID]],Batters[[#All],[PID]],0)),INDEX(Table3[[#All],[zScore]],MATCH(Table5[[#This Row],[PID]],Table3[[#All],[PID]],0)))</f>
        <v>-0.3436060713730878</v>
      </c>
      <c r="S517" s="58" t="str">
        <f>IF($C517="B",INDEX(Batters[[#All],[DEM]],MATCH(Table5[[#This Row],[PID]],Batters[[#All],[PID]],0)),INDEX(Table3[[#All],[DEM]],MATCH(Table5[[#This Row],[PID]],Table3[[#All],[PID]],0)))</f>
        <v>$70k</v>
      </c>
      <c r="T517" s="62">
        <f>IF($C517="B",INDEX(Batters[[#All],[Rnk]],MATCH(Table5[[#This Row],[PID]],Batters[[#All],[PID]],0)),INDEX(Table3[[#All],[Rnk]],MATCH(Table5[[#This Row],[PID]],Table3[[#All],[PID]],0)))</f>
        <v>940</v>
      </c>
      <c r="U517" s="67">
        <f>IF($C517="B",VLOOKUP($A517,Bat!$A$4:$BA$1314,47,FALSE),VLOOKUP($A517,Pit!$A$4:$BF$1214,56,FALSE))</f>
        <v>395</v>
      </c>
      <c r="V517" s="50">
        <f>IF($C517="B",VLOOKUP($A517,Bat!$A$4:$BA$1314,48,FALSE),VLOOKUP($A517,Pit!$A$4:$BF$1214,57,FALSE))</f>
        <v>0</v>
      </c>
      <c r="W517" s="68">
        <f>IF(Table5[[#This Row],[posRnk]]=999,9999,Table5[[#This Row],[posRnk]]+Table5[[#This Row],[zRnk]]+IF($W$3&lt;&gt;Table5[[#This Row],[Type]],50,0))</f>
        <v>1446</v>
      </c>
      <c r="X517" s="51">
        <f>RANK(Table5[[#This Row],[zScore]],Table5[[#All],[zScore]])</f>
        <v>506</v>
      </c>
      <c r="Y517" s="50" t="str">
        <f>IFERROR(INDEX(DraftResults[[#All],[OVR]],MATCH(Table5[[#This Row],[PID]],DraftResults[[#All],[Player ID]],0)),"")</f>
        <v/>
      </c>
      <c r="Z517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/>
      </c>
      <c r="AA517" s="50" t="str">
        <f>IFERROR(INDEX(DraftResults[[#All],[Pick in Round]],MATCH(Table5[[#This Row],[PID]],DraftResults[[#All],[Player ID]],0)),"")</f>
        <v/>
      </c>
      <c r="AB517" s="50" t="str">
        <f>IFERROR(INDEX(DraftResults[[#All],[Team Name]],MATCH(Table5[[#This Row],[PID]],DraftResults[[#All],[Player ID]],0)),"")</f>
        <v/>
      </c>
      <c r="AC517" s="50" t="str">
        <f>IF(Table5[[#This Row],[Ovr]]="","",IF(Table5[[#This Row],[cmbList]]="","",Table5[[#This Row],[cmbList]]-Table5[[#This Row],[Ovr]]))</f>
        <v/>
      </c>
      <c r="AD517" s="54" t="str">
        <f>IF(ISERROR(VLOOKUP($AB517&amp;"-"&amp;$E517&amp;" "&amp;F517,Bonuses!$B$1:$G$1006,4,FALSE)),"",INT(VLOOKUP($AB517&amp;"-"&amp;$E517&amp;" "&amp;$F517,Bonuses!$B$1:$G$1006,4,FALSE)))</f>
        <v/>
      </c>
      <c r="AE517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/>
      </c>
    </row>
    <row r="518" spans="1:31" s="50" customFormat="1" x14ac:dyDescent="0.3">
      <c r="A518" s="67">
        <v>9828</v>
      </c>
      <c r="B518" s="68">
        <f>COUNTIF(Table5[PID],A518)</f>
        <v>1</v>
      </c>
      <c r="C518" s="68" t="str">
        <f>IF(COUNTIF(Table3[[#All],[PID]],A518)&gt;0,"P","B")</f>
        <v>B</v>
      </c>
      <c r="D518" s="59" t="str">
        <f>IF($C518="B",INDEX(Batters[[#All],[POS]],MATCH(Table5[[#This Row],[PID]],Batters[[#All],[PID]],0)),INDEX(Table3[[#All],[POS]],MATCH(Table5[[#This Row],[PID]],Table3[[#All],[PID]],0)))</f>
        <v>LF</v>
      </c>
      <c r="E518" s="52" t="str">
        <f>IF($C518="B",INDEX(Batters[[#All],[First]],MATCH(Table5[[#This Row],[PID]],Batters[[#All],[PID]],0)),INDEX(Table3[[#All],[First]],MATCH(Table5[[#This Row],[PID]],Table3[[#All],[PID]],0)))</f>
        <v>Norberto</v>
      </c>
      <c r="F518" s="55" t="str">
        <f>IF($C518="B",INDEX(Batters[[#All],[Last]],MATCH(A518,Batters[[#All],[PID]],0)),INDEX(Table3[[#All],[Last]],MATCH(A518,Table3[[#All],[PID]],0)))</f>
        <v>De Jesús</v>
      </c>
      <c r="G518" s="56">
        <f>IF($C518="B",INDEX(Batters[[#All],[Age]],MATCH(Table5[[#This Row],[PID]],Batters[[#All],[PID]],0)),INDEX(Table3[[#All],[Age]],MATCH(Table5[[#This Row],[PID]],Table3[[#All],[PID]],0)))</f>
        <v>22</v>
      </c>
      <c r="H518" s="52" t="str">
        <f>IF($C518="B",INDEX(Batters[[#All],[B]],MATCH(Table5[[#This Row],[PID]],Batters[[#All],[PID]],0)),INDEX(Table3[[#All],[B]],MATCH(Table5[[#This Row],[PID]],Table3[[#All],[PID]],0)))</f>
        <v>S</v>
      </c>
      <c r="I518" s="52" t="str">
        <f>IF($C518="B",INDEX(Batters[[#All],[T]],MATCH(Table5[[#This Row],[PID]],Batters[[#All],[PID]],0)),INDEX(Table3[[#All],[T]],MATCH(Table5[[#This Row],[PID]],Table3[[#All],[PID]],0)))</f>
        <v>L</v>
      </c>
      <c r="J518" s="69" t="str">
        <f>IF($C518="B",INDEX(Batters[[#All],[WE]],MATCH(Table5[[#This Row],[PID]],Batters[[#All],[PID]],0)),INDEX(Table3[[#All],[WE]],MATCH(Table5[[#This Row],[PID]],Table3[[#All],[PID]],0)))</f>
        <v>High</v>
      </c>
      <c r="K518" s="52" t="str">
        <f>IF($C518="B",INDEX(Batters[[#All],[INT]],MATCH(Table5[[#This Row],[PID]],Batters[[#All],[PID]],0)),INDEX(Table3[[#All],[INT]],MATCH(Table5[[#This Row],[PID]],Table3[[#All],[PID]],0)))</f>
        <v>Normal</v>
      </c>
      <c r="L518" s="60">
        <f>IF($C518="B",INDEX(Batters[[#All],[CON P]],MATCH(Table5[[#This Row],[PID]],Batters[[#All],[PID]],0)),INDEX(Table3[[#All],[STU P]],MATCH(Table5[[#This Row],[PID]],Table3[[#All],[PID]],0)))</f>
        <v>4</v>
      </c>
      <c r="M518" s="70">
        <f>IF($C518="B",INDEX(Batters[[#All],[GAP P]],MATCH(Table5[[#This Row],[PID]],Batters[[#All],[PID]],0)),INDEX(Table3[[#All],[MOV P]],MATCH(Table5[[#This Row],[PID]],Table3[[#All],[PID]],0)))</f>
        <v>3</v>
      </c>
      <c r="N518" s="70">
        <f>IF($C518="B",INDEX(Batters[[#All],[POW P]],MATCH(Table5[[#This Row],[PID]],Batters[[#All],[PID]],0)),INDEX(Table3[[#All],[CON P]],MATCH(Table5[[#This Row],[PID]],Table3[[#All],[PID]],0)))</f>
        <v>3</v>
      </c>
      <c r="O518" s="70">
        <f>IF($C518="B",INDEX(Batters[[#All],[EYE P]],MATCH(Table5[[#This Row],[PID]],Batters[[#All],[PID]],0)),INDEX(Table3[[#All],[VELO]],MATCH(Table5[[#This Row],[PID]],Table3[[#All],[PID]],0)))</f>
        <v>4</v>
      </c>
      <c r="P518" s="56">
        <f>IF($C518="B",INDEX(Batters[[#All],[K P]],MATCH(Table5[[#This Row],[PID]],Batters[[#All],[PID]],0)),INDEX(Table3[[#All],[STM]],MATCH(Table5[[#This Row],[PID]],Table3[[#All],[PID]],0)))</f>
        <v>5</v>
      </c>
      <c r="Q518" s="61">
        <f>IF($C518="B",INDEX(Batters[[#All],[Tot]],MATCH(Table5[[#This Row],[PID]],Batters[[#All],[PID]],0)),INDEX(Table3[[#All],[Tot]],MATCH(Table5[[#This Row],[PID]],Table3[[#All],[PID]],0)))</f>
        <v>40.123338593319019</v>
      </c>
      <c r="R518" s="52">
        <f>IF($C518="B",INDEX(Batters[[#All],[zScore]],MATCH(Table5[[#This Row],[PID]],Batters[[#All],[PID]],0)),INDEX(Table3[[#All],[zScore]],MATCH(Table5[[#This Row],[PID]],Table3[[#All],[PID]],0)))</f>
        <v>-0.45179348142083581</v>
      </c>
      <c r="S518" s="75" t="str">
        <f>IF($C518="B",INDEX(Batters[[#All],[DEM]],MATCH(Table5[[#This Row],[PID]],Batters[[#All],[PID]],0)),INDEX(Table3[[#All],[DEM]],MATCH(Table5[[#This Row],[PID]],Table3[[#All],[PID]],0)))</f>
        <v>-</v>
      </c>
      <c r="T518" s="72">
        <f>IF($C518="B",INDEX(Batters[[#All],[Rnk]],MATCH(Table5[[#This Row],[PID]],Batters[[#All],[PID]],0)),INDEX(Table3[[#All],[Rnk]],MATCH(Table5[[#This Row],[PID]],Table3[[#All],[PID]],0)))</f>
        <v>900</v>
      </c>
      <c r="U518" s="67">
        <f>IF($C518="B",VLOOKUP($A518,Bat!$A$4:$BA$1314,47,FALSE),VLOOKUP($A518,Pit!$A$4:$BF$1214,56,FALSE))</f>
        <v>197</v>
      </c>
      <c r="V518" s="50">
        <f>IF($C518="B",VLOOKUP($A518,Bat!$A$4:$BA$1314,48,FALSE),VLOOKUP($A518,Pit!$A$4:$BF$1214,57,FALSE))</f>
        <v>0</v>
      </c>
      <c r="W518" s="68">
        <f>IF(Table5[[#This Row],[posRnk]]=999,9999,Table5[[#This Row],[posRnk]]+Table5[[#This Row],[zRnk]]+IF($W$3&lt;&gt;Table5[[#This Row],[Type]],50,0))</f>
        <v>1497</v>
      </c>
      <c r="X518" s="71">
        <f>RANK(Table5[[#This Row],[zScore]],Table5[[#All],[zScore]])</f>
        <v>547</v>
      </c>
      <c r="Y518" s="68">
        <f>IFERROR(INDEX(DraftResults[[#All],[OVR]],MATCH(Table5[[#This Row],[PID]],DraftResults[[#All],[Player ID]],0)),"")</f>
        <v>383</v>
      </c>
      <c r="Z518" s="7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12</v>
      </c>
      <c r="AA518" s="68">
        <f>IFERROR(INDEX(DraftResults[[#All],[Pick in Round]],MATCH(Table5[[#This Row],[PID]],DraftResults[[#All],[Player ID]],0)),"")</f>
        <v>18</v>
      </c>
      <c r="AB518" s="68" t="str">
        <f>IFERROR(INDEX(DraftResults[[#All],[Team Name]],MATCH(Table5[[#This Row],[PID]],DraftResults[[#All],[Player ID]],0)),"")</f>
        <v>San Juan Coqui</v>
      </c>
      <c r="AC518" s="68">
        <f>IF(Table5[[#This Row],[Ovr]]="","",IF(Table5[[#This Row],[cmbList]]="","",Table5[[#This Row],[cmbList]]-Table5[[#This Row],[Ovr]]))</f>
        <v>1114</v>
      </c>
      <c r="AD518" s="74" t="str">
        <f>IF(ISERROR(VLOOKUP($AB518&amp;"-"&amp;$E518&amp;" "&amp;F518,Bonuses!$B$1:$G$1006,4,FALSE)),"",INT(VLOOKUP($AB518&amp;"-"&amp;$E518&amp;" "&amp;$F518,Bonuses!$B$1:$G$1006,4,FALSE)))</f>
        <v/>
      </c>
      <c r="AE518" s="68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12.18 (383) - LF Norberto De Jesús</v>
      </c>
    </row>
    <row r="519" spans="1:31" s="50" customFormat="1" x14ac:dyDescent="0.3">
      <c r="A519" s="67">
        <v>14608</v>
      </c>
      <c r="B519" s="68">
        <f>COUNTIF(Table5[PID],A519)</f>
        <v>1</v>
      </c>
      <c r="C519" s="68" t="str">
        <f>IF(COUNTIF(Table3[[#All],[PID]],A519)&gt;0,"P","B")</f>
        <v>P</v>
      </c>
      <c r="D519" s="59" t="str">
        <f>IF($C519="B",INDEX(Batters[[#All],[POS]],MATCH(Table5[[#This Row],[PID]],Batters[[#All],[PID]],0)),INDEX(Table3[[#All],[POS]],MATCH(Table5[[#This Row],[PID]],Table3[[#All],[PID]],0)))</f>
        <v>RP</v>
      </c>
      <c r="E519" s="52" t="str">
        <f>IF($C519="B",INDEX(Batters[[#All],[First]],MATCH(Table5[[#This Row],[PID]],Batters[[#All],[PID]],0)),INDEX(Table3[[#All],[First]],MATCH(Table5[[#This Row],[PID]],Table3[[#All],[PID]],0)))</f>
        <v>George</v>
      </c>
      <c r="F519" s="55" t="str">
        <f>IF($C519="B",INDEX(Batters[[#All],[Last]],MATCH(A519,Batters[[#All],[PID]],0)),INDEX(Table3[[#All],[Last]],MATCH(A519,Table3[[#All],[PID]],0)))</f>
        <v>McGilroy</v>
      </c>
      <c r="G519" s="56">
        <f>IF($C519="B",INDEX(Batters[[#All],[Age]],MATCH(Table5[[#This Row],[PID]],Batters[[#All],[PID]],0)),INDEX(Table3[[#All],[Age]],MATCH(Table5[[#This Row],[PID]],Table3[[#All],[PID]],0)))</f>
        <v>21</v>
      </c>
      <c r="H519" s="52" t="str">
        <f>IF($C519="B",INDEX(Batters[[#All],[B]],MATCH(Table5[[#This Row],[PID]],Batters[[#All],[PID]],0)),INDEX(Table3[[#All],[B]],MATCH(Table5[[#This Row],[PID]],Table3[[#All],[PID]],0)))</f>
        <v>R</v>
      </c>
      <c r="I519" s="52" t="str">
        <f>IF($C519="B",INDEX(Batters[[#All],[T]],MATCH(Table5[[#This Row],[PID]],Batters[[#All],[PID]],0)),INDEX(Table3[[#All],[T]],MATCH(Table5[[#This Row],[PID]],Table3[[#All],[PID]],0)))</f>
        <v>R</v>
      </c>
      <c r="J519" s="69" t="str">
        <f>IF($C519="B",INDEX(Batters[[#All],[WE]],MATCH(Table5[[#This Row],[PID]],Batters[[#All],[PID]],0)),INDEX(Table3[[#All],[WE]],MATCH(Table5[[#This Row],[PID]],Table3[[#All],[PID]],0)))</f>
        <v>Low</v>
      </c>
      <c r="K519" s="52" t="str">
        <f>IF($C519="B",INDEX(Batters[[#All],[INT]],MATCH(Table5[[#This Row],[PID]],Batters[[#All],[PID]],0)),INDEX(Table3[[#All],[INT]],MATCH(Table5[[#This Row],[PID]],Table3[[#All],[PID]],0)))</f>
        <v>Normal</v>
      </c>
      <c r="L519" s="60">
        <f>IF($C519="B",INDEX(Batters[[#All],[CON P]],MATCH(Table5[[#This Row],[PID]],Batters[[#All],[PID]],0)),INDEX(Table3[[#All],[STU P]],MATCH(Table5[[#This Row],[PID]],Table3[[#All],[PID]],0)))</f>
        <v>4</v>
      </c>
      <c r="M519" s="70">
        <f>IF($C519="B",INDEX(Batters[[#All],[GAP P]],MATCH(Table5[[#This Row],[PID]],Batters[[#All],[PID]],0)),INDEX(Table3[[#All],[MOV P]],MATCH(Table5[[#This Row],[PID]],Table3[[#All],[PID]],0)))</f>
        <v>2</v>
      </c>
      <c r="N519" s="70">
        <f>IF($C519="B",INDEX(Batters[[#All],[POW P]],MATCH(Table5[[#This Row],[PID]],Batters[[#All],[PID]],0)),INDEX(Table3[[#All],[CON P]],MATCH(Table5[[#This Row],[PID]],Table3[[#All],[PID]],0)))</f>
        <v>4</v>
      </c>
      <c r="O519" s="70" t="str">
        <f>IF($C519="B",INDEX(Batters[[#All],[EYE P]],MATCH(Table5[[#This Row],[PID]],Batters[[#All],[PID]],0)),INDEX(Table3[[#All],[VELO]],MATCH(Table5[[#This Row],[PID]],Table3[[#All],[PID]],0)))</f>
        <v>89-91 Mph</v>
      </c>
      <c r="P519" s="56">
        <f>IF($C519="B",INDEX(Batters[[#All],[K P]],MATCH(Table5[[#This Row],[PID]],Batters[[#All],[PID]],0)),INDEX(Table3[[#All],[STM]],MATCH(Table5[[#This Row],[PID]],Table3[[#All],[PID]],0)))</f>
        <v>3</v>
      </c>
      <c r="Q519" s="61">
        <f>IF($C519="B",INDEX(Batters[[#All],[Tot]],MATCH(Table5[[#This Row],[PID]],Batters[[#All],[PID]],0)),INDEX(Table3[[#All],[Tot]],MATCH(Table5[[#This Row],[PID]],Table3[[#All],[PID]],0)))</f>
        <v>32.687371278441695</v>
      </c>
      <c r="R519" s="52">
        <f>IF($C519="B",INDEX(Batters[[#All],[zScore]],MATCH(Table5[[#This Row],[PID]],Batters[[#All],[PID]],0)),INDEX(Table3[[#All],[zScore]],MATCH(Table5[[#This Row],[PID]],Table3[[#All],[PID]],0)))</f>
        <v>-0.36423902003451436</v>
      </c>
      <c r="S519" s="75" t="str">
        <f>IF($C519="B",INDEX(Batters[[#All],[DEM]],MATCH(Table5[[#This Row],[PID]],Batters[[#All],[PID]],0)),INDEX(Table3[[#All],[DEM]],MATCH(Table5[[#This Row],[PID]],Table3[[#All],[PID]],0)))</f>
        <v>-</v>
      </c>
      <c r="T519" s="72">
        <f>IF($C519="B",INDEX(Batters[[#All],[Rnk]],MATCH(Table5[[#This Row],[PID]],Batters[[#All],[PID]],0)),INDEX(Table3[[#All],[Rnk]],MATCH(Table5[[#This Row],[PID]],Table3[[#All],[PID]],0)))</f>
        <v>930</v>
      </c>
      <c r="U519" s="67">
        <f>IF($C519="B",VLOOKUP($A519,Bat!$A$4:$BA$1314,47,FALSE),VLOOKUP($A519,Pit!$A$4:$BF$1214,56,FALSE))</f>
        <v>314</v>
      </c>
      <c r="V519" s="50">
        <f>IF($C519="B",VLOOKUP($A519,Bat!$A$4:$BA$1314,48,FALSE),VLOOKUP($A519,Pit!$A$4:$BF$1214,57,FALSE))</f>
        <v>0</v>
      </c>
      <c r="W519" s="68">
        <f>IF(Table5[[#This Row],[posRnk]]=999,9999,Table5[[#This Row],[posRnk]]+Table5[[#This Row],[zRnk]]+IF($W$3&lt;&gt;Table5[[#This Row],[Type]],50,0))</f>
        <v>1447</v>
      </c>
      <c r="X519" s="71">
        <f>RANK(Table5[[#This Row],[zScore]],Table5[[#All],[zScore]])</f>
        <v>517</v>
      </c>
      <c r="Y519" s="68" t="str">
        <f>IFERROR(INDEX(DraftResults[[#All],[OVR]],MATCH(Table5[[#This Row],[PID]],DraftResults[[#All],[Player ID]],0)),"")</f>
        <v/>
      </c>
      <c r="Z519" s="7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/>
      </c>
      <c r="AA519" s="68" t="str">
        <f>IFERROR(INDEX(DraftResults[[#All],[Pick in Round]],MATCH(Table5[[#This Row],[PID]],DraftResults[[#All],[Player ID]],0)),"")</f>
        <v/>
      </c>
      <c r="AB519" s="68" t="str">
        <f>IFERROR(INDEX(DraftResults[[#All],[Team Name]],MATCH(Table5[[#This Row],[PID]],DraftResults[[#All],[Player ID]],0)),"")</f>
        <v/>
      </c>
      <c r="AC519" s="68" t="str">
        <f>IF(Table5[[#This Row],[Ovr]]="","",IF(Table5[[#This Row],[cmbList]]="","",Table5[[#This Row],[cmbList]]-Table5[[#This Row],[Ovr]]))</f>
        <v/>
      </c>
      <c r="AD519" s="74" t="str">
        <f>IF(ISERROR(VLOOKUP($AB519&amp;"-"&amp;$E519&amp;" "&amp;F519,Bonuses!$B$1:$G$1006,4,FALSE)),"",INT(VLOOKUP($AB519&amp;"-"&amp;$E519&amp;" "&amp;$F519,Bonuses!$B$1:$G$1006,4,FALSE)))</f>
        <v/>
      </c>
      <c r="AE519" s="68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/>
      </c>
    </row>
    <row r="520" spans="1:31" s="50" customFormat="1" x14ac:dyDescent="0.3">
      <c r="A520" s="50">
        <v>5786</v>
      </c>
      <c r="B520" s="50">
        <f>COUNTIF(Table5[PID],A520)</f>
        <v>1</v>
      </c>
      <c r="C520" s="50" t="str">
        <f>IF(COUNTIF(Table3[[#All],[PID]],A520)&gt;0,"P","B")</f>
        <v>B</v>
      </c>
      <c r="D520" s="59" t="str">
        <f>IF($C520="B",INDEX(Batters[[#All],[POS]],MATCH(Table5[[#This Row],[PID]],Batters[[#All],[PID]],0)),INDEX(Table3[[#All],[POS]],MATCH(Table5[[#This Row],[PID]],Table3[[#All],[PID]],0)))</f>
        <v>C</v>
      </c>
      <c r="E520" s="52" t="str">
        <f>IF($C520="B",INDEX(Batters[[#All],[First]],MATCH(Table5[[#This Row],[PID]],Batters[[#All],[PID]],0)),INDEX(Table3[[#All],[First]],MATCH(Table5[[#This Row],[PID]],Table3[[#All],[PID]],0)))</f>
        <v>Owen</v>
      </c>
      <c r="F520" s="50" t="str">
        <f>IF($C520="B",INDEX(Batters[[#All],[Last]],MATCH(A520,Batters[[#All],[PID]],0)),INDEX(Table3[[#All],[Last]],MATCH(A520,Table3[[#All],[PID]],0)))</f>
        <v>Jans</v>
      </c>
      <c r="G520" s="56">
        <f>IF($C520="B",INDEX(Batters[[#All],[Age]],MATCH(Table5[[#This Row],[PID]],Batters[[#All],[PID]],0)),INDEX(Table3[[#All],[Age]],MATCH(Table5[[#This Row],[PID]],Table3[[#All],[PID]],0)))</f>
        <v>21</v>
      </c>
      <c r="H520" s="52" t="str">
        <f>IF($C520="B",INDEX(Batters[[#All],[B]],MATCH(Table5[[#This Row],[PID]],Batters[[#All],[PID]],0)),INDEX(Table3[[#All],[B]],MATCH(Table5[[#This Row],[PID]],Table3[[#All],[PID]],0)))</f>
        <v>S</v>
      </c>
      <c r="I520" s="52" t="str">
        <f>IF($C520="B",INDEX(Batters[[#All],[T]],MATCH(Table5[[#This Row],[PID]],Batters[[#All],[PID]],0)),INDEX(Table3[[#All],[T]],MATCH(Table5[[#This Row],[PID]],Table3[[#All],[PID]],0)))</f>
        <v>R</v>
      </c>
      <c r="J520" s="52" t="str">
        <f>IF($C520="B",INDEX(Batters[[#All],[WE]],MATCH(Table5[[#This Row],[PID]],Batters[[#All],[PID]],0)),INDEX(Table3[[#All],[WE]],MATCH(Table5[[#This Row],[PID]],Table3[[#All],[PID]],0)))</f>
        <v>Low</v>
      </c>
      <c r="K520" s="52" t="str">
        <f>IF($C520="B",INDEX(Batters[[#All],[INT]],MATCH(Table5[[#This Row],[PID]],Batters[[#All],[PID]],0)),INDEX(Table3[[#All],[INT]],MATCH(Table5[[#This Row],[PID]],Table3[[#All],[PID]],0)))</f>
        <v>Low</v>
      </c>
      <c r="L520" s="60">
        <f>IF($C520="B",INDEX(Batters[[#All],[CON P]],MATCH(Table5[[#This Row],[PID]],Batters[[#All],[PID]],0)),INDEX(Table3[[#All],[STU P]],MATCH(Table5[[#This Row],[PID]],Table3[[#All],[PID]],0)))</f>
        <v>4</v>
      </c>
      <c r="M520" s="56">
        <f>IF($C520="B",INDEX(Batters[[#All],[GAP P]],MATCH(Table5[[#This Row],[PID]],Batters[[#All],[PID]],0)),INDEX(Table3[[#All],[MOV P]],MATCH(Table5[[#This Row],[PID]],Table3[[#All],[PID]],0)))</f>
        <v>4</v>
      </c>
      <c r="N520" s="56">
        <f>IF($C520="B",INDEX(Batters[[#All],[POW P]],MATCH(Table5[[#This Row],[PID]],Batters[[#All],[PID]],0)),INDEX(Table3[[#All],[CON P]],MATCH(Table5[[#This Row],[PID]],Table3[[#All],[PID]],0)))</f>
        <v>4</v>
      </c>
      <c r="O520" s="56">
        <f>IF($C520="B",INDEX(Batters[[#All],[EYE P]],MATCH(Table5[[#This Row],[PID]],Batters[[#All],[PID]],0)),INDEX(Table3[[#All],[VELO]],MATCH(Table5[[#This Row],[PID]],Table3[[#All],[PID]],0)))</f>
        <v>5</v>
      </c>
      <c r="P520" s="56">
        <f>IF($C520="B",INDEX(Batters[[#All],[K P]],MATCH(Table5[[#This Row],[PID]],Batters[[#All],[PID]],0)),INDEX(Table3[[#All],[STM]],MATCH(Table5[[#This Row],[PID]],Table3[[#All],[PID]],0)))</f>
        <v>3</v>
      </c>
      <c r="Q520" s="61">
        <f>IF($C520="B",INDEX(Batters[[#All],[Tot]],MATCH(Table5[[#This Row],[PID]],Batters[[#All],[PID]],0)),INDEX(Table3[[#All],[Tot]],MATCH(Table5[[#This Row],[PID]],Table3[[#All],[PID]],0)))</f>
        <v>40.995552929557306</v>
      </c>
      <c r="R520" s="52">
        <f>IF($C520="B",INDEX(Batters[[#All],[zScore]],MATCH(Table5[[#This Row],[PID]],Batters[[#All],[PID]],0)),INDEX(Table3[[#All],[zScore]],MATCH(Table5[[#This Row],[PID]],Table3[[#All],[PID]],0)))</f>
        <v>-0.32447800355298773</v>
      </c>
      <c r="S520" s="58" t="str">
        <f>IF($C520="B",INDEX(Batters[[#All],[DEM]],MATCH(Table5[[#This Row],[PID]],Batters[[#All],[PID]],0)),INDEX(Table3[[#All],[DEM]],MATCH(Table5[[#This Row],[PID]],Table3[[#All],[PID]],0)))</f>
        <v>$110k</v>
      </c>
      <c r="T520" s="62">
        <f>IF($C520="B",INDEX(Batters[[#All],[Rnk]],MATCH(Table5[[#This Row],[PID]],Batters[[#All],[PID]],0)),INDEX(Table3[[#All],[Rnk]],MATCH(Table5[[#This Row],[PID]],Table3[[#All],[PID]],0)))</f>
        <v>950</v>
      </c>
      <c r="U520" s="67">
        <f>IF($C520="B",VLOOKUP($A520,Bat!$A$4:$BA$1314,47,FALSE),VLOOKUP($A520,Pit!$A$4:$BF$1214,56,FALSE))</f>
        <v>434</v>
      </c>
      <c r="V520" s="50">
        <f>IF($C520="B",VLOOKUP($A520,Bat!$A$4:$BA$1314,48,FALSE),VLOOKUP($A520,Pit!$A$4:$BF$1214,57,FALSE))</f>
        <v>0</v>
      </c>
      <c r="W520" s="68">
        <f>IF(Table5[[#This Row],[posRnk]]=999,9999,Table5[[#This Row],[posRnk]]+Table5[[#This Row],[zRnk]]+IF($W$3&lt;&gt;Table5[[#This Row],[Type]],50,0))</f>
        <v>1497</v>
      </c>
      <c r="X520" s="51">
        <f>RANK(Table5[[#This Row],[zScore]],Table5[[#All],[zScore]])</f>
        <v>497</v>
      </c>
      <c r="Y520" s="50">
        <f>IFERROR(INDEX(DraftResults[[#All],[OVR]],MATCH(Table5[[#This Row],[PID]],DraftResults[[#All],[Player ID]],0)),"")</f>
        <v>544</v>
      </c>
      <c r="Z520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17</v>
      </c>
      <c r="AA520" s="50">
        <f>IFERROR(INDEX(DraftResults[[#All],[Pick in Round]],MATCH(Table5[[#This Row],[PID]],DraftResults[[#All],[Player ID]],0)),"")</f>
        <v>9</v>
      </c>
      <c r="AB520" s="50" t="str">
        <f>IFERROR(INDEX(DraftResults[[#All],[Team Name]],MATCH(Table5[[#This Row],[PID]],DraftResults[[#All],[Player ID]],0)),"")</f>
        <v>New Jersey Hitmen</v>
      </c>
      <c r="AC520" s="50">
        <f>IF(Table5[[#This Row],[Ovr]]="","",IF(Table5[[#This Row],[cmbList]]="","",Table5[[#This Row],[cmbList]]-Table5[[#This Row],[Ovr]]))</f>
        <v>953</v>
      </c>
      <c r="AD520" s="54" t="str">
        <f>IF(ISERROR(VLOOKUP($AB520&amp;"-"&amp;$E520&amp;" "&amp;F520,Bonuses!$B$1:$G$1006,4,FALSE)),"",INT(VLOOKUP($AB520&amp;"-"&amp;$E520&amp;" "&amp;$F520,Bonuses!$B$1:$G$1006,4,FALSE)))</f>
        <v/>
      </c>
      <c r="AE520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17.9 (544) - C Owen Jans</v>
      </c>
    </row>
    <row r="521" spans="1:31" s="50" customFormat="1" x14ac:dyDescent="0.3">
      <c r="A521" s="50">
        <v>6030</v>
      </c>
      <c r="B521" s="50">
        <f>COUNTIF(Table5[PID],A521)</f>
        <v>1</v>
      </c>
      <c r="C521" s="50" t="str">
        <f>IF(COUNTIF(Table3[[#All],[PID]],A521)&gt;0,"P","B")</f>
        <v>P</v>
      </c>
      <c r="D521" s="59" t="str">
        <f>IF($C521="B",INDEX(Batters[[#All],[POS]],MATCH(Table5[[#This Row],[PID]],Batters[[#All],[PID]],0)),INDEX(Table3[[#All],[POS]],MATCH(Table5[[#This Row],[PID]],Table3[[#All],[PID]],0)))</f>
        <v>SP</v>
      </c>
      <c r="E521" s="52" t="str">
        <f>IF($C521="B",INDEX(Batters[[#All],[First]],MATCH(Table5[[#This Row],[PID]],Batters[[#All],[PID]],0)),INDEX(Table3[[#All],[First]],MATCH(Table5[[#This Row],[PID]],Table3[[#All],[PID]],0)))</f>
        <v>Jemke</v>
      </c>
      <c r="F521" s="50" t="str">
        <f>IF($C521="B",INDEX(Batters[[#All],[Last]],MATCH(A521,Batters[[#All],[PID]],0)),INDEX(Table3[[#All],[Last]],MATCH(A521,Table3[[#All],[PID]],0)))</f>
        <v>Neelen</v>
      </c>
      <c r="G521" s="56">
        <f>IF($C521="B",INDEX(Batters[[#All],[Age]],MATCH(Table5[[#This Row],[PID]],Batters[[#All],[PID]],0)),INDEX(Table3[[#All],[Age]],MATCH(Table5[[#This Row],[PID]],Table3[[#All],[PID]],0)))</f>
        <v>21</v>
      </c>
      <c r="H521" s="52" t="str">
        <f>IF($C521="B",INDEX(Batters[[#All],[B]],MATCH(Table5[[#This Row],[PID]],Batters[[#All],[PID]],0)),INDEX(Table3[[#All],[B]],MATCH(Table5[[#This Row],[PID]],Table3[[#All],[PID]],0)))</f>
        <v>L</v>
      </c>
      <c r="I521" s="52" t="str">
        <f>IF($C521="B",INDEX(Batters[[#All],[T]],MATCH(Table5[[#This Row],[PID]],Batters[[#All],[PID]],0)),INDEX(Table3[[#All],[T]],MATCH(Table5[[#This Row],[PID]],Table3[[#All],[PID]],0)))</f>
        <v>L</v>
      </c>
      <c r="J521" s="52" t="str">
        <f>IF($C521="B",INDEX(Batters[[#All],[WE]],MATCH(Table5[[#This Row],[PID]],Batters[[#All],[PID]],0)),INDEX(Table3[[#All],[WE]],MATCH(Table5[[#This Row],[PID]],Table3[[#All],[PID]],0)))</f>
        <v>High</v>
      </c>
      <c r="K521" s="52" t="str">
        <f>IF($C521="B",INDEX(Batters[[#All],[INT]],MATCH(Table5[[#This Row],[PID]],Batters[[#All],[PID]],0)),INDEX(Table3[[#All],[INT]],MATCH(Table5[[#This Row],[PID]],Table3[[#All],[PID]],0)))</f>
        <v>Normal</v>
      </c>
      <c r="L521" s="60">
        <f>IF($C521="B",INDEX(Batters[[#All],[CON P]],MATCH(Table5[[#This Row],[PID]],Batters[[#All],[PID]],0)),INDEX(Table3[[#All],[STU P]],MATCH(Table5[[#This Row],[PID]],Table3[[#All],[PID]],0)))</f>
        <v>4</v>
      </c>
      <c r="M521" s="56">
        <f>IF($C521="B",INDEX(Batters[[#All],[GAP P]],MATCH(Table5[[#This Row],[PID]],Batters[[#All],[PID]],0)),INDEX(Table3[[#All],[MOV P]],MATCH(Table5[[#This Row],[PID]],Table3[[#All],[PID]],0)))</f>
        <v>2</v>
      </c>
      <c r="N521" s="56">
        <f>IF($C521="B",INDEX(Batters[[#All],[POW P]],MATCH(Table5[[#This Row],[PID]],Batters[[#All],[PID]],0)),INDEX(Table3[[#All],[CON P]],MATCH(Table5[[#This Row],[PID]],Table3[[#All],[PID]],0)))</f>
        <v>3</v>
      </c>
      <c r="O521" s="56" t="str">
        <f>IF($C521="B",INDEX(Batters[[#All],[EYE P]],MATCH(Table5[[#This Row],[PID]],Batters[[#All],[PID]],0)),INDEX(Table3[[#All],[VELO]],MATCH(Table5[[#This Row],[PID]],Table3[[#All],[PID]],0)))</f>
        <v>92-94 Mph</v>
      </c>
      <c r="P521" s="56">
        <f>IF($C521="B",INDEX(Batters[[#All],[K P]],MATCH(Table5[[#This Row],[PID]],Batters[[#All],[PID]],0)),INDEX(Table3[[#All],[STM]],MATCH(Table5[[#This Row],[PID]],Table3[[#All],[PID]],0)))</f>
        <v>6</v>
      </c>
      <c r="Q521" s="61">
        <f>IF($C521="B",INDEX(Batters[[#All],[Tot]],MATCH(Table5[[#This Row],[PID]],Batters[[#All],[PID]],0)),INDEX(Table3[[#All],[Tot]],MATCH(Table5[[#This Row],[PID]],Table3[[#All],[PID]],0)))</f>
        <v>31.455605106247788</v>
      </c>
      <c r="R521" s="52">
        <f>IF($C521="B",INDEX(Batters[[#All],[zScore]],MATCH(Table5[[#This Row],[PID]],Batters[[#All],[PID]],0)),INDEX(Table3[[#All],[zScore]],MATCH(Table5[[#This Row],[PID]],Table3[[#All],[PID]],0)))</f>
        <v>-0.45194943434974516</v>
      </c>
      <c r="S521" s="58" t="str">
        <f>IF($C521="B",INDEX(Batters[[#All],[DEM]],MATCH(Table5[[#This Row],[PID]],Batters[[#All],[PID]],0)),INDEX(Table3[[#All],[DEM]],MATCH(Table5[[#This Row],[PID]],Table3[[#All],[PID]],0)))</f>
        <v>-</v>
      </c>
      <c r="T521" s="62">
        <f>IF($C521="B",INDEX(Batters[[#All],[Rnk]],MATCH(Table5[[#This Row],[PID]],Batters[[#All],[PID]],0)),INDEX(Table3[[#All],[Rnk]],MATCH(Table5[[#This Row],[PID]],Table3[[#All],[PID]],0)))</f>
        <v>900</v>
      </c>
      <c r="U521" s="67">
        <f>IF($C521="B",VLOOKUP($A521,Bat!$A$4:$BA$1314,47,FALSE),VLOOKUP($A521,Pit!$A$4:$BF$1214,56,FALSE))</f>
        <v>178</v>
      </c>
      <c r="V521" s="50">
        <f>IF($C521="B",VLOOKUP($A521,Bat!$A$4:$BA$1314,48,FALSE),VLOOKUP($A521,Pit!$A$4:$BF$1214,57,FALSE))</f>
        <v>0</v>
      </c>
      <c r="W521" s="68">
        <f>IF(Table5[[#This Row],[posRnk]]=999,9999,Table5[[#This Row],[posRnk]]+Table5[[#This Row],[zRnk]]+IF($W$3&lt;&gt;Table5[[#This Row],[Type]],50,0))</f>
        <v>1448</v>
      </c>
      <c r="X521" s="51">
        <f>RANK(Table5[[#This Row],[zScore]],Table5[[#All],[zScore]])</f>
        <v>548</v>
      </c>
      <c r="Y521" s="50">
        <f>IFERROR(INDEX(DraftResults[[#All],[OVR]],MATCH(Table5[[#This Row],[PID]],DraftResults[[#All],[Player ID]],0)),"")</f>
        <v>323</v>
      </c>
      <c r="Z521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10</v>
      </c>
      <c r="AA521" s="50">
        <f>IFERROR(INDEX(DraftResults[[#All],[Pick in Round]],MATCH(Table5[[#This Row],[PID]],DraftResults[[#All],[Player ID]],0)),"")</f>
        <v>26</v>
      </c>
      <c r="AB521" s="50" t="str">
        <f>IFERROR(INDEX(DraftResults[[#All],[Team Name]],MATCH(Table5[[#This Row],[PID]],DraftResults[[#All],[Player ID]],0)),"")</f>
        <v>Aurora Borealis</v>
      </c>
      <c r="AC521" s="50">
        <f>IF(Table5[[#This Row],[Ovr]]="","",IF(Table5[[#This Row],[cmbList]]="","",Table5[[#This Row],[cmbList]]-Table5[[#This Row],[Ovr]]))</f>
        <v>1125</v>
      </c>
      <c r="AD521" s="54" t="str">
        <f>IF(ISERROR(VLOOKUP($AB521&amp;"-"&amp;$E521&amp;" "&amp;F521,Bonuses!$B$1:$G$1006,4,FALSE)),"",INT(VLOOKUP($AB521&amp;"-"&amp;$E521&amp;" "&amp;$F521,Bonuses!$B$1:$G$1006,4,FALSE)))</f>
        <v/>
      </c>
      <c r="AE521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10.26 (323) - SP Jemke Neelen</v>
      </c>
    </row>
    <row r="522" spans="1:31" s="50" customFormat="1" x14ac:dyDescent="0.3">
      <c r="A522" s="50">
        <v>9383</v>
      </c>
      <c r="B522" s="50">
        <f>COUNTIF(Table5[PID],A522)</f>
        <v>1</v>
      </c>
      <c r="C522" s="50" t="str">
        <f>IF(COUNTIF(Table3[[#All],[PID]],A522)&gt;0,"P","B")</f>
        <v>B</v>
      </c>
      <c r="D522" s="59" t="str">
        <f>IF($C522="B",INDEX(Batters[[#All],[POS]],MATCH(Table5[[#This Row],[PID]],Batters[[#All],[PID]],0)),INDEX(Table3[[#All],[POS]],MATCH(Table5[[#This Row],[PID]],Table3[[#All],[PID]],0)))</f>
        <v>1B</v>
      </c>
      <c r="E522" s="52" t="str">
        <f>IF($C522="B",INDEX(Batters[[#All],[First]],MATCH(Table5[[#This Row],[PID]],Batters[[#All],[PID]],0)),INDEX(Table3[[#All],[First]],MATCH(Table5[[#This Row],[PID]],Table3[[#All],[PID]],0)))</f>
        <v>Pedro</v>
      </c>
      <c r="F522" s="50" t="str">
        <f>IF($C522="B",INDEX(Batters[[#All],[Last]],MATCH(A522,Batters[[#All],[PID]],0)),INDEX(Table3[[#All],[Last]],MATCH(A522,Table3[[#All],[PID]],0)))</f>
        <v>Berrios</v>
      </c>
      <c r="G522" s="56">
        <f>IF($C522="B",INDEX(Batters[[#All],[Age]],MATCH(Table5[[#This Row],[PID]],Batters[[#All],[PID]],0)),INDEX(Table3[[#All],[Age]],MATCH(Table5[[#This Row],[PID]],Table3[[#All],[PID]],0)))</f>
        <v>18</v>
      </c>
      <c r="H522" s="52" t="str">
        <f>IF($C522="B",INDEX(Batters[[#All],[B]],MATCH(Table5[[#This Row],[PID]],Batters[[#All],[PID]],0)),INDEX(Table3[[#All],[B]],MATCH(Table5[[#This Row],[PID]],Table3[[#All],[PID]],0)))</f>
        <v>S</v>
      </c>
      <c r="I522" s="52" t="str">
        <f>IF($C522="B",INDEX(Batters[[#All],[T]],MATCH(Table5[[#This Row],[PID]],Batters[[#All],[PID]],0)),INDEX(Table3[[#All],[T]],MATCH(Table5[[#This Row],[PID]],Table3[[#All],[PID]],0)))</f>
        <v>R</v>
      </c>
      <c r="J522" s="52" t="str">
        <f>IF($C522="B",INDEX(Batters[[#All],[WE]],MATCH(Table5[[#This Row],[PID]],Batters[[#All],[PID]],0)),INDEX(Table3[[#All],[WE]],MATCH(Table5[[#This Row],[PID]],Table3[[#All],[PID]],0)))</f>
        <v>Low</v>
      </c>
      <c r="K522" s="52" t="str">
        <f>IF($C522="B",INDEX(Batters[[#All],[INT]],MATCH(Table5[[#This Row],[PID]],Batters[[#All],[PID]],0)),INDEX(Table3[[#All],[INT]],MATCH(Table5[[#This Row],[PID]],Table3[[#All],[PID]],0)))</f>
        <v>Normal</v>
      </c>
      <c r="L522" s="60">
        <f>IF($C522="B",INDEX(Batters[[#All],[CON P]],MATCH(Table5[[#This Row],[PID]],Batters[[#All],[PID]],0)),INDEX(Table3[[#All],[STU P]],MATCH(Table5[[#This Row],[PID]],Table3[[#All],[PID]],0)))</f>
        <v>2</v>
      </c>
      <c r="M522" s="56">
        <f>IF($C522="B",INDEX(Batters[[#All],[GAP P]],MATCH(Table5[[#This Row],[PID]],Batters[[#All],[PID]],0)),INDEX(Table3[[#All],[MOV P]],MATCH(Table5[[#This Row],[PID]],Table3[[#All],[PID]],0)))</f>
        <v>2</v>
      </c>
      <c r="N522" s="56">
        <f>IF($C522="B",INDEX(Batters[[#All],[POW P]],MATCH(Table5[[#This Row],[PID]],Batters[[#All],[PID]],0)),INDEX(Table3[[#All],[CON P]],MATCH(Table5[[#This Row],[PID]],Table3[[#All],[PID]],0)))</f>
        <v>7</v>
      </c>
      <c r="O522" s="56">
        <f>IF($C522="B",INDEX(Batters[[#All],[EYE P]],MATCH(Table5[[#This Row],[PID]],Batters[[#All],[PID]],0)),INDEX(Table3[[#All],[VELO]],MATCH(Table5[[#This Row],[PID]],Table3[[#All],[PID]],0)))</f>
        <v>6</v>
      </c>
      <c r="P522" s="56">
        <f>IF($C522="B",INDEX(Batters[[#All],[K P]],MATCH(Table5[[#This Row],[PID]],Batters[[#All],[PID]],0)),INDEX(Table3[[#All],[STM]],MATCH(Table5[[#This Row],[PID]],Table3[[#All],[PID]],0)))</f>
        <v>2</v>
      </c>
      <c r="Q522" s="61">
        <f>IF($C522="B",INDEX(Batters[[#All],[Tot]],MATCH(Table5[[#This Row],[PID]],Batters[[#All],[PID]],0)),INDEX(Table3[[#All],[Tot]],MATCH(Table5[[#This Row],[PID]],Table3[[#All],[PID]],0)))</f>
        <v>40.690584913850387</v>
      </c>
      <c r="R522" s="52">
        <f>IF($C522="B",INDEX(Batters[[#All],[zScore]],MATCH(Table5[[#This Row],[PID]],Batters[[#All],[PID]],0)),INDEX(Table3[[#All],[zScore]],MATCH(Table5[[#This Row],[PID]],Table3[[#All],[PID]],0)))</f>
        <v>-0.36899360830856964</v>
      </c>
      <c r="S522" s="58" t="str">
        <f>IF($C522="B",INDEX(Batters[[#All],[DEM]],MATCH(Table5[[#This Row],[PID]],Batters[[#All],[PID]],0)),INDEX(Table3[[#All],[DEM]],MATCH(Table5[[#This Row],[PID]],Table3[[#All],[PID]],0)))</f>
        <v>$75k</v>
      </c>
      <c r="T522" s="62">
        <f>IF($C522="B",INDEX(Batters[[#All],[Rnk]],MATCH(Table5[[#This Row],[PID]],Batters[[#All],[PID]],0)),INDEX(Table3[[#All],[Rnk]],MATCH(Table5[[#This Row],[PID]],Table3[[#All],[PID]],0)))</f>
        <v>930</v>
      </c>
      <c r="U522" s="67">
        <f>IF($C522="B",VLOOKUP($A522,Bat!$A$4:$BA$1314,47,FALSE),VLOOKUP($A522,Pit!$A$4:$BF$1214,56,FALSE))</f>
        <v>341</v>
      </c>
      <c r="V522" s="50">
        <f>IF($C522="B",VLOOKUP($A522,Bat!$A$4:$BA$1314,48,FALSE),VLOOKUP($A522,Pit!$A$4:$BF$1214,57,FALSE))</f>
        <v>0</v>
      </c>
      <c r="W522" s="68">
        <f>IF(Table5[[#This Row],[posRnk]]=999,9999,Table5[[#This Row],[posRnk]]+Table5[[#This Row],[zRnk]]+IF($W$3&lt;&gt;Table5[[#This Row],[Type]],50,0))</f>
        <v>1499</v>
      </c>
      <c r="X522" s="51">
        <f>RANK(Table5[[#This Row],[zScore]],Table5[[#All],[zScore]])</f>
        <v>519</v>
      </c>
      <c r="Y522" s="50">
        <f>IFERROR(INDEX(DraftResults[[#All],[OVR]],MATCH(Table5[[#This Row],[PID]],DraftResults[[#All],[Player ID]],0)),"")</f>
        <v>316</v>
      </c>
      <c r="Z522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10</v>
      </c>
      <c r="AA522" s="50">
        <f>IFERROR(INDEX(DraftResults[[#All],[Pick in Round]],MATCH(Table5[[#This Row],[PID]],DraftResults[[#All],[Player ID]],0)),"")</f>
        <v>19</v>
      </c>
      <c r="AB522" s="50" t="str">
        <f>IFERROR(INDEX(DraftResults[[#All],[Team Name]],MATCH(Table5[[#This Row],[PID]],DraftResults[[#All],[Player ID]],0)),"")</f>
        <v>Fargo Dinosaurs</v>
      </c>
      <c r="AC522" s="50">
        <f>IF(Table5[[#This Row],[Ovr]]="","",IF(Table5[[#This Row],[cmbList]]="","",Table5[[#This Row],[cmbList]]-Table5[[#This Row],[Ovr]]))</f>
        <v>1183</v>
      </c>
      <c r="AD522" s="54" t="str">
        <f>IF(ISERROR(VLOOKUP($AB522&amp;"-"&amp;$E522&amp;" "&amp;F522,Bonuses!$B$1:$G$1006,4,FALSE)),"",INT(VLOOKUP($AB522&amp;"-"&amp;$E522&amp;" "&amp;$F522,Bonuses!$B$1:$G$1006,4,FALSE)))</f>
        <v/>
      </c>
      <c r="AE522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10.19 (316) - 1B Pedro Berrios</v>
      </c>
    </row>
    <row r="523" spans="1:31" s="50" customFormat="1" x14ac:dyDescent="0.3">
      <c r="A523" s="50">
        <v>13236</v>
      </c>
      <c r="B523" s="50">
        <f>COUNTIF(Table5[PID],A523)</f>
        <v>1</v>
      </c>
      <c r="C523" s="50" t="str">
        <f>IF(COUNTIF(Table3[[#All],[PID]],A523)&gt;0,"P","B")</f>
        <v>B</v>
      </c>
      <c r="D523" s="59" t="str">
        <f>IF($C523="B",INDEX(Batters[[#All],[POS]],MATCH(Table5[[#This Row],[PID]],Batters[[#All],[PID]],0)),INDEX(Table3[[#All],[POS]],MATCH(Table5[[#This Row],[PID]],Table3[[#All],[PID]],0)))</f>
        <v>3B</v>
      </c>
      <c r="E523" s="52" t="str">
        <f>IF($C523="B",INDEX(Batters[[#All],[First]],MATCH(Table5[[#This Row],[PID]],Batters[[#All],[PID]],0)),INDEX(Table3[[#All],[First]],MATCH(Table5[[#This Row],[PID]],Table3[[#All],[PID]],0)))</f>
        <v>Mutsuhito</v>
      </c>
      <c r="F523" s="50" t="str">
        <f>IF($C523="B",INDEX(Batters[[#All],[Last]],MATCH(A523,Batters[[#All],[PID]],0)),INDEX(Table3[[#All],[Last]],MATCH(A523,Table3[[#All],[PID]],0)))</f>
        <v>Koike</v>
      </c>
      <c r="G523" s="56">
        <f>IF($C523="B",INDEX(Batters[[#All],[Age]],MATCH(Table5[[#This Row],[PID]],Batters[[#All],[PID]],0)),INDEX(Table3[[#All],[Age]],MATCH(Table5[[#This Row],[PID]],Table3[[#All],[PID]],0)))</f>
        <v>18</v>
      </c>
      <c r="H523" s="52" t="str">
        <f>IF($C523="B",INDEX(Batters[[#All],[B]],MATCH(Table5[[#This Row],[PID]],Batters[[#All],[PID]],0)),INDEX(Table3[[#All],[B]],MATCH(Table5[[#This Row],[PID]],Table3[[#All],[PID]],0)))</f>
        <v>R</v>
      </c>
      <c r="I523" s="52" t="str">
        <f>IF($C523="B",INDEX(Batters[[#All],[T]],MATCH(Table5[[#This Row],[PID]],Batters[[#All],[PID]],0)),INDEX(Table3[[#All],[T]],MATCH(Table5[[#This Row],[PID]],Table3[[#All],[PID]],0)))</f>
        <v>R</v>
      </c>
      <c r="J523" s="52" t="str">
        <f>IF($C523="B",INDEX(Batters[[#All],[WE]],MATCH(Table5[[#This Row],[PID]],Batters[[#All],[PID]],0)),INDEX(Table3[[#All],[WE]],MATCH(Table5[[#This Row],[PID]],Table3[[#All],[PID]],0)))</f>
        <v>High</v>
      </c>
      <c r="K523" s="52" t="str">
        <f>IF($C523="B",INDEX(Batters[[#All],[INT]],MATCH(Table5[[#This Row],[PID]],Batters[[#All],[PID]],0)),INDEX(Table3[[#All],[INT]],MATCH(Table5[[#This Row],[PID]],Table3[[#All],[PID]],0)))</f>
        <v>High</v>
      </c>
      <c r="L523" s="60">
        <f>IF($C523="B",INDEX(Batters[[#All],[CON P]],MATCH(Table5[[#This Row],[PID]],Batters[[#All],[PID]],0)),INDEX(Table3[[#All],[STU P]],MATCH(Table5[[#This Row],[PID]],Table3[[#All],[PID]],0)))</f>
        <v>3</v>
      </c>
      <c r="M523" s="56">
        <f>IF($C523="B",INDEX(Batters[[#All],[GAP P]],MATCH(Table5[[#This Row],[PID]],Batters[[#All],[PID]],0)),INDEX(Table3[[#All],[MOV P]],MATCH(Table5[[#This Row],[PID]],Table3[[#All],[PID]],0)))</f>
        <v>3</v>
      </c>
      <c r="N523" s="56">
        <f>IF($C523="B",INDEX(Batters[[#All],[POW P]],MATCH(Table5[[#This Row],[PID]],Batters[[#All],[PID]],0)),INDEX(Table3[[#All],[CON P]],MATCH(Table5[[#This Row],[PID]],Table3[[#All],[PID]],0)))</f>
        <v>2</v>
      </c>
      <c r="O523" s="56">
        <f>IF($C523="B",INDEX(Batters[[#All],[EYE P]],MATCH(Table5[[#This Row],[PID]],Batters[[#All],[PID]],0)),INDEX(Table3[[#All],[VELO]],MATCH(Table5[[#This Row],[PID]],Table3[[#All],[PID]],0)))</f>
        <v>4</v>
      </c>
      <c r="P523" s="56">
        <f>IF($C523="B",INDEX(Batters[[#All],[K P]],MATCH(Table5[[#This Row],[PID]],Batters[[#All],[PID]],0)),INDEX(Table3[[#All],[STM]],MATCH(Table5[[#This Row],[PID]],Table3[[#All],[PID]],0)))</f>
        <v>4</v>
      </c>
      <c r="Q523" s="61">
        <f>IF($C523="B",INDEX(Batters[[#All],[Tot]],MATCH(Table5[[#This Row],[PID]],Batters[[#All],[PID]],0)),INDEX(Table3[[#All],[Tot]],MATCH(Table5[[#This Row],[PID]],Table3[[#All],[PID]],0)))</f>
        <v>40.049552644174241</v>
      </c>
      <c r="R523" s="52">
        <f>IF($C523="B",INDEX(Batters[[#All],[zScore]],MATCH(Table5[[#This Row],[PID]],Batters[[#All],[PID]],0)),INDEX(Table3[[#All],[zScore]],MATCH(Table5[[#This Row],[PID]],Table3[[#All],[PID]],0)))</f>
        <v>-0.46256387693601997</v>
      </c>
      <c r="S523" s="58" t="str">
        <f>IF($C523="B",INDEX(Batters[[#All],[DEM]],MATCH(Table5[[#This Row],[PID]],Batters[[#All],[PID]],0)),INDEX(Table3[[#All],[DEM]],MATCH(Table5[[#This Row],[PID]],Table3[[#All],[PID]],0)))</f>
        <v>$65k</v>
      </c>
      <c r="T523" s="62">
        <f>IF($C523="B",INDEX(Batters[[#All],[Rnk]],MATCH(Table5[[#This Row],[PID]],Batters[[#All],[PID]],0)),INDEX(Table3[[#All],[Rnk]],MATCH(Table5[[#This Row],[PID]],Table3[[#All],[PID]],0)))</f>
        <v>900</v>
      </c>
      <c r="U523" s="67">
        <f>IF($C523="B",VLOOKUP($A523,Bat!$A$4:$BA$1314,47,FALSE),VLOOKUP($A523,Pit!$A$4:$BF$1214,56,FALSE))</f>
        <v>190</v>
      </c>
      <c r="V523" s="50">
        <f>IF($C523="B",VLOOKUP($A523,Bat!$A$4:$BA$1314,48,FALSE),VLOOKUP($A523,Pit!$A$4:$BF$1214,57,FALSE))</f>
        <v>0</v>
      </c>
      <c r="W523" s="68">
        <f>IF(Table5[[#This Row],[posRnk]]=999,9999,Table5[[#This Row],[posRnk]]+Table5[[#This Row],[zRnk]]+IF($W$3&lt;&gt;Table5[[#This Row],[Type]],50,0))</f>
        <v>1503</v>
      </c>
      <c r="X523" s="51">
        <f>RANK(Table5[[#This Row],[zScore]],Table5[[#All],[zScore]])</f>
        <v>553</v>
      </c>
      <c r="Y523" s="50">
        <f>IFERROR(INDEX(DraftResults[[#All],[OVR]],MATCH(Table5[[#This Row],[PID]],DraftResults[[#All],[Player ID]],0)),"")</f>
        <v>509</v>
      </c>
      <c r="Z523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16</v>
      </c>
      <c r="AA523" s="50">
        <f>IFERROR(INDEX(DraftResults[[#All],[Pick in Round]],MATCH(Table5[[#This Row],[PID]],DraftResults[[#All],[Player ID]],0)),"")</f>
        <v>8</v>
      </c>
      <c r="AB523" s="50" t="str">
        <f>IFERROR(INDEX(DraftResults[[#All],[Team Name]],MATCH(Table5[[#This Row],[PID]],DraftResults[[#All],[Player ID]],0)),"")</f>
        <v>Gloucester Fishermen</v>
      </c>
      <c r="AC523" s="50">
        <f>IF(Table5[[#This Row],[Ovr]]="","",IF(Table5[[#This Row],[cmbList]]="","",Table5[[#This Row],[cmbList]]-Table5[[#This Row],[Ovr]]))</f>
        <v>994</v>
      </c>
      <c r="AD523" s="54" t="str">
        <f>IF(ISERROR(VLOOKUP($AB523&amp;"-"&amp;$E523&amp;" "&amp;F523,Bonuses!$B$1:$G$1006,4,FALSE)),"",INT(VLOOKUP($AB523&amp;"-"&amp;$E523&amp;" "&amp;$F523,Bonuses!$B$1:$G$1006,4,FALSE)))</f>
        <v/>
      </c>
      <c r="AE523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16.8 (509) - 3B Mutsuhito Koike</v>
      </c>
    </row>
    <row r="524" spans="1:31" s="50" customFormat="1" x14ac:dyDescent="0.3">
      <c r="A524" s="67">
        <v>20208</v>
      </c>
      <c r="B524" s="68">
        <f>COUNTIF(Table5[PID],A524)</f>
        <v>1</v>
      </c>
      <c r="C524" s="68" t="str">
        <f>IF(COUNTIF(Table3[[#All],[PID]],A524)&gt;0,"P","B")</f>
        <v>P</v>
      </c>
      <c r="D524" s="59" t="str">
        <f>IF($C524="B",INDEX(Batters[[#All],[POS]],MATCH(Table5[[#This Row],[PID]],Batters[[#All],[PID]],0)),INDEX(Table3[[#All],[POS]],MATCH(Table5[[#This Row],[PID]],Table3[[#All],[PID]],0)))</f>
        <v>RP</v>
      </c>
      <c r="E524" s="52" t="str">
        <f>IF($C524="B",INDEX(Batters[[#All],[First]],MATCH(Table5[[#This Row],[PID]],Batters[[#All],[PID]],0)),INDEX(Table3[[#All],[First]],MATCH(Table5[[#This Row],[PID]],Table3[[#All],[PID]],0)))</f>
        <v>Brad</v>
      </c>
      <c r="F524" s="55" t="str">
        <f>IF($C524="B",INDEX(Batters[[#All],[Last]],MATCH(A524,Batters[[#All],[PID]],0)),INDEX(Table3[[#All],[Last]],MATCH(A524,Table3[[#All],[PID]],0)))</f>
        <v>Fields</v>
      </c>
      <c r="G524" s="56">
        <f>IF($C524="B",INDEX(Batters[[#All],[Age]],MATCH(Table5[[#This Row],[PID]],Batters[[#All],[PID]],0)),INDEX(Table3[[#All],[Age]],MATCH(Table5[[#This Row],[PID]],Table3[[#All],[PID]],0)))</f>
        <v>21</v>
      </c>
      <c r="H524" s="52" t="str">
        <f>IF($C524="B",INDEX(Batters[[#All],[B]],MATCH(Table5[[#This Row],[PID]],Batters[[#All],[PID]],0)),INDEX(Table3[[#All],[B]],MATCH(Table5[[#This Row],[PID]],Table3[[#All],[PID]],0)))</f>
        <v>R</v>
      </c>
      <c r="I524" s="52" t="str">
        <f>IF($C524="B",INDEX(Batters[[#All],[T]],MATCH(Table5[[#This Row],[PID]],Batters[[#All],[PID]],0)),INDEX(Table3[[#All],[T]],MATCH(Table5[[#This Row],[PID]],Table3[[#All],[PID]],0)))</f>
        <v>R</v>
      </c>
      <c r="J524" s="69" t="str">
        <f>IF($C524="B",INDEX(Batters[[#All],[WE]],MATCH(Table5[[#This Row],[PID]],Batters[[#All],[PID]],0)),INDEX(Table3[[#All],[WE]],MATCH(Table5[[#This Row],[PID]],Table3[[#All],[PID]],0)))</f>
        <v>Normal</v>
      </c>
      <c r="K524" s="52" t="str">
        <f>IF($C524="B",INDEX(Batters[[#All],[INT]],MATCH(Table5[[#This Row],[PID]],Batters[[#All],[PID]],0)),INDEX(Table3[[#All],[INT]],MATCH(Table5[[#This Row],[PID]],Table3[[#All],[PID]],0)))</f>
        <v>Normal</v>
      </c>
      <c r="L524" s="60">
        <f>IF($C524="B",INDEX(Batters[[#All],[CON P]],MATCH(Table5[[#This Row],[PID]],Batters[[#All],[PID]],0)),INDEX(Table3[[#All],[STU P]],MATCH(Table5[[#This Row],[PID]],Table3[[#All],[PID]],0)))</f>
        <v>5</v>
      </c>
      <c r="M524" s="70">
        <f>IF($C524="B",INDEX(Batters[[#All],[GAP P]],MATCH(Table5[[#This Row],[PID]],Batters[[#All],[PID]],0)),INDEX(Table3[[#All],[MOV P]],MATCH(Table5[[#This Row],[PID]],Table3[[#All],[PID]],0)))</f>
        <v>1</v>
      </c>
      <c r="N524" s="70">
        <f>IF($C524="B",INDEX(Batters[[#All],[POW P]],MATCH(Table5[[#This Row],[PID]],Batters[[#All],[PID]],0)),INDEX(Table3[[#All],[CON P]],MATCH(Table5[[#This Row],[PID]],Table3[[#All],[PID]],0)))</f>
        <v>3</v>
      </c>
      <c r="O524" s="70" t="str">
        <f>IF($C524="B",INDEX(Batters[[#All],[EYE P]],MATCH(Table5[[#This Row],[PID]],Batters[[#All],[PID]],0)),INDEX(Table3[[#All],[VELO]],MATCH(Table5[[#This Row],[PID]],Table3[[#All],[PID]],0)))</f>
        <v>88-90 Mph</v>
      </c>
      <c r="P524" s="56">
        <f>IF($C524="B",INDEX(Batters[[#All],[K P]],MATCH(Table5[[#This Row],[PID]],Batters[[#All],[PID]],0)),INDEX(Table3[[#All],[STM]],MATCH(Table5[[#This Row],[PID]],Table3[[#All],[PID]],0)))</f>
        <v>6</v>
      </c>
      <c r="Q524" s="61">
        <f>IF($C524="B",INDEX(Batters[[#All],[Tot]],MATCH(Table5[[#This Row],[PID]],Batters[[#All],[PID]],0)),INDEX(Table3[[#All],[Tot]],MATCH(Table5[[#This Row],[PID]],Table3[[#All],[PID]],0)))</f>
        <v>31.178987895645307</v>
      </c>
      <c r="R524" s="52">
        <f>IF($C524="B",INDEX(Batters[[#All],[zScore]],MATCH(Table5[[#This Row],[PID]],Batters[[#All],[PID]],0)),INDEX(Table3[[#All],[zScore]],MATCH(Table5[[#This Row],[PID]],Table3[[#All],[PID]],0)))</f>
        <v>-0.47164652515834682</v>
      </c>
      <c r="S524" s="75" t="str">
        <f>IF($C524="B",INDEX(Batters[[#All],[DEM]],MATCH(Table5[[#This Row],[PID]],Batters[[#All],[PID]],0)),INDEX(Table3[[#All],[DEM]],MATCH(Table5[[#This Row],[PID]],Table3[[#All],[PID]],0)))</f>
        <v>$20k</v>
      </c>
      <c r="T524" s="72">
        <f>IF($C524="B",INDEX(Batters[[#All],[Rnk]],MATCH(Table5[[#This Row],[PID]],Batters[[#All],[PID]],0)),INDEX(Table3[[#All],[Rnk]],MATCH(Table5[[#This Row],[PID]],Table3[[#All],[PID]],0)))</f>
        <v>900</v>
      </c>
      <c r="U524" s="67">
        <f>IF($C524="B",VLOOKUP($A524,Bat!$A$4:$BA$1314,47,FALSE),VLOOKUP($A524,Pit!$A$4:$BF$1214,56,FALSE))</f>
        <v>187</v>
      </c>
      <c r="V524" s="50">
        <f>IF($C524="B",VLOOKUP($A524,Bat!$A$4:$BA$1314,48,FALSE),VLOOKUP($A524,Pit!$A$4:$BF$1214,57,FALSE))</f>
        <v>0</v>
      </c>
      <c r="W524" s="68">
        <f>IF(Table5[[#This Row],[posRnk]]=999,9999,Table5[[#This Row],[posRnk]]+Table5[[#This Row],[zRnk]]+IF($W$3&lt;&gt;Table5[[#This Row],[Type]],50,0))</f>
        <v>1455</v>
      </c>
      <c r="X524" s="71">
        <f>RANK(Table5[[#This Row],[zScore]],Table5[[#All],[zScore]])</f>
        <v>555</v>
      </c>
      <c r="Y524" s="68" t="str">
        <f>IFERROR(INDEX(DraftResults[[#All],[OVR]],MATCH(Table5[[#This Row],[PID]],DraftResults[[#All],[Player ID]],0)),"")</f>
        <v/>
      </c>
      <c r="Z524" s="7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/>
      </c>
      <c r="AA524" s="68" t="str">
        <f>IFERROR(INDEX(DraftResults[[#All],[Pick in Round]],MATCH(Table5[[#This Row],[PID]],DraftResults[[#All],[Player ID]],0)),"")</f>
        <v/>
      </c>
      <c r="AB524" s="68" t="str">
        <f>IFERROR(INDEX(DraftResults[[#All],[Team Name]],MATCH(Table5[[#This Row],[PID]],DraftResults[[#All],[Player ID]],0)),"")</f>
        <v/>
      </c>
      <c r="AC524" s="68" t="str">
        <f>IF(Table5[[#This Row],[Ovr]]="","",IF(Table5[[#This Row],[cmbList]]="","",Table5[[#This Row],[cmbList]]-Table5[[#This Row],[Ovr]]))</f>
        <v/>
      </c>
      <c r="AD524" s="74" t="str">
        <f>IF(ISERROR(VLOOKUP($AB524&amp;"-"&amp;$E524&amp;" "&amp;F524,Bonuses!$B$1:$G$1006,4,FALSE)),"",INT(VLOOKUP($AB524&amp;"-"&amp;$E524&amp;" "&amp;$F524,Bonuses!$B$1:$G$1006,4,FALSE)))</f>
        <v/>
      </c>
      <c r="AE524" s="68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/>
      </c>
    </row>
    <row r="525" spans="1:31" s="50" customFormat="1" x14ac:dyDescent="0.3">
      <c r="A525" s="50">
        <v>12807</v>
      </c>
      <c r="B525" s="50">
        <f>COUNTIF(Table5[PID],A525)</f>
        <v>1</v>
      </c>
      <c r="C525" s="50" t="str">
        <f>IF(COUNTIF(Table3[[#All],[PID]],A525)&gt;0,"P","B")</f>
        <v>B</v>
      </c>
      <c r="D525" s="59" t="str">
        <f>IF($C525="B",INDEX(Batters[[#All],[POS]],MATCH(Table5[[#This Row],[PID]],Batters[[#All],[PID]],0)),INDEX(Table3[[#All],[POS]],MATCH(Table5[[#This Row],[PID]],Table3[[#All],[PID]],0)))</f>
        <v>RF</v>
      </c>
      <c r="E525" s="52" t="str">
        <f>IF($C525="B",INDEX(Batters[[#All],[First]],MATCH(Table5[[#This Row],[PID]],Batters[[#All],[PID]],0)),INDEX(Table3[[#All],[First]],MATCH(Table5[[#This Row],[PID]],Table3[[#All],[PID]],0)))</f>
        <v>Wladimir</v>
      </c>
      <c r="F525" s="50" t="str">
        <f>IF($C525="B",INDEX(Batters[[#All],[Last]],MATCH(A525,Batters[[#All],[PID]],0)),INDEX(Table3[[#All],[Last]],MATCH(A525,Table3[[#All],[PID]],0)))</f>
        <v>Veurink</v>
      </c>
      <c r="G525" s="56">
        <f>IF($C525="B",INDEX(Batters[[#All],[Age]],MATCH(Table5[[#This Row],[PID]],Batters[[#All],[PID]],0)),INDEX(Table3[[#All],[Age]],MATCH(Table5[[#This Row],[PID]],Table3[[#All],[PID]],0)))</f>
        <v>21</v>
      </c>
      <c r="H525" s="52" t="str">
        <f>IF($C525="B",INDEX(Batters[[#All],[B]],MATCH(Table5[[#This Row],[PID]],Batters[[#All],[PID]],0)),INDEX(Table3[[#All],[B]],MATCH(Table5[[#This Row],[PID]],Table3[[#All],[PID]],0)))</f>
        <v>R</v>
      </c>
      <c r="I525" s="52" t="str">
        <f>IF($C525="B",INDEX(Batters[[#All],[T]],MATCH(Table5[[#This Row],[PID]],Batters[[#All],[PID]],0)),INDEX(Table3[[#All],[T]],MATCH(Table5[[#This Row],[PID]],Table3[[#All],[PID]],0)))</f>
        <v>R</v>
      </c>
      <c r="J525" s="52" t="str">
        <f>IF($C525="B",INDEX(Batters[[#All],[WE]],MATCH(Table5[[#This Row],[PID]],Batters[[#All],[PID]],0)),INDEX(Table3[[#All],[WE]],MATCH(Table5[[#This Row],[PID]],Table3[[#All],[PID]],0)))</f>
        <v>Low</v>
      </c>
      <c r="K525" s="52" t="str">
        <f>IF($C525="B",INDEX(Batters[[#All],[INT]],MATCH(Table5[[#This Row],[PID]],Batters[[#All],[PID]],0)),INDEX(Table3[[#All],[INT]],MATCH(Table5[[#This Row],[PID]],Table3[[#All],[PID]],0)))</f>
        <v>Normal</v>
      </c>
      <c r="L525" s="60">
        <f>IF($C525="B",INDEX(Batters[[#All],[CON P]],MATCH(Table5[[#This Row],[PID]],Batters[[#All],[PID]],0)),INDEX(Table3[[#All],[STU P]],MATCH(Table5[[#This Row],[PID]],Table3[[#All],[PID]],0)))</f>
        <v>4</v>
      </c>
      <c r="M525" s="56">
        <f>IF($C525="B",INDEX(Batters[[#All],[GAP P]],MATCH(Table5[[#This Row],[PID]],Batters[[#All],[PID]],0)),INDEX(Table3[[#All],[MOV P]],MATCH(Table5[[#This Row],[PID]],Table3[[#All],[PID]],0)))</f>
        <v>3</v>
      </c>
      <c r="N525" s="56">
        <f>IF($C525="B",INDEX(Batters[[#All],[POW P]],MATCH(Table5[[#This Row],[PID]],Batters[[#All],[PID]],0)),INDEX(Table3[[#All],[CON P]],MATCH(Table5[[#This Row],[PID]],Table3[[#All],[PID]],0)))</f>
        <v>3</v>
      </c>
      <c r="O525" s="56">
        <f>IF($C525="B",INDEX(Batters[[#All],[EYE P]],MATCH(Table5[[#This Row],[PID]],Batters[[#All],[PID]],0)),INDEX(Table3[[#All],[VELO]],MATCH(Table5[[#This Row],[PID]],Table3[[#All],[PID]],0)))</f>
        <v>5</v>
      </c>
      <c r="P525" s="56">
        <f>IF($C525="B",INDEX(Batters[[#All],[K P]],MATCH(Table5[[#This Row],[PID]],Batters[[#All],[PID]],0)),INDEX(Table3[[#All],[STM]],MATCH(Table5[[#This Row],[PID]],Table3[[#All],[PID]],0)))</f>
        <v>5</v>
      </c>
      <c r="Q525" s="61">
        <f>IF($C525="B",INDEX(Batters[[#All],[Tot]],MATCH(Table5[[#This Row],[PID]],Batters[[#All],[PID]],0)),INDEX(Table3[[#All],[Tot]],MATCH(Table5[[#This Row],[PID]],Table3[[#All],[PID]],0)))</f>
        <v>40.604822514453232</v>
      </c>
      <c r="R525" s="52">
        <f>IF($C525="B",INDEX(Batters[[#All],[zScore]],MATCH(Table5[[#This Row],[PID]],Batters[[#All],[PID]],0)),INDEX(Table3[[#All],[zScore]],MATCH(Table5[[#This Row],[PID]],Table3[[#All],[PID]],0)))</f>
        <v>-0.38151218362737632</v>
      </c>
      <c r="S525" s="58" t="str">
        <f>IF($C525="B",INDEX(Batters[[#All],[DEM]],MATCH(Table5[[#This Row],[PID]],Batters[[#All],[PID]],0)),INDEX(Table3[[#All],[DEM]],MATCH(Table5[[#This Row],[PID]],Table3[[#All],[PID]],0)))</f>
        <v>-</v>
      </c>
      <c r="T525" s="62">
        <f>IF($C525="B",INDEX(Batters[[#All],[Rnk]],MATCH(Table5[[#This Row],[PID]],Batters[[#All],[PID]],0)),INDEX(Table3[[#All],[Rnk]],MATCH(Table5[[#This Row],[PID]],Table3[[#All],[PID]],0)))</f>
        <v>930</v>
      </c>
      <c r="U525" s="67">
        <f>IF($C525="B",VLOOKUP($A525,Bat!$A$4:$BA$1314,47,FALSE),VLOOKUP($A525,Pit!$A$4:$BF$1214,56,FALSE))</f>
        <v>342</v>
      </c>
      <c r="V525" s="50">
        <f>IF($C525="B",VLOOKUP($A525,Bat!$A$4:$BA$1314,48,FALSE),VLOOKUP($A525,Pit!$A$4:$BF$1214,57,FALSE))</f>
        <v>0</v>
      </c>
      <c r="W525" s="68">
        <f>IF(Table5[[#This Row],[posRnk]]=999,9999,Table5[[#This Row],[posRnk]]+Table5[[#This Row],[zRnk]]+IF($W$3&lt;&gt;Table5[[#This Row],[Type]],50,0))</f>
        <v>1505</v>
      </c>
      <c r="X525" s="51">
        <f>RANK(Table5[[#This Row],[zScore]],Table5[[#All],[zScore]])</f>
        <v>525</v>
      </c>
      <c r="Y525" s="50">
        <f>IFERROR(INDEX(DraftResults[[#All],[OVR]],MATCH(Table5[[#This Row],[PID]],DraftResults[[#All],[Player ID]],0)),"")</f>
        <v>494</v>
      </c>
      <c r="Z525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15</v>
      </c>
      <c r="AA525" s="50">
        <f>IFERROR(INDEX(DraftResults[[#All],[Pick in Round]],MATCH(Table5[[#This Row],[PID]],DraftResults[[#All],[Player ID]],0)),"")</f>
        <v>27</v>
      </c>
      <c r="AB525" s="50" t="str">
        <f>IFERROR(INDEX(DraftResults[[#All],[Team Name]],MATCH(Table5[[#This Row],[PID]],DraftResults[[#All],[Player ID]],0)),"")</f>
        <v>Havana Leones</v>
      </c>
      <c r="AC525" s="50">
        <f>IF(Table5[[#This Row],[Ovr]]="","",IF(Table5[[#This Row],[cmbList]]="","",Table5[[#This Row],[cmbList]]-Table5[[#This Row],[Ovr]]))</f>
        <v>1011</v>
      </c>
      <c r="AD525" s="54" t="str">
        <f>IF(ISERROR(VLOOKUP($AB525&amp;"-"&amp;$E525&amp;" "&amp;F525,Bonuses!$B$1:$G$1006,4,FALSE)),"",INT(VLOOKUP($AB525&amp;"-"&amp;$E525&amp;" "&amp;$F525,Bonuses!$B$1:$G$1006,4,FALSE)))</f>
        <v/>
      </c>
      <c r="AE525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15.27 (494) - RF Wladimir Veurink</v>
      </c>
    </row>
    <row r="526" spans="1:31" s="50" customFormat="1" x14ac:dyDescent="0.3">
      <c r="A526" s="50">
        <v>5636</v>
      </c>
      <c r="B526" s="55">
        <f>COUNTIF(Table5[PID],A526)</f>
        <v>1</v>
      </c>
      <c r="C526" s="55" t="str">
        <f>IF(COUNTIF(Table3[[#All],[PID]],A526)&gt;0,"P","B")</f>
        <v>B</v>
      </c>
      <c r="D526" s="59" t="str">
        <f>IF($C526="B",INDEX(Batters[[#All],[POS]],MATCH(Table5[[#This Row],[PID]],Batters[[#All],[PID]],0)),INDEX(Table3[[#All],[POS]],MATCH(Table5[[#This Row],[PID]],Table3[[#All],[PID]],0)))</f>
        <v>SS</v>
      </c>
      <c r="E526" s="52" t="str">
        <f>IF($C526="B",INDEX(Batters[[#All],[First]],MATCH(Table5[[#This Row],[PID]],Batters[[#All],[PID]],0)),INDEX(Table3[[#All],[First]],MATCH(Table5[[#This Row],[PID]],Table3[[#All],[PID]],0)))</f>
        <v>Miguel</v>
      </c>
      <c r="F526" s="50" t="str">
        <f>IF($C526="B",INDEX(Batters[[#All],[Last]],MATCH(A526,Batters[[#All],[PID]],0)),INDEX(Table3[[#All],[Last]],MATCH(A526,Table3[[#All],[PID]],0)))</f>
        <v>Romero</v>
      </c>
      <c r="G526" s="56">
        <f>IF($C526="B",INDEX(Batters[[#All],[Age]],MATCH(Table5[[#This Row],[PID]],Batters[[#All],[PID]],0)),INDEX(Table3[[#All],[Age]],MATCH(Table5[[#This Row],[PID]],Table3[[#All],[PID]],0)))</f>
        <v>21</v>
      </c>
      <c r="H526" s="52" t="str">
        <f>IF($C526="B",INDEX(Batters[[#All],[B]],MATCH(Table5[[#This Row],[PID]],Batters[[#All],[PID]],0)),INDEX(Table3[[#All],[B]],MATCH(Table5[[#This Row],[PID]],Table3[[#All],[PID]],0)))</f>
        <v>R</v>
      </c>
      <c r="I526" s="52" t="str">
        <f>IF($C526="B",INDEX(Batters[[#All],[T]],MATCH(Table5[[#This Row],[PID]],Batters[[#All],[PID]],0)),INDEX(Table3[[#All],[T]],MATCH(Table5[[#This Row],[PID]],Table3[[#All],[PID]],0)))</f>
        <v>R</v>
      </c>
      <c r="J526" s="52" t="str">
        <f>IF($C526="B",INDEX(Batters[[#All],[WE]],MATCH(Table5[[#This Row],[PID]],Batters[[#All],[PID]],0)),INDEX(Table3[[#All],[WE]],MATCH(Table5[[#This Row],[PID]],Table3[[#All],[PID]],0)))</f>
        <v>High</v>
      </c>
      <c r="K526" s="52" t="str">
        <f>IF($C526="B",INDEX(Batters[[#All],[INT]],MATCH(Table5[[#This Row],[PID]],Batters[[#All],[PID]],0)),INDEX(Table3[[#All],[INT]],MATCH(Table5[[#This Row],[PID]],Table3[[#All],[PID]],0)))</f>
        <v>Normal</v>
      </c>
      <c r="L526" s="60">
        <f>IF($C526="B",INDEX(Batters[[#All],[CON P]],MATCH(Table5[[#This Row],[PID]],Batters[[#All],[PID]],0)),INDEX(Table3[[#All],[STU P]],MATCH(Table5[[#This Row],[PID]],Table3[[#All],[PID]],0)))</f>
        <v>3</v>
      </c>
      <c r="M526" s="56">
        <f>IF($C526="B",INDEX(Batters[[#All],[GAP P]],MATCH(Table5[[#This Row],[PID]],Batters[[#All],[PID]],0)),INDEX(Table3[[#All],[MOV P]],MATCH(Table5[[#This Row],[PID]],Table3[[#All],[PID]],0)))</f>
        <v>4</v>
      </c>
      <c r="N526" s="56">
        <f>IF($C526="B",INDEX(Batters[[#All],[POW P]],MATCH(Table5[[#This Row],[PID]],Batters[[#All],[PID]],0)),INDEX(Table3[[#All],[CON P]],MATCH(Table5[[#This Row],[PID]],Table3[[#All],[PID]],0)))</f>
        <v>3</v>
      </c>
      <c r="O526" s="56">
        <f>IF($C526="B",INDEX(Batters[[#All],[EYE P]],MATCH(Table5[[#This Row],[PID]],Batters[[#All],[PID]],0)),INDEX(Table3[[#All],[VELO]],MATCH(Table5[[#This Row],[PID]],Table3[[#All],[PID]],0)))</f>
        <v>5</v>
      </c>
      <c r="P526" s="56">
        <f>IF($C526="B",INDEX(Batters[[#All],[K P]],MATCH(Table5[[#This Row],[PID]],Batters[[#All],[PID]],0)),INDEX(Table3[[#All],[STM]],MATCH(Table5[[#This Row],[PID]],Table3[[#All],[PID]],0)))</f>
        <v>4</v>
      </c>
      <c r="Q526" s="61">
        <f>IF($C526="B",INDEX(Batters[[#All],[Tot]],MATCH(Table5[[#This Row],[PID]],Batters[[#All],[PID]],0)),INDEX(Table3[[#All],[Tot]],MATCH(Table5[[#This Row],[PID]],Table3[[#All],[PID]],0)))</f>
        <v>39.979780118370982</v>
      </c>
      <c r="R526" s="52">
        <f>IF($C526="B",INDEX(Batters[[#All],[zScore]],MATCH(Table5[[#This Row],[PID]],Batters[[#All],[PID]],0)),INDEX(Table3[[#All],[zScore]],MATCH(Table5[[#This Row],[PID]],Table3[[#All],[PID]],0)))</f>
        <v>-0.47274844063282884</v>
      </c>
      <c r="S526" s="58" t="str">
        <f>IF($C526="B",INDEX(Batters[[#All],[DEM]],MATCH(Table5[[#This Row],[PID]],Batters[[#All],[PID]],0)),INDEX(Table3[[#All],[DEM]],MATCH(Table5[[#This Row],[PID]],Table3[[#All],[PID]],0)))</f>
        <v>$350k</v>
      </c>
      <c r="T526" s="62">
        <f>IF($C526="B",INDEX(Batters[[#All],[Rnk]],MATCH(Table5[[#This Row],[PID]],Batters[[#All],[PID]],0)),INDEX(Table3[[#All],[Rnk]],MATCH(Table5[[#This Row],[PID]],Table3[[#All],[PID]],0)))</f>
        <v>900</v>
      </c>
      <c r="U526" s="67">
        <f>IF($C526="B",VLOOKUP($A526,Bat!$A$4:$BA$1314,47,FALSE),VLOOKUP($A526,Pit!$A$4:$BF$1214,56,FALSE))</f>
        <v>200</v>
      </c>
      <c r="V526" s="50">
        <f>IF($C526="B",VLOOKUP($A526,Bat!$A$4:$BA$1314,48,FALSE),VLOOKUP($A526,Pit!$A$4:$BF$1214,57,FALSE))</f>
        <v>0</v>
      </c>
      <c r="W526" s="68">
        <f>IF(Table5[[#This Row],[posRnk]]=999,9999,Table5[[#This Row],[posRnk]]+Table5[[#This Row],[zRnk]]+IF($W$3&lt;&gt;Table5[[#This Row],[Type]],50,0))</f>
        <v>1506</v>
      </c>
      <c r="X526" s="51">
        <f>RANK(Table5[[#This Row],[zScore]],Table5[[#All],[zScore]])</f>
        <v>556</v>
      </c>
      <c r="Y526" s="50">
        <f>IFERROR(INDEX(DraftResults[[#All],[OVR]],MATCH(Table5[[#This Row],[PID]],DraftResults[[#All],[Player ID]],0)),"")</f>
        <v>157</v>
      </c>
      <c r="Z526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5</v>
      </c>
      <c r="AA526" s="50">
        <f>IFERROR(INDEX(DraftResults[[#All],[Pick in Round]],MATCH(Table5[[#This Row],[PID]],DraftResults[[#All],[Player ID]],0)),"")</f>
        <v>20</v>
      </c>
      <c r="AB526" s="50" t="str">
        <f>IFERROR(INDEX(DraftResults[[#All],[Team Name]],MATCH(Table5[[#This Row],[PID]],DraftResults[[#All],[Player ID]],0)),"")</f>
        <v>Crystal Lake Sandgnats</v>
      </c>
      <c r="AC526" s="50">
        <f>IF(Table5[[#This Row],[Ovr]]="","",IF(Table5[[#This Row],[cmbList]]="","",Table5[[#This Row],[cmbList]]-Table5[[#This Row],[Ovr]]))</f>
        <v>1349</v>
      </c>
      <c r="AD526" s="54" t="str">
        <f>IF(ISERROR(VLOOKUP($AB526&amp;"-"&amp;$E526&amp;" "&amp;F526,Bonuses!$B$1:$G$1006,4,FALSE)),"",INT(VLOOKUP($AB526&amp;"-"&amp;$E526&amp;" "&amp;$F526,Bonuses!$B$1:$G$1006,4,FALSE)))</f>
        <v/>
      </c>
      <c r="AE526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5.20 (157) - SS Miguel Romero</v>
      </c>
    </row>
    <row r="527" spans="1:31" s="50" customFormat="1" x14ac:dyDescent="0.3">
      <c r="A527" s="50">
        <v>21055</v>
      </c>
      <c r="B527" s="50">
        <f>COUNTIF(Table5[PID],A527)</f>
        <v>1</v>
      </c>
      <c r="C527" s="50" t="str">
        <f>IF(COUNTIF(Table3[[#All],[PID]],A527)&gt;0,"P","B")</f>
        <v>P</v>
      </c>
      <c r="D527" s="59" t="str">
        <f>IF($C527="B",INDEX(Batters[[#All],[POS]],MATCH(Table5[[#This Row],[PID]],Batters[[#All],[PID]],0)),INDEX(Table3[[#All],[POS]],MATCH(Table5[[#This Row],[PID]],Table3[[#All],[PID]],0)))</f>
        <v>RP</v>
      </c>
      <c r="E527" s="52" t="str">
        <f>IF($C527="B",INDEX(Batters[[#All],[First]],MATCH(Table5[[#This Row],[PID]],Batters[[#All],[PID]],0)),INDEX(Table3[[#All],[First]],MATCH(Table5[[#This Row],[PID]],Table3[[#All],[PID]],0)))</f>
        <v>Artie</v>
      </c>
      <c r="F527" s="50" t="str">
        <f>IF($C527="B",INDEX(Batters[[#All],[Last]],MATCH(A527,Batters[[#All],[PID]],0)),INDEX(Table3[[#All],[Last]],MATCH(A527,Table3[[#All],[PID]],0)))</f>
        <v>Maddox</v>
      </c>
      <c r="G527" s="56">
        <f>IF($C527="B",INDEX(Batters[[#All],[Age]],MATCH(Table5[[#This Row],[PID]],Batters[[#All],[PID]],0)),INDEX(Table3[[#All],[Age]],MATCH(Table5[[#This Row],[PID]],Table3[[#All],[PID]],0)))</f>
        <v>17</v>
      </c>
      <c r="H527" s="52" t="str">
        <f>IF($C527="B",INDEX(Batters[[#All],[B]],MATCH(Table5[[#This Row],[PID]],Batters[[#All],[PID]],0)),INDEX(Table3[[#All],[B]],MATCH(Table5[[#This Row],[PID]],Table3[[#All],[PID]],0)))</f>
        <v>R</v>
      </c>
      <c r="I527" s="52" t="str">
        <f>IF($C527="B",INDEX(Batters[[#All],[T]],MATCH(Table5[[#This Row],[PID]],Batters[[#All],[PID]],0)),INDEX(Table3[[#All],[T]],MATCH(Table5[[#This Row],[PID]],Table3[[#All],[PID]],0)))</f>
        <v>R</v>
      </c>
      <c r="J527" s="52" t="str">
        <f>IF($C527="B",INDEX(Batters[[#All],[WE]],MATCH(Table5[[#This Row],[PID]],Batters[[#All],[PID]],0)),INDEX(Table3[[#All],[WE]],MATCH(Table5[[#This Row],[PID]],Table3[[#All],[PID]],0)))</f>
        <v>Low</v>
      </c>
      <c r="K527" s="52" t="str">
        <f>IF($C527="B",INDEX(Batters[[#All],[INT]],MATCH(Table5[[#This Row],[PID]],Batters[[#All],[PID]],0)),INDEX(Table3[[#All],[INT]],MATCH(Table5[[#This Row],[PID]],Table3[[#All],[PID]],0)))</f>
        <v>High</v>
      </c>
      <c r="L527" s="60">
        <f>IF($C527="B",INDEX(Batters[[#All],[CON P]],MATCH(Table5[[#This Row],[PID]],Batters[[#All],[PID]],0)),INDEX(Table3[[#All],[STU P]],MATCH(Table5[[#This Row],[PID]],Table3[[#All],[PID]],0)))</f>
        <v>3</v>
      </c>
      <c r="M527" s="56">
        <f>IF($C527="B",INDEX(Batters[[#All],[GAP P]],MATCH(Table5[[#This Row],[PID]],Batters[[#All],[PID]],0)),INDEX(Table3[[#All],[MOV P]],MATCH(Table5[[#This Row],[PID]],Table3[[#All],[PID]],0)))</f>
        <v>3</v>
      </c>
      <c r="N527" s="56">
        <f>IF($C527="B",INDEX(Batters[[#All],[POW P]],MATCH(Table5[[#This Row],[PID]],Batters[[#All],[PID]],0)),INDEX(Table3[[#All],[CON P]],MATCH(Table5[[#This Row],[PID]],Table3[[#All],[PID]],0)))</f>
        <v>3</v>
      </c>
      <c r="O527" s="56" t="str">
        <f>IF($C527="B",INDEX(Batters[[#All],[EYE P]],MATCH(Table5[[#This Row],[PID]],Batters[[#All],[PID]],0)),INDEX(Table3[[#All],[VELO]],MATCH(Table5[[#This Row],[PID]],Table3[[#All],[PID]],0)))</f>
        <v>87-89 Mph</v>
      </c>
      <c r="P527" s="56">
        <f>IF($C527="B",INDEX(Batters[[#All],[K P]],MATCH(Table5[[#This Row],[PID]],Batters[[#All],[PID]],0)),INDEX(Table3[[#All],[STM]],MATCH(Table5[[#This Row],[PID]],Table3[[#All],[PID]],0)))</f>
        <v>1</v>
      </c>
      <c r="Q527" s="61">
        <f>IF($C527="B",INDEX(Batters[[#All],[Tot]],MATCH(Table5[[#This Row],[PID]],Batters[[#All],[PID]],0)),INDEX(Table3[[#All],[Tot]],MATCH(Table5[[#This Row],[PID]],Table3[[#All],[PID]],0)))</f>
        <v>32.192030207053214</v>
      </c>
      <c r="R527" s="52">
        <f>IF($C527="B",INDEX(Batters[[#All],[zScore]],MATCH(Table5[[#This Row],[PID]],Batters[[#All],[PID]],0)),INDEX(Table3[[#All],[zScore]],MATCH(Table5[[#This Row],[PID]],Table3[[#All],[PID]],0)))</f>
        <v>-0.39292547232082453</v>
      </c>
      <c r="S527" s="58" t="str">
        <f>IF($C527="B",INDEX(Batters[[#All],[DEM]],MATCH(Table5[[#This Row],[PID]],Batters[[#All],[PID]],0)),INDEX(Table3[[#All],[DEM]],MATCH(Table5[[#This Row],[PID]],Table3[[#All],[PID]],0)))</f>
        <v>$65k</v>
      </c>
      <c r="T527" s="62">
        <f>IF($C527="B",INDEX(Batters[[#All],[Rnk]],MATCH(Table5[[#This Row],[PID]],Batters[[#All],[PID]],0)),INDEX(Table3[[#All],[Rnk]],MATCH(Table5[[#This Row],[PID]],Table3[[#All],[PID]],0)))</f>
        <v>930</v>
      </c>
      <c r="U527" s="67">
        <f>IF($C527="B",VLOOKUP($A527,Bat!$A$4:$BA$1314,47,FALSE),VLOOKUP($A527,Pit!$A$4:$BF$1214,56,FALSE))</f>
        <v>311</v>
      </c>
      <c r="V527" s="50">
        <f>IF($C527="B",VLOOKUP($A527,Bat!$A$4:$BA$1314,48,FALSE),VLOOKUP($A527,Pit!$A$4:$BF$1214,57,FALSE))</f>
        <v>0</v>
      </c>
      <c r="W527" s="68">
        <f>IF(Table5[[#This Row],[posRnk]]=999,9999,Table5[[#This Row],[posRnk]]+Table5[[#This Row],[zRnk]]+IF($W$3&lt;&gt;Table5[[#This Row],[Type]],50,0))</f>
        <v>1456</v>
      </c>
      <c r="X527" s="51">
        <f>RANK(Table5[[#This Row],[zScore]],Table5[[#All],[zScore]])</f>
        <v>526</v>
      </c>
      <c r="Y527" s="50">
        <f>IFERROR(INDEX(DraftResults[[#All],[OVR]],MATCH(Table5[[#This Row],[PID]],DraftResults[[#All],[Player ID]],0)),"")</f>
        <v>520</v>
      </c>
      <c r="Z527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16</v>
      </c>
      <c r="AA527" s="50">
        <f>IFERROR(INDEX(DraftResults[[#All],[Pick in Round]],MATCH(Table5[[#This Row],[PID]],DraftResults[[#All],[Player ID]],0)),"")</f>
        <v>19</v>
      </c>
      <c r="AB527" s="50" t="str">
        <f>IFERROR(INDEX(DraftResults[[#All],[Team Name]],MATCH(Table5[[#This Row],[PID]],DraftResults[[#All],[Player ID]],0)),"")</f>
        <v>Fargo Dinosaurs</v>
      </c>
      <c r="AC527" s="50">
        <f>IF(Table5[[#This Row],[Ovr]]="","",IF(Table5[[#This Row],[cmbList]]="","",Table5[[#This Row],[cmbList]]-Table5[[#This Row],[Ovr]]))</f>
        <v>936</v>
      </c>
      <c r="AD527" s="54" t="str">
        <f>IF(ISERROR(VLOOKUP($AB527&amp;"-"&amp;$E527&amp;" "&amp;F527,Bonuses!$B$1:$G$1006,4,FALSE)),"",INT(VLOOKUP($AB527&amp;"-"&amp;$E527&amp;" "&amp;$F527,Bonuses!$B$1:$G$1006,4,FALSE)))</f>
        <v/>
      </c>
      <c r="AE527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16.19 (520) - RP Artie Maddox</v>
      </c>
    </row>
    <row r="528" spans="1:31" s="50" customFormat="1" x14ac:dyDescent="0.3">
      <c r="A528" s="67">
        <v>5246</v>
      </c>
      <c r="B528" s="68">
        <f>COUNTIF(Table5[PID],A528)</f>
        <v>1</v>
      </c>
      <c r="C528" s="68" t="str">
        <f>IF(COUNTIF(Table3[[#All],[PID]],A528)&gt;0,"P","B")</f>
        <v>B</v>
      </c>
      <c r="D528" s="59" t="str">
        <f>IF($C528="B",INDEX(Batters[[#All],[POS]],MATCH(Table5[[#This Row],[PID]],Batters[[#All],[PID]],0)),INDEX(Table3[[#All],[POS]],MATCH(Table5[[#This Row],[PID]],Table3[[#All],[PID]],0)))</f>
        <v>3B</v>
      </c>
      <c r="E528" s="52" t="str">
        <f>IF($C528="B",INDEX(Batters[[#All],[First]],MATCH(Table5[[#This Row],[PID]],Batters[[#All],[PID]],0)),INDEX(Table3[[#All],[First]],MATCH(Table5[[#This Row],[PID]],Table3[[#All],[PID]],0)))</f>
        <v>Rob</v>
      </c>
      <c r="F528" s="55" t="str">
        <f>IF($C528="B",INDEX(Batters[[#All],[Last]],MATCH(A528,Batters[[#All],[PID]],0)),INDEX(Table3[[#All],[Last]],MATCH(A528,Table3[[#All],[PID]],0)))</f>
        <v>Johnston</v>
      </c>
      <c r="G528" s="56">
        <f>IF($C528="B",INDEX(Batters[[#All],[Age]],MATCH(Table5[[#This Row],[PID]],Batters[[#All],[PID]],0)),INDEX(Table3[[#All],[Age]],MATCH(Table5[[#This Row],[PID]],Table3[[#All],[PID]],0)))</f>
        <v>22</v>
      </c>
      <c r="H528" s="52" t="str">
        <f>IF($C528="B",INDEX(Batters[[#All],[B]],MATCH(Table5[[#This Row],[PID]],Batters[[#All],[PID]],0)),INDEX(Table3[[#All],[B]],MATCH(Table5[[#This Row],[PID]],Table3[[#All],[PID]],0)))</f>
        <v>R</v>
      </c>
      <c r="I528" s="52" t="str">
        <f>IF($C528="B",INDEX(Batters[[#All],[T]],MATCH(Table5[[#This Row],[PID]],Batters[[#All],[PID]],0)),INDEX(Table3[[#All],[T]],MATCH(Table5[[#This Row],[PID]],Table3[[#All],[PID]],0)))</f>
        <v>R</v>
      </c>
      <c r="J528" s="69" t="str">
        <f>IF($C528="B",INDEX(Batters[[#All],[WE]],MATCH(Table5[[#This Row],[PID]],Batters[[#All],[PID]],0)),INDEX(Table3[[#All],[WE]],MATCH(Table5[[#This Row],[PID]],Table3[[#All],[PID]],0)))</f>
        <v>Low</v>
      </c>
      <c r="K528" s="52" t="str">
        <f>IF($C528="B",INDEX(Batters[[#All],[INT]],MATCH(Table5[[#This Row],[PID]],Batters[[#All],[PID]],0)),INDEX(Table3[[#All],[INT]],MATCH(Table5[[#This Row],[PID]],Table3[[#All],[PID]],0)))</f>
        <v>Normal</v>
      </c>
      <c r="L528" s="60">
        <f>IF($C528="B",INDEX(Batters[[#All],[CON P]],MATCH(Table5[[#This Row],[PID]],Batters[[#All],[PID]],0)),INDEX(Table3[[#All],[STU P]],MATCH(Table5[[#This Row],[PID]],Table3[[#All],[PID]],0)))</f>
        <v>4</v>
      </c>
      <c r="M528" s="70">
        <f>IF($C528="B",INDEX(Batters[[#All],[GAP P]],MATCH(Table5[[#This Row],[PID]],Batters[[#All],[PID]],0)),INDEX(Table3[[#All],[MOV P]],MATCH(Table5[[#This Row],[PID]],Table3[[#All],[PID]],0)))</f>
        <v>3</v>
      </c>
      <c r="N528" s="70">
        <f>IF($C528="B",INDEX(Batters[[#All],[POW P]],MATCH(Table5[[#This Row],[PID]],Batters[[#All],[PID]],0)),INDEX(Table3[[#All],[CON P]],MATCH(Table5[[#This Row],[PID]],Table3[[#All],[PID]],0)))</f>
        <v>2</v>
      </c>
      <c r="O528" s="70">
        <f>IF($C528="B",INDEX(Batters[[#All],[EYE P]],MATCH(Table5[[#This Row],[PID]],Batters[[#All],[PID]],0)),INDEX(Table3[[#All],[VELO]],MATCH(Table5[[#This Row],[PID]],Table3[[#All],[PID]],0)))</f>
        <v>5</v>
      </c>
      <c r="P528" s="56">
        <f>IF($C528="B",INDEX(Batters[[#All],[K P]],MATCH(Table5[[#This Row],[PID]],Batters[[#All],[PID]],0)),INDEX(Table3[[#All],[STM]],MATCH(Table5[[#This Row],[PID]],Table3[[#All],[PID]],0)))</f>
        <v>5</v>
      </c>
      <c r="Q528" s="61">
        <f>IF($C528="B",INDEX(Batters[[#All],[Tot]],MATCH(Table5[[#This Row],[PID]],Batters[[#All],[PID]],0)),INDEX(Table3[[#All],[Tot]],MATCH(Table5[[#This Row],[PID]],Table3[[#All],[PID]],0)))</f>
        <v>40.511778663850421</v>
      </c>
      <c r="R528" s="52">
        <f>IF($C528="B",INDEX(Batters[[#All],[zScore]],MATCH(Table5[[#This Row],[PID]],Batters[[#All],[PID]],0)),INDEX(Table3[[#All],[zScore]],MATCH(Table5[[#This Row],[PID]],Table3[[#All],[PID]],0)))</f>
        <v>-0.3950936186141607</v>
      </c>
      <c r="S528" s="75" t="str">
        <f>IF($C528="B",INDEX(Batters[[#All],[DEM]],MATCH(Table5[[#This Row],[PID]],Batters[[#All],[PID]],0)),INDEX(Table3[[#All],[DEM]],MATCH(Table5[[#This Row],[PID]],Table3[[#All],[PID]],0)))</f>
        <v>$20k</v>
      </c>
      <c r="T528" s="72">
        <f>IF($C528="B",INDEX(Batters[[#All],[Rnk]],MATCH(Table5[[#This Row],[PID]],Batters[[#All],[PID]],0)),INDEX(Table3[[#All],[Rnk]],MATCH(Table5[[#This Row],[PID]],Table3[[#All],[PID]],0)))</f>
        <v>930</v>
      </c>
      <c r="U528" s="67">
        <f>IF($C528="B",VLOOKUP($A528,Bat!$A$4:$BA$1314,47,FALSE),VLOOKUP($A528,Pit!$A$4:$BF$1214,56,FALSE))</f>
        <v>343</v>
      </c>
      <c r="V528" s="50">
        <f>IF($C528="B",VLOOKUP($A528,Bat!$A$4:$BA$1314,48,FALSE),VLOOKUP($A528,Pit!$A$4:$BF$1214,57,FALSE))</f>
        <v>0</v>
      </c>
      <c r="W528" s="68">
        <f>IF(Table5[[#This Row],[posRnk]]=999,9999,Table5[[#This Row],[posRnk]]+Table5[[#This Row],[zRnk]]+IF($W$3&lt;&gt;Table5[[#This Row],[Type]],50,0))</f>
        <v>1507</v>
      </c>
      <c r="X528" s="71">
        <f>RANK(Table5[[#This Row],[zScore]],Table5[[#All],[zScore]])</f>
        <v>527</v>
      </c>
      <c r="Y528" s="68">
        <f>IFERROR(INDEX(DraftResults[[#All],[OVR]],MATCH(Table5[[#This Row],[PID]],DraftResults[[#All],[Player ID]],0)),"")</f>
        <v>579</v>
      </c>
      <c r="Z528" s="7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18</v>
      </c>
      <c r="AA528" s="68">
        <f>IFERROR(INDEX(DraftResults[[#All],[Pick in Round]],MATCH(Table5[[#This Row],[PID]],DraftResults[[#All],[Player ID]],0)),"")</f>
        <v>10</v>
      </c>
      <c r="AB528" s="68" t="str">
        <f>IFERROR(INDEX(DraftResults[[#All],[Team Name]],MATCH(Table5[[#This Row],[PID]],DraftResults[[#All],[Player ID]],0)),"")</f>
        <v>London Underground</v>
      </c>
      <c r="AC528" s="68">
        <f>IF(Table5[[#This Row],[Ovr]]="","",IF(Table5[[#This Row],[cmbList]]="","",Table5[[#This Row],[cmbList]]-Table5[[#This Row],[Ovr]]))</f>
        <v>928</v>
      </c>
      <c r="AD528" s="74" t="str">
        <f>IF(ISERROR(VLOOKUP($AB528&amp;"-"&amp;$E528&amp;" "&amp;F528,Bonuses!$B$1:$G$1006,4,FALSE)),"",INT(VLOOKUP($AB528&amp;"-"&amp;$E528&amp;" "&amp;$F528,Bonuses!$B$1:$G$1006,4,FALSE)))</f>
        <v/>
      </c>
      <c r="AE528" s="68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18.10 (579) - 3B Rob Johnston</v>
      </c>
    </row>
    <row r="529" spans="1:31" s="50" customFormat="1" x14ac:dyDescent="0.3">
      <c r="A529" s="50">
        <v>16906</v>
      </c>
      <c r="B529" s="50">
        <f>COUNTIF(Table5[PID],A529)</f>
        <v>1</v>
      </c>
      <c r="C529" s="50" t="str">
        <f>IF(COUNTIF(Table3[[#All],[PID]],A529)&gt;0,"P","B")</f>
        <v>B</v>
      </c>
      <c r="D529" s="59" t="str">
        <f>IF($C529="B",INDEX(Batters[[#All],[POS]],MATCH(Table5[[#This Row],[PID]],Batters[[#All],[PID]],0)),INDEX(Table3[[#All],[POS]],MATCH(Table5[[#This Row],[PID]],Table3[[#All],[PID]],0)))</f>
        <v>3B</v>
      </c>
      <c r="E529" s="52" t="str">
        <f>IF($C529="B",INDEX(Batters[[#All],[First]],MATCH(Table5[[#This Row],[PID]],Batters[[#All],[PID]],0)),INDEX(Table3[[#All],[First]],MATCH(Table5[[#This Row],[PID]],Table3[[#All],[PID]],0)))</f>
        <v>Frank</v>
      </c>
      <c r="F529" s="50" t="str">
        <f>IF($C529="B",INDEX(Batters[[#All],[Last]],MATCH(A529,Batters[[#All],[PID]],0)),INDEX(Table3[[#All],[Last]],MATCH(A529,Table3[[#All],[PID]],0)))</f>
        <v>Edwards</v>
      </c>
      <c r="G529" s="56">
        <f>IF($C529="B",INDEX(Batters[[#All],[Age]],MATCH(Table5[[#This Row],[PID]],Batters[[#All],[PID]],0)),INDEX(Table3[[#All],[Age]],MATCH(Table5[[#This Row],[PID]],Table3[[#All],[PID]],0)))</f>
        <v>22</v>
      </c>
      <c r="H529" s="52" t="str">
        <f>IF($C529="B",INDEX(Batters[[#All],[B]],MATCH(Table5[[#This Row],[PID]],Batters[[#All],[PID]],0)),INDEX(Table3[[#All],[B]],MATCH(Table5[[#This Row],[PID]],Table3[[#All],[PID]],0)))</f>
        <v>L</v>
      </c>
      <c r="I529" s="52" t="str">
        <f>IF($C529="B",INDEX(Batters[[#All],[T]],MATCH(Table5[[#This Row],[PID]],Batters[[#All],[PID]],0)),INDEX(Table3[[#All],[T]],MATCH(Table5[[#This Row],[PID]],Table3[[#All],[PID]],0)))</f>
        <v>R</v>
      </c>
      <c r="J529" s="52" t="str">
        <f>IF($C529="B",INDEX(Batters[[#All],[WE]],MATCH(Table5[[#This Row],[PID]],Batters[[#All],[PID]],0)),INDEX(Table3[[#All],[WE]],MATCH(Table5[[#This Row],[PID]],Table3[[#All],[PID]],0)))</f>
        <v>Low</v>
      </c>
      <c r="K529" s="52" t="str">
        <f>IF($C529="B",INDEX(Batters[[#All],[INT]],MATCH(Table5[[#This Row],[PID]],Batters[[#All],[PID]],0)),INDEX(Table3[[#All],[INT]],MATCH(Table5[[#This Row],[PID]],Table3[[#All],[PID]],0)))</f>
        <v>Low</v>
      </c>
      <c r="L529" s="60">
        <f>IF($C529="B",INDEX(Batters[[#All],[CON P]],MATCH(Table5[[#This Row],[PID]],Batters[[#All],[PID]],0)),INDEX(Table3[[#All],[STU P]],MATCH(Table5[[#This Row],[PID]],Table3[[#All],[PID]],0)))</f>
        <v>4</v>
      </c>
      <c r="M529" s="56">
        <f>IF($C529="B",INDEX(Batters[[#All],[GAP P]],MATCH(Table5[[#This Row],[PID]],Batters[[#All],[PID]],0)),INDEX(Table3[[#All],[MOV P]],MATCH(Table5[[#This Row],[PID]],Table3[[#All],[PID]],0)))</f>
        <v>4</v>
      </c>
      <c r="N529" s="56">
        <f>IF($C529="B",INDEX(Batters[[#All],[POW P]],MATCH(Table5[[#This Row],[PID]],Batters[[#All],[PID]],0)),INDEX(Table3[[#All],[CON P]],MATCH(Table5[[#This Row],[PID]],Table3[[#All],[PID]],0)))</f>
        <v>4</v>
      </c>
      <c r="O529" s="56">
        <f>IF($C529="B",INDEX(Batters[[#All],[EYE P]],MATCH(Table5[[#This Row],[PID]],Batters[[#All],[PID]],0)),INDEX(Table3[[#All],[VELO]],MATCH(Table5[[#This Row],[PID]],Table3[[#All],[PID]],0)))</f>
        <v>4</v>
      </c>
      <c r="P529" s="56">
        <f>IF($C529="B",INDEX(Batters[[#All],[K P]],MATCH(Table5[[#This Row],[PID]],Batters[[#All],[PID]],0)),INDEX(Table3[[#All],[STM]],MATCH(Table5[[#This Row],[PID]],Table3[[#All],[PID]],0)))</f>
        <v>5</v>
      </c>
      <c r="Q529" s="61">
        <f>IF($C529="B",INDEX(Batters[[#All],[Tot]],MATCH(Table5[[#This Row],[PID]],Batters[[#All],[PID]],0)),INDEX(Table3[[#All],[Tot]],MATCH(Table5[[#This Row],[PID]],Table3[[#All],[PID]],0)))</f>
        <v>40.846207214394532</v>
      </c>
      <c r="R529" s="52">
        <f>IF($C529="B",INDEX(Batters[[#All],[zScore]],MATCH(Table5[[#This Row],[PID]],Batters[[#All],[PID]],0)),INDEX(Table3[[#All],[zScore]],MATCH(Table5[[#This Row],[PID]],Table3[[#All],[PID]],0)))</f>
        <v>-0.34627771527919982</v>
      </c>
      <c r="S529" s="58" t="str">
        <f>IF($C529="B",INDEX(Batters[[#All],[DEM]],MATCH(Table5[[#This Row],[PID]],Batters[[#All],[PID]],0)),INDEX(Table3[[#All],[DEM]],MATCH(Table5[[#This Row],[PID]],Table3[[#All],[PID]],0)))</f>
        <v>$20k</v>
      </c>
      <c r="T529" s="62">
        <f>IF($C529="B",INDEX(Batters[[#All],[Rnk]],MATCH(Table5[[#This Row],[PID]],Batters[[#All],[PID]],0)),INDEX(Table3[[#All],[Rnk]],MATCH(Table5[[#This Row],[PID]],Table3[[#All],[PID]],0)))</f>
        <v>950</v>
      </c>
      <c r="U529" s="67">
        <f>IF($C529="B",VLOOKUP($A529,Bat!$A$4:$BA$1314,47,FALSE),VLOOKUP($A529,Pit!$A$4:$BF$1214,56,FALSE))</f>
        <v>435</v>
      </c>
      <c r="V529" s="50">
        <f>IF($C529="B",VLOOKUP($A529,Bat!$A$4:$BA$1314,48,FALSE),VLOOKUP($A529,Pit!$A$4:$BF$1214,57,FALSE))</f>
        <v>0</v>
      </c>
      <c r="W529" s="68">
        <f>IF(Table5[[#This Row],[posRnk]]=999,9999,Table5[[#This Row],[posRnk]]+Table5[[#This Row],[zRnk]]+IF($W$3&lt;&gt;Table5[[#This Row],[Type]],50,0))</f>
        <v>1507</v>
      </c>
      <c r="X529" s="51">
        <f>RANK(Table5[[#This Row],[zScore]],Table5[[#All],[zScore]])</f>
        <v>507</v>
      </c>
      <c r="Y529" s="50">
        <f>IFERROR(INDEX(DraftResults[[#All],[OVR]],MATCH(Table5[[#This Row],[PID]],DraftResults[[#All],[Player ID]],0)),"")</f>
        <v>296</v>
      </c>
      <c r="Z529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9</v>
      </c>
      <c r="AA529" s="50">
        <f>IFERROR(INDEX(DraftResults[[#All],[Pick in Round]],MATCH(Table5[[#This Row],[PID]],DraftResults[[#All],[Player ID]],0)),"")</f>
        <v>31</v>
      </c>
      <c r="AB529" s="50" t="str">
        <f>IFERROR(INDEX(DraftResults[[#All],[Team Name]],MATCH(Table5[[#This Row],[PID]],DraftResults[[#All],[Player ID]],0)),"")</f>
        <v>Arlington Bureaucrats</v>
      </c>
      <c r="AC529" s="50">
        <f>IF(Table5[[#This Row],[Ovr]]="","",IF(Table5[[#This Row],[cmbList]]="","",Table5[[#This Row],[cmbList]]-Table5[[#This Row],[Ovr]]))</f>
        <v>1211</v>
      </c>
      <c r="AD529" s="54" t="str">
        <f>IF(ISERROR(VLOOKUP($AB529&amp;"-"&amp;$E529&amp;" "&amp;F529,Bonuses!$B$1:$G$1006,4,FALSE)),"",INT(VLOOKUP($AB529&amp;"-"&amp;$E529&amp;" "&amp;$F529,Bonuses!$B$1:$G$1006,4,FALSE)))</f>
        <v/>
      </c>
      <c r="AE529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9.31 (296) - 3B Frank Edwards</v>
      </c>
    </row>
    <row r="530" spans="1:31" s="50" customFormat="1" x14ac:dyDescent="0.3">
      <c r="A530" s="50">
        <v>13228</v>
      </c>
      <c r="B530" s="50">
        <f>COUNTIF(Table5[PID],A530)</f>
        <v>1</v>
      </c>
      <c r="C530" s="50" t="str">
        <f>IF(COUNTIF(Table3[[#All],[PID]],A530)&gt;0,"P","B")</f>
        <v>P</v>
      </c>
      <c r="D530" s="59" t="str">
        <f>IF($C530="B",INDEX(Batters[[#All],[POS]],MATCH(Table5[[#This Row],[PID]],Batters[[#All],[PID]],0)),INDEX(Table3[[#All],[POS]],MATCH(Table5[[#This Row],[PID]],Table3[[#All],[PID]],0)))</f>
        <v>SP</v>
      </c>
      <c r="E530" s="52" t="str">
        <f>IF($C530="B",INDEX(Batters[[#All],[First]],MATCH(Table5[[#This Row],[PID]],Batters[[#All],[PID]],0)),INDEX(Table3[[#All],[First]],MATCH(Table5[[#This Row],[PID]],Table3[[#All],[PID]],0)))</f>
        <v>Mochihito</v>
      </c>
      <c r="F530" s="50" t="str">
        <f>IF($C530="B",INDEX(Batters[[#All],[Last]],MATCH(A530,Batters[[#All],[PID]],0)),INDEX(Table3[[#All],[Last]],MATCH(A530,Table3[[#All],[PID]],0)))</f>
        <v>Yamada</v>
      </c>
      <c r="G530" s="56">
        <f>IF($C530="B",INDEX(Batters[[#All],[Age]],MATCH(Table5[[#This Row],[PID]],Batters[[#All],[PID]],0)),INDEX(Table3[[#All],[Age]],MATCH(Table5[[#This Row],[PID]],Table3[[#All],[PID]],0)))</f>
        <v>18</v>
      </c>
      <c r="H530" s="52" t="str">
        <f>IF($C530="B",INDEX(Batters[[#All],[B]],MATCH(Table5[[#This Row],[PID]],Batters[[#All],[PID]],0)),INDEX(Table3[[#All],[B]],MATCH(Table5[[#This Row],[PID]],Table3[[#All],[PID]],0)))</f>
        <v>R</v>
      </c>
      <c r="I530" s="52" t="str">
        <f>IF($C530="B",INDEX(Batters[[#All],[T]],MATCH(Table5[[#This Row],[PID]],Batters[[#All],[PID]],0)),INDEX(Table3[[#All],[T]],MATCH(Table5[[#This Row],[PID]],Table3[[#All],[PID]],0)))</f>
        <v>R</v>
      </c>
      <c r="J530" s="52" t="str">
        <f>IF($C530="B",INDEX(Batters[[#All],[WE]],MATCH(Table5[[#This Row],[PID]],Batters[[#All],[PID]],0)),INDEX(Table3[[#All],[WE]],MATCH(Table5[[#This Row],[PID]],Table3[[#All],[PID]],0)))</f>
        <v>Normal</v>
      </c>
      <c r="K530" s="52" t="str">
        <f>IF($C530="B",INDEX(Batters[[#All],[INT]],MATCH(Table5[[#This Row],[PID]],Batters[[#All],[PID]],0)),INDEX(Table3[[#All],[INT]],MATCH(Table5[[#This Row],[PID]],Table3[[#All],[PID]],0)))</f>
        <v>High</v>
      </c>
      <c r="L530" s="60">
        <f>IF($C530="B",INDEX(Batters[[#All],[CON P]],MATCH(Table5[[#This Row],[PID]],Batters[[#All],[PID]],0)),INDEX(Table3[[#All],[STU P]],MATCH(Table5[[#This Row],[PID]],Table3[[#All],[PID]],0)))</f>
        <v>4</v>
      </c>
      <c r="M530" s="56">
        <f>IF($C530="B",INDEX(Batters[[#All],[GAP P]],MATCH(Table5[[#This Row],[PID]],Batters[[#All],[PID]],0)),INDEX(Table3[[#All],[MOV P]],MATCH(Table5[[#This Row],[PID]],Table3[[#All],[PID]],0)))</f>
        <v>2</v>
      </c>
      <c r="N530" s="56">
        <f>IF($C530="B",INDEX(Batters[[#All],[POW P]],MATCH(Table5[[#This Row],[PID]],Batters[[#All],[PID]],0)),INDEX(Table3[[#All],[CON P]],MATCH(Table5[[#This Row],[PID]],Table3[[#All],[PID]],0)))</f>
        <v>2</v>
      </c>
      <c r="O530" s="56" t="str">
        <f>IF($C530="B",INDEX(Batters[[#All],[EYE P]],MATCH(Table5[[#This Row],[PID]],Batters[[#All],[PID]],0)),INDEX(Table3[[#All],[VELO]],MATCH(Table5[[#This Row],[PID]],Table3[[#All],[PID]],0)))</f>
        <v>88-90 Mph</v>
      </c>
      <c r="P530" s="56">
        <f>IF($C530="B",INDEX(Batters[[#All],[K P]],MATCH(Table5[[#This Row],[PID]],Batters[[#All],[PID]],0)),INDEX(Table3[[#All],[STM]],MATCH(Table5[[#This Row],[PID]],Table3[[#All],[PID]],0)))</f>
        <v>9</v>
      </c>
      <c r="Q530" s="61">
        <f>IF($C530="B",INDEX(Batters[[#All],[Tot]],MATCH(Table5[[#This Row],[PID]],Batters[[#All],[PID]],0)),INDEX(Table3[[#All],[Tot]],MATCH(Table5[[#This Row],[PID]],Table3[[#All],[PID]],0)))</f>
        <v>31.154463136217526</v>
      </c>
      <c r="R530" s="52">
        <f>IF($C530="B",INDEX(Batters[[#All],[zScore]],MATCH(Table5[[#This Row],[PID]],Batters[[#All],[PID]],0)),INDEX(Table3[[#All],[zScore]],MATCH(Table5[[#This Row],[PID]],Table3[[#All],[PID]],0)))</f>
        <v>-0.4733928605091226</v>
      </c>
      <c r="S530" s="58" t="str">
        <f>IF($C530="B",INDEX(Batters[[#All],[DEM]],MATCH(Table5[[#This Row],[PID]],Batters[[#All],[PID]],0)),INDEX(Table3[[#All],[DEM]],MATCH(Table5[[#This Row],[PID]],Table3[[#All],[PID]],0)))</f>
        <v>$100k</v>
      </c>
      <c r="T530" s="62">
        <f>IF($C530="B",INDEX(Batters[[#All],[Rnk]],MATCH(Table5[[#This Row],[PID]],Batters[[#All],[PID]],0)),INDEX(Table3[[#All],[Rnk]],MATCH(Table5[[#This Row],[PID]],Table3[[#All],[PID]],0)))</f>
        <v>900</v>
      </c>
      <c r="U530" s="67">
        <f>IF($C530="B",VLOOKUP($A530,Bat!$A$4:$BA$1314,47,FALSE),VLOOKUP($A530,Pit!$A$4:$BF$1214,56,FALSE))</f>
        <v>180</v>
      </c>
      <c r="V530" s="50">
        <f>IF($C530="B",VLOOKUP($A530,Bat!$A$4:$BA$1314,48,FALSE),VLOOKUP($A530,Pit!$A$4:$BF$1214,57,FALSE))</f>
        <v>0</v>
      </c>
      <c r="W530" s="68">
        <f>IF(Table5[[#This Row],[posRnk]]=999,9999,Table5[[#This Row],[posRnk]]+Table5[[#This Row],[zRnk]]+IF($W$3&lt;&gt;Table5[[#This Row],[Type]],50,0))</f>
        <v>1458</v>
      </c>
      <c r="X530" s="51">
        <f>RANK(Table5[[#This Row],[zScore]],Table5[[#All],[zScore]])</f>
        <v>558</v>
      </c>
      <c r="Y530" s="50">
        <f>IFERROR(INDEX(DraftResults[[#All],[OVR]],MATCH(Table5[[#This Row],[PID]],DraftResults[[#All],[Player ID]],0)),"")</f>
        <v>532</v>
      </c>
      <c r="Z530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16</v>
      </c>
      <c r="AA530" s="50">
        <f>IFERROR(INDEX(DraftResults[[#All],[Pick in Round]],MATCH(Table5[[#This Row],[PID]],DraftResults[[#All],[Player ID]],0)),"")</f>
        <v>31</v>
      </c>
      <c r="AB530" s="50" t="str">
        <f>IFERROR(INDEX(DraftResults[[#All],[Team Name]],MATCH(Table5[[#This Row],[PID]],DraftResults[[#All],[Player ID]],0)),"")</f>
        <v>Manchester Maulers</v>
      </c>
      <c r="AC530" s="50">
        <f>IF(Table5[[#This Row],[Ovr]]="","",IF(Table5[[#This Row],[cmbList]]="","",Table5[[#This Row],[cmbList]]-Table5[[#This Row],[Ovr]]))</f>
        <v>926</v>
      </c>
      <c r="AD530" s="54" t="str">
        <f>IF(ISERROR(VLOOKUP($AB530&amp;"-"&amp;$E530&amp;" "&amp;F530,Bonuses!$B$1:$G$1006,4,FALSE)),"",INT(VLOOKUP($AB530&amp;"-"&amp;$E530&amp;" "&amp;$F530,Bonuses!$B$1:$G$1006,4,FALSE)))</f>
        <v/>
      </c>
      <c r="AE530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16.31 (532) - SP Mochihito Yamada</v>
      </c>
    </row>
    <row r="531" spans="1:31" s="50" customFormat="1" x14ac:dyDescent="0.3">
      <c r="A531" s="67">
        <v>20605</v>
      </c>
      <c r="B531" s="68">
        <f>COUNTIF(Table5[PID],A531)</f>
        <v>1</v>
      </c>
      <c r="C531" s="68" t="str">
        <f>IF(COUNTIF(Table3[[#All],[PID]],A531)&gt;0,"P","B")</f>
        <v>P</v>
      </c>
      <c r="D531" s="59" t="str">
        <f>IF($C531="B",INDEX(Batters[[#All],[POS]],MATCH(Table5[[#This Row],[PID]],Batters[[#All],[PID]],0)),INDEX(Table3[[#All],[POS]],MATCH(Table5[[#This Row],[PID]],Table3[[#All],[PID]],0)))</f>
        <v>RP</v>
      </c>
      <c r="E531" s="52" t="str">
        <f>IF($C531="B",INDEX(Batters[[#All],[First]],MATCH(Table5[[#This Row],[PID]],Batters[[#All],[PID]],0)),INDEX(Table3[[#All],[First]],MATCH(Table5[[#This Row],[PID]],Table3[[#All],[PID]],0)))</f>
        <v>Yifu</v>
      </c>
      <c r="F531" s="55" t="str">
        <f>IF($C531="B",INDEX(Batters[[#All],[Last]],MATCH(A531,Batters[[#All],[PID]],0)),INDEX(Table3[[#All],[Last]],MATCH(A531,Table3[[#All],[PID]],0)))</f>
        <v>Chen</v>
      </c>
      <c r="G531" s="56">
        <f>IF($C531="B",INDEX(Batters[[#All],[Age]],MATCH(Table5[[#This Row],[PID]],Batters[[#All],[PID]],0)),INDEX(Table3[[#All],[Age]],MATCH(Table5[[#This Row],[PID]],Table3[[#All],[PID]],0)))</f>
        <v>17</v>
      </c>
      <c r="H531" s="52" t="str">
        <f>IF($C531="B",INDEX(Batters[[#All],[B]],MATCH(Table5[[#This Row],[PID]],Batters[[#All],[PID]],0)),INDEX(Table3[[#All],[B]],MATCH(Table5[[#This Row],[PID]],Table3[[#All],[PID]],0)))</f>
        <v>L</v>
      </c>
      <c r="I531" s="52" t="str">
        <f>IF($C531="B",INDEX(Batters[[#All],[T]],MATCH(Table5[[#This Row],[PID]],Batters[[#All],[PID]],0)),INDEX(Table3[[#All],[T]],MATCH(Table5[[#This Row],[PID]],Table3[[#All],[PID]],0)))</f>
        <v>L</v>
      </c>
      <c r="J531" s="69" t="str">
        <f>IF($C531="B",INDEX(Batters[[#All],[WE]],MATCH(Table5[[#This Row],[PID]],Batters[[#All],[PID]],0)),INDEX(Table3[[#All],[WE]],MATCH(Table5[[#This Row],[PID]],Table3[[#All],[PID]],0)))</f>
        <v>Low</v>
      </c>
      <c r="K531" s="52" t="str">
        <f>IF($C531="B",INDEX(Batters[[#All],[INT]],MATCH(Table5[[#This Row],[PID]],Batters[[#All],[PID]],0)),INDEX(Table3[[#All],[INT]],MATCH(Table5[[#This Row],[PID]],Table3[[#All],[PID]],0)))</f>
        <v>High</v>
      </c>
      <c r="L531" s="60">
        <f>IF($C531="B",INDEX(Batters[[#All],[CON P]],MATCH(Table5[[#This Row],[PID]],Batters[[#All],[PID]],0)),INDEX(Table3[[#All],[STU P]],MATCH(Table5[[#This Row],[PID]],Table3[[#All],[PID]],0)))</f>
        <v>4</v>
      </c>
      <c r="M531" s="70">
        <f>IF($C531="B",INDEX(Batters[[#All],[GAP P]],MATCH(Table5[[#This Row],[PID]],Batters[[#All],[PID]],0)),INDEX(Table3[[#All],[MOV P]],MATCH(Table5[[#This Row],[PID]],Table3[[#All],[PID]],0)))</f>
        <v>2</v>
      </c>
      <c r="N531" s="70">
        <f>IF($C531="B",INDEX(Batters[[#All],[POW P]],MATCH(Table5[[#This Row],[PID]],Batters[[#All],[PID]],0)),INDEX(Table3[[#All],[CON P]],MATCH(Table5[[#This Row],[PID]],Table3[[#All],[PID]],0)))</f>
        <v>3</v>
      </c>
      <c r="O531" s="70" t="str">
        <f>IF($C531="B",INDEX(Batters[[#All],[EYE P]],MATCH(Table5[[#This Row],[PID]],Batters[[#All],[PID]],0)),INDEX(Table3[[#All],[VELO]],MATCH(Table5[[#This Row],[PID]],Table3[[#All],[PID]],0)))</f>
        <v>91-93 Mph</v>
      </c>
      <c r="P531" s="56">
        <f>IF($C531="B",INDEX(Batters[[#All],[K P]],MATCH(Table5[[#This Row],[PID]],Batters[[#All],[PID]],0)),INDEX(Table3[[#All],[STM]],MATCH(Table5[[#This Row],[PID]],Table3[[#All],[PID]],0)))</f>
        <v>3</v>
      </c>
      <c r="Q531" s="61">
        <f>IF($C531="B",INDEX(Batters[[#All],[Tot]],MATCH(Table5[[#This Row],[PID]],Batters[[#All],[PID]],0)),INDEX(Table3[[#All],[Tot]],MATCH(Table5[[#This Row],[PID]],Table3[[#All],[PID]],0)))</f>
        <v>32.140830734434743</v>
      </c>
      <c r="R531" s="52">
        <f>IF($C531="B",INDEX(Batters[[#All],[zScore]],MATCH(Table5[[#This Row],[PID]],Batters[[#All],[PID]],0)),INDEX(Table3[[#All],[zScore]],MATCH(Table5[[#This Row],[PID]],Table3[[#All],[PID]],0)))</f>
        <v>-0.39656798887529759</v>
      </c>
      <c r="S531" s="75" t="str">
        <f>IF($C531="B",INDEX(Batters[[#All],[DEM]],MATCH(Table5[[#This Row],[PID]],Batters[[#All],[PID]],0)),INDEX(Table3[[#All],[DEM]],MATCH(Table5[[#This Row],[PID]],Table3[[#All],[PID]],0)))</f>
        <v>$65k</v>
      </c>
      <c r="T531" s="72">
        <f>IF($C531="B",INDEX(Batters[[#All],[Rnk]],MATCH(Table5[[#This Row],[PID]],Batters[[#All],[PID]],0)),INDEX(Table3[[#All],[Rnk]],MATCH(Table5[[#This Row],[PID]],Table3[[#All],[PID]],0)))</f>
        <v>930</v>
      </c>
      <c r="U531" s="67">
        <f>IF($C531="B",VLOOKUP($A531,Bat!$A$4:$BA$1314,47,FALSE),VLOOKUP($A531,Pit!$A$4:$BF$1214,56,FALSE))</f>
        <v>312</v>
      </c>
      <c r="V531" s="50">
        <f>IF($C531="B",VLOOKUP($A531,Bat!$A$4:$BA$1314,48,FALSE),VLOOKUP($A531,Pit!$A$4:$BF$1214,57,FALSE))</f>
        <v>0</v>
      </c>
      <c r="W531" s="68">
        <f>IF(Table5[[#This Row],[posRnk]]=999,9999,Table5[[#This Row],[posRnk]]+Table5[[#This Row],[zRnk]]+IF($W$3&lt;&gt;Table5[[#This Row],[Type]],50,0))</f>
        <v>1458</v>
      </c>
      <c r="X531" s="71">
        <f>RANK(Table5[[#This Row],[zScore]],Table5[[#All],[zScore]])</f>
        <v>528</v>
      </c>
      <c r="Y531" s="68" t="str">
        <f>IFERROR(INDEX(DraftResults[[#All],[OVR]],MATCH(Table5[[#This Row],[PID]],DraftResults[[#All],[Player ID]],0)),"")</f>
        <v/>
      </c>
      <c r="Z531" s="7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/>
      </c>
      <c r="AA531" s="68" t="str">
        <f>IFERROR(INDEX(DraftResults[[#All],[Pick in Round]],MATCH(Table5[[#This Row],[PID]],DraftResults[[#All],[Player ID]],0)),"")</f>
        <v/>
      </c>
      <c r="AB531" s="68" t="str">
        <f>IFERROR(INDEX(DraftResults[[#All],[Team Name]],MATCH(Table5[[#This Row],[PID]],DraftResults[[#All],[Player ID]],0)),"")</f>
        <v/>
      </c>
      <c r="AC531" s="68" t="str">
        <f>IF(Table5[[#This Row],[Ovr]]="","",IF(Table5[[#This Row],[cmbList]]="","",Table5[[#This Row],[cmbList]]-Table5[[#This Row],[Ovr]]))</f>
        <v/>
      </c>
      <c r="AD531" s="74" t="str">
        <f>IF(ISERROR(VLOOKUP($AB531&amp;"-"&amp;$E531&amp;" "&amp;F531,Bonuses!$B$1:$G$1006,4,FALSE)),"",INT(VLOOKUP($AB531&amp;"-"&amp;$E531&amp;" "&amp;$F531,Bonuses!$B$1:$G$1006,4,FALSE)))</f>
        <v/>
      </c>
      <c r="AE531" s="68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/>
      </c>
    </row>
    <row r="532" spans="1:31" s="50" customFormat="1" x14ac:dyDescent="0.3">
      <c r="A532" s="67">
        <v>7475</v>
      </c>
      <c r="B532" s="68">
        <f>COUNTIF(Table5[PID],A532)</f>
        <v>1</v>
      </c>
      <c r="C532" s="68" t="str">
        <f>IF(COUNTIF(Table3[[#All],[PID]],A532)&gt;0,"P","B")</f>
        <v>B</v>
      </c>
      <c r="D532" s="59" t="str">
        <f>IF($C532="B",INDEX(Batters[[#All],[POS]],MATCH(Table5[[#This Row],[PID]],Batters[[#All],[PID]],0)),INDEX(Table3[[#All],[POS]],MATCH(Table5[[#This Row],[PID]],Table3[[#All],[PID]],0)))</f>
        <v>2B</v>
      </c>
      <c r="E532" s="52" t="str">
        <f>IF($C532="B",INDEX(Batters[[#All],[First]],MATCH(Table5[[#This Row],[PID]],Batters[[#All],[PID]],0)),INDEX(Table3[[#All],[First]],MATCH(Table5[[#This Row],[PID]],Table3[[#All],[PID]],0)))</f>
        <v>Ken</v>
      </c>
      <c r="F532" s="55" t="str">
        <f>IF($C532="B",INDEX(Batters[[#All],[Last]],MATCH(A532,Batters[[#All],[PID]],0)),INDEX(Table3[[#All],[Last]],MATCH(A532,Table3[[#All],[PID]],0)))</f>
        <v>Guevara</v>
      </c>
      <c r="G532" s="56">
        <f>IF($C532="B",INDEX(Batters[[#All],[Age]],MATCH(Table5[[#This Row],[PID]],Batters[[#All],[PID]],0)),INDEX(Table3[[#All],[Age]],MATCH(Table5[[#This Row],[PID]],Table3[[#All],[PID]],0)))</f>
        <v>21</v>
      </c>
      <c r="H532" s="52" t="str">
        <f>IF($C532="B",INDEX(Batters[[#All],[B]],MATCH(Table5[[#This Row],[PID]],Batters[[#All],[PID]],0)),INDEX(Table3[[#All],[B]],MATCH(Table5[[#This Row],[PID]],Table3[[#All],[PID]],0)))</f>
        <v>L</v>
      </c>
      <c r="I532" s="52" t="str">
        <f>IF($C532="B",INDEX(Batters[[#All],[T]],MATCH(Table5[[#This Row],[PID]],Batters[[#All],[PID]],0)),INDEX(Table3[[#All],[T]],MATCH(Table5[[#This Row],[PID]],Table3[[#All],[PID]],0)))</f>
        <v>R</v>
      </c>
      <c r="J532" s="69" t="str">
        <f>IF($C532="B",INDEX(Batters[[#All],[WE]],MATCH(Table5[[#This Row],[PID]],Batters[[#All],[PID]],0)),INDEX(Table3[[#All],[WE]],MATCH(Table5[[#This Row],[PID]],Table3[[#All],[PID]],0)))</f>
        <v>Low</v>
      </c>
      <c r="K532" s="52" t="str">
        <f>IF($C532="B",INDEX(Batters[[#All],[INT]],MATCH(Table5[[#This Row],[PID]],Batters[[#All],[PID]],0)),INDEX(Table3[[#All],[INT]],MATCH(Table5[[#This Row],[PID]],Table3[[#All],[PID]],0)))</f>
        <v>Low</v>
      </c>
      <c r="L532" s="60">
        <f>IF($C532="B",INDEX(Batters[[#All],[CON P]],MATCH(Table5[[#This Row],[PID]],Batters[[#All],[PID]],0)),INDEX(Table3[[#All],[STU P]],MATCH(Table5[[#This Row],[PID]],Table3[[#All],[PID]],0)))</f>
        <v>4</v>
      </c>
      <c r="M532" s="70">
        <f>IF($C532="B",INDEX(Batters[[#All],[GAP P]],MATCH(Table5[[#This Row],[PID]],Batters[[#All],[PID]],0)),INDEX(Table3[[#All],[MOV P]],MATCH(Table5[[#This Row],[PID]],Table3[[#All],[PID]],0)))</f>
        <v>5</v>
      </c>
      <c r="N532" s="70">
        <f>IF($C532="B",INDEX(Batters[[#All],[POW P]],MATCH(Table5[[#This Row],[PID]],Batters[[#All],[PID]],0)),INDEX(Table3[[#All],[CON P]],MATCH(Table5[[#This Row],[PID]],Table3[[#All],[PID]],0)))</f>
        <v>2</v>
      </c>
      <c r="O532" s="70">
        <f>IF($C532="B",INDEX(Batters[[#All],[EYE P]],MATCH(Table5[[#This Row],[PID]],Batters[[#All],[PID]],0)),INDEX(Table3[[#All],[VELO]],MATCH(Table5[[#This Row],[PID]],Table3[[#All],[PID]],0)))</f>
        <v>5</v>
      </c>
      <c r="P532" s="56">
        <f>IF($C532="B",INDEX(Batters[[#All],[K P]],MATCH(Table5[[#This Row],[PID]],Batters[[#All],[PID]],0)),INDEX(Table3[[#All],[STM]],MATCH(Table5[[#This Row],[PID]],Table3[[#All],[PID]],0)))</f>
        <v>6</v>
      </c>
      <c r="Q532" s="61">
        <f>IF($C532="B",INDEX(Batters[[#All],[Tot]],MATCH(Table5[[#This Row],[PID]],Batters[[#All],[PID]],0)),INDEX(Table3[[#All],[Tot]],MATCH(Table5[[#This Row],[PID]],Table3[[#All],[PID]],0)))</f>
        <v>40.84167416712377</v>
      </c>
      <c r="R532" s="52">
        <f>IF($C532="B",INDEX(Batters[[#All],[zScore]],MATCH(Table5[[#This Row],[PID]],Batters[[#All],[PID]],0)),INDEX(Table3[[#All],[zScore]],MATCH(Table5[[#This Row],[PID]],Table3[[#All],[PID]],0)))</f>
        <v>-0.34693939562025411</v>
      </c>
      <c r="S532" s="75" t="str">
        <f>IF($C532="B",INDEX(Batters[[#All],[DEM]],MATCH(Table5[[#This Row],[PID]],Batters[[#All],[PID]],0)),INDEX(Table3[[#All],[DEM]],MATCH(Table5[[#This Row],[PID]],Table3[[#All],[PID]],0)))</f>
        <v>$110k</v>
      </c>
      <c r="T532" s="72">
        <f>IF($C532="B",INDEX(Batters[[#All],[Rnk]],MATCH(Table5[[#This Row],[PID]],Batters[[#All],[PID]],0)),INDEX(Table3[[#All],[Rnk]],MATCH(Table5[[#This Row],[PID]],Table3[[#All],[PID]],0)))</f>
        <v>950</v>
      </c>
      <c r="U532" s="67">
        <f>IF($C532="B",VLOOKUP($A532,Bat!$A$4:$BA$1314,47,FALSE),VLOOKUP($A532,Pit!$A$4:$BF$1214,56,FALSE))</f>
        <v>436</v>
      </c>
      <c r="V532" s="50">
        <f>IF($C532="B",VLOOKUP($A532,Bat!$A$4:$BA$1314,48,FALSE),VLOOKUP($A532,Pit!$A$4:$BF$1214,57,FALSE))</f>
        <v>0</v>
      </c>
      <c r="W532" s="68">
        <f>IF(Table5[[#This Row],[posRnk]]=999,9999,Table5[[#This Row],[posRnk]]+Table5[[#This Row],[zRnk]]+IF($W$3&lt;&gt;Table5[[#This Row],[Type]],50,0))</f>
        <v>1508</v>
      </c>
      <c r="X532" s="71">
        <f>RANK(Table5[[#This Row],[zScore]],Table5[[#All],[zScore]])</f>
        <v>508</v>
      </c>
      <c r="Y532" s="68">
        <f>IFERROR(INDEX(DraftResults[[#All],[OVR]],MATCH(Table5[[#This Row],[PID]],DraftResults[[#All],[Player ID]],0)),"")</f>
        <v>642</v>
      </c>
      <c r="Z532" s="7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20</v>
      </c>
      <c r="AA532" s="68">
        <f>IFERROR(INDEX(DraftResults[[#All],[Pick in Round]],MATCH(Table5[[#This Row],[PID]],DraftResults[[#All],[Player ID]],0)),"")</f>
        <v>5</v>
      </c>
      <c r="AB532" s="68" t="str">
        <f>IFERROR(INDEX(DraftResults[[#All],[Team Name]],MATCH(Table5[[#This Row],[PID]],DraftResults[[#All],[Player ID]],0)),"")</f>
        <v>Tempe Knights</v>
      </c>
      <c r="AC532" s="68">
        <f>IF(Table5[[#This Row],[Ovr]]="","",IF(Table5[[#This Row],[cmbList]]="","",Table5[[#This Row],[cmbList]]-Table5[[#This Row],[Ovr]]))</f>
        <v>866</v>
      </c>
      <c r="AD532" s="74" t="str">
        <f>IF(ISERROR(VLOOKUP($AB532&amp;"-"&amp;$E532&amp;" "&amp;F532,Bonuses!$B$1:$G$1006,4,FALSE)),"",INT(VLOOKUP($AB532&amp;"-"&amp;$E532&amp;" "&amp;$F532,Bonuses!$B$1:$G$1006,4,FALSE)))</f>
        <v/>
      </c>
      <c r="AE532" s="68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20.5 (642) - 2B Ken Guevara</v>
      </c>
    </row>
    <row r="533" spans="1:31" s="50" customFormat="1" x14ac:dyDescent="0.3">
      <c r="A533" s="50">
        <v>13270</v>
      </c>
      <c r="B533" s="50">
        <f>COUNTIF(Table5[PID],A533)</f>
        <v>1</v>
      </c>
      <c r="C533" s="50" t="str">
        <f>IF(COUNTIF(Table3[[#All],[PID]],A533)&gt;0,"P","B")</f>
        <v>B</v>
      </c>
      <c r="D533" s="59" t="str">
        <f>IF($C533="B",INDEX(Batters[[#All],[POS]],MATCH(Table5[[#This Row],[PID]],Batters[[#All],[PID]],0)),INDEX(Table3[[#All],[POS]],MATCH(Table5[[#This Row],[PID]],Table3[[#All],[PID]],0)))</f>
        <v>3B</v>
      </c>
      <c r="E533" s="52" t="str">
        <f>IF($C533="B",INDEX(Batters[[#All],[First]],MATCH(Table5[[#This Row],[PID]],Batters[[#All],[PID]],0)),INDEX(Table3[[#All],[First]],MATCH(Table5[[#This Row],[PID]],Table3[[#All],[PID]],0)))</f>
        <v>Shinsui</v>
      </c>
      <c r="F533" s="50" t="str">
        <f>IF($C533="B",INDEX(Batters[[#All],[Last]],MATCH(A533,Batters[[#All],[PID]],0)),INDEX(Table3[[#All],[Last]],MATCH(A533,Table3[[#All],[PID]],0)))</f>
        <v>Iida</v>
      </c>
      <c r="G533" s="56">
        <f>IF($C533="B",INDEX(Batters[[#All],[Age]],MATCH(Table5[[#This Row],[PID]],Batters[[#All],[PID]],0)),INDEX(Table3[[#All],[Age]],MATCH(Table5[[#This Row],[PID]],Table3[[#All],[PID]],0)))</f>
        <v>17</v>
      </c>
      <c r="H533" s="52" t="str">
        <f>IF($C533="B",INDEX(Batters[[#All],[B]],MATCH(Table5[[#This Row],[PID]],Batters[[#All],[PID]],0)),INDEX(Table3[[#All],[B]],MATCH(Table5[[#This Row],[PID]],Table3[[#All],[PID]],0)))</f>
        <v>S</v>
      </c>
      <c r="I533" s="52" t="str">
        <f>IF($C533="B",INDEX(Batters[[#All],[T]],MATCH(Table5[[#This Row],[PID]],Batters[[#All],[PID]],0)),INDEX(Table3[[#All],[T]],MATCH(Table5[[#This Row],[PID]],Table3[[#All],[PID]],0)))</f>
        <v>R</v>
      </c>
      <c r="J533" s="52" t="str">
        <f>IF($C533="B",INDEX(Batters[[#All],[WE]],MATCH(Table5[[#This Row],[PID]],Batters[[#All],[PID]],0)),INDEX(Table3[[#All],[WE]],MATCH(Table5[[#This Row],[PID]],Table3[[#All],[PID]],0)))</f>
        <v>Normal</v>
      </c>
      <c r="K533" s="52" t="str">
        <f>IF($C533="B",INDEX(Batters[[#All],[INT]],MATCH(Table5[[#This Row],[PID]],Batters[[#All],[PID]],0)),INDEX(Table3[[#All],[INT]],MATCH(Table5[[#This Row],[PID]],Table3[[#All],[PID]],0)))</f>
        <v>Normal</v>
      </c>
      <c r="L533" s="60">
        <f>IF($C533="B",INDEX(Batters[[#All],[CON P]],MATCH(Table5[[#This Row],[PID]],Batters[[#All],[PID]],0)),INDEX(Table3[[#All],[STU P]],MATCH(Table5[[#This Row],[PID]],Table3[[#All],[PID]],0)))</f>
        <v>3</v>
      </c>
      <c r="M533" s="56">
        <f>IF($C533="B",INDEX(Batters[[#All],[GAP P]],MATCH(Table5[[#This Row],[PID]],Batters[[#All],[PID]],0)),INDEX(Table3[[#All],[MOV P]],MATCH(Table5[[#This Row],[PID]],Table3[[#All],[PID]],0)))</f>
        <v>3</v>
      </c>
      <c r="N533" s="56">
        <f>IF($C533="B",INDEX(Batters[[#All],[POW P]],MATCH(Table5[[#This Row],[PID]],Batters[[#All],[PID]],0)),INDEX(Table3[[#All],[CON P]],MATCH(Table5[[#This Row],[PID]],Table3[[#All],[PID]],0)))</f>
        <v>3</v>
      </c>
      <c r="O533" s="56">
        <f>IF($C533="B",INDEX(Batters[[#All],[EYE P]],MATCH(Table5[[#This Row],[PID]],Batters[[#All],[PID]],0)),INDEX(Table3[[#All],[VELO]],MATCH(Table5[[#This Row],[PID]],Table3[[#All],[PID]],0)))</f>
        <v>4</v>
      </c>
      <c r="P533" s="56">
        <f>IF($C533="B",INDEX(Batters[[#All],[K P]],MATCH(Table5[[#This Row],[PID]],Batters[[#All],[PID]],0)),INDEX(Table3[[#All],[STM]],MATCH(Table5[[#This Row],[PID]],Table3[[#All],[PID]],0)))</f>
        <v>3</v>
      </c>
      <c r="Q533" s="61">
        <f>IF($C533="B",INDEX(Batters[[#All],[Tot]],MATCH(Table5[[#This Row],[PID]],Batters[[#All],[PID]],0)),INDEX(Table3[[#All],[Tot]],MATCH(Table5[[#This Row],[PID]],Table3[[#All],[PID]],0)))</f>
        <v>39.960988506694186</v>
      </c>
      <c r="R533" s="52">
        <f>IF($C533="B",INDEX(Batters[[#All],[zScore]],MATCH(Table5[[#This Row],[PID]],Batters[[#All],[PID]],0)),INDEX(Table3[[#All],[zScore]],MATCH(Table5[[#This Row],[PID]],Table3[[#All],[PID]],0)))</f>
        <v>-0.47549141666651418</v>
      </c>
      <c r="S533" s="58" t="str">
        <f>IF($C533="B",INDEX(Batters[[#All],[DEM]],MATCH(Table5[[#This Row],[PID]],Batters[[#All],[PID]],0)),INDEX(Table3[[#All],[DEM]],MATCH(Table5[[#This Row],[PID]],Table3[[#All],[PID]],0)))</f>
        <v>$38k</v>
      </c>
      <c r="T533" s="62">
        <f>IF($C533="B",INDEX(Batters[[#All],[Rnk]],MATCH(Table5[[#This Row],[PID]],Batters[[#All],[PID]],0)),INDEX(Table3[[#All],[Rnk]],MATCH(Table5[[#This Row],[PID]],Table3[[#All],[PID]],0)))</f>
        <v>900</v>
      </c>
      <c r="U533" s="67">
        <f>IF($C533="B",VLOOKUP($A533,Bat!$A$4:$BA$1314,47,FALSE),VLOOKUP($A533,Pit!$A$4:$BF$1214,56,FALSE))</f>
        <v>209</v>
      </c>
      <c r="V533" s="50">
        <f>IF($C533="B",VLOOKUP($A533,Bat!$A$4:$BA$1314,48,FALSE),VLOOKUP($A533,Pit!$A$4:$BF$1214,57,FALSE))</f>
        <v>0</v>
      </c>
      <c r="W533" s="68">
        <f>IF(Table5[[#This Row],[posRnk]]=999,9999,Table5[[#This Row],[posRnk]]+Table5[[#This Row],[zRnk]]+IF($W$3&lt;&gt;Table5[[#This Row],[Type]],50,0))</f>
        <v>1509</v>
      </c>
      <c r="X533" s="51">
        <f>RANK(Table5[[#This Row],[zScore]],Table5[[#All],[zScore]])</f>
        <v>559</v>
      </c>
      <c r="Y533" s="50" t="str">
        <f>IFERROR(INDEX(DraftResults[[#All],[OVR]],MATCH(Table5[[#This Row],[PID]],DraftResults[[#All],[Player ID]],0)),"")</f>
        <v/>
      </c>
      <c r="Z533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/>
      </c>
      <c r="AA533" s="50" t="str">
        <f>IFERROR(INDEX(DraftResults[[#All],[Pick in Round]],MATCH(Table5[[#This Row],[PID]],DraftResults[[#All],[Player ID]],0)),"")</f>
        <v/>
      </c>
      <c r="AB533" s="50" t="str">
        <f>IFERROR(INDEX(DraftResults[[#All],[Team Name]],MATCH(Table5[[#This Row],[PID]],DraftResults[[#All],[Player ID]],0)),"")</f>
        <v/>
      </c>
      <c r="AC533" s="50" t="str">
        <f>IF(Table5[[#This Row],[Ovr]]="","",IF(Table5[[#This Row],[cmbList]]="","",Table5[[#This Row],[cmbList]]-Table5[[#This Row],[Ovr]]))</f>
        <v/>
      </c>
      <c r="AD533" s="54" t="str">
        <f>IF(ISERROR(VLOOKUP($AB533&amp;"-"&amp;$E533&amp;" "&amp;F533,Bonuses!$B$1:$G$1006,4,FALSE)),"",INT(VLOOKUP($AB533&amp;"-"&amp;$E533&amp;" "&amp;$F533,Bonuses!$B$1:$G$1006,4,FALSE)))</f>
        <v/>
      </c>
      <c r="AE533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/>
      </c>
    </row>
    <row r="534" spans="1:31" s="50" customFormat="1" x14ac:dyDescent="0.3">
      <c r="A534" s="50">
        <v>13711</v>
      </c>
      <c r="B534" s="50">
        <f>COUNTIF(Table5[PID],A534)</f>
        <v>1</v>
      </c>
      <c r="C534" s="50" t="str">
        <f>IF(COUNTIF(Table3[[#All],[PID]],A534)&gt;0,"P","B")</f>
        <v>B</v>
      </c>
      <c r="D534" s="59" t="str">
        <f>IF($C534="B",INDEX(Batters[[#All],[POS]],MATCH(Table5[[#This Row],[PID]],Batters[[#All],[PID]],0)),INDEX(Table3[[#All],[POS]],MATCH(Table5[[#This Row],[PID]],Table3[[#All],[PID]],0)))</f>
        <v>C</v>
      </c>
      <c r="E534" s="52" t="str">
        <f>IF($C534="B",INDEX(Batters[[#All],[First]],MATCH(Table5[[#This Row],[PID]],Batters[[#All],[PID]],0)),INDEX(Table3[[#All],[First]],MATCH(Table5[[#This Row],[PID]],Table3[[#All],[PID]],0)))</f>
        <v>Tony</v>
      </c>
      <c r="F534" s="50" t="str">
        <f>IF($C534="B",INDEX(Batters[[#All],[Last]],MATCH(A534,Batters[[#All],[PID]],0)),INDEX(Table3[[#All],[Last]],MATCH(A534,Table3[[#All],[PID]],0)))</f>
        <v>Fuller</v>
      </c>
      <c r="G534" s="56">
        <f>IF($C534="B",INDEX(Batters[[#All],[Age]],MATCH(Table5[[#This Row],[PID]],Batters[[#All],[PID]],0)),INDEX(Table3[[#All],[Age]],MATCH(Table5[[#This Row],[PID]],Table3[[#All],[PID]],0)))</f>
        <v>21</v>
      </c>
      <c r="H534" s="52" t="str">
        <f>IF($C534="B",INDEX(Batters[[#All],[B]],MATCH(Table5[[#This Row],[PID]],Batters[[#All],[PID]],0)),INDEX(Table3[[#All],[B]],MATCH(Table5[[#This Row],[PID]],Table3[[#All],[PID]],0)))</f>
        <v>R</v>
      </c>
      <c r="I534" s="52" t="str">
        <f>IF($C534="B",INDEX(Batters[[#All],[T]],MATCH(Table5[[#This Row],[PID]],Batters[[#All],[PID]],0)),INDEX(Table3[[#All],[T]],MATCH(Table5[[#This Row],[PID]],Table3[[#All],[PID]],0)))</f>
        <v>R</v>
      </c>
      <c r="J534" s="52" t="str">
        <f>IF($C534="B",INDEX(Batters[[#All],[WE]],MATCH(Table5[[#This Row],[PID]],Batters[[#All],[PID]],0)),INDEX(Table3[[#All],[WE]],MATCH(Table5[[#This Row],[PID]],Table3[[#All],[PID]],0)))</f>
        <v>Low</v>
      </c>
      <c r="K534" s="52" t="str">
        <f>IF($C534="B",INDEX(Batters[[#All],[INT]],MATCH(Table5[[#This Row],[PID]],Batters[[#All],[PID]],0)),INDEX(Table3[[#All],[INT]],MATCH(Table5[[#This Row],[PID]],Table3[[#All],[PID]],0)))</f>
        <v>High</v>
      </c>
      <c r="L534" s="60">
        <f>IF($C534="B",INDEX(Batters[[#All],[CON P]],MATCH(Table5[[#This Row],[PID]],Batters[[#All],[PID]],0)),INDEX(Table3[[#All],[STU P]],MATCH(Table5[[#This Row],[PID]],Table3[[#All],[PID]],0)))</f>
        <v>3</v>
      </c>
      <c r="M534" s="56">
        <f>IF($C534="B",INDEX(Batters[[#All],[GAP P]],MATCH(Table5[[#This Row],[PID]],Batters[[#All],[PID]],0)),INDEX(Table3[[#All],[MOV P]],MATCH(Table5[[#This Row],[PID]],Table3[[#All],[PID]],0)))</f>
        <v>7</v>
      </c>
      <c r="N534" s="56">
        <f>IF($C534="B",INDEX(Batters[[#All],[POW P]],MATCH(Table5[[#This Row],[PID]],Batters[[#All],[PID]],0)),INDEX(Table3[[#All],[CON P]],MATCH(Table5[[#This Row],[PID]],Table3[[#All],[PID]],0)))</f>
        <v>5</v>
      </c>
      <c r="O534" s="56">
        <f>IF($C534="B",INDEX(Batters[[#All],[EYE P]],MATCH(Table5[[#This Row],[PID]],Batters[[#All],[PID]],0)),INDEX(Table3[[#All],[VELO]],MATCH(Table5[[#This Row],[PID]],Table3[[#All],[PID]],0)))</f>
        <v>5</v>
      </c>
      <c r="P534" s="56">
        <f>IF($C534="B",INDEX(Batters[[#All],[K P]],MATCH(Table5[[#This Row],[PID]],Batters[[#All],[PID]],0)),INDEX(Table3[[#All],[STM]],MATCH(Table5[[#This Row],[PID]],Table3[[#All],[PID]],0)))</f>
        <v>3</v>
      </c>
      <c r="Q534" s="61">
        <f>IF($C534="B",INDEX(Batters[[#All],[Tot]],MATCH(Table5[[#This Row],[PID]],Batters[[#All],[PID]],0)),INDEX(Table3[[#All],[Tot]],MATCH(Table5[[#This Row],[PID]],Table3[[#All],[PID]],0)))</f>
        <v>40.497855046148658</v>
      </c>
      <c r="R534" s="52">
        <f>IF($C534="B",INDEX(Batters[[#All],[zScore]],MATCH(Table5[[#This Row],[PID]],Batters[[#All],[PID]],0)),INDEX(Table3[[#All],[zScore]],MATCH(Table5[[#This Row],[PID]],Table3[[#All],[PID]],0)))</f>
        <v>-0.39712602276953674</v>
      </c>
      <c r="S534" s="58" t="str">
        <f>IF($C534="B",INDEX(Batters[[#All],[DEM]],MATCH(Table5[[#This Row],[PID]],Batters[[#All],[PID]],0)),INDEX(Table3[[#All],[DEM]],MATCH(Table5[[#This Row],[PID]],Table3[[#All],[PID]],0)))</f>
        <v>$20k</v>
      </c>
      <c r="T534" s="62">
        <f>IF($C534="B",INDEX(Batters[[#All],[Rnk]],MATCH(Table5[[#This Row],[PID]],Batters[[#All],[PID]],0)),INDEX(Table3[[#All],[Rnk]],MATCH(Table5[[#This Row],[PID]],Table3[[#All],[PID]],0)))</f>
        <v>930</v>
      </c>
      <c r="U534" s="67">
        <f>IF($C534="B",VLOOKUP($A534,Bat!$A$4:$BA$1314,47,FALSE),VLOOKUP($A534,Pit!$A$4:$BF$1214,56,FALSE))</f>
        <v>337</v>
      </c>
      <c r="V534" s="50">
        <f>IF($C534="B",VLOOKUP($A534,Bat!$A$4:$BA$1314,48,FALSE),VLOOKUP($A534,Pit!$A$4:$BF$1214,57,FALSE))</f>
        <v>0</v>
      </c>
      <c r="W534" s="68">
        <f>IF(Table5[[#This Row],[posRnk]]=999,9999,Table5[[#This Row],[posRnk]]+Table5[[#This Row],[zRnk]]+IF($W$3&lt;&gt;Table5[[#This Row],[Type]],50,0))</f>
        <v>1509</v>
      </c>
      <c r="X534" s="51">
        <f>RANK(Table5[[#This Row],[zScore]],Table5[[#All],[zScore]])</f>
        <v>529</v>
      </c>
      <c r="Y534" s="50">
        <f>IFERROR(INDEX(DraftResults[[#All],[OVR]],MATCH(Table5[[#This Row],[PID]],DraftResults[[#All],[Player ID]],0)),"")</f>
        <v>219</v>
      </c>
      <c r="Z534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7</v>
      </c>
      <c r="AA534" s="50">
        <f>IFERROR(INDEX(DraftResults[[#All],[Pick in Round]],MATCH(Table5[[#This Row],[PID]],DraftResults[[#All],[Player ID]],0)),"")</f>
        <v>18</v>
      </c>
      <c r="AB534" s="50" t="str">
        <f>IFERROR(INDEX(DraftResults[[#All],[Team Name]],MATCH(Table5[[#This Row],[PID]],DraftResults[[#All],[Player ID]],0)),"")</f>
        <v>San Juan Coqui</v>
      </c>
      <c r="AC534" s="50">
        <f>IF(Table5[[#This Row],[Ovr]]="","",IF(Table5[[#This Row],[cmbList]]="","",Table5[[#This Row],[cmbList]]-Table5[[#This Row],[Ovr]]))</f>
        <v>1290</v>
      </c>
      <c r="AD534" s="54" t="str">
        <f>IF(ISERROR(VLOOKUP($AB534&amp;"-"&amp;$E534&amp;" "&amp;F534,Bonuses!$B$1:$G$1006,4,FALSE)),"",INT(VLOOKUP($AB534&amp;"-"&amp;$E534&amp;" "&amp;$F534,Bonuses!$B$1:$G$1006,4,FALSE)))</f>
        <v/>
      </c>
      <c r="AE534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7.18 (219) - C Tony Fuller</v>
      </c>
    </row>
    <row r="535" spans="1:31" s="50" customFormat="1" x14ac:dyDescent="0.3">
      <c r="A535" s="50">
        <v>15639</v>
      </c>
      <c r="B535" s="50">
        <f>COUNTIF(Table5[PID],A535)</f>
        <v>1</v>
      </c>
      <c r="C535" s="50" t="str">
        <f>IF(COUNTIF(Table3[[#All],[PID]],A535)&gt;0,"P","B")</f>
        <v>B</v>
      </c>
      <c r="D535" s="59" t="str">
        <f>IF($C535="B",INDEX(Batters[[#All],[POS]],MATCH(Table5[[#This Row],[PID]],Batters[[#All],[PID]],0)),INDEX(Table3[[#All],[POS]],MATCH(Table5[[#This Row],[PID]],Table3[[#All],[PID]],0)))</f>
        <v>2B</v>
      </c>
      <c r="E535" s="52" t="str">
        <f>IF($C535="B",INDEX(Batters[[#All],[First]],MATCH(Table5[[#This Row],[PID]],Batters[[#All],[PID]],0)),INDEX(Table3[[#All],[First]],MATCH(Table5[[#This Row],[PID]],Table3[[#All],[PID]],0)))</f>
        <v>Motonobu</v>
      </c>
      <c r="F535" s="50" t="str">
        <f>IF($C535="B",INDEX(Batters[[#All],[Last]],MATCH(A535,Batters[[#All],[PID]],0)),INDEX(Table3[[#All],[Last]],MATCH(A535,Table3[[#All],[PID]],0)))</f>
        <v>Yamaguchi</v>
      </c>
      <c r="G535" s="56">
        <f>IF($C535="B",INDEX(Batters[[#All],[Age]],MATCH(Table5[[#This Row],[PID]],Batters[[#All],[PID]],0)),INDEX(Table3[[#All],[Age]],MATCH(Table5[[#This Row],[PID]],Table3[[#All],[PID]],0)))</f>
        <v>22</v>
      </c>
      <c r="H535" s="52" t="str">
        <f>IF($C535="B",INDEX(Batters[[#All],[B]],MATCH(Table5[[#This Row],[PID]],Batters[[#All],[PID]],0)),INDEX(Table3[[#All],[B]],MATCH(Table5[[#This Row],[PID]],Table3[[#All],[PID]],0)))</f>
        <v>R</v>
      </c>
      <c r="I535" s="52" t="str">
        <f>IF($C535="B",INDEX(Batters[[#All],[T]],MATCH(Table5[[#This Row],[PID]],Batters[[#All],[PID]],0)),INDEX(Table3[[#All],[T]],MATCH(Table5[[#This Row],[PID]],Table3[[#All],[PID]],0)))</f>
        <v>R</v>
      </c>
      <c r="J535" s="52" t="str">
        <f>IF($C535="B",INDEX(Batters[[#All],[WE]],MATCH(Table5[[#This Row],[PID]],Batters[[#All],[PID]],0)),INDEX(Table3[[#All],[WE]],MATCH(Table5[[#This Row],[PID]],Table3[[#All],[PID]],0)))</f>
        <v>Normal</v>
      </c>
      <c r="K535" s="52" t="str">
        <f>IF($C535="B",INDEX(Batters[[#All],[INT]],MATCH(Table5[[#This Row],[PID]],Batters[[#All],[PID]],0)),INDEX(Table3[[#All],[INT]],MATCH(Table5[[#This Row],[PID]],Table3[[#All],[PID]],0)))</f>
        <v>Normal</v>
      </c>
      <c r="L535" s="60">
        <f>IF($C535="B",INDEX(Batters[[#All],[CON P]],MATCH(Table5[[#This Row],[PID]],Batters[[#All],[PID]],0)),INDEX(Table3[[#All],[STU P]],MATCH(Table5[[#This Row],[PID]],Table3[[#All],[PID]],0)))</f>
        <v>4</v>
      </c>
      <c r="M535" s="56">
        <f>IF($C535="B",INDEX(Batters[[#All],[GAP P]],MATCH(Table5[[#This Row],[PID]],Batters[[#All],[PID]],0)),INDEX(Table3[[#All],[MOV P]],MATCH(Table5[[#This Row],[PID]],Table3[[#All],[PID]],0)))</f>
        <v>4</v>
      </c>
      <c r="N535" s="56">
        <f>IF($C535="B",INDEX(Batters[[#All],[POW P]],MATCH(Table5[[#This Row],[PID]],Batters[[#All],[PID]],0)),INDEX(Table3[[#All],[CON P]],MATCH(Table5[[#This Row],[PID]],Table3[[#All],[PID]],0)))</f>
        <v>2</v>
      </c>
      <c r="O535" s="56">
        <f>IF($C535="B",INDEX(Batters[[#All],[EYE P]],MATCH(Table5[[#This Row],[PID]],Batters[[#All],[PID]],0)),INDEX(Table3[[#All],[VELO]],MATCH(Table5[[#This Row],[PID]],Table3[[#All],[PID]],0)))</f>
        <v>3</v>
      </c>
      <c r="P535" s="56">
        <f>IF($C535="B",INDEX(Batters[[#All],[K P]],MATCH(Table5[[#This Row],[PID]],Batters[[#All],[PID]],0)),INDEX(Table3[[#All],[STM]],MATCH(Table5[[#This Row],[PID]],Table3[[#All],[PID]],0)))</f>
        <v>6</v>
      </c>
      <c r="Q535" s="61">
        <f>IF($C535="B",INDEX(Batters[[#All],[Tot]],MATCH(Table5[[#This Row],[PID]],Batters[[#All],[PID]],0)),INDEX(Table3[[#All],[Tot]],MATCH(Table5[[#This Row],[PID]],Table3[[#All],[PID]],0)))</f>
        <v>39.948106686108538</v>
      </c>
      <c r="R535" s="52">
        <f>IF($C535="B",INDEX(Batters[[#All],[zScore]],MATCH(Table5[[#This Row],[PID]],Batters[[#All],[PID]],0)),INDEX(Table3[[#All],[zScore]],MATCH(Table5[[#This Row],[PID]],Table3[[#All],[PID]],0)))</f>
        <v>-0.47737175166621487</v>
      </c>
      <c r="S535" s="58" t="str">
        <f>IF($C535="B",INDEX(Batters[[#All],[DEM]],MATCH(Table5[[#This Row],[PID]],Batters[[#All],[PID]],0)),INDEX(Table3[[#All],[DEM]],MATCH(Table5[[#This Row],[PID]],Table3[[#All],[PID]],0)))</f>
        <v>$22k</v>
      </c>
      <c r="T535" s="62">
        <f>IF($C535="B",INDEX(Batters[[#All],[Rnk]],MATCH(Table5[[#This Row],[PID]],Batters[[#All],[PID]],0)),INDEX(Table3[[#All],[Rnk]],MATCH(Table5[[#This Row],[PID]],Table3[[#All],[PID]],0)))</f>
        <v>900</v>
      </c>
      <c r="U535" s="67">
        <f>IF($C535="B",VLOOKUP($A535,Bat!$A$4:$BA$1314,47,FALSE),VLOOKUP($A535,Pit!$A$4:$BF$1214,56,FALSE))</f>
        <v>210</v>
      </c>
      <c r="V535" s="50">
        <f>IF($C535="B",VLOOKUP($A535,Bat!$A$4:$BA$1314,48,FALSE),VLOOKUP($A535,Pit!$A$4:$BF$1214,57,FALSE))</f>
        <v>0</v>
      </c>
      <c r="W535" s="68">
        <f>IF(Table5[[#This Row],[posRnk]]=999,9999,Table5[[#This Row],[posRnk]]+Table5[[#This Row],[zRnk]]+IF($W$3&lt;&gt;Table5[[#This Row],[Type]],50,0))</f>
        <v>1510</v>
      </c>
      <c r="X535" s="51">
        <f>RANK(Table5[[#This Row],[zScore]],Table5[[#All],[zScore]])</f>
        <v>560</v>
      </c>
      <c r="Y535" s="50">
        <f>IFERROR(INDEX(DraftResults[[#All],[OVR]],MATCH(Table5[[#This Row],[PID]],DraftResults[[#All],[Player ID]],0)),"")</f>
        <v>398</v>
      </c>
      <c r="Z535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12</v>
      </c>
      <c r="AA535" s="50">
        <f>IFERROR(INDEX(DraftResults[[#All],[Pick in Round]],MATCH(Table5[[#This Row],[PID]],DraftResults[[#All],[Player ID]],0)),"")</f>
        <v>33</v>
      </c>
      <c r="AB535" s="50" t="str">
        <f>IFERROR(INDEX(DraftResults[[#All],[Team Name]],MATCH(Table5[[#This Row],[PID]],DraftResults[[#All],[Player ID]],0)),"")</f>
        <v>New Jersey Hitmen</v>
      </c>
      <c r="AC535" s="50">
        <f>IF(Table5[[#This Row],[Ovr]]="","",IF(Table5[[#This Row],[cmbList]]="","",Table5[[#This Row],[cmbList]]-Table5[[#This Row],[Ovr]]))</f>
        <v>1112</v>
      </c>
      <c r="AD535" s="54" t="str">
        <f>IF(ISERROR(VLOOKUP($AB535&amp;"-"&amp;$E535&amp;" "&amp;F535,Bonuses!$B$1:$G$1006,4,FALSE)),"",INT(VLOOKUP($AB535&amp;"-"&amp;$E535&amp;" "&amp;$F535,Bonuses!$B$1:$G$1006,4,FALSE)))</f>
        <v/>
      </c>
      <c r="AE535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12.33 (398) - 2B Motonobu Yamaguchi</v>
      </c>
    </row>
    <row r="536" spans="1:31" s="50" customFormat="1" x14ac:dyDescent="0.3">
      <c r="A536" s="50">
        <v>20291</v>
      </c>
      <c r="B536" s="50">
        <f>COUNTIF(Table5[PID],A536)</f>
        <v>1</v>
      </c>
      <c r="C536" s="50" t="str">
        <f>IF(COUNTIF(Table3[[#All],[PID]],A536)&gt;0,"P","B")</f>
        <v>P</v>
      </c>
      <c r="D536" s="59" t="str">
        <f>IF($C536="B",INDEX(Batters[[#All],[POS]],MATCH(Table5[[#This Row],[PID]],Batters[[#All],[PID]],0)),INDEX(Table3[[#All],[POS]],MATCH(Table5[[#This Row],[PID]],Table3[[#All],[PID]],0)))</f>
        <v>SP</v>
      </c>
      <c r="E536" s="52" t="str">
        <f>IF($C536="B",INDEX(Batters[[#All],[First]],MATCH(Table5[[#This Row],[PID]],Batters[[#All],[PID]],0)),INDEX(Table3[[#All],[First]],MATCH(Table5[[#This Row],[PID]],Table3[[#All],[PID]],0)))</f>
        <v>Kol-in-sen</v>
      </c>
      <c r="F536" s="50" t="str">
        <f>IF($C536="B",INDEX(Batters[[#All],[Last]],MATCH(A536,Batters[[#All],[PID]],0)),INDEX(Table3[[#All],[Last]],MATCH(A536,Table3[[#All],[PID]],0)))</f>
        <v>Fung</v>
      </c>
      <c r="G536" s="56">
        <f>IF($C536="B",INDEX(Batters[[#All],[Age]],MATCH(Table5[[#This Row],[PID]],Batters[[#All],[PID]],0)),INDEX(Table3[[#All],[Age]],MATCH(Table5[[#This Row],[PID]],Table3[[#All],[PID]],0)))</f>
        <v>21</v>
      </c>
      <c r="H536" s="52" t="str">
        <f>IF($C536="B",INDEX(Batters[[#All],[B]],MATCH(Table5[[#This Row],[PID]],Batters[[#All],[PID]],0)),INDEX(Table3[[#All],[B]],MATCH(Table5[[#This Row],[PID]],Table3[[#All],[PID]],0)))</f>
        <v>R</v>
      </c>
      <c r="I536" s="52" t="str">
        <f>IF($C536="B",INDEX(Batters[[#All],[T]],MATCH(Table5[[#This Row],[PID]],Batters[[#All],[PID]],0)),INDEX(Table3[[#All],[T]],MATCH(Table5[[#This Row],[PID]],Table3[[#All],[PID]],0)))</f>
        <v>R</v>
      </c>
      <c r="J536" s="52" t="str">
        <f>IF($C536="B",INDEX(Batters[[#All],[WE]],MATCH(Table5[[#This Row],[PID]],Batters[[#All],[PID]],0)),INDEX(Table3[[#All],[WE]],MATCH(Table5[[#This Row],[PID]],Table3[[#All],[PID]],0)))</f>
        <v>Low</v>
      </c>
      <c r="K536" s="52" t="str">
        <f>IF($C536="B",INDEX(Batters[[#All],[INT]],MATCH(Table5[[#This Row],[PID]],Batters[[#All],[PID]],0)),INDEX(Table3[[#All],[INT]],MATCH(Table5[[#This Row],[PID]],Table3[[#All],[PID]],0)))</f>
        <v>Normal</v>
      </c>
      <c r="L536" s="60">
        <f>IF($C536="B",INDEX(Batters[[#All],[CON P]],MATCH(Table5[[#This Row],[PID]],Batters[[#All],[PID]],0)),INDEX(Table3[[#All],[STU P]],MATCH(Table5[[#This Row],[PID]],Table3[[#All],[PID]],0)))</f>
        <v>4</v>
      </c>
      <c r="M536" s="56">
        <f>IF($C536="B",INDEX(Batters[[#All],[GAP P]],MATCH(Table5[[#This Row],[PID]],Batters[[#All],[PID]],0)),INDEX(Table3[[#All],[MOV P]],MATCH(Table5[[#This Row],[PID]],Table3[[#All],[PID]],0)))</f>
        <v>2</v>
      </c>
      <c r="N536" s="56">
        <f>IF($C536="B",INDEX(Batters[[#All],[POW P]],MATCH(Table5[[#This Row],[PID]],Batters[[#All],[PID]],0)),INDEX(Table3[[#All],[CON P]],MATCH(Table5[[#This Row],[PID]],Table3[[#All],[PID]],0)))</f>
        <v>3</v>
      </c>
      <c r="O536" s="56" t="str">
        <f>IF($C536="B",INDEX(Batters[[#All],[EYE P]],MATCH(Table5[[#This Row],[PID]],Batters[[#All],[PID]],0)),INDEX(Table3[[#All],[VELO]],MATCH(Table5[[#This Row],[PID]],Table3[[#All],[PID]],0)))</f>
        <v>92-94 Mph</v>
      </c>
      <c r="P536" s="56">
        <f>IF($C536="B",INDEX(Batters[[#All],[K P]],MATCH(Table5[[#This Row],[PID]],Batters[[#All],[PID]],0)),INDEX(Table3[[#All],[STM]],MATCH(Table5[[#This Row],[PID]],Table3[[#All],[PID]],0)))</f>
        <v>6</v>
      </c>
      <c r="Q536" s="61">
        <f>IF($C536="B",INDEX(Batters[[#All],[Tot]],MATCH(Table5[[#This Row],[PID]],Batters[[#All],[PID]],0)),INDEX(Table3[[#All],[Tot]],MATCH(Table5[[#This Row],[PID]],Table3[[#All],[PID]],0)))</f>
        <v>32.112319914527077</v>
      </c>
      <c r="R536" s="52">
        <f>IF($C536="B",INDEX(Batters[[#All],[zScore]],MATCH(Table5[[#This Row],[PID]],Batters[[#All],[PID]],0)),INDEX(Table3[[#All],[zScore]],MATCH(Table5[[#This Row],[PID]],Table3[[#All],[PID]],0)))</f>
        <v>-0.39859635221937251</v>
      </c>
      <c r="S536" s="58" t="str">
        <f>IF($C536="B",INDEX(Batters[[#All],[DEM]],MATCH(Table5[[#This Row],[PID]],Batters[[#All],[PID]],0)),INDEX(Table3[[#All],[DEM]],MATCH(Table5[[#This Row],[PID]],Table3[[#All],[PID]],0)))</f>
        <v>$34k</v>
      </c>
      <c r="T536" s="62">
        <f>IF($C536="B",INDEX(Batters[[#All],[Rnk]],MATCH(Table5[[#This Row],[PID]],Batters[[#All],[PID]],0)),INDEX(Table3[[#All],[Rnk]],MATCH(Table5[[#This Row],[PID]],Table3[[#All],[PID]],0)))</f>
        <v>930</v>
      </c>
      <c r="U536" s="67">
        <f>IF($C536="B",VLOOKUP($A536,Bat!$A$4:$BA$1314,47,FALSE),VLOOKUP($A536,Pit!$A$4:$BF$1214,56,FALSE))</f>
        <v>315</v>
      </c>
      <c r="V536" s="50">
        <f>IF($C536="B",VLOOKUP($A536,Bat!$A$4:$BA$1314,48,FALSE),VLOOKUP($A536,Pit!$A$4:$BF$1214,57,FALSE))</f>
        <v>0</v>
      </c>
      <c r="W536" s="68">
        <f>IF(Table5[[#This Row],[posRnk]]=999,9999,Table5[[#This Row],[posRnk]]+Table5[[#This Row],[zRnk]]+IF($W$3&lt;&gt;Table5[[#This Row],[Type]],50,0))</f>
        <v>1460</v>
      </c>
      <c r="X536" s="51">
        <f>RANK(Table5[[#This Row],[zScore]],Table5[[#All],[zScore]])</f>
        <v>530</v>
      </c>
      <c r="Y536" s="50">
        <f>IFERROR(INDEX(DraftResults[[#All],[OVR]],MATCH(Table5[[#This Row],[PID]],DraftResults[[#All],[Player ID]],0)),"")</f>
        <v>424</v>
      </c>
      <c r="Z536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13</v>
      </c>
      <c r="AA536" s="50">
        <f>IFERROR(INDEX(DraftResults[[#All],[Pick in Round]],MATCH(Table5[[#This Row],[PID]],DraftResults[[#All],[Player ID]],0)),"")</f>
        <v>25</v>
      </c>
      <c r="AB536" s="50" t="str">
        <f>IFERROR(INDEX(DraftResults[[#All],[Team Name]],MATCH(Table5[[#This Row],[PID]],DraftResults[[#All],[Player ID]],0)),"")</f>
        <v>Kalamazoo Badgers</v>
      </c>
      <c r="AC536" s="50">
        <f>IF(Table5[[#This Row],[Ovr]]="","",IF(Table5[[#This Row],[cmbList]]="","",Table5[[#This Row],[cmbList]]-Table5[[#This Row],[Ovr]]))</f>
        <v>1036</v>
      </c>
      <c r="AD536" s="54" t="str">
        <f>IF(ISERROR(VLOOKUP($AB536&amp;"-"&amp;$E536&amp;" "&amp;F536,Bonuses!$B$1:$G$1006,4,FALSE)),"",INT(VLOOKUP($AB536&amp;"-"&amp;$E536&amp;" "&amp;$F536,Bonuses!$B$1:$G$1006,4,FALSE)))</f>
        <v/>
      </c>
      <c r="AE536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13.25 (424) - SP Kol-in-sen Fung</v>
      </c>
    </row>
    <row r="537" spans="1:31" s="50" customFormat="1" x14ac:dyDescent="0.3">
      <c r="A537" s="50">
        <v>12087</v>
      </c>
      <c r="B537" s="50">
        <f>COUNTIF(Table5[PID],A537)</f>
        <v>1</v>
      </c>
      <c r="C537" s="50" t="str">
        <f>IF(COUNTIF(Table3[[#All],[PID]],A537)&gt;0,"P","B")</f>
        <v>B</v>
      </c>
      <c r="D537" s="59" t="str">
        <f>IF($C537="B",INDEX(Batters[[#All],[POS]],MATCH(Table5[[#This Row],[PID]],Batters[[#All],[PID]],0)),INDEX(Table3[[#All],[POS]],MATCH(Table5[[#This Row],[PID]],Table3[[#All],[PID]],0)))</f>
        <v>1B</v>
      </c>
      <c r="E537" s="52" t="str">
        <f>IF($C537="B",INDEX(Batters[[#All],[First]],MATCH(Table5[[#This Row],[PID]],Batters[[#All],[PID]],0)),INDEX(Table3[[#All],[First]],MATCH(Table5[[#This Row],[PID]],Table3[[#All],[PID]],0)))</f>
        <v>Jean</v>
      </c>
      <c r="F537" s="50" t="str">
        <f>IF($C537="B",INDEX(Batters[[#All],[Last]],MATCH(A537,Batters[[#All],[PID]],0)),INDEX(Table3[[#All],[Last]],MATCH(A537,Table3[[#All],[PID]],0)))</f>
        <v>Bouchard</v>
      </c>
      <c r="G537" s="56">
        <f>IF($C537="B",INDEX(Batters[[#All],[Age]],MATCH(Table5[[#This Row],[PID]],Batters[[#All],[PID]],0)),INDEX(Table3[[#All],[Age]],MATCH(Table5[[#This Row],[PID]],Table3[[#All],[PID]],0)))</f>
        <v>17</v>
      </c>
      <c r="H537" s="52" t="str">
        <f>IF($C537="B",INDEX(Batters[[#All],[B]],MATCH(Table5[[#This Row],[PID]],Batters[[#All],[PID]],0)),INDEX(Table3[[#All],[B]],MATCH(Table5[[#This Row],[PID]],Table3[[#All],[PID]],0)))</f>
        <v>R</v>
      </c>
      <c r="I537" s="52" t="str">
        <f>IF($C537="B",INDEX(Batters[[#All],[T]],MATCH(Table5[[#This Row],[PID]],Batters[[#All],[PID]],0)),INDEX(Table3[[#All],[T]],MATCH(Table5[[#This Row],[PID]],Table3[[#All],[PID]],0)))</f>
        <v>R</v>
      </c>
      <c r="J537" s="52" t="str">
        <f>IF($C537="B",INDEX(Batters[[#All],[WE]],MATCH(Table5[[#This Row],[PID]],Batters[[#All],[PID]],0)),INDEX(Table3[[#All],[WE]],MATCH(Table5[[#This Row],[PID]],Table3[[#All],[PID]],0)))</f>
        <v>Normal</v>
      </c>
      <c r="K537" s="52" t="str">
        <f>IF($C537="B",INDEX(Batters[[#All],[INT]],MATCH(Table5[[#This Row],[PID]],Batters[[#All],[PID]],0)),INDEX(Table3[[#All],[INT]],MATCH(Table5[[#This Row],[PID]],Table3[[#All],[PID]],0)))</f>
        <v>Normal</v>
      </c>
      <c r="L537" s="60">
        <f>IF($C537="B",INDEX(Batters[[#All],[CON P]],MATCH(Table5[[#This Row],[PID]],Batters[[#All],[PID]],0)),INDEX(Table3[[#All],[STU P]],MATCH(Table5[[#This Row],[PID]],Table3[[#All],[PID]],0)))</f>
        <v>4</v>
      </c>
      <c r="M537" s="56">
        <f>IF($C537="B",INDEX(Batters[[#All],[GAP P]],MATCH(Table5[[#This Row],[PID]],Batters[[#All],[PID]],0)),INDEX(Table3[[#All],[MOV P]],MATCH(Table5[[#This Row],[PID]],Table3[[#All],[PID]],0)))</f>
        <v>2</v>
      </c>
      <c r="N537" s="56">
        <f>IF($C537="B",INDEX(Batters[[#All],[POW P]],MATCH(Table5[[#This Row],[PID]],Batters[[#All],[PID]],0)),INDEX(Table3[[#All],[CON P]],MATCH(Table5[[#This Row],[PID]],Table3[[#All],[PID]],0)))</f>
        <v>2</v>
      </c>
      <c r="O537" s="56">
        <f>IF($C537="B",INDEX(Batters[[#All],[EYE P]],MATCH(Table5[[#This Row],[PID]],Batters[[#All],[PID]],0)),INDEX(Table3[[#All],[VELO]],MATCH(Table5[[#This Row],[PID]],Table3[[#All],[PID]],0)))</f>
        <v>1</v>
      </c>
      <c r="P537" s="56">
        <f>IF($C537="B",INDEX(Batters[[#All],[K P]],MATCH(Table5[[#This Row],[PID]],Batters[[#All],[PID]],0)),INDEX(Table3[[#All],[STM]],MATCH(Table5[[#This Row],[PID]],Table3[[#All],[PID]],0)))</f>
        <v>5</v>
      </c>
      <c r="Q537" s="61">
        <f>IF($C537="B",INDEX(Batters[[#All],[Tot]],MATCH(Table5[[#This Row],[PID]],Batters[[#All],[PID]],0)),INDEX(Table3[[#All],[Tot]],MATCH(Table5[[#This Row],[PID]],Table3[[#All],[PID]],0)))</f>
        <v>39.939110136659906</v>
      </c>
      <c r="R537" s="52">
        <f>IF($C537="B",INDEX(Batters[[#All],[zScore]],MATCH(Table5[[#This Row],[PID]],Batters[[#All],[PID]],0)),INDEX(Table3[[#All],[zScore]],MATCH(Table5[[#This Row],[PID]],Table3[[#All],[PID]],0)))</f>
        <v>-0.47868496098257884</v>
      </c>
      <c r="S537" s="58" t="str">
        <f>IF($C537="B",INDEX(Batters[[#All],[DEM]],MATCH(Table5[[#This Row],[PID]],Batters[[#All],[PID]],0)),INDEX(Table3[[#All],[DEM]],MATCH(Table5[[#This Row],[PID]],Table3[[#All],[PID]],0)))</f>
        <v>$80k</v>
      </c>
      <c r="T537" s="62">
        <f>IF($C537="B",INDEX(Batters[[#All],[Rnk]],MATCH(Table5[[#This Row],[PID]],Batters[[#All],[PID]],0)),INDEX(Table3[[#All],[Rnk]],MATCH(Table5[[#This Row],[PID]],Table3[[#All],[PID]],0)))</f>
        <v>900</v>
      </c>
      <c r="U537" s="67">
        <f>IF($C537="B",VLOOKUP($A537,Bat!$A$4:$BA$1314,47,FALSE),VLOOKUP($A537,Pit!$A$4:$BF$1214,56,FALSE))</f>
        <v>211</v>
      </c>
      <c r="V537" s="50">
        <f>IF($C537="B",VLOOKUP($A537,Bat!$A$4:$BA$1314,48,FALSE),VLOOKUP($A537,Pit!$A$4:$BF$1214,57,FALSE))</f>
        <v>0</v>
      </c>
      <c r="W537" s="68">
        <f>IF(Table5[[#This Row],[posRnk]]=999,9999,Table5[[#This Row],[posRnk]]+Table5[[#This Row],[zRnk]]+IF($W$3&lt;&gt;Table5[[#This Row],[Type]],50,0))</f>
        <v>1511</v>
      </c>
      <c r="X537" s="51">
        <f>RANK(Table5[[#This Row],[zScore]],Table5[[#All],[zScore]])</f>
        <v>561</v>
      </c>
      <c r="Y537" s="50">
        <f>IFERROR(INDEX(DraftResults[[#All],[OVR]],MATCH(Table5[[#This Row],[PID]],DraftResults[[#All],[Player ID]],0)),"")</f>
        <v>365</v>
      </c>
      <c r="Z537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11</v>
      </c>
      <c r="AA537" s="50">
        <f>IFERROR(INDEX(DraftResults[[#All],[Pick in Round]],MATCH(Table5[[#This Row],[PID]],DraftResults[[#All],[Player ID]],0)),"")</f>
        <v>34</v>
      </c>
      <c r="AB537" s="50" t="str">
        <f>IFERROR(INDEX(DraftResults[[#All],[Team Name]],MATCH(Table5[[#This Row],[PID]],DraftResults[[#All],[Player ID]],0)),"")</f>
        <v>New Jersey Hitmen</v>
      </c>
      <c r="AC537" s="50">
        <f>IF(Table5[[#This Row],[Ovr]]="","",IF(Table5[[#This Row],[cmbList]]="","",Table5[[#This Row],[cmbList]]-Table5[[#This Row],[Ovr]]))</f>
        <v>1146</v>
      </c>
      <c r="AD537" s="54" t="str">
        <f>IF(ISERROR(VLOOKUP($AB537&amp;"-"&amp;$E537&amp;" "&amp;F537,Bonuses!$B$1:$G$1006,4,FALSE)),"",INT(VLOOKUP($AB537&amp;"-"&amp;$E537&amp;" "&amp;$F537,Bonuses!$B$1:$G$1006,4,FALSE)))</f>
        <v/>
      </c>
      <c r="AE537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11.34 (365) - 1B Jean Bouchard</v>
      </c>
    </row>
    <row r="538" spans="1:31" s="50" customFormat="1" x14ac:dyDescent="0.3">
      <c r="A538" s="50">
        <v>9877</v>
      </c>
      <c r="B538" s="50">
        <f>COUNTIF(Table5[PID],A538)</f>
        <v>1</v>
      </c>
      <c r="C538" s="50" t="str">
        <f>IF(COUNTIF(Table3[[#All],[PID]],A538)&gt;0,"P","B")</f>
        <v>P</v>
      </c>
      <c r="D538" s="59" t="str">
        <f>IF($C538="B",INDEX(Batters[[#All],[POS]],MATCH(Table5[[#This Row],[PID]],Batters[[#All],[PID]],0)),INDEX(Table3[[#All],[POS]],MATCH(Table5[[#This Row],[PID]],Table3[[#All],[PID]],0)))</f>
        <v>RP</v>
      </c>
      <c r="E538" s="52" t="str">
        <f>IF($C538="B",INDEX(Batters[[#All],[First]],MATCH(Table5[[#This Row],[PID]],Batters[[#All],[PID]],0)),INDEX(Table3[[#All],[First]],MATCH(Table5[[#This Row],[PID]],Table3[[#All],[PID]],0)))</f>
        <v>Toshikazu</v>
      </c>
      <c r="F538" s="50" t="str">
        <f>IF($C538="B",INDEX(Batters[[#All],[Last]],MATCH(A538,Batters[[#All],[PID]],0)),INDEX(Table3[[#All],[Last]],MATCH(A538,Table3[[#All],[PID]],0)))</f>
        <v>Kanai</v>
      </c>
      <c r="G538" s="56">
        <f>IF($C538="B",INDEX(Batters[[#All],[Age]],MATCH(Table5[[#This Row],[PID]],Batters[[#All],[PID]],0)),INDEX(Table3[[#All],[Age]],MATCH(Table5[[#This Row],[PID]],Table3[[#All],[PID]],0)))</f>
        <v>21</v>
      </c>
      <c r="H538" s="52" t="str">
        <f>IF($C538="B",INDEX(Batters[[#All],[B]],MATCH(Table5[[#This Row],[PID]],Batters[[#All],[PID]],0)),INDEX(Table3[[#All],[B]],MATCH(Table5[[#This Row],[PID]],Table3[[#All],[PID]],0)))</f>
        <v>L</v>
      </c>
      <c r="I538" s="52" t="str">
        <f>IF($C538="B",INDEX(Batters[[#All],[T]],MATCH(Table5[[#This Row],[PID]],Batters[[#All],[PID]],0)),INDEX(Table3[[#All],[T]],MATCH(Table5[[#This Row],[PID]],Table3[[#All],[PID]],0)))</f>
        <v>L</v>
      </c>
      <c r="J538" s="52" t="str">
        <f>IF($C538="B",INDEX(Batters[[#All],[WE]],MATCH(Table5[[#This Row],[PID]],Batters[[#All],[PID]],0)),INDEX(Table3[[#All],[WE]],MATCH(Table5[[#This Row],[PID]],Table3[[#All],[PID]],0)))</f>
        <v>Low</v>
      </c>
      <c r="K538" s="52" t="str">
        <f>IF($C538="B",INDEX(Batters[[#All],[INT]],MATCH(Table5[[#This Row],[PID]],Batters[[#All],[PID]],0)),INDEX(Table3[[#All],[INT]],MATCH(Table5[[#This Row],[PID]],Table3[[#All],[PID]],0)))</f>
        <v>Low</v>
      </c>
      <c r="L538" s="60">
        <f>IF($C538="B",INDEX(Batters[[#All],[CON P]],MATCH(Table5[[#This Row],[PID]],Batters[[#All],[PID]],0)),INDEX(Table3[[#All],[STU P]],MATCH(Table5[[#This Row],[PID]],Table3[[#All],[PID]],0)))</f>
        <v>5</v>
      </c>
      <c r="M538" s="56">
        <f>IF($C538="B",INDEX(Batters[[#All],[GAP P]],MATCH(Table5[[#This Row],[PID]],Batters[[#All],[PID]],0)),INDEX(Table3[[#All],[MOV P]],MATCH(Table5[[#This Row],[PID]],Table3[[#All],[PID]],0)))</f>
        <v>2</v>
      </c>
      <c r="N538" s="56">
        <f>IF($C538="B",INDEX(Batters[[#All],[POW P]],MATCH(Table5[[#This Row],[PID]],Batters[[#All],[PID]],0)),INDEX(Table3[[#All],[CON P]],MATCH(Table5[[#This Row],[PID]],Table3[[#All],[PID]],0)))</f>
        <v>3</v>
      </c>
      <c r="O538" s="56" t="str">
        <f>IF($C538="B",INDEX(Batters[[#All],[EYE P]],MATCH(Table5[[#This Row],[PID]],Batters[[#All],[PID]],0)),INDEX(Table3[[#All],[VELO]],MATCH(Table5[[#This Row],[PID]],Table3[[#All],[PID]],0)))</f>
        <v>90-92 Mph</v>
      </c>
      <c r="P538" s="56">
        <f>IF($C538="B",INDEX(Batters[[#All],[K P]],MATCH(Table5[[#This Row],[PID]],Batters[[#All],[PID]],0)),INDEX(Table3[[#All],[STM]],MATCH(Table5[[#This Row],[PID]],Table3[[#All],[PID]],0)))</f>
        <v>9</v>
      </c>
      <c r="Q538" s="61">
        <f>IF($C538="B",INDEX(Batters[[#All],[Tot]],MATCH(Table5[[#This Row],[PID]],Batters[[#All],[PID]],0)),INDEX(Table3[[#All],[Tot]],MATCH(Table5[[#This Row],[PID]],Table3[[#All],[PID]],0)))</f>
        <v>32.83210332559586</v>
      </c>
      <c r="R538" s="52">
        <f>IF($C538="B",INDEX(Batters[[#All],[zScore]],MATCH(Table5[[#This Row],[PID]],Batters[[#All],[PID]],0)),INDEX(Table3[[#All],[zScore]],MATCH(Table5[[#This Row],[PID]],Table3[[#All],[PID]],0)))</f>
        <v>-0.35393308039503474</v>
      </c>
      <c r="S538" s="58" t="str">
        <f>IF($C538="B",INDEX(Batters[[#All],[DEM]],MATCH(Table5[[#This Row],[PID]],Batters[[#All],[PID]],0)),INDEX(Table3[[#All],[DEM]],MATCH(Table5[[#This Row],[PID]],Table3[[#All],[PID]],0)))</f>
        <v>-</v>
      </c>
      <c r="T538" s="62">
        <f>IF($C538="B",INDEX(Batters[[#All],[Rnk]],MATCH(Table5[[#This Row],[PID]],Batters[[#All],[PID]],0)),INDEX(Table3[[#All],[Rnk]],MATCH(Table5[[#This Row],[PID]],Table3[[#All],[PID]],0)))</f>
        <v>950</v>
      </c>
      <c r="U538" s="67">
        <f>IF($C538="B",VLOOKUP($A538,Bat!$A$4:$BA$1314,47,FALSE),VLOOKUP($A538,Pit!$A$4:$BF$1214,56,FALSE))</f>
        <v>415</v>
      </c>
      <c r="V538" s="50">
        <f>IF($C538="B",VLOOKUP($A538,Bat!$A$4:$BA$1314,48,FALSE),VLOOKUP($A538,Pit!$A$4:$BF$1214,57,FALSE))</f>
        <v>0</v>
      </c>
      <c r="W538" s="68">
        <f>IF(Table5[[#This Row],[posRnk]]=999,9999,Table5[[#This Row],[posRnk]]+Table5[[#This Row],[zRnk]]+IF($W$3&lt;&gt;Table5[[#This Row],[Type]],50,0))</f>
        <v>1461</v>
      </c>
      <c r="X538" s="51">
        <f>RANK(Table5[[#This Row],[zScore]],Table5[[#All],[zScore]])</f>
        <v>511</v>
      </c>
      <c r="Y538" s="50">
        <f>IFERROR(INDEX(DraftResults[[#All],[OVR]],MATCH(Table5[[#This Row],[PID]],DraftResults[[#All],[Player ID]],0)),"")</f>
        <v>456</v>
      </c>
      <c r="Z538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14</v>
      </c>
      <c r="AA538" s="50">
        <f>IFERROR(INDEX(DraftResults[[#All],[Pick in Round]],MATCH(Table5[[#This Row],[PID]],DraftResults[[#All],[Player ID]],0)),"")</f>
        <v>23</v>
      </c>
      <c r="AB538" s="50" t="str">
        <f>IFERROR(INDEX(DraftResults[[#All],[Team Name]],MATCH(Table5[[#This Row],[PID]],DraftResults[[#All],[Player ID]],0)),"")</f>
        <v>Kentucky Thoroughbreds</v>
      </c>
      <c r="AC538" s="50">
        <f>IF(Table5[[#This Row],[Ovr]]="","",IF(Table5[[#This Row],[cmbList]]="","",Table5[[#This Row],[cmbList]]-Table5[[#This Row],[Ovr]]))</f>
        <v>1005</v>
      </c>
      <c r="AD538" s="54" t="str">
        <f>IF(ISERROR(VLOOKUP($AB538&amp;"-"&amp;$E538&amp;" "&amp;F538,Bonuses!$B$1:$G$1006,4,FALSE)),"",INT(VLOOKUP($AB538&amp;"-"&amp;$E538&amp;" "&amp;$F538,Bonuses!$B$1:$G$1006,4,FALSE)))</f>
        <v/>
      </c>
      <c r="AE538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14.23 (456) - RP Toshikazu Kanai</v>
      </c>
    </row>
    <row r="539" spans="1:31" s="50" customFormat="1" x14ac:dyDescent="0.3">
      <c r="A539" s="67">
        <v>15619</v>
      </c>
      <c r="B539" s="68">
        <f>COUNTIF(Table5[PID],A539)</f>
        <v>1</v>
      </c>
      <c r="C539" s="68" t="str">
        <f>IF(COUNTIF(Table3[[#All],[PID]],A539)&gt;0,"P","B")</f>
        <v>B</v>
      </c>
      <c r="D539" s="59" t="str">
        <f>IF($C539="B",INDEX(Batters[[#All],[POS]],MATCH(Table5[[#This Row],[PID]],Batters[[#All],[PID]],0)),INDEX(Table3[[#All],[POS]],MATCH(Table5[[#This Row],[PID]],Table3[[#All],[PID]],0)))</f>
        <v>RF</v>
      </c>
      <c r="E539" s="52" t="str">
        <f>IF($C539="B",INDEX(Batters[[#All],[First]],MATCH(Table5[[#This Row],[PID]],Batters[[#All],[PID]],0)),INDEX(Table3[[#All],[First]],MATCH(Table5[[#This Row],[PID]],Table3[[#All],[PID]],0)))</f>
        <v>Alberto</v>
      </c>
      <c r="F539" s="55" t="str">
        <f>IF($C539="B",INDEX(Batters[[#All],[Last]],MATCH(A539,Batters[[#All],[PID]],0)),INDEX(Table3[[#All],[Last]],MATCH(A539,Table3[[#All],[PID]],0)))</f>
        <v>Hernández</v>
      </c>
      <c r="G539" s="56">
        <f>IF($C539="B",INDEX(Batters[[#All],[Age]],MATCH(Table5[[#This Row],[PID]],Batters[[#All],[PID]],0)),INDEX(Table3[[#All],[Age]],MATCH(Table5[[#This Row],[PID]],Table3[[#All],[PID]],0)))</f>
        <v>22</v>
      </c>
      <c r="H539" s="52" t="str">
        <f>IF($C539="B",INDEX(Batters[[#All],[B]],MATCH(Table5[[#This Row],[PID]],Batters[[#All],[PID]],0)),INDEX(Table3[[#All],[B]],MATCH(Table5[[#This Row],[PID]],Table3[[#All],[PID]],0)))</f>
        <v>R</v>
      </c>
      <c r="I539" s="52" t="str">
        <f>IF($C539="B",INDEX(Batters[[#All],[T]],MATCH(Table5[[#This Row],[PID]],Batters[[#All],[PID]],0)),INDEX(Table3[[#All],[T]],MATCH(Table5[[#This Row],[PID]],Table3[[#All],[PID]],0)))</f>
        <v>R</v>
      </c>
      <c r="J539" s="69" t="str">
        <f>IF($C539="B",INDEX(Batters[[#All],[WE]],MATCH(Table5[[#This Row],[PID]],Batters[[#All],[PID]],0)),INDEX(Table3[[#All],[WE]],MATCH(Table5[[#This Row],[PID]],Table3[[#All],[PID]],0)))</f>
        <v>Low</v>
      </c>
      <c r="K539" s="52" t="str">
        <f>IF($C539="B",INDEX(Batters[[#All],[INT]],MATCH(Table5[[#This Row],[PID]],Batters[[#All],[PID]],0)),INDEX(Table3[[#All],[INT]],MATCH(Table5[[#This Row],[PID]],Table3[[#All],[PID]],0)))</f>
        <v>High</v>
      </c>
      <c r="L539" s="60">
        <f>IF($C539="B",INDEX(Batters[[#All],[CON P]],MATCH(Table5[[#This Row],[PID]],Batters[[#All],[PID]],0)),INDEX(Table3[[#All],[STU P]],MATCH(Table5[[#This Row],[PID]],Table3[[#All],[PID]],0)))</f>
        <v>4</v>
      </c>
      <c r="M539" s="70">
        <f>IF($C539="B",INDEX(Batters[[#All],[GAP P]],MATCH(Table5[[#This Row],[PID]],Batters[[#All],[PID]],0)),INDEX(Table3[[#All],[MOV P]],MATCH(Table5[[#This Row],[PID]],Table3[[#All],[PID]],0)))</f>
        <v>4</v>
      </c>
      <c r="N539" s="70">
        <f>IF($C539="B",INDEX(Batters[[#All],[POW P]],MATCH(Table5[[#This Row],[PID]],Batters[[#All],[PID]],0)),INDEX(Table3[[#All],[CON P]],MATCH(Table5[[#This Row],[PID]],Table3[[#All],[PID]],0)))</f>
        <v>3</v>
      </c>
      <c r="O539" s="70">
        <f>IF($C539="B",INDEX(Batters[[#All],[EYE P]],MATCH(Table5[[#This Row],[PID]],Batters[[#All],[PID]],0)),INDEX(Table3[[#All],[VELO]],MATCH(Table5[[#This Row],[PID]],Table3[[#All],[PID]],0)))</f>
        <v>4</v>
      </c>
      <c r="P539" s="56">
        <f>IF($C539="B",INDEX(Batters[[#All],[K P]],MATCH(Table5[[#This Row],[PID]],Batters[[#All],[PID]],0)),INDEX(Table3[[#All],[STM]],MATCH(Table5[[#This Row],[PID]],Table3[[#All],[PID]],0)))</f>
        <v>5</v>
      </c>
      <c r="Q539" s="61">
        <f>IF($C539="B",INDEX(Batters[[#All],[Tot]],MATCH(Table5[[#This Row],[PID]],Batters[[#All],[PID]],0)),INDEX(Table3[[#All],[Tot]],MATCH(Table5[[#This Row],[PID]],Table3[[#All],[PID]],0)))</f>
        <v>40.458137359669706</v>
      </c>
      <c r="R539" s="52">
        <f>IF($C539="B",INDEX(Batters[[#All],[zScore]],MATCH(Table5[[#This Row],[PID]],Batters[[#All],[PID]],0)),INDEX(Table3[[#All],[zScore]],MATCH(Table5[[#This Row],[PID]],Table3[[#All],[PID]],0)))</f>
        <v>-0.40292353838442752</v>
      </c>
      <c r="S539" s="75" t="str">
        <f>IF($C539="B",INDEX(Batters[[#All],[DEM]],MATCH(Table5[[#This Row],[PID]],Batters[[#All],[PID]],0)),INDEX(Table3[[#All],[DEM]],MATCH(Table5[[#This Row],[PID]],Table3[[#All],[PID]],0)))</f>
        <v>-</v>
      </c>
      <c r="T539" s="72">
        <f>IF($C539="B",INDEX(Batters[[#All],[Rnk]],MATCH(Table5[[#This Row],[PID]],Batters[[#All],[PID]],0)),INDEX(Table3[[#All],[Rnk]],MATCH(Table5[[#This Row],[PID]],Table3[[#All],[PID]],0)))</f>
        <v>930</v>
      </c>
      <c r="U539" s="67">
        <f>IF($C539="B",VLOOKUP($A539,Bat!$A$4:$BA$1314,47,FALSE),VLOOKUP($A539,Pit!$A$4:$BF$1214,56,FALSE))</f>
        <v>338</v>
      </c>
      <c r="V539" s="50">
        <f>IF($C539="B",VLOOKUP($A539,Bat!$A$4:$BA$1314,48,FALSE),VLOOKUP($A539,Pit!$A$4:$BF$1214,57,FALSE))</f>
        <v>0</v>
      </c>
      <c r="W539" s="68">
        <f>IF(Table5[[#This Row],[posRnk]]=999,9999,Table5[[#This Row],[posRnk]]+Table5[[#This Row],[zRnk]]+IF($W$3&lt;&gt;Table5[[#This Row],[Type]],50,0))</f>
        <v>1512</v>
      </c>
      <c r="X539" s="71">
        <f>RANK(Table5[[#This Row],[zScore]],Table5[[#All],[zScore]])</f>
        <v>532</v>
      </c>
      <c r="Y539" s="68">
        <f>IFERROR(INDEX(DraftResults[[#All],[OVR]],MATCH(Table5[[#This Row],[PID]],DraftResults[[#All],[Player ID]],0)),"")</f>
        <v>566</v>
      </c>
      <c r="Z539" s="7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17</v>
      </c>
      <c r="AA539" s="68">
        <f>IFERROR(INDEX(DraftResults[[#All],[Pick in Round]],MATCH(Table5[[#This Row],[PID]],DraftResults[[#All],[Player ID]],0)),"")</f>
        <v>31</v>
      </c>
      <c r="AB539" s="68" t="str">
        <f>IFERROR(INDEX(DraftResults[[#All],[Team Name]],MATCH(Table5[[#This Row],[PID]],DraftResults[[#All],[Player ID]],0)),"")</f>
        <v>Manchester Maulers</v>
      </c>
      <c r="AC539" s="68">
        <f>IF(Table5[[#This Row],[Ovr]]="","",IF(Table5[[#This Row],[cmbList]]="","",Table5[[#This Row],[cmbList]]-Table5[[#This Row],[Ovr]]))</f>
        <v>946</v>
      </c>
      <c r="AD539" s="74" t="str">
        <f>IF(ISERROR(VLOOKUP($AB539&amp;"-"&amp;$E539&amp;" "&amp;F539,Bonuses!$B$1:$G$1006,4,FALSE)),"",INT(VLOOKUP($AB539&amp;"-"&amp;$E539&amp;" "&amp;$F539,Bonuses!$B$1:$G$1006,4,FALSE)))</f>
        <v/>
      </c>
      <c r="AE539" s="68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17.31 (566) - RF Alberto Hernández</v>
      </c>
    </row>
    <row r="540" spans="1:31" s="50" customFormat="1" x14ac:dyDescent="0.3">
      <c r="A540" s="67">
        <v>13669</v>
      </c>
      <c r="B540" s="68">
        <f>COUNTIF(Table5[PID],A540)</f>
        <v>1</v>
      </c>
      <c r="C540" s="68" t="str">
        <f>IF(COUNTIF(Table3[[#All],[PID]],A540)&gt;0,"P","B")</f>
        <v>B</v>
      </c>
      <c r="D540" s="59" t="str">
        <f>IF($C540="B",INDEX(Batters[[#All],[POS]],MATCH(Table5[[#This Row],[PID]],Batters[[#All],[PID]],0)),INDEX(Table3[[#All],[POS]],MATCH(Table5[[#This Row],[PID]],Table3[[#All],[PID]],0)))</f>
        <v>1B</v>
      </c>
      <c r="E540" s="52" t="str">
        <f>IF($C540="B",INDEX(Batters[[#All],[First]],MATCH(Table5[[#This Row],[PID]],Batters[[#All],[PID]],0)),INDEX(Table3[[#All],[First]],MATCH(Table5[[#This Row],[PID]],Table3[[#All],[PID]],0)))</f>
        <v>Arturo</v>
      </c>
      <c r="F540" s="55" t="str">
        <f>IF($C540="B",INDEX(Batters[[#All],[Last]],MATCH(A540,Batters[[#All],[PID]],0)),INDEX(Table3[[#All],[Last]],MATCH(A540,Table3[[#All],[PID]],0)))</f>
        <v>Rocha</v>
      </c>
      <c r="G540" s="56">
        <f>IF($C540="B",INDEX(Batters[[#All],[Age]],MATCH(Table5[[#This Row],[PID]],Batters[[#All],[PID]],0)),INDEX(Table3[[#All],[Age]],MATCH(Table5[[#This Row],[PID]],Table3[[#All],[PID]],0)))</f>
        <v>21</v>
      </c>
      <c r="H540" s="52" t="str">
        <f>IF($C540="B",INDEX(Batters[[#All],[B]],MATCH(Table5[[#This Row],[PID]],Batters[[#All],[PID]],0)),INDEX(Table3[[#All],[B]],MATCH(Table5[[#This Row],[PID]],Table3[[#All],[PID]],0)))</f>
        <v>R</v>
      </c>
      <c r="I540" s="52" t="str">
        <f>IF($C540="B",INDEX(Batters[[#All],[T]],MATCH(Table5[[#This Row],[PID]],Batters[[#All],[PID]],0)),INDEX(Table3[[#All],[T]],MATCH(Table5[[#This Row],[PID]],Table3[[#All],[PID]],0)))</f>
        <v>R</v>
      </c>
      <c r="J540" s="69" t="str">
        <f>IF($C540="B",INDEX(Batters[[#All],[WE]],MATCH(Table5[[#This Row],[PID]],Batters[[#All],[PID]],0)),INDEX(Table3[[#All],[WE]],MATCH(Table5[[#This Row],[PID]],Table3[[#All],[PID]],0)))</f>
        <v>Normal</v>
      </c>
      <c r="K540" s="52" t="str">
        <f>IF($C540="B",INDEX(Batters[[#All],[INT]],MATCH(Table5[[#This Row],[PID]],Batters[[#All],[PID]],0)),INDEX(Table3[[#All],[INT]],MATCH(Table5[[#This Row],[PID]],Table3[[#All],[PID]],0)))</f>
        <v>Normal</v>
      </c>
      <c r="L540" s="60">
        <f>IF($C540="B",INDEX(Batters[[#All],[CON P]],MATCH(Table5[[#This Row],[PID]],Batters[[#All],[PID]],0)),INDEX(Table3[[#All],[STU P]],MATCH(Table5[[#This Row],[PID]],Table3[[#All],[PID]],0)))</f>
        <v>4</v>
      </c>
      <c r="M540" s="70">
        <f>IF($C540="B",INDEX(Batters[[#All],[GAP P]],MATCH(Table5[[#This Row],[PID]],Batters[[#All],[PID]],0)),INDEX(Table3[[#All],[MOV P]],MATCH(Table5[[#This Row],[PID]],Table3[[#All],[PID]],0)))</f>
        <v>4</v>
      </c>
      <c r="N540" s="70">
        <f>IF($C540="B",INDEX(Batters[[#All],[POW P]],MATCH(Table5[[#This Row],[PID]],Batters[[#All],[PID]],0)),INDEX(Table3[[#All],[CON P]],MATCH(Table5[[#This Row],[PID]],Table3[[#All],[PID]],0)))</f>
        <v>2</v>
      </c>
      <c r="O540" s="70">
        <f>IF($C540="B",INDEX(Batters[[#All],[EYE P]],MATCH(Table5[[#This Row],[PID]],Batters[[#All],[PID]],0)),INDEX(Table3[[#All],[VELO]],MATCH(Table5[[#This Row],[PID]],Table3[[#All],[PID]],0)))</f>
        <v>4</v>
      </c>
      <c r="P540" s="56">
        <f>IF($C540="B",INDEX(Batters[[#All],[K P]],MATCH(Table5[[#This Row],[PID]],Batters[[#All],[PID]],0)),INDEX(Table3[[#All],[STM]],MATCH(Table5[[#This Row],[PID]],Table3[[#All],[PID]],0)))</f>
        <v>6</v>
      </c>
      <c r="Q540" s="61">
        <f>IF($C540="B",INDEX(Batters[[#All],[Tot]],MATCH(Table5[[#This Row],[PID]],Batters[[#All],[PID]],0)),INDEX(Table3[[#All],[Tot]],MATCH(Table5[[#This Row],[PID]],Table3[[#All],[PID]],0)))</f>
        <v>39.929727274185382</v>
      </c>
      <c r="R540" s="52">
        <f>IF($C540="B",INDEX(Batters[[#All],[zScore]],MATCH(Table5[[#This Row],[PID]],Batters[[#All],[PID]],0)),INDEX(Table3[[#All],[zScore]],MATCH(Table5[[#This Row],[PID]],Table3[[#All],[PID]],0)))</f>
        <v>-0.48005455968106436</v>
      </c>
      <c r="S540" s="75" t="str">
        <f>IF($C540="B",INDEX(Batters[[#All],[DEM]],MATCH(Table5[[#This Row],[PID]],Batters[[#All],[PID]],0)),INDEX(Table3[[#All],[DEM]],MATCH(Table5[[#This Row],[PID]],Table3[[#All],[PID]],0)))</f>
        <v>-</v>
      </c>
      <c r="T540" s="72">
        <f>IF($C540="B",INDEX(Batters[[#All],[Rnk]],MATCH(Table5[[#This Row],[PID]],Batters[[#All],[PID]],0)),INDEX(Table3[[#All],[Rnk]],MATCH(Table5[[#This Row],[PID]],Table3[[#All],[PID]],0)))</f>
        <v>900</v>
      </c>
      <c r="U540" s="67">
        <f>IF($C540="B",VLOOKUP($A540,Bat!$A$4:$BA$1314,47,FALSE),VLOOKUP($A540,Pit!$A$4:$BF$1214,56,FALSE))</f>
        <v>212</v>
      </c>
      <c r="V540" s="50">
        <f>IF($C540="B",VLOOKUP($A540,Bat!$A$4:$BA$1314,48,FALSE),VLOOKUP($A540,Pit!$A$4:$BF$1214,57,FALSE))</f>
        <v>0</v>
      </c>
      <c r="W540" s="68">
        <f>IF(Table5[[#This Row],[posRnk]]=999,9999,Table5[[#This Row],[posRnk]]+Table5[[#This Row],[zRnk]]+IF($W$3&lt;&gt;Table5[[#This Row],[Type]],50,0))</f>
        <v>1513</v>
      </c>
      <c r="X540" s="71">
        <f>RANK(Table5[[#This Row],[zScore]],Table5[[#All],[zScore]])</f>
        <v>563</v>
      </c>
      <c r="Y540" s="68">
        <f>IFERROR(INDEX(DraftResults[[#All],[OVR]],MATCH(Table5[[#This Row],[PID]],DraftResults[[#All],[Player ID]],0)),"")</f>
        <v>656</v>
      </c>
      <c r="Z540" s="7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20</v>
      </c>
      <c r="AA540" s="68">
        <f>IFERROR(INDEX(DraftResults[[#All],[Pick in Round]],MATCH(Table5[[#This Row],[PID]],DraftResults[[#All],[Player ID]],0)),"")</f>
        <v>19</v>
      </c>
      <c r="AB540" s="68" t="str">
        <f>IFERROR(INDEX(DraftResults[[#All],[Team Name]],MATCH(Table5[[#This Row],[PID]],DraftResults[[#All],[Player ID]],0)),"")</f>
        <v>Fargo Dinosaurs</v>
      </c>
      <c r="AC540" s="68">
        <f>IF(Table5[[#This Row],[Ovr]]="","",IF(Table5[[#This Row],[cmbList]]="","",Table5[[#This Row],[cmbList]]-Table5[[#This Row],[Ovr]]))</f>
        <v>857</v>
      </c>
      <c r="AD540" s="74" t="str">
        <f>IF(ISERROR(VLOOKUP($AB540&amp;"-"&amp;$E540&amp;" "&amp;F540,Bonuses!$B$1:$G$1006,4,FALSE)),"",INT(VLOOKUP($AB540&amp;"-"&amp;$E540&amp;" "&amp;$F540,Bonuses!$B$1:$G$1006,4,FALSE)))</f>
        <v/>
      </c>
      <c r="AE540" s="68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20.19 (656) - 1B Arturo Rocha</v>
      </c>
    </row>
    <row r="541" spans="1:31" s="50" customFormat="1" x14ac:dyDescent="0.3">
      <c r="A541" s="50">
        <v>5077</v>
      </c>
      <c r="B541" s="50">
        <f>COUNTIF(Table5[PID],A541)</f>
        <v>1</v>
      </c>
      <c r="C541" s="50" t="str">
        <f>IF(COUNTIF(Table3[[#All],[PID]],A541)&gt;0,"P","B")</f>
        <v>P</v>
      </c>
      <c r="D541" s="59" t="str">
        <f>IF($C541="B",INDEX(Batters[[#All],[POS]],MATCH(Table5[[#This Row],[PID]],Batters[[#All],[PID]],0)),INDEX(Table3[[#All],[POS]],MATCH(Table5[[#This Row],[PID]],Table3[[#All],[PID]],0)))</f>
        <v>RP</v>
      </c>
      <c r="E541" s="52" t="str">
        <f>IF($C541="B",INDEX(Batters[[#All],[First]],MATCH(Table5[[#This Row],[PID]],Batters[[#All],[PID]],0)),INDEX(Table3[[#All],[First]],MATCH(Table5[[#This Row],[PID]],Table3[[#All],[PID]],0)))</f>
        <v>Bryan</v>
      </c>
      <c r="F541" s="50" t="str">
        <f>IF($C541="B",INDEX(Batters[[#All],[Last]],MATCH(A541,Batters[[#All],[PID]],0)),INDEX(Table3[[#All],[Last]],MATCH(A541,Table3[[#All],[PID]],0)))</f>
        <v>Montoya</v>
      </c>
      <c r="G541" s="56">
        <f>IF($C541="B",INDEX(Batters[[#All],[Age]],MATCH(Table5[[#This Row],[PID]],Batters[[#All],[PID]],0)),INDEX(Table3[[#All],[Age]],MATCH(Table5[[#This Row],[PID]],Table3[[#All],[PID]],0)))</f>
        <v>21</v>
      </c>
      <c r="H541" s="52" t="str">
        <f>IF($C541="B",INDEX(Batters[[#All],[B]],MATCH(Table5[[#This Row],[PID]],Batters[[#All],[PID]],0)),INDEX(Table3[[#All],[B]],MATCH(Table5[[#This Row],[PID]],Table3[[#All],[PID]],0)))</f>
        <v>R</v>
      </c>
      <c r="I541" s="52" t="str">
        <f>IF($C541="B",INDEX(Batters[[#All],[T]],MATCH(Table5[[#This Row],[PID]],Batters[[#All],[PID]],0)),INDEX(Table3[[#All],[T]],MATCH(Table5[[#This Row],[PID]],Table3[[#All],[PID]],0)))</f>
        <v>R</v>
      </c>
      <c r="J541" s="52" t="str">
        <f>IF($C541="B",INDEX(Batters[[#All],[WE]],MATCH(Table5[[#This Row],[PID]],Batters[[#All],[PID]],0)),INDEX(Table3[[#All],[WE]],MATCH(Table5[[#This Row],[PID]],Table3[[#All],[PID]],0)))</f>
        <v>Low</v>
      </c>
      <c r="K541" s="52" t="str">
        <f>IF($C541="B",INDEX(Batters[[#All],[INT]],MATCH(Table5[[#This Row],[PID]],Batters[[#All],[PID]],0)),INDEX(Table3[[#All],[INT]],MATCH(Table5[[#This Row],[PID]],Table3[[#All],[PID]],0)))</f>
        <v>Normal</v>
      </c>
      <c r="L541" s="60">
        <f>IF($C541="B",INDEX(Batters[[#All],[CON P]],MATCH(Table5[[#This Row],[PID]],Batters[[#All],[PID]],0)),INDEX(Table3[[#All],[STU P]],MATCH(Table5[[#This Row],[PID]],Table3[[#All],[PID]],0)))</f>
        <v>5</v>
      </c>
      <c r="M541" s="56">
        <f>IF($C541="B",INDEX(Batters[[#All],[GAP P]],MATCH(Table5[[#This Row],[PID]],Batters[[#All],[PID]],0)),INDEX(Table3[[#All],[MOV P]],MATCH(Table5[[#This Row],[PID]],Table3[[#All],[PID]],0)))</f>
        <v>3</v>
      </c>
      <c r="N541" s="56">
        <f>IF($C541="B",INDEX(Batters[[#All],[POW P]],MATCH(Table5[[#This Row],[PID]],Batters[[#All],[PID]],0)),INDEX(Table3[[#All],[CON P]],MATCH(Table5[[#This Row],[PID]],Table3[[#All],[PID]],0)))</f>
        <v>2</v>
      </c>
      <c r="O541" s="56" t="str">
        <f>IF($C541="B",INDEX(Batters[[#All],[EYE P]],MATCH(Table5[[#This Row],[PID]],Batters[[#All],[PID]],0)),INDEX(Table3[[#All],[VELO]],MATCH(Table5[[#This Row],[PID]],Table3[[#All],[PID]],0)))</f>
        <v>89-91 Mph</v>
      </c>
      <c r="P541" s="56">
        <f>IF($C541="B",INDEX(Batters[[#All],[K P]],MATCH(Table5[[#This Row],[PID]],Batters[[#All],[PID]],0)),INDEX(Table3[[#All],[STM]],MATCH(Table5[[#This Row],[PID]],Table3[[#All],[PID]],0)))</f>
        <v>9</v>
      </c>
      <c r="Q541" s="61">
        <f>IF($C541="B",INDEX(Batters[[#All],[Tot]],MATCH(Table5[[#This Row],[PID]],Batters[[#All],[PID]],0)),INDEX(Table3[[#All],[Tot]],MATCH(Table5[[#This Row],[PID]],Table3[[#All],[PID]],0)))</f>
        <v>32.106923955002102</v>
      </c>
      <c r="R541" s="52">
        <f>IF($C541="B",INDEX(Batters[[#All],[zScore]],MATCH(Table5[[#This Row],[PID]],Batters[[#All],[PID]],0)),INDEX(Table3[[#All],[zScore]],MATCH(Table5[[#This Row],[PID]],Table3[[#All],[PID]],0)))</f>
        <v>-0.40557095167570811</v>
      </c>
      <c r="S541" s="58" t="str">
        <f>IF($C541="B",INDEX(Batters[[#All],[DEM]],MATCH(Table5[[#This Row],[PID]],Batters[[#All],[PID]],0)),INDEX(Table3[[#All],[DEM]],MATCH(Table5[[#This Row],[PID]],Table3[[#All],[PID]],0)))</f>
        <v>-</v>
      </c>
      <c r="T541" s="62">
        <f>IF($C541="B",INDEX(Batters[[#All],[Rnk]],MATCH(Table5[[#This Row],[PID]],Batters[[#All],[PID]],0)),INDEX(Table3[[#All],[Rnk]],MATCH(Table5[[#This Row],[PID]],Table3[[#All],[PID]],0)))</f>
        <v>930</v>
      </c>
      <c r="U541" s="67">
        <f>IF($C541="B",VLOOKUP($A541,Bat!$A$4:$BA$1314,47,FALSE),VLOOKUP($A541,Pit!$A$4:$BF$1214,56,FALSE))</f>
        <v>316</v>
      </c>
      <c r="V541" s="50">
        <f>IF($C541="B",VLOOKUP($A541,Bat!$A$4:$BA$1314,48,FALSE),VLOOKUP($A541,Pit!$A$4:$BF$1214,57,FALSE))</f>
        <v>0</v>
      </c>
      <c r="W541" s="68">
        <f>IF(Table5[[#This Row],[posRnk]]=999,9999,Table5[[#This Row],[posRnk]]+Table5[[#This Row],[zRnk]]+IF($W$3&lt;&gt;Table5[[#This Row],[Type]],50,0))</f>
        <v>1463</v>
      </c>
      <c r="X541" s="51">
        <f>RANK(Table5[[#This Row],[zScore]],Table5[[#All],[zScore]])</f>
        <v>533</v>
      </c>
      <c r="Y541" s="50">
        <f>IFERROR(INDEX(DraftResults[[#All],[OVR]],MATCH(Table5[[#This Row],[PID]],DraftResults[[#All],[Player ID]],0)),"")</f>
        <v>412</v>
      </c>
      <c r="Z541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13</v>
      </c>
      <c r="AA541" s="50">
        <f>IFERROR(INDEX(DraftResults[[#All],[Pick in Round]],MATCH(Table5[[#This Row],[PID]],DraftResults[[#All],[Player ID]],0)),"")</f>
        <v>13</v>
      </c>
      <c r="AB541" s="50" t="str">
        <f>IFERROR(INDEX(DraftResults[[#All],[Team Name]],MATCH(Table5[[#This Row],[PID]],DraftResults[[#All],[Player ID]],0)),"")</f>
        <v>Scottish Claymores</v>
      </c>
      <c r="AC541" s="50">
        <f>IF(Table5[[#This Row],[Ovr]]="","",IF(Table5[[#This Row],[cmbList]]="","",Table5[[#This Row],[cmbList]]-Table5[[#This Row],[Ovr]]))</f>
        <v>1051</v>
      </c>
      <c r="AD541" s="54" t="str">
        <f>IF(ISERROR(VLOOKUP($AB541&amp;"-"&amp;$E541&amp;" "&amp;F541,Bonuses!$B$1:$G$1006,4,FALSE)),"",INT(VLOOKUP($AB541&amp;"-"&amp;$E541&amp;" "&amp;$F541,Bonuses!$B$1:$G$1006,4,FALSE)))</f>
        <v/>
      </c>
      <c r="AE541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13.13 (412) - RP Bryan Montoya</v>
      </c>
    </row>
    <row r="542" spans="1:31" s="50" customFormat="1" x14ac:dyDescent="0.3">
      <c r="A542" s="50">
        <v>20354</v>
      </c>
      <c r="B542" s="50">
        <f>COUNTIF(Table5[PID],A542)</f>
        <v>1</v>
      </c>
      <c r="C542" s="50" t="str">
        <f>IF(COUNTIF(Table3[[#All],[PID]],A542)&gt;0,"P","B")</f>
        <v>P</v>
      </c>
      <c r="D542" s="59" t="str">
        <f>IF($C542="B",INDEX(Batters[[#All],[POS]],MATCH(Table5[[#This Row],[PID]],Batters[[#All],[PID]],0)),INDEX(Table3[[#All],[POS]],MATCH(Table5[[#This Row],[PID]],Table3[[#All],[PID]],0)))</f>
        <v>RP</v>
      </c>
      <c r="E542" s="52" t="str">
        <f>IF($C542="B",INDEX(Batters[[#All],[First]],MATCH(Table5[[#This Row],[PID]],Batters[[#All],[PID]],0)),INDEX(Table3[[#All],[First]],MATCH(Table5[[#This Row],[PID]],Table3[[#All],[PID]],0)))</f>
        <v>Joe</v>
      </c>
      <c r="F542" s="50" t="str">
        <f>IF($C542="B",INDEX(Batters[[#All],[Last]],MATCH(A542,Batters[[#All],[PID]],0)),INDEX(Table3[[#All],[Last]],MATCH(A542,Table3[[#All],[PID]],0)))</f>
        <v>Hamilton</v>
      </c>
      <c r="G542" s="56">
        <f>IF($C542="B",INDEX(Batters[[#All],[Age]],MATCH(Table5[[#This Row],[PID]],Batters[[#All],[PID]],0)),INDEX(Table3[[#All],[Age]],MATCH(Table5[[#This Row],[PID]],Table3[[#All],[PID]],0)))</f>
        <v>17</v>
      </c>
      <c r="H542" s="52" t="str">
        <f>IF($C542="B",INDEX(Batters[[#All],[B]],MATCH(Table5[[#This Row],[PID]],Batters[[#All],[PID]],0)),INDEX(Table3[[#All],[B]],MATCH(Table5[[#This Row],[PID]],Table3[[#All],[PID]],0)))</f>
        <v>R</v>
      </c>
      <c r="I542" s="52" t="str">
        <f>IF($C542="B",INDEX(Batters[[#All],[T]],MATCH(Table5[[#This Row],[PID]],Batters[[#All],[PID]],0)),INDEX(Table3[[#All],[T]],MATCH(Table5[[#This Row],[PID]],Table3[[#All],[PID]],0)))</f>
        <v>R</v>
      </c>
      <c r="J542" s="52" t="str">
        <f>IF($C542="B",INDEX(Batters[[#All],[WE]],MATCH(Table5[[#This Row],[PID]],Batters[[#All],[PID]],0)),INDEX(Table3[[#All],[WE]],MATCH(Table5[[#This Row],[PID]],Table3[[#All],[PID]],0)))</f>
        <v>High</v>
      </c>
      <c r="K542" s="52" t="str">
        <f>IF($C542="B",INDEX(Batters[[#All],[INT]],MATCH(Table5[[#This Row],[PID]],Batters[[#All],[PID]],0)),INDEX(Table3[[#All],[INT]],MATCH(Table5[[#This Row],[PID]],Table3[[#All],[PID]],0)))</f>
        <v>Normal</v>
      </c>
      <c r="L542" s="60">
        <f>IF($C542="B",INDEX(Batters[[#All],[CON P]],MATCH(Table5[[#This Row],[PID]],Batters[[#All],[PID]],0)),INDEX(Table3[[#All],[STU P]],MATCH(Table5[[#This Row],[PID]],Table3[[#All],[PID]],0)))</f>
        <v>3</v>
      </c>
      <c r="M542" s="56">
        <f>IF($C542="B",INDEX(Batters[[#All],[GAP P]],MATCH(Table5[[#This Row],[PID]],Batters[[#All],[PID]],0)),INDEX(Table3[[#All],[MOV P]],MATCH(Table5[[#This Row],[PID]],Table3[[#All],[PID]],0)))</f>
        <v>1</v>
      </c>
      <c r="N542" s="56">
        <f>IF($C542="B",INDEX(Batters[[#All],[POW P]],MATCH(Table5[[#This Row],[PID]],Batters[[#All],[PID]],0)),INDEX(Table3[[#All],[CON P]],MATCH(Table5[[#This Row],[PID]],Table3[[#All],[PID]],0)))</f>
        <v>4</v>
      </c>
      <c r="O542" s="56" t="str">
        <f>IF($C542="B",INDEX(Batters[[#All],[EYE P]],MATCH(Table5[[#This Row],[PID]],Batters[[#All],[PID]],0)),INDEX(Table3[[#All],[VELO]],MATCH(Table5[[#This Row],[PID]],Table3[[#All],[PID]],0)))</f>
        <v>87-89 Mph</v>
      </c>
      <c r="P542" s="56">
        <f>IF($C542="B",INDEX(Batters[[#All],[K P]],MATCH(Table5[[#This Row],[PID]],Batters[[#All],[PID]],0)),INDEX(Table3[[#All],[STM]],MATCH(Table5[[#This Row],[PID]],Table3[[#All],[PID]],0)))</f>
        <v>6</v>
      </c>
      <c r="Q542" s="61">
        <f>IF($C542="B",INDEX(Batters[[#All],[Tot]],MATCH(Table5[[#This Row],[PID]],Batters[[#All],[PID]],0)),INDEX(Table3[[#All],[Tot]],MATCH(Table5[[#This Row],[PID]],Table3[[#All],[PID]],0)))</f>
        <v>31.050595150903568</v>
      </c>
      <c r="R542" s="52">
        <f>IF($C542="B",INDEX(Batters[[#All],[zScore]],MATCH(Table5[[#This Row],[PID]],Batters[[#All],[PID]],0)),INDEX(Table3[[#All],[zScore]],MATCH(Table5[[#This Row],[PID]],Table3[[#All],[PID]],0)))</f>
        <v>-0.48078899155382332</v>
      </c>
      <c r="S542" s="58" t="str">
        <f>IF($C542="B",INDEX(Batters[[#All],[DEM]],MATCH(Table5[[#This Row],[PID]],Batters[[#All],[PID]],0)),INDEX(Table3[[#All],[DEM]],MATCH(Table5[[#This Row],[PID]],Table3[[#All],[PID]],0)))</f>
        <v>$65k</v>
      </c>
      <c r="T542" s="62">
        <f>IF($C542="B",INDEX(Batters[[#All],[Rnk]],MATCH(Table5[[#This Row],[PID]],Batters[[#All],[PID]],0)),INDEX(Table3[[#All],[Rnk]],MATCH(Table5[[#This Row],[PID]],Table3[[#All],[PID]],0)))</f>
        <v>900</v>
      </c>
      <c r="U542" s="67">
        <f>IF($C542="B",VLOOKUP($A542,Bat!$A$4:$BA$1314,47,FALSE),VLOOKUP($A542,Pit!$A$4:$BF$1214,56,FALSE))</f>
        <v>181</v>
      </c>
      <c r="V542" s="50">
        <f>IF($C542="B",VLOOKUP($A542,Bat!$A$4:$BA$1314,48,FALSE),VLOOKUP($A542,Pit!$A$4:$BF$1214,57,FALSE))</f>
        <v>0</v>
      </c>
      <c r="W542" s="68">
        <f>IF(Table5[[#This Row],[posRnk]]=999,9999,Table5[[#This Row],[posRnk]]+Table5[[#This Row],[zRnk]]+IF($W$3&lt;&gt;Table5[[#This Row],[Type]],50,0))</f>
        <v>1464</v>
      </c>
      <c r="X542" s="51">
        <f>RANK(Table5[[#This Row],[zScore]],Table5[[#All],[zScore]])</f>
        <v>564</v>
      </c>
      <c r="Y542" s="50">
        <f>IFERROR(INDEX(DraftResults[[#All],[OVR]],MATCH(Table5[[#This Row],[PID]],DraftResults[[#All],[Player ID]],0)),"")</f>
        <v>636</v>
      </c>
      <c r="Z542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19</v>
      </c>
      <c r="AA542" s="50">
        <f>IFERROR(INDEX(DraftResults[[#All],[Pick in Round]],MATCH(Table5[[#This Row],[PID]],DraftResults[[#All],[Player ID]],0)),"")</f>
        <v>33</v>
      </c>
      <c r="AB542" s="50" t="str">
        <f>IFERROR(INDEX(DraftResults[[#All],[Team Name]],MATCH(Table5[[#This Row],[PID]],DraftResults[[#All],[Player ID]],0)),"")</f>
        <v>Gloucester Fishermen</v>
      </c>
      <c r="AC542" s="50">
        <f>IF(Table5[[#This Row],[Ovr]]="","",IF(Table5[[#This Row],[cmbList]]="","",Table5[[#This Row],[cmbList]]-Table5[[#This Row],[Ovr]]))</f>
        <v>828</v>
      </c>
      <c r="AD542" s="54" t="str">
        <f>IF(ISERROR(VLOOKUP($AB542&amp;"-"&amp;$E542&amp;" "&amp;F542,Bonuses!$B$1:$G$1006,4,FALSE)),"",INT(VLOOKUP($AB542&amp;"-"&amp;$E542&amp;" "&amp;$F542,Bonuses!$B$1:$G$1006,4,FALSE)))</f>
        <v/>
      </c>
      <c r="AE542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19.33 (636) - RP Joe Hamilton</v>
      </c>
    </row>
    <row r="543" spans="1:31" s="50" customFormat="1" x14ac:dyDescent="0.3">
      <c r="A543" s="67">
        <v>6889</v>
      </c>
      <c r="B543" s="68">
        <f>COUNTIF(Table5[PID],A543)</f>
        <v>1</v>
      </c>
      <c r="C543" s="68" t="str">
        <f>IF(COUNTIF(Table3[[#All],[PID]],A543)&gt;0,"P","B")</f>
        <v>P</v>
      </c>
      <c r="D543" s="59" t="str">
        <f>IF($C543="B",INDEX(Batters[[#All],[POS]],MATCH(Table5[[#This Row],[PID]],Batters[[#All],[PID]],0)),INDEX(Table3[[#All],[POS]],MATCH(Table5[[#This Row],[PID]],Table3[[#All],[PID]],0)))</f>
        <v>SP</v>
      </c>
      <c r="E543" s="52" t="str">
        <f>IF($C543="B",INDEX(Batters[[#All],[First]],MATCH(Table5[[#This Row],[PID]],Batters[[#All],[PID]],0)),INDEX(Table3[[#All],[First]],MATCH(Table5[[#This Row],[PID]],Table3[[#All],[PID]],0)))</f>
        <v>Bruce</v>
      </c>
      <c r="F543" s="55" t="str">
        <f>IF($C543="B",INDEX(Batters[[#All],[Last]],MATCH(A543,Batters[[#All],[PID]],0)),INDEX(Table3[[#All],[Last]],MATCH(A543,Table3[[#All],[PID]],0)))</f>
        <v>Prince</v>
      </c>
      <c r="G543" s="56">
        <f>IF($C543="B",INDEX(Batters[[#All],[Age]],MATCH(Table5[[#This Row],[PID]],Batters[[#All],[PID]],0)),INDEX(Table3[[#All],[Age]],MATCH(Table5[[#This Row],[PID]],Table3[[#All],[PID]],0)))</f>
        <v>21</v>
      </c>
      <c r="H543" s="52" t="str">
        <f>IF($C543="B",INDEX(Batters[[#All],[B]],MATCH(Table5[[#This Row],[PID]],Batters[[#All],[PID]],0)),INDEX(Table3[[#All],[B]],MATCH(Table5[[#This Row],[PID]],Table3[[#All],[PID]],0)))</f>
        <v>R</v>
      </c>
      <c r="I543" s="52" t="str">
        <f>IF($C543="B",INDEX(Batters[[#All],[T]],MATCH(Table5[[#This Row],[PID]],Batters[[#All],[PID]],0)),INDEX(Table3[[#All],[T]],MATCH(Table5[[#This Row],[PID]],Table3[[#All],[PID]],0)))</f>
        <v>R</v>
      </c>
      <c r="J543" s="69" t="str">
        <f>IF($C543="B",INDEX(Batters[[#All],[WE]],MATCH(Table5[[#This Row],[PID]],Batters[[#All],[PID]],0)),INDEX(Table3[[#All],[WE]],MATCH(Table5[[#This Row],[PID]],Table3[[#All],[PID]],0)))</f>
        <v>Low</v>
      </c>
      <c r="K543" s="52" t="str">
        <f>IF($C543="B",INDEX(Batters[[#All],[INT]],MATCH(Table5[[#This Row],[PID]],Batters[[#All],[PID]],0)),INDEX(Table3[[#All],[INT]],MATCH(Table5[[#This Row],[PID]],Table3[[#All],[PID]],0)))</f>
        <v>Normal</v>
      </c>
      <c r="L543" s="60">
        <f>IF($C543="B",INDEX(Batters[[#All],[CON P]],MATCH(Table5[[#This Row],[PID]],Batters[[#All],[PID]],0)),INDEX(Table3[[#All],[STU P]],MATCH(Table5[[#This Row],[PID]],Table3[[#All],[PID]],0)))</f>
        <v>4</v>
      </c>
      <c r="M543" s="70">
        <f>IF($C543="B",INDEX(Batters[[#All],[GAP P]],MATCH(Table5[[#This Row],[PID]],Batters[[#All],[PID]],0)),INDEX(Table3[[#All],[MOV P]],MATCH(Table5[[#This Row],[PID]],Table3[[#All],[PID]],0)))</f>
        <v>2</v>
      </c>
      <c r="N543" s="70">
        <f>IF($C543="B",INDEX(Batters[[#All],[POW P]],MATCH(Table5[[#This Row],[PID]],Batters[[#All],[PID]],0)),INDEX(Table3[[#All],[CON P]],MATCH(Table5[[#This Row],[PID]],Table3[[#All],[PID]],0)))</f>
        <v>3</v>
      </c>
      <c r="O543" s="70" t="str">
        <f>IF($C543="B",INDEX(Batters[[#All],[EYE P]],MATCH(Table5[[#This Row],[PID]],Batters[[#All],[PID]],0)),INDEX(Table3[[#All],[VELO]],MATCH(Table5[[#This Row],[PID]],Table3[[#All],[PID]],0)))</f>
        <v>91-93 Mph</v>
      </c>
      <c r="P543" s="56">
        <f>IF($C543="B",INDEX(Batters[[#All],[K P]],MATCH(Table5[[#This Row],[PID]],Batters[[#All],[PID]],0)),INDEX(Table3[[#All],[STM]],MATCH(Table5[[#This Row],[PID]],Table3[[#All],[PID]],0)))</f>
        <v>5</v>
      </c>
      <c r="Q543" s="61">
        <f>IF($C543="B",INDEX(Batters[[#All],[Tot]],MATCH(Table5[[#This Row],[PID]],Batters[[#All],[PID]],0)),INDEX(Table3[[#All],[Tot]],MATCH(Table5[[#This Row],[PID]],Table3[[#All],[PID]],0)))</f>
        <v>32.074355106247786</v>
      </c>
      <c r="R543" s="52">
        <f>IF($C543="B",INDEX(Batters[[#All],[zScore]],MATCH(Table5[[#This Row],[PID]],Batters[[#All],[PID]],0)),INDEX(Table3[[#All],[zScore]],MATCH(Table5[[#This Row],[PID]],Table3[[#All],[PID]],0)))</f>
        <v>-0.40789008275959165</v>
      </c>
      <c r="S543" s="75" t="str">
        <f>IF($C543="B",INDEX(Batters[[#All],[DEM]],MATCH(Table5[[#This Row],[PID]],Batters[[#All],[PID]],0)),INDEX(Table3[[#All],[DEM]],MATCH(Table5[[#This Row],[PID]],Table3[[#All],[PID]],0)))</f>
        <v>-</v>
      </c>
      <c r="T543" s="72">
        <f>IF($C543="B",INDEX(Batters[[#All],[Rnk]],MATCH(Table5[[#This Row],[PID]],Batters[[#All],[PID]],0)),INDEX(Table3[[#All],[Rnk]],MATCH(Table5[[#This Row],[PID]],Table3[[#All],[PID]],0)))</f>
        <v>930</v>
      </c>
      <c r="U543" s="67">
        <f>IF($C543="B",VLOOKUP($A543,Bat!$A$4:$BA$1314,47,FALSE),VLOOKUP($A543,Pit!$A$4:$BF$1214,56,FALSE))</f>
        <v>317</v>
      </c>
      <c r="V543" s="50">
        <f>IF($C543="B",VLOOKUP($A543,Bat!$A$4:$BA$1314,48,FALSE),VLOOKUP($A543,Pit!$A$4:$BF$1214,57,FALSE))</f>
        <v>0</v>
      </c>
      <c r="W543" s="68">
        <f>IF(Table5[[#This Row],[posRnk]]=999,9999,Table5[[#This Row],[posRnk]]+Table5[[#This Row],[zRnk]]+IF($W$3&lt;&gt;Table5[[#This Row],[Type]],50,0))</f>
        <v>1466</v>
      </c>
      <c r="X543" s="71">
        <f>RANK(Table5[[#This Row],[zScore]],Table5[[#All],[zScore]])</f>
        <v>536</v>
      </c>
      <c r="Y543" s="68">
        <f>IFERROR(INDEX(DraftResults[[#All],[OVR]],MATCH(Table5[[#This Row],[PID]],DraftResults[[#All],[Player ID]],0)),"")</f>
        <v>426</v>
      </c>
      <c r="Z543" s="7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13</v>
      </c>
      <c r="AA543" s="68">
        <f>IFERROR(INDEX(DraftResults[[#All],[Pick in Round]],MATCH(Table5[[#This Row],[PID]],DraftResults[[#All],[Player ID]],0)),"")</f>
        <v>27</v>
      </c>
      <c r="AB543" s="68" t="str">
        <f>IFERROR(INDEX(DraftResults[[#All],[Team Name]],MATCH(Table5[[#This Row],[PID]],DraftResults[[#All],[Player ID]],0)),"")</f>
        <v>Havana Leones</v>
      </c>
      <c r="AC543" s="68">
        <f>IF(Table5[[#This Row],[Ovr]]="","",IF(Table5[[#This Row],[cmbList]]="","",Table5[[#This Row],[cmbList]]-Table5[[#This Row],[Ovr]]))</f>
        <v>1040</v>
      </c>
      <c r="AD543" s="74" t="str">
        <f>IF(ISERROR(VLOOKUP($AB543&amp;"-"&amp;$E543&amp;" "&amp;F543,Bonuses!$B$1:$G$1006,4,FALSE)),"",INT(VLOOKUP($AB543&amp;"-"&amp;$E543&amp;" "&amp;$F543,Bonuses!$B$1:$G$1006,4,FALSE)))</f>
        <v/>
      </c>
      <c r="AE543" s="68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13.27 (426) - SP Bruce Prince</v>
      </c>
    </row>
    <row r="544" spans="1:31" s="50" customFormat="1" x14ac:dyDescent="0.3">
      <c r="A544" s="67">
        <v>20476</v>
      </c>
      <c r="B544" s="68">
        <f>COUNTIF(Table5[PID],A544)</f>
        <v>1</v>
      </c>
      <c r="C544" s="68" t="str">
        <f>IF(COUNTIF(Table3[[#All],[PID]],A544)&gt;0,"P","B")</f>
        <v>P</v>
      </c>
      <c r="D544" s="59" t="str">
        <f>IF($C544="B",INDEX(Batters[[#All],[POS]],MATCH(Table5[[#This Row],[PID]],Batters[[#All],[PID]],0)),INDEX(Table3[[#All],[POS]],MATCH(Table5[[#This Row],[PID]],Table3[[#All],[PID]],0)))</f>
        <v>RP</v>
      </c>
      <c r="E544" s="52" t="str">
        <f>IF($C544="B",INDEX(Batters[[#All],[First]],MATCH(Table5[[#This Row],[PID]],Batters[[#All],[PID]],0)),INDEX(Table3[[#All],[First]],MATCH(Table5[[#This Row],[PID]],Table3[[#All],[PID]],0)))</f>
        <v>Yukichi</v>
      </c>
      <c r="F544" s="55" t="str">
        <f>IF($C544="B",INDEX(Batters[[#All],[Last]],MATCH(A544,Batters[[#All],[PID]],0)),INDEX(Table3[[#All],[Last]],MATCH(A544,Table3[[#All],[PID]],0)))</f>
        <v>Ine</v>
      </c>
      <c r="G544" s="56">
        <f>IF($C544="B",INDEX(Batters[[#All],[Age]],MATCH(Table5[[#This Row],[PID]],Batters[[#All],[PID]],0)),INDEX(Table3[[#All],[Age]],MATCH(Table5[[#This Row],[PID]],Table3[[#All],[PID]],0)))</f>
        <v>17</v>
      </c>
      <c r="H544" s="52" t="str">
        <f>IF($C544="B",INDEX(Batters[[#All],[B]],MATCH(Table5[[#This Row],[PID]],Batters[[#All],[PID]],0)),INDEX(Table3[[#All],[B]],MATCH(Table5[[#This Row],[PID]],Table3[[#All],[PID]],0)))</f>
        <v>R</v>
      </c>
      <c r="I544" s="52" t="str">
        <f>IF($C544="B",INDEX(Batters[[#All],[T]],MATCH(Table5[[#This Row],[PID]],Batters[[#All],[PID]],0)),INDEX(Table3[[#All],[T]],MATCH(Table5[[#This Row],[PID]],Table3[[#All],[PID]],0)))</f>
        <v>R</v>
      </c>
      <c r="J544" s="69" t="str">
        <f>IF($C544="B",INDEX(Batters[[#All],[WE]],MATCH(Table5[[#This Row],[PID]],Batters[[#All],[PID]],0)),INDEX(Table3[[#All],[WE]],MATCH(Table5[[#This Row],[PID]],Table3[[#All],[PID]],0)))</f>
        <v>Normal</v>
      </c>
      <c r="K544" s="52" t="str">
        <f>IF($C544="B",INDEX(Batters[[#All],[INT]],MATCH(Table5[[#This Row],[PID]],Batters[[#All],[PID]],0)),INDEX(Table3[[#All],[INT]],MATCH(Table5[[#This Row],[PID]],Table3[[#All],[PID]],0)))</f>
        <v>Normal</v>
      </c>
      <c r="L544" s="60">
        <f>IF($C544="B",INDEX(Batters[[#All],[CON P]],MATCH(Table5[[#This Row],[PID]],Batters[[#All],[PID]],0)),INDEX(Table3[[#All],[STU P]],MATCH(Table5[[#This Row],[PID]],Table3[[#All],[PID]],0)))</f>
        <v>4</v>
      </c>
      <c r="M544" s="70">
        <f>IF($C544="B",INDEX(Batters[[#All],[GAP P]],MATCH(Table5[[#This Row],[PID]],Batters[[#All],[PID]],0)),INDEX(Table3[[#All],[MOV P]],MATCH(Table5[[#This Row],[PID]],Table3[[#All],[PID]],0)))</f>
        <v>1</v>
      </c>
      <c r="N544" s="70">
        <f>IF($C544="B",INDEX(Batters[[#All],[POW P]],MATCH(Table5[[#This Row],[PID]],Batters[[#All],[PID]],0)),INDEX(Table3[[#All],[CON P]],MATCH(Table5[[#This Row],[PID]],Table3[[#All],[PID]],0)))</f>
        <v>3</v>
      </c>
      <c r="O544" s="70" t="str">
        <f>IF($C544="B",INDEX(Batters[[#All],[EYE P]],MATCH(Table5[[#This Row],[PID]],Batters[[#All],[PID]],0)),INDEX(Table3[[#All],[VELO]],MATCH(Table5[[#This Row],[PID]],Table3[[#All],[PID]],0)))</f>
        <v>89-91 Mph</v>
      </c>
      <c r="P544" s="56">
        <f>IF($C544="B",INDEX(Batters[[#All],[K P]],MATCH(Table5[[#This Row],[PID]],Batters[[#All],[PID]],0)),INDEX(Table3[[#All],[STM]],MATCH(Table5[[#This Row],[PID]],Table3[[#All],[PID]],0)))</f>
        <v>8</v>
      </c>
      <c r="Q544" s="61">
        <f>IF($C544="B",INDEX(Batters[[#All],[Tot]],MATCH(Table5[[#This Row],[PID]],Batters[[#All],[PID]],0)),INDEX(Table3[[#All],[Tot]],MATCH(Table5[[#This Row],[PID]],Table3[[#All],[PID]],0)))</f>
        <v>30.853153785412609</v>
      </c>
      <c r="R544" s="52">
        <f>IF($C544="B",INDEX(Batters[[#All],[zScore]],MATCH(Table5[[#This Row],[PID]],Batters[[#All],[PID]],0)),INDEX(Table3[[#All],[zScore]],MATCH(Table5[[#This Row],[PID]],Table3[[#All],[PID]],0)))</f>
        <v>-0.48817800678658241</v>
      </c>
      <c r="S544" s="75" t="str">
        <f>IF($C544="B",INDEX(Batters[[#All],[DEM]],MATCH(Table5[[#This Row],[PID]],Batters[[#All],[PID]],0)),INDEX(Table3[[#All],[DEM]],MATCH(Table5[[#This Row],[PID]],Table3[[#All],[PID]],0)))</f>
        <v>$95k</v>
      </c>
      <c r="T544" s="72">
        <f>IF($C544="B",INDEX(Batters[[#All],[Rnk]],MATCH(Table5[[#This Row],[PID]],Batters[[#All],[PID]],0)),INDEX(Table3[[#All],[Rnk]],MATCH(Table5[[#This Row],[PID]],Table3[[#All],[PID]],0)))</f>
        <v>900</v>
      </c>
      <c r="U544" s="67">
        <f>IF($C544="B",VLOOKUP($A544,Bat!$A$4:$BA$1314,47,FALSE),VLOOKUP($A544,Pit!$A$4:$BF$1214,56,FALSE))</f>
        <v>189</v>
      </c>
      <c r="V544" s="50">
        <f>IF($C544="B",VLOOKUP($A544,Bat!$A$4:$BA$1314,48,FALSE),VLOOKUP($A544,Pit!$A$4:$BF$1214,57,FALSE))</f>
        <v>0</v>
      </c>
      <c r="W544" s="68">
        <f>IF(Table5[[#This Row],[posRnk]]=999,9999,Table5[[#This Row],[posRnk]]+Table5[[#This Row],[zRnk]]+IF($W$3&lt;&gt;Table5[[#This Row],[Type]],50,0))</f>
        <v>1467</v>
      </c>
      <c r="X544" s="71">
        <f>RANK(Table5[[#This Row],[zScore]],Table5[[#All],[zScore]])</f>
        <v>567</v>
      </c>
      <c r="Y544" s="68">
        <f>IFERROR(INDEX(DraftResults[[#All],[OVR]],MATCH(Table5[[#This Row],[PID]],DraftResults[[#All],[Player ID]],0)),"")</f>
        <v>606</v>
      </c>
      <c r="Z544" s="7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19</v>
      </c>
      <c r="AA544" s="68">
        <f>IFERROR(INDEX(DraftResults[[#All],[Pick in Round]],MATCH(Table5[[#This Row],[PID]],DraftResults[[#All],[Player ID]],0)),"")</f>
        <v>3</v>
      </c>
      <c r="AB544" s="68" t="str">
        <f>IFERROR(INDEX(DraftResults[[#All],[Team Name]],MATCH(Table5[[#This Row],[PID]],DraftResults[[#All],[Player ID]],0)),"")</f>
        <v>Okinawa Shisa</v>
      </c>
      <c r="AC544" s="68">
        <f>IF(Table5[[#This Row],[Ovr]]="","",IF(Table5[[#This Row],[cmbList]]="","",Table5[[#This Row],[cmbList]]-Table5[[#This Row],[Ovr]]))</f>
        <v>861</v>
      </c>
      <c r="AD544" s="74" t="str">
        <f>IF(ISERROR(VLOOKUP($AB544&amp;"-"&amp;$E544&amp;" "&amp;F544,Bonuses!$B$1:$G$1006,4,FALSE)),"",INT(VLOOKUP($AB544&amp;"-"&amp;$E544&amp;" "&amp;$F544,Bonuses!$B$1:$G$1006,4,FALSE)))</f>
        <v/>
      </c>
      <c r="AE544" s="68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19.3 (606) - RP Yukichi Ine</v>
      </c>
    </row>
    <row r="545" spans="1:31" s="50" customFormat="1" x14ac:dyDescent="0.3">
      <c r="A545" s="50">
        <v>7716</v>
      </c>
      <c r="B545" s="55">
        <f>COUNTIF(Table5[PID],A545)</f>
        <v>1</v>
      </c>
      <c r="C545" s="55" t="str">
        <f>IF(COUNTIF(Table3[[#All],[PID]],A545)&gt;0,"P","B")</f>
        <v>B</v>
      </c>
      <c r="D545" s="59" t="str">
        <f>IF($C545="B",INDEX(Batters[[#All],[POS]],MATCH(Table5[[#This Row],[PID]],Batters[[#All],[PID]],0)),INDEX(Table3[[#All],[POS]],MATCH(Table5[[#This Row],[PID]],Table3[[#All],[PID]],0)))</f>
        <v>SS</v>
      </c>
      <c r="E545" s="52" t="str">
        <f>IF($C545="B",INDEX(Batters[[#All],[First]],MATCH(Table5[[#This Row],[PID]],Batters[[#All],[PID]],0)),INDEX(Table3[[#All],[First]],MATCH(Table5[[#This Row],[PID]],Table3[[#All],[PID]],0)))</f>
        <v>Bernard</v>
      </c>
      <c r="F545" s="50" t="str">
        <f>IF($C545="B",INDEX(Batters[[#All],[Last]],MATCH(A545,Batters[[#All],[PID]],0)),INDEX(Table3[[#All],[Last]],MATCH(A545,Table3[[#All],[PID]],0)))</f>
        <v>McIntosh</v>
      </c>
      <c r="G545" s="56">
        <f>IF($C545="B",INDEX(Batters[[#All],[Age]],MATCH(Table5[[#This Row],[PID]],Batters[[#All],[PID]],0)),INDEX(Table3[[#All],[Age]],MATCH(Table5[[#This Row],[PID]],Table3[[#All],[PID]],0)))</f>
        <v>21</v>
      </c>
      <c r="H545" s="52" t="str">
        <f>IF($C545="B",INDEX(Batters[[#All],[B]],MATCH(Table5[[#This Row],[PID]],Batters[[#All],[PID]],0)),INDEX(Table3[[#All],[B]],MATCH(Table5[[#This Row],[PID]],Table3[[#All],[PID]],0)))</f>
        <v>R</v>
      </c>
      <c r="I545" s="52" t="str">
        <f>IF($C545="B",INDEX(Batters[[#All],[T]],MATCH(Table5[[#This Row],[PID]],Batters[[#All],[PID]],0)),INDEX(Table3[[#All],[T]],MATCH(Table5[[#This Row],[PID]],Table3[[#All],[PID]],0)))</f>
        <v>R</v>
      </c>
      <c r="J545" s="52" t="str">
        <f>IF($C545="B",INDEX(Batters[[#All],[WE]],MATCH(Table5[[#This Row],[PID]],Batters[[#All],[PID]],0)),INDEX(Table3[[#All],[WE]],MATCH(Table5[[#This Row],[PID]],Table3[[#All],[PID]],0)))</f>
        <v>Low</v>
      </c>
      <c r="K545" s="52" t="str">
        <f>IF($C545="B",INDEX(Batters[[#All],[INT]],MATCH(Table5[[#This Row],[PID]],Batters[[#All],[PID]],0)),INDEX(Table3[[#All],[INT]],MATCH(Table5[[#This Row],[PID]],Table3[[#All],[PID]],0)))</f>
        <v>Low</v>
      </c>
      <c r="L545" s="60">
        <f>IF($C545="B",INDEX(Batters[[#All],[CON P]],MATCH(Table5[[#This Row],[PID]],Batters[[#All],[PID]],0)),INDEX(Table3[[#All],[STU P]],MATCH(Table5[[#This Row],[PID]],Table3[[#All],[PID]],0)))</f>
        <v>4</v>
      </c>
      <c r="M545" s="56">
        <f>IF($C545="B",INDEX(Batters[[#All],[GAP P]],MATCH(Table5[[#This Row],[PID]],Batters[[#All],[PID]],0)),INDEX(Table3[[#All],[MOV P]],MATCH(Table5[[#This Row],[PID]],Table3[[#All],[PID]],0)))</f>
        <v>4</v>
      </c>
      <c r="N545" s="56">
        <f>IF($C545="B",INDEX(Batters[[#All],[POW P]],MATCH(Table5[[#This Row],[PID]],Batters[[#All],[PID]],0)),INDEX(Table3[[#All],[CON P]],MATCH(Table5[[#This Row],[PID]],Table3[[#All],[PID]],0)))</f>
        <v>3</v>
      </c>
      <c r="O545" s="56">
        <f>IF($C545="B",INDEX(Batters[[#All],[EYE P]],MATCH(Table5[[#This Row],[PID]],Batters[[#All],[PID]],0)),INDEX(Table3[[#All],[VELO]],MATCH(Table5[[#This Row],[PID]],Table3[[#All],[PID]],0)))</f>
        <v>4</v>
      </c>
      <c r="P545" s="56">
        <f>IF($C545="B",INDEX(Batters[[#All],[K P]],MATCH(Table5[[#This Row],[PID]],Batters[[#All],[PID]],0)),INDEX(Table3[[#All],[STM]],MATCH(Table5[[#This Row],[PID]],Table3[[#All],[PID]],0)))</f>
        <v>6</v>
      </c>
      <c r="Q545" s="61">
        <f>IF($C545="B",INDEX(Batters[[#All],[Tot]],MATCH(Table5[[#This Row],[PID]],Batters[[#All],[PID]],0)),INDEX(Table3[[#All],[Tot]],MATCH(Table5[[#This Row],[PID]],Table3[[#All],[PID]],0)))</f>
        <v>40.697441059418281</v>
      </c>
      <c r="R545" s="52">
        <f>IF($C545="B",INDEX(Batters[[#All],[zScore]],MATCH(Table5[[#This Row],[PID]],Batters[[#All],[PID]],0)),INDEX(Table3[[#All],[zScore]],MATCH(Table5[[#This Row],[PID]],Table3[[#All],[PID]],0)))</f>
        <v>-0.36799282970055841</v>
      </c>
      <c r="S545" s="58" t="str">
        <f>IF($C545="B",INDEX(Batters[[#All],[DEM]],MATCH(Table5[[#This Row],[PID]],Batters[[#All],[PID]],0)),INDEX(Table3[[#All],[DEM]],MATCH(Table5[[#This Row],[PID]],Table3[[#All],[PID]],0)))</f>
        <v>$36k</v>
      </c>
      <c r="T545" s="62">
        <f>IF($C545="B",INDEX(Batters[[#All],[Rnk]],MATCH(Table5[[#This Row],[PID]],Batters[[#All],[PID]],0)),INDEX(Table3[[#All],[Rnk]],MATCH(Table5[[#This Row],[PID]],Table3[[#All],[PID]],0)))</f>
        <v>950</v>
      </c>
      <c r="U545" s="67">
        <f>IF($C545="B",VLOOKUP($A545,Bat!$A$4:$BA$1314,47,FALSE),VLOOKUP($A545,Pit!$A$4:$BF$1214,56,FALSE))</f>
        <v>437</v>
      </c>
      <c r="V545" s="50">
        <f>IF($C545="B",VLOOKUP($A545,Bat!$A$4:$BA$1314,48,FALSE),VLOOKUP($A545,Pit!$A$4:$BF$1214,57,FALSE))</f>
        <v>0</v>
      </c>
      <c r="W545" s="68">
        <f>IF(Table5[[#This Row],[posRnk]]=999,9999,Table5[[#This Row],[posRnk]]+Table5[[#This Row],[zRnk]]+IF($W$3&lt;&gt;Table5[[#This Row],[Type]],50,0))</f>
        <v>1518</v>
      </c>
      <c r="X545" s="51">
        <f>RANK(Table5[[#This Row],[zScore]],Table5[[#All],[zScore]])</f>
        <v>518</v>
      </c>
      <c r="Y545" s="50">
        <f>IFERROR(INDEX(DraftResults[[#All],[OVR]],MATCH(Table5[[#This Row],[PID]],DraftResults[[#All],[Player ID]],0)),"")</f>
        <v>167</v>
      </c>
      <c r="Z545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5</v>
      </c>
      <c r="AA545" s="50">
        <f>IFERROR(INDEX(DraftResults[[#All],[Pick in Round]],MATCH(Table5[[#This Row],[PID]],DraftResults[[#All],[Player ID]],0)),"")</f>
        <v>30</v>
      </c>
      <c r="AB545" s="50" t="str">
        <f>IFERROR(INDEX(DraftResults[[#All],[Team Name]],MATCH(Table5[[#This Row],[PID]],DraftResults[[#All],[Player ID]],0)),"")</f>
        <v>Toyama Wind Dancers</v>
      </c>
      <c r="AC545" s="50">
        <f>IF(Table5[[#This Row],[Ovr]]="","",IF(Table5[[#This Row],[cmbList]]="","",Table5[[#This Row],[cmbList]]-Table5[[#This Row],[Ovr]]))</f>
        <v>1351</v>
      </c>
      <c r="AD545" s="54" t="str">
        <f>IF(ISERROR(VLOOKUP($AB545&amp;"-"&amp;$E545&amp;" "&amp;F545,Bonuses!$B$1:$G$1006,4,FALSE)),"",INT(VLOOKUP($AB545&amp;"-"&amp;$E545&amp;" "&amp;$F545,Bonuses!$B$1:$G$1006,4,FALSE)))</f>
        <v/>
      </c>
      <c r="AE545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5.30 (167) - SS Bernard McIntosh</v>
      </c>
    </row>
    <row r="546" spans="1:31" s="50" customFormat="1" x14ac:dyDescent="0.3">
      <c r="A546" s="50">
        <v>15581</v>
      </c>
      <c r="B546" s="50">
        <f>COUNTIF(Table5[PID],A546)</f>
        <v>1</v>
      </c>
      <c r="C546" s="50" t="str">
        <f>IF(COUNTIF(Table3[[#All],[PID]],A546)&gt;0,"P","B")</f>
        <v>P</v>
      </c>
      <c r="D546" s="59" t="str">
        <f>IF($C546="B",INDEX(Batters[[#All],[POS]],MATCH(Table5[[#This Row],[PID]],Batters[[#All],[PID]],0)),INDEX(Table3[[#All],[POS]],MATCH(Table5[[#This Row],[PID]],Table3[[#All],[PID]],0)))</f>
        <v>RP</v>
      </c>
      <c r="E546" s="52" t="str">
        <f>IF($C546="B",INDEX(Batters[[#All],[First]],MATCH(Table5[[#This Row],[PID]],Batters[[#All],[PID]],0)),INDEX(Table3[[#All],[First]],MATCH(Table5[[#This Row],[PID]],Table3[[#All],[PID]],0)))</f>
        <v>Toki</v>
      </c>
      <c r="F546" s="50" t="str">
        <f>IF($C546="B",INDEX(Batters[[#All],[Last]],MATCH(A546,Batters[[#All],[PID]],0)),INDEX(Table3[[#All],[Last]],MATCH(A546,Table3[[#All],[PID]],0)))</f>
        <v>Imai</v>
      </c>
      <c r="G546" s="56">
        <f>IF($C546="B",INDEX(Batters[[#All],[Age]],MATCH(Table5[[#This Row],[PID]],Batters[[#All],[PID]],0)),INDEX(Table3[[#All],[Age]],MATCH(Table5[[#This Row],[PID]],Table3[[#All],[PID]],0)))</f>
        <v>21</v>
      </c>
      <c r="H546" s="52" t="str">
        <f>IF($C546="B",INDEX(Batters[[#All],[B]],MATCH(Table5[[#This Row],[PID]],Batters[[#All],[PID]],0)),INDEX(Table3[[#All],[B]],MATCH(Table5[[#This Row],[PID]],Table3[[#All],[PID]],0)))</f>
        <v>R</v>
      </c>
      <c r="I546" s="52" t="str">
        <f>IF($C546="B",INDEX(Batters[[#All],[T]],MATCH(Table5[[#This Row],[PID]],Batters[[#All],[PID]],0)),INDEX(Table3[[#All],[T]],MATCH(Table5[[#This Row],[PID]],Table3[[#All],[PID]],0)))</f>
        <v>R</v>
      </c>
      <c r="J546" s="52" t="str">
        <f>IF($C546="B",INDEX(Batters[[#All],[WE]],MATCH(Table5[[#This Row],[PID]],Batters[[#All],[PID]],0)),INDEX(Table3[[#All],[WE]],MATCH(Table5[[#This Row],[PID]],Table3[[#All],[PID]],0)))</f>
        <v>Normal</v>
      </c>
      <c r="K546" s="52" t="str">
        <f>IF($C546="B",INDEX(Batters[[#All],[INT]],MATCH(Table5[[#This Row],[PID]],Batters[[#All],[PID]],0)),INDEX(Table3[[#All],[INT]],MATCH(Table5[[#This Row],[PID]],Table3[[#All],[PID]],0)))</f>
        <v>Normal</v>
      </c>
      <c r="L546" s="60">
        <f>IF($C546="B",INDEX(Batters[[#All],[CON P]],MATCH(Table5[[#This Row],[PID]],Batters[[#All],[PID]],0)),INDEX(Table3[[#All],[STU P]],MATCH(Table5[[#This Row],[PID]],Table3[[#All],[PID]],0)))</f>
        <v>5</v>
      </c>
      <c r="M546" s="56">
        <f>IF($C546="B",INDEX(Batters[[#All],[GAP P]],MATCH(Table5[[#This Row],[PID]],Batters[[#All],[PID]],0)),INDEX(Table3[[#All],[MOV P]],MATCH(Table5[[#This Row],[PID]],Table3[[#All],[PID]],0)))</f>
        <v>1</v>
      </c>
      <c r="N546" s="56">
        <f>IF($C546="B",INDEX(Batters[[#All],[POW P]],MATCH(Table5[[#This Row],[PID]],Batters[[#All],[PID]],0)),INDEX(Table3[[#All],[CON P]],MATCH(Table5[[#This Row],[PID]],Table3[[#All],[PID]],0)))</f>
        <v>3</v>
      </c>
      <c r="O546" s="56" t="str">
        <f>IF($C546="B",INDEX(Batters[[#All],[EYE P]],MATCH(Table5[[#This Row],[PID]],Batters[[#All],[PID]],0)),INDEX(Table3[[#All],[VELO]],MATCH(Table5[[#This Row],[PID]],Table3[[#All],[PID]],0)))</f>
        <v>92-94 Mph</v>
      </c>
      <c r="P546" s="56">
        <f>IF($C546="B",INDEX(Batters[[#All],[K P]],MATCH(Table5[[#This Row],[PID]],Batters[[#All],[PID]],0)),INDEX(Table3[[#All],[STM]],MATCH(Table5[[#This Row],[PID]],Table3[[#All],[PID]],0)))</f>
        <v>4</v>
      </c>
      <c r="Q546" s="61">
        <f>IF($C546="B",INDEX(Batters[[#All],[Tot]],MATCH(Table5[[#This Row],[PID]],Batters[[#All],[PID]],0)),INDEX(Table3[[#All],[Tot]],MATCH(Table5[[#This Row],[PID]],Table3[[#All],[PID]],0)))</f>
        <v>30.772154872680044</v>
      </c>
      <c r="R546" s="52">
        <f>IF($C546="B",INDEX(Batters[[#All],[zScore]],MATCH(Table5[[#This Row],[PID]],Batters[[#All],[PID]],0)),INDEX(Table3[[#All],[zScore]],MATCH(Table5[[#This Row],[PID]],Table3[[#All],[PID]],0)))</f>
        <v>-0.50061589759844627</v>
      </c>
      <c r="S546" s="58" t="str">
        <f>IF($C546="B",INDEX(Batters[[#All],[DEM]],MATCH(Table5[[#This Row],[PID]],Batters[[#All],[PID]],0)),INDEX(Table3[[#All],[DEM]],MATCH(Table5[[#This Row],[PID]],Table3[[#All],[PID]],0)))</f>
        <v>-</v>
      </c>
      <c r="T546" s="62">
        <f>IF($C546="B",INDEX(Batters[[#All],[Rnk]],MATCH(Table5[[#This Row],[PID]],Batters[[#All],[PID]],0)),INDEX(Table3[[#All],[Rnk]],MATCH(Table5[[#This Row],[PID]],Table3[[#All],[PID]],0)))</f>
        <v>900</v>
      </c>
      <c r="U546" s="67">
        <f>IF($C546="B",VLOOKUP($A546,Bat!$A$4:$BA$1314,47,FALSE),VLOOKUP($A546,Pit!$A$4:$BF$1214,56,FALSE))</f>
        <v>191</v>
      </c>
      <c r="V546" s="50">
        <f>IF($C546="B",VLOOKUP($A546,Bat!$A$4:$BA$1314,48,FALSE),VLOOKUP($A546,Pit!$A$4:$BF$1214,57,FALSE))</f>
        <v>0</v>
      </c>
      <c r="W546" s="68">
        <f>IF(Table5[[#This Row],[posRnk]]=999,9999,Table5[[#This Row],[posRnk]]+Table5[[#This Row],[zRnk]]+IF($W$3&lt;&gt;Table5[[#This Row],[Type]],50,0))</f>
        <v>1470</v>
      </c>
      <c r="X546" s="51">
        <f>RANK(Table5[[#This Row],[zScore]],Table5[[#All],[zScore]])</f>
        <v>570</v>
      </c>
      <c r="Y546" s="50" t="str">
        <f>IFERROR(INDEX(DraftResults[[#All],[OVR]],MATCH(Table5[[#This Row],[PID]],DraftResults[[#All],[Player ID]],0)),"")</f>
        <v/>
      </c>
      <c r="Z546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/>
      </c>
      <c r="AA546" s="50" t="str">
        <f>IFERROR(INDEX(DraftResults[[#All],[Pick in Round]],MATCH(Table5[[#This Row],[PID]],DraftResults[[#All],[Player ID]],0)),"")</f>
        <v/>
      </c>
      <c r="AB546" s="50" t="str">
        <f>IFERROR(INDEX(DraftResults[[#All],[Team Name]],MATCH(Table5[[#This Row],[PID]],DraftResults[[#All],[Player ID]],0)),"")</f>
        <v/>
      </c>
      <c r="AC546" s="50" t="str">
        <f>IF(Table5[[#This Row],[Ovr]]="","",IF(Table5[[#This Row],[cmbList]]="","",Table5[[#This Row],[cmbList]]-Table5[[#This Row],[Ovr]]))</f>
        <v/>
      </c>
      <c r="AD546" s="54" t="str">
        <f>IF(ISERROR(VLOOKUP($AB546&amp;"-"&amp;$E546&amp;" "&amp;F546,Bonuses!$B$1:$G$1006,4,FALSE)),"",INT(VLOOKUP($AB546&amp;"-"&amp;$E546&amp;" "&amp;$F546,Bonuses!$B$1:$G$1006,4,FALSE)))</f>
        <v/>
      </c>
      <c r="AE546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/>
      </c>
    </row>
    <row r="547" spans="1:31" s="50" customFormat="1" x14ac:dyDescent="0.3">
      <c r="A547" s="50">
        <v>15605</v>
      </c>
      <c r="B547" s="50">
        <f>COUNTIF(Table5[PID],A547)</f>
        <v>1</v>
      </c>
      <c r="C547" s="50" t="str">
        <f>IF(COUNTIF(Table3[[#All],[PID]],A547)&gt;0,"P","B")</f>
        <v>B</v>
      </c>
      <c r="D547" s="59" t="str">
        <f>IF($C547="B",INDEX(Batters[[#All],[POS]],MATCH(Table5[[#This Row],[PID]],Batters[[#All],[PID]],0)),INDEX(Table3[[#All],[POS]],MATCH(Table5[[#This Row],[PID]],Table3[[#All],[PID]],0)))</f>
        <v>1B</v>
      </c>
      <c r="E547" s="52" t="str">
        <f>IF($C547="B",INDEX(Batters[[#All],[First]],MATCH(Table5[[#This Row],[PID]],Batters[[#All],[PID]],0)),INDEX(Table3[[#All],[First]],MATCH(Table5[[#This Row],[PID]],Table3[[#All],[PID]],0)))</f>
        <v>Kawanari</v>
      </c>
      <c r="F547" s="50" t="str">
        <f>IF($C547="B",INDEX(Batters[[#All],[Last]],MATCH(A547,Batters[[#All],[PID]],0)),INDEX(Table3[[#All],[Last]],MATCH(A547,Table3[[#All],[PID]],0)))</f>
        <v>Katayama</v>
      </c>
      <c r="G547" s="56">
        <f>IF($C547="B",INDEX(Batters[[#All],[Age]],MATCH(Table5[[#This Row],[PID]],Batters[[#All],[PID]],0)),INDEX(Table3[[#All],[Age]],MATCH(Table5[[#This Row],[PID]],Table3[[#All],[PID]],0)))</f>
        <v>22</v>
      </c>
      <c r="H547" s="52" t="str">
        <f>IF($C547="B",INDEX(Batters[[#All],[B]],MATCH(Table5[[#This Row],[PID]],Batters[[#All],[PID]],0)),INDEX(Table3[[#All],[B]],MATCH(Table5[[#This Row],[PID]],Table3[[#All],[PID]],0)))</f>
        <v>L</v>
      </c>
      <c r="I547" s="52" t="str">
        <f>IF($C547="B",INDEX(Batters[[#All],[T]],MATCH(Table5[[#This Row],[PID]],Batters[[#All],[PID]],0)),INDEX(Table3[[#All],[T]],MATCH(Table5[[#This Row],[PID]],Table3[[#All],[PID]],0)))</f>
        <v>L</v>
      </c>
      <c r="J547" s="52" t="str">
        <f>IF($C547="B",INDEX(Batters[[#All],[WE]],MATCH(Table5[[#This Row],[PID]],Batters[[#All],[PID]],0)),INDEX(Table3[[#All],[WE]],MATCH(Table5[[#This Row],[PID]],Table3[[#All],[PID]],0)))</f>
        <v>Normal</v>
      </c>
      <c r="K547" s="52" t="str">
        <f>IF($C547="B",INDEX(Batters[[#All],[INT]],MATCH(Table5[[#This Row],[PID]],Batters[[#All],[PID]],0)),INDEX(Table3[[#All],[INT]],MATCH(Table5[[#This Row],[PID]],Table3[[#All],[PID]],0)))</f>
        <v>Normal</v>
      </c>
      <c r="L547" s="60">
        <f>IF($C547="B",INDEX(Batters[[#All],[CON P]],MATCH(Table5[[#This Row],[PID]],Batters[[#All],[PID]],0)),INDEX(Table3[[#All],[STU P]],MATCH(Table5[[#This Row],[PID]],Table3[[#All],[PID]],0)))</f>
        <v>3</v>
      </c>
      <c r="M547" s="56">
        <f>IF($C547="B",INDEX(Batters[[#All],[GAP P]],MATCH(Table5[[#This Row],[PID]],Batters[[#All],[PID]],0)),INDEX(Table3[[#All],[MOV P]],MATCH(Table5[[#This Row],[PID]],Table3[[#All],[PID]],0)))</f>
        <v>6</v>
      </c>
      <c r="N547" s="56">
        <f>IF($C547="B",INDEX(Batters[[#All],[POW P]],MATCH(Table5[[#This Row],[PID]],Batters[[#All],[PID]],0)),INDEX(Table3[[#All],[CON P]],MATCH(Table5[[#This Row],[PID]],Table3[[#All],[PID]],0)))</f>
        <v>5</v>
      </c>
      <c r="O547" s="56">
        <f>IF($C547="B",INDEX(Batters[[#All],[EYE P]],MATCH(Table5[[#This Row],[PID]],Batters[[#All],[PID]],0)),INDEX(Table3[[#All],[VELO]],MATCH(Table5[[#This Row],[PID]],Table3[[#All],[PID]],0)))</f>
        <v>5</v>
      </c>
      <c r="P547" s="56">
        <f>IF($C547="B",INDEX(Batters[[#All],[K P]],MATCH(Table5[[#This Row],[PID]],Batters[[#All],[PID]],0)),INDEX(Table3[[#All],[STM]],MATCH(Table5[[#This Row],[PID]],Table3[[#All],[PID]],0)))</f>
        <v>3</v>
      </c>
      <c r="Q547" s="61">
        <f>IF($C547="B",INDEX(Batters[[#All],[Tot]],MATCH(Table5[[#This Row],[PID]],Batters[[#All],[PID]],0)),INDEX(Table3[[#All],[Tot]],MATCH(Table5[[#This Row],[PID]],Table3[[#All],[PID]],0)))</f>
        <v>39.788426463928651</v>
      </c>
      <c r="R547" s="52">
        <f>IF($C547="B",INDEX(Batters[[#All],[zScore]],MATCH(Table5[[#This Row],[PID]],Batters[[#All],[PID]],0)),INDEX(Table3[[#All],[zScore]],MATCH(Table5[[#This Row],[PID]],Table3[[#All],[PID]],0)))</f>
        <v>-0.50067997184585022</v>
      </c>
      <c r="S547" s="58" t="str">
        <f>IF($C547="B",INDEX(Batters[[#All],[DEM]],MATCH(Table5[[#This Row],[PID]],Batters[[#All],[PID]],0)),INDEX(Table3[[#All],[DEM]],MATCH(Table5[[#This Row],[PID]],Table3[[#All],[PID]],0)))</f>
        <v>$31k</v>
      </c>
      <c r="T547" s="62">
        <f>IF($C547="B",INDEX(Batters[[#All],[Rnk]],MATCH(Table5[[#This Row],[PID]],Batters[[#All],[PID]],0)),INDEX(Table3[[#All],[Rnk]],MATCH(Table5[[#This Row],[PID]],Table3[[#All],[PID]],0)))</f>
        <v>900</v>
      </c>
      <c r="U547" s="67">
        <f>IF($C547="B",VLOOKUP($A547,Bat!$A$4:$BA$1314,47,FALSE),VLOOKUP($A547,Pit!$A$4:$BF$1214,56,FALSE))</f>
        <v>215</v>
      </c>
      <c r="V547" s="50">
        <f>IF($C547="B",VLOOKUP($A547,Bat!$A$4:$BA$1314,48,FALSE),VLOOKUP($A547,Pit!$A$4:$BF$1214,57,FALSE))</f>
        <v>0</v>
      </c>
      <c r="W547" s="68">
        <f>IF(Table5[[#This Row],[posRnk]]=999,9999,Table5[[#This Row],[posRnk]]+Table5[[#This Row],[zRnk]]+IF($W$3&lt;&gt;Table5[[#This Row],[Type]],50,0))</f>
        <v>1521</v>
      </c>
      <c r="X547" s="51">
        <f>RANK(Table5[[#This Row],[zScore]],Table5[[#All],[zScore]])</f>
        <v>571</v>
      </c>
      <c r="Y547" s="50">
        <f>IFERROR(INDEX(DraftResults[[#All],[OVR]],MATCH(Table5[[#This Row],[PID]],DraftResults[[#All],[Player ID]],0)),"")</f>
        <v>266</v>
      </c>
      <c r="Z547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9</v>
      </c>
      <c r="AA547" s="50">
        <f>IFERROR(INDEX(DraftResults[[#All],[Pick in Round]],MATCH(Table5[[#This Row],[PID]],DraftResults[[#All],[Player ID]],0)),"")</f>
        <v>1</v>
      </c>
      <c r="AB547" s="50" t="str">
        <f>IFERROR(INDEX(DraftResults[[#All],[Team Name]],MATCH(Table5[[#This Row],[PID]],DraftResults[[#All],[Player ID]],0)),"")</f>
        <v>Yuma Arroyos</v>
      </c>
      <c r="AC547" s="50">
        <f>IF(Table5[[#This Row],[Ovr]]="","",IF(Table5[[#This Row],[cmbList]]="","",Table5[[#This Row],[cmbList]]-Table5[[#This Row],[Ovr]]))</f>
        <v>1255</v>
      </c>
      <c r="AD547" s="54" t="str">
        <f>IF(ISERROR(VLOOKUP($AB547&amp;"-"&amp;$E547&amp;" "&amp;F547,Bonuses!$B$1:$G$1006,4,FALSE)),"",INT(VLOOKUP($AB547&amp;"-"&amp;$E547&amp;" "&amp;$F547,Bonuses!$B$1:$G$1006,4,FALSE)))</f>
        <v/>
      </c>
      <c r="AE547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9.1 (266) - 1B Kawanari Katayama</v>
      </c>
    </row>
    <row r="548" spans="1:31" s="50" customFormat="1" x14ac:dyDescent="0.3">
      <c r="A548" s="50">
        <v>20228</v>
      </c>
      <c r="B548" s="50">
        <f>COUNTIF(Table5[PID],A548)</f>
        <v>1</v>
      </c>
      <c r="C548" s="50" t="str">
        <f>IF(COUNTIF(Table3[[#All],[PID]],A548)&gt;0,"P","B")</f>
        <v>B</v>
      </c>
      <c r="D548" s="59" t="str">
        <f>IF($C548="B",INDEX(Batters[[#All],[POS]],MATCH(Table5[[#This Row],[PID]],Batters[[#All],[PID]],0)),INDEX(Table3[[#All],[POS]],MATCH(Table5[[#This Row],[PID]],Table3[[#All],[PID]],0)))</f>
        <v>SS</v>
      </c>
      <c r="E548" s="52" t="str">
        <f>IF($C548="B",INDEX(Batters[[#All],[First]],MATCH(Table5[[#This Row],[PID]],Batters[[#All],[PID]],0)),INDEX(Table3[[#All],[First]],MATCH(Table5[[#This Row],[PID]],Table3[[#All],[PID]],0)))</f>
        <v>Doug</v>
      </c>
      <c r="F548" s="50" t="str">
        <f>IF($C548="B",INDEX(Batters[[#All],[Last]],MATCH(A548,Batters[[#All],[PID]],0)),INDEX(Table3[[#All],[Last]],MATCH(A548,Table3[[#All],[PID]],0)))</f>
        <v>Hamilton</v>
      </c>
      <c r="G548" s="56">
        <f>IF($C548="B",INDEX(Batters[[#All],[Age]],MATCH(Table5[[#This Row],[PID]],Batters[[#All],[PID]],0)),INDEX(Table3[[#All],[Age]],MATCH(Table5[[#This Row],[PID]],Table3[[#All],[PID]],0)))</f>
        <v>21</v>
      </c>
      <c r="H548" s="52" t="str">
        <f>IF($C548="B",INDEX(Batters[[#All],[B]],MATCH(Table5[[#This Row],[PID]],Batters[[#All],[PID]],0)),INDEX(Table3[[#All],[B]],MATCH(Table5[[#This Row],[PID]],Table3[[#All],[PID]],0)))</f>
        <v>R</v>
      </c>
      <c r="I548" s="52" t="str">
        <f>IF($C548="B",INDEX(Batters[[#All],[T]],MATCH(Table5[[#This Row],[PID]],Batters[[#All],[PID]],0)),INDEX(Table3[[#All],[T]],MATCH(Table5[[#This Row],[PID]],Table3[[#All],[PID]],0)))</f>
        <v>R</v>
      </c>
      <c r="J548" s="52" t="str">
        <f>IF($C548="B",INDEX(Batters[[#All],[WE]],MATCH(Table5[[#This Row],[PID]],Batters[[#All],[PID]],0)),INDEX(Table3[[#All],[WE]],MATCH(Table5[[#This Row],[PID]],Table3[[#All],[PID]],0)))</f>
        <v>High</v>
      </c>
      <c r="K548" s="52" t="str">
        <f>IF($C548="B",INDEX(Batters[[#All],[INT]],MATCH(Table5[[#This Row],[PID]],Batters[[#All],[PID]],0)),INDEX(Table3[[#All],[INT]],MATCH(Table5[[#This Row],[PID]],Table3[[#All],[PID]],0)))</f>
        <v>Normal</v>
      </c>
      <c r="L548" s="60">
        <f>IF($C548="B",INDEX(Batters[[#All],[CON P]],MATCH(Table5[[#This Row],[PID]],Batters[[#All],[PID]],0)),INDEX(Table3[[#All],[STU P]],MATCH(Table5[[#This Row],[PID]],Table3[[#All],[PID]],0)))</f>
        <v>3</v>
      </c>
      <c r="M548" s="56">
        <f>IF($C548="B",INDEX(Batters[[#All],[GAP P]],MATCH(Table5[[#This Row],[PID]],Batters[[#All],[PID]],0)),INDEX(Table3[[#All],[MOV P]],MATCH(Table5[[#This Row],[PID]],Table3[[#All],[PID]],0)))</f>
        <v>4</v>
      </c>
      <c r="N548" s="56">
        <f>IF($C548="B",INDEX(Batters[[#All],[POW P]],MATCH(Table5[[#This Row],[PID]],Batters[[#All],[PID]],0)),INDEX(Table3[[#All],[CON P]],MATCH(Table5[[#This Row],[PID]],Table3[[#All],[PID]],0)))</f>
        <v>4</v>
      </c>
      <c r="O548" s="56">
        <f>IF($C548="B",INDEX(Batters[[#All],[EYE P]],MATCH(Table5[[#This Row],[PID]],Batters[[#All],[PID]],0)),INDEX(Table3[[#All],[VELO]],MATCH(Table5[[#This Row],[PID]],Table3[[#All],[PID]],0)))</f>
        <v>5</v>
      </c>
      <c r="P548" s="56">
        <f>IF($C548="B",INDEX(Batters[[#All],[K P]],MATCH(Table5[[#This Row],[PID]],Batters[[#All],[PID]],0)),INDEX(Table3[[#All],[STM]],MATCH(Table5[[#This Row],[PID]],Table3[[#All],[PID]],0)))</f>
        <v>3</v>
      </c>
      <c r="Q548" s="61">
        <f>IF($C548="B",INDEX(Batters[[#All],[Tot]],MATCH(Table5[[#This Row],[PID]],Batters[[#All],[PID]],0)),INDEX(Table3[[#All],[Tot]],MATCH(Table5[[#This Row],[PID]],Table3[[#All],[PID]],0)))</f>
        <v>39.781237522155244</v>
      </c>
      <c r="R548" s="52">
        <f>IF($C548="B",INDEX(Batters[[#All],[zScore]],MATCH(Table5[[#This Row],[PID]],Batters[[#All],[PID]],0)),INDEX(Table3[[#All],[zScore]],MATCH(Table5[[#This Row],[PID]],Table3[[#All],[PID]],0)))</f>
        <v>-0.50172932808687787</v>
      </c>
      <c r="S548" s="58" t="str">
        <f>IF($C548="B",INDEX(Batters[[#All],[DEM]],MATCH(Table5[[#This Row],[PID]],Batters[[#All],[PID]],0)),INDEX(Table3[[#All],[DEM]],MATCH(Table5[[#This Row],[PID]],Table3[[#All],[PID]],0)))</f>
        <v>$95k</v>
      </c>
      <c r="T548" s="62">
        <f>IF($C548="B",INDEX(Batters[[#All],[Rnk]],MATCH(Table5[[#This Row],[PID]],Batters[[#All],[PID]],0)),INDEX(Table3[[#All],[Rnk]],MATCH(Table5[[#This Row],[PID]],Table3[[#All],[PID]],0)))</f>
        <v>900</v>
      </c>
      <c r="U548" s="67">
        <f>IF($C548="B",VLOOKUP($A548,Bat!$A$4:$BA$1314,47,FALSE),VLOOKUP($A548,Pit!$A$4:$BF$1214,56,FALSE))</f>
        <v>202</v>
      </c>
      <c r="V548" s="50">
        <f>IF($C548="B",VLOOKUP($A548,Bat!$A$4:$BA$1314,48,FALSE),VLOOKUP($A548,Pit!$A$4:$BF$1214,57,FALSE))</f>
        <v>0</v>
      </c>
      <c r="W548" s="68">
        <f>IF(Table5[[#This Row],[posRnk]]=999,9999,Table5[[#This Row],[posRnk]]+Table5[[#This Row],[zRnk]]+IF($W$3&lt;&gt;Table5[[#This Row],[Type]],50,0))</f>
        <v>1522</v>
      </c>
      <c r="X548" s="51">
        <f>RANK(Table5[[#This Row],[zScore]],Table5[[#All],[zScore]])</f>
        <v>572</v>
      </c>
      <c r="Y548" s="50">
        <f>IFERROR(INDEX(DraftResults[[#All],[OVR]],MATCH(Table5[[#This Row],[PID]],DraftResults[[#All],[Player ID]],0)),"")</f>
        <v>188</v>
      </c>
      <c r="Z548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6</v>
      </c>
      <c r="AA548" s="50">
        <f>IFERROR(INDEX(DraftResults[[#All],[Pick in Round]],MATCH(Table5[[#This Row],[PID]],DraftResults[[#All],[Player ID]],0)),"")</f>
        <v>19</v>
      </c>
      <c r="AB548" s="50" t="str">
        <f>IFERROR(INDEX(DraftResults[[#All],[Team Name]],MATCH(Table5[[#This Row],[PID]],DraftResults[[#All],[Player ID]],0)),"")</f>
        <v>Fargo Dinosaurs</v>
      </c>
      <c r="AC548" s="50">
        <f>IF(Table5[[#This Row],[Ovr]]="","",IF(Table5[[#This Row],[cmbList]]="","",Table5[[#This Row],[cmbList]]-Table5[[#This Row],[Ovr]]))</f>
        <v>1334</v>
      </c>
      <c r="AD548" s="54" t="str">
        <f>IF(ISERROR(VLOOKUP($AB548&amp;"-"&amp;$E548&amp;" "&amp;F548,Bonuses!$B$1:$G$1006,4,FALSE)),"",INT(VLOOKUP($AB548&amp;"-"&amp;$E548&amp;" "&amp;$F548,Bonuses!$B$1:$G$1006,4,FALSE)))</f>
        <v/>
      </c>
      <c r="AE548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6.19 (188) - SS Doug Hamilton</v>
      </c>
    </row>
    <row r="549" spans="1:31" s="50" customFormat="1" x14ac:dyDescent="0.3">
      <c r="A549" s="67">
        <v>20481</v>
      </c>
      <c r="B549" s="68">
        <f>COUNTIF(Table5[PID],A549)</f>
        <v>1</v>
      </c>
      <c r="C549" s="68" t="str">
        <f>IF(COUNTIF(Table3[[#All],[PID]],A549)&gt;0,"P","B")</f>
        <v>P</v>
      </c>
      <c r="D549" s="59" t="str">
        <f>IF($C549="B",INDEX(Batters[[#All],[POS]],MATCH(Table5[[#This Row],[PID]],Batters[[#All],[PID]],0)),INDEX(Table3[[#All],[POS]],MATCH(Table5[[#This Row],[PID]],Table3[[#All],[PID]],0)))</f>
        <v>RP</v>
      </c>
      <c r="E549" s="52" t="str">
        <f>IF($C549="B",INDEX(Batters[[#All],[First]],MATCH(Table5[[#This Row],[PID]],Batters[[#All],[PID]],0)),INDEX(Table3[[#All],[First]],MATCH(Table5[[#This Row],[PID]],Table3[[#All],[PID]],0)))</f>
        <v>Tadamasa</v>
      </c>
      <c r="F549" s="55" t="str">
        <f>IF($C549="B",INDEX(Batters[[#All],[Last]],MATCH(A549,Batters[[#All],[PID]],0)),INDEX(Table3[[#All],[Last]],MATCH(A549,Table3[[#All],[PID]],0)))</f>
        <v>Kichida</v>
      </c>
      <c r="G549" s="56">
        <f>IF($C549="B",INDEX(Batters[[#All],[Age]],MATCH(Table5[[#This Row],[PID]],Batters[[#All],[PID]],0)),INDEX(Table3[[#All],[Age]],MATCH(Table5[[#This Row],[PID]],Table3[[#All],[PID]],0)))</f>
        <v>17</v>
      </c>
      <c r="H549" s="52" t="str">
        <f>IF($C549="B",INDEX(Batters[[#All],[B]],MATCH(Table5[[#This Row],[PID]],Batters[[#All],[PID]],0)),INDEX(Table3[[#All],[B]],MATCH(Table5[[#This Row],[PID]],Table3[[#All],[PID]],0)))</f>
        <v>L</v>
      </c>
      <c r="I549" s="52" t="str">
        <f>IF($C549="B",INDEX(Batters[[#All],[T]],MATCH(Table5[[#This Row],[PID]],Batters[[#All],[PID]],0)),INDEX(Table3[[#All],[T]],MATCH(Table5[[#This Row],[PID]],Table3[[#All],[PID]],0)))</f>
        <v>L</v>
      </c>
      <c r="J549" s="69" t="str">
        <f>IF($C549="B",INDEX(Batters[[#All],[WE]],MATCH(Table5[[#This Row],[PID]],Batters[[#All],[PID]],0)),INDEX(Table3[[#All],[WE]],MATCH(Table5[[#This Row],[PID]],Table3[[#All],[PID]],0)))</f>
        <v>Low</v>
      </c>
      <c r="K549" s="52" t="str">
        <f>IF($C549="B",INDEX(Batters[[#All],[INT]],MATCH(Table5[[#This Row],[PID]],Batters[[#All],[PID]],0)),INDEX(Table3[[#All],[INT]],MATCH(Table5[[#This Row],[PID]],Table3[[#All],[PID]],0)))</f>
        <v>Normal</v>
      </c>
      <c r="L549" s="60">
        <f>IF($C549="B",INDEX(Batters[[#All],[CON P]],MATCH(Table5[[#This Row],[PID]],Batters[[#All],[PID]],0)),INDEX(Table3[[#All],[STU P]],MATCH(Table5[[#This Row],[PID]],Table3[[#All],[PID]],0)))</f>
        <v>4</v>
      </c>
      <c r="M549" s="70">
        <f>IF($C549="B",INDEX(Batters[[#All],[GAP P]],MATCH(Table5[[#This Row],[PID]],Batters[[#All],[PID]],0)),INDEX(Table3[[#All],[MOV P]],MATCH(Table5[[#This Row],[PID]],Table3[[#All],[PID]],0)))</f>
        <v>2</v>
      </c>
      <c r="N549" s="70">
        <f>IF($C549="B",INDEX(Batters[[#All],[POW P]],MATCH(Table5[[#This Row],[PID]],Batters[[#All],[PID]],0)),INDEX(Table3[[#All],[CON P]],MATCH(Table5[[#This Row],[PID]],Table3[[#All],[PID]],0)))</f>
        <v>3</v>
      </c>
      <c r="O549" s="70" t="str">
        <f>IF($C549="B",INDEX(Batters[[#All],[EYE P]],MATCH(Table5[[#This Row],[PID]],Batters[[#All],[PID]],0)),INDEX(Table3[[#All],[VELO]],MATCH(Table5[[#This Row],[PID]],Table3[[#All],[PID]],0)))</f>
        <v>89-91 Mph</v>
      </c>
      <c r="P549" s="56">
        <f>IF($C549="B",INDEX(Batters[[#All],[K P]],MATCH(Table5[[#This Row],[PID]],Batters[[#All],[PID]],0)),INDEX(Table3[[#All],[STM]],MATCH(Table5[[#This Row],[PID]],Table3[[#All],[PID]],0)))</f>
        <v>2</v>
      </c>
      <c r="Q549" s="61">
        <f>IF($C549="B",INDEX(Batters[[#All],[Tot]],MATCH(Table5[[#This Row],[PID]],Batters[[#All],[PID]],0)),INDEX(Table3[[#All],[Tot]],MATCH(Table5[[#This Row],[PID]],Table3[[#All],[PID]],0)))</f>
        <v>31.840830734434743</v>
      </c>
      <c r="R549" s="52">
        <f>IF($C549="B",INDEX(Batters[[#All],[zScore]],MATCH(Table5[[#This Row],[PID]],Batters[[#All],[PID]],0)),INDEX(Table3[[#All],[zScore]],MATCH(Table5[[#This Row],[PID]],Table3[[#All],[PID]],0)))</f>
        <v>-0.42451866037992397</v>
      </c>
      <c r="S549" s="75" t="str">
        <f>IF($C549="B",INDEX(Batters[[#All],[DEM]],MATCH(Table5[[#This Row],[PID]],Batters[[#All],[PID]],0)),INDEX(Table3[[#All],[DEM]],MATCH(Table5[[#This Row],[PID]],Table3[[#All],[PID]],0)))</f>
        <v>$65k</v>
      </c>
      <c r="T549" s="72">
        <f>IF($C549="B",INDEX(Batters[[#All],[Rnk]],MATCH(Table5[[#This Row],[PID]],Batters[[#All],[PID]],0)),INDEX(Table3[[#All],[Rnk]],MATCH(Table5[[#This Row],[PID]],Table3[[#All],[PID]],0)))</f>
        <v>930</v>
      </c>
      <c r="U549" s="67">
        <f>IF($C549="B",VLOOKUP($A549,Bat!$A$4:$BA$1314,47,FALSE),VLOOKUP($A549,Pit!$A$4:$BF$1214,56,FALSE))</f>
        <v>318</v>
      </c>
      <c r="V549" s="50">
        <f>IF($C549="B",VLOOKUP($A549,Bat!$A$4:$BA$1314,48,FALSE),VLOOKUP($A549,Pit!$A$4:$BF$1214,57,FALSE))</f>
        <v>0</v>
      </c>
      <c r="W549" s="68">
        <f>IF(Table5[[#This Row],[posRnk]]=999,9999,Table5[[#This Row],[posRnk]]+Table5[[#This Row],[zRnk]]+IF($W$3&lt;&gt;Table5[[#This Row],[Type]],50,0))</f>
        <v>1472</v>
      </c>
      <c r="X549" s="71">
        <f>RANK(Table5[[#This Row],[zScore]],Table5[[#All],[zScore]])</f>
        <v>542</v>
      </c>
      <c r="Y549" s="68" t="str">
        <f>IFERROR(INDEX(DraftResults[[#All],[OVR]],MATCH(Table5[[#This Row],[PID]],DraftResults[[#All],[Player ID]],0)),"")</f>
        <v/>
      </c>
      <c r="Z549" s="7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/>
      </c>
      <c r="AA549" s="68" t="str">
        <f>IFERROR(INDEX(DraftResults[[#All],[Pick in Round]],MATCH(Table5[[#This Row],[PID]],DraftResults[[#All],[Player ID]],0)),"")</f>
        <v/>
      </c>
      <c r="AB549" s="68" t="str">
        <f>IFERROR(INDEX(DraftResults[[#All],[Team Name]],MATCH(Table5[[#This Row],[PID]],DraftResults[[#All],[Player ID]],0)),"")</f>
        <v/>
      </c>
      <c r="AC549" s="68" t="str">
        <f>IF(Table5[[#This Row],[Ovr]]="","",IF(Table5[[#This Row],[cmbList]]="","",Table5[[#This Row],[cmbList]]-Table5[[#This Row],[Ovr]]))</f>
        <v/>
      </c>
      <c r="AD549" s="74" t="str">
        <f>IF(ISERROR(VLOOKUP($AB549&amp;"-"&amp;$E549&amp;" "&amp;F549,Bonuses!$B$1:$G$1006,4,FALSE)),"",INT(VLOOKUP($AB549&amp;"-"&amp;$E549&amp;" "&amp;$F549,Bonuses!$B$1:$G$1006,4,FALSE)))</f>
        <v/>
      </c>
      <c r="AE549" s="68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/>
      </c>
    </row>
    <row r="550" spans="1:31" s="50" customFormat="1" x14ac:dyDescent="0.3">
      <c r="A550" s="50">
        <v>21061</v>
      </c>
      <c r="B550" s="50">
        <f>COUNTIF(Table5[PID],A550)</f>
        <v>1</v>
      </c>
      <c r="C550" s="50" t="str">
        <f>IF(COUNTIF(Table3[[#All],[PID]],A550)&gt;0,"P","B")</f>
        <v>P</v>
      </c>
      <c r="D550" s="59" t="str">
        <f>IF($C550="B",INDEX(Batters[[#All],[POS]],MATCH(Table5[[#This Row],[PID]],Batters[[#All],[PID]],0)),INDEX(Table3[[#All],[POS]],MATCH(Table5[[#This Row],[PID]],Table3[[#All],[PID]],0)))</f>
        <v>RP</v>
      </c>
      <c r="E550" s="52" t="str">
        <f>IF($C550="B",INDEX(Batters[[#All],[First]],MATCH(Table5[[#This Row],[PID]],Batters[[#All],[PID]],0)),INDEX(Table3[[#All],[First]],MATCH(Table5[[#This Row],[PID]],Table3[[#All],[PID]],0)))</f>
        <v>Cullen</v>
      </c>
      <c r="F550" s="50" t="str">
        <f>IF($C550="B",INDEX(Batters[[#All],[Last]],MATCH(A550,Batters[[#All],[PID]],0)),INDEX(Table3[[#All],[Last]],MATCH(A550,Table3[[#All],[PID]],0)))</f>
        <v>Harris</v>
      </c>
      <c r="G550" s="56">
        <f>IF($C550="B",INDEX(Batters[[#All],[Age]],MATCH(Table5[[#This Row],[PID]],Batters[[#All],[PID]],0)),INDEX(Table3[[#All],[Age]],MATCH(Table5[[#This Row],[PID]],Table3[[#All],[PID]],0)))</f>
        <v>17</v>
      </c>
      <c r="H550" s="52" t="str">
        <f>IF($C550="B",INDEX(Batters[[#All],[B]],MATCH(Table5[[#This Row],[PID]],Batters[[#All],[PID]],0)),INDEX(Table3[[#All],[B]],MATCH(Table5[[#This Row],[PID]],Table3[[#All],[PID]],0)))</f>
        <v>R</v>
      </c>
      <c r="I550" s="52" t="str">
        <f>IF($C550="B",INDEX(Batters[[#All],[T]],MATCH(Table5[[#This Row],[PID]],Batters[[#All],[PID]],0)),INDEX(Table3[[#All],[T]],MATCH(Table5[[#This Row],[PID]],Table3[[#All],[PID]],0)))</f>
        <v>R</v>
      </c>
      <c r="J550" s="52" t="str">
        <f>IF($C550="B",INDEX(Batters[[#All],[WE]],MATCH(Table5[[#This Row],[PID]],Batters[[#All],[PID]],0)),INDEX(Table3[[#All],[WE]],MATCH(Table5[[#This Row],[PID]],Table3[[#All],[PID]],0)))</f>
        <v>Normal</v>
      </c>
      <c r="K550" s="52" t="str">
        <f>IF($C550="B",INDEX(Batters[[#All],[INT]],MATCH(Table5[[#This Row],[PID]],Batters[[#All],[PID]],0)),INDEX(Table3[[#All],[INT]],MATCH(Table5[[#This Row],[PID]],Table3[[#All],[PID]],0)))</f>
        <v>High</v>
      </c>
      <c r="L550" s="60">
        <f>IF($C550="B",INDEX(Batters[[#All],[CON P]],MATCH(Table5[[#This Row],[PID]],Batters[[#All],[PID]],0)),INDEX(Table3[[#All],[STU P]],MATCH(Table5[[#This Row],[PID]],Table3[[#All],[PID]],0)))</f>
        <v>4</v>
      </c>
      <c r="M550" s="56">
        <f>IF($C550="B",INDEX(Batters[[#All],[GAP P]],MATCH(Table5[[#This Row],[PID]],Batters[[#All],[PID]],0)),INDEX(Table3[[#All],[MOV P]],MATCH(Table5[[#This Row],[PID]],Table3[[#All],[PID]],0)))</f>
        <v>1</v>
      </c>
      <c r="N550" s="56">
        <f>IF($C550="B",INDEX(Batters[[#All],[POW P]],MATCH(Table5[[#This Row],[PID]],Batters[[#All],[PID]],0)),INDEX(Table3[[#All],[CON P]],MATCH(Table5[[#This Row],[PID]],Table3[[#All],[PID]],0)))</f>
        <v>3</v>
      </c>
      <c r="O550" s="56" t="str">
        <f>IF($C550="B",INDEX(Batters[[#All],[EYE P]],MATCH(Table5[[#This Row],[PID]],Batters[[#All],[PID]],0)),INDEX(Table3[[#All],[VELO]],MATCH(Table5[[#This Row],[PID]],Table3[[#All],[PID]],0)))</f>
        <v>86-88 Mph</v>
      </c>
      <c r="P550" s="56">
        <f>IF($C550="B",INDEX(Batters[[#All],[K P]],MATCH(Table5[[#This Row],[PID]],Batters[[#All],[PID]],0)),INDEX(Table3[[#All],[STM]],MATCH(Table5[[#This Row],[PID]],Table3[[#All],[PID]],0)))</f>
        <v>8</v>
      </c>
      <c r="Q550" s="61">
        <f>IF($C550="B",INDEX(Batters[[#All],[Tot]],MATCH(Table5[[#This Row],[PID]],Batters[[#All],[PID]],0)),INDEX(Table3[[#All],[Tot]],MATCH(Table5[[#This Row],[PID]],Table3[[#All],[PID]],0)))</f>
        <v>30.653504744485236</v>
      </c>
      <c r="R550" s="52">
        <f>IF($C550="B",INDEX(Batters[[#All],[zScore]],MATCH(Table5[[#This Row],[PID]],Batters[[#All],[PID]],0)),INDEX(Table3[[#All],[zScore]],MATCH(Table5[[#This Row],[PID]],Table3[[#All],[PID]],0)))</f>
        <v>-0.50906462117719675</v>
      </c>
      <c r="S550" s="58" t="str">
        <f>IF($C550="B",INDEX(Batters[[#All],[DEM]],MATCH(Table5[[#This Row],[PID]],Batters[[#All],[PID]],0)),INDEX(Table3[[#All],[DEM]],MATCH(Table5[[#This Row],[PID]],Table3[[#All],[PID]],0)))</f>
        <v>$38k</v>
      </c>
      <c r="T550" s="62">
        <f>IF($C550="B",INDEX(Batters[[#All],[Rnk]],MATCH(Table5[[#This Row],[PID]],Batters[[#All],[PID]],0)),INDEX(Table3[[#All],[Rnk]],MATCH(Table5[[#This Row],[PID]],Table3[[#All],[PID]],0)))</f>
        <v>900</v>
      </c>
      <c r="U550" s="67">
        <f>IF($C550="B",VLOOKUP($A550,Bat!$A$4:$BA$1314,47,FALSE),VLOOKUP($A550,Pit!$A$4:$BF$1214,56,FALSE))</f>
        <v>184</v>
      </c>
      <c r="V550" s="50">
        <f>IF($C550="B",VLOOKUP($A550,Bat!$A$4:$BA$1314,48,FALSE),VLOOKUP($A550,Pit!$A$4:$BF$1214,57,FALSE))</f>
        <v>0</v>
      </c>
      <c r="W550" s="68">
        <f>IF(Table5[[#This Row],[posRnk]]=999,9999,Table5[[#This Row],[posRnk]]+Table5[[#This Row],[zRnk]]+IF($W$3&lt;&gt;Table5[[#This Row],[Type]],50,0))</f>
        <v>1473</v>
      </c>
      <c r="X550" s="51">
        <f>RANK(Table5[[#This Row],[zScore]],Table5[[#All],[zScore]])</f>
        <v>573</v>
      </c>
      <c r="Y550" s="50" t="str">
        <f>IFERROR(INDEX(DraftResults[[#All],[OVR]],MATCH(Table5[[#This Row],[PID]],DraftResults[[#All],[Player ID]],0)),"")</f>
        <v/>
      </c>
      <c r="Z550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/>
      </c>
      <c r="AA550" s="50" t="str">
        <f>IFERROR(INDEX(DraftResults[[#All],[Pick in Round]],MATCH(Table5[[#This Row],[PID]],DraftResults[[#All],[Player ID]],0)),"")</f>
        <v/>
      </c>
      <c r="AB550" s="50" t="str">
        <f>IFERROR(INDEX(DraftResults[[#All],[Team Name]],MATCH(Table5[[#This Row],[PID]],DraftResults[[#All],[Player ID]],0)),"")</f>
        <v/>
      </c>
      <c r="AC550" s="50" t="str">
        <f>IF(Table5[[#This Row],[Ovr]]="","",IF(Table5[[#This Row],[cmbList]]="","",Table5[[#This Row],[cmbList]]-Table5[[#This Row],[Ovr]]))</f>
        <v/>
      </c>
      <c r="AD550" s="54" t="str">
        <f>IF(ISERROR(VLOOKUP($AB550&amp;"-"&amp;$E550&amp;" "&amp;F550,Bonuses!$B$1:$G$1006,4,FALSE)),"",INT(VLOOKUP($AB550&amp;"-"&amp;$E550&amp;" "&amp;$F550,Bonuses!$B$1:$G$1006,4,FALSE)))</f>
        <v/>
      </c>
      <c r="AE550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/>
      </c>
    </row>
    <row r="551" spans="1:31" s="50" customFormat="1" x14ac:dyDescent="0.3">
      <c r="A551" s="50">
        <v>9084</v>
      </c>
      <c r="B551" s="50">
        <f>COUNTIF(Table5[PID],A551)</f>
        <v>1</v>
      </c>
      <c r="C551" s="50" t="str">
        <f>IF(COUNTIF(Table3[[#All],[PID]],A551)&gt;0,"P","B")</f>
        <v>B</v>
      </c>
      <c r="D551" s="59" t="str">
        <f>IF($C551="B",INDEX(Batters[[#All],[POS]],MATCH(Table5[[#This Row],[PID]],Batters[[#All],[PID]],0)),INDEX(Table3[[#All],[POS]],MATCH(Table5[[#This Row],[PID]],Table3[[#All],[PID]],0)))</f>
        <v>C</v>
      </c>
      <c r="E551" s="52" t="str">
        <f>IF($C551="B",INDEX(Batters[[#All],[First]],MATCH(Table5[[#This Row],[PID]],Batters[[#All],[PID]],0)),INDEX(Table3[[#All],[First]],MATCH(Table5[[#This Row],[PID]],Table3[[#All],[PID]],0)))</f>
        <v>John</v>
      </c>
      <c r="F551" s="50" t="str">
        <f>IF($C551="B",INDEX(Batters[[#All],[Last]],MATCH(A551,Batters[[#All],[PID]],0)),INDEX(Table3[[#All],[Last]],MATCH(A551,Table3[[#All],[PID]],0)))</f>
        <v>Hall</v>
      </c>
      <c r="G551" s="56">
        <f>IF($C551="B",INDEX(Batters[[#All],[Age]],MATCH(Table5[[#This Row],[PID]],Batters[[#All],[PID]],0)),INDEX(Table3[[#All],[Age]],MATCH(Table5[[#This Row],[PID]],Table3[[#All],[PID]],0)))</f>
        <v>17</v>
      </c>
      <c r="H551" s="52" t="str">
        <f>IF($C551="B",INDEX(Batters[[#All],[B]],MATCH(Table5[[#This Row],[PID]],Batters[[#All],[PID]],0)),INDEX(Table3[[#All],[B]],MATCH(Table5[[#This Row],[PID]],Table3[[#All],[PID]],0)))</f>
        <v>L</v>
      </c>
      <c r="I551" s="52" t="str">
        <f>IF($C551="B",INDEX(Batters[[#All],[T]],MATCH(Table5[[#This Row],[PID]],Batters[[#All],[PID]],0)),INDEX(Table3[[#All],[T]],MATCH(Table5[[#This Row],[PID]],Table3[[#All],[PID]],0)))</f>
        <v>R</v>
      </c>
      <c r="J551" s="52" t="str">
        <f>IF($C551="B",INDEX(Batters[[#All],[WE]],MATCH(Table5[[#This Row],[PID]],Batters[[#All],[PID]],0)),INDEX(Table3[[#All],[WE]],MATCH(Table5[[#This Row],[PID]],Table3[[#All],[PID]],0)))</f>
        <v>Low</v>
      </c>
      <c r="K551" s="52" t="str">
        <f>IF($C551="B",INDEX(Batters[[#All],[INT]],MATCH(Table5[[#This Row],[PID]],Batters[[#All],[PID]],0)),INDEX(Table3[[#All],[INT]],MATCH(Table5[[#This Row],[PID]],Table3[[#All],[PID]],0)))</f>
        <v>Normal</v>
      </c>
      <c r="L551" s="60">
        <f>IF($C551="B",INDEX(Batters[[#All],[CON P]],MATCH(Table5[[#This Row],[PID]],Batters[[#All],[PID]],0)),INDEX(Table3[[#All],[STU P]],MATCH(Table5[[#This Row],[PID]],Table3[[#All],[PID]],0)))</f>
        <v>3</v>
      </c>
      <c r="M551" s="56">
        <f>IF($C551="B",INDEX(Batters[[#All],[GAP P]],MATCH(Table5[[#This Row],[PID]],Batters[[#All],[PID]],0)),INDEX(Table3[[#All],[MOV P]],MATCH(Table5[[#This Row],[PID]],Table3[[#All],[PID]],0)))</f>
        <v>3</v>
      </c>
      <c r="N551" s="56">
        <f>IF($C551="B",INDEX(Batters[[#All],[POW P]],MATCH(Table5[[#This Row],[PID]],Batters[[#All],[PID]],0)),INDEX(Table3[[#All],[CON P]],MATCH(Table5[[#This Row],[PID]],Table3[[#All],[PID]],0)))</f>
        <v>2</v>
      </c>
      <c r="O551" s="56">
        <f>IF($C551="B",INDEX(Batters[[#All],[EYE P]],MATCH(Table5[[#This Row],[PID]],Batters[[#All],[PID]],0)),INDEX(Table3[[#All],[VELO]],MATCH(Table5[[#This Row],[PID]],Table3[[#All],[PID]],0)))</f>
        <v>5</v>
      </c>
      <c r="P551" s="56">
        <f>IF($C551="B",INDEX(Batters[[#All],[K P]],MATCH(Table5[[#This Row],[PID]],Batters[[#All],[PID]],0)),INDEX(Table3[[#All],[STM]],MATCH(Table5[[#This Row],[PID]],Table3[[#All],[PID]],0)))</f>
        <v>4</v>
      </c>
      <c r="Q551" s="61">
        <f>IF($C551="B",INDEX(Batters[[#All],[Tot]],MATCH(Table5[[#This Row],[PID]],Batters[[#All],[PID]],0)),INDEX(Table3[[#All],[Tot]],MATCH(Table5[[#This Row],[PID]],Table3[[#All],[PID]],0)))</f>
        <v>40.211990301326388</v>
      </c>
      <c r="R551" s="52">
        <f>IF($C551="B",INDEX(Batters[[#All],[zScore]],MATCH(Table5[[#This Row],[PID]],Batters[[#All],[PID]],0)),INDEX(Table3[[#All],[zScore]],MATCH(Table5[[#This Row],[PID]],Table3[[#All],[PID]],0)))</f>
        <v>-0.43885315918600892</v>
      </c>
      <c r="S551" s="58" t="str">
        <f>IF($C551="B",INDEX(Batters[[#All],[DEM]],MATCH(Table5[[#This Row],[PID]],Batters[[#All],[PID]],0)),INDEX(Table3[[#All],[DEM]],MATCH(Table5[[#This Row],[PID]],Table3[[#All],[PID]],0)))</f>
        <v>$75k</v>
      </c>
      <c r="T551" s="62">
        <f>IF($C551="B",INDEX(Batters[[#All],[Rnk]],MATCH(Table5[[#This Row],[PID]],Batters[[#All],[PID]],0)),INDEX(Table3[[#All],[Rnk]],MATCH(Table5[[#This Row],[PID]],Table3[[#All],[PID]],0)))</f>
        <v>930</v>
      </c>
      <c r="U551" s="67">
        <f>IF($C551="B",VLOOKUP($A551,Bat!$A$4:$BA$1314,47,FALSE),VLOOKUP($A551,Pit!$A$4:$BF$1214,56,FALSE))</f>
        <v>344</v>
      </c>
      <c r="V551" s="50">
        <f>IF($C551="B",VLOOKUP($A551,Bat!$A$4:$BA$1314,48,FALSE),VLOOKUP($A551,Pit!$A$4:$BF$1214,57,FALSE))</f>
        <v>0</v>
      </c>
      <c r="W551" s="68">
        <f>IF(Table5[[#This Row],[posRnk]]=999,9999,Table5[[#This Row],[posRnk]]+Table5[[#This Row],[zRnk]]+IF($W$3&lt;&gt;Table5[[#This Row],[Type]],50,0))</f>
        <v>1524</v>
      </c>
      <c r="X551" s="51">
        <f>RANK(Table5[[#This Row],[zScore]],Table5[[#All],[zScore]])</f>
        <v>544</v>
      </c>
      <c r="Y551" s="50" t="str">
        <f>IFERROR(INDEX(DraftResults[[#All],[OVR]],MATCH(Table5[[#This Row],[PID]],DraftResults[[#All],[Player ID]],0)),"")</f>
        <v/>
      </c>
      <c r="Z551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/>
      </c>
      <c r="AA551" s="50" t="str">
        <f>IFERROR(INDEX(DraftResults[[#All],[Pick in Round]],MATCH(Table5[[#This Row],[PID]],DraftResults[[#All],[Player ID]],0)),"")</f>
        <v/>
      </c>
      <c r="AB551" s="50" t="str">
        <f>IFERROR(INDEX(DraftResults[[#All],[Team Name]],MATCH(Table5[[#This Row],[PID]],DraftResults[[#All],[Player ID]],0)),"")</f>
        <v/>
      </c>
      <c r="AC551" s="50" t="str">
        <f>IF(Table5[[#This Row],[Ovr]]="","",IF(Table5[[#This Row],[cmbList]]="","",Table5[[#This Row],[cmbList]]-Table5[[#This Row],[Ovr]]))</f>
        <v/>
      </c>
      <c r="AD551" s="54" t="str">
        <f>IF(ISERROR(VLOOKUP($AB551&amp;"-"&amp;$E551&amp;" "&amp;F551,Bonuses!$B$1:$G$1006,4,FALSE)),"",INT(VLOOKUP($AB551&amp;"-"&amp;$E551&amp;" "&amp;$F551,Bonuses!$B$1:$G$1006,4,FALSE)))</f>
        <v/>
      </c>
      <c r="AE551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/>
      </c>
    </row>
    <row r="552" spans="1:31" s="50" customFormat="1" x14ac:dyDescent="0.3">
      <c r="A552" s="50">
        <v>11691</v>
      </c>
      <c r="B552" s="50">
        <f>COUNTIF(Table5[PID],A552)</f>
        <v>1</v>
      </c>
      <c r="C552" s="50" t="str">
        <f>IF(COUNTIF(Table3[[#All],[PID]],A552)&gt;0,"P","B")</f>
        <v>P</v>
      </c>
      <c r="D552" s="59" t="str">
        <f>IF($C552="B",INDEX(Batters[[#All],[POS]],MATCH(Table5[[#This Row],[PID]],Batters[[#All],[PID]],0)),INDEX(Table3[[#All],[POS]],MATCH(Table5[[#This Row],[PID]],Table3[[#All],[PID]],0)))</f>
        <v>SP</v>
      </c>
      <c r="E552" s="52" t="str">
        <f>IF($C552="B",INDEX(Batters[[#All],[First]],MATCH(Table5[[#This Row],[PID]],Batters[[#All],[PID]],0)),INDEX(Table3[[#All],[First]],MATCH(Table5[[#This Row],[PID]],Table3[[#All],[PID]],0)))</f>
        <v>Alistair</v>
      </c>
      <c r="F552" s="50" t="str">
        <f>IF($C552="B",INDEX(Batters[[#All],[Last]],MATCH(A552,Batters[[#All],[PID]],0)),INDEX(Table3[[#All],[Last]],MATCH(A552,Table3[[#All],[PID]],0)))</f>
        <v>Coulton</v>
      </c>
      <c r="G552" s="56">
        <f>IF($C552="B",INDEX(Batters[[#All],[Age]],MATCH(Table5[[#This Row],[PID]],Batters[[#All],[PID]],0)),INDEX(Table3[[#All],[Age]],MATCH(Table5[[#This Row],[PID]],Table3[[#All],[PID]],0)))</f>
        <v>21</v>
      </c>
      <c r="H552" s="52" t="str">
        <f>IF($C552="B",INDEX(Batters[[#All],[B]],MATCH(Table5[[#This Row],[PID]],Batters[[#All],[PID]],0)),INDEX(Table3[[#All],[B]],MATCH(Table5[[#This Row],[PID]],Table3[[#All],[PID]],0)))</f>
        <v>R</v>
      </c>
      <c r="I552" s="52" t="str">
        <f>IF($C552="B",INDEX(Batters[[#All],[T]],MATCH(Table5[[#This Row],[PID]],Batters[[#All],[PID]],0)),INDEX(Table3[[#All],[T]],MATCH(Table5[[#This Row],[PID]],Table3[[#All],[PID]],0)))</f>
        <v>R</v>
      </c>
      <c r="J552" s="52" t="str">
        <f>IF($C552="B",INDEX(Batters[[#All],[WE]],MATCH(Table5[[#This Row],[PID]],Batters[[#All],[PID]],0)),INDEX(Table3[[#All],[WE]],MATCH(Table5[[#This Row],[PID]],Table3[[#All],[PID]],0)))</f>
        <v>Low</v>
      </c>
      <c r="K552" s="52" t="str">
        <f>IF($C552="B",INDEX(Batters[[#All],[INT]],MATCH(Table5[[#This Row],[PID]],Batters[[#All],[PID]],0)),INDEX(Table3[[#All],[INT]],MATCH(Table5[[#This Row],[PID]],Table3[[#All],[PID]],0)))</f>
        <v>Low</v>
      </c>
      <c r="L552" s="60">
        <f>IF($C552="B",INDEX(Batters[[#All],[CON P]],MATCH(Table5[[#This Row],[PID]],Batters[[#All],[PID]],0)),INDEX(Table3[[#All],[STU P]],MATCH(Table5[[#This Row],[PID]],Table3[[#All],[PID]],0)))</f>
        <v>3</v>
      </c>
      <c r="M552" s="56">
        <f>IF($C552="B",INDEX(Batters[[#All],[GAP P]],MATCH(Table5[[#This Row],[PID]],Batters[[#All],[PID]],0)),INDEX(Table3[[#All],[MOV P]],MATCH(Table5[[#This Row],[PID]],Table3[[#All],[PID]],0)))</f>
        <v>3</v>
      </c>
      <c r="N552" s="56">
        <f>IF($C552="B",INDEX(Batters[[#All],[POW P]],MATCH(Table5[[#This Row],[PID]],Batters[[#All],[PID]],0)),INDEX(Table3[[#All],[CON P]],MATCH(Table5[[#This Row],[PID]],Table3[[#All],[PID]],0)))</f>
        <v>4</v>
      </c>
      <c r="O552" s="56" t="str">
        <f>IF($C552="B",INDEX(Batters[[#All],[EYE P]],MATCH(Table5[[#This Row],[PID]],Batters[[#All],[PID]],0)),INDEX(Table3[[#All],[VELO]],MATCH(Table5[[#This Row],[PID]],Table3[[#All],[PID]],0)))</f>
        <v>87-89 Mph</v>
      </c>
      <c r="P552" s="56">
        <f>IF($C552="B",INDEX(Batters[[#All],[K P]],MATCH(Table5[[#This Row],[PID]],Batters[[#All],[PID]],0)),INDEX(Table3[[#All],[STM]],MATCH(Table5[[#This Row],[PID]],Table3[[#All],[PID]],0)))</f>
        <v>9</v>
      </c>
      <c r="Q552" s="61">
        <f>IF($C552="B",INDEX(Batters[[#All],[Tot]],MATCH(Table5[[#This Row],[PID]],Batters[[#All],[PID]],0)),INDEX(Table3[[#All],[Tot]],MATCH(Table5[[#This Row],[PID]],Table3[[#All],[PID]],0)))</f>
        <v>32.448108186507234</v>
      </c>
      <c r="R552" s="52">
        <f>IF($C552="B",INDEX(Batters[[#All],[zScore]],MATCH(Table5[[#This Row],[PID]],Batters[[#All],[PID]],0)),INDEX(Table3[[#All],[zScore]],MATCH(Table5[[#This Row],[PID]],Table3[[#All],[PID]],0)))</f>
        <v>-0.38127623488718132</v>
      </c>
      <c r="S552" s="58" t="str">
        <f>IF($C552="B",INDEX(Batters[[#All],[DEM]],MATCH(Table5[[#This Row],[PID]],Batters[[#All],[PID]],0)),INDEX(Table3[[#All],[DEM]],MATCH(Table5[[#This Row],[PID]],Table3[[#All],[PID]],0)))</f>
        <v>$20k</v>
      </c>
      <c r="T552" s="62">
        <f>IF($C552="B",INDEX(Batters[[#All],[Rnk]],MATCH(Table5[[#This Row],[PID]],Batters[[#All],[PID]],0)),INDEX(Table3[[#All],[Rnk]],MATCH(Table5[[#This Row],[PID]],Table3[[#All],[PID]],0)))</f>
        <v>950</v>
      </c>
      <c r="U552" s="67">
        <f>IF($C552="B",VLOOKUP($A552,Bat!$A$4:$BA$1314,47,FALSE),VLOOKUP($A552,Pit!$A$4:$BF$1214,56,FALSE))</f>
        <v>416</v>
      </c>
      <c r="V552" s="50">
        <f>IF($C552="B",VLOOKUP($A552,Bat!$A$4:$BA$1314,48,FALSE),VLOOKUP($A552,Pit!$A$4:$BF$1214,57,FALSE))</f>
        <v>0</v>
      </c>
      <c r="W552" s="68">
        <f>IF(Table5[[#This Row],[posRnk]]=999,9999,Table5[[#This Row],[posRnk]]+Table5[[#This Row],[zRnk]]+IF($W$3&lt;&gt;Table5[[#This Row],[Type]],50,0))</f>
        <v>1474</v>
      </c>
      <c r="X552" s="51">
        <f>RANK(Table5[[#This Row],[zScore]],Table5[[#All],[zScore]])</f>
        <v>524</v>
      </c>
      <c r="Y552" s="50">
        <f>IFERROR(INDEX(DraftResults[[#All],[OVR]],MATCH(Table5[[#This Row],[PID]],DraftResults[[#All],[Player ID]],0)),"")</f>
        <v>452</v>
      </c>
      <c r="Z552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14</v>
      </c>
      <c r="AA552" s="50">
        <f>IFERROR(INDEX(DraftResults[[#All],[Pick in Round]],MATCH(Table5[[#This Row],[PID]],DraftResults[[#All],[Player ID]],0)),"")</f>
        <v>19</v>
      </c>
      <c r="AB552" s="50" t="str">
        <f>IFERROR(INDEX(DraftResults[[#All],[Team Name]],MATCH(Table5[[#This Row],[PID]],DraftResults[[#All],[Player ID]],0)),"")</f>
        <v>Fargo Dinosaurs</v>
      </c>
      <c r="AC552" s="50">
        <f>IF(Table5[[#This Row],[Ovr]]="","",IF(Table5[[#This Row],[cmbList]]="","",Table5[[#This Row],[cmbList]]-Table5[[#This Row],[Ovr]]))</f>
        <v>1022</v>
      </c>
      <c r="AD552" s="54" t="str">
        <f>IF(ISERROR(VLOOKUP($AB552&amp;"-"&amp;$E552&amp;" "&amp;F552,Bonuses!$B$1:$G$1006,4,FALSE)),"",INT(VLOOKUP($AB552&amp;"-"&amp;$E552&amp;" "&amp;$F552,Bonuses!$B$1:$G$1006,4,FALSE)))</f>
        <v/>
      </c>
      <c r="AE552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14.19 (452) - SP Alistair Coulton</v>
      </c>
    </row>
    <row r="553" spans="1:31" s="50" customFormat="1" x14ac:dyDescent="0.3">
      <c r="A553" s="50">
        <v>10701</v>
      </c>
      <c r="B553" s="55">
        <f>COUNTIF(Table5[PID],A553)</f>
        <v>1</v>
      </c>
      <c r="C553" s="55" t="str">
        <f>IF(COUNTIF(Table3[[#All],[PID]],A553)&gt;0,"P","B")</f>
        <v>P</v>
      </c>
      <c r="D553" s="59" t="str">
        <f>IF($C553="B",INDEX(Batters[[#All],[POS]],MATCH(Table5[[#This Row],[PID]],Batters[[#All],[PID]],0)),INDEX(Table3[[#All],[POS]],MATCH(Table5[[#This Row],[PID]],Table3[[#All],[PID]],0)))</f>
        <v>RP</v>
      </c>
      <c r="E553" s="52" t="str">
        <f>IF($C553="B",INDEX(Batters[[#All],[First]],MATCH(Table5[[#This Row],[PID]],Batters[[#All],[PID]],0)),INDEX(Table3[[#All],[First]],MATCH(Table5[[#This Row],[PID]],Table3[[#All],[PID]],0)))</f>
        <v>Jay</v>
      </c>
      <c r="F553" s="50" t="str">
        <f>IF($C553="B",INDEX(Batters[[#All],[Last]],MATCH(A553,Batters[[#All],[PID]],0)),INDEX(Table3[[#All],[Last]],MATCH(A553,Table3[[#All],[PID]],0)))</f>
        <v>Beales</v>
      </c>
      <c r="G553" s="56">
        <f>IF($C553="B",INDEX(Batters[[#All],[Age]],MATCH(Table5[[#This Row],[PID]],Batters[[#All],[PID]],0)),INDEX(Table3[[#All],[Age]],MATCH(Table5[[#This Row],[PID]],Table3[[#All],[PID]],0)))</f>
        <v>21</v>
      </c>
      <c r="H553" s="52" t="str">
        <f>IF($C553="B",INDEX(Batters[[#All],[B]],MATCH(Table5[[#This Row],[PID]],Batters[[#All],[PID]],0)),INDEX(Table3[[#All],[B]],MATCH(Table5[[#This Row],[PID]],Table3[[#All],[PID]],0)))</f>
        <v>L</v>
      </c>
      <c r="I553" s="52" t="str">
        <f>IF($C553="B",INDEX(Batters[[#All],[T]],MATCH(Table5[[#This Row],[PID]],Batters[[#All],[PID]],0)),INDEX(Table3[[#All],[T]],MATCH(Table5[[#This Row],[PID]],Table3[[#All],[PID]],0)))</f>
        <v>R</v>
      </c>
      <c r="J553" s="52" t="str">
        <f>IF($C553="B",INDEX(Batters[[#All],[WE]],MATCH(Table5[[#This Row],[PID]],Batters[[#All],[PID]],0)),INDEX(Table3[[#All],[WE]],MATCH(Table5[[#This Row],[PID]],Table3[[#All],[PID]],0)))</f>
        <v>Normal</v>
      </c>
      <c r="K553" s="52" t="str">
        <f>IF($C553="B",INDEX(Batters[[#All],[INT]],MATCH(Table5[[#This Row],[PID]],Batters[[#All],[PID]],0)),INDEX(Table3[[#All],[INT]],MATCH(Table5[[#This Row],[PID]],Table3[[#All],[PID]],0)))</f>
        <v>Normal</v>
      </c>
      <c r="L553" s="60">
        <f>IF($C553="B",INDEX(Batters[[#All],[CON P]],MATCH(Table5[[#This Row],[PID]],Batters[[#All],[PID]],0)),INDEX(Table3[[#All],[STU P]],MATCH(Table5[[#This Row],[PID]],Table3[[#All],[PID]],0)))</f>
        <v>3</v>
      </c>
      <c r="M553" s="56">
        <f>IF($C553="B",INDEX(Batters[[#All],[GAP P]],MATCH(Table5[[#This Row],[PID]],Batters[[#All],[PID]],0)),INDEX(Table3[[#All],[MOV P]],MATCH(Table5[[#This Row],[PID]],Table3[[#All],[PID]],0)))</f>
        <v>2</v>
      </c>
      <c r="N553" s="56">
        <f>IF($C553="B",INDEX(Batters[[#All],[POW P]],MATCH(Table5[[#This Row],[PID]],Batters[[#All],[PID]],0)),INDEX(Table3[[#All],[CON P]],MATCH(Table5[[#This Row],[PID]],Table3[[#All],[PID]],0)))</f>
        <v>4</v>
      </c>
      <c r="O553" s="56" t="str">
        <f>IF($C553="B",INDEX(Batters[[#All],[EYE P]],MATCH(Table5[[#This Row],[PID]],Batters[[#All],[PID]],0)),INDEX(Table3[[#All],[VELO]],MATCH(Table5[[#This Row],[PID]],Table3[[#All],[PID]],0)))</f>
        <v>85-87 Mph</v>
      </c>
      <c r="P553" s="56">
        <f>IF($C553="B",INDEX(Batters[[#All],[K P]],MATCH(Table5[[#This Row],[PID]],Batters[[#All],[PID]],0)),INDEX(Table3[[#All],[STM]],MATCH(Table5[[#This Row],[PID]],Table3[[#All],[PID]],0)))</f>
        <v>8</v>
      </c>
      <c r="Q553" s="61">
        <f>IF($C553="B",INDEX(Batters[[#All],[Tot]],MATCH(Table5[[#This Row],[PID]],Batters[[#All],[PID]],0)),INDEX(Table3[[#All],[Tot]],MATCH(Table5[[#This Row],[PID]],Table3[[#All],[PID]],0)))</f>
        <v>30.612868138889109</v>
      </c>
      <c r="R553" s="52">
        <f>IF($C553="B",INDEX(Batters[[#All],[zScore]],MATCH(Table5[[#This Row],[PID]],Batters[[#All],[PID]],0)),INDEX(Table3[[#All],[zScore]],MATCH(Table5[[#This Row],[PID]],Table3[[#All],[PID]],0)))</f>
        <v>-0.51195823328772627</v>
      </c>
      <c r="S553" s="58" t="str">
        <f>IF($C553="B",INDEX(Batters[[#All],[DEM]],MATCH(Table5[[#This Row],[PID]],Batters[[#All],[PID]],0)),INDEX(Table3[[#All],[DEM]],MATCH(Table5[[#This Row],[PID]],Table3[[#All],[PID]],0)))</f>
        <v>-</v>
      </c>
      <c r="T553" s="62">
        <f>IF($C553="B",INDEX(Batters[[#All],[Rnk]],MATCH(Table5[[#This Row],[PID]],Batters[[#All],[PID]],0)),INDEX(Table3[[#All],[Rnk]],MATCH(Table5[[#This Row],[PID]],Table3[[#All],[PID]],0)))</f>
        <v>900</v>
      </c>
      <c r="U553" s="67">
        <f>IF($C553="B",VLOOKUP($A553,Bat!$A$4:$BA$1314,47,FALSE),VLOOKUP($A553,Pit!$A$4:$BF$1214,56,FALSE))</f>
        <v>192</v>
      </c>
      <c r="V553" s="50">
        <f>IF($C553="B",VLOOKUP($A553,Bat!$A$4:$BA$1314,48,FALSE),VLOOKUP($A553,Pit!$A$4:$BF$1214,57,FALSE))</f>
        <v>0</v>
      </c>
      <c r="W553" s="68">
        <f>IF(Table5[[#This Row],[posRnk]]=999,9999,Table5[[#This Row],[posRnk]]+Table5[[#This Row],[zRnk]]+IF($W$3&lt;&gt;Table5[[#This Row],[Type]],50,0))</f>
        <v>1475</v>
      </c>
      <c r="X553" s="51">
        <f>RANK(Table5[[#This Row],[zScore]],Table5[[#All],[zScore]])</f>
        <v>575</v>
      </c>
      <c r="Y553" s="50">
        <f>IFERROR(INDEX(DraftResults[[#All],[OVR]],MATCH(Table5[[#This Row],[PID]],DraftResults[[#All],[Player ID]],0)),"")</f>
        <v>445</v>
      </c>
      <c r="Z553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14</v>
      </c>
      <c r="AA553" s="50">
        <f>IFERROR(INDEX(DraftResults[[#All],[Pick in Round]],MATCH(Table5[[#This Row],[PID]],DraftResults[[#All],[Player ID]],0)),"")</f>
        <v>12</v>
      </c>
      <c r="AB553" s="50" t="str">
        <f>IFERROR(INDEX(DraftResults[[#All],[Team Name]],MATCH(Table5[[#This Row],[PID]],DraftResults[[#All],[Player ID]],0)),"")</f>
        <v>Manchester Maulers</v>
      </c>
      <c r="AC553" s="50">
        <f>IF(Table5[[#This Row],[Ovr]]="","",IF(Table5[[#This Row],[cmbList]]="","",Table5[[#This Row],[cmbList]]-Table5[[#This Row],[Ovr]]))</f>
        <v>1030</v>
      </c>
      <c r="AD553" s="54" t="str">
        <f>IF(ISERROR(VLOOKUP($AB553&amp;"-"&amp;$E553&amp;" "&amp;F553,Bonuses!$B$1:$G$1006,4,FALSE)),"",INT(VLOOKUP($AB553&amp;"-"&amp;$E553&amp;" "&amp;$F553,Bonuses!$B$1:$G$1006,4,FALSE)))</f>
        <v/>
      </c>
      <c r="AE553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14.12 (445) - RP Jay Beales</v>
      </c>
    </row>
    <row r="554" spans="1:31" s="50" customFormat="1" x14ac:dyDescent="0.3">
      <c r="A554" s="50">
        <v>12924</v>
      </c>
      <c r="B554" s="50">
        <f>COUNTIF(Table5[PID],A554)</f>
        <v>1</v>
      </c>
      <c r="C554" s="50" t="str">
        <f>IF(COUNTIF(Table3[[#All],[PID]],A554)&gt;0,"P","B")</f>
        <v>P</v>
      </c>
      <c r="D554" s="59" t="str">
        <f>IF($C554="B",INDEX(Batters[[#All],[POS]],MATCH(Table5[[#This Row],[PID]],Batters[[#All],[PID]],0)),INDEX(Table3[[#All],[POS]],MATCH(Table5[[#This Row],[PID]],Table3[[#All],[PID]],0)))</f>
        <v>RP</v>
      </c>
      <c r="E554" s="52" t="str">
        <f>IF($C554="B",INDEX(Batters[[#All],[First]],MATCH(Table5[[#This Row],[PID]],Batters[[#All],[PID]],0)),INDEX(Table3[[#All],[First]],MATCH(Table5[[#This Row],[PID]],Table3[[#All],[PID]],0)))</f>
        <v>Jérôme</v>
      </c>
      <c r="F554" s="50" t="str">
        <f>IF($C554="B",INDEX(Batters[[#All],[Last]],MATCH(A554,Batters[[#All],[PID]],0)),INDEX(Table3[[#All],[Last]],MATCH(A554,Table3[[#All],[PID]],0)))</f>
        <v>Vidal</v>
      </c>
      <c r="G554" s="56">
        <f>IF($C554="B",INDEX(Batters[[#All],[Age]],MATCH(Table5[[#This Row],[PID]],Batters[[#All],[PID]],0)),INDEX(Table3[[#All],[Age]],MATCH(Table5[[#This Row],[PID]],Table3[[#All],[PID]],0)))</f>
        <v>17</v>
      </c>
      <c r="H554" s="52" t="str">
        <f>IF($C554="B",INDEX(Batters[[#All],[B]],MATCH(Table5[[#This Row],[PID]],Batters[[#All],[PID]],0)),INDEX(Table3[[#All],[B]],MATCH(Table5[[#This Row],[PID]],Table3[[#All],[PID]],0)))</f>
        <v>R</v>
      </c>
      <c r="I554" s="52" t="str">
        <f>IF($C554="B",INDEX(Batters[[#All],[T]],MATCH(Table5[[#This Row],[PID]],Batters[[#All],[PID]],0)),INDEX(Table3[[#All],[T]],MATCH(Table5[[#This Row],[PID]],Table3[[#All],[PID]],0)))</f>
        <v>R</v>
      </c>
      <c r="J554" s="52" t="str">
        <f>IF($C554="B",INDEX(Batters[[#All],[WE]],MATCH(Table5[[#This Row],[PID]],Batters[[#All],[PID]],0)),INDEX(Table3[[#All],[WE]],MATCH(Table5[[#This Row],[PID]],Table3[[#All],[PID]],0)))</f>
        <v>High</v>
      </c>
      <c r="K554" s="52" t="str">
        <f>IF($C554="B",INDEX(Batters[[#All],[INT]],MATCH(Table5[[#This Row],[PID]],Batters[[#All],[PID]],0)),INDEX(Table3[[#All],[INT]],MATCH(Table5[[#This Row],[PID]],Table3[[#All],[PID]],0)))</f>
        <v>Normal</v>
      </c>
      <c r="L554" s="60">
        <f>IF($C554="B",INDEX(Batters[[#All],[CON P]],MATCH(Table5[[#This Row],[PID]],Batters[[#All],[PID]],0)),INDEX(Table3[[#All],[STU P]],MATCH(Table5[[#This Row],[PID]],Table3[[#All],[PID]],0)))</f>
        <v>3</v>
      </c>
      <c r="M554" s="56">
        <f>IF($C554="B",INDEX(Batters[[#All],[GAP P]],MATCH(Table5[[#This Row],[PID]],Batters[[#All],[PID]],0)),INDEX(Table3[[#All],[MOV P]],MATCH(Table5[[#This Row],[PID]],Table3[[#All],[PID]],0)))</f>
        <v>2</v>
      </c>
      <c r="N554" s="56">
        <f>IF($C554="B",INDEX(Batters[[#All],[POW P]],MATCH(Table5[[#This Row],[PID]],Batters[[#All],[PID]],0)),INDEX(Table3[[#All],[CON P]],MATCH(Table5[[#This Row],[PID]],Table3[[#All],[PID]],0)))</f>
        <v>3</v>
      </c>
      <c r="O554" s="56" t="str">
        <f>IF($C554="B",INDEX(Batters[[#All],[EYE P]],MATCH(Table5[[#This Row],[PID]],Batters[[#All],[PID]],0)),INDEX(Table3[[#All],[VELO]],MATCH(Table5[[#This Row],[PID]],Table3[[#All],[PID]],0)))</f>
        <v>90-92 Mph</v>
      </c>
      <c r="P554" s="56">
        <f>IF($C554="B",INDEX(Batters[[#All],[K P]],MATCH(Table5[[#This Row],[PID]],Batters[[#All],[PID]],0)),INDEX(Table3[[#All],[STM]],MATCH(Table5[[#This Row],[PID]],Table3[[#All],[PID]],0)))</f>
        <v>7</v>
      </c>
      <c r="Q554" s="61">
        <f>IF($C554="B",INDEX(Batters[[#All],[Tot]],MATCH(Table5[[#This Row],[PID]],Batters[[#All],[PID]],0)),INDEX(Table3[[#All],[Tot]],MATCH(Table5[[#This Row],[PID]],Table3[[#All],[PID]],0)))</f>
        <v>30.607047967116266</v>
      </c>
      <c r="R554" s="52">
        <f>IF($C554="B",INDEX(Batters[[#All],[zScore]],MATCH(Table5[[#This Row],[PID]],Batters[[#All],[PID]],0)),INDEX(Table3[[#All],[zScore]],MATCH(Table5[[#This Row],[PID]],Table3[[#All],[PID]],0)))</f>
        <v>-0.51237267045048152</v>
      </c>
      <c r="S554" s="58" t="str">
        <f>IF($C554="B",INDEX(Batters[[#All],[DEM]],MATCH(Table5[[#This Row],[PID]],Batters[[#All],[PID]],0)),INDEX(Table3[[#All],[DEM]],MATCH(Table5[[#This Row],[PID]],Table3[[#All],[PID]],0)))</f>
        <v>$130k</v>
      </c>
      <c r="T554" s="62">
        <f>IF($C554="B",INDEX(Batters[[#All],[Rnk]],MATCH(Table5[[#This Row],[PID]],Batters[[#All],[PID]],0)),INDEX(Table3[[#All],[Rnk]],MATCH(Table5[[#This Row],[PID]],Table3[[#All],[PID]],0)))</f>
        <v>900</v>
      </c>
      <c r="U554" s="67">
        <f>IF($C554="B",VLOOKUP($A554,Bat!$A$4:$BA$1314,47,FALSE),VLOOKUP($A554,Pit!$A$4:$BF$1214,56,FALSE))</f>
        <v>185</v>
      </c>
      <c r="V554" s="50">
        <f>IF($C554="B",VLOOKUP($A554,Bat!$A$4:$BA$1314,48,FALSE),VLOOKUP($A554,Pit!$A$4:$BF$1214,57,FALSE))</f>
        <v>0</v>
      </c>
      <c r="W554" s="68">
        <f>IF(Table5[[#This Row],[posRnk]]=999,9999,Table5[[#This Row],[posRnk]]+Table5[[#This Row],[zRnk]]+IF($W$3&lt;&gt;Table5[[#This Row],[Type]],50,0))</f>
        <v>1477</v>
      </c>
      <c r="X554" s="51">
        <f>RANK(Table5[[#This Row],[zScore]],Table5[[#All],[zScore]])</f>
        <v>577</v>
      </c>
      <c r="Y554" s="50">
        <f>IFERROR(INDEX(DraftResults[[#All],[OVR]],MATCH(Table5[[#This Row],[PID]],DraftResults[[#All],[Player ID]],0)),"")</f>
        <v>654</v>
      </c>
      <c r="Z554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20</v>
      </c>
      <c r="AA554" s="50">
        <f>IFERROR(INDEX(DraftResults[[#All],[Pick in Round]],MATCH(Table5[[#This Row],[PID]],DraftResults[[#All],[Player ID]],0)),"")</f>
        <v>17</v>
      </c>
      <c r="AB554" s="50" t="str">
        <f>IFERROR(INDEX(DraftResults[[#All],[Team Name]],MATCH(Table5[[#This Row],[PID]],DraftResults[[#All],[Player ID]],0)),"")</f>
        <v>Duluth Warriors</v>
      </c>
      <c r="AC554" s="50">
        <f>IF(Table5[[#This Row],[Ovr]]="","",IF(Table5[[#This Row],[cmbList]]="","",Table5[[#This Row],[cmbList]]-Table5[[#This Row],[Ovr]]))</f>
        <v>823</v>
      </c>
      <c r="AD554" s="54" t="str">
        <f>IF(ISERROR(VLOOKUP($AB554&amp;"-"&amp;$E554&amp;" "&amp;F554,Bonuses!$B$1:$G$1006,4,FALSE)),"",INT(VLOOKUP($AB554&amp;"-"&amp;$E554&amp;" "&amp;$F554,Bonuses!$B$1:$G$1006,4,FALSE)))</f>
        <v/>
      </c>
      <c r="AE554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20.17 (654) - RP Jérôme Vidal</v>
      </c>
    </row>
    <row r="555" spans="1:31" s="50" customFormat="1" x14ac:dyDescent="0.3">
      <c r="A555" s="50">
        <v>11504</v>
      </c>
      <c r="B555" s="50">
        <f>COUNTIF(Table5[PID],A555)</f>
        <v>1</v>
      </c>
      <c r="C555" s="50" t="str">
        <f>IF(COUNTIF(Table3[[#All],[PID]],A555)&gt;0,"P","B")</f>
        <v>P</v>
      </c>
      <c r="D555" s="59" t="str">
        <f>IF($C555="B",INDEX(Batters[[#All],[POS]],MATCH(Table5[[#This Row],[PID]],Batters[[#All],[PID]],0)),INDEX(Table3[[#All],[POS]],MATCH(Table5[[#This Row],[PID]],Table3[[#All],[PID]],0)))</f>
        <v>SP</v>
      </c>
      <c r="E555" s="52" t="str">
        <f>IF($C555="B",INDEX(Batters[[#All],[First]],MATCH(Table5[[#This Row],[PID]],Batters[[#All],[PID]],0)),INDEX(Table3[[#All],[First]],MATCH(Table5[[#This Row],[PID]],Table3[[#All],[PID]],0)))</f>
        <v>Michael</v>
      </c>
      <c r="F555" s="50" t="str">
        <f>IF($C555="B",INDEX(Batters[[#All],[Last]],MATCH(A555,Batters[[#All],[PID]],0)),INDEX(Table3[[#All],[Last]],MATCH(A555,Table3[[#All],[PID]],0)))</f>
        <v>Reed</v>
      </c>
      <c r="G555" s="56">
        <f>IF($C555="B",INDEX(Batters[[#All],[Age]],MATCH(Table5[[#This Row],[PID]],Batters[[#All],[PID]],0)),INDEX(Table3[[#All],[Age]],MATCH(Table5[[#This Row],[PID]],Table3[[#All],[PID]],0)))</f>
        <v>17</v>
      </c>
      <c r="H555" s="52" t="str">
        <f>IF($C555="B",INDEX(Batters[[#All],[B]],MATCH(Table5[[#This Row],[PID]],Batters[[#All],[PID]],0)),INDEX(Table3[[#All],[B]],MATCH(Table5[[#This Row],[PID]],Table3[[#All],[PID]],0)))</f>
        <v>R</v>
      </c>
      <c r="I555" s="52" t="str">
        <f>IF($C555="B",INDEX(Batters[[#All],[T]],MATCH(Table5[[#This Row],[PID]],Batters[[#All],[PID]],0)),INDEX(Table3[[#All],[T]],MATCH(Table5[[#This Row],[PID]],Table3[[#All],[PID]],0)))</f>
        <v>R</v>
      </c>
      <c r="J555" s="52" t="str">
        <f>IF($C555="B",INDEX(Batters[[#All],[WE]],MATCH(Table5[[#This Row],[PID]],Batters[[#All],[PID]],0)),INDEX(Table3[[#All],[WE]],MATCH(Table5[[#This Row],[PID]],Table3[[#All],[PID]],0)))</f>
        <v>Normal</v>
      </c>
      <c r="K555" s="52" t="str">
        <f>IF($C555="B",INDEX(Batters[[#All],[INT]],MATCH(Table5[[#This Row],[PID]],Batters[[#All],[PID]],0)),INDEX(Table3[[#All],[INT]],MATCH(Table5[[#This Row],[PID]],Table3[[#All],[PID]],0)))</f>
        <v>Normal</v>
      </c>
      <c r="L555" s="60">
        <f>IF($C555="B",INDEX(Batters[[#All],[CON P]],MATCH(Table5[[#This Row],[PID]],Batters[[#All],[PID]],0)),INDEX(Table3[[#All],[STU P]],MATCH(Table5[[#This Row],[PID]],Table3[[#All],[PID]],0)))</f>
        <v>5</v>
      </c>
      <c r="M555" s="56">
        <f>IF($C555="B",INDEX(Batters[[#All],[GAP P]],MATCH(Table5[[#This Row],[PID]],Batters[[#All],[PID]],0)),INDEX(Table3[[#All],[MOV P]],MATCH(Table5[[#This Row],[PID]],Table3[[#All],[PID]],0)))</f>
        <v>1</v>
      </c>
      <c r="N555" s="56">
        <f>IF($C555="B",INDEX(Batters[[#All],[POW P]],MATCH(Table5[[#This Row],[PID]],Batters[[#All],[PID]],0)),INDEX(Table3[[#All],[CON P]],MATCH(Table5[[#This Row],[PID]],Table3[[#All],[PID]],0)))</f>
        <v>2</v>
      </c>
      <c r="O555" s="56" t="str">
        <f>IF($C555="B",INDEX(Batters[[#All],[EYE P]],MATCH(Table5[[#This Row],[PID]],Batters[[#All],[PID]],0)),INDEX(Table3[[#All],[VELO]],MATCH(Table5[[#This Row],[PID]],Table3[[#All],[PID]],0)))</f>
        <v>93-95 Mph</v>
      </c>
      <c r="P555" s="56">
        <f>IF($C555="B",INDEX(Batters[[#All],[K P]],MATCH(Table5[[#This Row],[PID]],Batters[[#All],[PID]],0)),INDEX(Table3[[#All],[STM]],MATCH(Table5[[#This Row],[PID]],Table3[[#All],[PID]],0)))</f>
        <v>5</v>
      </c>
      <c r="Q555" s="61">
        <f>IF($C555="B",INDEX(Batters[[#All],[Tot]],MATCH(Table5[[#This Row],[PID]],Batters[[#All],[PID]],0)),INDEX(Table3[[#All],[Tot]],MATCH(Table5[[#This Row],[PID]],Table3[[#All],[PID]],0)))</f>
        <v>30.602888777403582</v>
      </c>
      <c r="R555" s="52">
        <f>IF($C555="B",INDEX(Batters[[#All],[zScore]],MATCH(Table5[[#This Row],[PID]],Batters[[#All],[PID]],0)),INDEX(Table3[[#All],[zScore]],MATCH(Table5[[#This Row],[PID]],Table3[[#All],[PID]],0)))</f>
        <v>-0.51266883400907759</v>
      </c>
      <c r="S555" s="58" t="str">
        <f>IF($C555="B",INDEX(Batters[[#All],[DEM]],MATCH(Table5[[#This Row],[PID]],Batters[[#All],[PID]],0)),INDEX(Table3[[#All],[DEM]],MATCH(Table5[[#This Row],[PID]],Table3[[#All],[PID]],0)))</f>
        <v>$65k</v>
      </c>
      <c r="T555" s="62">
        <f>IF($C555="B",INDEX(Batters[[#All],[Rnk]],MATCH(Table5[[#This Row],[PID]],Batters[[#All],[PID]],0)),INDEX(Table3[[#All],[Rnk]],MATCH(Table5[[#This Row],[PID]],Table3[[#All],[PID]],0)))</f>
        <v>900</v>
      </c>
      <c r="U555" s="67">
        <f>IF($C555="B",VLOOKUP($A555,Bat!$A$4:$BA$1314,47,FALSE),VLOOKUP($A555,Pit!$A$4:$BF$1214,56,FALSE))</f>
        <v>193</v>
      </c>
      <c r="V555" s="50">
        <f>IF($C555="B",VLOOKUP($A555,Bat!$A$4:$BA$1314,48,FALSE),VLOOKUP($A555,Pit!$A$4:$BF$1214,57,FALSE))</f>
        <v>0</v>
      </c>
      <c r="W555" s="68">
        <f>IF(Table5[[#This Row],[posRnk]]=999,9999,Table5[[#This Row],[posRnk]]+Table5[[#This Row],[zRnk]]+IF($W$3&lt;&gt;Table5[[#This Row],[Type]],50,0))</f>
        <v>1478</v>
      </c>
      <c r="X555" s="51">
        <f>RANK(Table5[[#This Row],[zScore]],Table5[[#All],[zScore]])</f>
        <v>578</v>
      </c>
      <c r="Y555" s="50">
        <f>IFERROR(INDEX(DraftResults[[#All],[OVR]],MATCH(Table5[[#This Row],[PID]],DraftResults[[#All],[Player ID]],0)),"")</f>
        <v>369</v>
      </c>
      <c r="Z555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12</v>
      </c>
      <c r="AA555" s="50">
        <f>IFERROR(INDEX(DraftResults[[#All],[Pick in Round]],MATCH(Table5[[#This Row],[PID]],DraftResults[[#All],[Player ID]],0)),"")</f>
        <v>4</v>
      </c>
      <c r="AB555" s="50" t="str">
        <f>IFERROR(INDEX(DraftResults[[#All],[Team Name]],MATCH(Table5[[#This Row],[PID]],DraftResults[[#All],[Player ID]],0)),"")</f>
        <v>Palm Springs Codgers</v>
      </c>
      <c r="AC555" s="50">
        <f>IF(Table5[[#This Row],[Ovr]]="","",IF(Table5[[#This Row],[cmbList]]="","",Table5[[#This Row],[cmbList]]-Table5[[#This Row],[Ovr]]))</f>
        <v>1109</v>
      </c>
      <c r="AD555" s="54" t="str">
        <f>IF(ISERROR(VLOOKUP($AB555&amp;"-"&amp;$E555&amp;" "&amp;F555,Bonuses!$B$1:$G$1006,4,FALSE)),"",INT(VLOOKUP($AB555&amp;"-"&amp;$E555&amp;" "&amp;$F555,Bonuses!$B$1:$G$1006,4,FALSE)))</f>
        <v/>
      </c>
      <c r="AE555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12.4 (369) - SP Michael Reed</v>
      </c>
    </row>
    <row r="556" spans="1:31" s="50" customFormat="1" x14ac:dyDescent="0.3">
      <c r="A556" s="50">
        <v>13558</v>
      </c>
      <c r="B556" s="55">
        <f>COUNTIF(Table5[PID],A556)</f>
        <v>1</v>
      </c>
      <c r="C556" s="55" t="str">
        <f>IF(COUNTIF(Table3[[#All],[PID]],A556)&gt;0,"P","B")</f>
        <v>P</v>
      </c>
      <c r="D556" s="59" t="str">
        <f>IF($C556="B",INDEX(Batters[[#All],[POS]],MATCH(Table5[[#This Row],[PID]],Batters[[#All],[PID]],0)),INDEX(Table3[[#All],[POS]],MATCH(Table5[[#This Row],[PID]],Table3[[#All],[PID]],0)))</f>
        <v>RP</v>
      </c>
      <c r="E556" s="52" t="str">
        <f>IF($C556="B",INDEX(Batters[[#All],[First]],MATCH(Table5[[#This Row],[PID]],Batters[[#All],[PID]],0)),INDEX(Table3[[#All],[First]],MATCH(Table5[[#This Row],[PID]],Table3[[#All],[PID]],0)))</f>
        <v>Reece</v>
      </c>
      <c r="F556" s="50" t="str">
        <f>IF($C556="B",INDEX(Batters[[#All],[Last]],MATCH(A556,Batters[[#All],[PID]],0)),INDEX(Table3[[#All],[Last]],MATCH(A556,Table3[[#All],[PID]],0)))</f>
        <v>Negus</v>
      </c>
      <c r="G556" s="56">
        <f>IF($C556="B",INDEX(Batters[[#All],[Age]],MATCH(Table5[[#This Row],[PID]],Batters[[#All],[PID]],0)),INDEX(Table3[[#All],[Age]],MATCH(Table5[[#This Row],[PID]],Table3[[#All],[PID]],0)))</f>
        <v>21</v>
      </c>
      <c r="H556" s="52" t="str">
        <f>IF($C556="B",INDEX(Batters[[#All],[B]],MATCH(Table5[[#This Row],[PID]],Batters[[#All],[PID]],0)),INDEX(Table3[[#All],[B]],MATCH(Table5[[#This Row],[PID]],Table3[[#All],[PID]],0)))</f>
        <v>L</v>
      </c>
      <c r="I556" s="52" t="str">
        <f>IF($C556="B",INDEX(Batters[[#All],[T]],MATCH(Table5[[#This Row],[PID]],Batters[[#All],[PID]],0)),INDEX(Table3[[#All],[T]],MATCH(Table5[[#This Row],[PID]],Table3[[#All],[PID]],0)))</f>
        <v>L</v>
      </c>
      <c r="J556" s="52" t="str">
        <f>IF($C556="B",INDEX(Batters[[#All],[WE]],MATCH(Table5[[#This Row],[PID]],Batters[[#All],[PID]],0)),INDEX(Table3[[#All],[WE]],MATCH(Table5[[#This Row],[PID]],Table3[[#All],[PID]],0)))</f>
        <v>Low</v>
      </c>
      <c r="K556" s="52" t="str">
        <f>IF($C556="B",INDEX(Batters[[#All],[INT]],MATCH(Table5[[#This Row],[PID]],Batters[[#All],[PID]],0)),INDEX(Table3[[#All],[INT]],MATCH(Table5[[#This Row],[PID]],Table3[[#All],[PID]],0)))</f>
        <v>Normal</v>
      </c>
      <c r="L556" s="60">
        <f>IF($C556="B",INDEX(Batters[[#All],[CON P]],MATCH(Table5[[#This Row],[PID]],Batters[[#All],[PID]],0)),INDEX(Table3[[#All],[STU P]],MATCH(Table5[[#This Row],[PID]],Table3[[#All],[PID]],0)))</f>
        <v>4</v>
      </c>
      <c r="M556" s="56">
        <f>IF($C556="B",INDEX(Batters[[#All],[GAP P]],MATCH(Table5[[#This Row],[PID]],Batters[[#All],[PID]],0)),INDEX(Table3[[#All],[MOV P]],MATCH(Table5[[#This Row],[PID]],Table3[[#All],[PID]],0)))</f>
        <v>1</v>
      </c>
      <c r="N556" s="56">
        <f>IF($C556="B",INDEX(Batters[[#All],[POW P]],MATCH(Table5[[#This Row],[PID]],Batters[[#All],[PID]],0)),INDEX(Table3[[#All],[CON P]],MATCH(Table5[[#This Row],[PID]],Table3[[#All],[PID]],0)))</f>
        <v>4</v>
      </c>
      <c r="O556" s="56" t="str">
        <f>IF($C556="B",INDEX(Batters[[#All],[EYE P]],MATCH(Table5[[#This Row],[PID]],Batters[[#All],[PID]],0)),INDEX(Table3[[#All],[VELO]],MATCH(Table5[[#This Row],[PID]],Table3[[#All],[PID]],0)))</f>
        <v>86-88 Mph</v>
      </c>
      <c r="P556" s="56">
        <f>IF($C556="B",INDEX(Batters[[#All],[K P]],MATCH(Table5[[#This Row],[PID]],Batters[[#All],[PID]],0)),INDEX(Table3[[#All],[STM]],MATCH(Table5[[#This Row],[PID]],Table3[[#All],[PID]],0)))</f>
        <v>9</v>
      </c>
      <c r="Q556" s="61">
        <f>IF($C556="B",INDEX(Batters[[#All],[Tot]],MATCH(Table5[[#This Row],[PID]],Batters[[#All],[PID]],0)),INDEX(Table3[[#All],[Tot]],MATCH(Table5[[#This Row],[PID]],Table3[[#All],[PID]],0)))</f>
        <v>31.403127758720359</v>
      </c>
      <c r="R556" s="52">
        <f>IF($C556="B",INDEX(Batters[[#All],[zScore]],MATCH(Table5[[#This Row],[PID]],Batters[[#All],[PID]],0)),INDEX(Table3[[#All],[zScore]],MATCH(Table5[[#This Row],[PID]],Table3[[#All],[PID]],0)))</f>
        <v>-0.45568619056021731</v>
      </c>
      <c r="S556" s="58" t="str">
        <f>IF($C556="B",INDEX(Batters[[#All],[DEM]],MATCH(Table5[[#This Row],[PID]],Batters[[#All],[PID]],0)),INDEX(Table3[[#All],[DEM]],MATCH(Table5[[#This Row],[PID]],Table3[[#All],[PID]],0)))</f>
        <v>$20k</v>
      </c>
      <c r="T556" s="62">
        <f>IF($C556="B",INDEX(Batters[[#All],[Rnk]],MATCH(Table5[[#This Row],[PID]],Batters[[#All],[PID]],0)),INDEX(Table3[[#All],[Rnk]],MATCH(Table5[[#This Row],[PID]],Table3[[#All],[PID]],0)))</f>
        <v>930</v>
      </c>
      <c r="U556" s="67">
        <f>IF($C556="B",VLOOKUP($A556,Bat!$A$4:$BA$1314,47,FALSE),VLOOKUP($A556,Pit!$A$4:$BF$1214,56,FALSE))</f>
        <v>320</v>
      </c>
      <c r="V556" s="50">
        <f>IF($C556="B",VLOOKUP($A556,Bat!$A$4:$BA$1314,48,FALSE),VLOOKUP($A556,Pit!$A$4:$BF$1214,57,FALSE))</f>
        <v>0</v>
      </c>
      <c r="W556" s="68">
        <f>IF(Table5[[#This Row],[posRnk]]=999,9999,Table5[[#This Row],[posRnk]]+Table5[[#This Row],[zRnk]]+IF($W$3&lt;&gt;Table5[[#This Row],[Type]],50,0))</f>
        <v>1479</v>
      </c>
      <c r="X556" s="51">
        <f>RANK(Table5[[#This Row],[zScore]],Table5[[#All],[zScore]])</f>
        <v>549</v>
      </c>
      <c r="Y556" s="50">
        <f>IFERROR(INDEX(DraftResults[[#All],[OVR]],MATCH(Table5[[#This Row],[PID]],DraftResults[[#All],[Player ID]],0)),"")</f>
        <v>462</v>
      </c>
      <c r="Z556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14</v>
      </c>
      <c r="AA556" s="50">
        <f>IFERROR(INDEX(DraftResults[[#All],[Pick in Round]],MATCH(Table5[[#This Row],[PID]],DraftResults[[#All],[Player ID]],0)),"")</f>
        <v>29</v>
      </c>
      <c r="AB556" s="50" t="str">
        <f>IFERROR(INDEX(DraftResults[[#All],[Team Name]],MATCH(Table5[[#This Row],[PID]],DraftResults[[#All],[Player ID]],0)),"")</f>
        <v>Shin Seiki Evas</v>
      </c>
      <c r="AC556" s="50">
        <f>IF(Table5[[#This Row],[Ovr]]="","",IF(Table5[[#This Row],[cmbList]]="","",Table5[[#This Row],[cmbList]]-Table5[[#This Row],[Ovr]]))</f>
        <v>1017</v>
      </c>
      <c r="AD556" s="54" t="str">
        <f>IF(ISERROR(VLOOKUP($AB556&amp;"-"&amp;$E556&amp;" "&amp;F556,Bonuses!$B$1:$G$1006,4,FALSE)),"",INT(VLOOKUP($AB556&amp;"-"&amp;$E556&amp;" "&amp;$F556,Bonuses!$B$1:$G$1006,4,FALSE)))</f>
        <v/>
      </c>
      <c r="AE556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14.29 (462) - RP Reece Negus</v>
      </c>
    </row>
    <row r="557" spans="1:31" s="50" customFormat="1" x14ac:dyDescent="0.3">
      <c r="A557" s="50">
        <v>10096</v>
      </c>
      <c r="B557" s="50">
        <f>COUNTIF(Table5[PID],A557)</f>
        <v>1</v>
      </c>
      <c r="C557" s="50" t="str">
        <f>IF(COUNTIF(Table3[[#All],[PID]],A557)&gt;0,"P","B")</f>
        <v>B</v>
      </c>
      <c r="D557" s="59" t="str">
        <f>IF($C557="B",INDEX(Batters[[#All],[POS]],MATCH(Table5[[#This Row],[PID]],Batters[[#All],[PID]],0)),INDEX(Table3[[#All],[POS]],MATCH(Table5[[#This Row],[PID]],Table3[[#All],[PID]],0)))</f>
        <v>C</v>
      </c>
      <c r="E557" s="52" t="str">
        <f>IF($C557="B",INDEX(Batters[[#All],[First]],MATCH(Table5[[#This Row],[PID]],Batters[[#All],[PID]],0)),INDEX(Table3[[#All],[First]],MATCH(Table5[[#This Row],[PID]],Table3[[#All],[PID]],0)))</f>
        <v>Jed</v>
      </c>
      <c r="F557" s="50" t="str">
        <f>IF($C557="B",INDEX(Batters[[#All],[Last]],MATCH(A557,Batters[[#All],[PID]],0)),INDEX(Table3[[#All],[Last]],MATCH(A557,Table3[[#All],[PID]],0)))</f>
        <v>Fowler</v>
      </c>
      <c r="G557" s="56">
        <f>IF($C557="B",INDEX(Batters[[#All],[Age]],MATCH(Table5[[#This Row],[PID]],Batters[[#All],[PID]],0)),INDEX(Table3[[#All],[Age]],MATCH(Table5[[#This Row],[PID]],Table3[[#All],[PID]],0)))</f>
        <v>17</v>
      </c>
      <c r="H557" s="52" t="str">
        <f>IF($C557="B",INDEX(Batters[[#All],[B]],MATCH(Table5[[#This Row],[PID]],Batters[[#All],[PID]],0)),INDEX(Table3[[#All],[B]],MATCH(Table5[[#This Row],[PID]],Table3[[#All],[PID]],0)))</f>
        <v>R</v>
      </c>
      <c r="I557" s="52" t="str">
        <f>IF($C557="B",INDEX(Batters[[#All],[T]],MATCH(Table5[[#This Row],[PID]],Batters[[#All],[PID]],0)),INDEX(Table3[[#All],[T]],MATCH(Table5[[#This Row],[PID]],Table3[[#All],[PID]],0)))</f>
        <v>R</v>
      </c>
      <c r="J557" s="52" t="str">
        <f>IF($C557="B",INDEX(Batters[[#All],[WE]],MATCH(Table5[[#This Row],[PID]],Batters[[#All],[PID]],0)),INDEX(Table3[[#All],[WE]],MATCH(Table5[[#This Row],[PID]],Table3[[#All],[PID]],0)))</f>
        <v>Low</v>
      </c>
      <c r="K557" s="52" t="str">
        <f>IF($C557="B",INDEX(Batters[[#All],[INT]],MATCH(Table5[[#This Row],[PID]],Batters[[#All],[PID]],0)),INDEX(Table3[[#All],[INT]],MATCH(Table5[[#This Row],[PID]],Table3[[#All],[PID]],0)))</f>
        <v>Normal</v>
      </c>
      <c r="L557" s="60">
        <f>IF($C557="B",INDEX(Batters[[#All],[CON P]],MATCH(Table5[[#This Row],[PID]],Batters[[#All],[PID]],0)),INDEX(Table3[[#All],[STU P]],MATCH(Table5[[#This Row],[PID]],Table3[[#All],[PID]],0)))</f>
        <v>3</v>
      </c>
      <c r="M557" s="56">
        <f>IF($C557="B",INDEX(Batters[[#All],[GAP P]],MATCH(Table5[[#This Row],[PID]],Batters[[#All],[PID]],0)),INDEX(Table3[[#All],[MOV P]],MATCH(Table5[[#This Row],[PID]],Table3[[#All],[PID]],0)))</f>
        <v>4</v>
      </c>
      <c r="N557" s="56">
        <f>IF($C557="B",INDEX(Batters[[#All],[POW P]],MATCH(Table5[[#This Row],[PID]],Batters[[#All],[PID]],0)),INDEX(Table3[[#All],[CON P]],MATCH(Table5[[#This Row],[PID]],Table3[[#All],[PID]],0)))</f>
        <v>2</v>
      </c>
      <c r="O557" s="56">
        <f>IF($C557="B",INDEX(Batters[[#All],[EYE P]],MATCH(Table5[[#This Row],[PID]],Batters[[#All],[PID]],0)),INDEX(Table3[[#All],[VELO]],MATCH(Table5[[#This Row],[PID]],Table3[[#All],[PID]],0)))</f>
        <v>4</v>
      </c>
      <c r="P557" s="56">
        <f>IF($C557="B",INDEX(Batters[[#All],[K P]],MATCH(Table5[[#This Row],[PID]],Batters[[#All],[PID]],0)),INDEX(Table3[[#All],[STM]],MATCH(Table5[[#This Row],[PID]],Table3[[#All],[PID]],0)))</f>
        <v>5</v>
      </c>
      <c r="Q557" s="61">
        <f>IF($C557="B",INDEX(Batters[[#All],[Tot]],MATCH(Table5[[#This Row],[PID]],Batters[[#All],[PID]],0)),INDEX(Table3[[#All],[Tot]],MATCH(Table5[[#This Row],[PID]],Table3[[#All],[PID]],0)))</f>
        <v>40.078390334440854</v>
      </c>
      <c r="R557" s="52">
        <f>IF($C557="B",INDEX(Batters[[#All],[zScore]],MATCH(Table5[[#This Row],[PID]],Batters[[#All],[PID]],0)),INDEX(Table3[[#All],[zScore]],MATCH(Table5[[#This Row],[PID]],Table3[[#All],[PID]],0)))</f>
        <v>-0.4583544938012124</v>
      </c>
      <c r="S557" s="58" t="str">
        <f>IF($C557="B",INDEX(Batters[[#All],[DEM]],MATCH(Table5[[#This Row],[PID]],Batters[[#All],[PID]],0)),INDEX(Table3[[#All],[DEM]],MATCH(Table5[[#This Row],[PID]],Table3[[#All],[PID]],0)))</f>
        <v>$100k</v>
      </c>
      <c r="T557" s="62">
        <f>IF($C557="B",INDEX(Batters[[#All],[Rnk]],MATCH(Table5[[#This Row],[PID]],Batters[[#All],[PID]],0)),INDEX(Table3[[#All],[Rnk]],MATCH(Table5[[#This Row],[PID]],Table3[[#All],[PID]],0)))</f>
        <v>930</v>
      </c>
      <c r="U557" s="67">
        <f>IF($C557="B",VLOOKUP($A557,Bat!$A$4:$BA$1314,47,FALSE),VLOOKUP($A557,Pit!$A$4:$BF$1214,56,FALSE))</f>
        <v>345</v>
      </c>
      <c r="V557" s="50">
        <f>IF($C557="B",VLOOKUP($A557,Bat!$A$4:$BA$1314,48,FALSE),VLOOKUP($A557,Pit!$A$4:$BF$1214,57,FALSE))</f>
        <v>0</v>
      </c>
      <c r="W557" s="68">
        <f>IF(Table5[[#This Row],[posRnk]]=999,9999,Table5[[#This Row],[posRnk]]+Table5[[#This Row],[zRnk]]+IF($W$3&lt;&gt;Table5[[#This Row],[Type]],50,0))</f>
        <v>1530</v>
      </c>
      <c r="X557" s="51">
        <f>RANK(Table5[[#This Row],[zScore]],Table5[[#All],[zScore]])</f>
        <v>550</v>
      </c>
      <c r="Y557" s="50" t="str">
        <f>IFERROR(INDEX(DraftResults[[#All],[OVR]],MATCH(Table5[[#This Row],[PID]],DraftResults[[#All],[Player ID]],0)),"")</f>
        <v/>
      </c>
      <c r="Z557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/>
      </c>
      <c r="AA557" s="50" t="str">
        <f>IFERROR(INDEX(DraftResults[[#All],[Pick in Round]],MATCH(Table5[[#This Row],[PID]],DraftResults[[#All],[Player ID]],0)),"")</f>
        <v/>
      </c>
      <c r="AB557" s="50" t="str">
        <f>IFERROR(INDEX(DraftResults[[#All],[Team Name]],MATCH(Table5[[#This Row],[PID]],DraftResults[[#All],[Player ID]],0)),"")</f>
        <v/>
      </c>
      <c r="AC557" s="50" t="str">
        <f>IF(Table5[[#This Row],[Ovr]]="","",IF(Table5[[#This Row],[cmbList]]="","",Table5[[#This Row],[cmbList]]-Table5[[#This Row],[Ovr]]))</f>
        <v/>
      </c>
      <c r="AD557" s="54" t="str">
        <f>IF(ISERROR(VLOOKUP($AB557&amp;"-"&amp;$E557&amp;" "&amp;F557,Bonuses!$B$1:$G$1006,4,FALSE)),"",INT(VLOOKUP($AB557&amp;"-"&amp;$E557&amp;" "&amp;$F557,Bonuses!$B$1:$G$1006,4,FALSE)))</f>
        <v/>
      </c>
      <c r="AE557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/>
      </c>
    </row>
    <row r="558" spans="1:31" s="50" customFormat="1" x14ac:dyDescent="0.3">
      <c r="A558" s="67">
        <v>20231</v>
      </c>
      <c r="B558" s="68">
        <f>COUNTIF(Table5[PID],A558)</f>
        <v>1</v>
      </c>
      <c r="C558" s="68" t="str">
        <f>IF(COUNTIF(Table3[[#All],[PID]],A558)&gt;0,"P","B")</f>
        <v>B</v>
      </c>
      <c r="D558" s="59" t="str">
        <f>IF($C558="B",INDEX(Batters[[#All],[POS]],MATCH(Table5[[#This Row],[PID]],Batters[[#All],[PID]],0)),INDEX(Table3[[#All],[POS]],MATCH(Table5[[#This Row],[PID]],Table3[[#All],[PID]],0)))</f>
        <v>RF</v>
      </c>
      <c r="E558" s="52" t="str">
        <f>IF($C558="B",INDEX(Batters[[#All],[First]],MATCH(Table5[[#This Row],[PID]],Batters[[#All],[PID]],0)),INDEX(Table3[[#All],[First]],MATCH(Table5[[#This Row],[PID]],Table3[[#All],[PID]],0)))</f>
        <v>Christian</v>
      </c>
      <c r="F558" s="55" t="str">
        <f>IF($C558="B",INDEX(Batters[[#All],[Last]],MATCH(A558,Batters[[#All],[PID]],0)),INDEX(Table3[[#All],[Last]],MATCH(A558,Table3[[#All],[PID]],0)))</f>
        <v>Johnston</v>
      </c>
      <c r="G558" s="56">
        <f>IF($C558="B",INDEX(Batters[[#All],[Age]],MATCH(Table5[[#This Row],[PID]],Batters[[#All],[PID]],0)),INDEX(Table3[[#All],[Age]],MATCH(Table5[[#This Row],[PID]],Table3[[#All],[PID]],0)))</f>
        <v>23</v>
      </c>
      <c r="H558" s="52" t="str">
        <f>IF($C558="B",INDEX(Batters[[#All],[B]],MATCH(Table5[[#This Row],[PID]],Batters[[#All],[PID]],0)),INDEX(Table3[[#All],[B]],MATCH(Table5[[#This Row],[PID]],Table3[[#All],[PID]],0)))</f>
        <v>R</v>
      </c>
      <c r="I558" s="52" t="str">
        <f>IF($C558="B",INDEX(Batters[[#All],[T]],MATCH(Table5[[#This Row],[PID]],Batters[[#All],[PID]],0)),INDEX(Table3[[#All],[T]],MATCH(Table5[[#This Row],[PID]],Table3[[#All],[PID]],0)))</f>
        <v>R</v>
      </c>
      <c r="J558" s="69" t="str">
        <f>IF($C558="B",INDEX(Batters[[#All],[WE]],MATCH(Table5[[#This Row],[PID]],Batters[[#All],[PID]],0)),INDEX(Table3[[#All],[WE]],MATCH(Table5[[#This Row],[PID]],Table3[[#All],[PID]],0)))</f>
        <v>Normal</v>
      </c>
      <c r="K558" s="52" t="str">
        <f>IF($C558="B",INDEX(Batters[[#All],[INT]],MATCH(Table5[[#This Row],[PID]],Batters[[#All],[PID]],0)),INDEX(Table3[[#All],[INT]],MATCH(Table5[[#This Row],[PID]],Table3[[#All],[PID]],0)))</f>
        <v>Normal</v>
      </c>
      <c r="L558" s="60">
        <f>IF($C558="B",INDEX(Batters[[#All],[CON P]],MATCH(Table5[[#This Row],[PID]],Batters[[#All],[PID]],0)),INDEX(Table3[[#All],[STU P]],MATCH(Table5[[#This Row],[PID]],Table3[[#All],[PID]],0)))</f>
        <v>3</v>
      </c>
      <c r="M558" s="70">
        <f>IF($C558="B",INDEX(Batters[[#All],[GAP P]],MATCH(Table5[[#This Row],[PID]],Batters[[#All],[PID]],0)),INDEX(Table3[[#All],[MOV P]],MATCH(Table5[[#This Row],[PID]],Table3[[#All],[PID]],0)))</f>
        <v>3</v>
      </c>
      <c r="N558" s="70">
        <f>IF($C558="B",INDEX(Batters[[#All],[POW P]],MATCH(Table5[[#This Row],[PID]],Batters[[#All],[PID]],0)),INDEX(Table3[[#All],[CON P]],MATCH(Table5[[#This Row],[PID]],Table3[[#All],[PID]],0)))</f>
        <v>5</v>
      </c>
      <c r="O558" s="70">
        <f>IF($C558="B",INDEX(Batters[[#All],[EYE P]],MATCH(Table5[[#This Row],[PID]],Batters[[#All],[PID]],0)),INDEX(Table3[[#All],[VELO]],MATCH(Table5[[#This Row],[PID]],Table3[[#All],[PID]],0)))</f>
        <v>6</v>
      </c>
      <c r="P558" s="56">
        <f>IF($C558="B",INDEX(Batters[[#All],[K P]],MATCH(Table5[[#This Row],[PID]],Batters[[#All],[PID]],0)),INDEX(Table3[[#All],[STM]],MATCH(Table5[[#This Row],[PID]],Table3[[#All],[PID]],0)))</f>
        <v>3</v>
      </c>
      <c r="Q558" s="61">
        <f>IF($C558="B",INDEX(Batters[[#All],[Tot]],MATCH(Table5[[#This Row],[PID]],Batters[[#All],[PID]],0)),INDEX(Table3[[#All],[Tot]],MATCH(Table5[[#This Row],[PID]],Table3[[#All],[PID]],0)))</f>
        <v>39.679409343886604</v>
      </c>
      <c r="R558" s="52">
        <f>IF($C558="B",INDEX(Batters[[#All],[zScore]],MATCH(Table5[[#This Row],[PID]],Batters[[#All],[PID]],0)),INDEX(Table3[[#All],[zScore]],MATCH(Table5[[#This Row],[PID]],Table3[[#All],[PID]],0)))</f>
        <v>-0.51659299477756448</v>
      </c>
      <c r="S558" s="75" t="str">
        <f>IF($C558="B",INDEX(Batters[[#All],[DEM]],MATCH(Table5[[#This Row],[PID]],Batters[[#All],[PID]],0)),INDEX(Table3[[#All],[DEM]],MATCH(Table5[[#This Row],[PID]],Table3[[#All],[PID]],0)))</f>
        <v>Slot</v>
      </c>
      <c r="T558" s="72">
        <f>IF($C558="B",INDEX(Batters[[#All],[Rnk]],MATCH(Table5[[#This Row],[PID]],Batters[[#All],[PID]],0)),INDEX(Table3[[#All],[Rnk]],MATCH(Table5[[#This Row],[PID]],Table3[[#All],[PID]],0)))</f>
        <v>900</v>
      </c>
      <c r="U558" s="67">
        <f>IF($C558="B",VLOOKUP($A558,Bat!$A$4:$BA$1314,47,FALSE),VLOOKUP($A558,Pit!$A$4:$BF$1214,56,FALSE))</f>
        <v>216</v>
      </c>
      <c r="V558" s="50">
        <f>IF($C558="B",VLOOKUP($A558,Bat!$A$4:$BA$1314,48,FALSE),VLOOKUP($A558,Pit!$A$4:$BF$1214,57,FALSE))</f>
        <v>0</v>
      </c>
      <c r="W558" s="68">
        <f>IF(Table5[[#This Row],[posRnk]]=999,9999,Table5[[#This Row],[posRnk]]+Table5[[#This Row],[zRnk]]+IF($W$3&lt;&gt;Table5[[#This Row],[Type]],50,0))</f>
        <v>1531</v>
      </c>
      <c r="X558" s="71">
        <f>RANK(Table5[[#This Row],[zScore]],Table5[[#All],[zScore]])</f>
        <v>581</v>
      </c>
      <c r="Y558" s="68">
        <f>IFERROR(INDEX(DraftResults[[#All],[OVR]],MATCH(Table5[[#This Row],[PID]],DraftResults[[#All],[Player ID]],0)),"")</f>
        <v>322</v>
      </c>
      <c r="Z558" s="7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10</v>
      </c>
      <c r="AA558" s="68">
        <f>IFERROR(INDEX(DraftResults[[#All],[Pick in Round]],MATCH(Table5[[#This Row],[PID]],DraftResults[[#All],[Player ID]],0)),"")</f>
        <v>25</v>
      </c>
      <c r="AB558" s="68" t="str">
        <f>IFERROR(INDEX(DraftResults[[#All],[Team Name]],MATCH(Table5[[#This Row],[PID]],DraftResults[[#All],[Player ID]],0)),"")</f>
        <v>Duluth Warriors</v>
      </c>
      <c r="AC558" s="68">
        <f>IF(Table5[[#This Row],[Ovr]]="","",IF(Table5[[#This Row],[cmbList]]="","",Table5[[#This Row],[cmbList]]-Table5[[#This Row],[Ovr]]))</f>
        <v>1209</v>
      </c>
      <c r="AD558" s="74" t="str">
        <f>IF(ISERROR(VLOOKUP($AB558&amp;"-"&amp;$E558&amp;" "&amp;F558,Bonuses!$B$1:$G$1006,4,FALSE)),"",INT(VLOOKUP($AB558&amp;"-"&amp;$E558&amp;" "&amp;$F558,Bonuses!$B$1:$G$1006,4,FALSE)))</f>
        <v/>
      </c>
      <c r="AE558" s="68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10.25 (322) - RF Christian Johnston</v>
      </c>
    </row>
    <row r="559" spans="1:31" s="50" customFormat="1" x14ac:dyDescent="0.3">
      <c r="A559" s="50">
        <v>11966</v>
      </c>
      <c r="B559" s="50">
        <f>COUNTIF(Table5[PID],A559)</f>
        <v>1</v>
      </c>
      <c r="C559" s="50" t="str">
        <f>IF(COUNTIF(Table3[[#All],[PID]],A559)&gt;0,"P","B")</f>
        <v>P</v>
      </c>
      <c r="D559" s="59" t="str">
        <f>IF($C559="B",INDEX(Batters[[#All],[POS]],MATCH(Table5[[#This Row],[PID]],Batters[[#All],[PID]],0)),INDEX(Table3[[#All],[POS]],MATCH(Table5[[#This Row],[PID]],Table3[[#All],[PID]],0)))</f>
        <v>RP</v>
      </c>
      <c r="E559" s="52" t="str">
        <f>IF($C559="B",INDEX(Batters[[#All],[First]],MATCH(Table5[[#This Row],[PID]],Batters[[#All],[PID]],0)),INDEX(Table3[[#All],[First]],MATCH(Table5[[#This Row],[PID]],Table3[[#All],[PID]],0)))</f>
        <v>Jesús</v>
      </c>
      <c r="F559" s="50" t="str">
        <f>IF($C559="B",INDEX(Batters[[#All],[Last]],MATCH(A559,Batters[[#All],[PID]],0)),INDEX(Table3[[#All],[Last]],MATCH(A559,Table3[[#All],[PID]],0)))</f>
        <v>Trujillo</v>
      </c>
      <c r="G559" s="56">
        <f>IF($C559="B",INDEX(Batters[[#All],[Age]],MATCH(Table5[[#This Row],[PID]],Batters[[#All],[PID]],0)),INDEX(Table3[[#All],[Age]],MATCH(Table5[[#This Row],[PID]],Table3[[#All],[PID]],0)))</f>
        <v>18</v>
      </c>
      <c r="H559" s="52" t="str">
        <f>IF($C559="B",INDEX(Batters[[#All],[B]],MATCH(Table5[[#This Row],[PID]],Batters[[#All],[PID]],0)),INDEX(Table3[[#All],[B]],MATCH(Table5[[#This Row],[PID]],Table3[[#All],[PID]],0)))</f>
        <v>L</v>
      </c>
      <c r="I559" s="52" t="str">
        <f>IF($C559="B",INDEX(Batters[[#All],[T]],MATCH(Table5[[#This Row],[PID]],Batters[[#All],[PID]],0)),INDEX(Table3[[#All],[T]],MATCH(Table5[[#This Row],[PID]],Table3[[#All],[PID]],0)))</f>
        <v>L</v>
      </c>
      <c r="J559" s="52" t="str">
        <f>IF($C559="B",INDEX(Batters[[#All],[WE]],MATCH(Table5[[#This Row],[PID]],Batters[[#All],[PID]],0)),INDEX(Table3[[#All],[WE]],MATCH(Table5[[#This Row],[PID]],Table3[[#All],[PID]],0)))</f>
        <v>Normal</v>
      </c>
      <c r="K559" s="52" t="str">
        <f>IF($C559="B",INDEX(Batters[[#All],[INT]],MATCH(Table5[[#This Row],[PID]],Batters[[#All],[PID]],0)),INDEX(Table3[[#All],[INT]],MATCH(Table5[[#This Row],[PID]],Table3[[#All],[PID]],0)))</f>
        <v>Normal</v>
      </c>
      <c r="L559" s="60">
        <f>IF($C559="B",INDEX(Batters[[#All],[CON P]],MATCH(Table5[[#This Row],[PID]],Batters[[#All],[PID]],0)),INDEX(Table3[[#All],[STU P]],MATCH(Table5[[#This Row],[PID]],Table3[[#All],[PID]],0)))</f>
        <v>4</v>
      </c>
      <c r="M559" s="56">
        <f>IF($C559="B",INDEX(Batters[[#All],[GAP P]],MATCH(Table5[[#This Row],[PID]],Batters[[#All],[PID]],0)),INDEX(Table3[[#All],[MOV P]],MATCH(Table5[[#This Row],[PID]],Table3[[#All],[PID]],0)))</f>
        <v>1</v>
      </c>
      <c r="N559" s="56">
        <f>IF($C559="B",INDEX(Batters[[#All],[POW P]],MATCH(Table5[[#This Row],[PID]],Batters[[#All],[PID]],0)),INDEX(Table3[[#All],[CON P]],MATCH(Table5[[#This Row],[PID]],Table3[[#All],[PID]],0)))</f>
        <v>3</v>
      </c>
      <c r="O559" s="56" t="str">
        <f>IF($C559="B",INDEX(Batters[[#All],[EYE P]],MATCH(Table5[[#This Row],[PID]],Batters[[#All],[PID]],0)),INDEX(Table3[[#All],[VELO]],MATCH(Table5[[#This Row],[PID]],Table3[[#All],[PID]],0)))</f>
        <v>92-94 Mph</v>
      </c>
      <c r="P559" s="56">
        <f>IF($C559="B",INDEX(Batters[[#All],[K P]],MATCH(Table5[[#This Row],[PID]],Batters[[#All],[PID]],0)),INDEX(Table3[[#All],[STM]],MATCH(Table5[[#This Row],[PID]],Table3[[#All],[PID]],0)))</f>
        <v>8</v>
      </c>
      <c r="Q559" s="61">
        <f>IF($C559="B",INDEX(Batters[[#All],[Tot]],MATCH(Table5[[#This Row],[PID]],Batters[[#All],[PID]],0)),INDEX(Table3[[#All],[Tot]],MATCH(Table5[[#This Row],[PID]],Table3[[#All],[PID]],0)))</f>
        <v>30.542092050314444</v>
      </c>
      <c r="R559" s="52">
        <f>IF($C559="B",INDEX(Batters[[#All],[zScore]],MATCH(Table5[[#This Row],[PID]],Batters[[#All],[PID]],0)),INDEX(Table3[[#All],[zScore]],MATCH(Table5[[#This Row],[PID]],Table3[[#All],[PID]],0)))</f>
        <v>-0.516997988553483</v>
      </c>
      <c r="S559" s="58" t="str">
        <f>IF($C559="B",INDEX(Batters[[#All],[DEM]],MATCH(Table5[[#This Row],[PID]],Batters[[#All],[PID]],0)),INDEX(Table3[[#All],[DEM]],MATCH(Table5[[#This Row],[PID]],Table3[[#All],[PID]],0)))</f>
        <v>$65k</v>
      </c>
      <c r="T559" s="62">
        <f>IF($C559="B",INDEX(Batters[[#All],[Rnk]],MATCH(Table5[[#This Row],[PID]],Batters[[#All],[PID]],0)),INDEX(Table3[[#All],[Rnk]],MATCH(Table5[[#This Row],[PID]],Table3[[#All],[PID]],0)))</f>
        <v>900</v>
      </c>
      <c r="U559" s="67">
        <f>IF($C559="B",VLOOKUP($A559,Bat!$A$4:$BA$1314,47,FALSE),VLOOKUP($A559,Pit!$A$4:$BF$1214,56,FALSE))</f>
        <v>194</v>
      </c>
      <c r="V559" s="50">
        <f>IF($C559="B",VLOOKUP($A559,Bat!$A$4:$BA$1314,48,FALSE),VLOOKUP($A559,Pit!$A$4:$BF$1214,57,FALSE))</f>
        <v>0</v>
      </c>
      <c r="W559" s="68">
        <f>IF(Table5[[#This Row],[posRnk]]=999,9999,Table5[[#This Row],[posRnk]]+Table5[[#This Row],[zRnk]]+IF($W$3&lt;&gt;Table5[[#This Row],[Type]],50,0))</f>
        <v>1482</v>
      </c>
      <c r="X559" s="51">
        <f>RANK(Table5[[#This Row],[zScore]],Table5[[#All],[zScore]])</f>
        <v>582</v>
      </c>
      <c r="Y559" s="50">
        <f>IFERROR(INDEX(DraftResults[[#All],[OVR]],MATCH(Table5[[#This Row],[PID]],DraftResults[[#All],[Player ID]],0)),"")</f>
        <v>525</v>
      </c>
      <c r="Z559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16</v>
      </c>
      <c r="AA559" s="50">
        <f>IFERROR(INDEX(DraftResults[[#All],[Pick in Round]],MATCH(Table5[[#This Row],[PID]],DraftResults[[#All],[Player ID]],0)),"")</f>
        <v>24</v>
      </c>
      <c r="AB559" s="50" t="str">
        <f>IFERROR(INDEX(DraftResults[[#All],[Team Name]],MATCH(Table5[[#This Row],[PID]],DraftResults[[#All],[Player ID]],0)),"")</f>
        <v>Reno Zephyrs</v>
      </c>
      <c r="AC559" s="50">
        <f>IF(Table5[[#This Row],[Ovr]]="","",IF(Table5[[#This Row],[cmbList]]="","",Table5[[#This Row],[cmbList]]-Table5[[#This Row],[Ovr]]))</f>
        <v>957</v>
      </c>
      <c r="AD559" s="54" t="str">
        <f>IF(ISERROR(VLOOKUP($AB559&amp;"-"&amp;$E559&amp;" "&amp;F559,Bonuses!$B$1:$G$1006,4,FALSE)),"",INT(VLOOKUP($AB559&amp;"-"&amp;$E559&amp;" "&amp;$F559,Bonuses!$B$1:$G$1006,4,FALSE)))</f>
        <v/>
      </c>
      <c r="AE559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16.24 (525) - RP Jesús Trujillo</v>
      </c>
    </row>
    <row r="560" spans="1:31" s="50" customFormat="1" x14ac:dyDescent="0.3">
      <c r="A560" s="50">
        <v>11764</v>
      </c>
      <c r="B560" s="50">
        <f>COUNTIF(Table5[PID],A560)</f>
        <v>1</v>
      </c>
      <c r="C560" s="50" t="str">
        <f>IF(COUNTIF(Table3[[#All],[PID]],A560)&gt;0,"P","B")</f>
        <v>B</v>
      </c>
      <c r="D560" s="59" t="str">
        <f>IF($C560="B",INDEX(Batters[[#All],[POS]],MATCH(Table5[[#This Row],[PID]],Batters[[#All],[PID]],0)),INDEX(Table3[[#All],[POS]],MATCH(Table5[[#This Row],[PID]],Table3[[#All],[PID]],0)))</f>
        <v>1B</v>
      </c>
      <c r="E560" s="52" t="str">
        <f>IF($C560="B",INDEX(Batters[[#All],[First]],MATCH(Table5[[#This Row],[PID]],Batters[[#All],[PID]],0)),INDEX(Table3[[#All],[First]],MATCH(Table5[[#This Row],[PID]],Table3[[#All],[PID]],0)))</f>
        <v>Tomás</v>
      </c>
      <c r="F560" s="50" t="str">
        <f>IF($C560="B",INDEX(Batters[[#All],[Last]],MATCH(A560,Batters[[#All],[PID]],0)),INDEX(Table3[[#All],[Last]],MATCH(A560,Table3[[#All],[PID]],0)))</f>
        <v>Casillas</v>
      </c>
      <c r="G560" s="56">
        <f>IF($C560="B",INDEX(Batters[[#All],[Age]],MATCH(Table5[[#This Row],[PID]],Batters[[#All],[PID]],0)),INDEX(Table3[[#All],[Age]],MATCH(Table5[[#This Row],[PID]],Table3[[#All],[PID]],0)))</f>
        <v>17</v>
      </c>
      <c r="H560" s="52" t="str">
        <f>IF($C560="B",INDEX(Batters[[#All],[B]],MATCH(Table5[[#This Row],[PID]],Batters[[#All],[PID]],0)),INDEX(Table3[[#All],[B]],MATCH(Table5[[#This Row],[PID]],Table3[[#All],[PID]],0)))</f>
        <v>R</v>
      </c>
      <c r="I560" s="52" t="str">
        <f>IF($C560="B",INDEX(Batters[[#All],[T]],MATCH(Table5[[#This Row],[PID]],Batters[[#All],[PID]],0)),INDEX(Table3[[#All],[T]],MATCH(Table5[[#This Row],[PID]],Table3[[#All],[PID]],0)))</f>
        <v>R</v>
      </c>
      <c r="J560" s="52" t="str">
        <f>IF($C560="B",INDEX(Batters[[#All],[WE]],MATCH(Table5[[#This Row],[PID]],Batters[[#All],[PID]],0)),INDEX(Table3[[#All],[WE]],MATCH(Table5[[#This Row],[PID]],Table3[[#All],[PID]],0)))</f>
        <v>Low</v>
      </c>
      <c r="K560" s="52" t="str">
        <f>IF($C560="B",INDEX(Batters[[#All],[INT]],MATCH(Table5[[#This Row],[PID]],Batters[[#All],[PID]],0)),INDEX(Table3[[#All],[INT]],MATCH(Table5[[#This Row],[PID]],Table3[[#All],[PID]],0)))</f>
        <v>Normal</v>
      </c>
      <c r="L560" s="60">
        <f>IF($C560="B",INDEX(Batters[[#All],[CON P]],MATCH(Table5[[#This Row],[PID]],Batters[[#All],[PID]],0)),INDEX(Table3[[#All],[STU P]],MATCH(Table5[[#This Row],[PID]],Table3[[#All],[PID]],0)))</f>
        <v>3</v>
      </c>
      <c r="M560" s="56">
        <f>IF($C560="B",INDEX(Batters[[#All],[GAP P]],MATCH(Table5[[#This Row],[PID]],Batters[[#All],[PID]],0)),INDEX(Table3[[#All],[MOV P]],MATCH(Table5[[#This Row],[PID]],Table3[[#All],[PID]],0)))</f>
        <v>3</v>
      </c>
      <c r="N560" s="56">
        <f>IF($C560="B",INDEX(Batters[[#All],[POW P]],MATCH(Table5[[#This Row],[PID]],Batters[[#All],[PID]],0)),INDEX(Table3[[#All],[CON P]],MATCH(Table5[[#This Row],[PID]],Table3[[#All],[PID]],0)))</f>
        <v>2</v>
      </c>
      <c r="O560" s="56">
        <f>IF($C560="B",INDEX(Batters[[#All],[EYE P]],MATCH(Table5[[#This Row],[PID]],Batters[[#All],[PID]],0)),INDEX(Table3[[#All],[VELO]],MATCH(Table5[[#This Row],[PID]],Table3[[#All],[PID]],0)))</f>
        <v>5</v>
      </c>
      <c r="P560" s="56">
        <f>IF($C560="B",INDEX(Batters[[#All],[K P]],MATCH(Table5[[#This Row],[PID]],Batters[[#All],[PID]],0)),INDEX(Table3[[#All],[STM]],MATCH(Table5[[#This Row],[PID]],Table3[[#All],[PID]],0)))</f>
        <v>4</v>
      </c>
      <c r="Q560" s="61">
        <f>IF($C560="B",INDEX(Batters[[#All],[Tot]],MATCH(Table5[[#This Row],[PID]],Batters[[#All],[PID]],0)),INDEX(Table3[[#All],[Tot]],MATCH(Table5[[#This Row],[PID]],Table3[[#All],[PID]],0)))</f>
        <v>40.060885947346222</v>
      </c>
      <c r="R560" s="52">
        <f>IF($C560="B",INDEX(Batters[[#All],[zScore]],MATCH(Table5[[#This Row],[PID]],Batters[[#All],[PID]],0)),INDEX(Table3[[#All],[zScore]],MATCH(Table5[[#This Row],[PID]],Table3[[#All],[PID]],0)))</f>
        <v>-0.4609095760959479</v>
      </c>
      <c r="S560" s="58" t="str">
        <f>IF($C560="B",INDEX(Batters[[#All],[DEM]],MATCH(Table5[[#This Row],[PID]],Batters[[#All],[PID]],0)),INDEX(Table3[[#All],[DEM]],MATCH(Table5[[#This Row],[PID]],Table3[[#All],[PID]],0)))</f>
        <v>$110k</v>
      </c>
      <c r="T560" s="62">
        <f>IF($C560="B",INDEX(Batters[[#All],[Rnk]],MATCH(Table5[[#This Row],[PID]],Batters[[#All],[PID]],0)),INDEX(Table3[[#All],[Rnk]],MATCH(Table5[[#This Row],[PID]],Table3[[#All],[PID]],0)))</f>
        <v>930</v>
      </c>
      <c r="U560" s="67">
        <f>IF($C560="B",VLOOKUP($A560,Bat!$A$4:$BA$1314,47,FALSE),VLOOKUP($A560,Pit!$A$4:$BF$1214,56,FALSE))</f>
        <v>346</v>
      </c>
      <c r="V560" s="50">
        <f>IF($C560="B",VLOOKUP($A560,Bat!$A$4:$BA$1314,48,FALSE),VLOOKUP($A560,Pit!$A$4:$BF$1214,57,FALSE))</f>
        <v>0</v>
      </c>
      <c r="W560" s="68">
        <f>IF(Table5[[#This Row],[posRnk]]=999,9999,Table5[[#This Row],[posRnk]]+Table5[[#This Row],[zRnk]]+IF($W$3&lt;&gt;Table5[[#This Row],[Type]],50,0))</f>
        <v>1532</v>
      </c>
      <c r="X560" s="51">
        <f>RANK(Table5[[#This Row],[zScore]],Table5[[#All],[zScore]])</f>
        <v>552</v>
      </c>
      <c r="Y560" s="50" t="str">
        <f>IFERROR(INDEX(DraftResults[[#All],[OVR]],MATCH(Table5[[#This Row],[PID]],DraftResults[[#All],[Player ID]],0)),"")</f>
        <v/>
      </c>
      <c r="Z560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/>
      </c>
      <c r="AA560" s="50" t="str">
        <f>IFERROR(INDEX(DraftResults[[#All],[Pick in Round]],MATCH(Table5[[#This Row],[PID]],DraftResults[[#All],[Player ID]],0)),"")</f>
        <v/>
      </c>
      <c r="AB560" s="50" t="str">
        <f>IFERROR(INDEX(DraftResults[[#All],[Team Name]],MATCH(Table5[[#This Row],[PID]],DraftResults[[#All],[Player ID]],0)),"")</f>
        <v/>
      </c>
      <c r="AC560" s="50" t="str">
        <f>IF(Table5[[#This Row],[Ovr]]="","",IF(Table5[[#This Row],[cmbList]]="","",Table5[[#This Row],[cmbList]]-Table5[[#This Row],[Ovr]]))</f>
        <v/>
      </c>
      <c r="AD560" s="54" t="str">
        <f>IF(ISERROR(VLOOKUP($AB560&amp;"-"&amp;$E560&amp;" "&amp;F560,Bonuses!$B$1:$G$1006,4,FALSE)),"",INT(VLOOKUP($AB560&amp;"-"&amp;$E560&amp;" "&amp;$F560,Bonuses!$B$1:$G$1006,4,FALSE)))</f>
        <v/>
      </c>
      <c r="AE560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/>
      </c>
    </row>
    <row r="561" spans="1:31" s="50" customFormat="1" x14ac:dyDescent="0.3">
      <c r="A561" s="67">
        <v>13224</v>
      </c>
      <c r="B561" s="68">
        <f>COUNTIF(Table5[PID],A561)</f>
        <v>1</v>
      </c>
      <c r="C561" s="68" t="str">
        <f>IF(COUNTIF(Table3[[#All],[PID]],A561)&gt;0,"P","B")</f>
        <v>P</v>
      </c>
      <c r="D561" s="59" t="str">
        <f>IF($C561="B",INDEX(Batters[[#All],[POS]],MATCH(Table5[[#This Row],[PID]],Batters[[#All],[PID]],0)),INDEX(Table3[[#All],[POS]],MATCH(Table5[[#This Row],[PID]],Table3[[#All],[PID]],0)))</f>
        <v>RP</v>
      </c>
      <c r="E561" s="52" t="str">
        <f>IF($C561="B",INDEX(Batters[[#All],[First]],MATCH(Table5[[#This Row],[PID]],Batters[[#All],[PID]],0)),INDEX(Table3[[#All],[First]],MATCH(Table5[[#This Row],[PID]],Table3[[#All],[PID]],0)))</f>
        <v>Akihito</v>
      </c>
      <c r="F561" s="55" t="str">
        <f>IF($C561="B",INDEX(Batters[[#All],[Last]],MATCH(A561,Batters[[#All],[PID]],0)),INDEX(Table3[[#All],[Last]],MATCH(A561,Table3[[#All],[PID]],0)))</f>
        <v>Wada</v>
      </c>
      <c r="G561" s="56">
        <f>IF($C561="B",INDEX(Batters[[#All],[Age]],MATCH(Table5[[#This Row],[PID]],Batters[[#All],[PID]],0)),INDEX(Table3[[#All],[Age]],MATCH(Table5[[#This Row],[PID]],Table3[[#All],[PID]],0)))</f>
        <v>17</v>
      </c>
      <c r="H561" s="52" t="str">
        <f>IF($C561="B",INDEX(Batters[[#All],[B]],MATCH(Table5[[#This Row],[PID]],Batters[[#All],[PID]],0)),INDEX(Table3[[#All],[B]],MATCH(Table5[[#This Row],[PID]],Table3[[#All],[PID]],0)))</f>
        <v>R</v>
      </c>
      <c r="I561" s="52" t="str">
        <f>IF($C561="B",INDEX(Batters[[#All],[T]],MATCH(Table5[[#This Row],[PID]],Batters[[#All],[PID]],0)),INDEX(Table3[[#All],[T]],MATCH(Table5[[#This Row],[PID]],Table3[[#All],[PID]],0)))</f>
        <v>R</v>
      </c>
      <c r="J561" s="69" t="str">
        <f>IF($C561="B",INDEX(Batters[[#All],[WE]],MATCH(Table5[[#This Row],[PID]],Batters[[#All],[PID]],0)),INDEX(Table3[[#All],[WE]],MATCH(Table5[[#This Row],[PID]],Table3[[#All],[PID]],0)))</f>
        <v>Normal</v>
      </c>
      <c r="K561" s="52" t="str">
        <f>IF($C561="B",INDEX(Batters[[#All],[INT]],MATCH(Table5[[#This Row],[PID]],Batters[[#All],[PID]],0)),INDEX(Table3[[#All],[INT]],MATCH(Table5[[#This Row],[PID]],Table3[[#All],[PID]],0)))</f>
        <v>Normal</v>
      </c>
      <c r="L561" s="60">
        <f>IF($C561="B",INDEX(Batters[[#All],[CON P]],MATCH(Table5[[#This Row],[PID]],Batters[[#All],[PID]],0)),INDEX(Table3[[#All],[STU P]],MATCH(Table5[[#This Row],[PID]],Table3[[#All],[PID]],0)))</f>
        <v>4</v>
      </c>
      <c r="M561" s="70">
        <f>IF($C561="B",INDEX(Batters[[#All],[GAP P]],MATCH(Table5[[#This Row],[PID]],Batters[[#All],[PID]],0)),INDEX(Table3[[#All],[MOV P]],MATCH(Table5[[#This Row],[PID]],Table3[[#All],[PID]],0)))</f>
        <v>1</v>
      </c>
      <c r="N561" s="70">
        <f>IF($C561="B",INDEX(Batters[[#All],[POW P]],MATCH(Table5[[#This Row],[PID]],Batters[[#All],[PID]],0)),INDEX(Table3[[#All],[CON P]],MATCH(Table5[[#This Row],[PID]],Table3[[#All],[PID]],0)))</f>
        <v>3</v>
      </c>
      <c r="O561" s="70" t="str">
        <f>IF($C561="B",INDEX(Batters[[#All],[EYE P]],MATCH(Table5[[#This Row],[PID]],Batters[[#All],[PID]],0)),INDEX(Table3[[#All],[VELO]],MATCH(Table5[[#This Row],[PID]],Table3[[#All],[PID]],0)))</f>
        <v>88-90 Mph</v>
      </c>
      <c r="P561" s="56">
        <f>IF($C561="B",INDEX(Batters[[#All],[K P]],MATCH(Table5[[#This Row],[PID]],Batters[[#All],[PID]],0)),INDEX(Table3[[#All],[STM]],MATCH(Table5[[#This Row],[PID]],Table3[[#All],[PID]],0)))</f>
        <v>6</v>
      </c>
      <c r="Q561" s="61">
        <f>IF($C561="B",INDEX(Batters[[#All],[Tot]],MATCH(Table5[[#This Row],[PID]],Batters[[#All],[PID]],0)),INDEX(Table3[[#All],[Tot]],MATCH(Table5[[#This Row],[PID]],Table3[[#All],[PID]],0)))</f>
        <v>30.534324940777289</v>
      </c>
      <c r="R561" s="52">
        <f>IF($C561="B",INDEX(Batters[[#All],[zScore]],MATCH(Table5[[#This Row],[PID]],Batters[[#All],[PID]],0)),INDEX(Table3[[#All],[zScore]],MATCH(Table5[[#This Row],[PID]],Table3[[#All],[PID]],0)))</f>
        <v>-0.5175510613776233</v>
      </c>
      <c r="S561" s="75" t="str">
        <f>IF($C561="B",INDEX(Batters[[#All],[DEM]],MATCH(Table5[[#This Row],[PID]],Batters[[#All],[PID]],0)),INDEX(Table3[[#All],[DEM]],MATCH(Table5[[#This Row],[PID]],Table3[[#All],[PID]],0)))</f>
        <v>$65k</v>
      </c>
      <c r="T561" s="72">
        <f>IF($C561="B",INDEX(Batters[[#All],[Rnk]],MATCH(Table5[[#This Row],[PID]],Batters[[#All],[PID]],0)),INDEX(Table3[[#All],[Rnk]],MATCH(Table5[[#This Row],[PID]],Table3[[#All],[PID]],0)))</f>
        <v>900</v>
      </c>
      <c r="U561" s="67">
        <f>IF($C561="B",VLOOKUP($A561,Bat!$A$4:$BA$1314,47,FALSE),VLOOKUP($A561,Pit!$A$4:$BF$1214,56,FALSE))</f>
        <v>195</v>
      </c>
      <c r="V561" s="50">
        <f>IF($C561="B",VLOOKUP($A561,Bat!$A$4:$BA$1314,48,FALSE),VLOOKUP($A561,Pit!$A$4:$BF$1214,57,FALSE))</f>
        <v>0</v>
      </c>
      <c r="W561" s="68">
        <f>IF(Table5[[#This Row],[posRnk]]=999,9999,Table5[[#This Row],[posRnk]]+Table5[[#This Row],[zRnk]]+IF($W$3&lt;&gt;Table5[[#This Row],[Type]],50,0))</f>
        <v>1483</v>
      </c>
      <c r="X561" s="71">
        <f>RANK(Table5[[#This Row],[zScore]],Table5[[#All],[zScore]])</f>
        <v>583</v>
      </c>
      <c r="Y561" s="68">
        <f>IFERROR(INDEX(DraftResults[[#All],[OVR]],MATCH(Table5[[#This Row],[PID]],DraftResults[[#All],[Player ID]],0)),"")</f>
        <v>641</v>
      </c>
      <c r="Z561" s="7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20</v>
      </c>
      <c r="AA561" s="68">
        <f>IFERROR(INDEX(DraftResults[[#All],[Pick in Round]],MATCH(Table5[[#This Row],[PID]],DraftResults[[#All],[Player ID]],0)),"")</f>
        <v>4</v>
      </c>
      <c r="AB561" s="68" t="str">
        <f>IFERROR(INDEX(DraftResults[[#All],[Team Name]],MATCH(Table5[[#This Row],[PID]],DraftResults[[#All],[Player ID]],0)),"")</f>
        <v>Palm Springs Codgers</v>
      </c>
      <c r="AC561" s="68">
        <f>IF(Table5[[#This Row],[Ovr]]="","",IF(Table5[[#This Row],[cmbList]]="","",Table5[[#This Row],[cmbList]]-Table5[[#This Row],[Ovr]]))</f>
        <v>842</v>
      </c>
      <c r="AD561" s="74" t="str">
        <f>IF(ISERROR(VLOOKUP($AB561&amp;"-"&amp;$E561&amp;" "&amp;F561,Bonuses!$B$1:$G$1006,4,FALSE)),"",INT(VLOOKUP($AB561&amp;"-"&amp;$E561&amp;" "&amp;$F561,Bonuses!$B$1:$G$1006,4,FALSE)))</f>
        <v/>
      </c>
      <c r="AE561" s="68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20.4 (641) - RP Akihito Wada</v>
      </c>
    </row>
    <row r="562" spans="1:31" s="50" customFormat="1" x14ac:dyDescent="0.3">
      <c r="A562" s="50">
        <v>6204</v>
      </c>
      <c r="B562" s="50">
        <f>COUNTIF(Table5[PID],A562)</f>
        <v>1</v>
      </c>
      <c r="C562" s="50" t="str">
        <f>IF(COUNTIF(Table3[[#All],[PID]],A562)&gt;0,"P","B")</f>
        <v>B</v>
      </c>
      <c r="D562" s="59" t="str">
        <f>IF($C562="B",INDEX(Batters[[#All],[POS]],MATCH(Table5[[#This Row],[PID]],Batters[[#All],[PID]],0)),INDEX(Table3[[#All],[POS]],MATCH(Table5[[#This Row],[PID]],Table3[[#All],[PID]],0)))</f>
        <v>RF</v>
      </c>
      <c r="E562" s="52" t="str">
        <f>IF($C562="B",INDEX(Batters[[#All],[First]],MATCH(Table5[[#This Row],[PID]],Batters[[#All],[PID]],0)),INDEX(Table3[[#All],[First]],MATCH(Table5[[#This Row],[PID]],Table3[[#All],[PID]],0)))</f>
        <v>Walt</v>
      </c>
      <c r="F562" s="50" t="str">
        <f>IF($C562="B",INDEX(Batters[[#All],[Last]],MATCH(A562,Batters[[#All],[PID]],0)),INDEX(Table3[[#All],[Last]],MATCH(A562,Table3[[#All],[PID]],0)))</f>
        <v>Morris</v>
      </c>
      <c r="G562" s="56">
        <f>IF($C562="B",INDEX(Batters[[#All],[Age]],MATCH(Table5[[#This Row],[PID]],Batters[[#All],[PID]],0)),INDEX(Table3[[#All],[Age]],MATCH(Table5[[#This Row],[PID]],Table3[[#All],[PID]],0)))</f>
        <v>21</v>
      </c>
      <c r="H562" s="52" t="str">
        <f>IF($C562="B",INDEX(Batters[[#All],[B]],MATCH(Table5[[#This Row],[PID]],Batters[[#All],[PID]],0)),INDEX(Table3[[#All],[B]],MATCH(Table5[[#This Row],[PID]],Table3[[#All],[PID]],0)))</f>
        <v>R</v>
      </c>
      <c r="I562" s="52" t="str">
        <f>IF($C562="B",INDEX(Batters[[#All],[T]],MATCH(Table5[[#This Row],[PID]],Batters[[#All],[PID]],0)),INDEX(Table3[[#All],[T]],MATCH(Table5[[#This Row],[PID]],Table3[[#All],[PID]],0)))</f>
        <v>L</v>
      </c>
      <c r="J562" s="52" t="str">
        <f>IF($C562="B",INDEX(Batters[[#All],[WE]],MATCH(Table5[[#This Row],[PID]],Batters[[#All],[PID]],0)),INDEX(Table3[[#All],[WE]],MATCH(Table5[[#This Row],[PID]],Table3[[#All],[PID]],0)))</f>
        <v>Low</v>
      </c>
      <c r="K562" s="52" t="str">
        <f>IF($C562="B",INDEX(Batters[[#All],[INT]],MATCH(Table5[[#This Row],[PID]],Batters[[#All],[PID]],0)),INDEX(Table3[[#All],[INT]],MATCH(Table5[[#This Row],[PID]],Table3[[#All],[PID]],0)))</f>
        <v>Low</v>
      </c>
      <c r="L562" s="60">
        <f>IF($C562="B",INDEX(Batters[[#All],[CON P]],MATCH(Table5[[#This Row],[PID]],Batters[[#All],[PID]],0)),INDEX(Table3[[#All],[STU P]],MATCH(Table5[[#This Row],[PID]],Table3[[#All],[PID]],0)))</f>
        <v>4</v>
      </c>
      <c r="M562" s="56">
        <f>IF($C562="B",INDEX(Batters[[#All],[GAP P]],MATCH(Table5[[#This Row],[PID]],Batters[[#All],[PID]],0)),INDEX(Table3[[#All],[MOV P]],MATCH(Table5[[#This Row],[PID]],Table3[[#All],[PID]],0)))</f>
        <v>4</v>
      </c>
      <c r="N562" s="56">
        <f>IF($C562="B",INDEX(Batters[[#All],[POW P]],MATCH(Table5[[#This Row],[PID]],Batters[[#All],[PID]],0)),INDEX(Table3[[#All],[CON P]],MATCH(Table5[[#This Row],[PID]],Table3[[#All],[PID]],0)))</f>
        <v>2</v>
      </c>
      <c r="O562" s="56">
        <f>IF($C562="B",INDEX(Batters[[#All],[EYE P]],MATCH(Table5[[#This Row],[PID]],Batters[[#All],[PID]],0)),INDEX(Table3[[#All],[VELO]],MATCH(Table5[[#This Row],[PID]],Table3[[#All],[PID]],0)))</f>
        <v>5</v>
      </c>
      <c r="P562" s="56">
        <f>IF($C562="B",INDEX(Batters[[#All],[K P]],MATCH(Table5[[#This Row],[PID]],Batters[[#All],[PID]],0)),INDEX(Table3[[#All],[STM]],MATCH(Table5[[#This Row],[PID]],Table3[[#All],[PID]],0)))</f>
        <v>5</v>
      </c>
      <c r="Q562" s="61">
        <f>IF($C562="B",INDEX(Batters[[#All],[Tot]],MATCH(Table5[[#This Row],[PID]],Batters[[#All],[PID]],0)),INDEX(Table3[[#All],[Tot]],MATCH(Table5[[#This Row],[PID]],Table3[[#All],[PID]],0)))</f>
        <v>40.439018385478015</v>
      </c>
      <c r="R562" s="52">
        <f>IF($C562="B",INDEX(Batters[[#All],[zScore]],MATCH(Table5[[#This Row],[PID]],Batters[[#All],[PID]],0)),INDEX(Table3[[#All],[zScore]],MATCH(Table5[[#This Row],[PID]],Table3[[#All],[PID]],0)))</f>
        <v>-0.40571429890558142</v>
      </c>
      <c r="S562" s="58" t="str">
        <f>IF($C562="B",INDEX(Batters[[#All],[DEM]],MATCH(Table5[[#This Row],[PID]],Batters[[#All],[PID]],0)),INDEX(Table3[[#All],[DEM]],MATCH(Table5[[#This Row],[PID]],Table3[[#All],[PID]],0)))</f>
        <v>$34k</v>
      </c>
      <c r="T562" s="62">
        <f>IF($C562="B",INDEX(Batters[[#All],[Rnk]],MATCH(Table5[[#This Row],[PID]],Batters[[#All],[PID]],0)),INDEX(Table3[[#All],[Rnk]],MATCH(Table5[[#This Row],[PID]],Table3[[#All],[PID]],0)))</f>
        <v>950</v>
      </c>
      <c r="U562" s="67">
        <f>IF($C562="B",VLOOKUP($A562,Bat!$A$4:$BA$1314,47,FALSE),VLOOKUP($A562,Pit!$A$4:$BF$1214,56,FALSE))</f>
        <v>438</v>
      </c>
      <c r="V562" s="50">
        <f>IF($C562="B",VLOOKUP($A562,Bat!$A$4:$BA$1314,48,FALSE),VLOOKUP($A562,Pit!$A$4:$BF$1214,57,FALSE))</f>
        <v>0</v>
      </c>
      <c r="W562" s="68">
        <f>IF(Table5[[#This Row],[posRnk]]=999,9999,Table5[[#This Row],[posRnk]]+Table5[[#This Row],[zRnk]]+IF($W$3&lt;&gt;Table5[[#This Row],[Type]],50,0))</f>
        <v>1534</v>
      </c>
      <c r="X562" s="51">
        <f>RANK(Table5[[#This Row],[zScore]],Table5[[#All],[zScore]])</f>
        <v>534</v>
      </c>
      <c r="Y562" s="50">
        <f>IFERROR(INDEX(DraftResults[[#All],[OVR]],MATCH(Table5[[#This Row],[PID]],DraftResults[[#All],[Player ID]],0)),"")</f>
        <v>468</v>
      </c>
      <c r="Z562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15</v>
      </c>
      <c r="AA562" s="50">
        <f>IFERROR(INDEX(DraftResults[[#All],[Pick in Round]],MATCH(Table5[[#This Row],[PID]],DraftResults[[#All],[Player ID]],0)),"")</f>
        <v>1</v>
      </c>
      <c r="AB562" s="50" t="str">
        <f>IFERROR(INDEX(DraftResults[[#All],[Team Name]],MATCH(Table5[[#This Row],[PID]],DraftResults[[#All],[Player ID]],0)),"")</f>
        <v>Yuma Arroyos</v>
      </c>
      <c r="AC562" s="50">
        <f>IF(Table5[[#This Row],[Ovr]]="","",IF(Table5[[#This Row],[cmbList]]="","",Table5[[#This Row],[cmbList]]-Table5[[#This Row],[Ovr]]))</f>
        <v>1066</v>
      </c>
      <c r="AD562" s="54" t="str">
        <f>IF(ISERROR(VLOOKUP($AB562&amp;"-"&amp;$E562&amp;" "&amp;F562,Bonuses!$B$1:$G$1006,4,FALSE)),"",INT(VLOOKUP($AB562&amp;"-"&amp;$E562&amp;" "&amp;$F562,Bonuses!$B$1:$G$1006,4,FALSE)))</f>
        <v/>
      </c>
      <c r="AE562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15.1 (468) - RF Walt Morris</v>
      </c>
    </row>
    <row r="563" spans="1:31" s="50" customFormat="1" x14ac:dyDescent="0.3">
      <c r="A563" s="50">
        <v>12281</v>
      </c>
      <c r="B563" s="50">
        <f>COUNTIF(Table5[PID],A563)</f>
        <v>1</v>
      </c>
      <c r="C563" s="50" t="str">
        <f>IF(COUNTIF(Table3[[#All],[PID]],A563)&gt;0,"P","B")</f>
        <v>P</v>
      </c>
      <c r="D563" s="59" t="str">
        <f>IF($C563="B",INDEX(Batters[[#All],[POS]],MATCH(Table5[[#This Row],[PID]],Batters[[#All],[PID]],0)),INDEX(Table3[[#All],[POS]],MATCH(Table5[[#This Row],[PID]],Table3[[#All],[PID]],0)))</f>
        <v>RP</v>
      </c>
      <c r="E563" s="52" t="str">
        <f>IF($C563="B",INDEX(Batters[[#All],[First]],MATCH(Table5[[#This Row],[PID]],Batters[[#All],[PID]],0)),INDEX(Table3[[#All],[First]],MATCH(Table5[[#This Row],[PID]],Table3[[#All],[PID]],0)))</f>
        <v>Jamie</v>
      </c>
      <c r="F563" s="50" t="str">
        <f>IF($C563="B",INDEX(Batters[[#All],[Last]],MATCH(A563,Batters[[#All],[PID]],0)),INDEX(Table3[[#All],[Last]],MATCH(A563,Table3[[#All],[PID]],0)))</f>
        <v>Banham</v>
      </c>
      <c r="G563" s="56">
        <f>IF($C563="B",INDEX(Batters[[#All],[Age]],MATCH(Table5[[#This Row],[PID]],Batters[[#All],[PID]],0)),INDEX(Table3[[#All],[Age]],MATCH(Table5[[#This Row],[PID]],Table3[[#All],[PID]],0)))</f>
        <v>18</v>
      </c>
      <c r="H563" s="52" t="str">
        <f>IF($C563="B",INDEX(Batters[[#All],[B]],MATCH(Table5[[#This Row],[PID]],Batters[[#All],[PID]],0)),INDEX(Table3[[#All],[B]],MATCH(Table5[[#This Row],[PID]],Table3[[#All],[PID]],0)))</f>
        <v>S</v>
      </c>
      <c r="I563" s="52" t="str">
        <f>IF($C563="B",INDEX(Batters[[#All],[T]],MATCH(Table5[[#This Row],[PID]],Batters[[#All],[PID]],0)),INDEX(Table3[[#All],[T]],MATCH(Table5[[#This Row],[PID]],Table3[[#All],[PID]],0)))</f>
        <v>R</v>
      </c>
      <c r="J563" s="52" t="str">
        <f>IF($C563="B",INDEX(Batters[[#All],[WE]],MATCH(Table5[[#This Row],[PID]],Batters[[#All],[PID]],0)),INDEX(Table3[[#All],[WE]],MATCH(Table5[[#This Row],[PID]],Table3[[#All],[PID]],0)))</f>
        <v>High</v>
      </c>
      <c r="K563" s="52" t="str">
        <f>IF($C563="B",INDEX(Batters[[#All],[INT]],MATCH(Table5[[#This Row],[PID]],Batters[[#All],[PID]],0)),INDEX(Table3[[#All],[INT]],MATCH(Table5[[#This Row],[PID]],Table3[[#All],[PID]],0)))</f>
        <v>Normal</v>
      </c>
      <c r="L563" s="60">
        <f>IF($C563="B",INDEX(Batters[[#All],[CON P]],MATCH(Table5[[#This Row],[PID]],Batters[[#All],[PID]],0)),INDEX(Table3[[#All],[STU P]],MATCH(Table5[[#This Row],[PID]],Table3[[#All],[PID]],0)))</f>
        <v>4</v>
      </c>
      <c r="M563" s="56">
        <f>IF($C563="B",INDEX(Batters[[#All],[GAP P]],MATCH(Table5[[#This Row],[PID]],Batters[[#All],[PID]],0)),INDEX(Table3[[#All],[MOV P]],MATCH(Table5[[#This Row],[PID]],Table3[[#All],[PID]],0)))</f>
        <v>1</v>
      </c>
      <c r="N563" s="56">
        <f>IF($C563="B",INDEX(Batters[[#All],[POW P]],MATCH(Table5[[#This Row],[PID]],Batters[[#All],[PID]],0)),INDEX(Table3[[#All],[CON P]],MATCH(Table5[[#This Row],[PID]],Table3[[#All],[PID]],0)))</f>
        <v>3</v>
      </c>
      <c r="O563" s="56" t="str">
        <f>IF($C563="B",INDEX(Batters[[#All],[EYE P]],MATCH(Table5[[#This Row],[PID]],Batters[[#All],[PID]],0)),INDEX(Table3[[#All],[VELO]],MATCH(Table5[[#This Row],[PID]],Table3[[#All],[PID]],0)))</f>
        <v>86-88 Mph</v>
      </c>
      <c r="P563" s="56">
        <f>IF($C563="B",INDEX(Batters[[#All],[K P]],MATCH(Table5[[#This Row],[PID]],Batters[[#All],[PID]],0)),INDEX(Table3[[#All],[STM]],MATCH(Table5[[#This Row],[PID]],Table3[[#All],[PID]],0)))</f>
        <v>7</v>
      </c>
      <c r="Q563" s="61">
        <f>IF($C563="B",INDEX(Batters[[#All],[Tot]],MATCH(Table5[[#This Row],[PID]],Batters[[#All],[PID]],0)),INDEX(Table3[[#All],[Tot]],MATCH(Table5[[#This Row],[PID]],Table3[[#All],[PID]],0)))</f>
        <v>30.503504744485234</v>
      </c>
      <c r="R563" s="52">
        <f>IF($C563="B",INDEX(Batters[[#All],[zScore]],MATCH(Table5[[#This Row],[PID]],Batters[[#All],[PID]],0)),INDEX(Table3[[#All],[zScore]],MATCH(Table5[[#This Row],[PID]],Table3[[#All],[PID]],0)))</f>
        <v>-0.51974567610814326</v>
      </c>
      <c r="S563" s="58" t="str">
        <f>IF($C563="B",INDEX(Batters[[#All],[DEM]],MATCH(Table5[[#This Row],[PID]],Batters[[#All],[PID]],0)),INDEX(Table3[[#All],[DEM]],MATCH(Table5[[#This Row],[PID]],Table3[[#All],[PID]],0)))</f>
        <v>$65k</v>
      </c>
      <c r="T563" s="62">
        <f>IF($C563="B",INDEX(Batters[[#All],[Rnk]],MATCH(Table5[[#This Row],[PID]],Batters[[#All],[PID]],0)),INDEX(Table3[[#All],[Rnk]],MATCH(Table5[[#This Row],[PID]],Table3[[#All],[PID]],0)))</f>
        <v>900</v>
      </c>
      <c r="U563" s="67">
        <f>IF($C563="B",VLOOKUP($A563,Bat!$A$4:$BA$1314,47,FALSE),VLOOKUP($A563,Pit!$A$4:$BF$1214,56,FALSE))</f>
        <v>186</v>
      </c>
      <c r="V563" s="50">
        <f>IF($C563="B",VLOOKUP($A563,Bat!$A$4:$BA$1314,48,FALSE),VLOOKUP($A563,Pit!$A$4:$BF$1214,57,FALSE))</f>
        <v>0</v>
      </c>
      <c r="W563" s="68">
        <f>IF(Table5[[#This Row],[posRnk]]=999,9999,Table5[[#This Row],[posRnk]]+Table5[[#This Row],[zRnk]]+IF($W$3&lt;&gt;Table5[[#This Row],[Type]],50,0))</f>
        <v>1485</v>
      </c>
      <c r="X563" s="51">
        <f>RANK(Table5[[#This Row],[zScore]],Table5[[#All],[zScore]])</f>
        <v>585</v>
      </c>
      <c r="Y563" s="50">
        <f>IFERROR(INDEX(DraftResults[[#All],[OVR]],MATCH(Table5[[#This Row],[PID]],DraftResults[[#All],[Player ID]],0)),"")</f>
        <v>543</v>
      </c>
      <c r="Z563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17</v>
      </c>
      <c r="AA563" s="50">
        <f>IFERROR(INDEX(DraftResults[[#All],[Pick in Round]],MATCH(Table5[[#This Row],[PID]],DraftResults[[#All],[Player ID]],0)),"")</f>
        <v>8</v>
      </c>
      <c r="AB563" s="50" t="str">
        <f>IFERROR(INDEX(DraftResults[[#All],[Team Name]],MATCH(Table5[[#This Row],[PID]],DraftResults[[#All],[Player ID]],0)),"")</f>
        <v>Gloucester Fishermen</v>
      </c>
      <c r="AC563" s="50">
        <f>IF(Table5[[#This Row],[Ovr]]="","",IF(Table5[[#This Row],[cmbList]]="","",Table5[[#This Row],[cmbList]]-Table5[[#This Row],[Ovr]]))</f>
        <v>942</v>
      </c>
      <c r="AD563" s="54" t="str">
        <f>IF(ISERROR(VLOOKUP($AB563&amp;"-"&amp;$E563&amp;" "&amp;F563,Bonuses!$B$1:$G$1006,4,FALSE)),"",INT(VLOOKUP($AB563&amp;"-"&amp;$E563&amp;" "&amp;$F563,Bonuses!$B$1:$G$1006,4,FALSE)))</f>
        <v/>
      </c>
      <c r="AE563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17.8 (543) - RP Jamie Banham</v>
      </c>
    </row>
    <row r="564" spans="1:31" s="50" customFormat="1" x14ac:dyDescent="0.3">
      <c r="A564" s="67">
        <v>10228</v>
      </c>
      <c r="B564" s="68">
        <f>COUNTIF(Table5[PID],A564)</f>
        <v>1</v>
      </c>
      <c r="C564" s="68" t="str">
        <f>IF(COUNTIF(Table3[[#All],[PID]],A564)&gt;0,"P","B")</f>
        <v>B</v>
      </c>
      <c r="D564" s="59" t="str">
        <f>IF($C564="B",INDEX(Batters[[#All],[POS]],MATCH(Table5[[#This Row],[PID]],Batters[[#All],[PID]],0)),INDEX(Table3[[#All],[POS]],MATCH(Table5[[#This Row],[PID]],Table3[[#All],[PID]],0)))</f>
        <v>C</v>
      </c>
      <c r="E564" s="52" t="str">
        <f>IF($C564="B",INDEX(Batters[[#All],[First]],MATCH(Table5[[#This Row],[PID]],Batters[[#All],[PID]],0)),INDEX(Table3[[#All],[First]],MATCH(Table5[[#This Row],[PID]],Table3[[#All],[PID]],0)))</f>
        <v>Chuck</v>
      </c>
      <c r="F564" s="55" t="str">
        <f>IF($C564="B",INDEX(Batters[[#All],[Last]],MATCH(A564,Batters[[#All],[PID]],0)),INDEX(Table3[[#All],[Last]],MATCH(A564,Table3[[#All],[PID]],0)))</f>
        <v>Correa</v>
      </c>
      <c r="G564" s="56">
        <f>IF($C564="B",INDEX(Batters[[#All],[Age]],MATCH(Table5[[#This Row],[PID]],Batters[[#All],[PID]],0)),INDEX(Table3[[#All],[Age]],MATCH(Table5[[#This Row],[PID]],Table3[[#All],[PID]],0)))</f>
        <v>18</v>
      </c>
      <c r="H564" s="52" t="str">
        <f>IF($C564="B",INDEX(Batters[[#All],[B]],MATCH(Table5[[#This Row],[PID]],Batters[[#All],[PID]],0)),INDEX(Table3[[#All],[B]],MATCH(Table5[[#This Row],[PID]],Table3[[#All],[PID]],0)))</f>
        <v>R</v>
      </c>
      <c r="I564" s="52" t="str">
        <f>IF($C564="B",INDEX(Batters[[#All],[T]],MATCH(Table5[[#This Row],[PID]],Batters[[#All],[PID]],0)),INDEX(Table3[[#All],[T]],MATCH(Table5[[#This Row],[PID]],Table3[[#All],[PID]],0)))</f>
        <v>R</v>
      </c>
      <c r="J564" s="69" t="str">
        <f>IF($C564="B",INDEX(Batters[[#All],[WE]],MATCH(Table5[[#This Row],[PID]],Batters[[#All],[PID]],0)),INDEX(Table3[[#All],[WE]],MATCH(Table5[[#This Row],[PID]],Table3[[#All],[PID]],0)))</f>
        <v>Normal</v>
      </c>
      <c r="K564" s="52" t="str">
        <f>IF($C564="B",INDEX(Batters[[#All],[INT]],MATCH(Table5[[#This Row],[PID]],Batters[[#All],[PID]],0)),INDEX(Table3[[#All],[INT]],MATCH(Table5[[#This Row],[PID]],Table3[[#All],[PID]],0)))</f>
        <v>Low</v>
      </c>
      <c r="L564" s="60">
        <f>IF($C564="B",INDEX(Batters[[#All],[CON P]],MATCH(Table5[[#This Row],[PID]],Batters[[#All],[PID]],0)),INDEX(Table3[[#All],[STU P]],MATCH(Table5[[#This Row],[PID]],Table3[[#All],[PID]],0)))</f>
        <v>3</v>
      </c>
      <c r="M564" s="70">
        <f>IF($C564="B",INDEX(Batters[[#All],[GAP P]],MATCH(Table5[[#This Row],[PID]],Batters[[#All],[PID]],0)),INDEX(Table3[[#All],[MOV P]],MATCH(Table5[[#This Row],[PID]],Table3[[#All],[PID]],0)))</f>
        <v>3</v>
      </c>
      <c r="N564" s="70">
        <f>IF($C564="B",INDEX(Batters[[#All],[POW P]],MATCH(Table5[[#This Row],[PID]],Batters[[#All],[PID]],0)),INDEX(Table3[[#All],[CON P]],MATCH(Table5[[#This Row],[PID]],Table3[[#All],[PID]],0)))</f>
        <v>2</v>
      </c>
      <c r="O564" s="70">
        <f>IF($C564="B",INDEX(Batters[[#All],[EYE P]],MATCH(Table5[[#This Row],[PID]],Batters[[#All],[PID]],0)),INDEX(Table3[[#All],[VELO]],MATCH(Table5[[#This Row],[PID]],Table3[[#All],[PID]],0)))</f>
        <v>5</v>
      </c>
      <c r="P564" s="56">
        <f>IF($C564="B",INDEX(Batters[[#All],[K P]],MATCH(Table5[[#This Row],[PID]],Batters[[#All],[PID]],0)),INDEX(Table3[[#All],[STM]],MATCH(Table5[[#This Row],[PID]],Table3[[#All],[PID]],0)))</f>
        <v>4</v>
      </c>
      <c r="Q564" s="61">
        <f>IF($C564="B",INDEX(Batters[[#All],[Tot]],MATCH(Table5[[#This Row],[PID]],Batters[[#All],[PID]],0)),INDEX(Table3[[#All],[Tot]],MATCH(Table5[[#This Row],[PID]],Table3[[#All],[PID]],0)))</f>
        <v>40.206884313364512</v>
      </c>
      <c r="R564" s="52">
        <f>IF($C564="B",INDEX(Batters[[#All],[zScore]],MATCH(Table5[[#This Row],[PID]],Batters[[#All],[PID]],0)),INDEX(Table3[[#All],[zScore]],MATCH(Table5[[#This Row],[PID]],Table3[[#All],[PID]],0)))</f>
        <v>-0.43959847059668511</v>
      </c>
      <c r="S564" s="75" t="str">
        <f>IF($C564="B",INDEX(Batters[[#All],[DEM]],MATCH(Table5[[#This Row],[PID]],Batters[[#All],[PID]],0)),INDEX(Table3[[#All],[DEM]],MATCH(Table5[[#This Row],[PID]],Table3[[#All],[PID]],0)))</f>
        <v>$100k</v>
      </c>
      <c r="T564" s="72">
        <f>IF($C564="B",INDEX(Batters[[#All],[Rnk]],MATCH(Table5[[#This Row],[PID]],Batters[[#All],[PID]],0)),INDEX(Table3[[#All],[Rnk]],MATCH(Table5[[#This Row],[PID]],Table3[[#All],[PID]],0)))</f>
        <v>940</v>
      </c>
      <c r="U564" s="67">
        <f>IF($C564="B",VLOOKUP($A564,Bat!$A$4:$BA$1314,47,FALSE),VLOOKUP($A564,Pit!$A$4:$BF$1214,56,FALSE))</f>
        <v>417</v>
      </c>
      <c r="V564" s="50">
        <f>IF($C564="B",VLOOKUP($A564,Bat!$A$4:$BA$1314,48,FALSE),VLOOKUP($A564,Pit!$A$4:$BF$1214,57,FALSE))</f>
        <v>0</v>
      </c>
      <c r="W564" s="68">
        <f>IF(Table5[[#This Row],[posRnk]]=999,9999,Table5[[#This Row],[posRnk]]+Table5[[#This Row],[zRnk]]+IF($W$3&lt;&gt;Table5[[#This Row],[Type]],50,0))</f>
        <v>1535</v>
      </c>
      <c r="X564" s="71">
        <f>RANK(Table5[[#This Row],[zScore]],Table5[[#All],[zScore]])</f>
        <v>545</v>
      </c>
      <c r="Y564" s="68" t="str">
        <f>IFERROR(INDEX(DraftResults[[#All],[OVR]],MATCH(Table5[[#This Row],[PID]],DraftResults[[#All],[Player ID]],0)),"")</f>
        <v/>
      </c>
      <c r="Z564" s="7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/>
      </c>
      <c r="AA564" s="68" t="str">
        <f>IFERROR(INDEX(DraftResults[[#All],[Pick in Round]],MATCH(Table5[[#This Row],[PID]],DraftResults[[#All],[Player ID]],0)),"")</f>
        <v/>
      </c>
      <c r="AB564" s="68" t="str">
        <f>IFERROR(INDEX(DraftResults[[#All],[Team Name]],MATCH(Table5[[#This Row],[PID]],DraftResults[[#All],[Player ID]],0)),"")</f>
        <v/>
      </c>
      <c r="AC564" s="68" t="str">
        <f>IF(Table5[[#This Row],[Ovr]]="","",IF(Table5[[#This Row],[cmbList]]="","",Table5[[#This Row],[cmbList]]-Table5[[#This Row],[Ovr]]))</f>
        <v/>
      </c>
      <c r="AD564" s="74" t="str">
        <f>IF(ISERROR(VLOOKUP($AB564&amp;"-"&amp;$E564&amp;" "&amp;F564,Bonuses!$B$1:$G$1006,4,FALSE)),"",INT(VLOOKUP($AB564&amp;"-"&amp;$E564&amp;" "&amp;$F564,Bonuses!$B$1:$G$1006,4,FALSE)))</f>
        <v/>
      </c>
      <c r="AE564" s="68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/>
      </c>
    </row>
    <row r="565" spans="1:31" s="50" customFormat="1" x14ac:dyDescent="0.3">
      <c r="A565" s="50">
        <v>7821</v>
      </c>
      <c r="B565" s="50">
        <f>COUNTIF(Table5[PID],A565)</f>
        <v>1</v>
      </c>
      <c r="C565" s="50" t="str">
        <f>IF(COUNTIF(Table3[[#All],[PID]],A565)&gt;0,"P","B")</f>
        <v>P</v>
      </c>
      <c r="D565" s="59" t="str">
        <f>IF($C565="B",INDEX(Batters[[#All],[POS]],MATCH(Table5[[#This Row],[PID]],Batters[[#All],[PID]],0)),INDEX(Table3[[#All],[POS]],MATCH(Table5[[#This Row],[PID]],Table3[[#All],[PID]],0)))</f>
        <v>RP</v>
      </c>
      <c r="E565" s="52" t="str">
        <f>IF($C565="B",INDEX(Batters[[#All],[First]],MATCH(Table5[[#This Row],[PID]],Batters[[#All],[PID]],0)),INDEX(Table3[[#All],[First]],MATCH(Table5[[#This Row],[PID]],Table3[[#All],[PID]],0)))</f>
        <v>Nick</v>
      </c>
      <c r="F565" s="50" t="str">
        <f>IF($C565="B",INDEX(Batters[[#All],[Last]],MATCH(A565,Batters[[#All],[PID]],0)),INDEX(Table3[[#All],[Last]],MATCH(A565,Table3[[#All],[PID]],0)))</f>
        <v>Williams</v>
      </c>
      <c r="G565" s="56">
        <f>IF($C565="B",INDEX(Batters[[#All],[Age]],MATCH(Table5[[#This Row],[PID]],Batters[[#All],[PID]],0)),INDEX(Table3[[#All],[Age]],MATCH(Table5[[#This Row],[PID]],Table3[[#All],[PID]],0)))</f>
        <v>22</v>
      </c>
      <c r="H565" s="52" t="str">
        <f>IF($C565="B",INDEX(Batters[[#All],[B]],MATCH(Table5[[#This Row],[PID]],Batters[[#All],[PID]],0)),INDEX(Table3[[#All],[B]],MATCH(Table5[[#This Row],[PID]],Table3[[#All],[PID]],0)))</f>
        <v>R</v>
      </c>
      <c r="I565" s="52" t="str">
        <f>IF($C565="B",INDEX(Batters[[#All],[T]],MATCH(Table5[[#This Row],[PID]],Batters[[#All],[PID]],0)),INDEX(Table3[[#All],[T]],MATCH(Table5[[#This Row],[PID]],Table3[[#All],[PID]],0)))</f>
        <v>R</v>
      </c>
      <c r="J565" s="52" t="str">
        <f>IF($C565="B",INDEX(Batters[[#All],[WE]],MATCH(Table5[[#This Row],[PID]],Batters[[#All],[PID]],0)),INDEX(Table3[[#All],[WE]],MATCH(Table5[[#This Row],[PID]],Table3[[#All],[PID]],0)))</f>
        <v>High</v>
      </c>
      <c r="K565" s="52" t="str">
        <f>IF($C565="B",INDEX(Batters[[#All],[INT]],MATCH(Table5[[#This Row],[PID]],Batters[[#All],[PID]],0)),INDEX(Table3[[#All],[INT]],MATCH(Table5[[#This Row],[PID]],Table3[[#All],[PID]],0)))</f>
        <v>Normal</v>
      </c>
      <c r="L565" s="60">
        <f>IF($C565="B",INDEX(Batters[[#All],[CON P]],MATCH(Table5[[#This Row],[PID]],Batters[[#All],[PID]],0)),INDEX(Table3[[#All],[STU P]],MATCH(Table5[[#This Row],[PID]],Table3[[#All],[PID]],0)))</f>
        <v>4</v>
      </c>
      <c r="M565" s="56">
        <f>IF($C565="B",INDEX(Batters[[#All],[GAP P]],MATCH(Table5[[#This Row],[PID]],Batters[[#All],[PID]],0)),INDEX(Table3[[#All],[MOV P]],MATCH(Table5[[#This Row],[PID]],Table3[[#All],[PID]],0)))</f>
        <v>1</v>
      </c>
      <c r="N565" s="56">
        <f>IF($C565="B",INDEX(Batters[[#All],[POW P]],MATCH(Table5[[#This Row],[PID]],Batters[[#All],[PID]],0)),INDEX(Table3[[#All],[CON P]],MATCH(Table5[[#This Row],[PID]],Table3[[#All],[PID]],0)))</f>
        <v>4</v>
      </c>
      <c r="O565" s="56" t="str">
        <f>IF($C565="B",INDEX(Batters[[#All],[EYE P]],MATCH(Table5[[#This Row],[PID]],Batters[[#All],[PID]],0)),INDEX(Table3[[#All],[VELO]],MATCH(Table5[[#This Row],[PID]],Table3[[#All],[PID]],0)))</f>
        <v>89-91 Mph</v>
      </c>
      <c r="P565" s="56">
        <f>IF($C565="B",INDEX(Batters[[#All],[K P]],MATCH(Table5[[#This Row],[PID]],Batters[[#All],[PID]],0)),INDEX(Table3[[#All],[STM]],MATCH(Table5[[#This Row],[PID]],Table3[[#All],[PID]],0)))</f>
        <v>6</v>
      </c>
      <c r="Q565" s="61">
        <f>IF($C565="B",INDEX(Batters[[#All],[Tot]],MATCH(Table5[[#This Row],[PID]],Batters[[#All],[PID]],0)),INDEX(Table3[[#All],[Tot]],MATCH(Table5[[#This Row],[PID]],Table3[[#All],[PID]],0)))</f>
        <v>30.467045807872843</v>
      </c>
      <c r="R565" s="52">
        <f>IF($C565="B",INDEX(Batters[[#All],[zScore]],MATCH(Table5[[#This Row],[PID]],Batters[[#All],[PID]],0)),INDEX(Table3[[#All],[zScore]],MATCH(Table5[[#This Row],[PID]],Table3[[#All],[PID]],0)))</f>
        <v>-0.52234180880601544</v>
      </c>
      <c r="S565" s="58" t="str">
        <f>IF($C565="B",INDEX(Batters[[#All],[DEM]],MATCH(Table5[[#This Row],[PID]],Batters[[#All],[PID]],0)),INDEX(Table3[[#All],[DEM]],MATCH(Table5[[#This Row],[PID]],Table3[[#All],[PID]],0)))</f>
        <v>-</v>
      </c>
      <c r="T565" s="62">
        <f>IF($C565="B",INDEX(Batters[[#All],[Rnk]],MATCH(Table5[[#This Row],[PID]],Batters[[#All],[PID]],0)),INDEX(Table3[[#All],[Rnk]],MATCH(Table5[[#This Row],[PID]],Table3[[#All],[PID]],0)))</f>
        <v>900</v>
      </c>
      <c r="U565" s="67">
        <f>IF($C565="B",VLOOKUP($A565,Bat!$A$4:$BA$1314,47,FALSE),VLOOKUP($A565,Pit!$A$4:$BF$1214,56,FALSE))</f>
        <v>188</v>
      </c>
      <c r="V565" s="50">
        <f>IF($C565="B",VLOOKUP($A565,Bat!$A$4:$BA$1314,48,FALSE),VLOOKUP($A565,Pit!$A$4:$BF$1214,57,FALSE))</f>
        <v>0</v>
      </c>
      <c r="W565" s="68">
        <f>IF(Table5[[#This Row],[posRnk]]=999,9999,Table5[[#This Row],[posRnk]]+Table5[[#This Row],[zRnk]]+IF($W$3&lt;&gt;Table5[[#This Row],[Type]],50,0))</f>
        <v>1487</v>
      </c>
      <c r="X565" s="51">
        <f>RANK(Table5[[#This Row],[zScore]],Table5[[#All],[zScore]])</f>
        <v>587</v>
      </c>
      <c r="Y565" s="50">
        <f>IFERROR(INDEX(DraftResults[[#All],[OVR]],MATCH(Table5[[#This Row],[PID]],DraftResults[[#All],[Player ID]],0)),"")</f>
        <v>624</v>
      </c>
      <c r="Z565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19</v>
      </c>
      <c r="AA565" s="50">
        <f>IFERROR(INDEX(DraftResults[[#All],[Pick in Round]],MATCH(Table5[[#This Row],[PID]],DraftResults[[#All],[Player ID]],0)),"")</f>
        <v>21</v>
      </c>
      <c r="AB565" s="50" t="str">
        <f>IFERROR(INDEX(DraftResults[[#All],[Team Name]],MATCH(Table5[[#This Row],[PID]],DraftResults[[#All],[Player ID]],0)),"")</f>
        <v>Neo-Tokyo Akira</v>
      </c>
      <c r="AC565" s="50">
        <f>IF(Table5[[#This Row],[Ovr]]="","",IF(Table5[[#This Row],[cmbList]]="","",Table5[[#This Row],[cmbList]]-Table5[[#This Row],[Ovr]]))</f>
        <v>863</v>
      </c>
      <c r="AD565" s="54" t="str">
        <f>IF(ISERROR(VLOOKUP($AB565&amp;"-"&amp;$E565&amp;" "&amp;F565,Bonuses!$B$1:$G$1006,4,FALSE)),"",INT(VLOOKUP($AB565&amp;"-"&amp;$E565&amp;" "&amp;$F565,Bonuses!$B$1:$G$1006,4,FALSE)))</f>
        <v/>
      </c>
      <c r="AE565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19.21 (624) - RP Nick Williams</v>
      </c>
    </row>
    <row r="566" spans="1:31" s="50" customFormat="1" x14ac:dyDescent="0.3">
      <c r="A566" s="67">
        <v>16916</v>
      </c>
      <c r="B566" s="68">
        <f>COUNTIF(Table5[PID],A566)</f>
        <v>1</v>
      </c>
      <c r="C566" s="68" t="str">
        <f>IF(COUNTIF(Table3[[#All],[PID]],A566)&gt;0,"P","B")</f>
        <v>P</v>
      </c>
      <c r="D566" s="59" t="str">
        <f>IF($C566="B",INDEX(Batters[[#All],[POS]],MATCH(Table5[[#This Row],[PID]],Batters[[#All],[PID]],0)),INDEX(Table3[[#All],[POS]],MATCH(Table5[[#This Row],[PID]],Table3[[#All],[PID]],0)))</f>
        <v>RP</v>
      </c>
      <c r="E566" s="52" t="str">
        <f>IF($C566="B",INDEX(Batters[[#All],[First]],MATCH(Table5[[#This Row],[PID]],Batters[[#All],[PID]],0)),INDEX(Table3[[#All],[First]],MATCH(Table5[[#This Row],[PID]],Table3[[#All],[PID]],0)))</f>
        <v>Valentín</v>
      </c>
      <c r="F566" s="55" t="str">
        <f>IF($C566="B",INDEX(Batters[[#All],[Last]],MATCH(A566,Batters[[#All],[PID]],0)),INDEX(Table3[[#All],[Last]],MATCH(A566,Table3[[#All],[PID]],0)))</f>
        <v>Contreras</v>
      </c>
      <c r="G566" s="56">
        <f>IF($C566="B",INDEX(Batters[[#All],[Age]],MATCH(Table5[[#This Row],[PID]],Batters[[#All],[PID]],0)),INDEX(Table3[[#All],[Age]],MATCH(Table5[[#This Row],[PID]],Table3[[#All],[PID]],0)))</f>
        <v>22</v>
      </c>
      <c r="H566" s="52" t="str">
        <f>IF($C566="B",INDEX(Batters[[#All],[B]],MATCH(Table5[[#This Row],[PID]],Batters[[#All],[PID]],0)),INDEX(Table3[[#All],[B]],MATCH(Table5[[#This Row],[PID]],Table3[[#All],[PID]],0)))</f>
        <v>R</v>
      </c>
      <c r="I566" s="52" t="str">
        <f>IF($C566="B",INDEX(Batters[[#All],[T]],MATCH(Table5[[#This Row],[PID]],Batters[[#All],[PID]],0)),INDEX(Table3[[#All],[T]],MATCH(Table5[[#This Row],[PID]],Table3[[#All],[PID]],0)))</f>
        <v>R</v>
      </c>
      <c r="J566" s="69" t="str">
        <f>IF($C566="B",INDEX(Batters[[#All],[WE]],MATCH(Table5[[#This Row],[PID]],Batters[[#All],[PID]],0)),INDEX(Table3[[#All],[WE]],MATCH(Table5[[#This Row],[PID]],Table3[[#All],[PID]],0)))</f>
        <v>Low</v>
      </c>
      <c r="K566" s="52" t="str">
        <f>IF($C566="B",INDEX(Batters[[#All],[INT]],MATCH(Table5[[#This Row],[PID]],Batters[[#All],[PID]],0)),INDEX(Table3[[#All],[INT]],MATCH(Table5[[#This Row],[PID]],Table3[[#All],[PID]],0)))</f>
        <v>Normal</v>
      </c>
      <c r="L566" s="60">
        <f>IF($C566="B",INDEX(Batters[[#All],[CON P]],MATCH(Table5[[#This Row],[PID]],Batters[[#All],[PID]],0)),INDEX(Table3[[#All],[STU P]],MATCH(Table5[[#This Row],[PID]],Table3[[#All],[PID]],0)))</f>
        <v>5</v>
      </c>
      <c r="M566" s="70">
        <f>IF($C566="B",INDEX(Batters[[#All],[GAP P]],MATCH(Table5[[#This Row],[PID]],Batters[[#All],[PID]],0)),INDEX(Table3[[#All],[MOV P]],MATCH(Table5[[#This Row],[PID]],Table3[[#All],[PID]],0)))</f>
        <v>2</v>
      </c>
      <c r="N566" s="70">
        <f>IF($C566="B",INDEX(Batters[[#All],[POW P]],MATCH(Table5[[#This Row],[PID]],Batters[[#All],[PID]],0)),INDEX(Table3[[#All],[CON P]],MATCH(Table5[[#This Row],[PID]],Table3[[#All],[PID]],0)))</f>
        <v>3</v>
      </c>
      <c r="O566" s="70" t="str">
        <f>IF($C566="B",INDEX(Batters[[#All],[EYE P]],MATCH(Table5[[#This Row],[PID]],Batters[[#All],[PID]],0)),INDEX(Table3[[#All],[VELO]],MATCH(Table5[[#This Row],[PID]],Table3[[#All],[PID]],0)))</f>
        <v>96-98 Mph</v>
      </c>
      <c r="P566" s="56">
        <f>IF($C566="B",INDEX(Batters[[#All],[K P]],MATCH(Table5[[#This Row],[PID]],Batters[[#All],[PID]],0)),INDEX(Table3[[#All],[STM]],MATCH(Table5[[#This Row],[PID]],Table3[[#All],[PID]],0)))</f>
        <v>4</v>
      </c>
      <c r="Q566" s="61">
        <f>IF($C566="B",INDEX(Batters[[#All],[Tot]],MATCH(Table5[[#This Row],[PID]],Batters[[#All],[PID]],0)),INDEX(Table3[[#All],[Tot]],MATCH(Table5[[#This Row],[PID]],Table3[[#All],[PID]],0)))</f>
        <v>31.156521033593656</v>
      </c>
      <c r="R566" s="52">
        <f>IF($C566="B",INDEX(Batters[[#All],[zScore]],MATCH(Table5[[#This Row],[PID]],Batters[[#All],[PID]],0)),INDEX(Table3[[#All],[zScore]],MATCH(Table5[[#This Row],[PID]],Table3[[#All],[PID]],0)))</f>
        <v>-0.47324632374301134</v>
      </c>
      <c r="S566" s="75" t="str">
        <f>IF($C566="B",INDEX(Batters[[#All],[DEM]],MATCH(Table5[[#This Row],[PID]],Batters[[#All],[PID]],0)),INDEX(Table3[[#All],[DEM]],MATCH(Table5[[#This Row],[PID]],Table3[[#All],[PID]],0)))</f>
        <v>-</v>
      </c>
      <c r="T566" s="72">
        <f>IF($C566="B",INDEX(Batters[[#All],[Rnk]],MATCH(Table5[[#This Row],[PID]],Batters[[#All],[PID]],0)),INDEX(Table3[[#All],[Rnk]],MATCH(Table5[[#This Row],[PID]],Table3[[#All],[PID]],0)))</f>
        <v>930</v>
      </c>
      <c r="U566" s="67">
        <f>IF($C566="B",VLOOKUP($A566,Bat!$A$4:$BA$1314,47,FALSE),VLOOKUP($A566,Pit!$A$4:$BF$1214,56,FALSE))</f>
        <v>321</v>
      </c>
      <c r="V566" s="50">
        <f>IF($C566="B",VLOOKUP($A566,Bat!$A$4:$BA$1314,48,FALSE),VLOOKUP($A566,Pit!$A$4:$BF$1214,57,FALSE))</f>
        <v>0</v>
      </c>
      <c r="W566" s="68">
        <f>IF(Table5[[#This Row],[posRnk]]=999,9999,Table5[[#This Row],[posRnk]]+Table5[[#This Row],[zRnk]]+IF($W$3&lt;&gt;Table5[[#This Row],[Type]],50,0))</f>
        <v>1487</v>
      </c>
      <c r="X566" s="71">
        <f>RANK(Table5[[#This Row],[zScore]],Table5[[#All],[zScore]])</f>
        <v>557</v>
      </c>
      <c r="Y566" s="68">
        <f>IFERROR(INDEX(DraftResults[[#All],[OVR]],MATCH(Table5[[#This Row],[PID]],DraftResults[[#All],[Player ID]],0)),"")</f>
        <v>350</v>
      </c>
      <c r="Z566" s="7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11</v>
      </c>
      <c r="AA566" s="68">
        <f>IFERROR(INDEX(DraftResults[[#All],[Pick in Round]],MATCH(Table5[[#This Row],[PID]],DraftResults[[#All],[Player ID]],0)),"")</f>
        <v>19</v>
      </c>
      <c r="AB566" s="68" t="str">
        <f>IFERROR(INDEX(DraftResults[[#All],[Team Name]],MATCH(Table5[[#This Row],[PID]],DraftResults[[#All],[Player ID]],0)),"")</f>
        <v>Fargo Dinosaurs</v>
      </c>
      <c r="AC566" s="68">
        <f>IF(Table5[[#This Row],[Ovr]]="","",IF(Table5[[#This Row],[cmbList]]="","",Table5[[#This Row],[cmbList]]-Table5[[#This Row],[Ovr]]))</f>
        <v>1137</v>
      </c>
      <c r="AD566" s="74" t="str">
        <f>IF(ISERROR(VLOOKUP($AB566&amp;"-"&amp;$E566&amp;" "&amp;F566,Bonuses!$B$1:$G$1006,4,FALSE)),"",INT(VLOOKUP($AB566&amp;"-"&amp;$E566&amp;" "&amp;$F566,Bonuses!$B$1:$G$1006,4,FALSE)))</f>
        <v/>
      </c>
      <c r="AE566" s="68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11.19 (350) - RP Valentín Contreras</v>
      </c>
    </row>
    <row r="567" spans="1:31" s="50" customFormat="1" x14ac:dyDescent="0.3">
      <c r="A567" s="50">
        <v>20678</v>
      </c>
      <c r="B567" s="55">
        <f>COUNTIF(Table5[PID],A567)</f>
        <v>1</v>
      </c>
      <c r="C567" s="55" t="str">
        <f>IF(COUNTIF(Table3[[#All],[PID]],A567)&gt;0,"P","B")</f>
        <v>P</v>
      </c>
      <c r="D567" s="59" t="str">
        <f>IF($C567="B",INDEX(Batters[[#All],[POS]],MATCH(Table5[[#This Row],[PID]],Batters[[#All],[PID]],0)),INDEX(Table3[[#All],[POS]],MATCH(Table5[[#This Row],[PID]],Table3[[#All],[PID]],0)))</f>
        <v>RP</v>
      </c>
      <c r="E567" s="52" t="str">
        <f>IF($C567="B",INDEX(Batters[[#All],[First]],MATCH(Table5[[#This Row],[PID]],Batters[[#All],[PID]],0)),INDEX(Table3[[#All],[First]],MATCH(Table5[[#This Row],[PID]],Table3[[#All],[PID]],0)))</f>
        <v>Jian-zhang</v>
      </c>
      <c r="F567" s="50" t="str">
        <f>IF($C567="B",INDEX(Batters[[#All],[Last]],MATCH(A567,Batters[[#All],[PID]],0)),INDEX(Table3[[#All],[Last]],MATCH(A567,Table3[[#All],[PID]],0)))</f>
        <v>Zhào</v>
      </c>
      <c r="G567" s="56">
        <f>IF($C567="B",INDEX(Batters[[#All],[Age]],MATCH(Table5[[#This Row],[PID]],Batters[[#All],[PID]],0)),INDEX(Table3[[#All],[Age]],MATCH(Table5[[#This Row],[PID]],Table3[[#All],[PID]],0)))</f>
        <v>17</v>
      </c>
      <c r="H567" s="52" t="str">
        <f>IF($C567="B",INDEX(Batters[[#All],[B]],MATCH(Table5[[#This Row],[PID]],Batters[[#All],[PID]],0)),INDEX(Table3[[#All],[B]],MATCH(Table5[[#This Row],[PID]],Table3[[#All],[PID]],0)))</f>
        <v>R</v>
      </c>
      <c r="I567" s="52" t="str">
        <f>IF($C567="B",INDEX(Batters[[#All],[T]],MATCH(Table5[[#This Row],[PID]],Batters[[#All],[PID]],0)),INDEX(Table3[[#All],[T]],MATCH(Table5[[#This Row],[PID]],Table3[[#All],[PID]],0)))</f>
        <v>R</v>
      </c>
      <c r="J567" s="52" t="str">
        <f>IF($C567="B",INDEX(Batters[[#All],[WE]],MATCH(Table5[[#This Row],[PID]],Batters[[#All],[PID]],0)),INDEX(Table3[[#All],[WE]],MATCH(Table5[[#This Row],[PID]],Table3[[#All],[PID]],0)))</f>
        <v>Low</v>
      </c>
      <c r="K567" s="52" t="str">
        <f>IF($C567="B",INDEX(Batters[[#All],[INT]],MATCH(Table5[[#This Row],[PID]],Batters[[#All],[PID]],0)),INDEX(Table3[[#All],[INT]],MATCH(Table5[[#This Row],[PID]],Table3[[#All],[PID]],0)))</f>
        <v>High</v>
      </c>
      <c r="L567" s="60">
        <f>IF($C567="B",INDEX(Batters[[#All],[CON P]],MATCH(Table5[[#This Row],[PID]],Batters[[#All],[PID]],0)),INDEX(Table3[[#All],[STU P]],MATCH(Table5[[#This Row],[PID]],Table3[[#All],[PID]],0)))</f>
        <v>3</v>
      </c>
      <c r="M567" s="56">
        <f>IF($C567="B",INDEX(Batters[[#All],[GAP P]],MATCH(Table5[[#This Row],[PID]],Batters[[#All],[PID]],0)),INDEX(Table3[[#All],[MOV P]],MATCH(Table5[[#This Row],[PID]],Table3[[#All],[PID]],0)))</f>
        <v>2</v>
      </c>
      <c r="N567" s="56">
        <f>IF($C567="B",INDEX(Batters[[#All],[POW P]],MATCH(Table5[[#This Row],[PID]],Batters[[#All],[PID]],0)),INDEX(Table3[[#All],[CON P]],MATCH(Table5[[#This Row],[PID]],Table3[[#All],[PID]],0)))</f>
        <v>3</v>
      </c>
      <c r="O567" s="56" t="str">
        <f>IF($C567="B",INDEX(Batters[[#All],[EYE P]],MATCH(Table5[[#This Row],[PID]],Batters[[#All],[PID]],0)),INDEX(Table3[[#All],[VELO]],MATCH(Table5[[#This Row],[PID]],Table3[[#All],[PID]],0)))</f>
        <v>86-88 Mph</v>
      </c>
      <c r="P567" s="56">
        <f>IF($C567="B",INDEX(Batters[[#All],[K P]],MATCH(Table5[[#This Row],[PID]],Batters[[#All],[PID]],0)),INDEX(Table3[[#All],[STM]],MATCH(Table5[[#This Row],[PID]],Table3[[#All],[PID]],0)))</f>
        <v>6</v>
      </c>
      <c r="Q567" s="61">
        <f>IF($C567="B",INDEX(Batters[[#All],[Tot]],MATCH(Table5[[#This Row],[PID]],Batters[[#All],[PID]],0)),INDEX(Table3[[#All],[Tot]],MATCH(Table5[[#This Row],[PID]],Table3[[#All],[PID]],0)))</f>
        <v>30.980653179541441</v>
      </c>
      <c r="R567" s="52">
        <f>IF($C567="B",INDEX(Batters[[#All],[zScore]],MATCH(Table5[[#This Row],[PID]],Batters[[#All],[PID]],0)),INDEX(Table3[[#All],[zScore]],MATCH(Table5[[#This Row],[PID]],Table3[[#All],[PID]],0)))</f>
        <v>-0.47910723652181192</v>
      </c>
      <c r="S567" s="58" t="str">
        <f>IF($C567="B",INDEX(Batters[[#All],[DEM]],MATCH(Table5[[#This Row],[PID]],Batters[[#All],[PID]],0)),INDEX(Table3[[#All],[DEM]],MATCH(Table5[[#This Row],[PID]],Table3[[#All],[PID]],0)))</f>
        <v>$70k</v>
      </c>
      <c r="T567" s="62">
        <f>IF($C567="B",INDEX(Batters[[#All],[Rnk]],MATCH(Table5[[#This Row],[PID]],Batters[[#All],[PID]],0)),INDEX(Table3[[#All],[Rnk]],MATCH(Table5[[#This Row],[PID]],Table3[[#All],[PID]],0)))</f>
        <v>930</v>
      </c>
      <c r="U567" s="67">
        <f>IF($C567="B",VLOOKUP($A567,Bat!$A$4:$BA$1314,47,FALSE),VLOOKUP($A567,Pit!$A$4:$BF$1214,56,FALSE))</f>
        <v>319</v>
      </c>
      <c r="V567" s="50">
        <f>IF($C567="B",VLOOKUP($A567,Bat!$A$4:$BA$1314,48,FALSE),VLOOKUP($A567,Pit!$A$4:$BF$1214,57,FALSE))</f>
        <v>0</v>
      </c>
      <c r="W567" s="68">
        <f>IF(Table5[[#This Row],[posRnk]]=999,9999,Table5[[#This Row],[posRnk]]+Table5[[#This Row],[zRnk]]+IF($W$3&lt;&gt;Table5[[#This Row],[Type]],50,0))</f>
        <v>1492</v>
      </c>
      <c r="X567" s="51">
        <f>RANK(Table5[[#This Row],[zScore]],Table5[[#All],[zScore]])</f>
        <v>562</v>
      </c>
      <c r="Y567" s="50" t="str">
        <f>IFERROR(INDEX(DraftResults[[#All],[OVR]],MATCH(Table5[[#This Row],[PID]],DraftResults[[#All],[Player ID]],0)),"")</f>
        <v/>
      </c>
      <c r="Z567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/>
      </c>
      <c r="AA567" s="50" t="str">
        <f>IFERROR(INDEX(DraftResults[[#All],[Pick in Round]],MATCH(Table5[[#This Row],[PID]],DraftResults[[#All],[Player ID]],0)),"")</f>
        <v/>
      </c>
      <c r="AB567" s="50" t="str">
        <f>IFERROR(INDEX(DraftResults[[#All],[Team Name]],MATCH(Table5[[#This Row],[PID]],DraftResults[[#All],[Player ID]],0)),"")</f>
        <v/>
      </c>
      <c r="AC567" s="50" t="str">
        <f>IF(Table5[[#This Row],[Ovr]]="","",IF(Table5[[#This Row],[cmbList]]="","",Table5[[#This Row],[cmbList]]-Table5[[#This Row],[Ovr]]))</f>
        <v/>
      </c>
      <c r="AD567" s="54" t="str">
        <f>IF(ISERROR(VLOOKUP($AB567&amp;"-"&amp;$E567&amp;" "&amp;F567,Bonuses!$B$1:$G$1006,4,FALSE)),"",INT(VLOOKUP($AB567&amp;"-"&amp;$E567&amp;" "&amp;$F567,Bonuses!$B$1:$G$1006,4,FALSE)))</f>
        <v/>
      </c>
      <c r="AE567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/>
      </c>
    </row>
    <row r="568" spans="1:31" s="50" customFormat="1" x14ac:dyDescent="0.3">
      <c r="A568" s="50">
        <v>11615</v>
      </c>
      <c r="B568" s="50">
        <f>COUNTIF(Table5[PID],A568)</f>
        <v>1</v>
      </c>
      <c r="C568" s="50" t="str">
        <f>IF(COUNTIF(Table3[[#All],[PID]],A568)&gt;0,"P","B")</f>
        <v>P</v>
      </c>
      <c r="D568" s="59" t="str">
        <f>IF($C568="B",INDEX(Batters[[#All],[POS]],MATCH(Table5[[#This Row],[PID]],Batters[[#All],[PID]],0)),INDEX(Table3[[#All],[POS]],MATCH(Table5[[#This Row],[PID]],Table3[[#All],[PID]],0)))</f>
        <v>SP</v>
      </c>
      <c r="E568" s="52" t="str">
        <f>IF($C568="B",INDEX(Batters[[#All],[First]],MATCH(Table5[[#This Row],[PID]],Batters[[#All],[PID]],0)),INDEX(Table3[[#All],[First]],MATCH(Table5[[#This Row],[PID]],Table3[[#All],[PID]],0)))</f>
        <v>Cam</v>
      </c>
      <c r="F568" s="50" t="str">
        <f>IF($C568="B",INDEX(Batters[[#All],[Last]],MATCH(A568,Batters[[#All],[PID]],0)),INDEX(Table3[[#All],[Last]],MATCH(A568,Table3[[#All],[PID]],0)))</f>
        <v>McClure</v>
      </c>
      <c r="G568" s="56">
        <f>IF($C568="B",INDEX(Batters[[#All],[Age]],MATCH(Table5[[#This Row],[PID]],Batters[[#All],[PID]],0)),INDEX(Table3[[#All],[Age]],MATCH(Table5[[#This Row],[PID]],Table3[[#All],[PID]],0)))</f>
        <v>18</v>
      </c>
      <c r="H568" s="52" t="str">
        <f>IF($C568="B",INDEX(Batters[[#All],[B]],MATCH(Table5[[#This Row],[PID]],Batters[[#All],[PID]],0)),INDEX(Table3[[#All],[B]],MATCH(Table5[[#This Row],[PID]],Table3[[#All],[PID]],0)))</f>
        <v>R</v>
      </c>
      <c r="I568" s="52" t="str">
        <f>IF($C568="B",INDEX(Batters[[#All],[T]],MATCH(Table5[[#This Row],[PID]],Batters[[#All],[PID]],0)),INDEX(Table3[[#All],[T]],MATCH(Table5[[#This Row],[PID]],Table3[[#All],[PID]],0)))</f>
        <v>R</v>
      </c>
      <c r="J568" s="52" t="str">
        <f>IF($C568="B",INDEX(Batters[[#All],[WE]],MATCH(Table5[[#This Row],[PID]],Batters[[#All],[PID]],0)),INDEX(Table3[[#All],[WE]],MATCH(Table5[[#This Row],[PID]],Table3[[#All],[PID]],0)))</f>
        <v>Normal</v>
      </c>
      <c r="K568" s="52" t="str">
        <f>IF($C568="B",INDEX(Batters[[#All],[INT]],MATCH(Table5[[#This Row],[PID]],Batters[[#All],[PID]],0)),INDEX(Table3[[#All],[INT]],MATCH(Table5[[#This Row],[PID]],Table3[[#All],[PID]],0)))</f>
        <v>Normal</v>
      </c>
      <c r="L568" s="60">
        <f>IF($C568="B",INDEX(Batters[[#All],[CON P]],MATCH(Table5[[#This Row],[PID]],Batters[[#All],[PID]],0)),INDEX(Table3[[#All],[STU P]],MATCH(Table5[[#This Row],[PID]],Table3[[#All],[PID]],0)))</f>
        <v>4</v>
      </c>
      <c r="M568" s="56">
        <f>IF($C568="B",INDEX(Batters[[#All],[GAP P]],MATCH(Table5[[#This Row],[PID]],Batters[[#All],[PID]],0)),INDEX(Table3[[#All],[MOV P]],MATCH(Table5[[#This Row],[PID]],Table3[[#All],[PID]],0)))</f>
        <v>1</v>
      </c>
      <c r="N568" s="56">
        <f>IF($C568="B",INDEX(Batters[[#All],[POW P]],MATCH(Table5[[#This Row],[PID]],Batters[[#All],[PID]],0)),INDEX(Table3[[#All],[CON P]],MATCH(Table5[[#This Row],[PID]],Table3[[#All],[PID]],0)))</f>
        <v>3</v>
      </c>
      <c r="O568" s="56" t="str">
        <f>IF($C568="B",INDEX(Batters[[#All],[EYE P]],MATCH(Table5[[#This Row],[PID]],Batters[[#All],[PID]],0)),INDEX(Table3[[#All],[VELO]],MATCH(Table5[[#This Row],[PID]],Table3[[#All],[PID]],0)))</f>
        <v>89-91 Mph</v>
      </c>
      <c r="P568" s="56">
        <f>IF($C568="B",INDEX(Batters[[#All],[K P]],MATCH(Table5[[#This Row],[PID]],Batters[[#All],[PID]],0)),INDEX(Table3[[#All],[STM]],MATCH(Table5[[#This Row],[PID]],Table3[[#All],[PID]],0)))</f>
        <v>5</v>
      </c>
      <c r="Q568" s="61">
        <f>IF($C568="B",INDEX(Batters[[#All],[Tot]],MATCH(Table5[[#This Row],[PID]],Batters[[#All],[PID]],0)),INDEX(Table3[[#All],[Tot]],MATCH(Table5[[#This Row],[PID]],Table3[[#All],[PID]],0)))</f>
        <v>30.309324940777291</v>
      </c>
      <c r="R568" s="52">
        <f>IF($C568="B",INDEX(Batters[[#All],[zScore]],MATCH(Table5[[#This Row],[PID]],Batters[[#All],[PID]],0)),INDEX(Table3[[#All],[zScore]],MATCH(Table5[[#This Row],[PID]],Table3[[#All],[PID]],0)))</f>
        <v>-0.53357264377404268</v>
      </c>
      <c r="S568" s="58" t="str">
        <f>IF($C568="B",INDEX(Batters[[#All],[DEM]],MATCH(Table5[[#This Row],[PID]],Batters[[#All],[PID]],0)),INDEX(Table3[[#All],[DEM]],MATCH(Table5[[#This Row],[PID]],Table3[[#All],[PID]],0)))</f>
        <v>$75k</v>
      </c>
      <c r="T568" s="62">
        <f>IF($C568="B",INDEX(Batters[[#All],[Rnk]],MATCH(Table5[[#This Row],[PID]],Batters[[#All],[PID]],0)),INDEX(Table3[[#All],[Rnk]],MATCH(Table5[[#This Row],[PID]],Table3[[#All],[PID]],0)))</f>
        <v>900</v>
      </c>
      <c r="U568" s="67">
        <f>IF($C568="B",VLOOKUP($A568,Bat!$A$4:$BA$1314,47,FALSE),VLOOKUP($A568,Pit!$A$4:$BF$1214,56,FALSE))</f>
        <v>197</v>
      </c>
      <c r="V568" s="50">
        <f>IF($C568="B",VLOOKUP($A568,Bat!$A$4:$BA$1314,48,FALSE),VLOOKUP($A568,Pit!$A$4:$BF$1214,57,FALSE))</f>
        <v>0</v>
      </c>
      <c r="W568" s="68">
        <f>IF(Table5[[#This Row],[posRnk]]=999,9999,Table5[[#This Row],[posRnk]]+Table5[[#This Row],[zRnk]]+IF($W$3&lt;&gt;Table5[[#This Row],[Type]],50,0))</f>
        <v>1493</v>
      </c>
      <c r="X568" s="51">
        <f>RANK(Table5[[#This Row],[zScore]],Table5[[#All],[zScore]])</f>
        <v>593</v>
      </c>
      <c r="Y568" s="50" t="str">
        <f>IFERROR(INDEX(DraftResults[[#All],[OVR]],MATCH(Table5[[#This Row],[PID]],DraftResults[[#All],[Player ID]],0)),"")</f>
        <v/>
      </c>
      <c r="Z568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/>
      </c>
      <c r="AA568" s="50" t="str">
        <f>IFERROR(INDEX(DraftResults[[#All],[Pick in Round]],MATCH(Table5[[#This Row],[PID]],DraftResults[[#All],[Player ID]],0)),"")</f>
        <v/>
      </c>
      <c r="AB568" s="50" t="str">
        <f>IFERROR(INDEX(DraftResults[[#All],[Team Name]],MATCH(Table5[[#This Row],[PID]],DraftResults[[#All],[Player ID]],0)),"")</f>
        <v/>
      </c>
      <c r="AC568" s="50" t="str">
        <f>IF(Table5[[#This Row],[Ovr]]="","",IF(Table5[[#This Row],[cmbList]]="","",Table5[[#This Row],[cmbList]]-Table5[[#This Row],[Ovr]]))</f>
        <v/>
      </c>
      <c r="AD568" s="54" t="str">
        <f>IF(ISERROR(VLOOKUP($AB568&amp;"-"&amp;$E568&amp;" "&amp;F568,Bonuses!$B$1:$G$1006,4,FALSE)),"",INT(VLOOKUP($AB568&amp;"-"&amp;$E568&amp;" "&amp;$F568,Bonuses!$B$1:$G$1006,4,FALSE)))</f>
        <v/>
      </c>
      <c r="AE568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/>
      </c>
    </row>
    <row r="569" spans="1:31" s="50" customFormat="1" x14ac:dyDescent="0.3">
      <c r="A569" s="50">
        <v>8504</v>
      </c>
      <c r="B569" s="50">
        <f>COUNTIF(Table5[PID],A569)</f>
        <v>1</v>
      </c>
      <c r="C569" s="50" t="str">
        <f>IF(COUNTIF(Table3[[#All],[PID]],A569)&gt;0,"P","B")</f>
        <v>B</v>
      </c>
      <c r="D569" s="59" t="str">
        <f>IF($C569="B",INDEX(Batters[[#All],[POS]],MATCH(Table5[[#This Row],[PID]],Batters[[#All],[PID]],0)),INDEX(Table3[[#All],[POS]],MATCH(Table5[[#This Row],[PID]],Table3[[#All],[PID]],0)))</f>
        <v>RF</v>
      </c>
      <c r="E569" s="52" t="str">
        <f>IF($C569="B",INDEX(Batters[[#All],[First]],MATCH(Table5[[#This Row],[PID]],Batters[[#All],[PID]],0)),INDEX(Table3[[#All],[First]],MATCH(Table5[[#This Row],[PID]],Table3[[#All],[PID]],0)))</f>
        <v>Robert</v>
      </c>
      <c r="F569" s="50" t="str">
        <f>IF($C569="B",INDEX(Batters[[#All],[Last]],MATCH(A569,Batters[[#All],[PID]],0)),INDEX(Table3[[#All],[Last]],MATCH(A569,Table3[[#All],[PID]],0)))</f>
        <v>Wallace</v>
      </c>
      <c r="G569" s="56">
        <f>IF($C569="B",INDEX(Batters[[#All],[Age]],MATCH(Table5[[#This Row],[PID]],Batters[[#All],[PID]],0)),INDEX(Table3[[#All],[Age]],MATCH(Table5[[#This Row],[PID]],Table3[[#All],[PID]],0)))</f>
        <v>22</v>
      </c>
      <c r="H569" s="52" t="str">
        <f>IF($C569="B",INDEX(Batters[[#All],[B]],MATCH(Table5[[#This Row],[PID]],Batters[[#All],[PID]],0)),INDEX(Table3[[#All],[B]],MATCH(Table5[[#This Row],[PID]],Table3[[#All],[PID]],0)))</f>
        <v>L</v>
      </c>
      <c r="I569" s="52" t="str">
        <f>IF($C569="B",INDEX(Batters[[#All],[T]],MATCH(Table5[[#This Row],[PID]],Batters[[#All],[PID]],0)),INDEX(Table3[[#All],[T]],MATCH(Table5[[#This Row],[PID]],Table3[[#All],[PID]],0)))</f>
        <v>L</v>
      </c>
      <c r="J569" s="52" t="str">
        <f>IF($C569="B",INDEX(Batters[[#All],[WE]],MATCH(Table5[[#This Row],[PID]],Batters[[#All],[PID]],0)),INDEX(Table3[[#All],[WE]],MATCH(Table5[[#This Row],[PID]],Table3[[#All],[PID]],0)))</f>
        <v>High</v>
      </c>
      <c r="K569" s="52" t="str">
        <f>IF($C569="B",INDEX(Batters[[#All],[INT]],MATCH(Table5[[#This Row],[PID]],Batters[[#All],[PID]],0)),INDEX(Table3[[#All],[INT]],MATCH(Table5[[#This Row],[PID]],Table3[[#All],[PID]],0)))</f>
        <v>Normal</v>
      </c>
      <c r="L569" s="60">
        <f>IF($C569="B",INDEX(Batters[[#All],[CON P]],MATCH(Table5[[#This Row],[PID]],Batters[[#All],[PID]],0)),INDEX(Table3[[#All],[STU P]],MATCH(Table5[[#This Row],[PID]],Table3[[#All],[PID]],0)))</f>
        <v>4</v>
      </c>
      <c r="M569" s="56">
        <f>IF($C569="B",INDEX(Batters[[#All],[GAP P]],MATCH(Table5[[#This Row],[PID]],Batters[[#All],[PID]],0)),INDEX(Table3[[#All],[MOV P]],MATCH(Table5[[#This Row],[PID]],Table3[[#All],[PID]],0)))</f>
        <v>3</v>
      </c>
      <c r="N569" s="56">
        <f>IF($C569="B",INDEX(Batters[[#All],[POW P]],MATCH(Table5[[#This Row],[PID]],Batters[[#All],[PID]],0)),INDEX(Table3[[#All],[CON P]],MATCH(Table5[[#This Row],[PID]],Table3[[#All],[PID]],0)))</f>
        <v>4</v>
      </c>
      <c r="O569" s="56">
        <f>IF($C569="B",INDEX(Batters[[#All],[EYE P]],MATCH(Table5[[#This Row],[PID]],Batters[[#All],[PID]],0)),INDEX(Table3[[#All],[VELO]],MATCH(Table5[[#This Row],[PID]],Table3[[#All],[PID]],0)))</f>
        <v>3</v>
      </c>
      <c r="P569" s="56">
        <f>IF($C569="B",INDEX(Batters[[#All],[K P]],MATCH(Table5[[#This Row],[PID]],Batters[[#All],[PID]],0)),INDEX(Table3[[#All],[STM]],MATCH(Table5[[#This Row],[PID]],Table3[[#All],[PID]],0)))</f>
        <v>4</v>
      </c>
      <c r="Q569" s="61">
        <f>IF($C569="B",INDEX(Batters[[#All],[Tot]],MATCH(Table5[[#This Row],[PID]],Batters[[#All],[PID]],0)),INDEX(Table3[[#All],[Tot]],MATCH(Table5[[#This Row],[PID]],Table3[[#All],[PID]],0)))</f>
        <v>39.548387364468937</v>
      </c>
      <c r="R569" s="52">
        <f>IF($C569="B",INDEX(Batters[[#All],[zScore]],MATCH(Table5[[#This Row],[PID]],Batters[[#All],[PID]],0)),INDEX(Table3[[#All],[zScore]],MATCH(Table5[[#This Row],[PID]],Table3[[#All],[PID]],0)))</f>
        <v>-0.53571802543538938</v>
      </c>
      <c r="S569" s="58" t="str">
        <f>IF($C569="B",INDEX(Batters[[#All],[DEM]],MATCH(Table5[[#This Row],[PID]],Batters[[#All],[PID]],0)),INDEX(Table3[[#All],[DEM]],MATCH(Table5[[#This Row],[PID]],Table3[[#All],[PID]],0)))</f>
        <v>-</v>
      </c>
      <c r="T569" s="62">
        <f>IF($C569="B",INDEX(Batters[[#All],[Rnk]],MATCH(Table5[[#This Row],[PID]],Batters[[#All],[PID]],0)),INDEX(Table3[[#All],[Rnk]],MATCH(Table5[[#This Row],[PID]],Table3[[#All],[PID]],0)))</f>
        <v>900</v>
      </c>
      <c r="U569" s="67">
        <f>IF($C569="B",VLOOKUP($A569,Bat!$A$4:$BA$1314,47,FALSE),VLOOKUP($A569,Pit!$A$4:$BF$1214,56,FALSE))</f>
        <v>206</v>
      </c>
      <c r="V569" s="50">
        <f>IF($C569="B",VLOOKUP($A569,Bat!$A$4:$BA$1314,48,FALSE),VLOOKUP($A569,Pit!$A$4:$BF$1214,57,FALSE))</f>
        <v>0</v>
      </c>
      <c r="W569" s="68">
        <f>IF(Table5[[#This Row],[posRnk]]=999,9999,Table5[[#This Row],[posRnk]]+Table5[[#This Row],[zRnk]]+IF($W$3&lt;&gt;Table5[[#This Row],[Type]],50,0))</f>
        <v>1545</v>
      </c>
      <c r="X569" s="51">
        <f>RANK(Table5[[#This Row],[zScore]],Table5[[#All],[zScore]])</f>
        <v>595</v>
      </c>
      <c r="Y569" s="50">
        <f>IFERROR(INDEX(DraftResults[[#All],[OVR]],MATCH(Table5[[#This Row],[PID]],DraftResults[[#All],[Player ID]],0)),"")</f>
        <v>328</v>
      </c>
      <c r="Z569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10</v>
      </c>
      <c r="AA569" s="50">
        <f>IFERROR(INDEX(DraftResults[[#All],[Pick in Round]],MATCH(Table5[[#This Row],[PID]],DraftResults[[#All],[Player ID]],0)),"")</f>
        <v>31</v>
      </c>
      <c r="AB569" s="50" t="str">
        <f>IFERROR(INDEX(DraftResults[[#All],[Team Name]],MATCH(Table5[[#This Row],[PID]],DraftResults[[#All],[Player ID]],0)),"")</f>
        <v>Arlington Bureaucrats</v>
      </c>
      <c r="AC569" s="50">
        <f>IF(Table5[[#This Row],[Ovr]]="","",IF(Table5[[#This Row],[cmbList]]="","",Table5[[#This Row],[cmbList]]-Table5[[#This Row],[Ovr]]))</f>
        <v>1217</v>
      </c>
      <c r="AD569" s="54" t="str">
        <f>IF(ISERROR(VLOOKUP($AB569&amp;"-"&amp;$E569&amp;" "&amp;F569,Bonuses!$B$1:$G$1006,4,FALSE)),"",INT(VLOOKUP($AB569&amp;"-"&amp;$E569&amp;" "&amp;$F569,Bonuses!$B$1:$G$1006,4,FALSE)))</f>
        <v/>
      </c>
      <c r="AE569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10.31 (328) - RF Robert Wallace</v>
      </c>
    </row>
    <row r="570" spans="1:31" s="50" customFormat="1" x14ac:dyDescent="0.3">
      <c r="A570" s="50">
        <v>20195</v>
      </c>
      <c r="B570" s="50">
        <f>COUNTIF(Table5[PID],A570)</f>
        <v>1</v>
      </c>
      <c r="C570" s="50" t="str">
        <f>IF(COUNTIF(Table3[[#All],[PID]],A570)&gt;0,"P","B")</f>
        <v>B</v>
      </c>
      <c r="D570" s="59" t="str">
        <f>IF($C570="B",INDEX(Batters[[#All],[POS]],MATCH(Table5[[#This Row],[PID]],Batters[[#All],[PID]],0)),INDEX(Table3[[#All],[POS]],MATCH(Table5[[#This Row],[PID]],Table3[[#All],[PID]],0)))</f>
        <v>C</v>
      </c>
      <c r="E570" s="52" t="str">
        <f>IF($C570="B",INDEX(Batters[[#All],[First]],MATCH(Table5[[#This Row],[PID]],Batters[[#All],[PID]],0)),INDEX(Table3[[#All],[First]],MATCH(Table5[[#This Row],[PID]],Table3[[#All],[PID]],0)))</f>
        <v>Toshitsugu</v>
      </c>
      <c r="F570" s="50" t="str">
        <f>IF($C570="B",INDEX(Batters[[#All],[Last]],MATCH(A570,Batters[[#All],[PID]],0)),INDEX(Table3[[#All],[Last]],MATCH(A570,Table3[[#All],[PID]],0)))</f>
        <v>Sato</v>
      </c>
      <c r="G570" s="56">
        <f>IF($C570="B",INDEX(Batters[[#All],[Age]],MATCH(Table5[[#This Row],[PID]],Batters[[#All],[PID]],0)),INDEX(Table3[[#All],[Age]],MATCH(Table5[[#This Row],[PID]],Table3[[#All],[PID]],0)))</f>
        <v>21</v>
      </c>
      <c r="H570" s="52" t="str">
        <f>IF($C570="B",INDEX(Batters[[#All],[B]],MATCH(Table5[[#This Row],[PID]],Batters[[#All],[PID]],0)),INDEX(Table3[[#All],[B]],MATCH(Table5[[#This Row],[PID]],Table3[[#All],[PID]],0)))</f>
        <v>R</v>
      </c>
      <c r="I570" s="52" t="str">
        <f>IF($C570="B",INDEX(Batters[[#All],[T]],MATCH(Table5[[#This Row],[PID]],Batters[[#All],[PID]],0)),INDEX(Table3[[#All],[T]],MATCH(Table5[[#This Row],[PID]],Table3[[#All],[PID]],0)))</f>
        <v>R</v>
      </c>
      <c r="J570" s="52" t="str">
        <f>IF($C570="B",INDEX(Batters[[#All],[WE]],MATCH(Table5[[#This Row],[PID]],Batters[[#All],[PID]],0)),INDEX(Table3[[#All],[WE]],MATCH(Table5[[#This Row],[PID]],Table3[[#All],[PID]],0)))</f>
        <v>Normal</v>
      </c>
      <c r="K570" s="52" t="str">
        <f>IF($C570="B",INDEX(Batters[[#All],[INT]],MATCH(Table5[[#This Row],[PID]],Batters[[#All],[PID]],0)),INDEX(Table3[[#All],[INT]],MATCH(Table5[[#This Row],[PID]],Table3[[#All],[PID]],0)))</f>
        <v>Normal</v>
      </c>
      <c r="L570" s="60">
        <f>IF($C570="B",INDEX(Batters[[#All],[CON P]],MATCH(Table5[[#This Row],[PID]],Batters[[#All],[PID]],0)),INDEX(Table3[[#All],[STU P]],MATCH(Table5[[#This Row],[PID]],Table3[[#All],[PID]],0)))</f>
        <v>3</v>
      </c>
      <c r="M570" s="56">
        <f>IF($C570="B",INDEX(Batters[[#All],[GAP P]],MATCH(Table5[[#This Row],[PID]],Batters[[#All],[PID]],0)),INDEX(Table3[[#All],[MOV P]],MATCH(Table5[[#This Row],[PID]],Table3[[#All],[PID]],0)))</f>
        <v>5</v>
      </c>
      <c r="N570" s="56">
        <f>IF($C570="B",INDEX(Batters[[#All],[POW P]],MATCH(Table5[[#This Row],[PID]],Batters[[#All],[PID]],0)),INDEX(Table3[[#All],[CON P]],MATCH(Table5[[#This Row],[PID]],Table3[[#All],[PID]],0)))</f>
        <v>3</v>
      </c>
      <c r="O570" s="56">
        <f>IF($C570="B",INDEX(Batters[[#All],[EYE P]],MATCH(Table5[[#This Row],[PID]],Batters[[#All],[PID]],0)),INDEX(Table3[[#All],[VELO]],MATCH(Table5[[#This Row],[PID]],Table3[[#All],[PID]],0)))</f>
        <v>6</v>
      </c>
      <c r="P570" s="56">
        <f>IF($C570="B",INDEX(Batters[[#All],[K P]],MATCH(Table5[[#This Row],[PID]],Batters[[#All],[PID]],0)),INDEX(Table3[[#All],[STM]],MATCH(Table5[[#This Row],[PID]],Table3[[#All],[PID]],0)))</f>
        <v>3</v>
      </c>
      <c r="Q570" s="61">
        <f>IF($C570="B",INDEX(Batters[[#All],[Tot]],MATCH(Table5[[#This Row],[PID]],Batters[[#All],[PID]],0)),INDEX(Table3[[#All],[Tot]],MATCH(Table5[[#This Row],[PID]],Table3[[#All],[PID]],0)))</f>
        <v>39.503865921300651</v>
      </c>
      <c r="R570" s="52">
        <f>IF($C570="B",INDEX(Batters[[#All],[zScore]],MATCH(Table5[[#This Row],[PID]],Batters[[#All],[PID]],0)),INDEX(Table3[[#All],[zScore]],MATCH(Table5[[#This Row],[PID]],Table3[[#All],[PID]],0)))</f>
        <v>-0.54221673633342715</v>
      </c>
      <c r="S570" s="58" t="str">
        <f>IF($C570="B",INDEX(Batters[[#All],[DEM]],MATCH(Table5[[#This Row],[PID]],Batters[[#All],[PID]],0)),INDEX(Table3[[#All],[DEM]],MATCH(Table5[[#This Row],[PID]],Table3[[#All],[PID]],0)))</f>
        <v>$39k</v>
      </c>
      <c r="T570" s="62">
        <f>IF($C570="B",INDEX(Batters[[#All],[Rnk]],MATCH(Table5[[#This Row],[PID]],Batters[[#All],[PID]],0)),INDEX(Table3[[#All],[Rnk]],MATCH(Table5[[#This Row],[PID]],Table3[[#All],[PID]],0)))</f>
        <v>900</v>
      </c>
      <c r="U570" s="67">
        <f>IF($C570="B",VLOOKUP($A570,Bat!$A$4:$BA$1314,47,FALSE),VLOOKUP($A570,Pit!$A$4:$BF$1214,56,FALSE))</f>
        <v>217</v>
      </c>
      <c r="V570" s="50">
        <f>IF($C570="B",VLOOKUP($A570,Bat!$A$4:$BA$1314,48,FALSE),VLOOKUP($A570,Pit!$A$4:$BF$1214,57,FALSE))</f>
        <v>0</v>
      </c>
      <c r="W570" s="68">
        <f>IF(Table5[[#This Row],[posRnk]]=999,9999,Table5[[#This Row],[posRnk]]+Table5[[#This Row],[zRnk]]+IF($W$3&lt;&gt;Table5[[#This Row],[Type]],50,0))</f>
        <v>1546</v>
      </c>
      <c r="X570" s="51">
        <f>RANK(Table5[[#This Row],[zScore]],Table5[[#All],[zScore]])</f>
        <v>596</v>
      </c>
      <c r="Y570" s="50">
        <f>IFERROR(INDEX(DraftResults[[#All],[OVR]],MATCH(Table5[[#This Row],[PID]],DraftResults[[#All],[Player ID]],0)),"")</f>
        <v>533</v>
      </c>
      <c r="Z570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16</v>
      </c>
      <c r="AA570" s="50">
        <f>IFERROR(INDEX(DraftResults[[#All],[Pick in Round]],MATCH(Table5[[#This Row],[PID]],DraftResults[[#All],[Player ID]],0)),"")</f>
        <v>32</v>
      </c>
      <c r="AB570" s="50" t="str">
        <f>IFERROR(INDEX(DraftResults[[#All],[Team Name]],MATCH(Table5[[#This Row],[PID]],DraftResults[[#All],[Player ID]],0)),"")</f>
        <v>Florida Farstriders</v>
      </c>
      <c r="AC570" s="50">
        <f>IF(Table5[[#This Row],[Ovr]]="","",IF(Table5[[#This Row],[cmbList]]="","",Table5[[#This Row],[cmbList]]-Table5[[#This Row],[Ovr]]))</f>
        <v>1013</v>
      </c>
      <c r="AD570" s="54" t="str">
        <f>IF(ISERROR(VLOOKUP($AB570&amp;"-"&amp;$E570&amp;" "&amp;F570,Bonuses!$B$1:$G$1006,4,FALSE)),"",INT(VLOOKUP($AB570&amp;"-"&amp;$E570&amp;" "&amp;$F570,Bonuses!$B$1:$G$1006,4,FALSE)))</f>
        <v/>
      </c>
      <c r="AE570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16.32 (533) - C Toshitsugu Sato</v>
      </c>
    </row>
    <row r="571" spans="1:31" s="50" customFormat="1" x14ac:dyDescent="0.3">
      <c r="A571" s="50">
        <v>5402</v>
      </c>
      <c r="B571" s="55">
        <f>COUNTIF(Table5[PID],A571)</f>
        <v>1</v>
      </c>
      <c r="C571" s="55" t="str">
        <f>IF(COUNTIF(Table3[[#All],[PID]],A571)&gt;0,"P","B")</f>
        <v>P</v>
      </c>
      <c r="D571" s="59" t="str">
        <f>IF($C571="B",INDEX(Batters[[#All],[POS]],MATCH(Table5[[#This Row],[PID]],Batters[[#All],[PID]],0)),INDEX(Table3[[#All],[POS]],MATCH(Table5[[#This Row],[PID]],Table3[[#All],[PID]],0)))</f>
        <v>SP</v>
      </c>
      <c r="E571" s="52" t="str">
        <f>IF($C571="B",INDEX(Batters[[#All],[First]],MATCH(Table5[[#This Row],[PID]],Batters[[#All],[PID]],0)),INDEX(Table3[[#All],[First]],MATCH(Table5[[#This Row],[PID]],Table3[[#All],[PID]],0)))</f>
        <v>Albert</v>
      </c>
      <c r="F571" s="50" t="str">
        <f>IF($C571="B",INDEX(Batters[[#All],[Last]],MATCH(A571,Batters[[#All],[PID]],0)),INDEX(Table3[[#All],[Last]],MATCH(A571,Table3[[#All],[PID]],0)))</f>
        <v>Childress</v>
      </c>
      <c r="G571" s="56">
        <f>IF($C571="B",INDEX(Batters[[#All],[Age]],MATCH(Table5[[#This Row],[PID]],Batters[[#All],[PID]],0)),INDEX(Table3[[#All],[Age]],MATCH(Table5[[#This Row],[PID]],Table3[[#All],[PID]],0)))</f>
        <v>21</v>
      </c>
      <c r="H571" s="52" t="str">
        <f>IF($C571="B",INDEX(Batters[[#All],[B]],MATCH(Table5[[#This Row],[PID]],Batters[[#All],[PID]],0)),INDEX(Table3[[#All],[B]],MATCH(Table5[[#This Row],[PID]],Table3[[#All],[PID]],0)))</f>
        <v>S</v>
      </c>
      <c r="I571" s="52" t="str">
        <f>IF($C571="B",INDEX(Batters[[#All],[T]],MATCH(Table5[[#This Row],[PID]],Batters[[#All],[PID]],0)),INDEX(Table3[[#All],[T]],MATCH(Table5[[#This Row],[PID]],Table3[[#All],[PID]],0)))</f>
        <v>R</v>
      </c>
      <c r="J571" s="52" t="str">
        <f>IF($C571="B",INDEX(Batters[[#All],[WE]],MATCH(Table5[[#This Row],[PID]],Batters[[#All],[PID]],0)),INDEX(Table3[[#All],[WE]],MATCH(Table5[[#This Row],[PID]],Table3[[#All],[PID]],0)))</f>
        <v>High</v>
      </c>
      <c r="K571" s="52" t="str">
        <f>IF($C571="B",INDEX(Batters[[#All],[INT]],MATCH(Table5[[#This Row],[PID]],Batters[[#All],[PID]],0)),INDEX(Table3[[#All],[INT]],MATCH(Table5[[#This Row],[PID]],Table3[[#All],[PID]],0)))</f>
        <v>Normal</v>
      </c>
      <c r="L571" s="60">
        <f>IF($C571="B",INDEX(Batters[[#All],[CON P]],MATCH(Table5[[#This Row],[PID]],Batters[[#All],[PID]],0)),INDEX(Table3[[#All],[STU P]],MATCH(Table5[[#This Row],[PID]],Table3[[#All],[PID]],0)))</f>
        <v>4</v>
      </c>
      <c r="M571" s="56">
        <f>IF($C571="B",INDEX(Batters[[#All],[GAP P]],MATCH(Table5[[#This Row],[PID]],Batters[[#All],[PID]],0)),INDEX(Table3[[#All],[MOV P]],MATCH(Table5[[#This Row],[PID]],Table3[[#All],[PID]],0)))</f>
        <v>1</v>
      </c>
      <c r="N571" s="56">
        <f>IF($C571="B",INDEX(Batters[[#All],[POW P]],MATCH(Table5[[#This Row],[PID]],Batters[[#All],[PID]],0)),INDEX(Table3[[#All],[CON P]],MATCH(Table5[[#This Row],[PID]],Table3[[#All],[PID]],0)))</f>
        <v>4</v>
      </c>
      <c r="O571" s="56" t="str">
        <f>IF($C571="B",INDEX(Batters[[#All],[EYE P]],MATCH(Table5[[#This Row],[PID]],Batters[[#All],[PID]],0)),INDEX(Table3[[#All],[VELO]],MATCH(Table5[[#This Row],[PID]],Table3[[#All],[PID]],0)))</f>
        <v>93-95 Mph</v>
      </c>
      <c r="P571" s="56">
        <f>IF($C571="B",INDEX(Batters[[#All],[K P]],MATCH(Table5[[#This Row],[PID]],Batters[[#All],[PID]],0)),INDEX(Table3[[#All],[STM]],MATCH(Table5[[#This Row],[PID]],Table3[[#All],[PID]],0)))</f>
        <v>4</v>
      </c>
      <c r="Q571" s="61">
        <f>IF($C571="B",INDEX(Batters[[#All],[Tot]],MATCH(Table5[[#This Row],[PID]],Batters[[#All],[PID]],0)),INDEX(Table3[[#All],[Tot]],MATCH(Table5[[#This Row],[PID]],Table3[[#All],[PID]],0)))</f>
        <v>30.145497088136537</v>
      </c>
      <c r="R571" s="52">
        <f>IF($C571="B",INDEX(Batters[[#All],[zScore]],MATCH(Table5[[#This Row],[PID]],Batters[[#All],[PID]],0)),INDEX(Table3[[#All],[zScore]],MATCH(Table5[[#This Row],[PID]],Table3[[#All],[PID]],0)))</f>
        <v>-0.54523833906254182</v>
      </c>
      <c r="S571" s="58" t="str">
        <f>IF($C571="B",INDEX(Batters[[#All],[DEM]],MATCH(Table5[[#This Row],[PID]],Batters[[#All],[PID]],0)),INDEX(Table3[[#All],[DEM]],MATCH(Table5[[#This Row],[PID]],Table3[[#All],[PID]],0)))</f>
        <v>-</v>
      </c>
      <c r="T571" s="62">
        <f>IF($C571="B",INDEX(Batters[[#All],[Rnk]],MATCH(Table5[[#This Row],[PID]],Batters[[#All],[PID]],0)),INDEX(Table3[[#All],[Rnk]],MATCH(Table5[[#This Row],[PID]],Table3[[#All],[PID]],0)))</f>
        <v>900</v>
      </c>
      <c r="U571" s="67">
        <f>IF($C571="B",VLOOKUP($A571,Bat!$A$4:$BA$1314,47,FALSE),VLOOKUP($A571,Pit!$A$4:$BF$1214,56,FALSE))</f>
        <v>190</v>
      </c>
      <c r="V571" s="50">
        <f>IF($C571="B",VLOOKUP($A571,Bat!$A$4:$BA$1314,48,FALSE),VLOOKUP($A571,Pit!$A$4:$BF$1214,57,FALSE))</f>
        <v>0</v>
      </c>
      <c r="W571" s="68">
        <f>IF(Table5[[#This Row],[posRnk]]=999,9999,Table5[[#This Row],[posRnk]]+Table5[[#This Row],[zRnk]]+IF($W$3&lt;&gt;Table5[[#This Row],[Type]],50,0))</f>
        <v>1497</v>
      </c>
      <c r="X571" s="51">
        <f>RANK(Table5[[#This Row],[zScore]],Table5[[#All],[zScore]])</f>
        <v>597</v>
      </c>
      <c r="Y571" s="50">
        <f>IFERROR(INDEX(DraftResults[[#All],[OVR]],MATCH(Table5[[#This Row],[PID]],DraftResults[[#All],[Player ID]],0)),"")</f>
        <v>519</v>
      </c>
      <c r="Z571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16</v>
      </c>
      <c r="AA571" s="50">
        <f>IFERROR(INDEX(DraftResults[[#All],[Pick in Round]],MATCH(Table5[[#This Row],[PID]],DraftResults[[#All],[Player ID]],0)),"")</f>
        <v>18</v>
      </c>
      <c r="AB571" s="50" t="str">
        <f>IFERROR(INDEX(DraftResults[[#All],[Team Name]],MATCH(Table5[[#This Row],[PID]],DraftResults[[#All],[Player ID]],0)),"")</f>
        <v>San Juan Coqui</v>
      </c>
      <c r="AC571" s="50">
        <f>IF(Table5[[#This Row],[Ovr]]="","",IF(Table5[[#This Row],[cmbList]]="","",Table5[[#This Row],[cmbList]]-Table5[[#This Row],[Ovr]]))</f>
        <v>978</v>
      </c>
      <c r="AD571" s="54" t="str">
        <f>IF(ISERROR(VLOOKUP($AB571&amp;"-"&amp;$E571&amp;" "&amp;F571,Bonuses!$B$1:$G$1006,4,FALSE)),"",INT(VLOOKUP($AB571&amp;"-"&amp;$E571&amp;" "&amp;$F571,Bonuses!$B$1:$G$1006,4,FALSE)))</f>
        <v/>
      </c>
      <c r="AE571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16.18 (519) - SP Albert Childress</v>
      </c>
    </row>
    <row r="572" spans="1:31" s="50" customFormat="1" x14ac:dyDescent="0.3">
      <c r="A572" s="50">
        <v>13341</v>
      </c>
      <c r="B572" s="50">
        <f>COUNTIF(Table5[PID],A572)</f>
        <v>1</v>
      </c>
      <c r="C572" s="50" t="str">
        <f>IF(COUNTIF(Table3[[#All],[PID]],A572)&gt;0,"P","B")</f>
        <v>B</v>
      </c>
      <c r="D572" s="59" t="str">
        <f>IF($C572="B",INDEX(Batters[[#All],[POS]],MATCH(Table5[[#This Row],[PID]],Batters[[#All],[PID]],0)),INDEX(Table3[[#All],[POS]],MATCH(Table5[[#This Row],[PID]],Table3[[#All],[PID]],0)))</f>
        <v>3B</v>
      </c>
      <c r="E572" s="52" t="str">
        <f>IF($C572="B",INDEX(Batters[[#All],[First]],MATCH(Table5[[#This Row],[PID]],Batters[[#All],[PID]],0)),INDEX(Table3[[#All],[First]],MATCH(Table5[[#This Row],[PID]],Table3[[#All],[PID]],0)))</f>
        <v>Ben</v>
      </c>
      <c r="F572" s="50" t="str">
        <f>IF($C572="B",INDEX(Batters[[#All],[Last]],MATCH(A572,Batters[[#All],[PID]],0)),INDEX(Table3[[#All],[Last]],MATCH(A572,Table3[[#All],[PID]],0)))</f>
        <v>MacIndeor</v>
      </c>
      <c r="G572" s="56">
        <f>IF($C572="B",INDEX(Batters[[#All],[Age]],MATCH(Table5[[#This Row],[PID]],Batters[[#All],[PID]],0)),INDEX(Table3[[#All],[Age]],MATCH(Table5[[#This Row],[PID]],Table3[[#All],[PID]],0)))</f>
        <v>22</v>
      </c>
      <c r="H572" s="52" t="str">
        <f>IF($C572="B",INDEX(Batters[[#All],[B]],MATCH(Table5[[#This Row],[PID]],Batters[[#All],[PID]],0)),INDEX(Table3[[#All],[B]],MATCH(Table5[[#This Row],[PID]],Table3[[#All],[PID]],0)))</f>
        <v>R</v>
      </c>
      <c r="I572" s="52" t="str">
        <f>IF($C572="B",INDEX(Batters[[#All],[T]],MATCH(Table5[[#This Row],[PID]],Batters[[#All],[PID]],0)),INDEX(Table3[[#All],[T]],MATCH(Table5[[#This Row],[PID]],Table3[[#All],[PID]],0)))</f>
        <v>R</v>
      </c>
      <c r="J572" s="52" t="str">
        <f>IF($C572="B",INDEX(Batters[[#All],[WE]],MATCH(Table5[[#This Row],[PID]],Batters[[#All],[PID]],0)),INDEX(Table3[[#All],[WE]],MATCH(Table5[[#This Row],[PID]],Table3[[#All],[PID]],0)))</f>
        <v>Normal</v>
      </c>
      <c r="K572" s="52" t="str">
        <f>IF($C572="B",INDEX(Batters[[#All],[INT]],MATCH(Table5[[#This Row],[PID]],Batters[[#All],[PID]],0)),INDEX(Table3[[#All],[INT]],MATCH(Table5[[#This Row],[PID]],Table3[[#All],[PID]],0)))</f>
        <v>Normal</v>
      </c>
      <c r="L572" s="60">
        <f>IF($C572="B",INDEX(Batters[[#All],[CON P]],MATCH(Table5[[#This Row],[PID]],Batters[[#All],[PID]],0)),INDEX(Table3[[#All],[STU P]],MATCH(Table5[[#This Row],[PID]],Table3[[#All],[PID]],0)))</f>
        <v>3</v>
      </c>
      <c r="M572" s="56">
        <f>IF($C572="B",INDEX(Batters[[#All],[GAP P]],MATCH(Table5[[#This Row],[PID]],Batters[[#All],[PID]],0)),INDEX(Table3[[#All],[MOV P]],MATCH(Table5[[#This Row],[PID]],Table3[[#All],[PID]],0)))</f>
        <v>4</v>
      </c>
      <c r="N572" s="56">
        <f>IF($C572="B",INDEX(Batters[[#All],[POW P]],MATCH(Table5[[#This Row],[PID]],Batters[[#All],[PID]],0)),INDEX(Table3[[#All],[CON P]],MATCH(Table5[[#This Row],[PID]],Table3[[#All],[PID]],0)))</f>
        <v>3</v>
      </c>
      <c r="O572" s="56">
        <f>IF($C572="B",INDEX(Batters[[#All],[EYE P]],MATCH(Table5[[#This Row],[PID]],Batters[[#All],[PID]],0)),INDEX(Table3[[#All],[VELO]],MATCH(Table5[[#This Row],[PID]],Table3[[#All],[PID]],0)))</f>
        <v>6</v>
      </c>
      <c r="P572" s="56">
        <f>IF($C572="B",INDEX(Batters[[#All],[K P]],MATCH(Table5[[#This Row],[PID]],Batters[[#All],[PID]],0)),INDEX(Table3[[#All],[STM]],MATCH(Table5[[#This Row],[PID]],Table3[[#All],[PID]],0)))</f>
        <v>3</v>
      </c>
      <c r="Q572" s="61">
        <f>IF($C572="B",INDEX(Batters[[#All],[Tot]],MATCH(Table5[[#This Row],[PID]],Batters[[#All],[PID]],0)),INDEX(Table3[[#All],[Tot]],MATCH(Table5[[#This Row],[PID]],Table3[[#All],[PID]],0)))</f>
        <v>39.48184225031045</v>
      </c>
      <c r="R572" s="52">
        <f>IF($C572="B",INDEX(Batters[[#All],[zScore]],MATCH(Table5[[#This Row],[PID]],Batters[[#All],[PID]],0)),INDEX(Table3[[#All],[zScore]],MATCH(Table5[[#This Row],[PID]],Table3[[#All],[PID]],0)))</f>
        <v>-0.54543148995535762</v>
      </c>
      <c r="S572" s="58" t="str">
        <f>IF($C572="B",INDEX(Batters[[#All],[DEM]],MATCH(Table5[[#This Row],[PID]],Batters[[#All],[PID]],0)),INDEX(Table3[[#All],[DEM]],MATCH(Table5[[#This Row],[PID]],Table3[[#All],[PID]],0)))</f>
        <v>-</v>
      </c>
      <c r="T572" s="62">
        <f>IF($C572="B",INDEX(Batters[[#All],[Rnk]],MATCH(Table5[[#This Row],[PID]],Batters[[#All],[PID]],0)),INDEX(Table3[[#All],[Rnk]],MATCH(Table5[[#This Row],[PID]],Table3[[#All],[PID]],0)))</f>
        <v>900</v>
      </c>
      <c r="U572" s="67">
        <f>IF($C572="B",VLOOKUP($A572,Bat!$A$4:$BA$1314,47,FALSE),VLOOKUP($A572,Pit!$A$4:$BF$1214,56,FALSE))</f>
        <v>218</v>
      </c>
      <c r="V572" s="50">
        <f>IF($C572="B",VLOOKUP($A572,Bat!$A$4:$BA$1314,48,FALSE),VLOOKUP($A572,Pit!$A$4:$BF$1214,57,FALSE))</f>
        <v>0</v>
      </c>
      <c r="W572" s="68">
        <f>IF(Table5[[#This Row],[posRnk]]=999,9999,Table5[[#This Row],[posRnk]]+Table5[[#This Row],[zRnk]]+IF($W$3&lt;&gt;Table5[[#This Row],[Type]],50,0))</f>
        <v>1548</v>
      </c>
      <c r="X572" s="51">
        <f>RANK(Table5[[#This Row],[zScore]],Table5[[#All],[zScore]])</f>
        <v>598</v>
      </c>
      <c r="Y572" s="50">
        <f>IFERROR(INDEX(DraftResults[[#All],[OVR]],MATCH(Table5[[#This Row],[PID]],DraftResults[[#All],[Player ID]],0)),"")</f>
        <v>317</v>
      </c>
      <c r="Z572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10</v>
      </c>
      <c r="AA572" s="50">
        <f>IFERROR(INDEX(DraftResults[[#All],[Pick in Round]],MATCH(Table5[[#This Row],[PID]],DraftResults[[#All],[Player ID]],0)),"")</f>
        <v>20</v>
      </c>
      <c r="AB572" s="50" t="str">
        <f>IFERROR(INDEX(DraftResults[[#All],[Team Name]],MATCH(Table5[[#This Row],[PID]],DraftResults[[#All],[Player ID]],0)),"")</f>
        <v>Crystal Lake Sandgnats</v>
      </c>
      <c r="AC572" s="50">
        <f>IF(Table5[[#This Row],[Ovr]]="","",IF(Table5[[#This Row],[cmbList]]="","",Table5[[#This Row],[cmbList]]-Table5[[#This Row],[Ovr]]))</f>
        <v>1231</v>
      </c>
      <c r="AD572" s="54" t="str">
        <f>IF(ISERROR(VLOOKUP($AB572&amp;"-"&amp;$E572&amp;" "&amp;F572,Bonuses!$B$1:$G$1006,4,FALSE)),"",INT(VLOOKUP($AB572&amp;"-"&amp;$E572&amp;" "&amp;$F572,Bonuses!$B$1:$G$1006,4,FALSE)))</f>
        <v/>
      </c>
      <c r="AE572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10.20 (317) - 3B Ben MacIndeor</v>
      </c>
    </row>
    <row r="573" spans="1:31" s="50" customFormat="1" x14ac:dyDescent="0.3">
      <c r="A573" s="67">
        <v>20884</v>
      </c>
      <c r="B573" s="68">
        <f>COUNTIF(Table5[PID],A573)</f>
        <v>1</v>
      </c>
      <c r="C573" s="68" t="str">
        <f>IF(COUNTIF(Table3[[#All],[PID]],A573)&gt;0,"P","B")</f>
        <v>P</v>
      </c>
      <c r="D573" s="59" t="str">
        <f>IF($C573="B",INDEX(Batters[[#All],[POS]],MATCH(Table5[[#This Row],[PID]],Batters[[#All],[PID]],0)),INDEX(Table3[[#All],[POS]],MATCH(Table5[[#This Row],[PID]],Table3[[#All],[PID]],0)))</f>
        <v>RP</v>
      </c>
      <c r="E573" s="52" t="str">
        <f>IF($C573="B",INDEX(Batters[[#All],[First]],MATCH(Table5[[#This Row],[PID]],Batters[[#All],[PID]],0)),INDEX(Table3[[#All],[First]],MATCH(Table5[[#This Row],[PID]],Table3[[#All],[PID]],0)))</f>
        <v>Wes</v>
      </c>
      <c r="F573" s="55" t="str">
        <f>IF($C573="B",INDEX(Batters[[#All],[Last]],MATCH(A573,Batters[[#All],[PID]],0)),INDEX(Table3[[#All],[Last]],MATCH(A573,Table3[[#All],[PID]],0)))</f>
        <v>Clark</v>
      </c>
      <c r="G573" s="56">
        <f>IF($C573="B",INDEX(Batters[[#All],[Age]],MATCH(Table5[[#This Row],[PID]],Batters[[#All],[PID]],0)),INDEX(Table3[[#All],[Age]],MATCH(Table5[[#This Row],[PID]],Table3[[#All],[PID]],0)))</f>
        <v>17</v>
      </c>
      <c r="H573" s="52" t="str">
        <f>IF($C573="B",INDEX(Batters[[#All],[B]],MATCH(Table5[[#This Row],[PID]],Batters[[#All],[PID]],0)),INDEX(Table3[[#All],[B]],MATCH(Table5[[#This Row],[PID]],Table3[[#All],[PID]],0)))</f>
        <v>R</v>
      </c>
      <c r="I573" s="52" t="str">
        <f>IF($C573="B",INDEX(Batters[[#All],[T]],MATCH(Table5[[#This Row],[PID]],Batters[[#All],[PID]],0)),INDEX(Table3[[#All],[T]],MATCH(Table5[[#This Row],[PID]],Table3[[#All],[PID]],0)))</f>
        <v>R</v>
      </c>
      <c r="J573" s="69" t="str">
        <f>IF($C573="B",INDEX(Batters[[#All],[WE]],MATCH(Table5[[#This Row],[PID]],Batters[[#All],[PID]],0)),INDEX(Table3[[#All],[WE]],MATCH(Table5[[#This Row],[PID]],Table3[[#All],[PID]],0)))</f>
        <v>Low</v>
      </c>
      <c r="K573" s="52" t="str">
        <f>IF($C573="B",INDEX(Batters[[#All],[INT]],MATCH(Table5[[#This Row],[PID]],Batters[[#All],[PID]],0)),INDEX(Table3[[#All],[INT]],MATCH(Table5[[#This Row],[PID]],Table3[[#All],[PID]],0)))</f>
        <v>Normal</v>
      </c>
      <c r="L573" s="60">
        <f>IF($C573="B",INDEX(Batters[[#All],[CON P]],MATCH(Table5[[#This Row],[PID]],Batters[[#All],[PID]],0)),INDEX(Table3[[#All],[STU P]],MATCH(Table5[[#This Row],[PID]],Table3[[#All],[PID]],0)))</f>
        <v>5</v>
      </c>
      <c r="M573" s="70">
        <f>IF($C573="B",INDEX(Batters[[#All],[GAP P]],MATCH(Table5[[#This Row],[PID]],Batters[[#All],[PID]],0)),INDEX(Table3[[#All],[MOV P]],MATCH(Table5[[#This Row],[PID]],Table3[[#All],[PID]],0)))</f>
        <v>2</v>
      </c>
      <c r="N573" s="70">
        <f>IF($C573="B",INDEX(Batters[[#All],[POW P]],MATCH(Table5[[#This Row],[PID]],Batters[[#All],[PID]],0)),INDEX(Table3[[#All],[CON P]],MATCH(Table5[[#This Row],[PID]],Table3[[#All],[PID]],0)))</f>
        <v>3</v>
      </c>
      <c r="O573" s="70" t="str">
        <f>IF($C573="B",INDEX(Batters[[#All],[EYE P]],MATCH(Table5[[#This Row],[PID]],Batters[[#All],[PID]],0)),INDEX(Table3[[#All],[VELO]],MATCH(Table5[[#This Row],[PID]],Table3[[#All],[PID]],0)))</f>
        <v>88-90 Mph</v>
      </c>
      <c r="P573" s="56">
        <f>IF($C573="B",INDEX(Batters[[#All],[K P]],MATCH(Table5[[#This Row],[PID]],Batters[[#All],[PID]],0)),INDEX(Table3[[#All],[STM]],MATCH(Table5[[#This Row],[PID]],Table3[[#All],[PID]],0)))</f>
        <v>5</v>
      </c>
      <c r="Q573" s="61">
        <f>IF($C573="B",INDEX(Batters[[#All],[Tot]],MATCH(Table5[[#This Row],[PID]],Batters[[#All],[PID]],0)),INDEX(Table3[[#All],[Tot]],MATCH(Table5[[#This Row],[PID]],Table3[[#All],[PID]],0)))</f>
        <v>30.945835934176671</v>
      </c>
      <c r="R573" s="52">
        <f>IF($C573="B",INDEX(Batters[[#All],[zScore]],MATCH(Table5[[#This Row],[PID]],Batters[[#All],[PID]],0)),INDEX(Table3[[#All],[zScore]],MATCH(Table5[[#This Row],[PID]],Table3[[#All],[PID]],0)))</f>
        <v>-0.48824858454304271</v>
      </c>
      <c r="S573" s="75" t="str">
        <f>IF($C573="B",INDEX(Batters[[#All],[DEM]],MATCH(Table5[[#This Row],[PID]],Batters[[#All],[PID]],0)),INDEX(Table3[[#All],[DEM]],MATCH(Table5[[#This Row],[PID]],Table3[[#All],[PID]],0)))</f>
        <v>$75k</v>
      </c>
      <c r="T573" s="72">
        <f>IF($C573="B",INDEX(Batters[[#All],[Rnk]],MATCH(Table5[[#This Row],[PID]],Batters[[#All],[PID]],0)),INDEX(Table3[[#All],[Rnk]],MATCH(Table5[[#This Row],[PID]],Table3[[#All],[PID]],0)))</f>
        <v>930</v>
      </c>
      <c r="U573" s="67">
        <f>IF($C573="B",VLOOKUP($A573,Bat!$A$4:$BA$1314,47,FALSE),VLOOKUP($A573,Pit!$A$4:$BF$1214,56,FALSE))</f>
        <v>322</v>
      </c>
      <c r="V573" s="50">
        <f>IF($C573="B",VLOOKUP($A573,Bat!$A$4:$BA$1314,48,FALSE),VLOOKUP($A573,Pit!$A$4:$BF$1214,57,FALSE))</f>
        <v>0</v>
      </c>
      <c r="W573" s="68">
        <f>IF(Table5[[#This Row],[posRnk]]=999,9999,Table5[[#This Row],[posRnk]]+Table5[[#This Row],[zRnk]]+IF($W$3&lt;&gt;Table5[[#This Row],[Type]],50,0))</f>
        <v>1498</v>
      </c>
      <c r="X573" s="71">
        <f>RANK(Table5[[#This Row],[zScore]],Table5[[#All],[zScore]])</f>
        <v>568</v>
      </c>
      <c r="Y573" s="68">
        <f>IFERROR(INDEX(DraftResults[[#All],[OVR]],MATCH(Table5[[#This Row],[PID]],DraftResults[[#All],[Player ID]],0)),"")</f>
        <v>512</v>
      </c>
      <c r="Z573" s="7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16</v>
      </c>
      <c r="AA573" s="68">
        <f>IFERROR(INDEX(DraftResults[[#All],[Pick in Round]],MATCH(Table5[[#This Row],[PID]],DraftResults[[#All],[Player ID]],0)),"")</f>
        <v>11</v>
      </c>
      <c r="AB573" s="68" t="str">
        <f>IFERROR(INDEX(DraftResults[[#All],[Team Name]],MATCH(Table5[[#This Row],[PID]],DraftResults[[#All],[Player ID]],0)),"")</f>
        <v>Arlington Bureaucrats</v>
      </c>
      <c r="AC573" s="68">
        <f>IF(Table5[[#This Row],[Ovr]]="","",IF(Table5[[#This Row],[cmbList]]="","",Table5[[#This Row],[cmbList]]-Table5[[#This Row],[Ovr]]))</f>
        <v>986</v>
      </c>
      <c r="AD573" s="74" t="str">
        <f>IF(ISERROR(VLOOKUP($AB573&amp;"-"&amp;$E573&amp;" "&amp;F573,Bonuses!$B$1:$G$1006,4,FALSE)),"",INT(VLOOKUP($AB573&amp;"-"&amp;$E573&amp;" "&amp;$F573,Bonuses!$B$1:$G$1006,4,FALSE)))</f>
        <v/>
      </c>
      <c r="AE573" s="68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16.11 (512) - RP Wes Clark</v>
      </c>
    </row>
    <row r="574" spans="1:31" s="50" customFormat="1" x14ac:dyDescent="0.3">
      <c r="A574" s="50">
        <v>13622</v>
      </c>
      <c r="B574" s="50">
        <f>COUNTIF(Table5[PID],A574)</f>
        <v>1</v>
      </c>
      <c r="C574" s="50" t="str">
        <f>IF(COUNTIF(Table3[[#All],[PID]],A574)&gt;0,"P","B")</f>
        <v>P</v>
      </c>
      <c r="D574" s="59" t="str">
        <f>IF($C574="B",INDEX(Batters[[#All],[POS]],MATCH(Table5[[#This Row],[PID]],Batters[[#All],[PID]],0)),INDEX(Table3[[#All],[POS]],MATCH(Table5[[#This Row],[PID]],Table3[[#All],[PID]],0)))</f>
        <v>RP</v>
      </c>
      <c r="E574" s="52" t="str">
        <f>IF($C574="B",INDEX(Batters[[#All],[First]],MATCH(Table5[[#This Row],[PID]],Batters[[#All],[PID]],0)),INDEX(Table3[[#All],[First]],MATCH(Table5[[#This Row],[PID]],Table3[[#All],[PID]],0)))</f>
        <v>Ken</v>
      </c>
      <c r="F574" s="50" t="str">
        <f>IF($C574="B",INDEX(Batters[[#All],[Last]],MATCH(A574,Batters[[#All],[PID]],0)),INDEX(Table3[[#All],[Last]],MATCH(A574,Table3[[#All],[PID]],0)))</f>
        <v>Scott</v>
      </c>
      <c r="G574" s="56">
        <f>IF($C574="B",INDEX(Batters[[#All],[Age]],MATCH(Table5[[#This Row],[PID]],Batters[[#All],[PID]],0)),INDEX(Table3[[#All],[Age]],MATCH(Table5[[#This Row],[PID]],Table3[[#All],[PID]],0)))</f>
        <v>21</v>
      </c>
      <c r="H574" s="52" t="str">
        <f>IF($C574="B",INDEX(Batters[[#All],[B]],MATCH(Table5[[#This Row],[PID]],Batters[[#All],[PID]],0)),INDEX(Table3[[#All],[B]],MATCH(Table5[[#This Row],[PID]],Table3[[#All],[PID]],0)))</f>
        <v>R</v>
      </c>
      <c r="I574" s="52" t="str">
        <f>IF($C574="B",INDEX(Batters[[#All],[T]],MATCH(Table5[[#This Row],[PID]],Batters[[#All],[PID]],0)),INDEX(Table3[[#All],[T]],MATCH(Table5[[#This Row],[PID]],Table3[[#All],[PID]],0)))</f>
        <v>R</v>
      </c>
      <c r="J574" s="52" t="str">
        <f>IF($C574="B",INDEX(Batters[[#All],[WE]],MATCH(Table5[[#This Row],[PID]],Batters[[#All],[PID]],0)),INDEX(Table3[[#All],[WE]],MATCH(Table5[[#This Row],[PID]],Table3[[#All],[PID]],0)))</f>
        <v>Normal</v>
      </c>
      <c r="K574" s="52" t="str">
        <f>IF($C574="B",INDEX(Batters[[#All],[INT]],MATCH(Table5[[#This Row],[PID]],Batters[[#All],[PID]],0)),INDEX(Table3[[#All],[INT]],MATCH(Table5[[#This Row],[PID]],Table3[[#All],[PID]],0)))</f>
        <v>Normal</v>
      </c>
      <c r="L574" s="60">
        <f>IF($C574="B",INDEX(Batters[[#All],[CON P]],MATCH(Table5[[#This Row],[PID]],Batters[[#All],[PID]],0)),INDEX(Table3[[#All],[STU P]],MATCH(Table5[[#This Row],[PID]],Table3[[#All],[PID]],0)))</f>
        <v>4</v>
      </c>
      <c r="M574" s="56">
        <f>IF($C574="B",INDEX(Batters[[#All],[GAP P]],MATCH(Table5[[#This Row],[PID]],Batters[[#All],[PID]],0)),INDEX(Table3[[#All],[MOV P]],MATCH(Table5[[#This Row],[PID]],Table3[[#All],[PID]],0)))</f>
        <v>1</v>
      </c>
      <c r="N574" s="56">
        <f>IF($C574="B",INDEX(Batters[[#All],[POW P]],MATCH(Table5[[#This Row],[PID]],Batters[[#All],[PID]],0)),INDEX(Table3[[#All],[CON P]],MATCH(Table5[[#This Row],[PID]],Table3[[#All],[PID]],0)))</f>
        <v>4</v>
      </c>
      <c r="O574" s="56" t="str">
        <f>IF($C574="B",INDEX(Batters[[#All],[EYE P]],MATCH(Table5[[#This Row],[PID]],Batters[[#All],[PID]],0)),INDEX(Table3[[#All],[VELO]],MATCH(Table5[[#This Row],[PID]],Table3[[#All],[PID]],0)))</f>
        <v>89-91 Mph</v>
      </c>
      <c r="P574" s="56">
        <f>IF($C574="B",INDEX(Batters[[#All],[K P]],MATCH(Table5[[#This Row],[PID]],Batters[[#All],[PID]],0)),INDEX(Table3[[#All],[STM]],MATCH(Table5[[#This Row],[PID]],Table3[[#All],[PID]],0)))</f>
        <v>6</v>
      </c>
      <c r="Q574" s="61">
        <f>IF($C574="B",INDEX(Batters[[#All],[Tot]],MATCH(Table5[[#This Row],[PID]],Batters[[#All],[PID]],0)),INDEX(Table3[[#All],[Tot]],MATCH(Table5[[#This Row],[PID]],Table3[[#All],[PID]],0)))</f>
        <v>30.03457597883245</v>
      </c>
      <c r="R574" s="52">
        <f>IF($C574="B",INDEX(Batters[[#All],[zScore]],MATCH(Table5[[#This Row],[PID]],Batters[[#All],[PID]],0)),INDEX(Table3[[#All],[zScore]],MATCH(Table5[[#This Row],[PID]],Table3[[#All],[PID]],0)))</f>
        <v>-0.55313670213906485</v>
      </c>
      <c r="S574" s="58" t="str">
        <f>IF($C574="B",INDEX(Batters[[#All],[DEM]],MATCH(Table5[[#This Row],[PID]],Batters[[#All],[PID]],0)),INDEX(Table3[[#All],[DEM]],MATCH(Table5[[#This Row],[PID]],Table3[[#All],[PID]],0)))</f>
        <v>-</v>
      </c>
      <c r="T574" s="62">
        <f>IF($C574="B",INDEX(Batters[[#All],[Rnk]],MATCH(Table5[[#This Row],[PID]],Batters[[#All],[PID]],0)),INDEX(Table3[[#All],[Rnk]],MATCH(Table5[[#This Row],[PID]],Table3[[#All],[PID]],0)))</f>
        <v>900</v>
      </c>
      <c r="U574" s="67">
        <f>IF($C574="B",VLOOKUP($A574,Bat!$A$4:$BA$1314,47,FALSE),VLOOKUP($A574,Pit!$A$4:$BF$1214,56,FALSE))</f>
        <v>201</v>
      </c>
      <c r="V574" s="50">
        <f>IF($C574="B",VLOOKUP($A574,Bat!$A$4:$BA$1314,48,FALSE),VLOOKUP($A574,Pit!$A$4:$BF$1214,57,FALSE))</f>
        <v>0</v>
      </c>
      <c r="W574" s="68">
        <f>IF(Table5[[#This Row],[posRnk]]=999,9999,Table5[[#This Row],[posRnk]]+Table5[[#This Row],[zRnk]]+IF($W$3&lt;&gt;Table5[[#This Row],[Type]],50,0))</f>
        <v>1499</v>
      </c>
      <c r="X574" s="51">
        <f>RANK(Table5[[#This Row],[zScore]],Table5[[#All],[zScore]])</f>
        <v>599</v>
      </c>
      <c r="Y574" s="50">
        <f>IFERROR(INDEX(DraftResults[[#All],[OVR]],MATCH(Table5[[#This Row],[PID]],DraftResults[[#All],[Player ID]],0)),"")</f>
        <v>617</v>
      </c>
      <c r="Z574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19</v>
      </c>
      <c r="AA574" s="50">
        <f>IFERROR(INDEX(DraftResults[[#All],[Pick in Round]],MATCH(Table5[[#This Row],[PID]],DraftResults[[#All],[Player ID]],0)),"")</f>
        <v>14</v>
      </c>
      <c r="AB574" s="50" t="str">
        <f>IFERROR(INDEX(DraftResults[[#All],[Team Name]],MATCH(Table5[[#This Row],[PID]],DraftResults[[#All],[Player ID]],0)),"")</f>
        <v>San Antonio Calzones of Laredo</v>
      </c>
      <c r="AC574" s="50">
        <f>IF(Table5[[#This Row],[Ovr]]="","",IF(Table5[[#This Row],[cmbList]]="","",Table5[[#This Row],[cmbList]]-Table5[[#This Row],[Ovr]]))</f>
        <v>882</v>
      </c>
      <c r="AD574" s="54" t="str">
        <f>IF(ISERROR(VLOOKUP($AB574&amp;"-"&amp;$E574&amp;" "&amp;F574,Bonuses!$B$1:$G$1006,4,FALSE)),"",INT(VLOOKUP($AB574&amp;"-"&amp;$E574&amp;" "&amp;$F574,Bonuses!$B$1:$G$1006,4,FALSE)))</f>
        <v/>
      </c>
      <c r="AE574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19.14 (617) - RP Ken Scott</v>
      </c>
    </row>
    <row r="575" spans="1:31" s="50" customFormat="1" x14ac:dyDescent="0.3">
      <c r="A575" s="50">
        <v>13580</v>
      </c>
      <c r="B575" s="50">
        <f>COUNTIF(Table5[PID],A575)</f>
        <v>1</v>
      </c>
      <c r="C575" s="50" t="str">
        <f>IF(COUNTIF(Table3[[#All],[PID]],A575)&gt;0,"P","B")</f>
        <v>P</v>
      </c>
      <c r="D575" s="59" t="str">
        <f>IF($C575="B",INDEX(Batters[[#All],[POS]],MATCH(Table5[[#This Row],[PID]],Batters[[#All],[PID]],0)),INDEX(Table3[[#All],[POS]],MATCH(Table5[[#This Row],[PID]],Table3[[#All],[PID]],0)))</f>
        <v>SP</v>
      </c>
      <c r="E575" s="52" t="str">
        <f>IF($C575="B",INDEX(Batters[[#All],[First]],MATCH(Table5[[#This Row],[PID]],Batters[[#All],[PID]],0)),INDEX(Table3[[#All],[First]],MATCH(Table5[[#This Row],[PID]],Table3[[#All],[PID]],0)))</f>
        <v>Takejiro</v>
      </c>
      <c r="F575" s="50" t="str">
        <f>IF($C575="B",INDEX(Batters[[#All],[Last]],MATCH(A575,Batters[[#All],[PID]],0)),INDEX(Table3[[#All],[Last]],MATCH(A575,Table3[[#All],[PID]],0)))</f>
        <v>Chikafuji</v>
      </c>
      <c r="G575" s="56">
        <f>IF($C575="B",INDEX(Batters[[#All],[Age]],MATCH(Table5[[#This Row],[PID]],Batters[[#All],[PID]],0)),INDEX(Table3[[#All],[Age]],MATCH(Table5[[#This Row],[PID]],Table3[[#All],[PID]],0)))</f>
        <v>21</v>
      </c>
      <c r="H575" s="52" t="str">
        <f>IF($C575="B",INDEX(Batters[[#All],[B]],MATCH(Table5[[#This Row],[PID]],Batters[[#All],[PID]],0)),INDEX(Table3[[#All],[B]],MATCH(Table5[[#This Row],[PID]],Table3[[#All],[PID]],0)))</f>
        <v>R</v>
      </c>
      <c r="I575" s="52" t="str">
        <f>IF($C575="B",INDEX(Batters[[#All],[T]],MATCH(Table5[[#This Row],[PID]],Batters[[#All],[PID]],0)),INDEX(Table3[[#All],[T]],MATCH(Table5[[#This Row],[PID]],Table3[[#All],[PID]],0)))</f>
        <v>R</v>
      </c>
      <c r="J575" s="52" t="str">
        <f>IF($C575="B",INDEX(Batters[[#All],[WE]],MATCH(Table5[[#This Row],[PID]],Batters[[#All],[PID]],0)),INDEX(Table3[[#All],[WE]],MATCH(Table5[[#This Row],[PID]],Table3[[#All],[PID]],0)))</f>
        <v>Low</v>
      </c>
      <c r="K575" s="52" t="str">
        <f>IF($C575="B",INDEX(Batters[[#All],[INT]],MATCH(Table5[[#This Row],[PID]],Batters[[#All],[PID]],0)),INDEX(Table3[[#All],[INT]],MATCH(Table5[[#This Row],[PID]],Table3[[#All],[PID]],0)))</f>
        <v>Normal</v>
      </c>
      <c r="L575" s="60">
        <f>IF($C575="B",INDEX(Batters[[#All],[CON P]],MATCH(Table5[[#This Row],[PID]],Batters[[#All],[PID]],0)),INDEX(Table3[[#All],[STU P]],MATCH(Table5[[#This Row],[PID]],Table3[[#All],[PID]],0)))</f>
        <v>4</v>
      </c>
      <c r="M575" s="56">
        <f>IF($C575="B",INDEX(Batters[[#All],[GAP P]],MATCH(Table5[[#This Row],[PID]],Batters[[#All],[PID]],0)),INDEX(Table3[[#All],[MOV P]],MATCH(Table5[[#This Row],[PID]],Table3[[#All],[PID]],0)))</f>
        <v>1</v>
      </c>
      <c r="N575" s="56">
        <f>IF($C575="B",INDEX(Batters[[#All],[POW P]],MATCH(Table5[[#This Row],[PID]],Batters[[#All],[PID]],0)),INDEX(Table3[[#All],[CON P]],MATCH(Table5[[#This Row],[PID]],Table3[[#All],[PID]],0)))</f>
        <v>4</v>
      </c>
      <c r="O575" s="56" t="str">
        <f>IF($C575="B",INDEX(Batters[[#All],[EYE P]],MATCH(Table5[[#This Row],[PID]],Batters[[#All],[PID]],0)),INDEX(Table3[[#All],[VELO]],MATCH(Table5[[#This Row],[PID]],Table3[[#All],[PID]],0)))</f>
        <v>88-90 Mph</v>
      </c>
      <c r="P575" s="56">
        <f>IF($C575="B",INDEX(Batters[[#All],[K P]],MATCH(Table5[[#This Row],[PID]],Batters[[#All],[PID]],0)),INDEX(Table3[[#All],[STM]],MATCH(Table5[[#This Row],[PID]],Table3[[#All],[PID]],0)))</f>
        <v>6</v>
      </c>
      <c r="Q575" s="61">
        <f>IF($C575="B",INDEX(Batters[[#All],[Tot]],MATCH(Table5[[#This Row],[PID]],Batters[[#All],[PID]],0)),INDEX(Table3[[#All],[Tot]],MATCH(Table5[[#This Row],[PID]],Table3[[#All],[PID]],0)))</f>
        <v>30.812613680933712</v>
      </c>
      <c r="R575" s="52">
        <f>IF($C575="B",INDEX(Batters[[#All],[zScore]],MATCH(Table5[[#This Row],[PID]],Batters[[#All],[PID]],0)),INDEX(Table3[[#All],[zScore]],MATCH(Table5[[#This Row],[PID]],Table3[[#All],[PID]],0)))</f>
        <v>-0.49773494590912593</v>
      </c>
      <c r="S575" s="58" t="str">
        <f>IF($C575="B",INDEX(Batters[[#All],[DEM]],MATCH(Table5[[#This Row],[PID]],Batters[[#All],[PID]],0)),INDEX(Table3[[#All],[DEM]],MATCH(Table5[[#This Row],[PID]],Table3[[#All],[PID]],0)))</f>
        <v>$20k</v>
      </c>
      <c r="T575" s="62">
        <f>IF($C575="B",INDEX(Batters[[#All],[Rnk]],MATCH(Table5[[#This Row],[PID]],Batters[[#All],[PID]],0)),INDEX(Table3[[#All],[Rnk]],MATCH(Table5[[#This Row],[PID]],Table3[[#All],[PID]],0)))</f>
        <v>930</v>
      </c>
      <c r="U575" s="67">
        <f>IF($C575="B",VLOOKUP($A575,Bat!$A$4:$BA$1314,47,FALSE),VLOOKUP($A575,Pit!$A$4:$BF$1214,56,FALSE))</f>
        <v>323</v>
      </c>
      <c r="V575" s="50">
        <f>IF($C575="B",VLOOKUP($A575,Bat!$A$4:$BA$1314,48,FALSE),VLOOKUP($A575,Pit!$A$4:$BF$1214,57,FALSE))</f>
        <v>0</v>
      </c>
      <c r="W575" s="68">
        <f>IF(Table5[[#This Row],[posRnk]]=999,9999,Table5[[#This Row],[posRnk]]+Table5[[#This Row],[zRnk]]+IF($W$3&lt;&gt;Table5[[#This Row],[Type]],50,0))</f>
        <v>1499</v>
      </c>
      <c r="X575" s="51">
        <f>RANK(Table5[[#This Row],[zScore]],Table5[[#All],[zScore]])</f>
        <v>569</v>
      </c>
      <c r="Y575" s="50">
        <f>IFERROR(INDEX(DraftResults[[#All],[OVR]],MATCH(Table5[[#This Row],[PID]],DraftResults[[#All],[Player ID]],0)),"")</f>
        <v>562</v>
      </c>
      <c r="Z575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17</v>
      </c>
      <c r="AA575" s="50">
        <f>IFERROR(INDEX(DraftResults[[#All],[Pick in Round]],MATCH(Table5[[#This Row],[PID]],DraftResults[[#All],[Player ID]],0)),"")</f>
        <v>27</v>
      </c>
      <c r="AB575" s="50" t="str">
        <f>IFERROR(INDEX(DraftResults[[#All],[Team Name]],MATCH(Table5[[#This Row],[PID]],DraftResults[[#All],[Player ID]],0)),"")</f>
        <v>Havana Leones</v>
      </c>
      <c r="AC575" s="50">
        <f>IF(Table5[[#This Row],[Ovr]]="","",IF(Table5[[#This Row],[cmbList]]="","",Table5[[#This Row],[cmbList]]-Table5[[#This Row],[Ovr]]))</f>
        <v>937</v>
      </c>
      <c r="AD575" s="54" t="str">
        <f>IF(ISERROR(VLOOKUP($AB575&amp;"-"&amp;$E575&amp;" "&amp;F575,Bonuses!$B$1:$G$1006,4,FALSE)),"",INT(VLOOKUP($AB575&amp;"-"&amp;$E575&amp;" "&amp;$F575,Bonuses!$B$1:$G$1006,4,FALSE)))</f>
        <v/>
      </c>
      <c r="AE575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17.27 (562) - SP Takejiro Chikafuji</v>
      </c>
    </row>
    <row r="576" spans="1:31" s="50" customFormat="1" x14ac:dyDescent="0.3">
      <c r="A576" s="67">
        <v>11911</v>
      </c>
      <c r="B576" s="68">
        <f>COUNTIF(Table5[PID],A576)</f>
        <v>1</v>
      </c>
      <c r="C576" s="68" t="str">
        <f>IF(COUNTIF(Table3[[#All],[PID]],A576)&gt;0,"P","B")</f>
        <v>B</v>
      </c>
      <c r="D576" s="59" t="str">
        <f>IF($C576="B",INDEX(Batters[[#All],[POS]],MATCH(Table5[[#This Row],[PID]],Batters[[#All],[PID]],0)),INDEX(Table3[[#All],[POS]],MATCH(Table5[[#This Row],[PID]],Table3[[#All],[PID]],0)))</f>
        <v>SS</v>
      </c>
      <c r="E576" s="52" t="str">
        <f>IF($C576="B",INDEX(Batters[[#All],[First]],MATCH(Table5[[#This Row],[PID]],Batters[[#All],[PID]],0)),INDEX(Table3[[#All],[First]],MATCH(Table5[[#This Row],[PID]],Table3[[#All],[PID]],0)))</f>
        <v>Akinori</v>
      </c>
      <c r="F576" s="55" t="str">
        <f>IF($C576="B",INDEX(Batters[[#All],[Last]],MATCH(A576,Batters[[#All],[PID]],0)),INDEX(Table3[[#All],[Last]],MATCH(A576,Table3[[#All],[PID]],0)))</f>
        <v>Gato</v>
      </c>
      <c r="G576" s="56">
        <f>IF($C576="B",INDEX(Batters[[#All],[Age]],MATCH(Table5[[#This Row],[PID]],Batters[[#All],[PID]],0)),INDEX(Table3[[#All],[Age]],MATCH(Table5[[#This Row],[PID]],Table3[[#All],[PID]],0)))</f>
        <v>21</v>
      </c>
      <c r="H576" s="52" t="str">
        <f>IF($C576="B",INDEX(Batters[[#All],[B]],MATCH(Table5[[#This Row],[PID]],Batters[[#All],[PID]],0)),INDEX(Table3[[#All],[B]],MATCH(Table5[[#This Row],[PID]],Table3[[#All],[PID]],0)))</f>
        <v>R</v>
      </c>
      <c r="I576" s="52" t="str">
        <f>IF($C576="B",INDEX(Batters[[#All],[T]],MATCH(Table5[[#This Row],[PID]],Batters[[#All],[PID]],0)),INDEX(Table3[[#All],[T]],MATCH(Table5[[#This Row],[PID]],Table3[[#All],[PID]],0)))</f>
        <v>R</v>
      </c>
      <c r="J576" s="69" t="str">
        <f>IF($C576="B",INDEX(Batters[[#All],[WE]],MATCH(Table5[[#This Row],[PID]],Batters[[#All],[PID]],0)),INDEX(Table3[[#All],[WE]],MATCH(Table5[[#This Row],[PID]],Table3[[#All],[PID]],0)))</f>
        <v>Normal</v>
      </c>
      <c r="K576" s="52" t="str">
        <f>IF($C576="B",INDEX(Batters[[#All],[INT]],MATCH(Table5[[#This Row],[PID]],Batters[[#All],[PID]],0)),INDEX(Table3[[#All],[INT]],MATCH(Table5[[#This Row],[PID]],Table3[[#All],[PID]],0)))</f>
        <v>Normal</v>
      </c>
      <c r="L576" s="60">
        <f>IF($C576="B",INDEX(Batters[[#All],[CON P]],MATCH(Table5[[#This Row],[PID]],Batters[[#All],[PID]],0)),INDEX(Table3[[#All],[STU P]],MATCH(Table5[[#This Row],[PID]],Table3[[#All],[PID]],0)))</f>
        <v>3</v>
      </c>
      <c r="M576" s="70">
        <f>IF($C576="B",INDEX(Batters[[#All],[GAP P]],MATCH(Table5[[#This Row],[PID]],Batters[[#All],[PID]],0)),INDEX(Table3[[#All],[MOV P]],MATCH(Table5[[#This Row],[PID]],Table3[[#All],[PID]],0)))</f>
        <v>4</v>
      </c>
      <c r="N576" s="70">
        <f>IF($C576="B",INDEX(Batters[[#All],[POW P]],MATCH(Table5[[#This Row],[PID]],Batters[[#All],[PID]],0)),INDEX(Table3[[#All],[CON P]],MATCH(Table5[[#This Row],[PID]],Table3[[#All],[PID]],0)))</f>
        <v>4</v>
      </c>
      <c r="O576" s="70">
        <f>IF($C576="B",INDEX(Batters[[#All],[EYE P]],MATCH(Table5[[#This Row],[PID]],Batters[[#All],[PID]],0)),INDEX(Table3[[#All],[VELO]],MATCH(Table5[[#This Row],[PID]],Table3[[#All],[PID]],0)))</f>
        <v>5</v>
      </c>
      <c r="P576" s="56">
        <f>IF($C576="B",INDEX(Batters[[#All],[K P]],MATCH(Table5[[#This Row],[PID]],Batters[[#All],[PID]],0)),INDEX(Table3[[#All],[STM]],MATCH(Table5[[#This Row],[PID]],Table3[[#All],[PID]],0)))</f>
        <v>3</v>
      </c>
      <c r="Q576" s="61">
        <f>IF($C576="B",INDEX(Batters[[#All],[Tot]],MATCH(Table5[[#This Row],[PID]],Batters[[#All],[PID]],0)),INDEX(Table3[[#All],[Tot]],MATCH(Table5[[#This Row],[PID]],Table3[[#All],[PID]],0)))</f>
        <v>39.417627311504944</v>
      </c>
      <c r="R576" s="52">
        <f>IF($C576="B",INDEX(Batters[[#All],[zScore]],MATCH(Table5[[#This Row],[PID]],Batters[[#All],[PID]],0)),INDEX(Table3[[#All],[zScore]],MATCH(Table5[[#This Row],[PID]],Table3[[#All],[PID]],0)))</f>
        <v>-0.55480482318390489</v>
      </c>
      <c r="S576" s="75" t="str">
        <f>IF($C576="B",INDEX(Batters[[#All],[DEM]],MATCH(Table5[[#This Row],[PID]],Batters[[#All],[PID]],0)),INDEX(Table3[[#All],[DEM]],MATCH(Table5[[#This Row],[PID]],Table3[[#All],[PID]],0)))</f>
        <v>$140k</v>
      </c>
      <c r="T576" s="72">
        <f>IF($C576="B",INDEX(Batters[[#All],[Rnk]],MATCH(Table5[[#This Row],[PID]],Batters[[#All],[PID]],0)),INDEX(Table3[[#All],[Rnk]],MATCH(Table5[[#This Row],[PID]],Table3[[#All],[PID]],0)))</f>
        <v>900</v>
      </c>
      <c r="U576" s="67">
        <f>IF($C576="B",VLOOKUP($A576,Bat!$A$4:$BA$1314,47,FALSE),VLOOKUP($A576,Pit!$A$4:$BF$1214,56,FALSE))</f>
        <v>219</v>
      </c>
      <c r="V576" s="50">
        <f>IF($C576="B",VLOOKUP($A576,Bat!$A$4:$BA$1314,48,FALSE),VLOOKUP($A576,Pit!$A$4:$BF$1214,57,FALSE))</f>
        <v>0</v>
      </c>
      <c r="W576" s="68">
        <f>IF(Table5[[#This Row],[posRnk]]=999,9999,Table5[[#This Row],[posRnk]]+Table5[[#This Row],[zRnk]]+IF($W$3&lt;&gt;Table5[[#This Row],[Type]],50,0))</f>
        <v>1551</v>
      </c>
      <c r="X576" s="71">
        <f>RANK(Table5[[#This Row],[zScore]],Table5[[#All],[zScore]])</f>
        <v>601</v>
      </c>
      <c r="Y576" s="68">
        <f>IFERROR(INDEX(DraftResults[[#All],[OVR]],MATCH(Table5[[#This Row],[PID]],DraftResults[[#All],[Player ID]],0)),"")</f>
        <v>189</v>
      </c>
      <c r="Z576" s="7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6</v>
      </c>
      <c r="AA576" s="68">
        <f>IFERROR(INDEX(DraftResults[[#All],[Pick in Round]],MATCH(Table5[[#This Row],[PID]],DraftResults[[#All],[Player ID]],0)),"")</f>
        <v>20</v>
      </c>
      <c r="AB576" s="68" t="str">
        <f>IFERROR(INDEX(DraftResults[[#All],[Team Name]],MATCH(Table5[[#This Row],[PID]],DraftResults[[#All],[Player ID]],0)),"")</f>
        <v>Crystal Lake Sandgnats</v>
      </c>
      <c r="AC576" s="68">
        <f>IF(Table5[[#This Row],[Ovr]]="","",IF(Table5[[#This Row],[cmbList]]="","",Table5[[#This Row],[cmbList]]-Table5[[#This Row],[Ovr]]))</f>
        <v>1362</v>
      </c>
      <c r="AD576" s="74" t="str">
        <f>IF(ISERROR(VLOOKUP($AB576&amp;"-"&amp;$E576&amp;" "&amp;F576,Bonuses!$B$1:$G$1006,4,FALSE)),"",INT(VLOOKUP($AB576&amp;"-"&amp;$E576&amp;" "&amp;$F576,Bonuses!$B$1:$G$1006,4,FALSE)))</f>
        <v/>
      </c>
      <c r="AE576" s="68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6.20 (189) - SS Akinori Gato</v>
      </c>
    </row>
    <row r="577" spans="1:31" s="50" customFormat="1" x14ac:dyDescent="0.3">
      <c r="A577" s="50">
        <v>13528</v>
      </c>
      <c r="B577" s="50">
        <f>COUNTIF(Table5[PID],A577)</f>
        <v>1</v>
      </c>
      <c r="C577" s="50" t="str">
        <f>IF(COUNTIF(Table3[[#All],[PID]],A577)&gt;0,"P","B")</f>
        <v>P</v>
      </c>
      <c r="D577" s="59" t="str">
        <f>IF($C577="B",INDEX(Batters[[#All],[POS]],MATCH(Table5[[#This Row],[PID]],Batters[[#All],[PID]],0)),INDEX(Table3[[#All],[POS]],MATCH(Table5[[#This Row],[PID]],Table3[[#All],[PID]],0)))</f>
        <v>SP</v>
      </c>
      <c r="E577" s="52" t="str">
        <f>IF($C577="B",INDEX(Batters[[#All],[First]],MATCH(Table5[[#This Row],[PID]],Batters[[#All],[PID]],0)),INDEX(Table3[[#All],[First]],MATCH(Table5[[#This Row],[PID]],Table3[[#All],[PID]],0)))</f>
        <v>Nathan</v>
      </c>
      <c r="F577" s="50" t="str">
        <f>IF($C577="B",INDEX(Batters[[#All],[Last]],MATCH(A577,Batters[[#All],[PID]],0)),INDEX(Table3[[#All],[Last]],MATCH(A577,Table3[[#All],[PID]],0)))</f>
        <v>Carveth</v>
      </c>
      <c r="G577" s="56">
        <f>IF($C577="B",INDEX(Batters[[#All],[Age]],MATCH(Table5[[#This Row],[PID]],Batters[[#All],[PID]],0)),INDEX(Table3[[#All],[Age]],MATCH(Table5[[#This Row],[PID]],Table3[[#All],[PID]],0)))</f>
        <v>21</v>
      </c>
      <c r="H577" s="52" t="str">
        <f>IF($C577="B",INDEX(Batters[[#All],[B]],MATCH(Table5[[#This Row],[PID]],Batters[[#All],[PID]],0)),INDEX(Table3[[#All],[B]],MATCH(Table5[[#This Row],[PID]],Table3[[#All],[PID]],0)))</f>
        <v>L</v>
      </c>
      <c r="I577" s="52" t="str">
        <f>IF($C577="B",INDEX(Batters[[#All],[T]],MATCH(Table5[[#This Row],[PID]],Batters[[#All],[PID]],0)),INDEX(Table3[[#All],[T]],MATCH(Table5[[#This Row],[PID]],Table3[[#All],[PID]],0)))</f>
        <v>L</v>
      </c>
      <c r="J577" s="52" t="str">
        <f>IF($C577="B",INDEX(Batters[[#All],[WE]],MATCH(Table5[[#This Row],[PID]],Batters[[#All],[PID]],0)),INDEX(Table3[[#All],[WE]],MATCH(Table5[[#This Row],[PID]],Table3[[#All],[PID]],0)))</f>
        <v>Low</v>
      </c>
      <c r="K577" s="52" t="str">
        <f>IF($C577="B",INDEX(Batters[[#All],[INT]],MATCH(Table5[[#This Row],[PID]],Batters[[#All],[PID]],0)),INDEX(Table3[[#All],[INT]],MATCH(Table5[[#This Row],[PID]],Table3[[#All],[PID]],0)))</f>
        <v>Low</v>
      </c>
      <c r="L577" s="60">
        <f>IF($C577="B",INDEX(Batters[[#All],[CON P]],MATCH(Table5[[#This Row],[PID]],Batters[[#All],[PID]],0)),INDEX(Table3[[#All],[STU P]],MATCH(Table5[[#This Row],[PID]],Table3[[#All],[PID]],0)))</f>
        <v>5</v>
      </c>
      <c r="M577" s="56">
        <f>IF($C577="B",INDEX(Batters[[#All],[GAP P]],MATCH(Table5[[#This Row],[PID]],Batters[[#All],[PID]],0)),INDEX(Table3[[#All],[MOV P]],MATCH(Table5[[#This Row],[PID]],Table3[[#All],[PID]],0)))</f>
        <v>1</v>
      </c>
      <c r="N577" s="56">
        <f>IF($C577="B",INDEX(Batters[[#All],[POW P]],MATCH(Table5[[#This Row],[PID]],Batters[[#All],[PID]],0)),INDEX(Table3[[#All],[CON P]],MATCH(Table5[[#This Row],[PID]],Table3[[#All],[PID]],0)))</f>
        <v>3</v>
      </c>
      <c r="O577" s="56" t="str">
        <f>IF($C577="B",INDEX(Batters[[#All],[EYE P]],MATCH(Table5[[#This Row],[PID]],Batters[[#All],[PID]],0)),INDEX(Table3[[#All],[VELO]],MATCH(Table5[[#This Row],[PID]],Table3[[#All],[PID]],0)))</f>
        <v>93-95 Mph</v>
      </c>
      <c r="P577" s="56">
        <f>IF($C577="B",INDEX(Batters[[#All],[K P]],MATCH(Table5[[#This Row],[PID]],Batters[[#All],[PID]],0)),INDEX(Table3[[#All],[STM]],MATCH(Table5[[#This Row],[PID]],Table3[[#All],[PID]],0)))</f>
        <v>6</v>
      </c>
      <c r="Q577" s="61">
        <f>IF($C577="B",INDEX(Batters[[#All],[Tot]],MATCH(Table5[[#This Row],[PID]],Batters[[#All],[PID]],0)),INDEX(Table3[[#All],[Tot]],MATCH(Table5[[#This Row],[PID]],Table3[[#All],[PID]],0)))</f>
        <v>31.354853486063895</v>
      </c>
      <c r="R577" s="52">
        <f>IF($C577="B",INDEX(Batters[[#All],[zScore]],MATCH(Table5[[#This Row],[PID]],Batters[[#All],[PID]],0)),INDEX(Table3[[#All],[zScore]],MATCH(Table5[[#This Row],[PID]],Table3[[#All],[PID]],0)))</f>
        <v>-0.45912365828018514</v>
      </c>
      <c r="S577" s="58" t="str">
        <f>IF($C577="B",INDEX(Batters[[#All],[DEM]],MATCH(Table5[[#This Row],[PID]],Batters[[#All],[PID]],0)),INDEX(Table3[[#All],[DEM]],MATCH(Table5[[#This Row],[PID]],Table3[[#All],[PID]],0)))</f>
        <v>$47k</v>
      </c>
      <c r="T577" s="62">
        <f>IF($C577="B",INDEX(Batters[[#All],[Rnk]],MATCH(Table5[[#This Row],[PID]],Batters[[#All],[PID]],0)),INDEX(Table3[[#All],[Rnk]],MATCH(Table5[[#This Row],[PID]],Table3[[#All],[PID]],0)))</f>
        <v>950</v>
      </c>
      <c r="U577" s="67">
        <f>IF($C577="B",VLOOKUP($A577,Bat!$A$4:$BA$1314,47,FALSE),VLOOKUP($A577,Pit!$A$4:$BF$1214,56,FALSE))</f>
        <v>417</v>
      </c>
      <c r="V577" s="50">
        <f>IF($C577="B",VLOOKUP($A577,Bat!$A$4:$BA$1314,48,FALSE),VLOOKUP($A577,Pit!$A$4:$BF$1214,57,FALSE))</f>
        <v>0</v>
      </c>
      <c r="W577" s="68">
        <f>IF(Table5[[#This Row],[posRnk]]=999,9999,Table5[[#This Row],[posRnk]]+Table5[[#This Row],[zRnk]]+IF($W$3&lt;&gt;Table5[[#This Row],[Type]],50,0))</f>
        <v>1501</v>
      </c>
      <c r="X577" s="51">
        <f>RANK(Table5[[#This Row],[zScore]],Table5[[#All],[zScore]])</f>
        <v>551</v>
      </c>
      <c r="Y577" s="50">
        <f>IFERROR(INDEX(DraftResults[[#All],[OVR]],MATCH(Table5[[#This Row],[PID]],DraftResults[[#All],[Player ID]],0)),"")</f>
        <v>269</v>
      </c>
      <c r="Z577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9</v>
      </c>
      <c r="AA577" s="50">
        <f>IFERROR(INDEX(DraftResults[[#All],[Pick in Round]],MATCH(Table5[[#This Row],[PID]],DraftResults[[#All],[Player ID]],0)),"")</f>
        <v>4</v>
      </c>
      <c r="AB577" s="50" t="str">
        <f>IFERROR(INDEX(DraftResults[[#All],[Team Name]],MATCH(Table5[[#This Row],[PID]],DraftResults[[#All],[Player ID]],0)),"")</f>
        <v>Palm Springs Codgers</v>
      </c>
      <c r="AC577" s="50">
        <f>IF(Table5[[#This Row],[Ovr]]="","",IF(Table5[[#This Row],[cmbList]]="","",Table5[[#This Row],[cmbList]]-Table5[[#This Row],[Ovr]]))</f>
        <v>1232</v>
      </c>
      <c r="AD577" s="54" t="str">
        <f>IF(ISERROR(VLOOKUP($AB577&amp;"-"&amp;$E577&amp;" "&amp;F577,Bonuses!$B$1:$G$1006,4,FALSE)),"",INT(VLOOKUP($AB577&amp;"-"&amp;$E577&amp;" "&amp;$F577,Bonuses!$B$1:$G$1006,4,FALSE)))</f>
        <v/>
      </c>
      <c r="AE577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9.4 (269) - SP Nathan Carveth</v>
      </c>
    </row>
    <row r="578" spans="1:31" s="50" customFormat="1" x14ac:dyDescent="0.3">
      <c r="A578" s="50">
        <v>15898</v>
      </c>
      <c r="B578" s="50">
        <f>COUNTIF(Table5[PID],A578)</f>
        <v>1</v>
      </c>
      <c r="C578" s="50" t="str">
        <f>IF(COUNTIF(Table3[[#All],[PID]],A578)&gt;0,"P","B")</f>
        <v>B</v>
      </c>
      <c r="D578" s="59" t="str">
        <f>IF($C578="B",INDEX(Batters[[#All],[POS]],MATCH(Table5[[#This Row],[PID]],Batters[[#All],[PID]],0)),INDEX(Table3[[#All],[POS]],MATCH(Table5[[#This Row],[PID]],Table3[[#All],[PID]],0)))</f>
        <v>2B</v>
      </c>
      <c r="E578" s="52" t="str">
        <f>IF($C578="B",INDEX(Batters[[#All],[First]],MATCH(Table5[[#This Row],[PID]],Batters[[#All],[PID]],0)),INDEX(Table3[[#All],[First]],MATCH(Table5[[#This Row],[PID]],Table3[[#All],[PID]],0)))</f>
        <v>Howard</v>
      </c>
      <c r="F578" s="50" t="str">
        <f>IF($C578="B",INDEX(Batters[[#All],[Last]],MATCH(A578,Batters[[#All],[PID]],0)),INDEX(Table3[[#All],[Last]],MATCH(A578,Table3[[#All],[PID]],0)))</f>
        <v>Huxtable</v>
      </c>
      <c r="G578" s="56">
        <f>IF($C578="B",INDEX(Batters[[#All],[Age]],MATCH(Table5[[#This Row],[PID]],Batters[[#All],[PID]],0)),INDEX(Table3[[#All],[Age]],MATCH(Table5[[#This Row],[PID]],Table3[[#All],[PID]],0)))</f>
        <v>21</v>
      </c>
      <c r="H578" s="52" t="str">
        <f>IF($C578="B",INDEX(Batters[[#All],[B]],MATCH(Table5[[#This Row],[PID]],Batters[[#All],[PID]],0)),INDEX(Table3[[#All],[B]],MATCH(Table5[[#This Row],[PID]],Table3[[#All],[PID]],0)))</f>
        <v>L</v>
      </c>
      <c r="I578" s="52" t="str">
        <f>IF($C578="B",INDEX(Batters[[#All],[T]],MATCH(Table5[[#This Row],[PID]],Batters[[#All],[PID]],0)),INDEX(Table3[[#All],[T]],MATCH(Table5[[#This Row],[PID]],Table3[[#All],[PID]],0)))</f>
        <v>R</v>
      </c>
      <c r="J578" s="52" t="str">
        <f>IF($C578="B",INDEX(Batters[[#All],[WE]],MATCH(Table5[[#This Row],[PID]],Batters[[#All],[PID]],0)),INDEX(Table3[[#All],[WE]],MATCH(Table5[[#This Row],[PID]],Table3[[#All],[PID]],0)))</f>
        <v>Normal</v>
      </c>
      <c r="K578" s="52" t="str">
        <f>IF($C578="B",INDEX(Batters[[#All],[INT]],MATCH(Table5[[#This Row],[PID]],Batters[[#All],[PID]],0)),INDEX(Table3[[#All],[INT]],MATCH(Table5[[#This Row],[PID]],Table3[[#All],[PID]],0)))</f>
        <v>Normal</v>
      </c>
      <c r="L578" s="60">
        <f>IF($C578="B",INDEX(Batters[[#All],[CON P]],MATCH(Table5[[#This Row],[PID]],Batters[[#All],[PID]],0)),INDEX(Table3[[#All],[STU P]],MATCH(Table5[[#This Row],[PID]],Table3[[#All],[PID]],0)))</f>
        <v>4</v>
      </c>
      <c r="M578" s="56">
        <f>IF($C578="B",INDEX(Batters[[#All],[GAP P]],MATCH(Table5[[#This Row],[PID]],Batters[[#All],[PID]],0)),INDEX(Table3[[#All],[MOV P]],MATCH(Table5[[#This Row],[PID]],Table3[[#All],[PID]],0)))</f>
        <v>3</v>
      </c>
      <c r="N578" s="56">
        <f>IF($C578="B",INDEX(Batters[[#All],[POW P]],MATCH(Table5[[#This Row],[PID]],Batters[[#All],[PID]],0)),INDEX(Table3[[#All],[CON P]],MATCH(Table5[[#This Row],[PID]],Table3[[#All],[PID]],0)))</f>
        <v>3</v>
      </c>
      <c r="O578" s="56">
        <f>IF($C578="B",INDEX(Batters[[#All],[EYE P]],MATCH(Table5[[#This Row],[PID]],Batters[[#All],[PID]],0)),INDEX(Table3[[#All],[VELO]],MATCH(Table5[[#This Row],[PID]],Table3[[#All],[PID]],0)))</f>
        <v>4</v>
      </c>
      <c r="P578" s="56">
        <f>IF($C578="B",INDEX(Batters[[#All],[K P]],MATCH(Table5[[#This Row],[PID]],Batters[[#All],[PID]],0)),INDEX(Table3[[#All],[STM]],MATCH(Table5[[#This Row],[PID]],Table3[[#All],[PID]],0)))</f>
        <v>4</v>
      </c>
      <c r="Q578" s="61">
        <f>IF($C578="B",INDEX(Batters[[#All],[Tot]],MATCH(Table5[[#This Row],[PID]],Batters[[#All],[PID]],0)),INDEX(Table3[[#All],[Tot]],MATCH(Table5[[#This Row],[PID]],Table3[[#All],[PID]],0)))</f>
        <v>39.357219458476841</v>
      </c>
      <c r="R578" s="52">
        <f>IF($C578="B",INDEX(Batters[[#All],[zScore]],MATCH(Table5[[#This Row],[PID]],Batters[[#All],[PID]],0)),INDEX(Table3[[#All],[zScore]],MATCH(Table5[[#This Row],[PID]],Table3[[#All],[PID]],0)))</f>
        <v>-0.56362244329826006</v>
      </c>
      <c r="S578" s="58" t="str">
        <f>IF($C578="B",INDEX(Batters[[#All],[DEM]],MATCH(Table5[[#This Row],[PID]],Batters[[#All],[PID]],0)),INDEX(Table3[[#All],[DEM]],MATCH(Table5[[#This Row],[PID]],Table3[[#All],[PID]],0)))</f>
        <v>-</v>
      </c>
      <c r="T578" s="62">
        <f>IF($C578="B",INDEX(Batters[[#All],[Rnk]],MATCH(Table5[[#This Row],[PID]],Batters[[#All],[PID]],0)),INDEX(Table3[[#All],[Rnk]],MATCH(Table5[[#This Row],[PID]],Table3[[#All],[PID]],0)))</f>
        <v>900</v>
      </c>
      <c r="U578" s="67">
        <f>IF($C578="B",VLOOKUP($A578,Bat!$A$4:$BA$1314,47,FALSE),VLOOKUP($A578,Pit!$A$4:$BF$1214,56,FALSE))</f>
        <v>220</v>
      </c>
      <c r="V578" s="50">
        <f>IF($C578="B",VLOOKUP($A578,Bat!$A$4:$BA$1314,48,FALSE),VLOOKUP($A578,Pit!$A$4:$BF$1214,57,FALSE))</f>
        <v>0</v>
      </c>
      <c r="W578" s="68">
        <f>IF(Table5[[#This Row],[posRnk]]=999,9999,Table5[[#This Row],[posRnk]]+Table5[[#This Row],[zRnk]]+IF($W$3&lt;&gt;Table5[[#This Row],[Type]],50,0))</f>
        <v>1552</v>
      </c>
      <c r="X578" s="51">
        <f>RANK(Table5[[#This Row],[zScore]],Table5[[#All],[zScore]])</f>
        <v>602</v>
      </c>
      <c r="Y578" s="50">
        <f>IFERROR(INDEX(DraftResults[[#All],[OVR]],MATCH(Table5[[#This Row],[PID]],DraftResults[[#All],[Player ID]],0)),"")</f>
        <v>663</v>
      </c>
      <c r="Z578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20</v>
      </c>
      <c r="AA578" s="50">
        <f>IFERROR(INDEX(DraftResults[[#All],[Pick in Round]],MATCH(Table5[[#This Row],[PID]],DraftResults[[#All],[Player ID]],0)),"")</f>
        <v>26</v>
      </c>
      <c r="AB578" s="50" t="str">
        <f>IFERROR(INDEX(DraftResults[[#All],[Team Name]],MATCH(Table5[[#This Row],[PID]],DraftResults[[#All],[Player ID]],0)),"")</f>
        <v>Aurora Borealis</v>
      </c>
      <c r="AC578" s="50">
        <f>IF(Table5[[#This Row],[Ovr]]="","",IF(Table5[[#This Row],[cmbList]]="","",Table5[[#This Row],[cmbList]]-Table5[[#This Row],[Ovr]]))</f>
        <v>889</v>
      </c>
      <c r="AD578" s="54" t="str">
        <f>IF(ISERROR(VLOOKUP($AB578&amp;"-"&amp;$E578&amp;" "&amp;F578,Bonuses!$B$1:$G$1006,4,FALSE)),"",INT(VLOOKUP($AB578&amp;"-"&amp;$E578&amp;" "&amp;$F578,Bonuses!$B$1:$G$1006,4,FALSE)))</f>
        <v/>
      </c>
      <c r="AE578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20.26 (663) - 2B Howard Huxtable</v>
      </c>
    </row>
    <row r="579" spans="1:31" s="50" customFormat="1" x14ac:dyDescent="0.3">
      <c r="A579" s="50">
        <v>20254</v>
      </c>
      <c r="B579" s="50">
        <f>COUNTIF(Table5[PID],A579)</f>
        <v>1</v>
      </c>
      <c r="C579" s="50" t="str">
        <f>IF(COUNTIF(Table3[[#All],[PID]],A579)&gt;0,"P","B")</f>
        <v>B</v>
      </c>
      <c r="D579" s="59" t="str">
        <f>IF($C579="B",INDEX(Batters[[#All],[POS]],MATCH(Table5[[#This Row],[PID]],Batters[[#All],[PID]],0)),INDEX(Table3[[#All],[POS]],MATCH(Table5[[#This Row],[PID]],Table3[[#All],[PID]],0)))</f>
        <v>2B</v>
      </c>
      <c r="E579" s="52" t="str">
        <f>IF($C579="B",INDEX(Batters[[#All],[First]],MATCH(Table5[[#This Row],[PID]],Batters[[#All],[PID]],0)),INDEX(Table3[[#All],[First]],MATCH(Table5[[#This Row],[PID]],Table3[[#All],[PID]],0)))</f>
        <v>Aaron</v>
      </c>
      <c r="F579" s="50" t="str">
        <f>IF($C579="B",INDEX(Batters[[#All],[Last]],MATCH(A579,Batters[[#All],[PID]],0)),INDEX(Table3[[#All],[Last]],MATCH(A579,Table3[[#All],[PID]],0)))</f>
        <v>Smith</v>
      </c>
      <c r="G579" s="56">
        <f>IF($C579="B",INDEX(Batters[[#All],[Age]],MATCH(Table5[[#This Row],[PID]],Batters[[#All],[PID]],0)),INDEX(Table3[[#All],[Age]],MATCH(Table5[[#This Row],[PID]],Table3[[#All],[PID]],0)))</f>
        <v>23</v>
      </c>
      <c r="H579" s="52" t="str">
        <f>IF($C579="B",INDEX(Batters[[#All],[B]],MATCH(Table5[[#This Row],[PID]],Batters[[#All],[PID]],0)),INDEX(Table3[[#All],[B]],MATCH(Table5[[#This Row],[PID]],Table3[[#All],[PID]],0)))</f>
        <v>S</v>
      </c>
      <c r="I579" s="52" t="str">
        <f>IF($C579="B",INDEX(Batters[[#All],[T]],MATCH(Table5[[#This Row],[PID]],Batters[[#All],[PID]],0)),INDEX(Table3[[#All],[T]],MATCH(Table5[[#This Row],[PID]],Table3[[#All],[PID]],0)))</f>
        <v>R</v>
      </c>
      <c r="J579" s="52" t="str">
        <f>IF($C579="B",INDEX(Batters[[#All],[WE]],MATCH(Table5[[#This Row],[PID]],Batters[[#All],[PID]],0)),INDEX(Table3[[#All],[WE]],MATCH(Table5[[#This Row],[PID]],Table3[[#All],[PID]],0)))</f>
        <v>Normal</v>
      </c>
      <c r="K579" s="52" t="str">
        <f>IF($C579="B",INDEX(Batters[[#All],[INT]],MATCH(Table5[[#This Row],[PID]],Batters[[#All],[PID]],0)),INDEX(Table3[[#All],[INT]],MATCH(Table5[[#This Row],[PID]],Table3[[#All],[PID]],0)))</f>
        <v>Normal</v>
      </c>
      <c r="L579" s="60">
        <f>IF($C579="B",INDEX(Batters[[#All],[CON P]],MATCH(Table5[[#This Row],[PID]],Batters[[#All],[PID]],0)),INDEX(Table3[[#All],[STU P]],MATCH(Table5[[#This Row],[PID]],Table3[[#All],[PID]],0)))</f>
        <v>3</v>
      </c>
      <c r="M579" s="56">
        <f>IF($C579="B",INDEX(Batters[[#All],[GAP P]],MATCH(Table5[[#This Row],[PID]],Batters[[#All],[PID]],0)),INDEX(Table3[[#All],[MOV P]],MATCH(Table5[[#This Row],[PID]],Table3[[#All],[PID]],0)))</f>
        <v>4</v>
      </c>
      <c r="N579" s="56">
        <f>IF($C579="B",INDEX(Batters[[#All],[POW P]],MATCH(Table5[[#This Row],[PID]],Batters[[#All],[PID]],0)),INDEX(Table3[[#All],[CON P]],MATCH(Table5[[#This Row],[PID]],Table3[[#All],[PID]],0)))</f>
        <v>4</v>
      </c>
      <c r="O579" s="56">
        <f>IF($C579="B",INDEX(Batters[[#All],[EYE P]],MATCH(Table5[[#This Row],[PID]],Batters[[#All],[PID]],0)),INDEX(Table3[[#All],[VELO]],MATCH(Table5[[#This Row],[PID]],Table3[[#All],[PID]],0)))</f>
        <v>5</v>
      </c>
      <c r="P579" s="56">
        <f>IF($C579="B",INDEX(Batters[[#All],[K P]],MATCH(Table5[[#This Row],[PID]],Batters[[#All],[PID]],0)),INDEX(Table3[[#All],[STM]],MATCH(Table5[[#This Row],[PID]],Table3[[#All],[PID]],0)))</f>
        <v>4</v>
      </c>
      <c r="Q579" s="61">
        <f>IF($C579="B",INDEX(Batters[[#All],[Tot]],MATCH(Table5[[#This Row],[PID]],Batters[[#All],[PID]],0)),INDEX(Table3[[#All],[Tot]],MATCH(Table5[[#This Row],[PID]],Table3[[#All],[PID]],0)))</f>
        <v>39.299872921255442</v>
      </c>
      <c r="R579" s="52">
        <f>IF($C579="B",INDEX(Batters[[#All],[zScore]],MATCH(Table5[[#This Row],[PID]],Batters[[#All],[PID]],0)),INDEX(Table3[[#All],[zScore]],MATCH(Table5[[#This Row],[PID]],Table3[[#All],[PID]],0)))</f>
        <v>-0.5719932089312777</v>
      </c>
      <c r="S579" s="58" t="str">
        <f>IF($C579="B",INDEX(Batters[[#All],[DEM]],MATCH(Table5[[#This Row],[PID]],Batters[[#All],[PID]],0)),INDEX(Table3[[#All],[DEM]],MATCH(Table5[[#This Row],[PID]],Table3[[#All],[PID]],0)))</f>
        <v>Slot</v>
      </c>
      <c r="T579" s="62">
        <f>IF($C579="B",INDEX(Batters[[#All],[Rnk]],MATCH(Table5[[#This Row],[PID]],Batters[[#All],[PID]],0)),INDEX(Table3[[#All],[Rnk]],MATCH(Table5[[#This Row],[PID]],Table3[[#All],[PID]],0)))</f>
        <v>900</v>
      </c>
      <c r="U579" s="67">
        <f>IF($C579="B",VLOOKUP($A579,Bat!$A$4:$BA$1314,47,FALSE),VLOOKUP($A579,Pit!$A$4:$BF$1214,56,FALSE))</f>
        <v>221</v>
      </c>
      <c r="V579" s="50">
        <f>IF($C579="B",VLOOKUP($A579,Bat!$A$4:$BA$1314,48,FALSE),VLOOKUP($A579,Pit!$A$4:$BF$1214,57,FALSE))</f>
        <v>0</v>
      </c>
      <c r="W579" s="68">
        <f>IF(Table5[[#This Row],[posRnk]]=999,9999,Table5[[#This Row],[posRnk]]+Table5[[#This Row],[zRnk]]+IF($W$3&lt;&gt;Table5[[#This Row],[Type]],50,0))</f>
        <v>1554</v>
      </c>
      <c r="X579" s="51">
        <f>RANK(Table5[[#This Row],[zScore]],Table5[[#All],[zScore]])</f>
        <v>604</v>
      </c>
      <c r="Y579" s="50">
        <f>IFERROR(INDEX(DraftResults[[#All],[OVR]],MATCH(Table5[[#This Row],[PID]],DraftResults[[#All],[Player ID]],0)),"")</f>
        <v>215</v>
      </c>
      <c r="Z579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7</v>
      </c>
      <c r="AA579" s="50">
        <f>IFERROR(INDEX(DraftResults[[#All],[Pick in Round]],MATCH(Table5[[#This Row],[PID]],DraftResults[[#All],[Player ID]],0)),"")</f>
        <v>14</v>
      </c>
      <c r="AB579" s="50" t="str">
        <f>IFERROR(INDEX(DraftResults[[#All],[Team Name]],MATCH(Table5[[#This Row],[PID]],DraftResults[[#All],[Player ID]],0)),"")</f>
        <v>San Antonio Calzones of Laredo</v>
      </c>
      <c r="AC579" s="50">
        <f>IF(Table5[[#This Row],[Ovr]]="","",IF(Table5[[#This Row],[cmbList]]="","",Table5[[#This Row],[cmbList]]-Table5[[#This Row],[Ovr]]))</f>
        <v>1339</v>
      </c>
      <c r="AD579" s="54" t="str">
        <f>IF(ISERROR(VLOOKUP($AB579&amp;"-"&amp;$E579&amp;" "&amp;F579,Bonuses!$B$1:$G$1006,4,FALSE)),"",INT(VLOOKUP($AB579&amp;"-"&amp;$E579&amp;" "&amp;$F579,Bonuses!$B$1:$G$1006,4,FALSE)))</f>
        <v/>
      </c>
      <c r="AE579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7.14 (215) - 2B Aaron Smith</v>
      </c>
    </row>
    <row r="580" spans="1:31" s="50" customFormat="1" x14ac:dyDescent="0.3">
      <c r="A580" s="50">
        <v>20963</v>
      </c>
      <c r="B580" s="50">
        <f>COUNTIF(Table5[PID],A580)</f>
        <v>1</v>
      </c>
      <c r="C580" s="50" t="str">
        <f>IF(COUNTIF(Table3[[#All],[PID]],A580)&gt;0,"P","B")</f>
        <v>B</v>
      </c>
      <c r="D580" s="59" t="str">
        <f>IF($C580="B",INDEX(Batters[[#All],[POS]],MATCH(Table5[[#This Row],[PID]],Batters[[#All],[PID]],0)),INDEX(Table3[[#All],[POS]],MATCH(Table5[[#This Row],[PID]],Table3[[#All],[PID]],0)))</f>
        <v>1B</v>
      </c>
      <c r="E580" s="52" t="str">
        <f>IF($C580="B",INDEX(Batters[[#All],[First]],MATCH(Table5[[#This Row],[PID]],Batters[[#All],[PID]],0)),INDEX(Table3[[#All],[First]],MATCH(Table5[[#This Row],[PID]],Table3[[#All],[PID]],0)))</f>
        <v>Pete</v>
      </c>
      <c r="F580" s="50" t="str">
        <f>IF($C580="B",INDEX(Batters[[#All],[Last]],MATCH(A580,Batters[[#All],[PID]],0)),INDEX(Table3[[#All],[Last]],MATCH(A580,Table3[[#All],[PID]],0)))</f>
        <v>McGhee</v>
      </c>
      <c r="G580" s="56">
        <f>IF($C580="B",INDEX(Batters[[#All],[Age]],MATCH(Table5[[#This Row],[PID]],Batters[[#All],[PID]],0)),INDEX(Table3[[#All],[Age]],MATCH(Table5[[#This Row],[PID]],Table3[[#All],[PID]],0)))</f>
        <v>17</v>
      </c>
      <c r="H580" s="52" t="str">
        <f>IF($C580="B",INDEX(Batters[[#All],[B]],MATCH(Table5[[#This Row],[PID]],Batters[[#All],[PID]],0)),INDEX(Table3[[#All],[B]],MATCH(Table5[[#This Row],[PID]],Table3[[#All],[PID]],0)))</f>
        <v>R</v>
      </c>
      <c r="I580" s="52" t="str">
        <f>IF($C580="B",INDEX(Batters[[#All],[T]],MATCH(Table5[[#This Row],[PID]],Batters[[#All],[PID]],0)),INDEX(Table3[[#All],[T]],MATCH(Table5[[#This Row],[PID]],Table3[[#All],[PID]],0)))</f>
        <v>R</v>
      </c>
      <c r="J580" s="52" t="str">
        <f>IF($C580="B",INDEX(Batters[[#All],[WE]],MATCH(Table5[[#This Row],[PID]],Batters[[#All],[PID]],0)),INDEX(Table3[[#All],[WE]],MATCH(Table5[[#This Row],[PID]],Table3[[#All],[PID]],0)))</f>
        <v>Low</v>
      </c>
      <c r="K580" s="52" t="str">
        <f>IF($C580="B",INDEX(Batters[[#All],[INT]],MATCH(Table5[[#This Row],[PID]],Batters[[#All],[PID]],0)),INDEX(Table3[[#All],[INT]],MATCH(Table5[[#This Row],[PID]],Table3[[#All],[PID]],0)))</f>
        <v>Normal</v>
      </c>
      <c r="L580" s="60">
        <f>IF($C580="B",INDEX(Batters[[#All],[CON P]],MATCH(Table5[[#This Row],[PID]],Batters[[#All],[PID]],0)),INDEX(Table3[[#All],[STU P]],MATCH(Table5[[#This Row],[PID]],Table3[[#All],[PID]],0)))</f>
        <v>3</v>
      </c>
      <c r="M580" s="56">
        <f>IF($C580="B",INDEX(Batters[[#All],[GAP P]],MATCH(Table5[[#This Row],[PID]],Batters[[#All],[PID]],0)),INDEX(Table3[[#All],[MOV P]],MATCH(Table5[[#This Row],[PID]],Table3[[#All],[PID]],0)))</f>
        <v>3</v>
      </c>
      <c r="N580" s="56">
        <f>IF($C580="B",INDEX(Batters[[#All],[POW P]],MATCH(Table5[[#This Row],[PID]],Batters[[#All],[PID]],0)),INDEX(Table3[[#All],[CON P]],MATCH(Table5[[#This Row],[PID]],Table3[[#All],[PID]],0)))</f>
        <v>2</v>
      </c>
      <c r="O580" s="56">
        <f>IF($C580="B",INDEX(Batters[[#All],[EYE P]],MATCH(Table5[[#This Row],[PID]],Batters[[#All],[PID]],0)),INDEX(Table3[[#All],[VELO]],MATCH(Table5[[#This Row],[PID]],Table3[[#All],[PID]],0)))</f>
        <v>5</v>
      </c>
      <c r="P580" s="56">
        <f>IF($C580="B",INDEX(Batters[[#All],[K P]],MATCH(Table5[[#This Row],[PID]],Batters[[#All],[PID]],0)),INDEX(Table3[[#All],[STM]],MATCH(Table5[[#This Row],[PID]],Table3[[#All],[PID]],0)))</f>
        <v>3</v>
      </c>
      <c r="Q580" s="61">
        <f>IF($C580="B",INDEX(Batters[[#All],[Tot]],MATCH(Table5[[#This Row],[PID]],Batters[[#All],[PID]],0)),INDEX(Table3[[#All],[Tot]],MATCH(Table5[[#This Row],[PID]],Table3[[#All],[PID]],0)))</f>
        <v>39.726688235559514</v>
      </c>
      <c r="R580" s="52">
        <f>IF($C580="B",INDEX(Batters[[#All],[zScore]],MATCH(Table5[[#This Row],[PID]],Batters[[#All],[PID]],0)),INDEX(Table3[[#All],[zScore]],MATCH(Table5[[#This Row],[PID]],Table3[[#All],[PID]],0)))</f>
        <v>-0.50969178433385731</v>
      </c>
      <c r="S580" s="58" t="str">
        <f>IF($C580="B",INDEX(Batters[[#All],[DEM]],MATCH(Table5[[#This Row],[PID]],Batters[[#All],[PID]],0)),INDEX(Table3[[#All],[DEM]],MATCH(Table5[[#This Row],[PID]],Table3[[#All],[PID]],0)))</f>
        <v>$65k</v>
      </c>
      <c r="T580" s="62">
        <f>IF($C580="B",INDEX(Batters[[#All],[Rnk]],MATCH(Table5[[#This Row],[PID]],Batters[[#All],[PID]],0)),INDEX(Table3[[#All],[Rnk]],MATCH(Table5[[#This Row],[PID]],Table3[[#All],[PID]],0)))</f>
        <v>930</v>
      </c>
      <c r="U580" s="67">
        <f>IF($C580="B",VLOOKUP($A580,Bat!$A$4:$BA$1314,47,FALSE),VLOOKUP($A580,Pit!$A$4:$BF$1214,56,FALSE))</f>
        <v>347</v>
      </c>
      <c r="V580" s="50">
        <f>IF($C580="B",VLOOKUP($A580,Bat!$A$4:$BA$1314,48,FALSE),VLOOKUP($A580,Pit!$A$4:$BF$1214,57,FALSE))</f>
        <v>0</v>
      </c>
      <c r="W580" s="68">
        <f>IF(Table5[[#This Row],[posRnk]]=999,9999,Table5[[#This Row],[posRnk]]+Table5[[#This Row],[zRnk]]+IF($W$3&lt;&gt;Table5[[#This Row],[Type]],50,0))</f>
        <v>1554</v>
      </c>
      <c r="X580" s="51">
        <f>RANK(Table5[[#This Row],[zScore]],Table5[[#All],[zScore]])</f>
        <v>574</v>
      </c>
      <c r="Y580" s="50" t="str">
        <f>IFERROR(INDEX(DraftResults[[#All],[OVR]],MATCH(Table5[[#This Row],[PID]],DraftResults[[#All],[Player ID]],0)),"")</f>
        <v/>
      </c>
      <c r="Z580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/>
      </c>
      <c r="AA580" s="50" t="str">
        <f>IFERROR(INDEX(DraftResults[[#All],[Pick in Round]],MATCH(Table5[[#This Row],[PID]],DraftResults[[#All],[Player ID]],0)),"")</f>
        <v/>
      </c>
      <c r="AB580" s="50" t="str">
        <f>IFERROR(INDEX(DraftResults[[#All],[Team Name]],MATCH(Table5[[#This Row],[PID]],DraftResults[[#All],[Player ID]],0)),"")</f>
        <v/>
      </c>
      <c r="AC580" s="50" t="str">
        <f>IF(Table5[[#This Row],[Ovr]]="","",IF(Table5[[#This Row],[cmbList]]="","",Table5[[#This Row],[cmbList]]-Table5[[#This Row],[Ovr]]))</f>
        <v/>
      </c>
      <c r="AD580" s="54" t="str">
        <f>IF(ISERROR(VLOOKUP($AB580&amp;"-"&amp;$E580&amp;" "&amp;F580,Bonuses!$B$1:$G$1006,4,FALSE)),"",INT(VLOOKUP($AB580&amp;"-"&amp;$E580&amp;" "&amp;$F580,Bonuses!$B$1:$G$1006,4,FALSE)))</f>
        <v/>
      </c>
      <c r="AE580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/>
      </c>
    </row>
    <row r="581" spans="1:31" s="50" customFormat="1" x14ac:dyDescent="0.3">
      <c r="A581" s="50">
        <v>15580</v>
      </c>
      <c r="B581" s="50">
        <f>COUNTIF(Table5[PID],A581)</f>
        <v>1</v>
      </c>
      <c r="C581" s="50" t="str">
        <f>IF(COUNTIF(Table3[[#All],[PID]],A581)&gt;0,"P","B")</f>
        <v>P</v>
      </c>
      <c r="D581" s="59" t="str">
        <f>IF($C581="B",INDEX(Batters[[#All],[POS]],MATCH(Table5[[#This Row],[PID]],Batters[[#All],[PID]],0)),INDEX(Table3[[#All],[POS]],MATCH(Table5[[#This Row],[PID]],Table3[[#All],[PID]],0)))</f>
        <v>RP</v>
      </c>
      <c r="E581" s="52" t="str">
        <f>IF($C581="B",INDEX(Batters[[#All],[First]],MATCH(Table5[[#This Row],[PID]],Batters[[#All],[PID]],0)),INDEX(Table3[[#All],[First]],MATCH(Table5[[#This Row],[PID]],Table3[[#All],[PID]],0)))</f>
        <v>Yoshiteru</v>
      </c>
      <c r="F581" s="50" t="str">
        <f>IF($C581="B",INDEX(Batters[[#All],[Last]],MATCH(A581,Batters[[#All],[PID]],0)),INDEX(Table3[[#All],[Last]],MATCH(A581,Table3[[#All],[PID]],0)))</f>
        <v>Goto</v>
      </c>
      <c r="G581" s="56">
        <f>IF($C581="B",INDEX(Batters[[#All],[Age]],MATCH(Table5[[#This Row],[PID]],Batters[[#All],[PID]],0)),INDEX(Table3[[#All],[Age]],MATCH(Table5[[#This Row],[PID]],Table3[[#All],[PID]],0)))</f>
        <v>21</v>
      </c>
      <c r="H581" s="52" t="str">
        <f>IF($C581="B",INDEX(Batters[[#All],[B]],MATCH(Table5[[#This Row],[PID]],Batters[[#All],[PID]],0)),INDEX(Table3[[#All],[B]],MATCH(Table5[[#This Row],[PID]],Table3[[#All],[PID]],0)))</f>
        <v>L</v>
      </c>
      <c r="I581" s="52" t="str">
        <f>IF($C581="B",INDEX(Batters[[#All],[T]],MATCH(Table5[[#This Row],[PID]],Batters[[#All],[PID]],0)),INDEX(Table3[[#All],[T]],MATCH(Table5[[#This Row],[PID]],Table3[[#All],[PID]],0)))</f>
        <v>R</v>
      </c>
      <c r="J581" s="52" t="str">
        <f>IF($C581="B",INDEX(Batters[[#All],[WE]],MATCH(Table5[[#This Row],[PID]],Batters[[#All],[PID]],0)),INDEX(Table3[[#All],[WE]],MATCH(Table5[[#This Row],[PID]],Table3[[#All],[PID]],0)))</f>
        <v>High</v>
      </c>
      <c r="K581" s="52" t="str">
        <f>IF($C581="B",INDEX(Batters[[#All],[INT]],MATCH(Table5[[#This Row],[PID]],Batters[[#All],[PID]],0)),INDEX(Table3[[#All],[INT]],MATCH(Table5[[#This Row],[PID]],Table3[[#All],[PID]],0)))</f>
        <v>Normal</v>
      </c>
      <c r="L581" s="60">
        <f>IF($C581="B",INDEX(Batters[[#All],[CON P]],MATCH(Table5[[#This Row],[PID]],Batters[[#All],[PID]],0)),INDEX(Table3[[#All],[STU P]],MATCH(Table5[[#This Row],[PID]],Table3[[#All],[PID]],0)))</f>
        <v>4</v>
      </c>
      <c r="M581" s="56">
        <f>IF($C581="B",INDEX(Batters[[#All],[GAP P]],MATCH(Table5[[#This Row],[PID]],Batters[[#All],[PID]],0)),INDEX(Table3[[#All],[MOV P]],MATCH(Table5[[#This Row],[PID]],Table3[[#All],[PID]],0)))</f>
        <v>2</v>
      </c>
      <c r="N581" s="56">
        <f>IF($C581="B",INDEX(Batters[[#All],[POW P]],MATCH(Table5[[#This Row],[PID]],Batters[[#All],[PID]],0)),INDEX(Table3[[#All],[CON P]],MATCH(Table5[[#This Row],[PID]],Table3[[#All],[PID]],0)))</f>
        <v>3</v>
      </c>
      <c r="O581" s="56" t="str">
        <f>IF($C581="B",INDEX(Batters[[#All],[EYE P]],MATCH(Table5[[#This Row],[PID]],Batters[[#All],[PID]],0)),INDEX(Table3[[#All],[VELO]],MATCH(Table5[[#This Row],[PID]],Table3[[#All],[PID]],0)))</f>
        <v>86-88 Mph</v>
      </c>
      <c r="P581" s="56">
        <f>IF($C581="B",INDEX(Batters[[#All],[K P]],MATCH(Table5[[#This Row],[PID]],Batters[[#All],[PID]],0)),INDEX(Table3[[#All],[STM]],MATCH(Table5[[#This Row],[PID]],Table3[[#All],[PID]],0)))</f>
        <v>8</v>
      </c>
      <c r="Q581" s="61">
        <f>IF($C581="B",INDEX(Batters[[#All],[Tot]],MATCH(Table5[[#This Row],[PID]],Batters[[#All],[PID]],0)),INDEX(Table3[[#All],[Tot]],MATCH(Table5[[#This Row],[PID]],Table3[[#All],[PID]],0)))</f>
        <v>29.765830734434743</v>
      </c>
      <c r="R581" s="52">
        <f>IF($C581="B",INDEX(Batters[[#All],[zScore]],MATCH(Table5[[#This Row],[PID]],Batters[[#All],[PID]],0)),INDEX(Table3[[#All],[zScore]],MATCH(Table5[[#This Row],[PID]],Table3[[#All],[PID]],0)))</f>
        <v>-0.57227325359134817</v>
      </c>
      <c r="S581" s="58" t="str">
        <f>IF($C581="B",INDEX(Batters[[#All],[DEM]],MATCH(Table5[[#This Row],[PID]],Batters[[#All],[PID]],0)),INDEX(Table3[[#All],[DEM]],MATCH(Table5[[#This Row],[PID]],Table3[[#All],[PID]],0)))</f>
        <v>-</v>
      </c>
      <c r="T581" s="62">
        <f>IF($C581="B",INDEX(Batters[[#All],[Rnk]],MATCH(Table5[[#This Row],[PID]],Batters[[#All],[PID]],0)),INDEX(Table3[[#All],[Rnk]],MATCH(Table5[[#This Row],[PID]],Table3[[#All],[PID]],0)))</f>
        <v>900</v>
      </c>
      <c r="U581" s="67">
        <f>IF($C581="B",VLOOKUP($A581,Bat!$A$4:$BA$1314,47,FALSE),VLOOKUP($A581,Pit!$A$4:$BF$1214,56,FALSE))</f>
        <v>196</v>
      </c>
      <c r="V581" s="50">
        <f>IF($C581="B",VLOOKUP($A581,Bat!$A$4:$BA$1314,48,FALSE),VLOOKUP($A581,Pit!$A$4:$BF$1214,57,FALSE))</f>
        <v>0</v>
      </c>
      <c r="W581" s="68">
        <f>IF(Table5[[#This Row],[posRnk]]=999,9999,Table5[[#This Row],[posRnk]]+Table5[[#This Row],[zRnk]]+IF($W$3&lt;&gt;Table5[[#This Row],[Type]],50,0))</f>
        <v>1505</v>
      </c>
      <c r="X581" s="51">
        <f>RANK(Table5[[#This Row],[zScore]],Table5[[#All],[zScore]])</f>
        <v>605</v>
      </c>
      <c r="Y581" s="50">
        <f>IFERROR(INDEX(DraftResults[[#All],[OVR]],MATCH(Table5[[#This Row],[PID]],DraftResults[[#All],[Player ID]],0)),"")</f>
        <v>628</v>
      </c>
      <c r="Z581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19</v>
      </c>
      <c r="AA581" s="50">
        <f>IFERROR(INDEX(DraftResults[[#All],[Pick in Round]],MATCH(Table5[[#This Row],[PID]],DraftResults[[#All],[Player ID]],0)),"")</f>
        <v>25</v>
      </c>
      <c r="AB581" s="50" t="str">
        <f>IFERROR(INDEX(DraftResults[[#All],[Team Name]],MATCH(Table5[[#This Row],[PID]],DraftResults[[#All],[Player ID]],0)),"")</f>
        <v>Kalamazoo Badgers</v>
      </c>
      <c r="AC581" s="50">
        <f>IF(Table5[[#This Row],[Ovr]]="","",IF(Table5[[#This Row],[cmbList]]="","",Table5[[#This Row],[cmbList]]-Table5[[#This Row],[Ovr]]))</f>
        <v>877</v>
      </c>
      <c r="AD581" s="54" t="str">
        <f>IF(ISERROR(VLOOKUP($AB581&amp;"-"&amp;$E581&amp;" "&amp;F581,Bonuses!$B$1:$G$1006,4,FALSE)),"",INT(VLOOKUP($AB581&amp;"-"&amp;$E581&amp;" "&amp;$F581,Bonuses!$B$1:$G$1006,4,FALSE)))</f>
        <v/>
      </c>
      <c r="AE581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19.25 (628) - RP Yoshiteru Goto</v>
      </c>
    </row>
    <row r="582" spans="1:31" s="50" customFormat="1" x14ac:dyDescent="0.3">
      <c r="A582" s="50">
        <v>20485</v>
      </c>
      <c r="B582" s="50">
        <f>COUNTIF(Table5[PID],A582)</f>
        <v>1</v>
      </c>
      <c r="C582" s="50" t="str">
        <f>IF(COUNTIF(Table3[[#All],[PID]],A582)&gt;0,"P","B")</f>
        <v>P</v>
      </c>
      <c r="D582" s="59" t="str">
        <f>IF($C582="B",INDEX(Batters[[#All],[POS]],MATCH(Table5[[#This Row],[PID]],Batters[[#All],[PID]],0)),INDEX(Table3[[#All],[POS]],MATCH(Table5[[#This Row],[PID]],Table3[[#All],[PID]],0)))</f>
        <v>RP</v>
      </c>
      <c r="E582" s="52" t="str">
        <f>IF($C582="B",INDEX(Batters[[#All],[First]],MATCH(Table5[[#This Row],[PID]],Batters[[#All],[PID]],0)),INDEX(Table3[[#All],[First]],MATCH(Table5[[#This Row],[PID]],Table3[[#All],[PID]],0)))</f>
        <v>Michihiro</v>
      </c>
      <c r="F582" s="50" t="str">
        <f>IF($C582="B",INDEX(Batters[[#All],[Last]],MATCH(A582,Batters[[#All],[PID]],0)),INDEX(Table3[[#All],[Last]],MATCH(A582,Table3[[#All],[PID]],0)))</f>
        <v>Abe</v>
      </c>
      <c r="G582" s="56">
        <f>IF($C582="B",INDEX(Batters[[#All],[Age]],MATCH(Table5[[#This Row],[PID]],Batters[[#All],[PID]],0)),INDEX(Table3[[#All],[Age]],MATCH(Table5[[#This Row],[PID]],Table3[[#All],[PID]],0)))</f>
        <v>16</v>
      </c>
      <c r="H582" s="52" t="str">
        <f>IF($C582="B",INDEX(Batters[[#All],[B]],MATCH(Table5[[#This Row],[PID]],Batters[[#All],[PID]],0)),INDEX(Table3[[#All],[B]],MATCH(Table5[[#This Row],[PID]],Table3[[#All],[PID]],0)))</f>
        <v>L</v>
      </c>
      <c r="I582" s="52" t="str">
        <f>IF($C582="B",INDEX(Batters[[#All],[T]],MATCH(Table5[[#This Row],[PID]],Batters[[#All],[PID]],0)),INDEX(Table3[[#All],[T]],MATCH(Table5[[#This Row],[PID]],Table3[[#All],[PID]],0)))</f>
        <v>L</v>
      </c>
      <c r="J582" s="52" t="str">
        <f>IF($C582="B",INDEX(Batters[[#All],[WE]],MATCH(Table5[[#This Row],[PID]],Batters[[#All],[PID]],0)),INDEX(Table3[[#All],[WE]],MATCH(Table5[[#This Row],[PID]],Table3[[#All],[PID]],0)))</f>
        <v>Normal</v>
      </c>
      <c r="K582" s="52" t="str">
        <f>IF($C582="B",INDEX(Batters[[#All],[INT]],MATCH(Table5[[#This Row],[PID]],Batters[[#All],[PID]],0)),INDEX(Table3[[#All],[INT]],MATCH(Table5[[#This Row],[PID]],Table3[[#All],[PID]],0)))</f>
        <v>Low</v>
      </c>
      <c r="L582" s="60">
        <f>IF($C582="B",INDEX(Batters[[#All],[CON P]],MATCH(Table5[[#This Row],[PID]],Batters[[#All],[PID]],0)),INDEX(Table3[[#All],[STU P]],MATCH(Table5[[#This Row],[PID]],Table3[[#All],[PID]],0)))</f>
        <v>3</v>
      </c>
      <c r="M582" s="56">
        <f>IF($C582="B",INDEX(Batters[[#All],[GAP P]],MATCH(Table5[[#This Row],[PID]],Batters[[#All],[PID]],0)),INDEX(Table3[[#All],[MOV P]],MATCH(Table5[[#This Row],[PID]],Table3[[#All],[PID]],0)))</f>
        <v>1</v>
      </c>
      <c r="N582" s="56">
        <f>IF($C582="B",INDEX(Batters[[#All],[POW P]],MATCH(Table5[[#This Row],[PID]],Batters[[#All],[PID]],0)),INDEX(Table3[[#All],[CON P]],MATCH(Table5[[#This Row],[PID]],Table3[[#All],[PID]],0)))</f>
        <v>4</v>
      </c>
      <c r="O582" s="56" t="str">
        <f>IF($C582="B",INDEX(Batters[[#All],[EYE P]],MATCH(Table5[[#This Row],[PID]],Batters[[#All],[PID]],0)),INDEX(Table3[[#All],[VELO]],MATCH(Table5[[#This Row],[PID]],Table3[[#All],[PID]],0)))</f>
        <v>84-86 Mph</v>
      </c>
      <c r="P582" s="56">
        <f>IF($C582="B",INDEX(Batters[[#All],[K P]],MATCH(Table5[[#This Row],[PID]],Batters[[#All],[PID]],0)),INDEX(Table3[[#All],[STM]],MATCH(Table5[[#This Row],[PID]],Table3[[#All],[PID]],0)))</f>
        <v>3</v>
      </c>
      <c r="Q582" s="61">
        <f>IF($C582="B",INDEX(Batters[[#All],[Tot]],MATCH(Table5[[#This Row],[PID]],Batters[[#All],[PID]],0)),INDEX(Table3[[#All],[Tot]],MATCH(Table5[[#This Row],[PID]],Table3[[#All],[PID]],0)))</f>
        <v>31.032614300455137</v>
      </c>
      <c r="R582" s="52">
        <f>IF($C582="B",INDEX(Batters[[#All],[zScore]],MATCH(Table5[[#This Row],[PID]],Batters[[#All],[PID]],0)),INDEX(Table3[[#All],[zScore]],MATCH(Table5[[#This Row],[PID]],Table3[[#All],[PID]],0)))</f>
        <v>-0.48206935456278882</v>
      </c>
      <c r="S582" s="58" t="str">
        <f>IF($C582="B",INDEX(Batters[[#All],[DEM]],MATCH(Table5[[#This Row],[PID]],Batters[[#All],[PID]],0)),INDEX(Table3[[#All],[DEM]],MATCH(Table5[[#This Row],[PID]],Table3[[#All],[PID]],0)))</f>
        <v>$65k</v>
      </c>
      <c r="T582" s="62">
        <f>IF($C582="B",INDEX(Batters[[#All],[Rnk]],MATCH(Table5[[#This Row],[PID]],Batters[[#All],[PID]],0)),INDEX(Table3[[#All],[Rnk]],MATCH(Table5[[#This Row],[PID]],Table3[[#All],[PID]],0)))</f>
        <v>940</v>
      </c>
      <c r="U582" s="67">
        <f>IF($C582="B",VLOOKUP($A582,Bat!$A$4:$BA$1314,47,FALSE),VLOOKUP($A582,Pit!$A$4:$BF$1214,56,FALSE))</f>
        <v>396</v>
      </c>
      <c r="V582" s="50">
        <f>IF($C582="B",VLOOKUP($A582,Bat!$A$4:$BA$1314,48,FALSE),VLOOKUP($A582,Pit!$A$4:$BF$1214,57,FALSE))</f>
        <v>0</v>
      </c>
      <c r="W582" s="68">
        <f>IF(Table5[[#This Row],[posRnk]]=999,9999,Table5[[#This Row],[posRnk]]+Table5[[#This Row],[zRnk]]+IF($W$3&lt;&gt;Table5[[#This Row],[Type]],50,0))</f>
        <v>1505</v>
      </c>
      <c r="X582" s="51">
        <f>RANK(Table5[[#This Row],[zScore]],Table5[[#All],[zScore]])</f>
        <v>565</v>
      </c>
      <c r="Y582" s="50" t="str">
        <f>IFERROR(INDEX(DraftResults[[#All],[OVR]],MATCH(Table5[[#This Row],[PID]],DraftResults[[#All],[Player ID]],0)),"")</f>
        <v/>
      </c>
      <c r="Z582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/>
      </c>
      <c r="AA582" s="50" t="str">
        <f>IFERROR(INDEX(DraftResults[[#All],[Pick in Round]],MATCH(Table5[[#This Row],[PID]],DraftResults[[#All],[Player ID]],0)),"")</f>
        <v/>
      </c>
      <c r="AB582" s="50" t="str">
        <f>IFERROR(INDEX(DraftResults[[#All],[Team Name]],MATCH(Table5[[#This Row],[PID]],DraftResults[[#All],[Player ID]],0)),"")</f>
        <v/>
      </c>
      <c r="AC582" s="50" t="str">
        <f>IF(Table5[[#This Row],[Ovr]]="","",IF(Table5[[#This Row],[cmbList]]="","",Table5[[#This Row],[cmbList]]-Table5[[#This Row],[Ovr]]))</f>
        <v/>
      </c>
      <c r="AD582" s="54" t="str">
        <f>IF(ISERROR(VLOOKUP($AB582&amp;"-"&amp;$E582&amp;" "&amp;F582,Bonuses!$B$1:$G$1006,4,FALSE)),"",INT(VLOOKUP($AB582&amp;"-"&amp;$E582&amp;" "&amp;$F582,Bonuses!$B$1:$G$1006,4,FALSE)))</f>
        <v/>
      </c>
      <c r="AE582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/>
      </c>
    </row>
    <row r="583" spans="1:31" s="50" customFormat="1" x14ac:dyDescent="0.3">
      <c r="A583" s="50">
        <v>9355</v>
      </c>
      <c r="B583" s="50">
        <f>COUNTIF(Table5[PID],A583)</f>
        <v>1</v>
      </c>
      <c r="C583" s="50" t="str">
        <f>IF(COUNTIF(Table3[[#All],[PID]],A583)&gt;0,"P","B")</f>
        <v>B</v>
      </c>
      <c r="D583" s="59" t="str">
        <f>IF($C583="B",INDEX(Batters[[#All],[POS]],MATCH(Table5[[#This Row],[PID]],Batters[[#All],[PID]],0)),INDEX(Table3[[#All],[POS]],MATCH(Table5[[#This Row],[PID]],Table3[[#All],[PID]],0)))</f>
        <v>RF</v>
      </c>
      <c r="E583" s="52" t="str">
        <f>IF($C583="B",INDEX(Batters[[#All],[First]],MATCH(Table5[[#This Row],[PID]],Batters[[#All],[PID]],0)),INDEX(Table3[[#All],[First]],MATCH(Table5[[#This Row],[PID]],Table3[[#All],[PID]],0)))</f>
        <v>Rich</v>
      </c>
      <c r="F583" s="50" t="str">
        <f>IF($C583="B",INDEX(Batters[[#All],[Last]],MATCH(A583,Batters[[#All],[PID]],0)),INDEX(Table3[[#All],[Last]],MATCH(A583,Table3[[#All],[PID]],0)))</f>
        <v>Pérez</v>
      </c>
      <c r="G583" s="56">
        <f>IF($C583="B",INDEX(Batters[[#All],[Age]],MATCH(Table5[[#This Row],[PID]],Batters[[#All],[PID]],0)),INDEX(Table3[[#All],[Age]],MATCH(Table5[[#This Row],[PID]],Table3[[#All],[PID]],0)))</f>
        <v>22</v>
      </c>
      <c r="H583" s="52" t="str">
        <f>IF($C583="B",INDEX(Batters[[#All],[B]],MATCH(Table5[[#This Row],[PID]],Batters[[#All],[PID]],0)),INDEX(Table3[[#All],[B]],MATCH(Table5[[#This Row],[PID]],Table3[[#All],[PID]],0)))</f>
        <v>R</v>
      </c>
      <c r="I583" s="52" t="str">
        <f>IF($C583="B",INDEX(Batters[[#All],[T]],MATCH(Table5[[#This Row],[PID]],Batters[[#All],[PID]],0)),INDEX(Table3[[#All],[T]],MATCH(Table5[[#This Row],[PID]],Table3[[#All],[PID]],0)))</f>
        <v>R</v>
      </c>
      <c r="J583" s="52" t="str">
        <f>IF($C583="B",INDEX(Batters[[#All],[WE]],MATCH(Table5[[#This Row],[PID]],Batters[[#All],[PID]],0)),INDEX(Table3[[#All],[WE]],MATCH(Table5[[#This Row],[PID]],Table3[[#All],[PID]],0)))</f>
        <v>Normal</v>
      </c>
      <c r="K583" s="52" t="str">
        <f>IF($C583="B",INDEX(Batters[[#All],[INT]],MATCH(Table5[[#This Row],[PID]],Batters[[#All],[PID]],0)),INDEX(Table3[[#All],[INT]],MATCH(Table5[[#This Row],[PID]],Table3[[#All],[PID]],0)))</f>
        <v>Normal</v>
      </c>
      <c r="L583" s="60">
        <f>IF($C583="B",INDEX(Batters[[#All],[CON P]],MATCH(Table5[[#This Row],[PID]],Batters[[#All],[PID]],0)),INDEX(Table3[[#All],[STU P]],MATCH(Table5[[#This Row],[PID]],Table3[[#All],[PID]],0)))</f>
        <v>4</v>
      </c>
      <c r="M583" s="56">
        <f>IF($C583="B",INDEX(Batters[[#All],[GAP P]],MATCH(Table5[[#This Row],[PID]],Batters[[#All],[PID]],0)),INDEX(Table3[[#All],[MOV P]],MATCH(Table5[[#This Row],[PID]],Table3[[#All],[PID]],0)))</f>
        <v>4</v>
      </c>
      <c r="N583" s="56">
        <f>IF($C583="B",INDEX(Batters[[#All],[POW P]],MATCH(Table5[[#This Row],[PID]],Batters[[#All],[PID]],0)),INDEX(Table3[[#All],[CON P]],MATCH(Table5[[#This Row],[PID]],Table3[[#All],[PID]],0)))</f>
        <v>2</v>
      </c>
      <c r="O583" s="56">
        <f>IF($C583="B",INDEX(Batters[[#All],[EYE P]],MATCH(Table5[[#This Row],[PID]],Batters[[#All],[PID]],0)),INDEX(Table3[[#All],[VELO]],MATCH(Table5[[#This Row],[PID]],Table3[[#All],[PID]],0)))</f>
        <v>4</v>
      </c>
      <c r="P583" s="56">
        <f>IF($C583="B",INDEX(Batters[[#All],[K P]],MATCH(Table5[[#This Row],[PID]],Batters[[#All],[PID]],0)),INDEX(Table3[[#All],[STM]],MATCH(Table5[[#This Row],[PID]],Table3[[#All],[PID]],0)))</f>
        <v>4</v>
      </c>
      <c r="Q583" s="61">
        <f>IF($C583="B",INDEX(Batters[[#All],[Tot]],MATCH(Table5[[#This Row],[PID]],Batters[[#All],[PID]],0)),INDEX(Table3[[#All],[Tot]],MATCH(Table5[[#This Row],[PID]],Table3[[#All],[PID]],0)))</f>
        <v>39.297425797004223</v>
      </c>
      <c r="R583" s="52">
        <f>IF($C583="B",INDEX(Batters[[#All],[zScore]],MATCH(Table5[[#This Row],[PID]],Batters[[#All],[PID]],0)),INDEX(Table3[[#All],[zScore]],MATCH(Table5[[#This Row],[PID]],Table3[[#All],[PID]],0)))</f>
        <v>-0.57235041103229989</v>
      </c>
      <c r="S583" s="58" t="str">
        <f>IF($C583="B",INDEX(Batters[[#All],[DEM]],MATCH(Table5[[#This Row],[PID]],Batters[[#All],[PID]],0)),INDEX(Table3[[#All],[DEM]],MATCH(Table5[[#This Row],[PID]],Table3[[#All],[PID]],0)))</f>
        <v>-</v>
      </c>
      <c r="T583" s="62">
        <f>IF($C583="B",INDEX(Batters[[#All],[Rnk]],MATCH(Table5[[#This Row],[PID]],Batters[[#All],[PID]],0)),INDEX(Table3[[#All],[Rnk]],MATCH(Table5[[#This Row],[PID]],Table3[[#All],[PID]],0)))</f>
        <v>900</v>
      </c>
      <c r="U583" s="67">
        <f>IF($C583="B",VLOOKUP($A583,Bat!$A$4:$BA$1314,47,FALSE),VLOOKUP($A583,Pit!$A$4:$BF$1214,56,FALSE))</f>
        <v>222</v>
      </c>
      <c r="V583" s="50">
        <f>IF($C583="B",VLOOKUP($A583,Bat!$A$4:$BA$1314,48,FALSE),VLOOKUP($A583,Pit!$A$4:$BF$1214,57,FALSE))</f>
        <v>0</v>
      </c>
      <c r="W583" s="68">
        <f>IF(Table5[[#This Row],[posRnk]]=999,9999,Table5[[#This Row],[posRnk]]+Table5[[#This Row],[zRnk]]+IF($W$3&lt;&gt;Table5[[#This Row],[Type]],50,0))</f>
        <v>1556</v>
      </c>
      <c r="X583" s="51">
        <f>RANK(Table5[[#This Row],[zScore]],Table5[[#All],[zScore]])</f>
        <v>606</v>
      </c>
      <c r="Y583" s="50">
        <f>IFERROR(INDEX(DraftResults[[#All],[OVR]],MATCH(Table5[[#This Row],[PID]],DraftResults[[#All],[Player ID]],0)),"")</f>
        <v>410</v>
      </c>
      <c r="Z583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13</v>
      </c>
      <c r="AA583" s="50">
        <f>IFERROR(INDEX(DraftResults[[#All],[Pick in Round]],MATCH(Table5[[#This Row],[PID]],DraftResults[[#All],[Player ID]],0)),"")</f>
        <v>11</v>
      </c>
      <c r="AB583" s="50" t="str">
        <f>IFERROR(INDEX(DraftResults[[#All],[Team Name]],MATCH(Table5[[#This Row],[PID]],DraftResults[[#All],[Player ID]],0)),"")</f>
        <v>Arlington Bureaucrats</v>
      </c>
      <c r="AC583" s="50">
        <f>IF(Table5[[#This Row],[Ovr]]="","",IF(Table5[[#This Row],[cmbList]]="","",Table5[[#This Row],[cmbList]]-Table5[[#This Row],[Ovr]]))</f>
        <v>1146</v>
      </c>
      <c r="AD583" s="54" t="str">
        <f>IF(ISERROR(VLOOKUP($AB583&amp;"-"&amp;$E583&amp;" "&amp;F583,Bonuses!$B$1:$G$1006,4,FALSE)),"",INT(VLOOKUP($AB583&amp;"-"&amp;$E583&amp;" "&amp;$F583,Bonuses!$B$1:$G$1006,4,FALSE)))</f>
        <v/>
      </c>
      <c r="AE583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13.11 (410) - RF Rich Pérez</v>
      </c>
    </row>
    <row r="584" spans="1:31" s="50" customFormat="1" x14ac:dyDescent="0.3">
      <c r="A584" s="50">
        <v>20460</v>
      </c>
      <c r="B584" s="50">
        <f>COUNTIF(Table5[PID],A584)</f>
        <v>1</v>
      </c>
      <c r="C584" s="50" t="str">
        <f>IF(COUNTIF(Table3[[#All],[PID]],A584)&gt;0,"P","B")</f>
        <v>P</v>
      </c>
      <c r="D584" s="59" t="str">
        <f>IF($C584="B",INDEX(Batters[[#All],[POS]],MATCH(Table5[[#This Row],[PID]],Batters[[#All],[PID]],0)),INDEX(Table3[[#All],[POS]],MATCH(Table5[[#This Row],[PID]],Table3[[#All],[PID]],0)))</f>
        <v>RP</v>
      </c>
      <c r="E584" s="52" t="str">
        <f>IF($C584="B",INDEX(Batters[[#All],[First]],MATCH(Table5[[#This Row],[PID]],Batters[[#All],[PID]],0)),INDEX(Table3[[#All],[First]],MATCH(Table5[[#This Row],[PID]],Table3[[#All],[PID]],0)))</f>
        <v>Sanjaya</v>
      </c>
      <c r="F584" s="50" t="str">
        <f>IF($C584="B",INDEX(Batters[[#All],[Last]],MATCH(A584,Batters[[#All],[PID]],0)),INDEX(Table3[[#All],[Last]],MATCH(A584,Table3[[#All],[PID]],0)))</f>
        <v>Subadio</v>
      </c>
      <c r="G584" s="56">
        <f>IF($C584="B",INDEX(Batters[[#All],[Age]],MATCH(Table5[[#This Row],[PID]],Batters[[#All],[PID]],0)),INDEX(Table3[[#All],[Age]],MATCH(Table5[[#This Row],[PID]],Table3[[#All],[PID]],0)))</f>
        <v>17</v>
      </c>
      <c r="H584" s="52" t="str">
        <f>IF($C584="B",INDEX(Batters[[#All],[B]],MATCH(Table5[[#This Row],[PID]],Batters[[#All],[PID]],0)),INDEX(Table3[[#All],[B]],MATCH(Table5[[#This Row],[PID]],Table3[[#All],[PID]],0)))</f>
        <v>R</v>
      </c>
      <c r="I584" s="52" t="str">
        <f>IF($C584="B",INDEX(Batters[[#All],[T]],MATCH(Table5[[#This Row],[PID]],Batters[[#All],[PID]],0)),INDEX(Table3[[#All],[T]],MATCH(Table5[[#This Row],[PID]],Table3[[#All],[PID]],0)))</f>
        <v>R</v>
      </c>
      <c r="J584" s="52" t="str">
        <f>IF($C584="B",INDEX(Batters[[#All],[WE]],MATCH(Table5[[#This Row],[PID]],Batters[[#All],[PID]],0)),INDEX(Table3[[#All],[WE]],MATCH(Table5[[#This Row],[PID]],Table3[[#All],[PID]],0)))</f>
        <v>Low</v>
      </c>
      <c r="K584" s="52" t="str">
        <f>IF($C584="B",INDEX(Batters[[#All],[INT]],MATCH(Table5[[#This Row],[PID]],Batters[[#All],[PID]],0)),INDEX(Table3[[#All],[INT]],MATCH(Table5[[#This Row],[PID]],Table3[[#All],[PID]],0)))</f>
        <v>Normal</v>
      </c>
      <c r="L584" s="60">
        <f>IF($C584="B",INDEX(Batters[[#All],[CON P]],MATCH(Table5[[#This Row],[PID]],Batters[[#All],[PID]],0)),INDEX(Table3[[#All],[STU P]],MATCH(Table5[[#This Row],[PID]],Table3[[#All],[PID]],0)))</f>
        <v>4</v>
      </c>
      <c r="M584" s="56">
        <f>IF($C584="B",INDEX(Batters[[#All],[GAP P]],MATCH(Table5[[#This Row],[PID]],Batters[[#All],[PID]],0)),INDEX(Table3[[#All],[MOV P]],MATCH(Table5[[#This Row],[PID]],Table3[[#All],[PID]],0)))</f>
        <v>2</v>
      </c>
      <c r="N584" s="56">
        <f>IF($C584="B",INDEX(Batters[[#All],[POW P]],MATCH(Table5[[#This Row],[PID]],Batters[[#All],[PID]],0)),INDEX(Table3[[#All],[CON P]],MATCH(Table5[[#This Row],[PID]],Table3[[#All],[PID]],0)))</f>
        <v>4</v>
      </c>
      <c r="O584" s="56" t="str">
        <f>IF($C584="B",INDEX(Batters[[#All],[EYE P]],MATCH(Table5[[#This Row],[PID]],Batters[[#All],[PID]],0)),INDEX(Table3[[#All],[VELO]],MATCH(Table5[[#This Row],[PID]],Table3[[#All],[PID]],0)))</f>
        <v>87-89 Mph</v>
      </c>
      <c r="P584" s="56">
        <f>IF($C584="B",INDEX(Batters[[#All],[K P]],MATCH(Table5[[#This Row],[PID]],Batters[[#All],[PID]],0)),INDEX(Table3[[#All],[STM]],MATCH(Table5[[#This Row],[PID]],Table3[[#All],[PID]],0)))</f>
        <v>6</v>
      </c>
      <c r="Q584" s="61">
        <f>IF($C584="B",INDEX(Batters[[#All],[Tot]],MATCH(Table5[[#This Row],[PID]],Batters[[#All],[PID]],0)),INDEX(Table3[[#All],[Tot]],MATCH(Table5[[#This Row],[PID]],Table3[[#All],[PID]],0)))</f>
        <v>30.608603633922392</v>
      </c>
      <c r="R584" s="52">
        <f>IF($C584="B",INDEX(Batters[[#All],[zScore]],MATCH(Table5[[#This Row],[PID]],Batters[[#All],[PID]],0)),INDEX(Table3[[#All],[zScore]],MATCH(Table5[[#This Row],[PID]],Table3[[#All],[PID]],0)))</f>
        <v>-0.51226189603307826</v>
      </c>
      <c r="S584" s="58" t="str">
        <f>IF($C584="B",INDEX(Batters[[#All],[DEM]],MATCH(Table5[[#This Row],[PID]],Batters[[#All],[PID]],0)),INDEX(Table3[[#All],[DEM]],MATCH(Table5[[#This Row],[PID]],Table3[[#All],[PID]],0)))</f>
        <v>$70k</v>
      </c>
      <c r="T584" s="62">
        <f>IF($C584="B",INDEX(Batters[[#All],[Rnk]],MATCH(Table5[[#This Row],[PID]],Batters[[#All],[PID]],0)),INDEX(Table3[[#All],[Rnk]],MATCH(Table5[[#This Row],[PID]],Table3[[#All],[PID]],0)))</f>
        <v>930</v>
      </c>
      <c r="U584" s="67">
        <f>IF($C584="B",VLOOKUP($A584,Bat!$A$4:$BA$1314,47,FALSE),VLOOKUP($A584,Pit!$A$4:$BF$1214,56,FALSE))</f>
        <v>324</v>
      </c>
      <c r="V584" s="50">
        <f>IF($C584="B",VLOOKUP($A584,Bat!$A$4:$BA$1314,48,FALSE),VLOOKUP($A584,Pit!$A$4:$BF$1214,57,FALSE))</f>
        <v>0</v>
      </c>
      <c r="W584" s="68">
        <f>IF(Table5[[#This Row],[posRnk]]=999,9999,Table5[[#This Row],[posRnk]]+Table5[[#This Row],[zRnk]]+IF($W$3&lt;&gt;Table5[[#This Row],[Type]],50,0))</f>
        <v>1506</v>
      </c>
      <c r="X584" s="51">
        <f>RANK(Table5[[#This Row],[zScore]],Table5[[#All],[zScore]])</f>
        <v>576</v>
      </c>
      <c r="Y584" s="50" t="str">
        <f>IFERROR(INDEX(DraftResults[[#All],[OVR]],MATCH(Table5[[#This Row],[PID]],DraftResults[[#All],[Player ID]],0)),"")</f>
        <v/>
      </c>
      <c r="Z584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/>
      </c>
      <c r="AA584" s="50" t="str">
        <f>IFERROR(INDEX(DraftResults[[#All],[Pick in Round]],MATCH(Table5[[#This Row],[PID]],DraftResults[[#All],[Player ID]],0)),"")</f>
        <v/>
      </c>
      <c r="AB584" s="50" t="str">
        <f>IFERROR(INDEX(DraftResults[[#All],[Team Name]],MATCH(Table5[[#This Row],[PID]],DraftResults[[#All],[Player ID]],0)),"")</f>
        <v/>
      </c>
      <c r="AC584" s="50" t="str">
        <f>IF(Table5[[#This Row],[Ovr]]="","",IF(Table5[[#This Row],[cmbList]]="","",Table5[[#This Row],[cmbList]]-Table5[[#This Row],[Ovr]]))</f>
        <v/>
      </c>
      <c r="AD584" s="54" t="str">
        <f>IF(ISERROR(VLOOKUP($AB584&amp;"-"&amp;$E584&amp;" "&amp;F584,Bonuses!$B$1:$G$1006,4,FALSE)),"",INT(VLOOKUP($AB584&amp;"-"&amp;$E584&amp;" "&amp;$F584,Bonuses!$B$1:$G$1006,4,FALSE)))</f>
        <v/>
      </c>
      <c r="AE584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/>
      </c>
    </row>
    <row r="585" spans="1:31" s="50" customFormat="1" x14ac:dyDescent="0.3">
      <c r="A585" s="67">
        <v>15922</v>
      </c>
      <c r="B585" s="68">
        <f>COUNTIF(Table5[PID],A585)</f>
        <v>1</v>
      </c>
      <c r="C585" s="68" t="str">
        <f>IF(COUNTIF(Table3[[#All],[PID]],A585)&gt;0,"P","B")</f>
        <v>B</v>
      </c>
      <c r="D585" s="59" t="str">
        <f>IF($C585="B",INDEX(Batters[[#All],[POS]],MATCH(Table5[[#This Row],[PID]],Batters[[#All],[PID]],0)),INDEX(Table3[[#All],[POS]],MATCH(Table5[[#This Row],[PID]],Table3[[#All],[PID]],0)))</f>
        <v>2B</v>
      </c>
      <c r="E585" s="52" t="str">
        <f>IF($C585="B",INDEX(Batters[[#All],[First]],MATCH(Table5[[#This Row],[PID]],Batters[[#All],[PID]],0)),INDEX(Table3[[#All],[First]],MATCH(Table5[[#This Row],[PID]],Table3[[#All],[PID]],0)))</f>
        <v>Jay</v>
      </c>
      <c r="F585" s="55" t="str">
        <f>IF($C585="B",INDEX(Batters[[#All],[Last]],MATCH(A585,Batters[[#All],[PID]],0)),INDEX(Table3[[#All],[Last]],MATCH(A585,Table3[[#All],[PID]],0)))</f>
        <v>Tak</v>
      </c>
      <c r="G585" s="56">
        <f>IF($C585="B",INDEX(Batters[[#All],[Age]],MATCH(Table5[[#This Row],[PID]],Batters[[#All],[PID]],0)),INDEX(Table3[[#All],[Age]],MATCH(Table5[[#This Row],[PID]],Table3[[#All],[PID]],0)))</f>
        <v>22</v>
      </c>
      <c r="H585" s="52" t="str">
        <f>IF($C585="B",INDEX(Batters[[#All],[B]],MATCH(Table5[[#This Row],[PID]],Batters[[#All],[PID]],0)),INDEX(Table3[[#All],[B]],MATCH(Table5[[#This Row],[PID]],Table3[[#All],[PID]],0)))</f>
        <v>S</v>
      </c>
      <c r="I585" s="52" t="str">
        <f>IF($C585="B",INDEX(Batters[[#All],[T]],MATCH(Table5[[#This Row],[PID]],Batters[[#All],[PID]],0)),INDEX(Table3[[#All],[T]],MATCH(Table5[[#This Row],[PID]],Table3[[#All],[PID]],0)))</f>
        <v>R</v>
      </c>
      <c r="J585" s="69" t="str">
        <f>IF($C585="B",INDEX(Batters[[#All],[WE]],MATCH(Table5[[#This Row],[PID]],Batters[[#All],[PID]],0)),INDEX(Table3[[#All],[WE]],MATCH(Table5[[#This Row],[PID]],Table3[[#All],[PID]],0)))</f>
        <v>Normal</v>
      </c>
      <c r="K585" s="52" t="str">
        <f>IF($C585="B",INDEX(Batters[[#All],[INT]],MATCH(Table5[[#This Row],[PID]],Batters[[#All],[PID]],0)),INDEX(Table3[[#All],[INT]],MATCH(Table5[[#This Row],[PID]],Table3[[#All],[PID]],0)))</f>
        <v>Normal</v>
      </c>
      <c r="L585" s="60">
        <f>IF($C585="B",INDEX(Batters[[#All],[CON P]],MATCH(Table5[[#This Row],[PID]],Batters[[#All],[PID]],0)),INDEX(Table3[[#All],[STU P]],MATCH(Table5[[#This Row],[PID]],Table3[[#All],[PID]],0)))</f>
        <v>3</v>
      </c>
      <c r="M585" s="70">
        <f>IF($C585="B",INDEX(Batters[[#All],[GAP P]],MATCH(Table5[[#This Row],[PID]],Batters[[#All],[PID]],0)),INDEX(Table3[[#All],[MOV P]],MATCH(Table5[[#This Row],[PID]],Table3[[#All],[PID]],0)))</f>
        <v>4</v>
      </c>
      <c r="N585" s="70">
        <f>IF($C585="B",INDEX(Batters[[#All],[POW P]],MATCH(Table5[[#This Row],[PID]],Batters[[#All],[PID]],0)),INDEX(Table3[[#All],[CON P]],MATCH(Table5[[#This Row],[PID]],Table3[[#All],[PID]],0)))</f>
        <v>4</v>
      </c>
      <c r="O585" s="70">
        <f>IF($C585="B",INDEX(Batters[[#All],[EYE P]],MATCH(Table5[[#This Row],[PID]],Batters[[#All],[PID]],0)),INDEX(Table3[[#All],[VELO]],MATCH(Table5[[#This Row],[PID]],Table3[[#All],[PID]],0)))</f>
        <v>5</v>
      </c>
      <c r="P585" s="56">
        <f>IF($C585="B",INDEX(Batters[[#All],[K P]],MATCH(Table5[[#This Row],[PID]],Batters[[#All],[PID]],0)),INDEX(Table3[[#All],[STM]],MATCH(Table5[[#This Row],[PID]],Table3[[#All],[PID]],0)))</f>
        <v>3</v>
      </c>
      <c r="Q585" s="61">
        <f>IF($C585="B",INDEX(Batters[[#All],[Tot]],MATCH(Table5[[#This Row],[PID]],Batters[[#All],[PID]],0)),INDEX(Table3[[#All],[Tot]],MATCH(Table5[[#This Row],[PID]],Table3[[#All],[PID]],0)))</f>
        <v>39.292627311504951</v>
      </c>
      <c r="R585" s="52">
        <f>IF($C585="B",INDEX(Batters[[#All],[zScore]],MATCH(Table5[[#This Row],[PID]],Batters[[#All],[PID]],0)),INDEX(Table3[[#All],[zScore]],MATCH(Table5[[#This Row],[PID]],Table3[[#All],[PID]],0)))</f>
        <v>-0.57305083688979785</v>
      </c>
      <c r="S585" s="75" t="str">
        <f>IF($C585="B",INDEX(Batters[[#All],[DEM]],MATCH(Table5[[#This Row],[PID]],Batters[[#All],[PID]],0)),INDEX(Table3[[#All],[DEM]],MATCH(Table5[[#This Row],[PID]],Table3[[#All],[PID]],0)))</f>
        <v>-</v>
      </c>
      <c r="T585" s="72">
        <f>IF($C585="B",INDEX(Batters[[#All],[Rnk]],MATCH(Table5[[#This Row],[PID]],Batters[[#All],[PID]],0)),INDEX(Table3[[#All],[Rnk]],MATCH(Table5[[#This Row],[PID]],Table3[[#All],[PID]],0)))</f>
        <v>900</v>
      </c>
      <c r="U585" s="67">
        <f>IF($C585="B",VLOOKUP($A585,Bat!$A$4:$BA$1314,47,FALSE),VLOOKUP($A585,Pit!$A$4:$BF$1214,56,FALSE))</f>
        <v>223</v>
      </c>
      <c r="V585" s="50">
        <f>IF($C585="B",VLOOKUP($A585,Bat!$A$4:$BA$1314,48,FALSE),VLOOKUP($A585,Pit!$A$4:$BF$1214,57,FALSE))</f>
        <v>0</v>
      </c>
      <c r="W585" s="68">
        <f>IF(Table5[[#This Row],[posRnk]]=999,9999,Table5[[#This Row],[posRnk]]+Table5[[#This Row],[zRnk]]+IF($W$3&lt;&gt;Table5[[#This Row],[Type]],50,0))</f>
        <v>1557</v>
      </c>
      <c r="X585" s="71">
        <f>RANK(Table5[[#This Row],[zScore]],Table5[[#All],[zScore]])</f>
        <v>607</v>
      </c>
      <c r="Y585" s="68">
        <f>IFERROR(INDEX(DraftResults[[#All],[OVR]],MATCH(Table5[[#This Row],[PID]],DraftResults[[#All],[Player ID]],0)),"")</f>
        <v>351</v>
      </c>
      <c r="Z585" s="7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11</v>
      </c>
      <c r="AA585" s="68">
        <f>IFERROR(INDEX(DraftResults[[#All],[Pick in Round]],MATCH(Table5[[#This Row],[PID]],DraftResults[[#All],[Player ID]],0)),"")</f>
        <v>20</v>
      </c>
      <c r="AB585" s="68" t="str">
        <f>IFERROR(INDEX(DraftResults[[#All],[Team Name]],MATCH(Table5[[#This Row],[PID]],DraftResults[[#All],[Player ID]],0)),"")</f>
        <v>Crystal Lake Sandgnats</v>
      </c>
      <c r="AC585" s="68">
        <f>IF(Table5[[#This Row],[Ovr]]="","",IF(Table5[[#This Row],[cmbList]]="","",Table5[[#This Row],[cmbList]]-Table5[[#This Row],[Ovr]]))</f>
        <v>1206</v>
      </c>
      <c r="AD585" s="74" t="str">
        <f>IF(ISERROR(VLOOKUP($AB585&amp;"-"&amp;$E585&amp;" "&amp;F585,Bonuses!$B$1:$G$1006,4,FALSE)),"",INT(VLOOKUP($AB585&amp;"-"&amp;$E585&amp;" "&amp;$F585,Bonuses!$B$1:$G$1006,4,FALSE)))</f>
        <v/>
      </c>
      <c r="AE585" s="68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11.20 (351) - 2B Jay Tak</v>
      </c>
    </row>
    <row r="586" spans="1:31" s="50" customFormat="1" x14ac:dyDescent="0.3">
      <c r="A586" s="67">
        <v>7738</v>
      </c>
      <c r="B586" s="68">
        <f>COUNTIF(Table5[PID],A586)</f>
        <v>1</v>
      </c>
      <c r="C586" s="68" t="str">
        <f>IF(COUNTIF(Table3[[#All],[PID]],A586)&gt;0,"P","B")</f>
        <v>P</v>
      </c>
      <c r="D586" s="59" t="str">
        <f>IF($C586="B",INDEX(Batters[[#All],[POS]],MATCH(Table5[[#This Row],[PID]],Batters[[#All],[PID]],0)),INDEX(Table3[[#All],[POS]],MATCH(Table5[[#This Row],[PID]],Table3[[#All],[PID]],0)))</f>
        <v>RP</v>
      </c>
      <c r="E586" s="52" t="str">
        <f>IF($C586="B",INDEX(Batters[[#All],[First]],MATCH(Table5[[#This Row],[PID]],Batters[[#All],[PID]],0)),INDEX(Table3[[#All],[First]],MATCH(Table5[[#This Row],[PID]],Table3[[#All],[PID]],0)))</f>
        <v>Masami</v>
      </c>
      <c r="F586" s="55" t="str">
        <f>IF($C586="B",INDEX(Batters[[#All],[Last]],MATCH(A586,Batters[[#All],[PID]],0)),INDEX(Table3[[#All],[Last]],MATCH(A586,Table3[[#All],[PID]],0)))</f>
        <v>Nomura</v>
      </c>
      <c r="G586" s="56">
        <f>IF($C586="B",INDEX(Batters[[#All],[Age]],MATCH(Table5[[#This Row],[PID]],Batters[[#All],[PID]],0)),INDEX(Table3[[#All],[Age]],MATCH(Table5[[#This Row],[PID]],Table3[[#All],[PID]],0)))</f>
        <v>21</v>
      </c>
      <c r="H586" s="52" t="str">
        <f>IF($C586="B",INDEX(Batters[[#All],[B]],MATCH(Table5[[#This Row],[PID]],Batters[[#All],[PID]],0)),INDEX(Table3[[#All],[B]],MATCH(Table5[[#This Row],[PID]],Table3[[#All],[PID]],0)))</f>
        <v>R</v>
      </c>
      <c r="I586" s="52" t="str">
        <f>IF($C586="B",INDEX(Batters[[#All],[T]],MATCH(Table5[[#This Row],[PID]],Batters[[#All],[PID]],0)),INDEX(Table3[[#All],[T]],MATCH(Table5[[#This Row],[PID]],Table3[[#All],[PID]],0)))</f>
        <v>R</v>
      </c>
      <c r="J586" s="69" t="str">
        <f>IF($C586="B",INDEX(Batters[[#All],[WE]],MATCH(Table5[[#This Row],[PID]],Batters[[#All],[PID]],0)),INDEX(Table3[[#All],[WE]],MATCH(Table5[[#This Row],[PID]],Table3[[#All],[PID]],0)))</f>
        <v>Normal</v>
      </c>
      <c r="K586" s="52" t="str">
        <f>IF($C586="B",INDEX(Batters[[#All],[INT]],MATCH(Table5[[#This Row],[PID]],Batters[[#All],[PID]],0)),INDEX(Table3[[#All],[INT]],MATCH(Table5[[#This Row],[PID]],Table3[[#All],[PID]],0)))</f>
        <v>Normal</v>
      </c>
      <c r="L586" s="60">
        <f>IF($C586="B",INDEX(Batters[[#All],[CON P]],MATCH(Table5[[#This Row],[PID]],Batters[[#All],[PID]],0)),INDEX(Table3[[#All],[STU P]],MATCH(Table5[[#This Row],[PID]],Table3[[#All],[PID]],0)))</f>
        <v>4</v>
      </c>
      <c r="M586" s="70">
        <f>IF($C586="B",INDEX(Batters[[#All],[GAP P]],MATCH(Table5[[#This Row],[PID]],Batters[[#All],[PID]],0)),INDEX(Table3[[#All],[MOV P]],MATCH(Table5[[#This Row],[PID]],Table3[[#All],[PID]],0)))</f>
        <v>1</v>
      </c>
      <c r="N586" s="70">
        <f>IF($C586="B",INDEX(Batters[[#All],[POW P]],MATCH(Table5[[#This Row],[PID]],Batters[[#All],[PID]],0)),INDEX(Table3[[#All],[CON P]],MATCH(Table5[[#This Row],[PID]],Table3[[#All],[PID]],0)))</f>
        <v>4</v>
      </c>
      <c r="O586" s="70" t="str">
        <f>IF($C586="B",INDEX(Batters[[#All],[EYE P]],MATCH(Table5[[#This Row],[PID]],Batters[[#All],[PID]],0)),INDEX(Table3[[#All],[VELO]],MATCH(Table5[[#This Row],[PID]],Table3[[#All],[PID]],0)))</f>
        <v>88-90 Mph</v>
      </c>
      <c r="P586" s="56">
        <f>IF($C586="B",INDEX(Batters[[#All],[K P]],MATCH(Table5[[#This Row],[PID]],Batters[[#All],[PID]],0)),INDEX(Table3[[#All],[STM]],MATCH(Table5[[#This Row],[PID]],Table3[[#All],[PID]],0)))</f>
        <v>10</v>
      </c>
      <c r="Q586" s="61">
        <f>IF($C586="B",INDEX(Batters[[#All],[Tot]],MATCH(Table5[[#This Row],[PID]],Batters[[#All],[PID]],0)),INDEX(Table3[[#All],[Tot]],MATCH(Table5[[#This Row],[PID]],Table3[[#All],[PID]],0)))</f>
        <v>29.735431597818298</v>
      </c>
      <c r="R586" s="52">
        <f>IF($C586="B",INDEX(Batters[[#All],[zScore]],MATCH(Table5[[#This Row],[PID]],Batters[[#All],[PID]],0)),INDEX(Table3[[#All],[zScore]],MATCH(Table5[[#This Row],[PID]],Table3[[#All],[PID]],0)))</f>
        <v>-0.57443788591170541</v>
      </c>
      <c r="S586" s="75" t="str">
        <f>IF($C586="B",INDEX(Batters[[#All],[DEM]],MATCH(Table5[[#This Row],[PID]],Batters[[#All],[PID]],0)),INDEX(Table3[[#All],[DEM]],MATCH(Table5[[#This Row],[PID]],Table3[[#All],[PID]],0)))</f>
        <v>-</v>
      </c>
      <c r="T586" s="72">
        <f>IF($C586="B",INDEX(Batters[[#All],[Rnk]],MATCH(Table5[[#This Row],[PID]],Batters[[#All],[PID]],0)),INDEX(Table3[[#All],[Rnk]],MATCH(Table5[[#This Row],[PID]],Table3[[#All],[PID]],0)))</f>
        <v>900</v>
      </c>
      <c r="U586" s="67">
        <f>IF($C586="B",VLOOKUP($A586,Bat!$A$4:$BA$1314,47,FALSE),VLOOKUP($A586,Pit!$A$4:$BF$1214,56,FALSE))</f>
        <v>202</v>
      </c>
      <c r="V586" s="50">
        <f>IF($C586="B",VLOOKUP($A586,Bat!$A$4:$BA$1314,48,FALSE),VLOOKUP($A586,Pit!$A$4:$BF$1214,57,FALSE))</f>
        <v>0</v>
      </c>
      <c r="W586" s="68">
        <f>IF(Table5[[#This Row],[posRnk]]=999,9999,Table5[[#This Row],[posRnk]]+Table5[[#This Row],[zRnk]]+IF($W$3&lt;&gt;Table5[[#This Row],[Type]],50,0))</f>
        <v>1508</v>
      </c>
      <c r="X586" s="71">
        <f>RANK(Table5[[#This Row],[zScore]],Table5[[#All],[zScore]])</f>
        <v>608</v>
      </c>
      <c r="Y586" s="68">
        <f>IFERROR(INDEX(DraftResults[[#All],[OVR]],MATCH(Table5[[#This Row],[PID]],DraftResults[[#All],[Player ID]],0)),"")</f>
        <v>470</v>
      </c>
      <c r="Z586" s="7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15</v>
      </c>
      <c r="AA586" s="68">
        <f>IFERROR(INDEX(DraftResults[[#All],[Pick in Round]],MATCH(Table5[[#This Row],[PID]],DraftResults[[#All],[Player ID]],0)),"")</f>
        <v>3</v>
      </c>
      <c r="AB586" s="68" t="str">
        <f>IFERROR(INDEX(DraftResults[[#All],[Team Name]],MATCH(Table5[[#This Row],[PID]],DraftResults[[#All],[Player ID]],0)),"")</f>
        <v>Okinawa Shisa</v>
      </c>
      <c r="AC586" s="68">
        <f>IF(Table5[[#This Row],[Ovr]]="","",IF(Table5[[#This Row],[cmbList]]="","",Table5[[#This Row],[cmbList]]-Table5[[#This Row],[Ovr]]))</f>
        <v>1038</v>
      </c>
      <c r="AD586" s="74" t="str">
        <f>IF(ISERROR(VLOOKUP($AB586&amp;"-"&amp;$E586&amp;" "&amp;F586,Bonuses!$B$1:$G$1006,4,FALSE)),"",INT(VLOOKUP($AB586&amp;"-"&amp;$E586&amp;" "&amp;$F586,Bonuses!$B$1:$G$1006,4,FALSE)))</f>
        <v/>
      </c>
      <c r="AE586" s="68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15.3 (470) - RP Masami Nomura</v>
      </c>
    </row>
    <row r="587" spans="1:31" s="50" customFormat="1" x14ac:dyDescent="0.3">
      <c r="A587" s="50">
        <v>10930</v>
      </c>
      <c r="B587" s="50">
        <f>COUNTIF(Table5[PID],A587)</f>
        <v>1</v>
      </c>
      <c r="C587" s="50" t="str">
        <f>IF(COUNTIF(Table3[[#All],[PID]],A587)&gt;0,"P","B")</f>
        <v>P</v>
      </c>
      <c r="D587" s="59" t="str">
        <f>IF($C587="B",INDEX(Batters[[#All],[POS]],MATCH(Table5[[#This Row],[PID]],Batters[[#All],[PID]],0)),INDEX(Table3[[#All],[POS]],MATCH(Table5[[#This Row],[PID]],Table3[[#All],[PID]],0)))</f>
        <v>RP</v>
      </c>
      <c r="E587" s="52" t="str">
        <f>IF($C587="B",INDEX(Batters[[#All],[First]],MATCH(Table5[[#This Row],[PID]],Batters[[#All],[PID]],0)),INDEX(Table3[[#All],[First]],MATCH(Table5[[#This Row],[PID]],Table3[[#All],[PID]],0)))</f>
        <v>Aarnoud</v>
      </c>
      <c r="F587" s="50" t="str">
        <f>IF($C587="B",INDEX(Batters[[#All],[Last]],MATCH(A587,Batters[[#All],[PID]],0)),INDEX(Table3[[#All],[Last]],MATCH(A587,Table3[[#All],[PID]],0)))</f>
        <v>van Sandvliet</v>
      </c>
      <c r="G587" s="56">
        <f>IF($C587="B",INDEX(Batters[[#All],[Age]],MATCH(Table5[[#This Row],[PID]],Batters[[#All],[PID]],0)),INDEX(Table3[[#All],[Age]],MATCH(Table5[[#This Row],[PID]],Table3[[#All],[PID]],0)))</f>
        <v>21</v>
      </c>
      <c r="H587" s="52" t="str">
        <f>IF($C587="B",INDEX(Batters[[#All],[B]],MATCH(Table5[[#This Row],[PID]],Batters[[#All],[PID]],0)),INDEX(Table3[[#All],[B]],MATCH(Table5[[#This Row],[PID]],Table3[[#All],[PID]],0)))</f>
        <v>R</v>
      </c>
      <c r="I587" s="52" t="str">
        <f>IF($C587="B",INDEX(Batters[[#All],[T]],MATCH(Table5[[#This Row],[PID]],Batters[[#All],[PID]],0)),INDEX(Table3[[#All],[T]],MATCH(Table5[[#This Row],[PID]],Table3[[#All],[PID]],0)))</f>
        <v>R</v>
      </c>
      <c r="J587" s="52" t="str">
        <f>IF($C587="B",INDEX(Batters[[#All],[WE]],MATCH(Table5[[#This Row],[PID]],Batters[[#All],[PID]],0)),INDEX(Table3[[#All],[WE]],MATCH(Table5[[#This Row],[PID]],Table3[[#All],[PID]],0)))</f>
        <v>Low</v>
      </c>
      <c r="K587" s="52" t="str">
        <f>IF($C587="B",INDEX(Batters[[#All],[INT]],MATCH(Table5[[#This Row],[PID]],Batters[[#All],[PID]],0)),INDEX(Table3[[#All],[INT]],MATCH(Table5[[#This Row],[PID]],Table3[[#All],[PID]],0)))</f>
        <v>Normal</v>
      </c>
      <c r="L587" s="60">
        <f>IF($C587="B",INDEX(Batters[[#All],[CON P]],MATCH(Table5[[#This Row],[PID]],Batters[[#All],[PID]],0)),INDEX(Table3[[#All],[STU P]],MATCH(Table5[[#This Row],[PID]],Table3[[#All],[PID]],0)))</f>
        <v>4</v>
      </c>
      <c r="M587" s="56">
        <f>IF($C587="B",INDEX(Batters[[#All],[GAP P]],MATCH(Table5[[#This Row],[PID]],Batters[[#All],[PID]],0)),INDEX(Table3[[#All],[MOV P]],MATCH(Table5[[#This Row],[PID]],Table3[[#All],[PID]],0)))</f>
        <v>2</v>
      </c>
      <c r="N587" s="56">
        <f>IF($C587="B",INDEX(Batters[[#All],[POW P]],MATCH(Table5[[#This Row],[PID]],Batters[[#All],[PID]],0)),INDEX(Table3[[#All],[CON P]],MATCH(Table5[[#This Row],[PID]],Table3[[#All],[PID]],0)))</f>
        <v>3</v>
      </c>
      <c r="O587" s="56" t="str">
        <f>IF($C587="B",INDEX(Batters[[#All],[EYE P]],MATCH(Table5[[#This Row],[PID]],Batters[[#All],[PID]],0)),INDEX(Table3[[#All],[VELO]],MATCH(Table5[[#This Row],[PID]],Table3[[#All],[PID]],0)))</f>
        <v>89-91 Mph</v>
      </c>
      <c r="P587" s="56">
        <f>IF($C587="B",INDEX(Batters[[#All],[K P]],MATCH(Table5[[#This Row],[PID]],Batters[[#All],[PID]],0)),INDEX(Table3[[#All],[STM]],MATCH(Table5[[#This Row],[PID]],Table3[[#All],[PID]],0)))</f>
        <v>6</v>
      </c>
      <c r="Q587" s="61">
        <f>IF($C587="B",INDEX(Batters[[#All],[Tot]],MATCH(Table5[[#This Row],[PID]],Batters[[#All],[PID]],0)),INDEX(Table3[[#All],[Tot]],MATCH(Table5[[#This Row],[PID]],Table3[[#All],[PID]],0)))</f>
        <v>30.564602595867235</v>
      </c>
      <c r="R587" s="52">
        <f>IF($C587="B",INDEX(Batters[[#All],[zScore]],MATCH(Table5[[#This Row],[PID]],Batters[[#All],[PID]],0)),INDEX(Table3[[#All],[zScore]],MATCH(Table5[[#This Row],[PID]],Table3[[#All],[PID]],0)))</f>
        <v>-0.5153950793963169</v>
      </c>
      <c r="S587" s="58" t="str">
        <f>IF($C587="B",INDEX(Batters[[#All],[DEM]],MATCH(Table5[[#This Row],[PID]],Batters[[#All],[PID]],0)),INDEX(Table3[[#All],[DEM]],MATCH(Table5[[#This Row],[PID]],Table3[[#All],[PID]],0)))</f>
        <v>-</v>
      </c>
      <c r="T587" s="62">
        <f>IF($C587="B",INDEX(Batters[[#All],[Rnk]],MATCH(Table5[[#This Row],[PID]],Batters[[#All],[PID]],0)),INDEX(Table3[[#All],[Rnk]],MATCH(Table5[[#This Row],[PID]],Table3[[#All],[PID]],0)))</f>
        <v>930</v>
      </c>
      <c r="U587" s="67">
        <f>IF($C587="B",VLOOKUP($A587,Bat!$A$4:$BA$1314,47,FALSE),VLOOKUP($A587,Pit!$A$4:$BF$1214,56,FALSE))</f>
        <v>325</v>
      </c>
      <c r="V587" s="50">
        <f>IF($C587="B",VLOOKUP($A587,Bat!$A$4:$BA$1314,48,FALSE),VLOOKUP($A587,Pit!$A$4:$BF$1214,57,FALSE))</f>
        <v>0</v>
      </c>
      <c r="W587" s="68">
        <f>IF(Table5[[#This Row],[posRnk]]=999,9999,Table5[[#This Row],[posRnk]]+Table5[[#This Row],[zRnk]]+IF($W$3&lt;&gt;Table5[[#This Row],[Type]],50,0))</f>
        <v>1509</v>
      </c>
      <c r="X587" s="51">
        <f>RANK(Table5[[#This Row],[zScore]],Table5[[#All],[zScore]])</f>
        <v>579</v>
      </c>
      <c r="Y587" s="50">
        <f>IFERROR(INDEX(DraftResults[[#All],[OVR]],MATCH(Table5[[#This Row],[PID]],DraftResults[[#All],[Player ID]],0)),"")</f>
        <v>601</v>
      </c>
      <c r="Z587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18</v>
      </c>
      <c r="AA587" s="50">
        <f>IFERROR(INDEX(DraftResults[[#All],[Pick in Round]],MATCH(Table5[[#This Row],[PID]],DraftResults[[#All],[Player ID]],0)),"")</f>
        <v>32</v>
      </c>
      <c r="AB587" s="50" t="str">
        <f>IFERROR(INDEX(DraftResults[[#All],[Team Name]],MATCH(Table5[[#This Row],[PID]],DraftResults[[#All],[Player ID]],0)),"")</f>
        <v>Florida Farstriders</v>
      </c>
      <c r="AC587" s="50">
        <f>IF(Table5[[#This Row],[Ovr]]="","",IF(Table5[[#This Row],[cmbList]]="","",Table5[[#This Row],[cmbList]]-Table5[[#This Row],[Ovr]]))</f>
        <v>908</v>
      </c>
      <c r="AD587" s="54" t="str">
        <f>IF(ISERROR(VLOOKUP($AB587&amp;"-"&amp;$E587&amp;" "&amp;F587,Bonuses!$B$1:$G$1006,4,FALSE)),"",INT(VLOOKUP($AB587&amp;"-"&amp;$E587&amp;" "&amp;$F587,Bonuses!$B$1:$G$1006,4,FALSE)))</f>
        <v/>
      </c>
      <c r="AE587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18.32 (601) - RP Aarnoud van Sandvliet</v>
      </c>
    </row>
    <row r="588" spans="1:31" s="50" customFormat="1" x14ac:dyDescent="0.3">
      <c r="A588" s="50">
        <v>12121</v>
      </c>
      <c r="B588" s="50">
        <f>COUNTIF(Table5[PID],A588)</f>
        <v>1</v>
      </c>
      <c r="C588" s="50" t="str">
        <f>IF(COUNTIF(Table3[[#All],[PID]],A588)&gt;0,"P","B")</f>
        <v>B</v>
      </c>
      <c r="D588" s="59" t="str">
        <f>IF($C588="B",INDEX(Batters[[#All],[POS]],MATCH(Table5[[#This Row],[PID]],Batters[[#All],[PID]],0)),INDEX(Table3[[#All],[POS]],MATCH(Table5[[#This Row],[PID]],Table3[[#All],[PID]],0)))</f>
        <v>3B</v>
      </c>
      <c r="E588" s="52" t="str">
        <f>IF($C588="B",INDEX(Batters[[#All],[First]],MATCH(Table5[[#This Row],[PID]],Batters[[#All],[PID]],0)),INDEX(Table3[[#All],[First]],MATCH(Table5[[#This Row],[PID]],Table3[[#All],[PID]],0)))</f>
        <v>José</v>
      </c>
      <c r="F588" s="50" t="str">
        <f>IF($C588="B",INDEX(Batters[[#All],[Last]],MATCH(A588,Batters[[#All],[PID]],0)),INDEX(Table3[[#All],[Last]],MATCH(A588,Table3[[#All],[PID]],0)))</f>
        <v>Chacón</v>
      </c>
      <c r="G588" s="56">
        <f>IF($C588="B",INDEX(Batters[[#All],[Age]],MATCH(Table5[[#This Row],[PID]],Batters[[#All],[PID]],0)),INDEX(Table3[[#All],[Age]],MATCH(Table5[[#This Row],[PID]],Table3[[#All],[PID]],0)))</f>
        <v>21</v>
      </c>
      <c r="H588" s="52" t="str">
        <f>IF($C588="B",INDEX(Batters[[#All],[B]],MATCH(Table5[[#This Row],[PID]],Batters[[#All],[PID]],0)),INDEX(Table3[[#All],[B]],MATCH(Table5[[#This Row],[PID]],Table3[[#All],[PID]],0)))</f>
        <v>S</v>
      </c>
      <c r="I588" s="52" t="str">
        <f>IF($C588="B",INDEX(Batters[[#All],[T]],MATCH(Table5[[#This Row],[PID]],Batters[[#All],[PID]],0)),INDEX(Table3[[#All],[T]],MATCH(Table5[[#This Row],[PID]],Table3[[#All],[PID]],0)))</f>
        <v>R</v>
      </c>
      <c r="J588" s="52" t="str">
        <f>IF($C588="B",INDEX(Batters[[#All],[WE]],MATCH(Table5[[#This Row],[PID]],Batters[[#All],[PID]],0)),INDEX(Table3[[#All],[WE]],MATCH(Table5[[#This Row],[PID]],Table3[[#All],[PID]],0)))</f>
        <v>High</v>
      </c>
      <c r="K588" s="52" t="str">
        <f>IF($C588="B",INDEX(Batters[[#All],[INT]],MATCH(Table5[[#This Row],[PID]],Batters[[#All],[PID]],0)),INDEX(Table3[[#All],[INT]],MATCH(Table5[[#This Row],[PID]],Table3[[#All],[PID]],0)))</f>
        <v>Normal</v>
      </c>
      <c r="L588" s="60">
        <f>IF($C588="B",INDEX(Batters[[#All],[CON P]],MATCH(Table5[[#This Row],[PID]],Batters[[#All],[PID]],0)),INDEX(Table3[[#All],[STU P]],MATCH(Table5[[#This Row],[PID]],Table3[[#All],[PID]],0)))</f>
        <v>3</v>
      </c>
      <c r="M588" s="56">
        <f>IF($C588="B",INDEX(Batters[[#All],[GAP P]],MATCH(Table5[[#This Row],[PID]],Batters[[#All],[PID]],0)),INDEX(Table3[[#All],[MOV P]],MATCH(Table5[[#This Row],[PID]],Table3[[#All],[PID]],0)))</f>
        <v>4</v>
      </c>
      <c r="N588" s="56">
        <f>IF($C588="B",INDEX(Batters[[#All],[POW P]],MATCH(Table5[[#This Row],[PID]],Batters[[#All],[PID]],0)),INDEX(Table3[[#All],[CON P]],MATCH(Table5[[#This Row],[PID]],Table3[[#All],[PID]],0)))</f>
        <v>3</v>
      </c>
      <c r="O588" s="56">
        <f>IF($C588="B",INDEX(Batters[[#All],[EYE P]],MATCH(Table5[[#This Row],[PID]],Batters[[#All],[PID]],0)),INDEX(Table3[[#All],[VELO]],MATCH(Table5[[#This Row],[PID]],Table3[[#All],[PID]],0)))</f>
        <v>6</v>
      </c>
      <c r="P588" s="56">
        <f>IF($C588="B",INDEX(Batters[[#All],[K P]],MATCH(Table5[[#This Row],[PID]],Batters[[#All],[PID]],0)),INDEX(Table3[[#All],[STM]],MATCH(Table5[[#This Row],[PID]],Table3[[#All],[PID]],0)))</f>
        <v>3</v>
      </c>
      <c r="Q588" s="61">
        <f>IF($C588="B",INDEX(Batters[[#All],[Tot]],MATCH(Table5[[#This Row],[PID]],Batters[[#All],[PID]],0)),INDEX(Table3[[#All],[Tot]],MATCH(Table5[[#This Row],[PID]],Table3[[#All],[PID]],0)))</f>
        <v>39.276736262348578</v>
      </c>
      <c r="R588" s="52">
        <f>IF($C588="B",INDEX(Batters[[#All],[zScore]],MATCH(Table5[[#This Row],[PID]],Batters[[#All],[PID]],0)),INDEX(Table3[[#All],[zScore]],MATCH(Table5[[#This Row],[PID]],Table3[[#All],[PID]],0)))</f>
        <v>-0.57537042329546362</v>
      </c>
      <c r="S588" s="58" t="str">
        <f>IF($C588="B",INDEX(Batters[[#All],[DEM]],MATCH(Table5[[#This Row],[PID]],Batters[[#All],[PID]],0)),INDEX(Table3[[#All],[DEM]],MATCH(Table5[[#This Row],[PID]],Table3[[#All],[PID]],0)))</f>
        <v>$65k</v>
      </c>
      <c r="T588" s="62">
        <f>IF($C588="B",INDEX(Batters[[#All],[Rnk]],MATCH(Table5[[#This Row],[PID]],Batters[[#All],[PID]],0)),INDEX(Table3[[#All],[Rnk]],MATCH(Table5[[#This Row],[PID]],Table3[[#All],[PID]],0)))</f>
        <v>900</v>
      </c>
      <c r="U588" s="67">
        <f>IF($C588="B",VLOOKUP($A588,Bat!$A$4:$BA$1314,47,FALSE),VLOOKUP($A588,Pit!$A$4:$BF$1214,56,FALSE))</f>
        <v>208</v>
      </c>
      <c r="V588" s="50">
        <f>IF($C588="B",VLOOKUP($A588,Bat!$A$4:$BA$1314,48,FALSE),VLOOKUP($A588,Pit!$A$4:$BF$1214,57,FALSE))</f>
        <v>0</v>
      </c>
      <c r="W588" s="68">
        <f>IF(Table5[[#This Row],[posRnk]]=999,9999,Table5[[#This Row],[posRnk]]+Table5[[#This Row],[zRnk]]+IF($W$3&lt;&gt;Table5[[#This Row],[Type]],50,0))</f>
        <v>1560</v>
      </c>
      <c r="X588" s="51">
        <f>RANK(Table5[[#This Row],[zScore]],Table5[[#All],[zScore]])</f>
        <v>610</v>
      </c>
      <c r="Y588" s="50">
        <f>IFERROR(INDEX(DraftResults[[#All],[OVR]],MATCH(Table5[[#This Row],[PID]],DraftResults[[#All],[Player ID]],0)),"")</f>
        <v>283</v>
      </c>
      <c r="Z588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9</v>
      </c>
      <c r="AA588" s="50">
        <f>IFERROR(INDEX(DraftResults[[#All],[Pick in Round]],MATCH(Table5[[#This Row],[PID]],DraftResults[[#All],[Player ID]],0)),"")</f>
        <v>18</v>
      </c>
      <c r="AB588" s="50" t="str">
        <f>IFERROR(INDEX(DraftResults[[#All],[Team Name]],MATCH(Table5[[#This Row],[PID]],DraftResults[[#All],[Player ID]],0)),"")</f>
        <v>San Juan Coqui</v>
      </c>
      <c r="AC588" s="50">
        <f>IF(Table5[[#This Row],[Ovr]]="","",IF(Table5[[#This Row],[cmbList]]="","",Table5[[#This Row],[cmbList]]-Table5[[#This Row],[Ovr]]))</f>
        <v>1277</v>
      </c>
      <c r="AD588" s="54" t="str">
        <f>IF(ISERROR(VLOOKUP($AB588&amp;"-"&amp;$E588&amp;" "&amp;F588,Bonuses!$B$1:$G$1006,4,FALSE)),"",INT(VLOOKUP($AB588&amp;"-"&amp;$E588&amp;" "&amp;$F588,Bonuses!$B$1:$G$1006,4,FALSE)))</f>
        <v/>
      </c>
      <c r="AE588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9.18 (283) - 3B José Chacón</v>
      </c>
    </row>
    <row r="589" spans="1:31" s="50" customFormat="1" x14ac:dyDescent="0.3">
      <c r="A589" s="50">
        <v>12633</v>
      </c>
      <c r="B589" s="50">
        <f>COUNTIF(Table5[PID],A589)</f>
        <v>1</v>
      </c>
      <c r="C589" s="50" t="str">
        <f>IF(COUNTIF(Table3[[#All],[PID]],A589)&gt;0,"P","B")</f>
        <v>P</v>
      </c>
      <c r="D589" s="59" t="str">
        <f>IF($C589="B",INDEX(Batters[[#All],[POS]],MATCH(Table5[[#This Row],[PID]],Batters[[#All],[PID]],0)),INDEX(Table3[[#All],[POS]],MATCH(Table5[[#This Row],[PID]],Table3[[#All],[PID]],0)))</f>
        <v>RP</v>
      </c>
      <c r="E589" s="52" t="str">
        <f>IF($C589="B",INDEX(Batters[[#All],[First]],MATCH(Table5[[#This Row],[PID]],Batters[[#All],[PID]],0)),INDEX(Table3[[#All],[First]],MATCH(Table5[[#This Row],[PID]],Table3[[#All],[PID]],0)))</f>
        <v>Dale</v>
      </c>
      <c r="F589" s="50" t="str">
        <f>IF($C589="B",INDEX(Batters[[#All],[Last]],MATCH(A589,Batters[[#All],[PID]],0)),INDEX(Table3[[#All],[Last]],MATCH(A589,Table3[[#All],[PID]],0)))</f>
        <v>Ryall</v>
      </c>
      <c r="G589" s="56">
        <f>IF($C589="B",INDEX(Batters[[#All],[Age]],MATCH(Table5[[#This Row],[PID]],Batters[[#All],[PID]],0)),INDEX(Table3[[#All],[Age]],MATCH(Table5[[#This Row],[PID]],Table3[[#All],[PID]],0)))</f>
        <v>18</v>
      </c>
      <c r="H589" s="52" t="str">
        <f>IF($C589="B",INDEX(Batters[[#All],[B]],MATCH(Table5[[#This Row],[PID]],Batters[[#All],[PID]],0)),INDEX(Table3[[#All],[B]],MATCH(Table5[[#This Row],[PID]],Table3[[#All],[PID]],0)))</f>
        <v>L</v>
      </c>
      <c r="I589" s="52" t="str">
        <f>IF($C589="B",INDEX(Batters[[#All],[T]],MATCH(Table5[[#This Row],[PID]],Batters[[#All],[PID]],0)),INDEX(Table3[[#All],[T]],MATCH(Table5[[#This Row],[PID]],Table3[[#All],[PID]],0)))</f>
        <v>L</v>
      </c>
      <c r="J589" s="52" t="str">
        <f>IF($C589="B",INDEX(Batters[[#All],[WE]],MATCH(Table5[[#This Row],[PID]],Batters[[#All],[PID]],0)),INDEX(Table3[[#All],[WE]],MATCH(Table5[[#This Row],[PID]],Table3[[#All],[PID]],0)))</f>
        <v>Low</v>
      </c>
      <c r="K589" s="52" t="str">
        <f>IF($C589="B",INDEX(Batters[[#All],[INT]],MATCH(Table5[[#This Row],[PID]],Batters[[#All],[PID]],0)),INDEX(Table3[[#All],[INT]],MATCH(Table5[[#This Row],[PID]],Table3[[#All],[PID]],0)))</f>
        <v>Normal</v>
      </c>
      <c r="L589" s="60">
        <f>IF($C589="B",INDEX(Batters[[#All],[CON P]],MATCH(Table5[[#This Row],[PID]],Batters[[#All],[PID]],0)),INDEX(Table3[[#All],[STU P]],MATCH(Table5[[#This Row],[PID]],Table3[[#All],[PID]],0)))</f>
        <v>3</v>
      </c>
      <c r="M589" s="56">
        <f>IF($C589="B",INDEX(Batters[[#All],[GAP P]],MATCH(Table5[[#This Row],[PID]],Batters[[#All],[PID]],0)),INDEX(Table3[[#All],[MOV P]],MATCH(Table5[[#This Row],[PID]],Table3[[#All],[PID]],0)))</f>
        <v>1</v>
      </c>
      <c r="N589" s="56">
        <f>IF($C589="B",INDEX(Batters[[#All],[POW P]],MATCH(Table5[[#This Row],[PID]],Batters[[#All],[PID]],0)),INDEX(Table3[[#All],[CON P]],MATCH(Table5[[#This Row],[PID]],Table3[[#All],[PID]],0)))</f>
        <v>4</v>
      </c>
      <c r="O589" s="56" t="str">
        <f>IF($C589="B",INDEX(Batters[[#All],[EYE P]],MATCH(Table5[[#This Row],[PID]],Batters[[#All],[PID]],0)),INDEX(Table3[[#All],[VELO]],MATCH(Table5[[#This Row],[PID]],Table3[[#All],[PID]],0)))</f>
        <v>87-89 Mph</v>
      </c>
      <c r="P589" s="56">
        <f>IF($C589="B",INDEX(Batters[[#All],[K P]],MATCH(Table5[[#This Row],[PID]],Batters[[#All],[PID]],0)),INDEX(Table3[[#All],[STM]],MATCH(Table5[[#This Row],[PID]],Table3[[#All],[PID]],0)))</f>
        <v>8</v>
      </c>
      <c r="Q589" s="61">
        <f>IF($C589="B",INDEX(Batters[[#All],[Tot]],MATCH(Table5[[#This Row],[PID]],Batters[[#All],[PID]],0)),INDEX(Table3[[#All],[Tot]],MATCH(Table5[[#This Row],[PID]],Table3[[#All],[PID]],0)))</f>
        <v>30.454202729522173</v>
      </c>
      <c r="R589" s="52">
        <f>IF($C589="B",INDEX(Batters[[#All],[zScore]],MATCH(Table5[[#This Row],[PID]],Batters[[#All],[PID]],0)),INDEX(Table3[[#All],[zScore]],MATCH(Table5[[#This Row],[PID]],Table3[[#All],[PID]],0)))</f>
        <v>-0.51656083479604809</v>
      </c>
      <c r="S589" s="58" t="str">
        <f>IF($C589="B",INDEX(Batters[[#All],[DEM]],MATCH(Table5[[#This Row],[PID]],Batters[[#All],[PID]],0)),INDEX(Table3[[#All],[DEM]],MATCH(Table5[[#This Row],[PID]],Table3[[#All],[PID]],0)))</f>
        <v>-</v>
      </c>
      <c r="T589" s="62">
        <f>IF($C589="B",INDEX(Batters[[#All],[Rnk]],MATCH(Table5[[#This Row],[PID]],Batters[[#All],[PID]],0)),INDEX(Table3[[#All],[Rnk]],MATCH(Table5[[#This Row],[PID]],Table3[[#All],[PID]],0)))</f>
        <v>930</v>
      </c>
      <c r="U589" s="67">
        <f>IF($C589="B",VLOOKUP($A589,Bat!$A$4:$BA$1314,47,FALSE),VLOOKUP($A589,Pit!$A$4:$BF$1214,56,FALSE))</f>
        <v>326</v>
      </c>
      <c r="V589" s="50">
        <f>IF($C589="B",VLOOKUP($A589,Bat!$A$4:$BA$1314,48,FALSE),VLOOKUP($A589,Pit!$A$4:$BF$1214,57,FALSE))</f>
        <v>0</v>
      </c>
      <c r="W589" s="68">
        <f>IF(Table5[[#This Row],[posRnk]]=999,9999,Table5[[#This Row],[posRnk]]+Table5[[#This Row],[zRnk]]+IF($W$3&lt;&gt;Table5[[#This Row],[Type]],50,0))</f>
        <v>1510</v>
      </c>
      <c r="X589" s="51">
        <f>RANK(Table5[[#This Row],[zScore]],Table5[[#All],[zScore]])</f>
        <v>580</v>
      </c>
      <c r="Y589" s="50">
        <f>IFERROR(INDEX(DraftResults[[#All],[OVR]],MATCH(Table5[[#This Row],[PID]],DraftResults[[#All],[Player ID]],0)),"")</f>
        <v>523</v>
      </c>
      <c r="Z589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16</v>
      </c>
      <c r="AA589" s="50">
        <f>IFERROR(INDEX(DraftResults[[#All],[Pick in Round]],MATCH(Table5[[#This Row],[PID]],DraftResults[[#All],[Player ID]],0)),"")</f>
        <v>22</v>
      </c>
      <c r="AB589" s="50" t="str">
        <f>IFERROR(INDEX(DraftResults[[#All],[Team Name]],MATCH(Table5[[#This Row],[PID]],DraftResults[[#All],[Player ID]],0)),"")</f>
        <v>Bakersfield Bears</v>
      </c>
      <c r="AC589" s="50">
        <f>IF(Table5[[#This Row],[Ovr]]="","",IF(Table5[[#This Row],[cmbList]]="","",Table5[[#This Row],[cmbList]]-Table5[[#This Row],[Ovr]]))</f>
        <v>987</v>
      </c>
      <c r="AD589" s="54" t="str">
        <f>IF(ISERROR(VLOOKUP($AB589&amp;"-"&amp;$E589&amp;" "&amp;F589,Bonuses!$B$1:$G$1006,4,FALSE)),"",INT(VLOOKUP($AB589&amp;"-"&amp;$E589&amp;" "&amp;$F589,Bonuses!$B$1:$G$1006,4,FALSE)))</f>
        <v/>
      </c>
      <c r="AE589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16.22 (523) - RP Dale Ryall</v>
      </c>
    </row>
    <row r="590" spans="1:31" s="50" customFormat="1" x14ac:dyDescent="0.3">
      <c r="A590" s="50">
        <v>5175</v>
      </c>
      <c r="B590" s="50">
        <f>COUNTIF(Table5[PID],A590)</f>
        <v>1</v>
      </c>
      <c r="C590" s="50" t="str">
        <f>IF(COUNTIF(Table3[[#All],[PID]],A590)&gt;0,"P","B")</f>
        <v>P</v>
      </c>
      <c r="D590" s="59" t="str">
        <f>IF($C590="B",INDEX(Batters[[#All],[POS]],MATCH(Table5[[#This Row],[PID]],Batters[[#All],[PID]],0)),INDEX(Table3[[#All],[POS]],MATCH(Table5[[#This Row],[PID]],Table3[[#All],[PID]],0)))</f>
        <v>RP</v>
      </c>
      <c r="E590" s="52" t="str">
        <f>IF($C590="B",INDEX(Batters[[#All],[First]],MATCH(Table5[[#This Row],[PID]],Batters[[#All],[PID]],0)),INDEX(Table3[[#All],[First]],MATCH(Table5[[#This Row],[PID]],Table3[[#All],[PID]],0)))</f>
        <v>Greg</v>
      </c>
      <c r="F590" s="50" t="str">
        <f>IF($C590="B",INDEX(Batters[[#All],[Last]],MATCH(A590,Batters[[#All],[PID]],0)),INDEX(Table3[[#All],[Last]],MATCH(A590,Table3[[#All],[PID]],0)))</f>
        <v>Cook</v>
      </c>
      <c r="G590" s="56">
        <f>IF($C590="B",INDEX(Batters[[#All],[Age]],MATCH(Table5[[#This Row],[PID]],Batters[[#All],[PID]],0)),INDEX(Table3[[#All],[Age]],MATCH(Table5[[#This Row],[PID]],Table3[[#All],[PID]],0)))</f>
        <v>21</v>
      </c>
      <c r="H590" s="52" t="str">
        <f>IF($C590="B",INDEX(Batters[[#All],[B]],MATCH(Table5[[#This Row],[PID]],Batters[[#All],[PID]],0)),INDEX(Table3[[#All],[B]],MATCH(Table5[[#This Row],[PID]],Table3[[#All],[PID]],0)))</f>
        <v>R</v>
      </c>
      <c r="I590" s="52" t="str">
        <f>IF($C590="B",INDEX(Batters[[#All],[T]],MATCH(Table5[[#This Row],[PID]],Batters[[#All],[PID]],0)),INDEX(Table3[[#All],[T]],MATCH(Table5[[#This Row],[PID]],Table3[[#All],[PID]],0)))</f>
        <v>R</v>
      </c>
      <c r="J590" s="52" t="str">
        <f>IF($C590="B",INDEX(Batters[[#All],[WE]],MATCH(Table5[[#This Row],[PID]],Batters[[#All],[PID]],0)),INDEX(Table3[[#All],[WE]],MATCH(Table5[[#This Row],[PID]],Table3[[#All],[PID]],0)))</f>
        <v>Normal</v>
      </c>
      <c r="K590" s="52" t="str">
        <f>IF($C590="B",INDEX(Batters[[#All],[INT]],MATCH(Table5[[#This Row],[PID]],Batters[[#All],[PID]],0)),INDEX(Table3[[#All],[INT]],MATCH(Table5[[#This Row],[PID]],Table3[[#All],[PID]],0)))</f>
        <v>Normal</v>
      </c>
      <c r="L590" s="60">
        <f>IF($C590="B",INDEX(Batters[[#All],[CON P]],MATCH(Table5[[#This Row],[PID]],Batters[[#All],[PID]],0)),INDEX(Table3[[#All],[STU P]],MATCH(Table5[[#This Row],[PID]],Table3[[#All],[PID]],0)))</f>
        <v>5</v>
      </c>
      <c r="M590" s="56">
        <f>IF($C590="B",INDEX(Batters[[#All],[GAP P]],MATCH(Table5[[#This Row],[PID]],Batters[[#All],[PID]],0)),INDEX(Table3[[#All],[MOV P]],MATCH(Table5[[#This Row],[PID]],Table3[[#All],[PID]],0)))</f>
        <v>1</v>
      </c>
      <c r="N590" s="56">
        <f>IF($C590="B",INDEX(Batters[[#All],[POW P]],MATCH(Table5[[#This Row],[PID]],Batters[[#All],[PID]],0)),INDEX(Table3[[#All],[CON P]],MATCH(Table5[[#This Row],[PID]],Table3[[#All],[PID]],0)))</f>
        <v>3</v>
      </c>
      <c r="O590" s="56" t="str">
        <f>IF($C590="B",INDEX(Batters[[#All],[EYE P]],MATCH(Table5[[#This Row],[PID]],Batters[[#All],[PID]],0)),INDEX(Table3[[#All],[VELO]],MATCH(Table5[[#This Row],[PID]],Table3[[#All],[PID]],0)))</f>
        <v>89-91 Mph</v>
      </c>
      <c r="P590" s="56">
        <f>IF($C590="B",INDEX(Batters[[#All],[K P]],MATCH(Table5[[#This Row],[PID]],Batters[[#All],[PID]],0)),INDEX(Table3[[#All],[STM]],MATCH(Table5[[#This Row],[PID]],Table3[[#All],[PID]],0)))</f>
        <v>2</v>
      </c>
      <c r="Q590" s="61">
        <f>IF($C590="B",INDEX(Batters[[#All],[Tot]],MATCH(Table5[[#This Row],[PID]],Batters[[#All],[PID]],0)),INDEX(Table3[[#All],[Tot]],MATCH(Table5[[#This Row],[PID]],Table3[[#All],[PID]],0)))</f>
        <v>29.689631261816274</v>
      </c>
      <c r="R590" s="52">
        <f>IF($C590="B",INDEX(Batters[[#All],[zScore]],MATCH(Table5[[#This Row],[PID]],Batters[[#All],[PID]],0)),INDEX(Table3[[#All],[zScore]],MATCH(Table5[[#This Row],[PID]],Table3[[#All],[PID]],0)))</f>
        <v>-0.57769919194299491</v>
      </c>
      <c r="S590" s="58" t="str">
        <f>IF($C590="B",INDEX(Batters[[#All],[DEM]],MATCH(Table5[[#This Row],[PID]],Batters[[#All],[PID]],0)),INDEX(Table3[[#All],[DEM]],MATCH(Table5[[#This Row],[PID]],Table3[[#All],[PID]],0)))</f>
        <v>-</v>
      </c>
      <c r="T590" s="62">
        <f>IF($C590="B",INDEX(Batters[[#All],[Rnk]],MATCH(Table5[[#This Row],[PID]],Batters[[#All],[PID]],0)),INDEX(Table3[[#All],[Rnk]],MATCH(Table5[[#This Row],[PID]],Table3[[#All],[PID]],0)))</f>
        <v>900</v>
      </c>
      <c r="U590" s="67">
        <f>IF($C590="B",VLOOKUP($A590,Bat!$A$4:$BA$1314,47,FALSE),VLOOKUP($A590,Pit!$A$4:$BF$1214,56,FALSE))</f>
        <v>203</v>
      </c>
      <c r="V590" s="50">
        <f>IF($C590="B",VLOOKUP($A590,Bat!$A$4:$BA$1314,48,FALSE),VLOOKUP($A590,Pit!$A$4:$BF$1214,57,FALSE))</f>
        <v>0</v>
      </c>
      <c r="W590" s="68">
        <f>IF(Table5[[#This Row],[posRnk]]=999,9999,Table5[[#This Row],[posRnk]]+Table5[[#This Row],[zRnk]]+IF($W$3&lt;&gt;Table5[[#This Row],[Type]],50,0))</f>
        <v>1512</v>
      </c>
      <c r="X590" s="51">
        <f>RANK(Table5[[#This Row],[zScore]],Table5[[#All],[zScore]])</f>
        <v>612</v>
      </c>
      <c r="Y590" s="50" t="str">
        <f>IFERROR(INDEX(DraftResults[[#All],[OVR]],MATCH(Table5[[#This Row],[PID]],DraftResults[[#All],[Player ID]],0)),"")</f>
        <v/>
      </c>
      <c r="Z590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/>
      </c>
      <c r="AA590" s="50" t="str">
        <f>IFERROR(INDEX(DraftResults[[#All],[Pick in Round]],MATCH(Table5[[#This Row],[PID]],DraftResults[[#All],[Player ID]],0)),"")</f>
        <v/>
      </c>
      <c r="AB590" s="50" t="str">
        <f>IFERROR(INDEX(DraftResults[[#All],[Team Name]],MATCH(Table5[[#This Row],[PID]],DraftResults[[#All],[Player ID]],0)),"")</f>
        <v/>
      </c>
      <c r="AC590" s="50" t="str">
        <f>IF(Table5[[#This Row],[Ovr]]="","",IF(Table5[[#This Row],[cmbList]]="","",Table5[[#This Row],[cmbList]]-Table5[[#This Row],[Ovr]]))</f>
        <v/>
      </c>
      <c r="AD590" s="54" t="str">
        <f>IF(ISERROR(VLOOKUP($AB590&amp;"-"&amp;$E590&amp;" "&amp;F590,Bonuses!$B$1:$G$1006,4,FALSE)),"",INT(VLOOKUP($AB590&amp;"-"&amp;$E590&amp;" "&amp;$F590,Bonuses!$B$1:$G$1006,4,FALSE)))</f>
        <v/>
      </c>
      <c r="AE590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/>
      </c>
    </row>
    <row r="591" spans="1:31" s="50" customFormat="1" x14ac:dyDescent="0.3">
      <c r="A591" s="67">
        <v>6009</v>
      </c>
      <c r="B591" s="68">
        <f>COUNTIF(Table5[PID],A591)</f>
        <v>1</v>
      </c>
      <c r="C591" s="68" t="str">
        <f>IF(COUNTIF(Table3[[#All],[PID]],A591)&gt;0,"P","B")</f>
        <v>B</v>
      </c>
      <c r="D591" s="59" t="str">
        <f>IF($C591="B",INDEX(Batters[[#All],[POS]],MATCH(Table5[[#This Row],[PID]],Batters[[#All],[PID]],0)),INDEX(Table3[[#All],[POS]],MATCH(Table5[[#This Row],[PID]],Table3[[#All],[PID]],0)))</f>
        <v>C</v>
      </c>
      <c r="E591" s="52" t="str">
        <f>IF($C591="B",INDEX(Batters[[#All],[First]],MATCH(Table5[[#This Row],[PID]],Batters[[#All],[PID]],0)),INDEX(Table3[[#All],[First]],MATCH(Table5[[#This Row],[PID]],Table3[[#All],[PID]],0)))</f>
        <v>Ricardo</v>
      </c>
      <c r="F591" s="55" t="str">
        <f>IF($C591="B",INDEX(Batters[[#All],[Last]],MATCH(A591,Batters[[#All],[PID]],0)),INDEX(Table3[[#All],[Last]],MATCH(A591,Table3[[#All],[PID]],0)))</f>
        <v>Arroyo</v>
      </c>
      <c r="G591" s="56">
        <f>IF($C591="B",INDEX(Batters[[#All],[Age]],MATCH(Table5[[#This Row],[PID]],Batters[[#All],[PID]],0)),INDEX(Table3[[#All],[Age]],MATCH(Table5[[#This Row],[PID]],Table3[[#All],[PID]],0)))</f>
        <v>21</v>
      </c>
      <c r="H591" s="52" t="str">
        <f>IF($C591="B",INDEX(Batters[[#All],[B]],MATCH(Table5[[#This Row],[PID]],Batters[[#All],[PID]],0)),INDEX(Table3[[#All],[B]],MATCH(Table5[[#This Row],[PID]],Table3[[#All],[PID]],0)))</f>
        <v>R</v>
      </c>
      <c r="I591" s="52" t="str">
        <f>IF($C591="B",INDEX(Batters[[#All],[T]],MATCH(Table5[[#This Row],[PID]],Batters[[#All],[PID]],0)),INDEX(Table3[[#All],[T]],MATCH(Table5[[#This Row],[PID]],Table3[[#All],[PID]],0)))</f>
        <v>R</v>
      </c>
      <c r="J591" s="69" t="str">
        <f>IF($C591="B",INDEX(Batters[[#All],[WE]],MATCH(Table5[[#This Row],[PID]],Batters[[#All],[PID]],0)),INDEX(Table3[[#All],[WE]],MATCH(Table5[[#This Row],[PID]],Table3[[#All],[PID]],0)))</f>
        <v>High</v>
      </c>
      <c r="K591" s="52" t="str">
        <f>IF($C591="B",INDEX(Batters[[#All],[INT]],MATCH(Table5[[#This Row],[PID]],Batters[[#All],[PID]],0)),INDEX(Table3[[#All],[INT]],MATCH(Table5[[#This Row],[PID]],Table3[[#All],[PID]],0)))</f>
        <v>Normal</v>
      </c>
      <c r="L591" s="60">
        <f>IF($C591="B",INDEX(Batters[[#All],[CON P]],MATCH(Table5[[#This Row],[PID]],Batters[[#All],[PID]],0)),INDEX(Table3[[#All],[STU P]],MATCH(Table5[[#This Row],[PID]],Table3[[#All],[PID]],0)))</f>
        <v>3</v>
      </c>
      <c r="M591" s="70">
        <f>IF($C591="B",INDEX(Batters[[#All],[GAP P]],MATCH(Table5[[#This Row],[PID]],Batters[[#All],[PID]],0)),INDEX(Table3[[#All],[MOV P]],MATCH(Table5[[#This Row],[PID]],Table3[[#All],[PID]],0)))</f>
        <v>6</v>
      </c>
      <c r="N591" s="70">
        <f>IF($C591="B",INDEX(Batters[[#All],[POW P]],MATCH(Table5[[#This Row],[PID]],Batters[[#All],[PID]],0)),INDEX(Table3[[#All],[CON P]],MATCH(Table5[[#This Row],[PID]],Table3[[#All],[PID]],0)))</f>
        <v>3</v>
      </c>
      <c r="O591" s="70">
        <f>IF($C591="B",INDEX(Batters[[#All],[EYE P]],MATCH(Table5[[#This Row],[PID]],Batters[[#All],[PID]],0)),INDEX(Table3[[#All],[VELO]],MATCH(Table5[[#This Row],[PID]],Table3[[#All],[PID]],0)))</f>
        <v>5</v>
      </c>
      <c r="P591" s="56">
        <f>IF($C591="B",INDEX(Batters[[#All],[K P]],MATCH(Table5[[#This Row],[PID]],Batters[[#All],[PID]],0)),INDEX(Table3[[#All],[STM]],MATCH(Table5[[#This Row],[PID]],Table3[[#All],[PID]],0)))</f>
        <v>3</v>
      </c>
      <c r="Q591" s="61">
        <f>IF($C591="B",INDEX(Batters[[#All],[Tot]],MATCH(Table5[[#This Row],[PID]],Batters[[#All],[PID]],0)),INDEX(Table3[[#All],[Tot]],MATCH(Table5[[#This Row],[PID]],Table3[[#All],[PID]],0)))</f>
        <v>39.222567514989798</v>
      </c>
      <c r="R591" s="52">
        <f>IF($C591="B",INDEX(Batters[[#All],[zScore]],MATCH(Table5[[#This Row],[PID]],Batters[[#All],[PID]],0)),INDEX(Table3[[#All],[zScore]],MATCH(Table5[[#This Row],[PID]],Table3[[#All],[PID]],0)))</f>
        <v>-0.58327733294937889</v>
      </c>
      <c r="S591" s="75" t="str">
        <f>IF($C591="B",INDEX(Batters[[#All],[DEM]],MATCH(Table5[[#This Row],[PID]],Batters[[#All],[PID]],0)),INDEX(Table3[[#All],[DEM]],MATCH(Table5[[#This Row],[PID]],Table3[[#All],[PID]],0)))</f>
        <v>$20k</v>
      </c>
      <c r="T591" s="72">
        <f>IF($C591="B",INDEX(Batters[[#All],[Rnk]],MATCH(Table5[[#This Row],[PID]],Batters[[#All],[PID]],0)),INDEX(Table3[[#All],[Rnk]],MATCH(Table5[[#This Row],[PID]],Table3[[#All],[PID]],0)))</f>
        <v>900</v>
      </c>
      <c r="U591" s="67">
        <f>IF($C591="B",VLOOKUP($A591,Bat!$A$4:$BA$1314,47,FALSE),VLOOKUP($A591,Pit!$A$4:$BF$1214,56,FALSE))</f>
        <v>213</v>
      </c>
      <c r="V591" s="50">
        <f>IF($C591="B",VLOOKUP($A591,Bat!$A$4:$BA$1314,48,FALSE),VLOOKUP($A591,Pit!$A$4:$BF$1214,57,FALSE))</f>
        <v>0</v>
      </c>
      <c r="W591" s="68">
        <f>IF(Table5[[#This Row],[posRnk]]=999,9999,Table5[[#This Row],[posRnk]]+Table5[[#This Row],[zRnk]]+IF($W$3&lt;&gt;Table5[[#This Row],[Type]],50,0))</f>
        <v>1564</v>
      </c>
      <c r="X591" s="71">
        <f>RANK(Table5[[#This Row],[zScore]],Table5[[#All],[zScore]])</f>
        <v>614</v>
      </c>
      <c r="Y591" s="68">
        <f>IFERROR(INDEX(DraftResults[[#All],[OVR]],MATCH(Table5[[#This Row],[PID]],DraftResults[[#All],[Player ID]],0)),"")</f>
        <v>515</v>
      </c>
      <c r="Z591" s="7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16</v>
      </c>
      <c r="AA591" s="68">
        <f>IFERROR(INDEX(DraftResults[[#All],[Pick in Round]],MATCH(Table5[[#This Row],[PID]],DraftResults[[#All],[Player ID]],0)),"")</f>
        <v>14</v>
      </c>
      <c r="AB591" s="68" t="str">
        <f>IFERROR(INDEX(DraftResults[[#All],[Team Name]],MATCH(Table5[[#This Row],[PID]],DraftResults[[#All],[Player ID]],0)),"")</f>
        <v>San Antonio Calzones of Laredo</v>
      </c>
      <c r="AC591" s="68">
        <f>IF(Table5[[#This Row],[Ovr]]="","",IF(Table5[[#This Row],[cmbList]]="","",Table5[[#This Row],[cmbList]]-Table5[[#This Row],[Ovr]]))</f>
        <v>1049</v>
      </c>
      <c r="AD591" s="74" t="str">
        <f>IF(ISERROR(VLOOKUP($AB591&amp;"-"&amp;$E591&amp;" "&amp;F591,Bonuses!$B$1:$G$1006,4,FALSE)),"",INT(VLOOKUP($AB591&amp;"-"&amp;$E591&amp;" "&amp;$F591,Bonuses!$B$1:$G$1006,4,FALSE)))</f>
        <v/>
      </c>
      <c r="AE591" s="68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16.14 (515) - C Ricardo Arroyo</v>
      </c>
    </row>
    <row r="592" spans="1:31" s="50" customFormat="1" x14ac:dyDescent="0.3">
      <c r="A592" s="50">
        <v>17037</v>
      </c>
      <c r="B592" s="50">
        <f>COUNTIF(Table5[PID],A592)</f>
        <v>1</v>
      </c>
      <c r="C592" s="50" t="str">
        <f>IF(COUNTIF(Table3[[#All],[PID]],A592)&gt;0,"P","B")</f>
        <v>P</v>
      </c>
      <c r="D592" s="59" t="str">
        <f>IF($C592="B",INDEX(Batters[[#All],[POS]],MATCH(Table5[[#This Row],[PID]],Batters[[#All],[PID]],0)),INDEX(Table3[[#All],[POS]],MATCH(Table5[[#This Row],[PID]],Table3[[#All],[PID]],0)))</f>
        <v>RP</v>
      </c>
      <c r="E592" s="52" t="str">
        <f>IF($C592="B",INDEX(Batters[[#All],[First]],MATCH(Table5[[#This Row],[PID]],Batters[[#All],[PID]],0)),INDEX(Table3[[#All],[First]],MATCH(Table5[[#This Row],[PID]],Table3[[#All],[PID]],0)))</f>
        <v>Cris</v>
      </c>
      <c r="F592" s="50" t="str">
        <f>IF($C592="B",INDEX(Batters[[#All],[Last]],MATCH(A592,Batters[[#All],[PID]],0)),INDEX(Table3[[#All],[Last]],MATCH(A592,Table3[[#All],[PID]],0)))</f>
        <v>Pacheco</v>
      </c>
      <c r="G592" s="56">
        <f>IF($C592="B",INDEX(Batters[[#All],[Age]],MATCH(Table5[[#This Row],[PID]],Batters[[#All],[PID]],0)),INDEX(Table3[[#All],[Age]],MATCH(Table5[[#This Row],[PID]],Table3[[#All],[PID]],0)))</f>
        <v>22</v>
      </c>
      <c r="H592" s="52" t="str">
        <f>IF($C592="B",INDEX(Batters[[#All],[B]],MATCH(Table5[[#This Row],[PID]],Batters[[#All],[PID]],0)),INDEX(Table3[[#All],[B]],MATCH(Table5[[#This Row],[PID]],Table3[[#All],[PID]],0)))</f>
        <v>R</v>
      </c>
      <c r="I592" s="52" t="str">
        <f>IF($C592="B",INDEX(Batters[[#All],[T]],MATCH(Table5[[#This Row],[PID]],Batters[[#All],[PID]],0)),INDEX(Table3[[#All],[T]],MATCH(Table5[[#This Row],[PID]],Table3[[#All],[PID]],0)))</f>
        <v>R</v>
      </c>
      <c r="J592" s="52" t="str">
        <f>IF($C592="B",INDEX(Batters[[#All],[WE]],MATCH(Table5[[#This Row],[PID]],Batters[[#All],[PID]],0)),INDEX(Table3[[#All],[WE]],MATCH(Table5[[#This Row],[PID]],Table3[[#All],[PID]],0)))</f>
        <v>High</v>
      </c>
      <c r="K592" s="52" t="str">
        <f>IF($C592="B",INDEX(Batters[[#All],[INT]],MATCH(Table5[[#This Row],[PID]],Batters[[#All],[PID]],0)),INDEX(Table3[[#All],[INT]],MATCH(Table5[[#This Row],[PID]],Table3[[#All],[PID]],0)))</f>
        <v>Normal</v>
      </c>
      <c r="L592" s="60">
        <f>IF($C592="B",INDEX(Batters[[#All],[CON P]],MATCH(Table5[[#This Row],[PID]],Batters[[#All],[PID]],0)),INDEX(Table3[[#All],[STU P]],MATCH(Table5[[#This Row],[PID]],Table3[[#All],[PID]],0)))</f>
        <v>4</v>
      </c>
      <c r="M592" s="56">
        <f>IF($C592="B",INDEX(Batters[[#All],[GAP P]],MATCH(Table5[[#This Row],[PID]],Batters[[#All],[PID]],0)),INDEX(Table3[[#All],[MOV P]],MATCH(Table5[[#This Row],[PID]],Table3[[#All],[PID]],0)))</f>
        <v>2</v>
      </c>
      <c r="N592" s="56">
        <f>IF($C592="B",INDEX(Batters[[#All],[POW P]],MATCH(Table5[[#This Row],[PID]],Batters[[#All],[PID]],0)),INDEX(Table3[[#All],[CON P]],MATCH(Table5[[#This Row],[PID]],Table3[[#All],[PID]],0)))</f>
        <v>3</v>
      </c>
      <c r="O592" s="56" t="str">
        <f>IF($C592="B",INDEX(Batters[[#All],[EYE P]],MATCH(Table5[[#This Row],[PID]],Batters[[#All],[PID]],0)),INDEX(Table3[[#All],[VELO]],MATCH(Table5[[#This Row],[PID]],Table3[[#All],[PID]],0)))</f>
        <v>87-89 Mph</v>
      </c>
      <c r="P592" s="56">
        <f>IF($C592="B",INDEX(Batters[[#All],[K P]],MATCH(Table5[[#This Row],[PID]],Batters[[#All],[PID]],0)),INDEX(Table3[[#All],[STM]],MATCH(Table5[[#This Row],[PID]],Table3[[#All],[PID]],0)))</f>
        <v>6</v>
      </c>
      <c r="Q592" s="61">
        <f>IF($C592="B",INDEX(Batters[[#All],[Tot]],MATCH(Table5[[#This Row],[PID]],Batters[[#All],[PID]],0)),INDEX(Table3[[#All],[Tot]],MATCH(Table5[[#This Row],[PID]],Table3[[#All],[PID]],0)))</f>
        <v>29.505605106247788</v>
      </c>
      <c r="R592" s="52">
        <f>IF($C592="B",INDEX(Batters[[#All],[zScore]],MATCH(Table5[[#This Row],[PID]],Batters[[#All],[PID]],0)),INDEX(Table3[[#All],[zScore]],MATCH(Table5[[#This Row],[PID]],Table3[[#All],[PID]],0)))</f>
        <v>-0.5908031484520474</v>
      </c>
      <c r="S592" s="58" t="str">
        <f>IF($C592="B",INDEX(Batters[[#All],[DEM]],MATCH(Table5[[#This Row],[PID]],Batters[[#All],[PID]],0)),INDEX(Table3[[#All],[DEM]],MATCH(Table5[[#This Row],[PID]],Table3[[#All],[PID]],0)))</f>
        <v>-</v>
      </c>
      <c r="T592" s="62">
        <f>IF($C592="B",INDEX(Batters[[#All],[Rnk]],MATCH(Table5[[#This Row],[PID]],Batters[[#All],[PID]],0)),INDEX(Table3[[#All],[Rnk]],MATCH(Table5[[#This Row],[PID]],Table3[[#All],[PID]],0)))</f>
        <v>900</v>
      </c>
      <c r="U592" s="67">
        <f>IF($C592="B",VLOOKUP($A592,Bat!$A$4:$BA$1314,47,FALSE),VLOOKUP($A592,Pit!$A$4:$BF$1214,56,FALSE))</f>
        <v>198</v>
      </c>
      <c r="V592" s="50">
        <f>IF($C592="B",VLOOKUP($A592,Bat!$A$4:$BA$1314,48,FALSE),VLOOKUP($A592,Pit!$A$4:$BF$1214,57,FALSE))</f>
        <v>0</v>
      </c>
      <c r="W592" s="68">
        <f>IF(Table5[[#This Row],[posRnk]]=999,9999,Table5[[#This Row],[posRnk]]+Table5[[#This Row],[zRnk]]+IF($W$3&lt;&gt;Table5[[#This Row],[Type]],50,0))</f>
        <v>1516</v>
      </c>
      <c r="X592" s="51">
        <f>RANK(Table5[[#This Row],[zScore]],Table5[[#All],[zScore]])</f>
        <v>616</v>
      </c>
      <c r="Y592" s="50">
        <f>IFERROR(INDEX(DraftResults[[#All],[OVR]],MATCH(Table5[[#This Row],[PID]],DraftResults[[#All],[Player ID]],0)),"")</f>
        <v>659</v>
      </c>
      <c r="Z592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20</v>
      </c>
      <c r="AA592" s="50">
        <f>IFERROR(INDEX(DraftResults[[#All],[Pick in Round]],MATCH(Table5[[#This Row],[PID]],DraftResults[[#All],[Player ID]],0)),"")</f>
        <v>22</v>
      </c>
      <c r="AB592" s="50" t="str">
        <f>IFERROR(INDEX(DraftResults[[#All],[Team Name]],MATCH(Table5[[#This Row],[PID]],DraftResults[[#All],[Player ID]],0)),"")</f>
        <v>Bakersfield Bears</v>
      </c>
      <c r="AC592" s="50">
        <f>IF(Table5[[#This Row],[Ovr]]="","",IF(Table5[[#This Row],[cmbList]]="","",Table5[[#This Row],[cmbList]]-Table5[[#This Row],[Ovr]]))</f>
        <v>857</v>
      </c>
      <c r="AD592" s="54" t="str">
        <f>IF(ISERROR(VLOOKUP($AB592&amp;"-"&amp;$E592&amp;" "&amp;F592,Bonuses!$B$1:$G$1006,4,FALSE)),"",INT(VLOOKUP($AB592&amp;"-"&amp;$E592&amp;" "&amp;$F592,Bonuses!$B$1:$G$1006,4,FALSE)))</f>
        <v/>
      </c>
      <c r="AE592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20.22 (659) - RP Cris Pacheco</v>
      </c>
    </row>
    <row r="593" spans="1:31" s="50" customFormat="1" x14ac:dyDescent="0.3">
      <c r="A593" s="67">
        <v>20999</v>
      </c>
      <c r="B593" s="68">
        <f>COUNTIF(Table5[PID],A593)</f>
        <v>1</v>
      </c>
      <c r="C593" s="68" t="str">
        <f>IF(COUNTIF(Table3[[#All],[PID]],A593)&gt;0,"P","B")</f>
        <v>B</v>
      </c>
      <c r="D593" s="59" t="str">
        <f>IF($C593="B",INDEX(Batters[[#All],[POS]],MATCH(Table5[[#This Row],[PID]],Batters[[#All],[PID]],0)),INDEX(Table3[[#All],[POS]],MATCH(Table5[[#This Row],[PID]],Table3[[#All],[PID]],0)))</f>
        <v>LF</v>
      </c>
      <c r="E593" s="52" t="str">
        <f>IF($C593="B",INDEX(Batters[[#All],[First]],MATCH(Table5[[#This Row],[PID]],Batters[[#All],[PID]],0)),INDEX(Table3[[#All],[First]],MATCH(Table5[[#This Row],[PID]],Table3[[#All],[PID]],0)))</f>
        <v>Artie</v>
      </c>
      <c r="F593" s="55" t="str">
        <f>IF($C593="B",INDEX(Batters[[#All],[Last]],MATCH(A593,Batters[[#All],[PID]],0)),INDEX(Table3[[#All],[Last]],MATCH(A593,Table3[[#All],[PID]],0)))</f>
        <v>Smith</v>
      </c>
      <c r="G593" s="56">
        <f>IF($C593="B",INDEX(Batters[[#All],[Age]],MATCH(Table5[[#This Row],[PID]],Batters[[#All],[PID]],0)),INDEX(Table3[[#All],[Age]],MATCH(Table5[[#This Row],[PID]],Table3[[#All],[PID]],0)))</f>
        <v>17</v>
      </c>
      <c r="H593" s="52" t="str">
        <f>IF($C593="B",INDEX(Batters[[#All],[B]],MATCH(Table5[[#This Row],[PID]],Batters[[#All],[PID]],0)),INDEX(Table3[[#All],[B]],MATCH(Table5[[#This Row],[PID]],Table3[[#All],[PID]],0)))</f>
        <v>S</v>
      </c>
      <c r="I593" s="52" t="str">
        <f>IF($C593="B",INDEX(Batters[[#All],[T]],MATCH(Table5[[#This Row],[PID]],Batters[[#All],[PID]],0)),INDEX(Table3[[#All],[T]],MATCH(Table5[[#This Row],[PID]],Table3[[#All],[PID]],0)))</f>
        <v>L</v>
      </c>
      <c r="J593" s="69" t="str">
        <f>IF($C593="B",INDEX(Batters[[#All],[WE]],MATCH(Table5[[#This Row],[PID]],Batters[[#All],[PID]],0)),INDEX(Table3[[#All],[WE]],MATCH(Table5[[#This Row],[PID]],Table3[[#All],[PID]],0)))</f>
        <v>Low</v>
      </c>
      <c r="K593" s="52" t="str">
        <f>IF($C593="B",INDEX(Batters[[#All],[INT]],MATCH(Table5[[#This Row],[PID]],Batters[[#All],[PID]],0)),INDEX(Table3[[#All],[INT]],MATCH(Table5[[#This Row],[PID]],Table3[[#All],[PID]],0)))</f>
        <v>Normal</v>
      </c>
      <c r="L593" s="60">
        <f>IF($C593="B",INDEX(Batters[[#All],[CON P]],MATCH(Table5[[#This Row],[PID]],Batters[[#All],[PID]],0)),INDEX(Table3[[#All],[STU P]],MATCH(Table5[[#This Row],[PID]],Table3[[#All],[PID]],0)))</f>
        <v>2</v>
      </c>
      <c r="M593" s="70">
        <f>IF($C593="B",INDEX(Batters[[#All],[GAP P]],MATCH(Table5[[#This Row],[PID]],Batters[[#All],[PID]],0)),INDEX(Table3[[#All],[MOV P]],MATCH(Table5[[#This Row],[PID]],Table3[[#All],[PID]],0)))</f>
        <v>5</v>
      </c>
      <c r="N593" s="70">
        <f>IF($C593="B",INDEX(Batters[[#All],[POW P]],MATCH(Table5[[#This Row],[PID]],Batters[[#All],[PID]],0)),INDEX(Table3[[#All],[CON P]],MATCH(Table5[[#This Row],[PID]],Table3[[#All],[PID]],0)))</f>
        <v>4</v>
      </c>
      <c r="O593" s="70">
        <f>IF($C593="B",INDEX(Batters[[#All],[EYE P]],MATCH(Table5[[#This Row],[PID]],Batters[[#All],[PID]],0)),INDEX(Table3[[#All],[VELO]],MATCH(Table5[[#This Row],[PID]],Table3[[#All],[PID]],0)))</f>
        <v>6</v>
      </c>
      <c r="P593" s="56">
        <f>IF($C593="B",INDEX(Batters[[#All],[K P]],MATCH(Table5[[#This Row],[PID]],Batters[[#All],[PID]],0)),INDEX(Table3[[#All],[STM]],MATCH(Table5[[#This Row],[PID]],Table3[[#All],[PID]],0)))</f>
        <v>2</v>
      </c>
      <c r="Q593" s="61">
        <f>IF($C593="B",INDEX(Batters[[#All],[Tot]],MATCH(Table5[[#This Row],[PID]],Batters[[#All],[PID]],0)),INDEX(Table3[[#All],[Tot]],MATCH(Table5[[#This Row],[PID]],Table3[[#All],[PID]],0)))</f>
        <v>39.540432621784603</v>
      </c>
      <c r="R593" s="52">
        <f>IF($C593="B",INDEX(Batters[[#All],[zScore]],MATCH(Table5[[#This Row],[PID]],Batters[[#All],[PID]],0)),INDEX(Table3[[#All],[zScore]],MATCH(Table5[[#This Row],[PID]],Table3[[#All],[PID]],0)))</f>
        <v>-0.5203981439099048</v>
      </c>
      <c r="S593" s="75" t="str">
        <f>IF($C593="B",INDEX(Batters[[#All],[DEM]],MATCH(Table5[[#This Row],[PID]],Batters[[#All],[PID]],0)),INDEX(Table3[[#All],[DEM]],MATCH(Table5[[#This Row],[PID]],Table3[[#All],[PID]],0)))</f>
        <v>-</v>
      </c>
      <c r="T593" s="72">
        <f>IF($C593="B",INDEX(Batters[[#All],[Rnk]],MATCH(Table5[[#This Row],[PID]],Batters[[#All],[PID]],0)),INDEX(Table3[[#All],[Rnk]],MATCH(Table5[[#This Row],[PID]],Table3[[#All],[PID]],0)))</f>
        <v>930</v>
      </c>
      <c r="U593" s="67">
        <f>IF($C593="B",VLOOKUP($A593,Bat!$A$4:$BA$1314,47,FALSE),VLOOKUP($A593,Pit!$A$4:$BF$1214,56,FALSE))</f>
        <v>348</v>
      </c>
      <c r="V593" s="50">
        <f>IF($C593="B",VLOOKUP($A593,Bat!$A$4:$BA$1314,48,FALSE),VLOOKUP($A593,Pit!$A$4:$BF$1214,57,FALSE))</f>
        <v>0</v>
      </c>
      <c r="W593" s="68">
        <f>IF(Table5[[#This Row],[posRnk]]=999,9999,Table5[[#This Row],[posRnk]]+Table5[[#This Row],[zRnk]]+IF($W$3&lt;&gt;Table5[[#This Row],[Type]],50,0))</f>
        <v>1566</v>
      </c>
      <c r="X593" s="71">
        <f>RANK(Table5[[#This Row],[zScore]],Table5[[#All],[zScore]])</f>
        <v>586</v>
      </c>
      <c r="Y593" s="68" t="str">
        <f>IFERROR(INDEX(DraftResults[[#All],[OVR]],MATCH(Table5[[#This Row],[PID]],DraftResults[[#All],[Player ID]],0)),"")</f>
        <v/>
      </c>
      <c r="Z593" s="7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/>
      </c>
      <c r="AA593" s="68" t="str">
        <f>IFERROR(INDEX(DraftResults[[#All],[Pick in Round]],MATCH(Table5[[#This Row],[PID]],DraftResults[[#All],[Player ID]],0)),"")</f>
        <v/>
      </c>
      <c r="AB593" s="68" t="str">
        <f>IFERROR(INDEX(DraftResults[[#All],[Team Name]],MATCH(Table5[[#This Row],[PID]],DraftResults[[#All],[Player ID]],0)),"")</f>
        <v/>
      </c>
      <c r="AC593" s="68" t="str">
        <f>IF(Table5[[#This Row],[Ovr]]="","",IF(Table5[[#This Row],[cmbList]]="","",Table5[[#This Row],[cmbList]]-Table5[[#This Row],[Ovr]]))</f>
        <v/>
      </c>
      <c r="AD593" s="74" t="str">
        <f>IF(ISERROR(VLOOKUP($AB593&amp;"-"&amp;$E593&amp;" "&amp;F593,Bonuses!$B$1:$G$1006,4,FALSE)),"",INT(VLOOKUP($AB593&amp;"-"&amp;$E593&amp;" "&amp;$F593,Bonuses!$B$1:$G$1006,4,FALSE)))</f>
        <v/>
      </c>
      <c r="AE593" s="68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/>
      </c>
    </row>
    <row r="594" spans="1:31" s="50" customFormat="1" x14ac:dyDescent="0.3">
      <c r="A594" s="50">
        <v>12198</v>
      </c>
      <c r="B594" s="55">
        <f>COUNTIF(Table5[PID],A594)</f>
        <v>1</v>
      </c>
      <c r="C594" s="55" t="str">
        <f>IF(COUNTIF(Table3[[#All],[PID]],A594)&gt;0,"P","B")</f>
        <v>B</v>
      </c>
      <c r="D594" s="59" t="str">
        <f>IF($C594="B",INDEX(Batters[[#All],[POS]],MATCH(Table5[[#This Row],[PID]],Batters[[#All],[PID]],0)),INDEX(Table3[[#All],[POS]],MATCH(Table5[[#This Row],[PID]],Table3[[#All],[PID]],0)))</f>
        <v>C</v>
      </c>
      <c r="E594" s="52" t="str">
        <f>IF($C594="B",INDEX(Batters[[#All],[First]],MATCH(Table5[[#This Row],[PID]],Batters[[#All],[PID]],0)),INDEX(Table3[[#All],[First]],MATCH(Table5[[#This Row],[PID]],Table3[[#All],[PID]],0)))</f>
        <v>Spencer</v>
      </c>
      <c r="F594" s="50" t="str">
        <f>IF($C594="B",INDEX(Batters[[#All],[Last]],MATCH(A594,Batters[[#All],[PID]],0)),INDEX(Table3[[#All],[Last]],MATCH(A594,Table3[[#All],[PID]],0)))</f>
        <v>Leaver</v>
      </c>
      <c r="G594" s="56">
        <f>IF($C594="B",INDEX(Batters[[#All],[Age]],MATCH(Table5[[#This Row],[PID]],Batters[[#All],[PID]],0)),INDEX(Table3[[#All],[Age]],MATCH(Table5[[#This Row],[PID]],Table3[[#All],[PID]],0)))</f>
        <v>18</v>
      </c>
      <c r="H594" s="52" t="str">
        <f>IF($C594="B",INDEX(Batters[[#All],[B]],MATCH(Table5[[#This Row],[PID]],Batters[[#All],[PID]],0)),INDEX(Table3[[#All],[B]],MATCH(Table5[[#This Row],[PID]],Table3[[#All],[PID]],0)))</f>
        <v>R</v>
      </c>
      <c r="I594" s="52" t="str">
        <f>IF($C594="B",INDEX(Batters[[#All],[T]],MATCH(Table5[[#This Row],[PID]],Batters[[#All],[PID]],0)),INDEX(Table3[[#All],[T]],MATCH(Table5[[#This Row],[PID]],Table3[[#All],[PID]],0)))</f>
        <v>R</v>
      </c>
      <c r="J594" s="52" t="str">
        <f>IF($C594="B",INDEX(Batters[[#All],[WE]],MATCH(Table5[[#This Row],[PID]],Batters[[#All],[PID]],0)),INDEX(Table3[[#All],[WE]],MATCH(Table5[[#This Row],[PID]],Table3[[#All],[PID]],0)))</f>
        <v>Low</v>
      </c>
      <c r="K594" s="52" t="str">
        <f>IF($C594="B",INDEX(Batters[[#All],[INT]],MATCH(Table5[[#This Row],[PID]],Batters[[#All],[PID]],0)),INDEX(Table3[[#All],[INT]],MATCH(Table5[[#This Row],[PID]],Table3[[#All],[PID]],0)))</f>
        <v>Low</v>
      </c>
      <c r="L594" s="60">
        <f>IF($C594="B",INDEX(Batters[[#All],[CON P]],MATCH(Table5[[#This Row],[PID]],Batters[[#All],[PID]],0)),INDEX(Table3[[#All],[STU P]],MATCH(Table5[[#This Row],[PID]],Table3[[#All],[PID]],0)))</f>
        <v>2</v>
      </c>
      <c r="M594" s="56">
        <f>IF($C594="B",INDEX(Batters[[#All],[GAP P]],MATCH(Table5[[#This Row],[PID]],Batters[[#All],[PID]],0)),INDEX(Table3[[#All],[MOV P]],MATCH(Table5[[#This Row],[PID]],Table3[[#All],[PID]],0)))</f>
        <v>4</v>
      </c>
      <c r="N594" s="56">
        <f>IF($C594="B",INDEX(Batters[[#All],[POW P]],MATCH(Table5[[#This Row],[PID]],Batters[[#All],[PID]],0)),INDEX(Table3[[#All],[CON P]],MATCH(Table5[[#This Row],[PID]],Table3[[#All],[PID]],0)))</f>
        <v>4</v>
      </c>
      <c r="O594" s="56">
        <f>IF($C594="B",INDEX(Batters[[#All],[EYE P]],MATCH(Table5[[#This Row],[PID]],Batters[[#All],[PID]],0)),INDEX(Table3[[#All],[VELO]],MATCH(Table5[[#This Row],[PID]],Table3[[#All],[PID]],0)))</f>
        <v>6</v>
      </c>
      <c r="P594" s="56">
        <f>IF($C594="B",INDEX(Batters[[#All],[K P]],MATCH(Table5[[#This Row],[PID]],Batters[[#All],[PID]],0)),INDEX(Table3[[#All],[STM]],MATCH(Table5[[#This Row],[PID]],Table3[[#All],[PID]],0)))</f>
        <v>2</v>
      </c>
      <c r="Q594" s="61">
        <f>IF($C594="B",INDEX(Batters[[#All],[Tot]],MATCH(Table5[[#This Row],[PID]],Batters[[#All],[PID]],0)),INDEX(Table3[[#All],[Tot]],MATCH(Table5[[#This Row],[PID]],Table3[[#All],[PID]],0)))</f>
        <v>39.894991170763518</v>
      </c>
      <c r="R594" s="52">
        <f>IF($C594="B",INDEX(Batters[[#All],[zScore]],MATCH(Table5[[#This Row],[PID]],Batters[[#All],[PID]],0)),INDEX(Table3[[#All],[zScore]],MATCH(Table5[[#This Row],[PID]],Table3[[#All],[PID]],0)))</f>
        <v>-0.48512492303406174</v>
      </c>
      <c r="S594" s="58" t="str">
        <f>IF($C594="B",INDEX(Batters[[#All],[DEM]],MATCH(Table5[[#This Row],[PID]],Batters[[#All],[PID]],0)),INDEX(Table3[[#All],[DEM]],MATCH(Table5[[#This Row],[PID]],Table3[[#All],[PID]],0)))</f>
        <v>$70k</v>
      </c>
      <c r="T594" s="62">
        <f>IF($C594="B",INDEX(Batters[[#All],[Rnk]],MATCH(Table5[[#This Row],[PID]],Batters[[#All],[PID]],0)),INDEX(Table3[[#All],[Rnk]],MATCH(Table5[[#This Row],[PID]],Table3[[#All],[PID]],0)))</f>
        <v>950</v>
      </c>
      <c r="U594" s="67">
        <f>IF($C594="B",VLOOKUP($A594,Bat!$A$4:$BA$1314,47,FALSE),VLOOKUP($A594,Pit!$A$4:$BF$1214,56,FALSE))</f>
        <v>439</v>
      </c>
      <c r="V594" s="50">
        <f>IF($C594="B",VLOOKUP($A594,Bat!$A$4:$BA$1314,48,FALSE),VLOOKUP($A594,Pit!$A$4:$BF$1214,57,FALSE))</f>
        <v>0</v>
      </c>
      <c r="W594" s="68">
        <f>IF(Table5[[#This Row],[posRnk]]=999,9999,Table5[[#This Row],[posRnk]]+Table5[[#This Row],[zRnk]]+IF($W$3&lt;&gt;Table5[[#This Row],[Type]],50,0))</f>
        <v>1566</v>
      </c>
      <c r="X594" s="51">
        <f>RANK(Table5[[#This Row],[zScore]],Table5[[#All],[zScore]])</f>
        <v>566</v>
      </c>
      <c r="Y594" s="50" t="str">
        <f>IFERROR(INDEX(DraftResults[[#All],[OVR]],MATCH(Table5[[#This Row],[PID]],DraftResults[[#All],[Player ID]],0)),"")</f>
        <v/>
      </c>
      <c r="Z594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/>
      </c>
      <c r="AA594" s="50" t="str">
        <f>IFERROR(INDEX(DraftResults[[#All],[Pick in Round]],MATCH(Table5[[#This Row],[PID]],DraftResults[[#All],[Player ID]],0)),"")</f>
        <v/>
      </c>
      <c r="AB594" s="50" t="str">
        <f>IFERROR(INDEX(DraftResults[[#All],[Team Name]],MATCH(Table5[[#This Row],[PID]],DraftResults[[#All],[Player ID]],0)),"")</f>
        <v/>
      </c>
      <c r="AC594" s="50" t="str">
        <f>IF(Table5[[#This Row],[Ovr]]="","",IF(Table5[[#This Row],[cmbList]]="","",Table5[[#This Row],[cmbList]]-Table5[[#This Row],[Ovr]]))</f>
        <v/>
      </c>
      <c r="AD594" s="54" t="str">
        <f>IF(ISERROR(VLOOKUP($AB594&amp;"-"&amp;$E594&amp;" "&amp;F594,Bonuses!$B$1:$G$1006,4,FALSE)),"",INT(VLOOKUP($AB594&amp;"-"&amp;$E594&amp;" "&amp;$F594,Bonuses!$B$1:$G$1006,4,FALSE)))</f>
        <v/>
      </c>
      <c r="AE594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/>
      </c>
    </row>
    <row r="595" spans="1:31" s="50" customFormat="1" x14ac:dyDescent="0.3">
      <c r="A595" s="50">
        <v>5424</v>
      </c>
      <c r="B595" s="50">
        <f>COUNTIF(Table5[PID],A595)</f>
        <v>1</v>
      </c>
      <c r="C595" s="50" t="str">
        <f>IF(COUNTIF(Table3[[#All],[PID]],A595)&gt;0,"P","B")</f>
        <v>P</v>
      </c>
      <c r="D595" s="59" t="str">
        <f>IF($C595="B",INDEX(Batters[[#All],[POS]],MATCH(Table5[[#This Row],[PID]],Batters[[#All],[PID]],0)),INDEX(Table3[[#All],[POS]],MATCH(Table5[[#This Row],[PID]],Table3[[#All],[PID]],0)))</f>
        <v>RP</v>
      </c>
      <c r="E595" s="52" t="str">
        <f>IF($C595="B",INDEX(Batters[[#All],[First]],MATCH(Table5[[#This Row],[PID]],Batters[[#All],[PID]],0)),INDEX(Table3[[#All],[First]],MATCH(Table5[[#This Row],[PID]],Table3[[#All],[PID]],0)))</f>
        <v>Chris</v>
      </c>
      <c r="F595" s="50" t="str">
        <f>IF($C595="B",INDEX(Batters[[#All],[Last]],MATCH(A595,Batters[[#All],[PID]],0)),INDEX(Table3[[#All],[Last]],MATCH(A595,Table3[[#All],[PID]],0)))</f>
        <v>McParland</v>
      </c>
      <c r="G595" s="56">
        <f>IF($C595="B",INDEX(Batters[[#All],[Age]],MATCH(Table5[[#This Row],[PID]],Batters[[#All],[PID]],0)),INDEX(Table3[[#All],[Age]],MATCH(Table5[[#This Row],[PID]],Table3[[#All],[PID]],0)))</f>
        <v>21</v>
      </c>
      <c r="H595" s="52" t="str">
        <f>IF($C595="B",INDEX(Batters[[#All],[B]],MATCH(Table5[[#This Row],[PID]],Batters[[#All],[PID]],0)),INDEX(Table3[[#All],[B]],MATCH(Table5[[#This Row],[PID]],Table3[[#All],[PID]],0)))</f>
        <v>R</v>
      </c>
      <c r="I595" s="52" t="str">
        <f>IF($C595="B",INDEX(Batters[[#All],[T]],MATCH(Table5[[#This Row],[PID]],Batters[[#All],[PID]],0)),INDEX(Table3[[#All],[T]],MATCH(Table5[[#This Row],[PID]],Table3[[#All],[PID]],0)))</f>
        <v>R</v>
      </c>
      <c r="J595" s="52" t="str">
        <f>IF($C595="B",INDEX(Batters[[#All],[WE]],MATCH(Table5[[#This Row],[PID]],Batters[[#All],[PID]],0)),INDEX(Table3[[#All],[WE]],MATCH(Table5[[#This Row],[PID]],Table3[[#All],[PID]],0)))</f>
        <v>High</v>
      </c>
      <c r="K595" s="52" t="str">
        <f>IF($C595="B",INDEX(Batters[[#All],[INT]],MATCH(Table5[[#This Row],[PID]],Batters[[#All],[PID]],0)),INDEX(Table3[[#All],[INT]],MATCH(Table5[[#This Row],[PID]],Table3[[#All],[PID]],0)))</f>
        <v>Normal</v>
      </c>
      <c r="L595" s="60">
        <f>IF($C595="B",INDEX(Batters[[#All],[CON P]],MATCH(Table5[[#This Row],[PID]],Batters[[#All],[PID]],0)),INDEX(Table3[[#All],[STU P]],MATCH(Table5[[#This Row],[PID]],Table3[[#All],[PID]],0)))</f>
        <v>3</v>
      </c>
      <c r="M595" s="56">
        <f>IF($C595="B",INDEX(Batters[[#All],[GAP P]],MATCH(Table5[[#This Row],[PID]],Batters[[#All],[PID]],0)),INDEX(Table3[[#All],[MOV P]],MATCH(Table5[[#This Row],[PID]],Table3[[#All],[PID]],0)))</f>
        <v>2</v>
      </c>
      <c r="N595" s="56">
        <f>IF($C595="B",INDEX(Batters[[#All],[POW P]],MATCH(Table5[[#This Row],[PID]],Batters[[#All],[PID]],0)),INDEX(Table3[[#All],[CON P]],MATCH(Table5[[#This Row],[PID]],Table3[[#All],[PID]],0)))</f>
        <v>4</v>
      </c>
      <c r="O595" s="56" t="str">
        <f>IF($C595="B",INDEX(Batters[[#All],[EYE P]],MATCH(Table5[[#This Row],[PID]],Batters[[#All],[PID]],0)),INDEX(Table3[[#All],[VELO]],MATCH(Table5[[#This Row],[PID]],Table3[[#All],[PID]],0)))</f>
        <v>87-89 Mph</v>
      </c>
      <c r="P595" s="56">
        <f>IF($C595="B",INDEX(Batters[[#All],[K P]],MATCH(Table5[[#This Row],[PID]],Batters[[#All],[PID]],0)),INDEX(Table3[[#All],[STM]],MATCH(Table5[[#This Row],[PID]],Table3[[#All],[PID]],0)))</f>
        <v>7</v>
      </c>
      <c r="Q595" s="61">
        <f>IF($C595="B",INDEX(Batters[[#All],[Tot]],MATCH(Table5[[#This Row],[PID]],Batters[[#All],[PID]],0)),INDEX(Table3[[#All],[Tot]],MATCH(Table5[[#This Row],[PID]],Table3[[#All],[PID]],0)))</f>
        <v>29.501923401409293</v>
      </c>
      <c r="R595" s="52">
        <f>IF($C595="B",INDEX(Batters[[#All],[zScore]],MATCH(Table5[[#This Row],[PID]],Batters[[#All],[PID]],0)),INDEX(Table3[[#All],[zScore]],MATCH(Table5[[#This Row],[PID]],Table3[[#All],[PID]],0)))</f>
        <v>-0.59106531172951071</v>
      </c>
      <c r="S595" s="58" t="str">
        <f>IF($C595="B",INDEX(Batters[[#All],[DEM]],MATCH(Table5[[#This Row],[PID]],Batters[[#All],[PID]],0)),INDEX(Table3[[#All],[DEM]],MATCH(Table5[[#This Row],[PID]],Table3[[#All],[PID]],0)))</f>
        <v>-</v>
      </c>
      <c r="T595" s="62">
        <f>IF($C595="B",INDEX(Batters[[#All],[Rnk]],MATCH(Table5[[#This Row],[PID]],Batters[[#All],[PID]],0)),INDEX(Table3[[#All],[Rnk]],MATCH(Table5[[#This Row],[PID]],Table3[[#All],[PID]],0)))</f>
        <v>900</v>
      </c>
      <c r="U595" s="67">
        <f>IF($C595="B",VLOOKUP($A595,Bat!$A$4:$BA$1314,47,FALSE),VLOOKUP($A595,Pit!$A$4:$BF$1214,56,FALSE))</f>
        <v>199</v>
      </c>
      <c r="V595" s="50">
        <f>IF($C595="B",VLOOKUP($A595,Bat!$A$4:$BA$1314,48,FALSE),VLOOKUP($A595,Pit!$A$4:$BF$1214,57,FALSE))</f>
        <v>0</v>
      </c>
      <c r="W595" s="68">
        <f>IF(Table5[[#This Row],[posRnk]]=999,9999,Table5[[#This Row],[posRnk]]+Table5[[#This Row],[zRnk]]+IF($W$3&lt;&gt;Table5[[#This Row],[Type]],50,0))</f>
        <v>1517</v>
      </c>
      <c r="X595" s="51">
        <f>RANK(Table5[[#This Row],[zScore]],Table5[[#All],[zScore]])</f>
        <v>617</v>
      </c>
      <c r="Y595" s="50" t="str">
        <f>IFERROR(INDEX(DraftResults[[#All],[OVR]],MATCH(Table5[[#This Row],[PID]],DraftResults[[#All],[Player ID]],0)),"")</f>
        <v/>
      </c>
      <c r="Z595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/>
      </c>
      <c r="AA595" s="50" t="str">
        <f>IFERROR(INDEX(DraftResults[[#All],[Pick in Round]],MATCH(Table5[[#This Row],[PID]],DraftResults[[#All],[Player ID]],0)),"")</f>
        <v/>
      </c>
      <c r="AB595" s="50" t="str">
        <f>IFERROR(INDEX(DraftResults[[#All],[Team Name]],MATCH(Table5[[#This Row],[PID]],DraftResults[[#All],[Player ID]],0)),"")</f>
        <v/>
      </c>
      <c r="AC595" s="50" t="str">
        <f>IF(Table5[[#This Row],[Ovr]]="","",IF(Table5[[#This Row],[cmbList]]="","",Table5[[#This Row],[cmbList]]-Table5[[#This Row],[Ovr]]))</f>
        <v/>
      </c>
      <c r="AD595" s="54" t="str">
        <f>IF(ISERROR(VLOOKUP($AB595&amp;"-"&amp;$E595&amp;" "&amp;F595,Bonuses!$B$1:$G$1006,4,FALSE)),"",INT(VLOOKUP($AB595&amp;"-"&amp;$E595&amp;" "&amp;$F595,Bonuses!$B$1:$G$1006,4,FALSE)))</f>
        <v/>
      </c>
      <c r="AE595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/>
      </c>
    </row>
    <row r="596" spans="1:31" s="50" customFormat="1" x14ac:dyDescent="0.3">
      <c r="A596" s="67">
        <v>13977</v>
      </c>
      <c r="B596" s="68">
        <f>COUNTIF(Table5[PID],A596)</f>
        <v>1</v>
      </c>
      <c r="C596" s="68" t="str">
        <f>IF(COUNTIF(Table3[[#All],[PID]],A596)&gt;0,"P","B")</f>
        <v>P</v>
      </c>
      <c r="D596" s="59" t="str">
        <f>IF($C596="B",INDEX(Batters[[#All],[POS]],MATCH(Table5[[#This Row],[PID]],Batters[[#All],[PID]],0)),INDEX(Table3[[#All],[POS]],MATCH(Table5[[#This Row],[PID]],Table3[[#All],[PID]],0)))</f>
        <v>RP</v>
      </c>
      <c r="E596" s="52" t="str">
        <f>IF($C596="B",INDEX(Batters[[#All],[First]],MATCH(Table5[[#This Row],[PID]],Batters[[#All],[PID]],0)),INDEX(Table3[[#All],[First]],MATCH(Table5[[#This Row],[PID]],Table3[[#All],[PID]],0)))</f>
        <v>Robbie</v>
      </c>
      <c r="F596" s="55" t="str">
        <f>IF($C596="B",INDEX(Batters[[#All],[Last]],MATCH(A596,Batters[[#All],[PID]],0)),INDEX(Table3[[#All],[Last]],MATCH(A596,Table3[[#All],[PID]],0)))</f>
        <v>Myers</v>
      </c>
      <c r="G596" s="56">
        <f>IF($C596="B",INDEX(Batters[[#All],[Age]],MATCH(Table5[[#This Row],[PID]],Batters[[#All],[PID]],0)),INDEX(Table3[[#All],[Age]],MATCH(Table5[[#This Row],[PID]],Table3[[#All],[PID]],0)))</f>
        <v>21</v>
      </c>
      <c r="H596" s="52" t="str">
        <f>IF($C596="B",INDEX(Batters[[#All],[B]],MATCH(Table5[[#This Row],[PID]],Batters[[#All],[PID]],0)),INDEX(Table3[[#All],[B]],MATCH(Table5[[#This Row],[PID]],Table3[[#All],[PID]],0)))</f>
        <v>R</v>
      </c>
      <c r="I596" s="52" t="str">
        <f>IF($C596="B",INDEX(Batters[[#All],[T]],MATCH(Table5[[#This Row],[PID]],Batters[[#All],[PID]],0)),INDEX(Table3[[#All],[T]],MATCH(Table5[[#This Row],[PID]],Table3[[#All],[PID]],0)))</f>
        <v>R</v>
      </c>
      <c r="J596" s="69" t="str">
        <f>IF($C596="B",INDEX(Batters[[#All],[WE]],MATCH(Table5[[#This Row],[PID]],Batters[[#All],[PID]],0)),INDEX(Table3[[#All],[WE]],MATCH(Table5[[#This Row],[PID]],Table3[[#All],[PID]],0)))</f>
        <v>High</v>
      </c>
      <c r="K596" s="52" t="str">
        <f>IF($C596="B",INDEX(Batters[[#All],[INT]],MATCH(Table5[[#This Row],[PID]],Batters[[#All],[PID]],0)),INDEX(Table3[[#All],[INT]],MATCH(Table5[[#This Row],[PID]],Table3[[#All],[PID]],0)))</f>
        <v>Normal</v>
      </c>
      <c r="L596" s="60">
        <f>IF($C596="B",INDEX(Batters[[#All],[CON P]],MATCH(Table5[[#This Row],[PID]],Batters[[#All],[PID]],0)),INDEX(Table3[[#All],[STU P]],MATCH(Table5[[#This Row],[PID]],Table3[[#All],[PID]],0)))</f>
        <v>3</v>
      </c>
      <c r="M596" s="70">
        <f>IF($C596="B",INDEX(Batters[[#All],[GAP P]],MATCH(Table5[[#This Row],[PID]],Batters[[#All],[PID]],0)),INDEX(Table3[[#All],[MOV P]],MATCH(Table5[[#This Row],[PID]],Table3[[#All],[PID]],0)))</f>
        <v>2</v>
      </c>
      <c r="N596" s="70">
        <f>IF($C596="B",INDEX(Batters[[#All],[POW P]],MATCH(Table5[[#This Row],[PID]],Batters[[#All],[PID]],0)),INDEX(Table3[[#All],[CON P]],MATCH(Table5[[#This Row],[PID]],Table3[[#All],[PID]],0)))</f>
        <v>4</v>
      </c>
      <c r="O596" s="70" t="str">
        <f>IF($C596="B",INDEX(Batters[[#All],[EYE P]],MATCH(Table5[[#This Row],[PID]],Batters[[#All],[PID]],0)),INDEX(Table3[[#All],[VELO]],MATCH(Table5[[#This Row],[PID]],Table3[[#All],[PID]],0)))</f>
        <v>87-89 Mph</v>
      </c>
      <c r="P596" s="56">
        <f>IF($C596="B",INDEX(Batters[[#All],[K P]],MATCH(Table5[[#This Row],[PID]],Batters[[#All],[PID]],0)),INDEX(Table3[[#All],[STM]],MATCH(Table5[[#This Row],[PID]],Table3[[#All],[PID]],0)))</f>
        <v>9</v>
      </c>
      <c r="Q596" s="61">
        <f>IF($C596="B",INDEX(Batters[[#All],[Tot]],MATCH(Table5[[#This Row],[PID]],Batters[[#All],[PID]],0)),INDEX(Table3[[#All],[Tot]],MATCH(Table5[[#This Row],[PID]],Table3[[#All],[PID]],0)))</f>
        <v>29.501923401409293</v>
      </c>
      <c r="R596" s="52">
        <f>IF($C596="B",INDEX(Batters[[#All],[zScore]],MATCH(Table5[[#This Row],[PID]],Batters[[#All],[PID]],0)),INDEX(Table3[[#All],[zScore]],MATCH(Table5[[#This Row],[PID]],Table3[[#All],[PID]],0)))</f>
        <v>-0.59106531172951071</v>
      </c>
      <c r="S596" s="75" t="str">
        <f>IF($C596="B",INDEX(Batters[[#All],[DEM]],MATCH(Table5[[#This Row],[PID]],Batters[[#All],[PID]],0)),INDEX(Table3[[#All],[DEM]],MATCH(Table5[[#This Row],[PID]],Table3[[#All],[PID]],0)))</f>
        <v>-</v>
      </c>
      <c r="T596" s="72">
        <f>IF($C596="B",INDEX(Batters[[#All],[Rnk]],MATCH(Table5[[#This Row],[PID]],Batters[[#All],[PID]],0)),INDEX(Table3[[#All],[Rnk]],MATCH(Table5[[#This Row],[PID]],Table3[[#All],[PID]],0)))</f>
        <v>900</v>
      </c>
      <c r="U596" s="67">
        <f>IF($C596="B",VLOOKUP($A596,Bat!$A$4:$BA$1314,47,FALSE),VLOOKUP($A596,Pit!$A$4:$BF$1214,56,FALSE))</f>
        <v>200</v>
      </c>
      <c r="V596" s="50">
        <f>IF($C596="B",VLOOKUP($A596,Bat!$A$4:$BA$1314,48,FALSE),VLOOKUP($A596,Pit!$A$4:$BF$1214,57,FALSE))</f>
        <v>0</v>
      </c>
      <c r="W596" s="68">
        <f>IF(Table5[[#This Row],[posRnk]]=999,9999,Table5[[#This Row],[posRnk]]+Table5[[#This Row],[zRnk]]+IF($W$3&lt;&gt;Table5[[#This Row],[Type]],50,0))</f>
        <v>1517</v>
      </c>
      <c r="X596" s="71">
        <f>RANK(Table5[[#This Row],[zScore]],Table5[[#All],[zScore]])</f>
        <v>617</v>
      </c>
      <c r="Y596" s="68">
        <f>IFERROR(INDEX(DraftResults[[#All],[OVR]],MATCH(Table5[[#This Row],[PID]],DraftResults[[#All],[Player ID]],0)),"")</f>
        <v>489</v>
      </c>
      <c r="Z596" s="7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15</v>
      </c>
      <c r="AA596" s="68">
        <f>IFERROR(INDEX(DraftResults[[#All],[Pick in Round]],MATCH(Table5[[#This Row],[PID]],DraftResults[[#All],[Player ID]],0)),"")</f>
        <v>22</v>
      </c>
      <c r="AB596" s="68" t="str">
        <f>IFERROR(INDEX(DraftResults[[#All],[Team Name]],MATCH(Table5[[#This Row],[PID]],DraftResults[[#All],[Player ID]],0)),"")</f>
        <v>Bakersfield Bears</v>
      </c>
      <c r="AC596" s="68">
        <f>IF(Table5[[#This Row],[Ovr]]="","",IF(Table5[[#This Row],[cmbList]]="","",Table5[[#This Row],[cmbList]]-Table5[[#This Row],[Ovr]]))</f>
        <v>1028</v>
      </c>
      <c r="AD596" s="74" t="str">
        <f>IF(ISERROR(VLOOKUP($AB596&amp;"-"&amp;$E596&amp;" "&amp;F596,Bonuses!$B$1:$G$1006,4,FALSE)),"",INT(VLOOKUP($AB596&amp;"-"&amp;$E596&amp;" "&amp;$F596,Bonuses!$B$1:$G$1006,4,FALSE)))</f>
        <v/>
      </c>
      <c r="AE596" s="68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15.22 (489) - RP Robbie Myers</v>
      </c>
    </row>
    <row r="597" spans="1:31" s="50" customFormat="1" x14ac:dyDescent="0.3">
      <c r="A597" s="67">
        <v>5091</v>
      </c>
      <c r="B597" s="68">
        <f>COUNTIF(Table5[PID],A597)</f>
        <v>1</v>
      </c>
      <c r="C597" s="68" t="str">
        <f>IF(COUNTIF(Table3[[#All],[PID]],A597)&gt;0,"P","B")</f>
        <v>P</v>
      </c>
      <c r="D597" s="59" t="str">
        <f>IF($C597="B",INDEX(Batters[[#All],[POS]],MATCH(Table5[[#This Row],[PID]],Batters[[#All],[PID]],0)),INDEX(Table3[[#All],[POS]],MATCH(Table5[[#This Row],[PID]],Table3[[#All],[PID]],0)))</f>
        <v>RP</v>
      </c>
      <c r="E597" s="52" t="str">
        <f>IF($C597="B",INDEX(Batters[[#All],[First]],MATCH(Table5[[#This Row],[PID]],Batters[[#All],[PID]],0)),INDEX(Table3[[#All],[First]],MATCH(Table5[[#This Row],[PID]],Table3[[#All],[PID]],0)))</f>
        <v>Will</v>
      </c>
      <c r="F597" s="55" t="str">
        <f>IF($C597="B",INDEX(Batters[[#All],[Last]],MATCH(A597,Batters[[#All],[PID]],0)),INDEX(Table3[[#All],[Last]],MATCH(A597,Table3[[#All],[PID]],0)))</f>
        <v>Schmidt</v>
      </c>
      <c r="G597" s="56">
        <f>IF($C597="B",INDEX(Batters[[#All],[Age]],MATCH(Table5[[#This Row],[PID]],Batters[[#All],[PID]],0)),INDEX(Table3[[#All],[Age]],MATCH(Table5[[#This Row],[PID]],Table3[[#All],[PID]],0)))</f>
        <v>21</v>
      </c>
      <c r="H597" s="52" t="str">
        <f>IF($C597="B",INDEX(Batters[[#All],[B]],MATCH(Table5[[#This Row],[PID]],Batters[[#All],[PID]],0)),INDEX(Table3[[#All],[B]],MATCH(Table5[[#This Row],[PID]],Table3[[#All],[PID]],0)))</f>
        <v>S</v>
      </c>
      <c r="I597" s="52" t="str">
        <f>IF($C597="B",INDEX(Batters[[#All],[T]],MATCH(Table5[[#This Row],[PID]],Batters[[#All],[PID]],0)),INDEX(Table3[[#All],[T]],MATCH(Table5[[#This Row],[PID]],Table3[[#All],[PID]],0)))</f>
        <v>R</v>
      </c>
      <c r="J597" s="69" t="str">
        <f>IF($C597="B",INDEX(Batters[[#All],[WE]],MATCH(Table5[[#This Row],[PID]],Batters[[#All],[PID]],0)),INDEX(Table3[[#All],[WE]],MATCH(Table5[[#This Row],[PID]],Table3[[#All],[PID]],0)))</f>
        <v>Low</v>
      </c>
      <c r="K597" s="52" t="str">
        <f>IF($C597="B",INDEX(Batters[[#All],[INT]],MATCH(Table5[[#This Row],[PID]],Batters[[#All],[PID]],0)),INDEX(Table3[[#All],[INT]],MATCH(Table5[[#This Row],[PID]],Table3[[#All],[PID]],0)))</f>
        <v>Normal</v>
      </c>
      <c r="L597" s="60">
        <f>IF($C597="B",INDEX(Batters[[#All],[CON P]],MATCH(Table5[[#This Row],[PID]],Batters[[#All],[PID]],0)),INDEX(Table3[[#All],[STU P]],MATCH(Table5[[#This Row],[PID]],Table3[[#All],[PID]],0)))</f>
        <v>4</v>
      </c>
      <c r="M597" s="70">
        <f>IF($C597="B",INDEX(Batters[[#All],[GAP P]],MATCH(Table5[[#This Row],[PID]],Batters[[#All],[PID]],0)),INDEX(Table3[[#All],[MOV P]],MATCH(Table5[[#This Row],[PID]],Table3[[#All],[PID]],0)))</f>
        <v>2</v>
      </c>
      <c r="N597" s="70">
        <f>IF($C597="B",INDEX(Batters[[#All],[POW P]],MATCH(Table5[[#This Row],[PID]],Batters[[#All],[PID]],0)),INDEX(Table3[[#All],[CON P]],MATCH(Table5[[#This Row],[PID]],Table3[[#All],[PID]],0)))</f>
        <v>3</v>
      </c>
      <c r="O597" s="70" t="str">
        <f>IF($C597="B",INDEX(Batters[[#All],[EYE P]],MATCH(Table5[[#This Row],[PID]],Batters[[#All],[PID]],0)),INDEX(Table3[[#All],[VELO]],MATCH(Table5[[#This Row],[PID]],Table3[[#All],[PID]],0)))</f>
        <v>89-91 Mph</v>
      </c>
      <c r="P597" s="56">
        <f>IF($C597="B",INDEX(Batters[[#All],[K P]],MATCH(Table5[[#This Row],[PID]],Batters[[#All],[PID]],0)),INDEX(Table3[[#All],[STM]],MATCH(Table5[[#This Row],[PID]],Table3[[#All],[PID]],0)))</f>
        <v>7</v>
      </c>
      <c r="Q597" s="61">
        <f>IF($C597="B",INDEX(Batters[[#All],[Tot]],MATCH(Table5[[#This Row],[PID]],Batters[[#All],[PID]],0)),INDEX(Table3[[#All],[Tot]],MATCH(Table5[[#This Row],[PID]],Table3[[#All],[PID]],0)))</f>
        <v>30.449338570510552</v>
      </c>
      <c r="R597" s="52">
        <f>IF($C597="B",INDEX(Batters[[#All],[zScore]],MATCH(Table5[[#This Row],[PID]],Batters[[#All],[PID]],0)),INDEX(Table3[[#All],[zScore]],MATCH(Table5[[#This Row],[PID]],Table3[[#All],[PID]],0)))</f>
        <v>-0.52360268863896176</v>
      </c>
      <c r="S597" s="75" t="str">
        <f>IF($C597="B",INDEX(Batters[[#All],[DEM]],MATCH(Table5[[#This Row],[PID]],Batters[[#All],[PID]],0)),INDEX(Table3[[#All],[DEM]],MATCH(Table5[[#This Row],[PID]],Table3[[#All],[PID]],0)))</f>
        <v>-</v>
      </c>
      <c r="T597" s="72">
        <f>IF($C597="B",INDEX(Batters[[#All],[Rnk]],MATCH(Table5[[#This Row],[PID]],Batters[[#All],[PID]],0)),INDEX(Table3[[#All],[Rnk]],MATCH(Table5[[#This Row],[PID]],Table3[[#All],[PID]],0)))</f>
        <v>930</v>
      </c>
      <c r="U597" s="67">
        <f>IF($C597="B",VLOOKUP($A597,Bat!$A$4:$BA$1314,47,FALSE),VLOOKUP($A597,Pit!$A$4:$BF$1214,56,FALSE))</f>
        <v>327</v>
      </c>
      <c r="V597" s="50">
        <f>IF($C597="B",VLOOKUP($A597,Bat!$A$4:$BA$1314,48,FALSE),VLOOKUP($A597,Pit!$A$4:$BF$1214,57,FALSE))</f>
        <v>0</v>
      </c>
      <c r="W597" s="68">
        <f>IF(Table5[[#This Row],[posRnk]]=999,9999,Table5[[#This Row],[posRnk]]+Table5[[#This Row],[zRnk]]+IF($W$3&lt;&gt;Table5[[#This Row],[Type]],50,0))</f>
        <v>1518</v>
      </c>
      <c r="X597" s="71">
        <f>RANK(Table5[[#This Row],[zScore]],Table5[[#All],[zScore]])</f>
        <v>588</v>
      </c>
      <c r="Y597" s="68">
        <f>IFERROR(INDEX(DraftResults[[#All],[OVR]],MATCH(Table5[[#This Row],[PID]],DraftResults[[#All],[Player ID]],0)),"")</f>
        <v>616</v>
      </c>
      <c r="Z597" s="7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19</v>
      </c>
      <c r="AA597" s="68">
        <f>IFERROR(INDEX(DraftResults[[#All],[Pick in Round]],MATCH(Table5[[#This Row],[PID]],DraftResults[[#All],[Player ID]],0)),"")</f>
        <v>13</v>
      </c>
      <c r="AB597" s="68" t="str">
        <f>IFERROR(INDEX(DraftResults[[#All],[Team Name]],MATCH(Table5[[#This Row],[PID]],DraftResults[[#All],[Player ID]],0)),"")</f>
        <v>Scottish Claymores</v>
      </c>
      <c r="AC597" s="68">
        <f>IF(Table5[[#This Row],[Ovr]]="","",IF(Table5[[#This Row],[cmbList]]="","",Table5[[#This Row],[cmbList]]-Table5[[#This Row],[Ovr]]))</f>
        <v>902</v>
      </c>
      <c r="AD597" s="74" t="str">
        <f>IF(ISERROR(VLOOKUP($AB597&amp;"-"&amp;$E597&amp;" "&amp;F597,Bonuses!$B$1:$G$1006,4,FALSE)),"",INT(VLOOKUP($AB597&amp;"-"&amp;$E597&amp;" "&amp;$F597,Bonuses!$B$1:$G$1006,4,FALSE)))</f>
        <v/>
      </c>
      <c r="AE597" s="68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19.13 (616) - RP Will Schmidt</v>
      </c>
    </row>
    <row r="598" spans="1:31" s="50" customFormat="1" x14ac:dyDescent="0.3">
      <c r="A598" s="50">
        <v>6458</v>
      </c>
      <c r="B598" s="50">
        <f>COUNTIF(Table5[PID],A598)</f>
        <v>1</v>
      </c>
      <c r="C598" s="50" t="str">
        <f>IF(COUNTIF(Table3[[#All],[PID]],A598)&gt;0,"P","B")</f>
        <v>P</v>
      </c>
      <c r="D598" s="59" t="str">
        <f>IF($C598="B",INDEX(Batters[[#All],[POS]],MATCH(Table5[[#This Row],[PID]],Batters[[#All],[PID]],0)),INDEX(Table3[[#All],[POS]],MATCH(Table5[[#This Row],[PID]],Table3[[#All],[PID]],0)))</f>
        <v>RP</v>
      </c>
      <c r="E598" s="52" t="str">
        <f>IF($C598="B",INDEX(Batters[[#All],[First]],MATCH(Table5[[#This Row],[PID]],Batters[[#All],[PID]],0)),INDEX(Table3[[#All],[First]],MATCH(Table5[[#This Row],[PID]],Table3[[#All],[PID]],0)))</f>
        <v>Joe</v>
      </c>
      <c r="F598" s="50" t="str">
        <f>IF($C598="B",INDEX(Batters[[#All],[Last]],MATCH(A598,Batters[[#All],[PID]],0)),INDEX(Table3[[#All],[Last]],MATCH(A598,Table3[[#All],[PID]],0)))</f>
        <v>Willis</v>
      </c>
      <c r="G598" s="56">
        <f>IF($C598="B",INDEX(Batters[[#All],[Age]],MATCH(Table5[[#This Row],[PID]],Batters[[#All],[PID]],0)),INDEX(Table3[[#All],[Age]],MATCH(Table5[[#This Row],[PID]],Table3[[#All],[PID]],0)))</f>
        <v>21</v>
      </c>
      <c r="H598" s="52" t="str">
        <f>IF($C598="B",INDEX(Batters[[#All],[B]],MATCH(Table5[[#This Row],[PID]],Batters[[#All],[PID]],0)),INDEX(Table3[[#All],[B]],MATCH(Table5[[#This Row],[PID]],Table3[[#All],[PID]],0)))</f>
        <v>R</v>
      </c>
      <c r="I598" s="52" t="str">
        <f>IF($C598="B",INDEX(Batters[[#All],[T]],MATCH(Table5[[#This Row],[PID]],Batters[[#All],[PID]],0)),INDEX(Table3[[#All],[T]],MATCH(Table5[[#This Row],[PID]],Table3[[#All],[PID]],0)))</f>
        <v>R</v>
      </c>
      <c r="J598" s="52" t="str">
        <f>IF($C598="B",INDEX(Batters[[#All],[WE]],MATCH(Table5[[#This Row],[PID]],Batters[[#All],[PID]],0)),INDEX(Table3[[#All],[WE]],MATCH(Table5[[#This Row],[PID]],Table3[[#All],[PID]],0)))</f>
        <v>Normal</v>
      </c>
      <c r="K598" s="52" t="str">
        <f>IF($C598="B",INDEX(Batters[[#All],[INT]],MATCH(Table5[[#This Row],[PID]],Batters[[#All],[PID]],0)),INDEX(Table3[[#All],[INT]],MATCH(Table5[[#This Row],[PID]],Table3[[#All],[PID]],0)))</f>
        <v>Normal</v>
      </c>
      <c r="L598" s="60">
        <f>IF($C598="B",INDEX(Batters[[#All],[CON P]],MATCH(Table5[[#This Row],[PID]],Batters[[#All],[PID]],0)),INDEX(Table3[[#All],[STU P]],MATCH(Table5[[#This Row],[PID]],Table3[[#All],[PID]],0)))</f>
        <v>4</v>
      </c>
      <c r="M598" s="56">
        <f>IF($C598="B",INDEX(Batters[[#All],[GAP P]],MATCH(Table5[[#This Row],[PID]],Batters[[#All],[PID]],0)),INDEX(Table3[[#All],[MOV P]],MATCH(Table5[[#This Row],[PID]],Table3[[#All],[PID]],0)))</f>
        <v>2</v>
      </c>
      <c r="N598" s="56">
        <f>IF($C598="B",INDEX(Batters[[#All],[POW P]],MATCH(Table5[[#This Row],[PID]],Batters[[#All],[PID]],0)),INDEX(Table3[[#All],[CON P]],MATCH(Table5[[#This Row],[PID]],Table3[[#All],[PID]],0)))</f>
        <v>3</v>
      </c>
      <c r="O598" s="56" t="str">
        <f>IF($C598="B",INDEX(Batters[[#All],[EYE P]],MATCH(Table5[[#This Row],[PID]],Batters[[#All],[PID]],0)),INDEX(Table3[[#All],[VELO]],MATCH(Table5[[#This Row],[PID]],Table3[[#All],[PID]],0)))</f>
        <v>91-93 Mph</v>
      </c>
      <c r="P598" s="56">
        <f>IF($C598="B",INDEX(Batters[[#All],[K P]],MATCH(Table5[[#This Row],[PID]],Batters[[#All],[PID]],0)),INDEX(Table3[[#All],[STM]],MATCH(Table5[[#This Row],[PID]],Table3[[#All],[PID]],0)))</f>
        <v>8</v>
      </c>
      <c r="Q598" s="61">
        <f>IF($C598="B",INDEX(Batters[[#All],[Tot]],MATCH(Table5[[#This Row],[PID]],Batters[[#All],[PID]],0)),INDEX(Table3[[#All],[Tot]],MATCH(Table5[[#This Row],[PID]],Table3[[#All],[PID]],0)))</f>
        <v>29.499338570510552</v>
      </c>
      <c r="R598" s="52">
        <f>IF($C598="B",INDEX(Batters[[#All],[zScore]],MATCH(Table5[[#This Row],[PID]],Batters[[#All],[PID]],0)),INDEX(Table3[[#All],[zScore]],MATCH(Table5[[#This Row],[PID]],Table3[[#All],[PID]],0)))</f>
        <v>-0.59124936986828835</v>
      </c>
      <c r="S598" s="58" t="str">
        <f>IF($C598="B",INDEX(Batters[[#All],[DEM]],MATCH(Table5[[#This Row],[PID]],Batters[[#All],[PID]],0)),INDEX(Table3[[#All],[DEM]],MATCH(Table5[[#This Row],[PID]],Table3[[#All],[PID]],0)))</f>
        <v>$20k</v>
      </c>
      <c r="T598" s="62">
        <f>IF($C598="B",INDEX(Batters[[#All],[Rnk]],MATCH(Table5[[#This Row],[PID]],Batters[[#All],[PID]],0)),INDEX(Table3[[#All],[Rnk]],MATCH(Table5[[#This Row],[PID]],Table3[[#All],[PID]],0)))</f>
        <v>900</v>
      </c>
      <c r="U598" s="67">
        <f>IF($C598="B",VLOOKUP($A598,Bat!$A$4:$BA$1314,47,FALSE),VLOOKUP($A598,Pit!$A$4:$BF$1214,56,FALSE))</f>
        <v>204</v>
      </c>
      <c r="V598" s="50">
        <f>IF($C598="B",VLOOKUP($A598,Bat!$A$4:$BA$1314,48,FALSE),VLOOKUP($A598,Pit!$A$4:$BF$1214,57,FALSE))</f>
        <v>0</v>
      </c>
      <c r="W598" s="68">
        <f>IF(Table5[[#This Row],[posRnk]]=999,9999,Table5[[#This Row],[posRnk]]+Table5[[#This Row],[zRnk]]+IF($W$3&lt;&gt;Table5[[#This Row],[Type]],50,0))</f>
        <v>1519</v>
      </c>
      <c r="X598" s="51">
        <f>RANK(Table5[[#This Row],[zScore]],Table5[[#All],[zScore]])</f>
        <v>619</v>
      </c>
      <c r="Y598" s="50">
        <f>IFERROR(INDEX(DraftResults[[#All],[OVR]],MATCH(Table5[[#This Row],[PID]],DraftResults[[#All],[Player ID]],0)),"")</f>
        <v>613</v>
      </c>
      <c r="Z598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19</v>
      </c>
      <c r="AA598" s="50">
        <f>IFERROR(INDEX(DraftResults[[#All],[Pick in Round]],MATCH(Table5[[#This Row],[PID]],DraftResults[[#All],[Player ID]],0)),"")</f>
        <v>10</v>
      </c>
      <c r="AB598" s="50" t="str">
        <f>IFERROR(INDEX(DraftResults[[#All],[Team Name]],MATCH(Table5[[#This Row],[PID]],DraftResults[[#All],[Player ID]],0)),"")</f>
        <v>London Underground</v>
      </c>
      <c r="AC598" s="50">
        <f>IF(Table5[[#This Row],[Ovr]]="","",IF(Table5[[#This Row],[cmbList]]="","",Table5[[#This Row],[cmbList]]-Table5[[#This Row],[Ovr]]))</f>
        <v>906</v>
      </c>
      <c r="AD598" s="54" t="str">
        <f>IF(ISERROR(VLOOKUP($AB598&amp;"-"&amp;$E598&amp;" "&amp;F598,Bonuses!$B$1:$G$1006,4,FALSE)),"",INT(VLOOKUP($AB598&amp;"-"&amp;$E598&amp;" "&amp;$F598,Bonuses!$B$1:$G$1006,4,FALSE)))</f>
        <v/>
      </c>
      <c r="AE598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19.10 (613) - RP Joe Willis</v>
      </c>
    </row>
    <row r="599" spans="1:31" s="50" customFormat="1" x14ac:dyDescent="0.3">
      <c r="A599" s="50">
        <v>13217</v>
      </c>
      <c r="B599" s="50">
        <f>COUNTIF(Table5[PID],A599)</f>
        <v>1</v>
      </c>
      <c r="C599" s="50" t="str">
        <f>IF(COUNTIF(Table3[[#All],[PID]],A599)&gt;0,"P","B")</f>
        <v>P</v>
      </c>
      <c r="D599" s="59" t="str">
        <f>IF($C599="B",INDEX(Batters[[#All],[POS]],MATCH(Table5[[#This Row],[PID]],Batters[[#All],[PID]],0)),INDEX(Table3[[#All],[POS]],MATCH(Table5[[#This Row],[PID]],Table3[[#All],[PID]],0)))</f>
        <v>RP</v>
      </c>
      <c r="E599" s="52" t="str">
        <f>IF($C599="B",INDEX(Batters[[#All],[First]],MATCH(Table5[[#This Row],[PID]],Batters[[#All],[PID]],0)),INDEX(Table3[[#All],[First]],MATCH(Table5[[#This Row],[PID]],Table3[[#All],[PID]],0)))</f>
        <v>Salvador</v>
      </c>
      <c r="F599" s="50" t="str">
        <f>IF($C599="B",INDEX(Batters[[#All],[Last]],MATCH(A599,Batters[[#All],[PID]],0)),INDEX(Table3[[#All],[Last]],MATCH(A599,Table3[[#All],[PID]],0)))</f>
        <v>Salazar</v>
      </c>
      <c r="G599" s="56">
        <f>IF($C599="B",INDEX(Batters[[#All],[Age]],MATCH(Table5[[#This Row],[PID]],Batters[[#All],[PID]],0)),INDEX(Table3[[#All],[Age]],MATCH(Table5[[#This Row],[PID]],Table3[[#All],[PID]],0)))</f>
        <v>21</v>
      </c>
      <c r="H599" s="52" t="str">
        <f>IF($C599="B",INDEX(Batters[[#All],[B]],MATCH(Table5[[#This Row],[PID]],Batters[[#All],[PID]],0)),INDEX(Table3[[#All],[B]],MATCH(Table5[[#This Row],[PID]],Table3[[#All],[PID]],0)))</f>
        <v>R</v>
      </c>
      <c r="I599" s="52" t="str">
        <f>IF($C599="B",INDEX(Batters[[#All],[T]],MATCH(Table5[[#This Row],[PID]],Batters[[#All],[PID]],0)),INDEX(Table3[[#All],[T]],MATCH(Table5[[#This Row],[PID]],Table3[[#All],[PID]],0)))</f>
        <v>R</v>
      </c>
      <c r="J599" s="52" t="str">
        <f>IF($C599="B",INDEX(Batters[[#All],[WE]],MATCH(Table5[[#This Row],[PID]],Batters[[#All],[PID]],0)),INDEX(Table3[[#All],[WE]],MATCH(Table5[[#This Row],[PID]],Table3[[#All],[PID]],0)))</f>
        <v>Low</v>
      </c>
      <c r="K599" s="52" t="str">
        <f>IF($C599="B",INDEX(Batters[[#All],[INT]],MATCH(Table5[[#This Row],[PID]],Batters[[#All],[PID]],0)),INDEX(Table3[[#All],[INT]],MATCH(Table5[[#This Row],[PID]],Table3[[#All],[PID]],0)))</f>
        <v>Normal</v>
      </c>
      <c r="L599" s="60">
        <f>IF($C599="B",INDEX(Batters[[#All],[CON P]],MATCH(Table5[[#This Row],[PID]],Batters[[#All],[PID]],0)),INDEX(Table3[[#All],[STU P]],MATCH(Table5[[#This Row],[PID]],Table3[[#All],[PID]],0)))</f>
        <v>5</v>
      </c>
      <c r="M599" s="56">
        <f>IF($C599="B",INDEX(Batters[[#All],[GAP P]],MATCH(Table5[[#This Row],[PID]],Batters[[#All],[PID]],0)),INDEX(Table3[[#All],[MOV P]],MATCH(Table5[[#This Row],[PID]],Table3[[#All],[PID]],0)))</f>
        <v>2</v>
      </c>
      <c r="N599" s="56">
        <f>IF($C599="B",INDEX(Batters[[#All],[POW P]],MATCH(Table5[[#This Row],[PID]],Batters[[#All],[PID]],0)),INDEX(Table3[[#All],[CON P]],MATCH(Table5[[#This Row],[PID]],Table3[[#All],[PID]],0)))</f>
        <v>4</v>
      </c>
      <c r="O599" s="56" t="str">
        <f>IF($C599="B",INDEX(Batters[[#All],[EYE P]],MATCH(Table5[[#This Row],[PID]],Batters[[#All],[PID]],0)),INDEX(Table3[[#All],[VELO]],MATCH(Table5[[#This Row],[PID]],Table3[[#All],[PID]],0)))</f>
        <v>87-89 Mph</v>
      </c>
      <c r="P599" s="56">
        <f>IF($C599="B",INDEX(Batters[[#All],[K P]],MATCH(Table5[[#This Row],[PID]],Batters[[#All],[PID]],0)),INDEX(Table3[[#All],[STM]],MATCH(Table5[[#This Row],[PID]],Table3[[#All],[PID]],0)))</f>
        <v>7</v>
      </c>
      <c r="Q599" s="61">
        <f>IF($C599="B",INDEX(Batters[[#All],[Tot]],MATCH(Table5[[#This Row],[PID]],Batters[[#All],[PID]],0)),INDEX(Table3[[#All],[Tot]],MATCH(Table5[[#This Row],[PID]],Table3[[#All],[PID]],0)))</f>
        <v>30.439576381776234</v>
      </c>
      <c r="R599" s="52">
        <f>IF($C599="B",INDEX(Batters[[#All],[zScore]],MATCH(Table5[[#This Row],[PID]],Batters[[#All],[PID]],0)),INDEX(Table3[[#All],[zScore]],MATCH(Table5[[#This Row],[PID]],Table3[[#All],[PID]],0)))</f>
        <v>-0.52429782513307843</v>
      </c>
      <c r="S599" s="58" t="str">
        <f>IF($C599="B",INDEX(Batters[[#All],[DEM]],MATCH(Table5[[#This Row],[PID]],Batters[[#All],[PID]],0)),INDEX(Table3[[#All],[DEM]],MATCH(Table5[[#This Row],[PID]],Table3[[#All],[PID]],0)))</f>
        <v>$20k</v>
      </c>
      <c r="T599" s="62">
        <f>IF($C599="B",INDEX(Batters[[#All],[Rnk]],MATCH(Table5[[#This Row],[PID]],Batters[[#All],[PID]],0)),INDEX(Table3[[#All],[Rnk]],MATCH(Table5[[#This Row],[PID]],Table3[[#All],[PID]],0)))</f>
        <v>930</v>
      </c>
      <c r="U599" s="67">
        <f>IF($C599="B",VLOOKUP($A599,Bat!$A$4:$BA$1314,47,FALSE),VLOOKUP($A599,Pit!$A$4:$BF$1214,56,FALSE))</f>
        <v>328</v>
      </c>
      <c r="V599" s="50">
        <f>IF($C599="B",VLOOKUP($A599,Bat!$A$4:$BA$1314,48,FALSE),VLOOKUP($A599,Pit!$A$4:$BF$1214,57,FALSE))</f>
        <v>0</v>
      </c>
      <c r="W599" s="68">
        <f>IF(Table5[[#This Row],[posRnk]]=999,9999,Table5[[#This Row],[posRnk]]+Table5[[#This Row],[zRnk]]+IF($W$3&lt;&gt;Table5[[#This Row],[Type]],50,0))</f>
        <v>1519</v>
      </c>
      <c r="X599" s="51">
        <f>RANK(Table5[[#This Row],[zScore]],Table5[[#All],[zScore]])</f>
        <v>589</v>
      </c>
      <c r="Y599" s="50">
        <f>IFERROR(INDEX(DraftResults[[#All],[OVR]],MATCH(Table5[[#This Row],[PID]],DraftResults[[#All],[Player ID]],0)),"")</f>
        <v>536</v>
      </c>
      <c r="Z599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17</v>
      </c>
      <c r="AA599" s="50">
        <f>IFERROR(INDEX(DraftResults[[#All],[Pick in Round]],MATCH(Table5[[#This Row],[PID]],DraftResults[[#All],[Player ID]],0)),"")</f>
        <v>1</v>
      </c>
      <c r="AB599" s="50" t="str">
        <f>IFERROR(INDEX(DraftResults[[#All],[Team Name]],MATCH(Table5[[#This Row],[PID]],DraftResults[[#All],[Player ID]],0)),"")</f>
        <v>Yuma Arroyos</v>
      </c>
      <c r="AC599" s="50">
        <f>IF(Table5[[#This Row],[Ovr]]="","",IF(Table5[[#This Row],[cmbList]]="","",Table5[[#This Row],[cmbList]]-Table5[[#This Row],[Ovr]]))</f>
        <v>983</v>
      </c>
      <c r="AD599" s="54" t="str">
        <f>IF(ISERROR(VLOOKUP($AB599&amp;"-"&amp;$E599&amp;" "&amp;F599,Bonuses!$B$1:$G$1006,4,FALSE)),"",INT(VLOOKUP($AB599&amp;"-"&amp;$E599&amp;" "&amp;$F599,Bonuses!$B$1:$G$1006,4,FALSE)))</f>
        <v/>
      </c>
      <c r="AE599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17.1 (536) - RP Salvador Salazar</v>
      </c>
    </row>
    <row r="600" spans="1:31" s="50" customFormat="1" x14ac:dyDescent="0.3">
      <c r="A600" s="67">
        <v>5138</v>
      </c>
      <c r="B600" s="68">
        <f>COUNTIF(Table5[PID],A600)</f>
        <v>1</v>
      </c>
      <c r="C600" s="68" t="str">
        <f>IF(COUNTIF(Table3[[#All],[PID]],A600)&gt;0,"P","B")</f>
        <v>P</v>
      </c>
      <c r="D600" s="59" t="str">
        <f>IF($C600="B",INDEX(Batters[[#All],[POS]],MATCH(Table5[[#This Row],[PID]],Batters[[#All],[PID]],0)),INDEX(Table3[[#All],[POS]],MATCH(Table5[[#This Row],[PID]],Table3[[#All],[PID]],0)))</f>
        <v>RP</v>
      </c>
      <c r="E600" s="52" t="str">
        <f>IF($C600="B",INDEX(Batters[[#All],[First]],MATCH(Table5[[#This Row],[PID]],Batters[[#All],[PID]],0)),INDEX(Table3[[#All],[First]],MATCH(Table5[[#This Row],[PID]],Table3[[#All],[PID]],0)))</f>
        <v>Ricardo</v>
      </c>
      <c r="F600" s="55" t="str">
        <f>IF($C600="B",INDEX(Batters[[#All],[Last]],MATCH(A600,Batters[[#All],[PID]],0)),INDEX(Table3[[#All],[Last]],MATCH(A600,Table3[[#All],[PID]],0)))</f>
        <v>Ramírez</v>
      </c>
      <c r="G600" s="56">
        <f>IF($C600="B",INDEX(Batters[[#All],[Age]],MATCH(Table5[[#This Row],[PID]],Batters[[#All],[PID]],0)),INDEX(Table3[[#All],[Age]],MATCH(Table5[[#This Row],[PID]],Table3[[#All],[PID]],0)))</f>
        <v>21</v>
      </c>
      <c r="H600" s="52" t="str">
        <f>IF($C600="B",INDEX(Batters[[#All],[B]],MATCH(Table5[[#This Row],[PID]],Batters[[#All],[PID]],0)),INDEX(Table3[[#All],[B]],MATCH(Table5[[#This Row],[PID]],Table3[[#All],[PID]],0)))</f>
        <v>R</v>
      </c>
      <c r="I600" s="52" t="str">
        <f>IF($C600="B",INDEX(Batters[[#All],[T]],MATCH(Table5[[#This Row],[PID]],Batters[[#All],[PID]],0)),INDEX(Table3[[#All],[T]],MATCH(Table5[[#This Row],[PID]],Table3[[#All],[PID]],0)))</f>
        <v>R</v>
      </c>
      <c r="J600" s="69" t="str">
        <f>IF($C600="B",INDEX(Batters[[#All],[WE]],MATCH(Table5[[#This Row],[PID]],Batters[[#All],[PID]],0)),INDEX(Table3[[#All],[WE]],MATCH(Table5[[#This Row],[PID]],Table3[[#All],[PID]],0)))</f>
        <v>Normal</v>
      </c>
      <c r="K600" s="52" t="str">
        <f>IF($C600="B",INDEX(Batters[[#All],[INT]],MATCH(Table5[[#This Row],[PID]],Batters[[#All],[PID]],0)),INDEX(Table3[[#All],[INT]],MATCH(Table5[[#This Row],[PID]],Table3[[#All],[PID]],0)))</f>
        <v>Normal</v>
      </c>
      <c r="L600" s="60">
        <f>IF($C600="B",INDEX(Batters[[#All],[CON P]],MATCH(Table5[[#This Row],[PID]],Batters[[#All],[PID]],0)),INDEX(Table3[[#All],[STU P]],MATCH(Table5[[#This Row],[PID]],Table3[[#All],[PID]],0)))</f>
        <v>4</v>
      </c>
      <c r="M600" s="70">
        <f>IF($C600="B",INDEX(Batters[[#All],[GAP P]],MATCH(Table5[[#This Row],[PID]],Batters[[#All],[PID]],0)),INDEX(Table3[[#All],[MOV P]],MATCH(Table5[[#This Row],[PID]],Table3[[#All],[PID]],0)))</f>
        <v>2</v>
      </c>
      <c r="N600" s="70">
        <f>IF($C600="B",INDEX(Batters[[#All],[POW P]],MATCH(Table5[[#This Row],[PID]],Batters[[#All],[PID]],0)),INDEX(Table3[[#All],[CON P]],MATCH(Table5[[#This Row],[PID]],Table3[[#All],[PID]],0)))</f>
        <v>3</v>
      </c>
      <c r="O600" s="70" t="str">
        <f>IF($C600="B",INDEX(Batters[[#All],[EYE P]],MATCH(Table5[[#This Row],[PID]],Batters[[#All],[PID]],0)),INDEX(Table3[[#All],[VELO]],MATCH(Table5[[#This Row],[PID]],Table3[[#All],[PID]],0)))</f>
        <v>87-89 Mph</v>
      </c>
      <c r="P600" s="56">
        <f>IF($C600="B",INDEX(Batters[[#All],[K P]],MATCH(Table5[[#This Row],[PID]],Batters[[#All],[PID]],0)),INDEX(Table3[[#All],[STM]],MATCH(Table5[[#This Row],[PID]],Table3[[#All],[PID]],0)))</f>
        <v>7</v>
      </c>
      <c r="Q600" s="61">
        <f>IF($C600="B",INDEX(Batters[[#All],[Tot]],MATCH(Table5[[#This Row],[PID]],Batters[[#All],[PID]],0)),INDEX(Table3[[#All],[Tot]],MATCH(Table5[[#This Row],[PID]],Table3[[#All],[PID]],0)))</f>
        <v>29.450874457299729</v>
      </c>
      <c r="R600" s="52">
        <f>IF($C600="B",INDEX(Batters[[#All],[zScore]],MATCH(Table5[[#This Row],[PID]],Batters[[#All],[PID]],0)),INDEX(Table3[[#All],[zScore]],MATCH(Table5[[#This Row],[PID]],Table3[[#All],[PID]],0)))</f>
        <v>-0.5947003555708511</v>
      </c>
      <c r="S600" s="75" t="str">
        <f>IF($C600="B",INDEX(Batters[[#All],[DEM]],MATCH(Table5[[#This Row],[PID]],Batters[[#All],[PID]],0)),INDEX(Table3[[#All],[DEM]],MATCH(Table5[[#This Row],[PID]],Table3[[#All],[PID]],0)))</f>
        <v>$20k</v>
      </c>
      <c r="T600" s="72">
        <f>IF($C600="B",INDEX(Batters[[#All],[Rnk]],MATCH(Table5[[#This Row],[PID]],Batters[[#All],[PID]],0)),INDEX(Table3[[#All],[Rnk]],MATCH(Table5[[#This Row],[PID]],Table3[[#All],[PID]],0)))</f>
        <v>900</v>
      </c>
      <c r="U600" s="67">
        <f>IF($C600="B",VLOOKUP($A600,Bat!$A$4:$BA$1314,47,FALSE),VLOOKUP($A600,Pit!$A$4:$BF$1214,56,FALSE))</f>
        <v>205</v>
      </c>
      <c r="V600" s="50">
        <f>IF($C600="B",VLOOKUP($A600,Bat!$A$4:$BA$1314,48,FALSE),VLOOKUP($A600,Pit!$A$4:$BF$1214,57,FALSE))</f>
        <v>0</v>
      </c>
      <c r="W600" s="68">
        <f>IF(Table5[[#This Row],[posRnk]]=999,9999,Table5[[#This Row],[posRnk]]+Table5[[#This Row],[zRnk]]+IF($W$3&lt;&gt;Table5[[#This Row],[Type]],50,0))</f>
        <v>1520</v>
      </c>
      <c r="X600" s="71">
        <f>RANK(Table5[[#This Row],[zScore]],Table5[[#All],[zScore]])</f>
        <v>620</v>
      </c>
      <c r="Y600" s="68">
        <f>IFERROR(INDEX(DraftResults[[#All],[OVR]],MATCH(Table5[[#This Row],[PID]],DraftResults[[#All],[Player ID]],0)),"")</f>
        <v>557</v>
      </c>
      <c r="Z600" s="7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17</v>
      </c>
      <c r="AA600" s="68">
        <f>IFERROR(INDEX(DraftResults[[#All],[Pick in Round]],MATCH(Table5[[#This Row],[PID]],DraftResults[[#All],[Player ID]],0)),"")</f>
        <v>22</v>
      </c>
      <c r="AB600" s="68" t="str">
        <f>IFERROR(INDEX(DraftResults[[#All],[Team Name]],MATCH(Table5[[#This Row],[PID]],DraftResults[[#All],[Player ID]],0)),"")</f>
        <v>Bakersfield Bears</v>
      </c>
      <c r="AC600" s="68">
        <f>IF(Table5[[#This Row],[Ovr]]="","",IF(Table5[[#This Row],[cmbList]]="","",Table5[[#This Row],[cmbList]]-Table5[[#This Row],[Ovr]]))</f>
        <v>963</v>
      </c>
      <c r="AD600" s="74" t="str">
        <f>IF(ISERROR(VLOOKUP($AB600&amp;"-"&amp;$E600&amp;" "&amp;F600,Bonuses!$B$1:$G$1006,4,FALSE)),"",INT(VLOOKUP($AB600&amp;"-"&amp;$E600&amp;" "&amp;$F600,Bonuses!$B$1:$G$1006,4,FALSE)))</f>
        <v/>
      </c>
      <c r="AE600" s="68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17.22 (557) - RP Ricardo Ramírez</v>
      </c>
    </row>
    <row r="601" spans="1:31" s="50" customFormat="1" x14ac:dyDescent="0.3">
      <c r="A601" s="50">
        <v>12318</v>
      </c>
      <c r="B601" s="50">
        <f>COUNTIF(Table5[PID],A601)</f>
        <v>1</v>
      </c>
      <c r="C601" s="50" t="str">
        <f>IF(COUNTIF(Table3[[#All],[PID]],A601)&gt;0,"P","B")</f>
        <v>P</v>
      </c>
      <c r="D601" s="59" t="str">
        <f>IF($C601="B",INDEX(Batters[[#All],[POS]],MATCH(Table5[[#This Row],[PID]],Batters[[#All],[PID]],0)),INDEX(Table3[[#All],[POS]],MATCH(Table5[[#This Row],[PID]],Table3[[#All],[PID]],0)))</f>
        <v>RP</v>
      </c>
      <c r="E601" s="52" t="str">
        <f>IF($C601="B",INDEX(Batters[[#All],[First]],MATCH(Table5[[#This Row],[PID]],Batters[[#All],[PID]],0)),INDEX(Table3[[#All],[First]],MATCH(Table5[[#This Row],[PID]],Table3[[#All],[PID]],0)))</f>
        <v>Juichi</v>
      </c>
      <c r="F601" s="50" t="str">
        <f>IF($C601="B",INDEX(Batters[[#All],[Last]],MATCH(A601,Batters[[#All],[PID]],0)),INDEX(Table3[[#All],[Last]],MATCH(A601,Table3[[#All],[PID]],0)))</f>
        <v>Suzuki</v>
      </c>
      <c r="G601" s="56">
        <f>IF($C601="B",INDEX(Batters[[#All],[Age]],MATCH(Table5[[#This Row],[PID]],Batters[[#All],[PID]],0)),INDEX(Table3[[#All],[Age]],MATCH(Table5[[#This Row],[PID]],Table3[[#All],[PID]],0)))</f>
        <v>22</v>
      </c>
      <c r="H601" s="52" t="str">
        <f>IF($C601="B",INDEX(Batters[[#All],[B]],MATCH(Table5[[#This Row],[PID]],Batters[[#All],[PID]],0)),INDEX(Table3[[#All],[B]],MATCH(Table5[[#This Row],[PID]],Table3[[#All],[PID]],0)))</f>
        <v>S</v>
      </c>
      <c r="I601" s="52" t="str">
        <f>IF($C601="B",INDEX(Batters[[#All],[T]],MATCH(Table5[[#This Row],[PID]],Batters[[#All],[PID]],0)),INDEX(Table3[[#All],[T]],MATCH(Table5[[#This Row],[PID]],Table3[[#All],[PID]],0)))</f>
        <v>L</v>
      </c>
      <c r="J601" s="52" t="str">
        <f>IF($C601="B",INDEX(Batters[[#All],[WE]],MATCH(Table5[[#This Row],[PID]],Batters[[#All],[PID]],0)),INDEX(Table3[[#All],[WE]],MATCH(Table5[[#This Row],[PID]],Table3[[#All],[PID]],0)))</f>
        <v>Normal</v>
      </c>
      <c r="K601" s="52" t="str">
        <f>IF($C601="B",INDEX(Batters[[#All],[INT]],MATCH(Table5[[#This Row],[PID]],Batters[[#All],[PID]],0)),INDEX(Table3[[#All],[INT]],MATCH(Table5[[#This Row],[PID]],Table3[[#All],[PID]],0)))</f>
        <v>Normal</v>
      </c>
      <c r="L601" s="60">
        <f>IF($C601="B",INDEX(Batters[[#All],[CON P]],MATCH(Table5[[#This Row],[PID]],Batters[[#All],[PID]],0)),INDEX(Table3[[#All],[STU P]],MATCH(Table5[[#This Row],[PID]],Table3[[#All],[PID]],0)))</f>
        <v>5</v>
      </c>
      <c r="M601" s="56">
        <f>IF($C601="B",INDEX(Batters[[#All],[GAP P]],MATCH(Table5[[#This Row],[PID]],Batters[[#All],[PID]],0)),INDEX(Table3[[#All],[MOV P]],MATCH(Table5[[#This Row],[PID]],Table3[[#All],[PID]],0)))</f>
        <v>1</v>
      </c>
      <c r="N601" s="56">
        <f>IF($C601="B",INDEX(Batters[[#All],[POW P]],MATCH(Table5[[#This Row],[PID]],Batters[[#All],[PID]],0)),INDEX(Table3[[#All],[CON P]],MATCH(Table5[[#This Row],[PID]],Table3[[#All],[PID]],0)))</f>
        <v>3</v>
      </c>
      <c r="O601" s="56" t="str">
        <f>IF($C601="B",INDEX(Batters[[#All],[EYE P]],MATCH(Table5[[#This Row],[PID]],Batters[[#All],[PID]],0)),INDEX(Table3[[#All],[VELO]],MATCH(Table5[[#This Row],[PID]],Table3[[#All],[PID]],0)))</f>
        <v>87-89 Mph</v>
      </c>
      <c r="P601" s="56">
        <f>IF($C601="B",INDEX(Batters[[#All],[K P]],MATCH(Table5[[#This Row],[PID]],Batters[[#All],[PID]],0)),INDEX(Table3[[#All],[STM]],MATCH(Table5[[#This Row],[PID]],Table3[[#All],[PID]],0)))</f>
        <v>7</v>
      </c>
      <c r="Q601" s="61">
        <f>IF($C601="B",INDEX(Batters[[#All],[Tot]],MATCH(Table5[[#This Row],[PID]],Batters[[#All],[PID]],0)),INDEX(Table3[[#All],[Tot]],MATCH(Table5[[#This Row],[PID]],Table3[[#All],[PID]],0)))</f>
        <v>29.435918540497916</v>
      </c>
      <c r="R601" s="52">
        <f>IF($C601="B",INDEX(Batters[[#All],[zScore]],MATCH(Table5[[#This Row],[PID]],Batters[[#All],[PID]],0)),INDEX(Table3[[#All],[zScore]],MATCH(Table5[[#This Row],[PID]],Table3[[#All],[PID]],0)))</f>
        <v>-0.59576532203020327</v>
      </c>
      <c r="S601" s="58" t="str">
        <f>IF($C601="B",INDEX(Batters[[#All],[DEM]],MATCH(Table5[[#This Row],[PID]],Batters[[#All],[PID]],0)),INDEX(Table3[[#All],[DEM]],MATCH(Table5[[#This Row],[PID]],Table3[[#All],[PID]],0)))</f>
        <v>-</v>
      </c>
      <c r="T601" s="62">
        <f>IF($C601="B",INDEX(Batters[[#All],[Rnk]],MATCH(Table5[[#This Row],[PID]],Batters[[#All],[PID]],0)),INDEX(Table3[[#All],[Rnk]],MATCH(Table5[[#This Row],[PID]],Table3[[#All],[PID]],0)))</f>
        <v>900</v>
      </c>
      <c r="U601" s="67">
        <f>IF($C601="B",VLOOKUP($A601,Bat!$A$4:$BA$1314,47,FALSE),VLOOKUP($A601,Pit!$A$4:$BF$1214,56,FALSE))</f>
        <v>206</v>
      </c>
      <c r="V601" s="50">
        <f>IF($C601="B",VLOOKUP($A601,Bat!$A$4:$BA$1314,48,FALSE),VLOOKUP($A601,Pit!$A$4:$BF$1214,57,FALSE))</f>
        <v>0</v>
      </c>
      <c r="W601" s="68">
        <f>IF(Table5[[#This Row],[posRnk]]=999,9999,Table5[[#This Row],[posRnk]]+Table5[[#This Row],[zRnk]]+IF($W$3&lt;&gt;Table5[[#This Row],[Type]],50,0))</f>
        <v>1521</v>
      </c>
      <c r="X601" s="51">
        <f>RANK(Table5[[#This Row],[zScore]],Table5[[#All],[zScore]])</f>
        <v>621</v>
      </c>
      <c r="Y601" s="50">
        <f>IFERROR(INDEX(DraftResults[[#All],[OVR]],MATCH(Table5[[#This Row],[PID]],DraftResults[[#All],[Player ID]],0)),"")</f>
        <v>664</v>
      </c>
      <c r="Z601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20</v>
      </c>
      <c r="AA601" s="50">
        <f>IFERROR(INDEX(DraftResults[[#All],[Pick in Round]],MATCH(Table5[[#This Row],[PID]],DraftResults[[#All],[Player ID]],0)),"")</f>
        <v>27</v>
      </c>
      <c r="AB601" s="50" t="str">
        <f>IFERROR(INDEX(DraftResults[[#All],[Team Name]],MATCH(Table5[[#This Row],[PID]],DraftResults[[#All],[Player ID]],0)),"")</f>
        <v>Havana Leones</v>
      </c>
      <c r="AC601" s="50">
        <f>IF(Table5[[#This Row],[Ovr]]="","",IF(Table5[[#This Row],[cmbList]]="","",Table5[[#This Row],[cmbList]]-Table5[[#This Row],[Ovr]]))</f>
        <v>857</v>
      </c>
      <c r="AD601" s="54" t="str">
        <f>IF(ISERROR(VLOOKUP($AB601&amp;"-"&amp;$E601&amp;" "&amp;F601,Bonuses!$B$1:$G$1006,4,FALSE)),"",INT(VLOOKUP($AB601&amp;"-"&amp;$E601&amp;" "&amp;$F601,Bonuses!$B$1:$G$1006,4,FALSE)))</f>
        <v/>
      </c>
      <c r="AE601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20.27 (664) - RP Juichi Suzuki</v>
      </c>
    </row>
    <row r="602" spans="1:31" s="50" customFormat="1" x14ac:dyDescent="0.3">
      <c r="A602" s="50">
        <v>14853</v>
      </c>
      <c r="B602" s="50">
        <f>COUNTIF(Table5[PID],A602)</f>
        <v>1</v>
      </c>
      <c r="C602" s="50" t="str">
        <f>IF(COUNTIF(Table3[[#All],[PID]],A602)&gt;0,"P","B")</f>
        <v>P</v>
      </c>
      <c r="D602" s="59" t="str">
        <f>IF($C602="B",INDEX(Batters[[#All],[POS]],MATCH(Table5[[#This Row],[PID]],Batters[[#All],[PID]],0)),INDEX(Table3[[#All],[POS]],MATCH(Table5[[#This Row],[PID]],Table3[[#All],[PID]],0)))</f>
        <v>SP</v>
      </c>
      <c r="E602" s="52" t="str">
        <f>IF($C602="B",INDEX(Batters[[#All],[First]],MATCH(Table5[[#This Row],[PID]],Batters[[#All],[PID]],0)),INDEX(Table3[[#All],[First]],MATCH(Table5[[#This Row],[PID]],Table3[[#All],[PID]],0)))</f>
        <v>Kevin</v>
      </c>
      <c r="F602" s="50" t="str">
        <f>IF($C602="B",INDEX(Batters[[#All],[Last]],MATCH(A602,Batters[[#All],[PID]],0)),INDEX(Table3[[#All],[Last]],MATCH(A602,Table3[[#All],[PID]],0)))</f>
        <v>Benjamin</v>
      </c>
      <c r="G602" s="56">
        <f>IF($C602="B",INDEX(Batters[[#All],[Age]],MATCH(Table5[[#This Row],[PID]],Batters[[#All],[PID]],0)),INDEX(Table3[[#All],[Age]],MATCH(Table5[[#This Row],[PID]],Table3[[#All],[PID]],0)))</f>
        <v>21</v>
      </c>
      <c r="H602" s="52" t="str">
        <f>IF($C602="B",INDEX(Batters[[#All],[B]],MATCH(Table5[[#This Row],[PID]],Batters[[#All],[PID]],0)),INDEX(Table3[[#All],[B]],MATCH(Table5[[#This Row],[PID]],Table3[[#All],[PID]],0)))</f>
        <v>R</v>
      </c>
      <c r="I602" s="52" t="str">
        <f>IF($C602="B",INDEX(Batters[[#All],[T]],MATCH(Table5[[#This Row],[PID]],Batters[[#All],[PID]],0)),INDEX(Table3[[#All],[T]],MATCH(Table5[[#This Row],[PID]],Table3[[#All],[PID]],0)))</f>
        <v>R</v>
      </c>
      <c r="J602" s="52" t="str">
        <f>IF($C602="B",INDEX(Batters[[#All],[WE]],MATCH(Table5[[#This Row],[PID]],Batters[[#All],[PID]],0)),INDEX(Table3[[#All],[WE]],MATCH(Table5[[#This Row],[PID]],Table3[[#All],[PID]],0)))</f>
        <v>Low</v>
      </c>
      <c r="K602" s="52" t="str">
        <f>IF($C602="B",INDEX(Batters[[#All],[INT]],MATCH(Table5[[#This Row],[PID]],Batters[[#All],[PID]],0)),INDEX(Table3[[#All],[INT]],MATCH(Table5[[#This Row],[PID]],Table3[[#All],[PID]],0)))</f>
        <v>Normal</v>
      </c>
      <c r="L602" s="60">
        <f>IF($C602="B",INDEX(Batters[[#All],[CON P]],MATCH(Table5[[#This Row],[PID]],Batters[[#All],[PID]],0)),INDEX(Table3[[#All],[STU P]],MATCH(Table5[[#This Row],[PID]],Table3[[#All],[PID]],0)))</f>
        <v>4</v>
      </c>
      <c r="M602" s="56">
        <f>IF($C602="B",INDEX(Batters[[#All],[GAP P]],MATCH(Table5[[#This Row],[PID]],Batters[[#All],[PID]],0)),INDEX(Table3[[#All],[MOV P]],MATCH(Table5[[#This Row],[PID]],Table3[[#All],[PID]],0)))</f>
        <v>2</v>
      </c>
      <c r="N602" s="56">
        <f>IF($C602="B",INDEX(Batters[[#All],[POW P]],MATCH(Table5[[#This Row],[PID]],Batters[[#All],[PID]],0)),INDEX(Table3[[#All],[CON P]],MATCH(Table5[[#This Row],[PID]],Table3[[#All],[PID]],0)))</f>
        <v>3</v>
      </c>
      <c r="O602" s="56" t="str">
        <f>IF($C602="B",INDEX(Batters[[#All],[EYE P]],MATCH(Table5[[#This Row],[PID]],Batters[[#All],[PID]],0)),INDEX(Table3[[#All],[VELO]],MATCH(Table5[[#This Row],[PID]],Table3[[#All],[PID]],0)))</f>
        <v>91-93 Mph</v>
      </c>
      <c r="P602" s="56">
        <f>IF($C602="B",INDEX(Batters[[#All],[K P]],MATCH(Table5[[#This Row],[PID]],Batters[[#All],[PID]],0)),INDEX(Table3[[#All],[STM]],MATCH(Table5[[#This Row],[PID]],Table3[[#All],[PID]],0)))</f>
        <v>9</v>
      </c>
      <c r="Q602" s="61">
        <f>IF($C602="B",INDEX(Batters[[#All],[Tot]],MATCH(Table5[[#This Row],[PID]],Batters[[#All],[PID]],0)),INDEX(Table3[[#All],[Tot]],MATCH(Table5[[#This Row],[PID]],Table3[[#All],[PID]],0)))</f>
        <v>30.400874457299729</v>
      </c>
      <c r="R602" s="52">
        <f>IF($C602="B",INDEX(Batters[[#All],[zScore]],MATCH(Table5[[#This Row],[PID]],Batters[[#All],[PID]],0)),INDEX(Table3[[#All],[zScore]],MATCH(Table5[[#This Row],[PID]],Table3[[#All],[PID]],0)))</f>
        <v>-0.52705367434152439</v>
      </c>
      <c r="S602" s="58" t="str">
        <f>IF($C602="B",INDEX(Batters[[#All],[DEM]],MATCH(Table5[[#This Row],[PID]],Batters[[#All],[PID]],0)),INDEX(Table3[[#All],[DEM]],MATCH(Table5[[#This Row],[PID]],Table3[[#All],[PID]],0)))</f>
        <v>-</v>
      </c>
      <c r="T602" s="62">
        <f>IF($C602="B",INDEX(Batters[[#All],[Rnk]],MATCH(Table5[[#This Row],[PID]],Batters[[#All],[PID]],0)),INDEX(Table3[[#All],[Rnk]],MATCH(Table5[[#This Row],[PID]],Table3[[#All],[PID]],0)))</f>
        <v>930</v>
      </c>
      <c r="U602" s="67">
        <f>IF($C602="B",VLOOKUP($A602,Bat!$A$4:$BA$1314,47,FALSE),VLOOKUP($A602,Pit!$A$4:$BF$1214,56,FALSE))</f>
        <v>329</v>
      </c>
      <c r="V602" s="50">
        <f>IF($C602="B",VLOOKUP($A602,Bat!$A$4:$BA$1314,48,FALSE),VLOOKUP($A602,Pit!$A$4:$BF$1214,57,FALSE))</f>
        <v>0</v>
      </c>
      <c r="W602" s="68">
        <f>IF(Table5[[#This Row],[posRnk]]=999,9999,Table5[[#This Row],[posRnk]]+Table5[[#This Row],[zRnk]]+IF($W$3&lt;&gt;Table5[[#This Row],[Type]],50,0))</f>
        <v>1521</v>
      </c>
      <c r="X602" s="51">
        <f>RANK(Table5[[#This Row],[zScore]],Table5[[#All],[zScore]])</f>
        <v>591</v>
      </c>
      <c r="Y602" s="50">
        <f>IFERROR(INDEX(DraftResults[[#All],[OVR]],MATCH(Table5[[#This Row],[PID]],DraftResults[[#All],[Player ID]],0)),"")</f>
        <v>292</v>
      </c>
      <c r="Z602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9</v>
      </c>
      <c r="AA602" s="50">
        <f>IFERROR(INDEX(DraftResults[[#All],[Pick in Round]],MATCH(Table5[[#This Row],[PID]],DraftResults[[#All],[Player ID]],0)),"")</f>
        <v>27</v>
      </c>
      <c r="AB602" s="50" t="str">
        <f>IFERROR(INDEX(DraftResults[[#All],[Team Name]],MATCH(Table5[[#This Row],[PID]],DraftResults[[#All],[Player ID]],0)),"")</f>
        <v>Havana Leones</v>
      </c>
      <c r="AC602" s="50">
        <f>IF(Table5[[#This Row],[Ovr]]="","",IF(Table5[[#This Row],[cmbList]]="","",Table5[[#This Row],[cmbList]]-Table5[[#This Row],[Ovr]]))</f>
        <v>1229</v>
      </c>
      <c r="AD602" s="54" t="str">
        <f>IF(ISERROR(VLOOKUP($AB602&amp;"-"&amp;$E602&amp;" "&amp;F602,Bonuses!$B$1:$G$1006,4,FALSE)),"",INT(VLOOKUP($AB602&amp;"-"&amp;$E602&amp;" "&amp;$F602,Bonuses!$B$1:$G$1006,4,FALSE)))</f>
        <v/>
      </c>
      <c r="AE602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9.27 (292) - SP Kevin Benjamin</v>
      </c>
    </row>
    <row r="603" spans="1:31" s="50" customFormat="1" x14ac:dyDescent="0.3">
      <c r="A603" s="50">
        <v>10863</v>
      </c>
      <c r="B603" s="50">
        <f>COUNTIF(Table5[PID],A603)</f>
        <v>1</v>
      </c>
      <c r="C603" s="50" t="str">
        <f>IF(COUNTIF(Table3[[#All],[PID]],A603)&gt;0,"P","B")</f>
        <v>P</v>
      </c>
      <c r="D603" s="59" t="str">
        <f>IF($C603="B",INDEX(Batters[[#All],[POS]],MATCH(Table5[[#This Row],[PID]],Batters[[#All],[PID]],0)),INDEX(Table3[[#All],[POS]],MATCH(Table5[[#This Row],[PID]],Table3[[#All],[PID]],0)))</f>
        <v>SP</v>
      </c>
      <c r="E603" s="52" t="str">
        <f>IF($C603="B",INDEX(Batters[[#All],[First]],MATCH(Table5[[#This Row],[PID]],Batters[[#All],[PID]],0)),INDEX(Table3[[#All],[First]],MATCH(Table5[[#This Row],[PID]],Table3[[#All],[PID]],0)))</f>
        <v>Taro</v>
      </c>
      <c r="F603" s="50" t="str">
        <f>IF($C603="B",INDEX(Batters[[#All],[Last]],MATCH(A603,Batters[[#All],[PID]],0)),INDEX(Table3[[#All],[Last]],MATCH(A603,Table3[[#All],[PID]],0)))</f>
        <v>Miyata</v>
      </c>
      <c r="G603" s="56">
        <f>IF($C603="B",INDEX(Batters[[#All],[Age]],MATCH(Table5[[#This Row],[PID]],Batters[[#All],[PID]],0)),INDEX(Table3[[#All],[Age]],MATCH(Table5[[#This Row],[PID]],Table3[[#All],[PID]],0)))</f>
        <v>21</v>
      </c>
      <c r="H603" s="52" t="str">
        <f>IF($C603="B",INDEX(Batters[[#All],[B]],MATCH(Table5[[#This Row],[PID]],Batters[[#All],[PID]],0)),INDEX(Table3[[#All],[B]],MATCH(Table5[[#This Row],[PID]],Table3[[#All],[PID]],0)))</f>
        <v>L</v>
      </c>
      <c r="I603" s="52" t="str">
        <f>IF($C603="B",INDEX(Batters[[#All],[T]],MATCH(Table5[[#This Row],[PID]],Batters[[#All],[PID]],0)),INDEX(Table3[[#All],[T]],MATCH(Table5[[#This Row],[PID]],Table3[[#All],[PID]],0)))</f>
        <v>L</v>
      </c>
      <c r="J603" s="52" t="str">
        <f>IF($C603="B",INDEX(Batters[[#All],[WE]],MATCH(Table5[[#This Row],[PID]],Batters[[#All],[PID]],0)),INDEX(Table3[[#All],[WE]],MATCH(Table5[[#This Row],[PID]],Table3[[#All],[PID]],0)))</f>
        <v>Normal</v>
      </c>
      <c r="K603" s="52" t="str">
        <f>IF($C603="B",INDEX(Batters[[#All],[INT]],MATCH(Table5[[#This Row],[PID]],Batters[[#All],[PID]],0)),INDEX(Table3[[#All],[INT]],MATCH(Table5[[#This Row],[PID]],Table3[[#All],[PID]],0)))</f>
        <v>Normal</v>
      </c>
      <c r="L603" s="60">
        <f>IF($C603="B",INDEX(Batters[[#All],[CON P]],MATCH(Table5[[#This Row],[PID]],Batters[[#All],[PID]],0)),INDEX(Table3[[#All],[STU P]],MATCH(Table5[[#This Row],[PID]],Table3[[#All],[PID]],0)))</f>
        <v>4</v>
      </c>
      <c r="M603" s="56">
        <f>IF($C603="B",INDEX(Batters[[#All],[GAP P]],MATCH(Table5[[#This Row],[PID]],Batters[[#All],[PID]],0)),INDEX(Table3[[#All],[MOV P]],MATCH(Table5[[#This Row],[PID]],Table3[[#All],[PID]],0)))</f>
        <v>2</v>
      </c>
      <c r="N603" s="56">
        <f>IF($C603="B",INDEX(Batters[[#All],[POW P]],MATCH(Table5[[#This Row],[PID]],Batters[[#All],[PID]],0)),INDEX(Table3[[#All],[CON P]],MATCH(Table5[[#This Row],[PID]],Table3[[#All],[PID]],0)))</f>
        <v>3</v>
      </c>
      <c r="O603" s="56" t="str">
        <f>IF($C603="B",INDEX(Batters[[#All],[EYE P]],MATCH(Table5[[#This Row],[PID]],Batters[[#All],[PID]],0)),INDEX(Table3[[#All],[VELO]],MATCH(Table5[[#This Row],[PID]],Table3[[#All],[PID]],0)))</f>
        <v>88-90 Mph</v>
      </c>
      <c r="P603" s="56">
        <f>IF($C603="B",INDEX(Batters[[#All],[K P]],MATCH(Table5[[#This Row],[PID]],Batters[[#All],[PID]],0)),INDEX(Table3[[#All],[STM]],MATCH(Table5[[#This Row],[PID]],Table3[[#All],[PID]],0)))</f>
        <v>9</v>
      </c>
      <c r="Q603" s="61">
        <f>IF($C603="B",INDEX(Batters[[#All],[Tot]],MATCH(Table5[[#This Row],[PID]],Batters[[#All],[PID]],0)),INDEX(Table3[[#All],[Tot]],MATCH(Table5[[#This Row],[PID]],Table3[[#All],[PID]],0)))</f>
        <v>29.411936192397896</v>
      </c>
      <c r="R603" s="52">
        <f>IF($C603="B",INDEX(Batters[[#All],[zScore]],MATCH(Table5[[#This Row],[PID]],Batters[[#All],[PID]],0)),INDEX(Table3[[#All],[zScore]],MATCH(Table5[[#This Row],[PID]],Table3[[#All],[PID]],0)))</f>
        <v>-0.59747303387973261</v>
      </c>
      <c r="S603" s="58" t="str">
        <f>IF($C603="B",INDEX(Batters[[#All],[DEM]],MATCH(Table5[[#This Row],[PID]],Batters[[#All],[PID]],0)),INDEX(Table3[[#All],[DEM]],MATCH(Table5[[#This Row],[PID]],Table3[[#All],[PID]],0)))</f>
        <v>-</v>
      </c>
      <c r="T603" s="62">
        <f>IF($C603="B",INDEX(Batters[[#All],[Rnk]],MATCH(Table5[[#This Row],[PID]],Batters[[#All],[PID]],0)),INDEX(Table3[[#All],[Rnk]],MATCH(Table5[[#This Row],[PID]],Table3[[#All],[PID]],0)))</f>
        <v>900</v>
      </c>
      <c r="U603" s="67">
        <f>IF($C603="B",VLOOKUP($A603,Bat!$A$4:$BA$1314,47,FALSE),VLOOKUP($A603,Pit!$A$4:$BF$1214,56,FALSE))</f>
        <v>207</v>
      </c>
      <c r="V603" s="50">
        <f>IF($C603="B",VLOOKUP($A603,Bat!$A$4:$BA$1314,48,FALSE),VLOOKUP($A603,Pit!$A$4:$BF$1214,57,FALSE))</f>
        <v>0</v>
      </c>
      <c r="W603" s="68">
        <f>IF(Table5[[#This Row],[posRnk]]=999,9999,Table5[[#This Row],[posRnk]]+Table5[[#This Row],[zRnk]]+IF($W$3&lt;&gt;Table5[[#This Row],[Type]],50,0))</f>
        <v>1522</v>
      </c>
      <c r="X603" s="51">
        <f>RANK(Table5[[#This Row],[zScore]],Table5[[#All],[zScore]])</f>
        <v>622</v>
      </c>
      <c r="Y603" s="50">
        <f>IFERROR(INDEX(DraftResults[[#All],[OVR]],MATCH(Table5[[#This Row],[PID]],DraftResults[[#All],[Player ID]],0)),"")</f>
        <v>402</v>
      </c>
      <c r="Z603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13</v>
      </c>
      <c r="AA603" s="50">
        <f>IFERROR(INDEX(DraftResults[[#All],[Pick in Round]],MATCH(Table5[[#This Row],[PID]],DraftResults[[#All],[Player ID]],0)),"")</f>
        <v>3</v>
      </c>
      <c r="AB603" s="50" t="str">
        <f>IFERROR(INDEX(DraftResults[[#All],[Team Name]],MATCH(Table5[[#This Row],[PID]],DraftResults[[#All],[Player ID]],0)),"")</f>
        <v>Okinawa Shisa</v>
      </c>
      <c r="AC603" s="50">
        <f>IF(Table5[[#This Row],[Ovr]]="","",IF(Table5[[#This Row],[cmbList]]="","",Table5[[#This Row],[cmbList]]-Table5[[#This Row],[Ovr]]))</f>
        <v>1120</v>
      </c>
      <c r="AD603" s="54" t="str">
        <f>IF(ISERROR(VLOOKUP($AB603&amp;"-"&amp;$E603&amp;" "&amp;F603,Bonuses!$B$1:$G$1006,4,FALSE)),"",INT(VLOOKUP($AB603&amp;"-"&amp;$E603&amp;" "&amp;$F603,Bonuses!$B$1:$G$1006,4,FALSE)))</f>
        <v/>
      </c>
      <c r="AE603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13.3 (402) - SP Taro Miyata</v>
      </c>
    </row>
    <row r="604" spans="1:31" s="50" customFormat="1" x14ac:dyDescent="0.3">
      <c r="A604" s="67">
        <v>15124</v>
      </c>
      <c r="B604" s="68">
        <f>COUNTIF(Table5[PID],A604)</f>
        <v>1</v>
      </c>
      <c r="C604" s="68" t="str">
        <f>IF(COUNTIF(Table3[[#All],[PID]],A604)&gt;0,"P","B")</f>
        <v>B</v>
      </c>
      <c r="D604" s="59" t="str">
        <f>IF($C604="B",INDEX(Batters[[#All],[POS]],MATCH(Table5[[#This Row],[PID]],Batters[[#All],[PID]],0)),INDEX(Table3[[#All],[POS]],MATCH(Table5[[#This Row],[PID]],Table3[[#All],[PID]],0)))</f>
        <v>C</v>
      </c>
      <c r="E604" s="52" t="str">
        <f>IF($C604="B",INDEX(Batters[[#All],[First]],MATCH(Table5[[#This Row],[PID]],Batters[[#All],[PID]],0)),INDEX(Table3[[#All],[First]],MATCH(Table5[[#This Row],[PID]],Table3[[#All],[PID]],0)))</f>
        <v>Dylan</v>
      </c>
      <c r="F604" s="55" t="str">
        <f>IF($C604="B",INDEX(Batters[[#All],[Last]],MATCH(A604,Batters[[#All],[PID]],0)),INDEX(Table3[[#All],[Last]],MATCH(A604,Table3[[#All],[PID]],0)))</f>
        <v>MacIlroy</v>
      </c>
      <c r="G604" s="56">
        <f>IF($C604="B",INDEX(Batters[[#All],[Age]],MATCH(Table5[[#This Row],[PID]],Batters[[#All],[PID]],0)),INDEX(Table3[[#All],[Age]],MATCH(Table5[[#This Row],[PID]],Table3[[#All],[PID]],0)))</f>
        <v>21</v>
      </c>
      <c r="H604" s="52" t="str">
        <f>IF($C604="B",INDEX(Batters[[#All],[B]],MATCH(Table5[[#This Row],[PID]],Batters[[#All],[PID]],0)),INDEX(Table3[[#All],[B]],MATCH(Table5[[#This Row],[PID]],Table3[[#All],[PID]],0)))</f>
        <v>R</v>
      </c>
      <c r="I604" s="52" t="str">
        <f>IF($C604="B",INDEX(Batters[[#All],[T]],MATCH(Table5[[#This Row],[PID]],Batters[[#All],[PID]],0)),INDEX(Table3[[#All],[T]],MATCH(Table5[[#This Row],[PID]],Table3[[#All],[PID]],0)))</f>
        <v>R</v>
      </c>
      <c r="J604" s="69" t="str">
        <f>IF($C604="B",INDEX(Batters[[#All],[WE]],MATCH(Table5[[#This Row],[PID]],Batters[[#All],[PID]],0)),INDEX(Table3[[#All],[WE]],MATCH(Table5[[#This Row],[PID]],Table3[[#All],[PID]],0)))</f>
        <v>Low</v>
      </c>
      <c r="K604" s="52" t="str">
        <f>IF($C604="B",INDEX(Batters[[#All],[INT]],MATCH(Table5[[#This Row],[PID]],Batters[[#All],[PID]],0)),INDEX(Table3[[#All],[INT]],MATCH(Table5[[#This Row],[PID]],Table3[[#All],[PID]],0)))</f>
        <v>Normal</v>
      </c>
      <c r="L604" s="60">
        <f>IF($C604="B",INDEX(Batters[[#All],[CON P]],MATCH(Table5[[#This Row],[PID]],Batters[[#All],[PID]],0)),INDEX(Table3[[#All],[STU P]],MATCH(Table5[[#This Row],[PID]],Table3[[#All],[PID]],0)))</f>
        <v>3</v>
      </c>
      <c r="M604" s="70">
        <f>IF($C604="B",INDEX(Batters[[#All],[GAP P]],MATCH(Table5[[#This Row],[PID]],Batters[[#All],[PID]],0)),INDEX(Table3[[#All],[MOV P]],MATCH(Table5[[#This Row],[PID]],Table3[[#All],[PID]],0)))</f>
        <v>4</v>
      </c>
      <c r="N604" s="70">
        <f>IF($C604="B",INDEX(Batters[[#All],[POW P]],MATCH(Table5[[#This Row],[PID]],Batters[[#All],[PID]],0)),INDEX(Table3[[#All],[CON P]],MATCH(Table5[[#This Row],[PID]],Table3[[#All],[PID]],0)))</f>
        <v>4</v>
      </c>
      <c r="O604" s="70">
        <f>IF($C604="B",INDEX(Batters[[#All],[EYE P]],MATCH(Table5[[#This Row],[PID]],Batters[[#All],[PID]],0)),INDEX(Table3[[#All],[VELO]],MATCH(Table5[[#This Row],[PID]],Table3[[#All],[PID]],0)))</f>
        <v>6</v>
      </c>
      <c r="P604" s="56">
        <f>IF($C604="B",INDEX(Batters[[#All],[K P]],MATCH(Table5[[#This Row],[PID]],Batters[[#All],[PID]],0)),INDEX(Table3[[#All],[STM]],MATCH(Table5[[#This Row],[PID]],Table3[[#All],[PID]],0)))</f>
        <v>3</v>
      </c>
      <c r="Q604" s="61">
        <f>IF($C604="B",INDEX(Batters[[#All],[Tot]],MATCH(Table5[[#This Row],[PID]],Batters[[#All],[PID]],0)),INDEX(Table3[[#All],[Tot]],MATCH(Table5[[#This Row],[PID]],Table3[[#All],[PID]],0)))</f>
        <v>39.564035923658054</v>
      </c>
      <c r="R604" s="52">
        <f>IF($C604="B",INDEX(Batters[[#All],[zScore]],MATCH(Table5[[#This Row],[PID]],Batters[[#All],[PID]],0)),INDEX(Table3[[#All],[zScore]],MATCH(Table5[[#This Row],[PID]],Table3[[#All],[PID]],0)))</f>
        <v>-0.53343383483185247</v>
      </c>
      <c r="S604" s="75" t="str">
        <f>IF($C604="B",INDEX(Batters[[#All],[DEM]],MATCH(Table5[[#This Row],[PID]],Batters[[#All],[PID]],0)),INDEX(Table3[[#All],[DEM]],MATCH(Table5[[#This Row],[PID]],Table3[[#All],[PID]],0)))</f>
        <v>$80k</v>
      </c>
      <c r="T604" s="72">
        <f>IF($C604="B",INDEX(Batters[[#All],[Rnk]],MATCH(Table5[[#This Row],[PID]],Batters[[#All],[PID]],0)),INDEX(Table3[[#All],[Rnk]],MATCH(Table5[[#This Row],[PID]],Table3[[#All],[PID]],0)))</f>
        <v>930</v>
      </c>
      <c r="U604" s="67">
        <f>IF($C604="B",VLOOKUP($A604,Bat!$A$4:$BA$1314,47,FALSE),VLOOKUP($A604,Pit!$A$4:$BF$1214,56,FALSE))</f>
        <v>349</v>
      </c>
      <c r="V604" s="50">
        <f>IF($C604="B",VLOOKUP($A604,Bat!$A$4:$BA$1314,48,FALSE),VLOOKUP($A604,Pit!$A$4:$BF$1214,57,FALSE))</f>
        <v>0</v>
      </c>
      <c r="W604" s="68">
        <f>IF(Table5[[#This Row],[posRnk]]=999,9999,Table5[[#This Row],[posRnk]]+Table5[[#This Row],[zRnk]]+IF($W$3&lt;&gt;Table5[[#This Row],[Type]],50,0))</f>
        <v>1572</v>
      </c>
      <c r="X604" s="71">
        <f>RANK(Table5[[#This Row],[zScore]],Table5[[#All],[zScore]])</f>
        <v>592</v>
      </c>
      <c r="Y604" s="68">
        <f>IFERROR(INDEX(DraftResults[[#All],[OVR]],MATCH(Table5[[#This Row],[PID]],DraftResults[[#All],[Player ID]],0)),"")</f>
        <v>228</v>
      </c>
      <c r="Z604" s="7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7</v>
      </c>
      <c r="AA604" s="68">
        <f>IFERROR(INDEX(DraftResults[[#All],[Pick in Round]],MATCH(Table5[[#This Row],[PID]],DraftResults[[#All],[Player ID]],0)),"")</f>
        <v>27</v>
      </c>
      <c r="AB604" s="68" t="str">
        <f>IFERROR(INDEX(DraftResults[[#All],[Team Name]],MATCH(Table5[[#This Row],[PID]],DraftResults[[#All],[Player ID]],0)),"")</f>
        <v>Havana Leones</v>
      </c>
      <c r="AC604" s="68">
        <f>IF(Table5[[#This Row],[Ovr]]="","",IF(Table5[[#This Row],[cmbList]]="","",Table5[[#This Row],[cmbList]]-Table5[[#This Row],[Ovr]]))</f>
        <v>1344</v>
      </c>
      <c r="AD604" s="74" t="str">
        <f>IF(ISERROR(VLOOKUP($AB604&amp;"-"&amp;$E604&amp;" "&amp;F604,Bonuses!$B$1:$G$1006,4,FALSE)),"",INT(VLOOKUP($AB604&amp;"-"&amp;$E604&amp;" "&amp;$F604,Bonuses!$B$1:$G$1006,4,FALSE)))</f>
        <v/>
      </c>
      <c r="AE604" s="68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7.27 (228) - C Dylan MacIlroy</v>
      </c>
    </row>
    <row r="605" spans="1:31" s="50" customFormat="1" x14ac:dyDescent="0.3">
      <c r="A605" s="50">
        <v>13960</v>
      </c>
      <c r="B605" s="50">
        <f>COUNTIF(Table5[PID],A605)</f>
        <v>1</v>
      </c>
      <c r="C605" s="50" t="str">
        <f>IF(COUNTIF(Table3[[#All],[PID]],A605)&gt;0,"P","B")</f>
        <v>B</v>
      </c>
      <c r="D605" s="59" t="str">
        <f>IF($C605="B",INDEX(Batters[[#All],[POS]],MATCH(Table5[[#This Row],[PID]],Batters[[#All],[PID]],0)),INDEX(Table3[[#All],[POS]],MATCH(Table5[[#This Row],[PID]],Table3[[#All],[PID]],0)))</f>
        <v>1B</v>
      </c>
      <c r="E605" s="52" t="str">
        <f>IF($C605="B",INDEX(Batters[[#All],[First]],MATCH(Table5[[#This Row],[PID]],Batters[[#All],[PID]],0)),INDEX(Table3[[#All],[First]],MATCH(Table5[[#This Row],[PID]],Table3[[#All],[PID]],0)))</f>
        <v>José</v>
      </c>
      <c r="F605" s="50" t="str">
        <f>IF($C605="B",INDEX(Batters[[#All],[Last]],MATCH(A605,Batters[[#All],[PID]],0)),INDEX(Table3[[#All],[Last]],MATCH(A605,Table3[[#All],[PID]],0)))</f>
        <v>Rosado</v>
      </c>
      <c r="G605" s="56">
        <f>IF($C605="B",INDEX(Batters[[#All],[Age]],MATCH(Table5[[#This Row],[PID]],Batters[[#All],[PID]],0)),INDEX(Table3[[#All],[Age]],MATCH(Table5[[#This Row],[PID]],Table3[[#All],[PID]],0)))</f>
        <v>21</v>
      </c>
      <c r="H605" s="52" t="str">
        <f>IF($C605="B",INDEX(Batters[[#All],[B]],MATCH(Table5[[#This Row],[PID]],Batters[[#All],[PID]],0)),INDEX(Table3[[#All],[B]],MATCH(Table5[[#This Row],[PID]],Table3[[#All],[PID]],0)))</f>
        <v>R</v>
      </c>
      <c r="I605" s="52" t="str">
        <f>IF($C605="B",INDEX(Batters[[#All],[T]],MATCH(Table5[[#This Row],[PID]],Batters[[#All],[PID]],0)),INDEX(Table3[[#All],[T]],MATCH(Table5[[#This Row],[PID]],Table3[[#All],[PID]],0)))</f>
        <v>R</v>
      </c>
      <c r="J605" s="52" t="str">
        <f>IF($C605="B",INDEX(Batters[[#All],[WE]],MATCH(Table5[[#This Row],[PID]],Batters[[#All],[PID]],0)),INDEX(Table3[[#All],[WE]],MATCH(Table5[[#This Row],[PID]],Table3[[#All],[PID]],0)))</f>
        <v>High</v>
      </c>
      <c r="K605" s="52" t="str">
        <f>IF($C605="B",INDEX(Batters[[#All],[INT]],MATCH(Table5[[#This Row],[PID]],Batters[[#All],[PID]],0)),INDEX(Table3[[#All],[INT]],MATCH(Table5[[#This Row],[PID]],Table3[[#All],[PID]],0)))</f>
        <v>Normal</v>
      </c>
      <c r="L605" s="60">
        <f>IF($C605="B",INDEX(Batters[[#All],[CON P]],MATCH(Table5[[#This Row],[PID]],Batters[[#All],[PID]],0)),INDEX(Table3[[#All],[STU P]],MATCH(Table5[[#This Row],[PID]],Table3[[#All],[PID]],0)))</f>
        <v>4</v>
      </c>
      <c r="M605" s="56">
        <f>IF($C605="B",INDEX(Batters[[#All],[GAP P]],MATCH(Table5[[#This Row],[PID]],Batters[[#All],[PID]],0)),INDEX(Table3[[#All],[MOV P]],MATCH(Table5[[#This Row],[PID]],Table3[[#All],[PID]],0)))</f>
        <v>4</v>
      </c>
      <c r="N605" s="56">
        <f>IF($C605="B",INDEX(Batters[[#All],[POW P]],MATCH(Table5[[#This Row],[PID]],Batters[[#All],[PID]],0)),INDEX(Table3[[#All],[CON P]],MATCH(Table5[[#This Row],[PID]],Table3[[#All],[PID]],0)))</f>
        <v>2</v>
      </c>
      <c r="O605" s="56">
        <f>IF($C605="B",INDEX(Batters[[#All],[EYE P]],MATCH(Table5[[#This Row],[PID]],Batters[[#All],[PID]],0)),INDEX(Table3[[#All],[VELO]],MATCH(Table5[[#This Row],[PID]],Table3[[#All],[PID]],0)))</f>
        <v>4</v>
      </c>
      <c r="P605" s="56">
        <f>IF($C605="B",INDEX(Batters[[#All],[K P]],MATCH(Table5[[#This Row],[PID]],Batters[[#All],[PID]],0)),INDEX(Table3[[#All],[STM]],MATCH(Table5[[#This Row],[PID]],Table3[[#All],[PID]],0)))</f>
        <v>4</v>
      </c>
      <c r="Q605" s="61">
        <f>IF($C605="B",INDEX(Batters[[#All],[Tot]],MATCH(Table5[[#This Row],[PID]],Batters[[#All],[PID]],0)),INDEX(Table3[[#All],[Tot]],MATCH(Table5[[#This Row],[PID]],Table3[[#All],[PID]],0)))</f>
        <v>39.110227496631801</v>
      </c>
      <c r="R605" s="52">
        <f>IF($C605="B",INDEX(Batters[[#All],[zScore]],MATCH(Table5[[#This Row],[PID]],Batters[[#All],[PID]],0)),INDEX(Table3[[#All],[zScore]],MATCH(Table5[[#This Row],[PID]],Table3[[#All],[PID]],0)))</f>
        <v>-0.59967539306682216</v>
      </c>
      <c r="S605" s="58" t="str">
        <f>IF($C605="B",INDEX(Batters[[#All],[DEM]],MATCH(Table5[[#This Row],[PID]],Batters[[#All],[PID]],0)),INDEX(Table3[[#All],[DEM]],MATCH(Table5[[#This Row],[PID]],Table3[[#All],[PID]],0)))</f>
        <v>-</v>
      </c>
      <c r="T605" s="62">
        <f>IF($C605="B",INDEX(Batters[[#All],[Rnk]],MATCH(Table5[[#This Row],[PID]],Batters[[#All],[PID]],0)),INDEX(Table3[[#All],[Rnk]],MATCH(Table5[[#This Row],[PID]],Table3[[#All],[PID]],0)))</f>
        <v>900</v>
      </c>
      <c r="U605" s="67">
        <f>IF($C605="B",VLOOKUP($A605,Bat!$A$4:$BA$1314,47,FALSE),VLOOKUP($A605,Pit!$A$4:$BF$1214,56,FALSE))</f>
        <v>214</v>
      </c>
      <c r="V605" s="50">
        <f>IF($C605="B",VLOOKUP($A605,Bat!$A$4:$BA$1314,48,FALSE),VLOOKUP($A605,Pit!$A$4:$BF$1214,57,FALSE))</f>
        <v>0</v>
      </c>
      <c r="W605" s="68">
        <f>IF(Table5[[#This Row],[posRnk]]=999,9999,Table5[[#This Row],[posRnk]]+Table5[[#This Row],[zRnk]]+IF($W$3&lt;&gt;Table5[[#This Row],[Type]],50,0))</f>
        <v>1573</v>
      </c>
      <c r="X605" s="51">
        <f>RANK(Table5[[#This Row],[zScore]],Table5[[#All],[zScore]])</f>
        <v>623</v>
      </c>
      <c r="Y605" s="50">
        <f>IFERROR(INDEX(DraftResults[[#All],[OVR]],MATCH(Table5[[#This Row],[PID]],DraftResults[[#All],[Player ID]],0)),"")</f>
        <v>507</v>
      </c>
      <c r="Z605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16</v>
      </c>
      <c r="AA605" s="50">
        <f>IFERROR(INDEX(DraftResults[[#All],[Pick in Round]],MATCH(Table5[[#This Row],[PID]],DraftResults[[#All],[Player ID]],0)),"")</f>
        <v>6</v>
      </c>
      <c r="AB605" s="50" t="str">
        <f>IFERROR(INDEX(DraftResults[[#All],[Team Name]],MATCH(Table5[[#This Row],[PID]],DraftResults[[#All],[Player ID]],0)),"")</f>
        <v>New Orleans Trendsetters</v>
      </c>
      <c r="AC605" s="50">
        <f>IF(Table5[[#This Row],[Ovr]]="","",IF(Table5[[#This Row],[cmbList]]="","",Table5[[#This Row],[cmbList]]-Table5[[#This Row],[Ovr]]))</f>
        <v>1066</v>
      </c>
      <c r="AD605" s="54" t="str">
        <f>IF(ISERROR(VLOOKUP($AB605&amp;"-"&amp;$E605&amp;" "&amp;F605,Bonuses!$B$1:$G$1006,4,FALSE)),"",INT(VLOOKUP($AB605&amp;"-"&amp;$E605&amp;" "&amp;$F605,Bonuses!$B$1:$G$1006,4,FALSE)))</f>
        <v/>
      </c>
      <c r="AE605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16.6 (507) - 1B José Rosado</v>
      </c>
    </row>
    <row r="606" spans="1:31" s="50" customFormat="1" x14ac:dyDescent="0.3">
      <c r="A606" s="50">
        <v>11947</v>
      </c>
      <c r="B606" s="50">
        <f>COUNTIF(Table5[PID],A606)</f>
        <v>1</v>
      </c>
      <c r="C606" s="50" t="str">
        <f>IF(COUNTIF(Table3[[#All],[PID]],A606)&gt;0,"P","B")</f>
        <v>P</v>
      </c>
      <c r="D606" s="59" t="str">
        <f>IF($C606="B",INDEX(Batters[[#All],[POS]],MATCH(Table5[[#This Row],[PID]],Batters[[#All],[PID]],0)),INDEX(Table3[[#All],[POS]],MATCH(Table5[[#This Row],[PID]],Table3[[#All],[PID]],0)))</f>
        <v>RP</v>
      </c>
      <c r="E606" s="52" t="str">
        <f>IF($C606="B",INDEX(Batters[[#All],[First]],MATCH(Table5[[#This Row],[PID]],Batters[[#All],[PID]],0)),INDEX(Table3[[#All],[First]],MATCH(Table5[[#This Row],[PID]],Table3[[#All],[PID]],0)))</f>
        <v>Félix</v>
      </c>
      <c r="F606" s="50" t="str">
        <f>IF($C606="B",INDEX(Batters[[#All],[Last]],MATCH(A606,Batters[[#All],[PID]],0)),INDEX(Table3[[#All],[Last]],MATCH(A606,Table3[[#All],[PID]],0)))</f>
        <v>Aguilar</v>
      </c>
      <c r="G606" s="56">
        <f>IF($C606="B",INDEX(Batters[[#All],[Age]],MATCH(Table5[[#This Row],[PID]],Batters[[#All],[PID]],0)),INDEX(Table3[[#All],[Age]],MATCH(Table5[[#This Row],[PID]],Table3[[#All],[PID]],0)))</f>
        <v>18</v>
      </c>
      <c r="H606" s="52" t="str">
        <f>IF($C606="B",INDEX(Batters[[#All],[B]],MATCH(Table5[[#This Row],[PID]],Batters[[#All],[PID]],0)),INDEX(Table3[[#All],[B]],MATCH(Table5[[#This Row],[PID]],Table3[[#All],[PID]],0)))</f>
        <v>R</v>
      </c>
      <c r="I606" s="52" t="str">
        <f>IF($C606="B",INDEX(Batters[[#All],[T]],MATCH(Table5[[#This Row],[PID]],Batters[[#All],[PID]],0)),INDEX(Table3[[#All],[T]],MATCH(Table5[[#This Row],[PID]],Table3[[#All],[PID]],0)))</f>
        <v>R</v>
      </c>
      <c r="J606" s="52" t="str">
        <f>IF($C606="B",INDEX(Batters[[#All],[WE]],MATCH(Table5[[#This Row],[PID]],Batters[[#All],[PID]],0)),INDEX(Table3[[#All],[WE]],MATCH(Table5[[#This Row],[PID]],Table3[[#All],[PID]],0)))</f>
        <v>Low</v>
      </c>
      <c r="K606" s="52" t="str">
        <f>IF($C606="B",INDEX(Batters[[#All],[INT]],MATCH(Table5[[#This Row],[PID]],Batters[[#All],[PID]],0)),INDEX(Table3[[#All],[INT]],MATCH(Table5[[#This Row],[PID]],Table3[[#All],[PID]],0)))</f>
        <v>Normal</v>
      </c>
      <c r="L606" s="60">
        <f>IF($C606="B",INDEX(Batters[[#All],[CON P]],MATCH(Table5[[#This Row],[PID]],Batters[[#All],[PID]],0)),INDEX(Table3[[#All],[STU P]],MATCH(Table5[[#This Row],[PID]],Table3[[#All],[PID]],0)))</f>
        <v>4</v>
      </c>
      <c r="M606" s="56">
        <f>IF($C606="B",INDEX(Batters[[#All],[GAP P]],MATCH(Table5[[#This Row],[PID]],Batters[[#All],[PID]],0)),INDEX(Table3[[#All],[MOV P]],MATCH(Table5[[#This Row],[PID]],Table3[[#All],[PID]],0)))</f>
        <v>1</v>
      </c>
      <c r="N606" s="56">
        <f>IF($C606="B",INDEX(Batters[[#All],[POW P]],MATCH(Table5[[#This Row],[PID]],Batters[[#All],[PID]],0)),INDEX(Table3[[#All],[CON P]],MATCH(Table5[[#This Row],[PID]],Table3[[#All],[PID]],0)))</f>
        <v>3</v>
      </c>
      <c r="O606" s="56" t="str">
        <f>IF($C606="B",INDEX(Batters[[#All],[EYE P]],MATCH(Table5[[#This Row],[PID]],Batters[[#All],[PID]],0)),INDEX(Table3[[#All],[VELO]],MATCH(Table5[[#This Row],[PID]],Table3[[#All],[PID]],0)))</f>
        <v>85-87 Mph</v>
      </c>
      <c r="P606" s="56">
        <f>IF($C606="B",INDEX(Batters[[#All],[K P]],MATCH(Table5[[#This Row],[PID]],Batters[[#All],[PID]],0)),INDEX(Table3[[#All],[STM]],MATCH(Table5[[#This Row],[PID]],Table3[[#All],[PID]],0)))</f>
        <v>4</v>
      </c>
      <c r="Q606" s="61">
        <f>IF($C606="B",INDEX(Batters[[#All],[Tot]],MATCH(Table5[[#This Row],[PID]],Batters[[#All],[PID]],0)),INDEX(Table3[[#All],[Tot]],MATCH(Table5[[#This Row],[PID]],Table3[[#All],[PID]],0)))</f>
        <v>30.299096291334877</v>
      </c>
      <c r="R606" s="52">
        <f>IF($C606="B",INDEX(Batters[[#All],[zScore]],MATCH(Table5[[#This Row],[PID]],Batters[[#All],[PID]],0)),INDEX(Table3[[#All],[zScore]],MATCH(Table5[[#This Row],[PID]],Table3[[#All],[PID]],0)))</f>
        <v>-0.53430099555113475</v>
      </c>
      <c r="S606" s="58" t="str">
        <f>IF($C606="B",INDEX(Batters[[#All],[DEM]],MATCH(Table5[[#This Row],[PID]],Batters[[#All],[PID]],0)),INDEX(Table3[[#All],[DEM]],MATCH(Table5[[#This Row],[PID]],Table3[[#All],[PID]],0)))</f>
        <v>$65k</v>
      </c>
      <c r="T606" s="62">
        <f>IF($C606="B",INDEX(Batters[[#All],[Rnk]],MATCH(Table5[[#This Row],[PID]],Batters[[#All],[PID]],0)),INDEX(Table3[[#All],[Rnk]],MATCH(Table5[[#This Row],[PID]],Table3[[#All],[PID]],0)))</f>
        <v>930</v>
      </c>
      <c r="U606" s="67">
        <f>IF($C606="B",VLOOKUP($A606,Bat!$A$4:$BA$1314,47,FALSE),VLOOKUP($A606,Pit!$A$4:$BF$1214,56,FALSE))</f>
        <v>330</v>
      </c>
      <c r="V606" s="50">
        <f>IF($C606="B",VLOOKUP($A606,Bat!$A$4:$BA$1314,48,FALSE),VLOOKUP($A606,Pit!$A$4:$BF$1214,57,FALSE))</f>
        <v>0</v>
      </c>
      <c r="W606" s="68">
        <f>IF(Table5[[#This Row],[posRnk]]=999,9999,Table5[[#This Row],[posRnk]]+Table5[[#This Row],[zRnk]]+IF($W$3&lt;&gt;Table5[[#This Row],[Type]],50,0))</f>
        <v>1524</v>
      </c>
      <c r="X606" s="51">
        <f>RANK(Table5[[#This Row],[zScore]],Table5[[#All],[zScore]])</f>
        <v>594</v>
      </c>
      <c r="Y606" s="50" t="str">
        <f>IFERROR(INDEX(DraftResults[[#All],[OVR]],MATCH(Table5[[#This Row],[PID]],DraftResults[[#All],[Player ID]],0)),"")</f>
        <v/>
      </c>
      <c r="Z606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/>
      </c>
      <c r="AA606" s="50" t="str">
        <f>IFERROR(INDEX(DraftResults[[#All],[Pick in Round]],MATCH(Table5[[#This Row],[PID]],DraftResults[[#All],[Player ID]],0)),"")</f>
        <v/>
      </c>
      <c r="AB606" s="50" t="str">
        <f>IFERROR(INDEX(DraftResults[[#All],[Team Name]],MATCH(Table5[[#This Row],[PID]],DraftResults[[#All],[Player ID]],0)),"")</f>
        <v/>
      </c>
      <c r="AC606" s="50" t="str">
        <f>IF(Table5[[#This Row],[Ovr]]="","",IF(Table5[[#This Row],[cmbList]]="","",Table5[[#This Row],[cmbList]]-Table5[[#This Row],[Ovr]]))</f>
        <v/>
      </c>
      <c r="AD606" s="54" t="str">
        <f>IF(ISERROR(VLOOKUP($AB606&amp;"-"&amp;$E606&amp;" "&amp;F606,Bonuses!$B$1:$G$1006,4,FALSE)),"",INT(VLOOKUP($AB606&amp;"-"&amp;$E606&amp;" "&amp;$F606,Bonuses!$B$1:$G$1006,4,FALSE)))</f>
        <v/>
      </c>
      <c r="AE606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/>
      </c>
    </row>
    <row r="607" spans="1:31" s="50" customFormat="1" x14ac:dyDescent="0.3">
      <c r="A607" s="50">
        <v>21100</v>
      </c>
      <c r="B607" s="50">
        <f>COUNTIF(Table5[PID],A607)</f>
        <v>1</v>
      </c>
      <c r="C607" s="50" t="str">
        <f>IF(COUNTIF(Table3[[#All],[PID]],A607)&gt;0,"P","B")</f>
        <v>P</v>
      </c>
      <c r="D607" s="59" t="str">
        <f>IF($C607="B",INDEX(Batters[[#All],[POS]],MATCH(Table5[[#This Row],[PID]],Batters[[#All],[PID]],0)),INDEX(Table3[[#All],[POS]],MATCH(Table5[[#This Row],[PID]],Table3[[#All],[PID]],0)))</f>
        <v>RP</v>
      </c>
      <c r="E607" s="52" t="str">
        <f>IF($C607="B",INDEX(Batters[[#All],[First]],MATCH(Table5[[#This Row],[PID]],Batters[[#All],[PID]],0)),INDEX(Table3[[#All],[First]],MATCH(Table5[[#This Row],[PID]],Table3[[#All],[PID]],0)))</f>
        <v>Kennedy</v>
      </c>
      <c r="F607" s="50" t="str">
        <f>IF($C607="B",INDEX(Batters[[#All],[Last]],MATCH(A607,Batters[[#All],[PID]],0)),INDEX(Table3[[#All],[Last]],MATCH(A607,Table3[[#All],[PID]],0)))</f>
        <v>Tableter</v>
      </c>
      <c r="G607" s="56">
        <f>IF($C607="B",INDEX(Batters[[#All],[Age]],MATCH(Table5[[#This Row],[PID]],Batters[[#All],[PID]],0)),INDEX(Table3[[#All],[Age]],MATCH(Table5[[#This Row],[PID]],Table3[[#All],[PID]],0)))</f>
        <v>17</v>
      </c>
      <c r="H607" s="52" t="str">
        <f>IF($C607="B",INDEX(Batters[[#All],[B]],MATCH(Table5[[#This Row],[PID]],Batters[[#All],[PID]],0)),INDEX(Table3[[#All],[B]],MATCH(Table5[[#This Row],[PID]],Table3[[#All],[PID]],0)))</f>
        <v>L</v>
      </c>
      <c r="I607" s="52" t="str">
        <f>IF($C607="B",INDEX(Batters[[#All],[T]],MATCH(Table5[[#This Row],[PID]],Batters[[#All],[PID]],0)),INDEX(Table3[[#All],[T]],MATCH(Table5[[#This Row],[PID]],Table3[[#All],[PID]],0)))</f>
        <v>R</v>
      </c>
      <c r="J607" s="52" t="str">
        <f>IF($C607="B",INDEX(Batters[[#All],[WE]],MATCH(Table5[[#This Row],[PID]],Batters[[#All],[PID]],0)),INDEX(Table3[[#All],[WE]],MATCH(Table5[[#This Row],[PID]],Table3[[#All],[PID]],0)))</f>
        <v>Normal</v>
      </c>
      <c r="K607" s="52" t="str">
        <f>IF($C607="B",INDEX(Batters[[#All],[INT]],MATCH(Table5[[#This Row],[PID]],Batters[[#All],[PID]],0)),INDEX(Table3[[#All],[INT]],MATCH(Table5[[#This Row],[PID]],Table3[[#All],[PID]],0)))</f>
        <v>Low</v>
      </c>
      <c r="L607" s="60">
        <f>IF($C607="B",INDEX(Batters[[#All],[CON P]],MATCH(Table5[[#This Row],[PID]],Batters[[#All],[PID]],0)),INDEX(Table3[[#All],[STU P]],MATCH(Table5[[#This Row],[PID]],Table3[[#All],[PID]],0)))</f>
        <v>3</v>
      </c>
      <c r="M607" s="56">
        <f>IF($C607="B",INDEX(Batters[[#All],[GAP P]],MATCH(Table5[[#This Row],[PID]],Batters[[#All],[PID]],0)),INDEX(Table3[[#All],[MOV P]],MATCH(Table5[[#This Row],[PID]],Table3[[#All],[PID]],0)))</f>
        <v>2</v>
      </c>
      <c r="N607" s="56">
        <f>IF($C607="B",INDEX(Batters[[#All],[POW P]],MATCH(Table5[[#This Row],[PID]],Batters[[#All],[PID]],0)),INDEX(Table3[[#All],[CON P]],MATCH(Table5[[#This Row],[PID]],Table3[[#All],[PID]],0)))</f>
        <v>3</v>
      </c>
      <c r="O607" s="56" t="str">
        <f>IF($C607="B",INDEX(Batters[[#All],[EYE P]],MATCH(Table5[[#This Row],[PID]],Batters[[#All],[PID]],0)),INDEX(Table3[[#All],[VELO]],MATCH(Table5[[#This Row],[PID]],Table3[[#All],[PID]],0)))</f>
        <v>88-90 Mph</v>
      </c>
      <c r="P607" s="56">
        <f>IF($C607="B",INDEX(Batters[[#All],[K P]],MATCH(Table5[[#This Row],[PID]],Batters[[#All],[PID]],0)),INDEX(Table3[[#All],[STM]],MATCH(Table5[[#This Row],[PID]],Table3[[#All],[PID]],0)))</f>
        <v>8</v>
      </c>
      <c r="Q607" s="61">
        <f>IF($C607="B",INDEX(Batters[[#All],[Tot]],MATCH(Table5[[#This Row],[PID]],Batters[[#All],[PID]],0)),INDEX(Table3[[#All],[Tot]],MATCH(Table5[[#This Row],[PID]],Table3[[#All],[PID]],0)))</f>
        <v>30.507047967116264</v>
      </c>
      <c r="R607" s="52">
        <f>IF($C607="B",INDEX(Batters[[#All],[zScore]],MATCH(Table5[[#This Row],[PID]],Batters[[#All],[PID]],0)),INDEX(Table3[[#All],[zScore]],MATCH(Table5[[#This Row],[PID]],Table3[[#All],[PID]],0)))</f>
        <v>-0.51949337373777915</v>
      </c>
      <c r="S607" s="58" t="str">
        <f>IF($C607="B",INDEX(Batters[[#All],[DEM]],MATCH(Table5[[#This Row],[PID]],Batters[[#All],[PID]],0)),INDEX(Table3[[#All],[DEM]],MATCH(Table5[[#This Row],[PID]],Table3[[#All],[PID]],0)))</f>
        <v>$80k</v>
      </c>
      <c r="T607" s="62">
        <f>IF($C607="B",INDEX(Batters[[#All],[Rnk]],MATCH(Table5[[#This Row],[PID]],Batters[[#All],[PID]],0)),INDEX(Table3[[#All],[Rnk]],MATCH(Table5[[#This Row],[PID]],Table3[[#All],[PID]],0)))</f>
        <v>940</v>
      </c>
      <c r="U607" s="67">
        <f>IF($C607="B",VLOOKUP($A607,Bat!$A$4:$BA$1314,47,FALSE),VLOOKUP($A607,Pit!$A$4:$BF$1214,56,FALSE))</f>
        <v>397</v>
      </c>
      <c r="V607" s="50">
        <f>IF($C607="B",VLOOKUP($A607,Bat!$A$4:$BA$1314,48,FALSE),VLOOKUP($A607,Pit!$A$4:$BF$1214,57,FALSE))</f>
        <v>0</v>
      </c>
      <c r="W607" s="68">
        <f>IF(Table5[[#This Row],[posRnk]]=999,9999,Table5[[#This Row],[posRnk]]+Table5[[#This Row],[zRnk]]+IF($W$3&lt;&gt;Table5[[#This Row],[Type]],50,0))</f>
        <v>1524</v>
      </c>
      <c r="X607" s="51">
        <f>RANK(Table5[[#This Row],[zScore]],Table5[[#All],[zScore]])</f>
        <v>584</v>
      </c>
      <c r="Y607" s="50">
        <f>IFERROR(INDEX(DraftResults[[#All],[OVR]],MATCH(Table5[[#This Row],[PID]],DraftResults[[#All],[Player ID]],0)),"")</f>
        <v>660</v>
      </c>
      <c r="Z607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20</v>
      </c>
      <c r="AA607" s="50">
        <f>IFERROR(INDEX(DraftResults[[#All],[Pick in Round]],MATCH(Table5[[#This Row],[PID]],DraftResults[[#All],[Player ID]],0)),"")</f>
        <v>23</v>
      </c>
      <c r="AB607" s="50" t="str">
        <f>IFERROR(INDEX(DraftResults[[#All],[Team Name]],MATCH(Table5[[#This Row],[PID]],DraftResults[[#All],[Player ID]],0)),"")</f>
        <v>Kentucky Thoroughbreds</v>
      </c>
      <c r="AC607" s="50">
        <f>IF(Table5[[#This Row],[Ovr]]="","",IF(Table5[[#This Row],[cmbList]]="","",Table5[[#This Row],[cmbList]]-Table5[[#This Row],[Ovr]]))</f>
        <v>864</v>
      </c>
      <c r="AD607" s="54" t="str">
        <f>IF(ISERROR(VLOOKUP($AB607&amp;"-"&amp;$E607&amp;" "&amp;F607,Bonuses!$B$1:$G$1006,4,FALSE)),"",INT(VLOOKUP($AB607&amp;"-"&amp;$E607&amp;" "&amp;$F607,Bonuses!$B$1:$G$1006,4,FALSE)))</f>
        <v/>
      </c>
      <c r="AE607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20.23 (660) - RP Kennedy Tableter</v>
      </c>
    </row>
    <row r="608" spans="1:31" s="50" customFormat="1" x14ac:dyDescent="0.3">
      <c r="A608" s="50">
        <v>12722</v>
      </c>
      <c r="B608" s="50">
        <f>COUNTIF(Table5[PID],A608)</f>
        <v>1</v>
      </c>
      <c r="C608" s="50" t="str">
        <f>IF(COUNTIF(Table3[[#All],[PID]],A608)&gt;0,"P","B")</f>
        <v>P</v>
      </c>
      <c r="D608" s="59" t="str">
        <f>IF($C608="B",INDEX(Batters[[#All],[POS]],MATCH(Table5[[#This Row],[PID]],Batters[[#All],[PID]],0)),INDEX(Table3[[#All],[POS]],MATCH(Table5[[#This Row],[PID]],Table3[[#All],[PID]],0)))</f>
        <v>RP</v>
      </c>
      <c r="E608" s="52" t="str">
        <f>IF($C608="B",INDEX(Batters[[#All],[First]],MATCH(Table5[[#This Row],[PID]],Batters[[#All],[PID]],0)),INDEX(Table3[[#All],[First]],MATCH(Table5[[#This Row],[PID]],Table3[[#All],[PID]],0)))</f>
        <v>Nobukazu</v>
      </c>
      <c r="F608" s="50" t="str">
        <f>IF($C608="B",INDEX(Batters[[#All],[Last]],MATCH(A608,Batters[[#All],[PID]],0)),INDEX(Table3[[#All],[Last]],MATCH(A608,Table3[[#All],[PID]],0)))</f>
        <v>Suzuki</v>
      </c>
      <c r="G608" s="56">
        <f>IF($C608="B",INDEX(Batters[[#All],[Age]],MATCH(Table5[[#This Row],[PID]],Batters[[#All],[PID]],0)),INDEX(Table3[[#All],[Age]],MATCH(Table5[[#This Row],[PID]],Table3[[#All],[PID]],0)))</f>
        <v>21</v>
      </c>
      <c r="H608" s="52" t="str">
        <f>IF($C608="B",INDEX(Batters[[#All],[B]],MATCH(Table5[[#This Row],[PID]],Batters[[#All],[PID]],0)),INDEX(Table3[[#All],[B]],MATCH(Table5[[#This Row],[PID]],Table3[[#All],[PID]],0)))</f>
        <v>R</v>
      </c>
      <c r="I608" s="52" t="str">
        <f>IF($C608="B",INDEX(Batters[[#All],[T]],MATCH(Table5[[#This Row],[PID]],Batters[[#All],[PID]],0)),INDEX(Table3[[#All],[T]],MATCH(Table5[[#This Row],[PID]],Table3[[#All],[PID]],0)))</f>
        <v>R</v>
      </c>
      <c r="J608" s="52" t="str">
        <f>IF($C608="B",INDEX(Batters[[#All],[WE]],MATCH(Table5[[#This Row],[PID]],Batters[[#All],[PID]],0)),INDEX(Table3[[#All],[WE]],MATCH(Table5[[#This Row],[PID]],Table3[[#All],[PID]],0)))</f>
        <v>Normal</v>
      </c>
      <c r="K608" s="52" t="str">
        <f>IF($C608="B",INDEX(Batters[[#All],[INT]],MATCH(Table5[[#This Row],[PID]],Batters[[#All],[PID]],0)),INDEX(Table3[[#All],[INT]],MATCH(Table5[[#This Row],[PID]],Table3[[#All],[PID]],0)))</f>
        <v>Normal</v>
      </c>
      <c r="L608" s="60">
        <f>IF($C608="B",INDEX(Batters[[#All],[CON P]],MATCH(Table5[[#This Row],[PID]],Batters[[#All],[PID]],0)),INDEX(Table3[[#All],[STU P]],MATCH(Table5[[#This Row],[PID]],Table3[[#All],[PID]],0)))</f>
        <v>4</v>
      </c>
      <c r="M608" s="56">
        <f>IF($C608="B",INDEX(Batters[[#All],[GAP P]],MATCH(Table5[[#This Row],[PID]],Batters[[#All],[PID]],0)),INDEX(Table3[[#All],[MOV P]],MATCH(Table5[[#This Row],[PID]],Table3[[#All],[PID]],0)))</f>
        <v>2</v>
      </c>
      <c r="N608" s="56">
        <f>IF($C608="B",INDEX(Batters[[#All],[POW P]],MATCH(Table5[[#This Row],[PID]],Batters[[#All],[PID]],0)),INDEX(Table3[[#All],[CON P]],MATCH(Table5[[#This Row],[PID]],Table3[[#All],[PID]],0)))</f>
        <v>3</v>
      </c>
      <c r="O608" s="56" t="str">
        <f>IF($C608="B",INDEX(Batters[[#All],[EYE P]],MATCH(Table5[[#This Row],[PID]],Batters[[#All],[PID]],0)),INDEX(Table3[[#All],[VELO]],MATCH(Table5[[#This Row],[PID]],Table3[[#All],[PID]],0)))</f>
        <v>89-91 Mph</v>
      </c>
      <c r="P608" s="56">
        <f>IF($C608="B",INDEX(Batters[[#All],[K P]],MATCH(Table5[[#This Row],[PID]],Batters[[#All],[PID]],0)),INDEX(Table3[[#All],[STM]],MATCH(Table5[[#This Row],[PID]],Table3[[#All],[PID]],0)))</f>
        <v>8</v>
      </c>
      <c r="Q608" s="61">
        <f>IF($C608="B",INDEX(Batters[[#All],[Tot]],MATCH(Table5[[#This Row],[PID]],Batters[[#All],[PID]],0)),INDEX(Table3[[#All],[Tot]],MATCH(Table5[[#This Row],[PID]],Table3[[#All],[PID]],0)))</f>
        <v>29.200874457299729</v>
      </c>
      <c r="R608" s="52">
        <f>IF($C608="B",INDEX(Batters[[#All],[zScore]],MATCH(Table5[[#This Row],[PID]],Batters[[#All],[PID]],0)),INDEX(Table3[[#All],[zScore]],MATCH(Table5[[#This Row],[PID]],Table3[[#All],[PID]],0)))</f>
        <v>-0.60572716300764684</v>
      </c>
      <c r="S608" s="58" t="str">
        <f>IF($C608="B",INDEX(Batters[[#All],[DEM]],MATCH(Table5[[#This Row],[PID]],Batters[[#All],[PID]],0)),INDEX(Table3[[#All],[DEM]],MATCH(Table5[[#This Row],[PID]],Table3[[#All],[PID]],0)))</f>
        <v>$20k</v>
      </c>
      <c r="T608" s="62">
        <f>IF($C608="B",INDEX(Batters[[#All],[Rnk]],MATCH(Table5[[#This Row],[PID]],Batters[[#All],[PID]],0)),INDEX(Table3[[#All],[Rnk]],MATCH(Table5[[#This Row],[PID]],Table3[[#All],[PID]],0)))</f>
        <v>900</v>
      </c>
      <c r="U608" s="67">
        <f>IF($C608="B",VLOOKUP($A608,Bat!$A$4:$BA$1314,47,FALSE),VLOOKUP($A608,Pit!$A$4:$BF$1214,56,FALSE))</f>
        <v>208</v>
      </c>
      <c r="V608" s="50">
        <f>IF($C608="B",VLOOKUP($A608,Bat!$A$4:$BA$1314,48,FALSE),VLOOKUP($A608,Pit!$A$4:$BF$1214,57,FALSE))</f>
        <v>0</v>
      </c>
      <c r="W608" s="68">
        <f>IF(Table5[[#This Row],[posRnk]]=999,9999,Table5[[#This Row],[posRnk]]+Table5[[#This Row],[zRnk]]+IF($W$3&lt;&gt;Table5[[#This Row],[Type]],50,0))</f>
        <v>1527</v>
      </c>
      <c r="X608" s="51">
        <f>RANK(Table5[[#This Row],[zScore]],Table5[[#All],[zScore]])</f>
        <v>627</v>
      </c>
      <c r="Y608" s="50">
        <f>IFERROR(INDEX(DraftResults[[#All],[OVR]],MATCH(Table5[[#This Row],[PID]],DraftResults[[#All],[Player ID]],0)),"")</f>
        <v>474</v>
      </c>
      <c r="Z608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15</v>
      </c>
      <c r="AA608" s="50">
        <f>IFERROR(INDEX(DraftResults[[#All],[Pick in Round]],MATCH(Table5[[#This Row],[PID]],DraftResults[[#All],[Player ID]],0)),"")</f>
        <v>7</v>
      </c>
      <c r="AB608" s="50" t="str">
        <f>IFERROR(INDEX(DraftResults[[#All],[Team Name]],MATCH(Table5[[#This Row],[PID]],DraftResults[[#All],[Player ID]],0)),"")</f>
        <v>Hartford Harpoon</v>
      </c>
      <c r="AC608" s="50">
        <f>IF(Table5[[#This Row],[Ovr]]="","",IF(Table5[[#This Row],[cmbList]]="","",Table5[[#This Row],[cmbList]]-Table5[[#This Row],[Ovr]]))</f>
        <v>1053</v>
      </c>
      <c r="AD608" s="54" t="str">
        <f>IF(ISERROR(VLOOKUP($AB608&amp;"-"&amp;$E608&amp;" "&amp;F608,Bonuses!$B$1:$G$1006,4,FALSE)),"",INT(VLOOKUP($AB608&amp;"-"&amp;$E608&amp;" "&amp;$F608,Bonuses!$B$1:$G$1006,4,FALSE)))</f>
        <v/>
      </c>
      <c r="AE608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15.7 (474) - RP Nobukazu Suzuki</v>
      </c>
    </row>
    <row r="609" spans="1:31" s="50" customFormat="1" x14ac:dyDescent="0.3">
      <c r="A609" s="50">
        <v>15961</v>
      </c>
      <c r="B609" s="50">
        <f>COUNTIF(Table5[PID],A609)</f>
        <v>1</v>
      </c>
      <c r="C609" s="50" t="str">
        <f>IF(COUNTIF(Table3[[#All],[PID]],A609)&gt;0,"P","B")</f>
        <v>P</v>
      </c>
      <c r="D609" s="59" t="str">
        <f>IF($C609="B",INDEX(Batters[[#All],[POS]],MATCH(Table5[[#This Row],[PID]],Batters[[#All],[PID]],0)),INDEX(Table3[[#All],[POS]],MATCH(Table5[[#This Row],[PID]],Table3[[#All],[PID]],0)))</f>
        <v>RP</v>
      </c>
      <c r="E609" s="52" t="str">
        <f>IF($C609="B",INDEX(Batters[[#All],[First]],MATCH(Table5[[#This Row],[PID]],Batters[[#All],[PID]],0)),INDEX(Table3[[#All],[First]],MATCH(Table5[[#This Row],[PID]],Table3[[#All],[PID]],0)))</f>
        <v>Christopher</v>
      </c>
      <c r="F609" s="50" t="str">
        <f>IF($C609="B",INDEX(Batters[[#All],[Last]],MATCH(A609,Batters[[#All],[PID]],0)),INDEX(Table3[[#All],[Last]],MATCH(A609,Table3[[#All],[PID]],0)))</f>
        <v>Veeck</v>
      </c>
      <c r="G609" s="56">
        <f>IF($C609="B",INDEX(Batters[[#All],[Age]],MATCH(Table5[[#This Row],[PID]],Batters[[#All],[PID]],0)),INDEX(Table3[[#All],[Age]],MATCH(Table5[[#This Row],[PID]],Table3[[#All],[PID]],0)))</f>
        <v>22</v>
      </c>
      <c r="H609" s="52" t="str">
        <f>IF($C609="B",INDEX(Batters[[#All],[B]],MATCH(Table5[[#This Row],[PID]],Batters[[#All],[PID]],0)),INDEX(Table3[[#All],[B]],MATCH(Table5[[#This Row],[PID]],Table3[[#All],[PID]],0)))</f>
        <v>R</v>
      </c>
      <c r="I609" s="52" t="str">
        <f>IF($C609="B",INDEX(Batters[[#All],[T]],MATCH(Table5[[#This Row],[PID]],Batters[[#All],[PID]],0)),INDEX(Table3[[#All],[T]],MATCH(Table5[[#This Row],[PID]],Table3[[#All],[PID]],0)))</f>
        <v>R</v>
      </c>
      <c r="J609" s="52" t="str">
        <f>IF($C609="B",INDEX(Batters[[#All],[WE]],MATCH(Table5[[#This Row],[PID]],Batters[[#All],[PID]],0)),INDEX(Table3[[#All],[WE]],MATCH(Table5[[#This Row],[PID]],Table3[[#All],[PID]],0)))</f>
        <v>Normal</v>
      </c>
      <c r="K609" s="52" t="str">
        <f>IF($C609="B",INDEX(Batters[[#All],[INT]],MATCH(Table5[[#This Row],[PID]],Batters[[#All],[PID]],0)),INDEX(Table3[[#All],[INT]],MATCH(Table5[[#This Row],[PID]],Table3[[#All],[PID]],0)))</f>
        <v>Normal</v>
      </c>
      <c r="L609" s="60">
        <f>IF($C609="B",INDEX(Batters[[#All],[CON P]],MATCH(Table5[[#This Row],[PID]],Batters[[#All],[PID]],0)),INDEX(Table3[[#All],[STU P]],MATCH(Table5[[#This Row],[PID]],Table3[[#All],[PID]],0)))</f>
        <v>4</v>
      </c>
      <c r="M609" s="56">
        <f>IF($C609="B",INDEX(Batters[[#All],[GAP P]],MATCH(Table5[[#This Row],[PID]],Batters[[#All],[PID]],0)),INDEX(Table3[[#All],[MOV P]],MATCH(Table5[[#This Row],[PID]],Table3[[#All],[PID]],0)))</f>
        <v>1</v>
      </c>
      <c r="N609" s="56">
        <f>IF($C609="B",INDEX(Batters[[#All],[POW P]],MATCH(Table5[[#This Row],[PID]],Batters[[#All],[PID]],0)),INDEX(Table3[[#All],[CON P]],MATCH(Table5[[#This Row],[PID]],Table3[[#All],[PID]],0)))</f>
        <v>4</v>
      </c>
      <c r="O609" s="56" t="str">
        <f>IF($C609="B",INDEX(Batters[[#All],[EYE P]],MATCH(Table5[[#This Row],[PID]],Batters[[#All],[PID]],0)),INDEX(Table3[[#All],[VELO]],MATCH(Table5[[#This Row],[PID]],Table3[[#All],[PID]],0)))</f>
        <v>91-93 Mph</v>
      </c>
      <c r="P609" s="56">
        <f>IF($C609="B",INDEX(Batters[[#All],[K P]],MATCH(Table5[[#This Row],[PID]],Batters[[#All],[PID]],0)),INDEX(Table3[[#All],[STM]],MATCH(Table5[[#This Row],[PID]],Table3[[#All],[PID]],0)))</f>
        <v>3</v>
      </c>
      <c r="Q609" s="61">
        <f>IF($C609="B",INDEX(Batters[[#All],[Tot]],MATCH(Table5[[#This Row],[PID]],Batters[[#All],[PID]],0)),INDEX(Table3[[#All],[Tot]],MATCH(Table5[[#This Row],[PID]],Table3[[#All],[PID]],0)))</f>
        <v>29.228127758720362</v>
      </c>
      <c r="R609" s="52">
        <f>IF($C609="B",INDEX(Batters[[#All],[zScore]],MATCH(Table5[[#This Row],[PID]],Batters[[#All],[PID]],0)),INDEX(Table3[[#All],[zScore]],MATCH(Table5[[#This Row],[PID]],Table3[[#All],[PID]],0)))</f>
        <v>-0.61056148705893887</v>
      </c>
      <c r="S609" s="58" t="str">
        <f>IF($C609="B",INDEX(Batters[[#All],[DEM]],MATCH(Table5[[#This Row],[PID]],Batters[[#All],[PID]],0)),INDEX(Table3[[#All],[DEM]],MATCH(Table5[[#This Row],[PID]],Table3[[#All],[PID]],0)))</f>
        <v>-</v>
      </c>
      <c r="T609" s="62">
        <f>IF($C609="B",INDEX(Batters[[#All],[Rnk]],MATCH(Table5[[#This Row],[PID]],Batters[[#All],[PID]],0)),INDEX(Table3[[#All],[Rnk]],MATCH(Table5[[#This Row],[PID]],Table3[[#All],[PID]],0)))</f>
        <v>900</v>
      </c>
      <c r="U609" s="67">
        <f>IF($C609="B",VLOOKUP($A609,Bat!$A$4:$BA$1314,47,FALSE),VLOOKUP($A609,Pit!$A$4:$BF$1214,56,FALSE))</f>
        <v>209</v>
      </c>
      <c r="V609" s="50">
        <f>IF($C609="B",VLOOKUP($A609,Bat!$A$4:$BA$1314,48,FALSE),VLOOKUP($A609,Pit!$A$4:$BF$1214,57,FALSE))</f>
        <v>0</v>
      </c>
      <c r="W609" s="68">
        <f>IF(Table5[[#This Row],[posRnk]]=999,9999,Table5[[#This Row],[posRnk]]+Table5[[#This Row],[zRnk]]+IF($W$3&lt;&gt;Table5[[#This Row],[Type]],50,0))</f>
        <v>1530</v>
      </c>
      <c r="X609" s="51">
        <f>RANK(Table5[[#This Row],[zScore]],Table5[[#All],[zScore]])</f>
        <v>630</v>
      </c>
      <c r="Y609" s="50" t="str">
        <f>IFERROR(INDEX(DraftResults[[#All],[OVR]],MATCH(Table5[[#This Row],[PID]],DraftResults[[#All],[Player ID]],0)),"")</f>
        <v/>
      </c>
      <c r="Z609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/>
      </c>
      <c r="AA609" s="50" t="str">
        <f>IFERROR(INDEX(DraftResults[[#All],[Pick in Round]],MATCH(Table5[[#This Row],[PID]],DraftResults[[#All],[Player ID]],0)),"")</f>
        <v/>
      </c>
      <c r="AB609" s="50" t="str">
        <f>IFERROR(INDEX(DraftResults[[#All],[Team Name]],MATCH(Table5[[#This Row],[PID]],DraftResults[[#All],[Player ID]],0)),"")</f>
        <v/>
      </c>
      <c r="AC609" s="50" t="str">
        <f>IF(Table5[[#This Row],[Ovr]]="","",IF(Table5[[#This Row],[cmbList]]="","",Table5[[#This Row],[cmbList]]-Table5[[#This Row],[Ovr]]))</f>
        <v/>
      </c>
      <c r="AD609" s="54" t="str">
        <f>IF(ISERROR(VLOOKUP($AB609&amp;"-"&amp;$E609&amp;" "&amp;F609,Bonuses!$B$1:$G$1006,4,FALSE)),"",INT(VLOOKUP($AB609&amp;"-"&amp;$E609&amp;" "&amp;$F609,Bonuses!$B$1:$G$1006,4,FALSE)))</f>
        <v/>
      </c>
      <c r="AE609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/>
      </c>
    </row>
    <row r="610" spans="1:31" s="50" customFormat="1" x14ac:dyDescent="0.3">
      <c r="A610" s="67">
        <v>10766</v>
      </c>
      <c r="B610" s="68">
        <f>COUNTIF(Table5[PID],A610)</f>
        <v>1</v>
      </c>
      <c r="C610" s="68" t="str">
        <f>IF(COUNTIF(Table3[[#All],[PID]],A610)&gt;0,"P","B")</f>
        <v>P</v>
      </c>
      <c r="D610" s="59" t="str">
        <f>IF($C610="B",INDEX(Batters[[#All],[POS]],MATCH(Table5[[#This Row],[PID]],Batters[[#All],[PID]],0)),INDEX(Table3[[#All],[POS]],MATCH(Table5[[#This Row],[PID]],Table3[[#All],[PID]],0)))</f>
        <v>RP</v>
      </c>
      <c r="E610" s="52" t="str">
        <f>IF($C610="B",INDEX(Batters[[#All],[First]],MATCH(Table5[[#This Row],[PID]],Batters[[#All],[PID]],0)),INDEX(Table3[[#All],[First]],MATCH(Table5[[#This Row],[PID]],Table3[[#All],[PID]],0)))</f>
        <v>Nori</v>
      </c>
      <c r="F610" s="55" t="str">
        <f>IF($C610="B",INDEX(Batters[[#All],[Last]],MATCH(A610,Batters[[#All],[PID]],0)),INDEX(Table3[[#All],[Last]],MATCH(A610,Table3[[#All],[PID]],0)))</f>
        <v>Koruba</v>
      </c>
      <c r="G610" s="56">
        <f>IF($C610="B",INDEX(Batters[[#All],[Age]],MATCH(Table5[[#This Row],[PID]],Batters[[#All],[PID]],0)),INDEX(Table3[[#All],[Age]],MATCH(Table5[[#This Row],[PID]],Table3[[#All],[PID]],0)))</f>
        <v>21</v>
      </c>
      <c r="H610" s="52" t="str">
        <f>IF($C610="B",INDEX(Batters[[#All],[B]],MATCH(Table5[[#This Row],[PID]],Batters[[#All],[PID]],0)),INDEX(Table3[[#All],[B]],MATCH(Table5[[#This Row],[PID]],Table3[[#All],[PID]],0)))</f>
        <v>R</v>
      </c>
      <c r="I610" s="52" t="str">
        <f>IF($C610="B",INDEX(Batters[[#All],[T]],MATCH(Table5[[#This Row],[PID]],Batters[[#All],[PID]],0)),INDEX(Table3[[#All],[T]],MATCH(Table5[[#This Row],[PID]],Table3[[#All],[PID]],0)))</f>
        <v>R</v>
      </c>
      <c r="J610" s="69" t="str">
        <f>IF($C610="B",INDEX(Batters[[#All],[WE]],MATCH(Table5[[#This Row],[PID]],Batters[[#All],[PID]],0)),INDEX(Table3[[#All],[WE]],MATCH(Table5[[#This Row],[PID]],Table3[[#All],[PID]],0)))</f>
        <v>Normal</v>
      </c>
      <c r="K610" s="52" t="str">
        <f>IF($C610="B",INDEX(Batters[[#All],[INT]],MATCH(Table5[[#This Row],[PID]],Batters[[#All],[PID]],0)),INDEX(Table3[[#All],[INT]],MATCH(Table5[[#This Row],[PID]],Table3[[#All],[PID]],0)))</f>
        <v>Low</v>
      </c>
      <c r="L610" s="60">
        <f>IF($C610="B",INDEX(Batters[[#All],[CON P]],MATCH(Table5[[#This Row],[PID]],Batters[[#All],[PID]],0)),INDEX(Table3[[#All],[STU P]],MATCH(Table5[[#This Row],[PID]],Table3[[#All],[PID]],0)))</f>
        <v>5</v>
      </c>
      <c r="M610" s="70">
        <f>IF($C610="B",INDEX(Batters[[#All],[GAP P]],MATCH(Table5[[#This Row],[PID]],Batters[[#All],[PID]],0)),INDEX(Table3[[#All],[MOV P]],MATCH(Table5[[#This Row],[PID]],Table3[[#All],[PID]],0)))</f>
        <v>1</v>
      </c>
      <c r="N610" s="70">
        <f>IF($C610="B",INDEX(Batters[[#All],[POW P]],MATCH(Table5[[#This Row],[PID]],Batters[[#All],[PID]],0)),INDEX(Table3[[#All],[CON P]],MATCH(Table5[[#This Row],[PID]],Table3[[#All],[PID]],0)))</f>
        <v>3</v>
      </c>
      <c r="O610" s="70" t="str">
        <f>IF($C610="B",INDEX(Batters[[#All],[EYE P]],MATCH(Table5[[#This Row],[PID]],Batters[[#All],[PID]],0)),INDEX(Table3[[#All],[VELO]],MATCH(Table5[[#This Row],[PID]],Table3[[#All],[PID]],0)))</f>
        <v>87-89 Mph</v>
      </c>
      <c r="P610" s="56">
        <f>IF($C610="B",INDEX(Batters[[#All],[K P]],MATCH(Table5[[#This Row],[PID]],Batters[[#All],[PID]],0)),INDEX(Table3[[#All],[STM]],MATCH(Table5[[#This Row],[PID]],Table3[[#All],[PID]],0)))</f>
        <v>7</v>
      </c>
      <c r="Q610" s="61">
        <f>IF($C610="B",INDEX(Batters[[#All],[Tot]],MATCH(Table5[[#This Row],[PID]],Batters[[#All],[PID]],0)),INDEX(Table3[[#All],[Tot]],MATCH(Table5[[#This Row],[PID]],Table3[[#All],[PID]],0)))</f>
        <v>30.434382653708735</v>
      </c>
      <c r="R610" s="52">
        <f>IF($C610="B",INDEX(Batters[[#All],[zScore]],MATCH(Table5[[#This Row],[PID]],Batters[[#All],[PID]],0)),INDEX(Table3[[#All],[zScore]],MATCH(Table5[[#This Row],[PID]],Table3[[#All],[PID]],0)))</f>
        <v>-0.52466765509831415</v>
      </c>
      <c r="S610" s="75" t="str">
        <f>IF($C610="B",INDEX(Batters[[#All],[DEM]],MATCH(Table5[[#This Row],[PID]],Batters[[#All],[PID]],0)),INDEX(Table3[[#All],[DEM]],MATCH(Table5[[#This Row],[PID]],Table3[[#All],[PID]],0)))</f>
        <v>-</v>
      </c>
      <c r="T610" s="72">
        <f>IF($C610="B",INDEX(Batters[[#All],[Rnk]],MATCH(Table5[[#This Row],[PID]],Batters[[#All],[PID]],0)),INDEX(Table3[[#All],[Rnk]],MATCH(Table5[[#This Row],[PID]],Table3[[#All],[PID]],0)))</f>
        <v>940</v>
      </c>
      <c r="U610" s="67">
        <f>IF($C610="B",VLOOKUP($A610,Bat!$A$4:$BA$1314,47,FALSE),VLOOKUP($A610,Pit!$A$4:$BF$1214,56,FALSE))</f>
        <v>398</v>
      </c>
      <c r="V610" s="50">
        <f>IF($C610="B",VLOOKUP($A610,Bat!$A$4:$BA$1314,48,FALSE),VLOOKUP($A610,Pit!$A$4:$BF$1214,57,FALSE))</f>
        <v>0</v>
      </c>
      <c r="W610" s="68">
        <f>IF(Table5[[#This Row],[posRnk]]=999,9999,Table5[[#This Row],[posRnk]]+Table5[[#This Row],[zRnk]]+IF($W$3&lt;&gt;Table5[[#This Row],[Type]],50,0))</f>
        <v>1530</v>
      </c>
      <c r="X610" s="71">
        <f>RANK(Table5[[#This Row],[zScore]],Table5[[#All],[zScore]])</f>
        <v>590</v>
      </c>
      <c r="Y610" s="68">
        <f>IFERROR(INDEX(DraftResults[[#All],[OVR]],MATCH(Table5[[#This Row],[PID]],DraftResults[[#All],[Player ID]],0)),"")</f>
        <v>612</v>
      </c>
      <c r="Z610" s="7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19</v>
      </c>
      <c r="AA610" s="68">
        <f>IFERROR(INDEX(DraftResults[[#All],[Pick in Round]],MATCH(Table5[[#This Row],[PID]],DraftResults[[#All],[Player ID]],0)),"")</f>
        <v>9</v>
      </c>
      <c r="AB610" s="68" t="str">
        <f>IFERROR(INDEX(DraftResults[[#All],[Team Name]],MATCH(Table5[[#This Row],[PID]],DraftResults[[#All],[Player ID]],0)),"")</f>
        <v>New Jersey Hitmen</v>
      </c>
      <c r="AC610" s="68">
        <f>IF(Table5[[#This Row],[Ovr]]="","",IF(Table5[[#This Row],[cmbList]]="","",Table5[[#This Row],[cmbList]]-Table5[[#This Row],[Ovr]]))</f>
        <v>918</v>
      </c>
      <c r="AD610" s="74" t="str">
        <f>IF(ISERROR(VLOOKUP($AB610&amp;"-"&amp;$E610&amp;" "&amp;F610,Bonuses!$B$1:$G$1006,4,FALSE)),"",INT(VLOOKUP($AB610&amp;"-"&amp;$E610&amp;" "&amp;$F610,Bonuses!$B$1:$G$1006,4,FALSE)))</f>
        <v/>
      </c>
      <c r="AE610" s="68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19.9 (612) - RP Nori Koruba</v>
      </c>
    </row>
    <row r="611" spans="1:31" s="50" customFormat="1" x14ac:dyDescent="0.3">
      <c r="A611" s="50">
        <v>12626</v>
      </c>
      <c r="B611" s="50">
        <f>COUNTIF(Table5[PID],A611)</f>
        <v>1</v>
      </c>
      <c r="C611" s="50" t="str">
        <f>IF(COUNTIF(Table3[[#All],[PID]],A611)&gt;0,"P","B")</f>
        <v>B</v>
      </c>
      <c r="D611" s="59" t="str">
        <f>IF($C611="B",INDEX(Batters[[#All],[POS]],MATCH(Table5[[#This Row],[PID]],Batters[[#All],[PID]],0)),INDEX(Table3[[#All],[POS]],MATCH(Table5[[#This Row],[PID]],Table3[[#All],[PID]],0)))</f>
        <v>C</v>
      </c>
      <c r="E611" s="52" t="str">
        <f>IF($C611="B",INDEX(Batters[[#All],[First]],MATCH(Table5[[#This Row],[PID]],Batters[[#All],[PID]],0)),INDEX(Table3[[#All],[First]],MATCH(Table5[[#This Row],[PID]],Table3[[#All],[PID]],0)))</f>
        <v>Bradford</v>
      </c>
      <c r="F611" s="50" t="str">
        <f>IF($C611="B",INDEX(Batters[[#All],[Last]],MATCH(A611,Batters[[#All],[PID]],0)),INDEX(Table3[[#All],[Last]],MATCH(A611,Table3[[#All],[PID]],0)))</f>
        <v>Parsons</v>
      </c>
      <c r="G611" s="56">
        <f>IF($C611="B",INDEX(Batters[[#All],[Age]],MATCH(Table5[[#This Row],[PID]],Batters[[#All],[PID]],0)),INDEX(Table3[[#All],[Age]],MATCH(Table5[[#This Row],[PID]],Table3[[#All],[PID]],0)))</f>
        <v>17</v>
      </c>
      <c r="H611" s="52" t="str">
        <f>IF($C611="B",INDEX(Batters[[#All],[B]],MATCH(Table5[[#This Row],[PID]],Batters[[#All],[PID]],0)),INDEX(Table3[[#All],[B]],MATCH(Table5[[#This Row],[PID]],Table3[[#All],[PID]],0)))</f>
        <v>R</v>
      </c>
      <c r="I611" s="52" t="str">
        <f>IF($C611="B",INDEX(Batters[[#All],[T]],MATCH(Table5[[#This Row],[PID]],Batters[[#All],[PID]],0)),INDEX(Table3[[#All],[T]],MATCH(Table5[[#This Row],[PID]],Table3[[#All],[PID]],0)))</f>
        <v>R</v>
      </c>
      <c r="J611" s="52" t="str">
        <f>IF($C611="B",INDEX(Batters[[#All],[WE]],MATCH(Table5[[#This Row],[PID]],Batters[[#All],[PID]],0)),INDEX(Table3[[#All],[WE]],MATCH(Table5[[#This Row],[PID]],Table3[[#All],[PID]],0)))</f>
        <v>Low</v>
      </c>
      <c r="K611" s="52" t="str">
        <f>IF($C611="B",INDEX(Batters[[#All],[INT]],MATCH(Table5[[#This Row],[PID]],Batters[[#All],[PID]],0)),INDEX(Table3[[#All],[INT]],MATCH(Table5[[#This Row],[PID]],Table3[[#All],[PID]],0)))</f>
        <v>Normal</v>
      </c>
      <c r="L611" s="60">
        <f>IF($C611="B",INDEX(Batters[[#All],[CON P]],MATCH(Table5[[#This Row],[PID]],Batters[[#All],[PID]],0)),INDEX(Table3[[#All],[STU P]],MATCH(Table5[[#This Row],[PID]],Table3[[#All],[PID]],0)))</f>
        <v>2</v>
      </c>
      <c r="M611" s="56">
        <f>IF($C611="B",INDEX(Batters[[#All],[GAP P]],MATCH(Table5[[#This Row],[PID]],Batters[[#All],[PID]],0)),INDEX(Table3[[#All],[MOV P]],MATCH(Table5[[#This Row],[PID]],Table3[[#All],[PID]],0)))</f>
        <v>5</v>
      </c>
      <c r="N611" s="56">
        <f>IF($C611="B",INDEX(Batters[[#All],[POW P]],MATCH(Table5[[#This Row],[PID]],Batters[[#All],[PID]],0)),INDEX(Table3[[#All],[CON P]],MATCH(Table5[[#This Row],[PID]],Table3[[#All],[PID]],0)))</f>
        <v>3</v>
      </c>
      <c r="O611" s="56">
        <f>IF($C611="B",INDEX(Batters[[#All],[EYE P]],MATCH(Table5[[#This Row],[PID]],Batters[[#All],[PID]],0)),INDEX(Table3[[#All],[VELO]],MATCH(Table5[[#This Row],[PID]],Table3[[#All],[PID]],0)))</f>
        <v>6</v>
      </c>
      <c r="P611" s="56">
        <f>IF($C611="B",INDEX(Batters[[#All],[K P]],MATCH(Table5[[#This Row],[PID]],Batters[[#All],[PID]],0)),INDEX(Table3[[#All],[STM]],MATCH(Table5[[#This Row],[PID]],Table3[[#All],[PID]],0)))</f>
        <v>3</v>
      </c>
      <c r="Q611" s="61">
        <f>IF($C611="B",INDEX(Batters[[#All],[Tot]],MATCH(Table5[[#This Row],[PID]],Batters[[#All],[PID]],0)),INDEX(Table3[[#All],[Tot]],MATCH(Table5[[#This Row],[PID]],Table3[[#All],[PID]],0)))</f>
        <v>39.187967714265618</v>
      </c>
      <c r="R611" s="52">
        <f>IF($C611="B",INDEX(Batters[[#All],[zScore]],MATCH(Table5[[#This Row],[PID]],Batters[[#All],[PID]],0)),INDEX(Table3[[#All],[zScore]],MATCH(Table5[[#This Row],[PID]],Table3[[#All],[PID]],0)))</f>
        <v>-0.57142756357731661</v>
      </c>
      <c r="S611" s="58" t="str">
        <f>IF($C611="B",INDEX(Batters[[#All],[DEM]],MATCH(Table5[[#This Row],[PID]],Batters[[#All],[PID]],0)),INDEX(Table3[[#All],[DEM]],MATCH(Table5[[#This Row],[PID]],Table3[[#All],[PID]],0)))</f>
        <v>$70k</v>
      </c>
      <c r="T611" s="62">
        <f>IF($C611="B",INDEX(Batters[[#All],[Rnk]],MATCH(Table5[[#This Row],[PID]],Batters[[#All],[PID]],0)),INDEX(Table3[[#All],[Rnk]],MATCH(Table5[[#This Row],[PID]],Table3[[#All],[PID]],0)))</f>
        <v>930</v>
      </c>
      <c r="U611" s="67">
        <f>IF($C611="B",VLOOKUP($A611,Bat!$A$4:$BA$1314,47,FALSE),VLOOKUP($A611,Pit!$A$4:$BF$1214,56,FALSE))</f>
        <v>351</v>
      </c>
      <c r="V611" s="50">
        <f>IF($C611="B",VLOOKUP($A611,Bat!$A$4:$BA$1314,48,FALSE),VLOOKUP($A611,Pit!$A$4:$BF$1214,57,FALSE))</f>
        <v>0</v>
      </c>
      <c r="W611" s="68">
        <f>IF(Table5[[#This Row],[posRnk]]=999,9999,Table5[[#This Row],[posRnk]]+Table5[[#This Row],[zRnk]]+IF($W$3&lt;&gt;Table5[[#This Row],[Type]],50,0))</f>
        <v>1583</v>
      </c>
      <c r="X611" s="51">
        <f>RANK(Table5[[#This Row],[zScore]],Table5[[#All],[zScore]])</f>
        <v>603</v>
      </c>
      <c r="Y611" s="50" t="str">
        <f>IFERROR(INDEX(DraftResults[[#All],[OVR]],MATCH(Table5[[#This Row],[PID]],DraftResults[[#All],[Player ID]],0)),"")</f>
        <v/>
      </c>
      <c r="Z611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/>
      </c>
      <c r="AA611" s="50" t="str">
        <f>IFERROR(INDEX(DraftResults[[#All],[Pick in Round]],MATCH(Table5[[#This Row],[PID]],DraftResults[[#All],[Player ID]],0)),"")</f>
        <v/>
      </c>
      <c r="AB611" s="50" t="str">
        <f>IFERROR(INDEX(DraftResults[[#All],[Team Name]],MATCH(Table5[[#This Row],[PID]],DraftResults[[#All],[Player ID]],0)),"")</f>
        <v/>
      </c>
      <c r="AC611" s="50" t="str">
        <f>IF(Table5[[#This Row],[Ovr]]="","",IF(Table5[[#This Row],[cmbList]]="","",Table5[[#This Row],[cmbList]]-Table5[[#This Row],[Ovr]]))</f>
        <v/>
      </c>
      <c r="AD611" s="54" t="str">
        <f>IF(ISERROR(VLOOKUP($AB611&amp;"-"&amp;$E611&amp;" "&amp;F611,Bonuses!$B$1:$G$1006,4,FALSE)),"",INT(VLOOKUP($AB611&amp;"-"&amp;$E611&amp;" "&amp;$F611,Bonuses!$B$1:$G$1006,4,FALSE)))</f>
        <v/>
      </c>
      <c r="AE611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/>
      </c>
    </row>
    <row r="612" spans="1:31" s="50" customFormat="1" x14ac:dyDescent="0.3">
      <c r="A612" s="50">
        <v>5104</v>
      </c>
      <c r="B612" s="50">
        <f>COUNTIF(Table5[PID],A612)</f>
        <v>1</v>
      </c>
      <c r="C612" s="50" t="str">
        <f>IF(COUNTIF(Table3[[#All],[PID]],A612)&gt;0,"P","B")</f>
        <v>P</v>
      </c>
      <c r="D612" s="59" t="str">
        <f>IF($C612="B",INDEX(Batters[[#All],[POS]],MATCH(Table5[[#This Row],[PID]],Batters[[#All],[PID]],0)),INDEX(Table3[[#All],[POS]],MATCH(Table5[[#This Row],[PID]],Table3[[#All],[PID]],0)))</f>
        <v>SP</v>
      </c>
      <c r="E612" s="52" t="str">
        <f>IF($C612="B",INDEX(Batters[[#All],[First]],MATCH(Table5[[#This Row],[PID]],Batters[[#All],[PID]],0)),INDEX(Table3[[#All],[First]],MATCH(Table5[[#This Row],[PID]],Table3[[#All],[PID]],0)))</f>
        <v>Stanley</v>
      </c>
      <c r="F612" s="50" t="str">
        <f>IF($C612="B",INDEX(Batters[[#All],[Last]],MATCH(A612,Batters[[#All],[PID]],0)),INDEX(Table3[[#All],[Last]],MATCH(A612,Table3[[#All],[PID]],0)))</f>
        <v>Shorland</v>
      </c>
      <c r="G612" s="56">
        <f>IF($C612="B",INDEX(Batters[[#All],[Age]],MATCH(Table5[[#This Row],[PID]],Batters[[#All],[PID]],0)),INDEX(Table3[[#All],[Age]],MATCH(Table5[[#This Row],[PID]],Table3[[#All],[PID]],0)))</f>
        <v>21</v>
      </c>
      <c r="H612" s="52" t="str">
        <f>IF($C612="B",INDEX(Batters[[#All],[B]],MATCH(Table5[[#This Row],[PID]],Batters[[#All],[PID]],0)),INDEX(Table3[[#All],[B]],MATCH(Table5[[#This Row],[PID]],Table3[[#All],[PID]],0)))</f>
        <v>L</v>
      </c>
      <c r="I612" s="52" t="str">
        <f>IF($C612="B",INDEX(Batters[[#All],[T]],MATCH(Table5[[#This Row],[PID]],Batters[[#All],[PID]],0)),INDEX(Table3[[#All],[T]],MATCH(Table5[[#This Row],[PID]],Table3[[#All],[PID]],0)))</f>
        <v>L</v>
      </c>
      <c r="J612" s="52" t="str">
        <f>IF($C612="B",INDEX(Batters[[#All],[WE]],MATCH(Table5[[#This Row],[PID]],Batters[[#All],[PID]],0)),INDEX(Table3[[#All],[WE]],MATCH(Table5[[#This Row],[PID]],Table3[[#All],[PID]],0)))</f>
        <v>Normal</v>
      </c>
      <c r="K612" s="52" t="str">
        <f>IF($C612="B",INDEX(Batters[[#All],[INT]],MATCH(Table5[[#This Row],[PID]],Batters[[#All],[PID]],0)),INDEX(Table3[[#All],[INT]],MATCH(Table5[[#This Row],[PID]],Table3[[#All],[PID]],0)))</f>
        <v>Normal</v>
      </c>
      <c r="L612" s="60">
        <f>IF($C612="B",INDEX(Batters[[#All],[CON P]],MATCH(Table5[[#This Row],[PID]],Batters[[#All],[PID]],0)),INDEX(Table3[[#All],[STU P]],MATCH(Table5[[#This Row],[PID]],Table3[[#All],[PID]],0)))</f>
        <v>4</v>
      </c>
      <c r="M612" s="56">
        <f>IF($C612="B",INDEX(Batters[[#All],[GAP P]],MATCH(Table5[[#This Row],[PID]],Batters[[#All],[PID]],0)),INDEX(Table3[[#All],[MOV P]],MATCH(Table5[[#This Row],[PID]],Table3[[#All],[PID]],0)))</f>
        <v>3</v>
      </c>
      <c r="N612" s="56">
        <f>IF($C612="B",INDEX(Batters[[#All],[POW P]],MATCH(Table5[[#This Row],[PID]],Batters[[#All],[PID]],0)),INDEX(Table3[[#All],[CON P]],MATCH(Table5[[#This Row],[PID]],Table3[[#All],[PID]],0)))</f>
        <v>2</v>
      </c>
      <c r="O612" s="56" t="str">
        <f>IF($C612="B",INDEX(Batters[[#All],[EYE P]],MATCH(Table5[[#This Row],[PID]],Batters[[#All],[PID]],0)),INDEX(Table3[[#All],[VELO]],MATCH(Table5[[#This Row],[PID]],Table3[[#All],[PID]],0)))</f>
        <v>86-88 Mph</v>
      </c>
      <c r="P612" s="56">
        <f>IF($C612="B",INDEX(Batters[[#All],[K P]],MATCH(Table5[[#This Row],[PID]],Batters[[#All],[PID]],0)),INDEX(Table3[[#All],[STM]],MATCH(Table5[[#This Row],[PID]],Table3[[#All],[PID]],0)))</f>
        <v>6</v>
      </c>
      <c r="Q612" s="61">
        <f>IF($C612="B",INDEX(Batters[[#All],[Tot]],MATCH(Table5[[#This Row],[PID]],Batters[[#All],[PID]],0)),INDEX(Table3[[#All],[Tot]],MATCH(Table5[[#This Row],[PID]],Table3[[#All],[PID]],0)))</f>
        <v>29.181819026788261</v>
      </c>
      <c r="R612" s="52">
        <f>IF($C612="B",INDEX(Batters[[#All],[zScore]],MATCH(Table5[[#This Row],[PID]],Batters[[#All],[PID]],0)),INDEX(Table3[[#All],[zScore]],MATCH(Table5[[#This Row],[PID]],Table3[[#All],[PID]],0)))</f>
        <v>-0.61385899445593373</v>
      </c>
      <c r="S612" s="58" t="str">
        <f>IF($C612="B",INDEX(Batters[[#All],[DEM]],MATCH(Table5[[#This Row],[PID]],Batters[[#All],[PID]],0)),INDEX(Table3[[#All],[DEM]],MATCH(Table5[[#This Row],[PID]],Table3[[#All],[PID]],0)))</f>
        <v>-</v>
      </c>
      <c r="T612" s="62">
        <f>IF($C612="B",INDEX(Batters[[#All],[Rnk]],MATCH(Table5[[#This Row],[PID]],Batters[[#All],[PID]],0)),INDEX(Table3[[#All],[Rnk]],MATCH(Table5[[#This Row],[PID]],Table3[[#All],[PID]],0)))</f>
        <v>900</v>
      </c>
      <c r="U612" s="67">
        <f>IF($C612="B",VLOOKUP($A612,Bat!$A$4:$BA$1314,47,FALSE),VLOOKUP($A612,Pit!$A$4:$BF$1214,56,FALSE))</f>
        <v>211</v>
      </c>
      <c r="V612" s="50">
        <f>IF($C612="B",VLOOKUP($A612,Bat!$A$4:$BA$1314,48,FALSE),VLOOKUP($A612,Pit!$A$4:$BF$1214,57,FALSE))</f>
        <v>0</v>
      </c>
      <c r="W612" s="68">
        <f>IF(Table5[[#This Row],[posRnk]]=999,9999,Table5[[#This Row],[posRnk]]+Table5[[#This Row],[zRnk]]+IF($W$3&lt;&gt;Table5[[#This Row],[Type]],50,0))</f>
        <v>1537</v>
      </c>
      <c r="X612" s="51">
        <f>RANK(Table5[[#This Row],[zScore]],Table5[[#All],[zScore]])</f>
        <v>637</v>
      </c>
      <c r="Y612" s="50" t="str">
        <f>IFERROR(INDEX(DraftResults[[#All],[OVR]],MATCH(Table5[[#This Row],[PID]],DraftResults[[#All],[Player ID]],0)),"")</f>
        <v/>
      </c>
      <c r="Z612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/>
      </c>
      <c r="AA612" s="50" t="str">
        <f>IFERROR(INDEX(DraftResults[[#All],[Pick in Round]],MATCH(Table5[[#This Row],[PID]],DraftResults[[#All],[Player ID]],0)),"")</f>
        <v/>
      </c>
      <c r="AB612" s="50" t="str">
        <f>IFERROR(INDEX(DraftResults[[#All],[Team Name]],MATCH(Table5[[#This Row],[PID]],DraftResults[[#All],[Player ID]],0)),"")</f>
        <v/>
      </c>
      <c r="AC612" s="50" t="str">
        <f>IF(Table5[[#This Row],[Ovr]]="","",IF(Table5[[#This Row],[cmbList]]="","",Table5[[#This Row],[cmbList]]-Table5[[#This Row],[Ovr]]))</f>
        <v/>
      </c>
      <c r="AD612" s="54" t="str">
        <f>IF(ISERROR(VLOOKUP($AB612&amp;"-"&amp;$E612&amp;" "&amp;F612,Bonuses!$B$1:$G$1006,4,FALSE)),"",INT(VLOOKUP($AB612&amp;"-"&amp;$E612&amp;" "&amp;$F612,Bonuses!$B$1:$G$1006,4,FALSE)))</f>
        <v/>
      </c>
      <c r="AE612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/>
      </c>
    </row>
    <row r="613" spans="1:31" s="50" customFormat="1" x14ac:dyDescent="0.3">
      <c r="A613" s="50">
        <v>12705</v>
      </c>
      <c r="B613" s="50">
        <f>COUNTIF(Table5[PID],A613)</f>
        <v>1</v>
      </c>
      <c r="C613" s="50" t="str">
        <f>IF(COUNTIF(Table3[[#All],[PID]],A613)&gt;0,"P","B")</f>
        <v>P</v>
      </c>
      <c r="D613" s="59" t="str">
        <f>IF($C613="B",INDEX(Batters[[#All],[POS]],MATCH(Table5[[#This Row],[PID]],Batters[[#All],[PID]],0)),INDEX(Table3[[#All],[POS]],MATCH(Table5[[#This Row],[PID]],Table3[[#All],[PID]],0)))</f>
        <v>RP</v>
      </c>
      <c r="E613" s="52" t="str">
        <f>IF($C613="B",INDEX(Batters[[#All],[First]],MATCH(Table5[[#This Row],[PID]],Batters[[#All],[PID]],0)),INDEX(Table3[[#All],[First]],MATCH(Table5[[#This Row],[PID]],Table3[[#All],[PID]],0)))</f>
        <v>George</v>
      </c>
      <c r="F613" s="50" t="str">
        <f>IF($C613="B",INDEX(Batters[[#All],[Last]],MATCH(A613,Batters[[#All],[PID]],0)),INDEX(Table3[[#All],[Last]],MATCH(A613,Table3[[#All],[PID]],0)))</f>
        <v>Hall</v>
      </c>
      <c r="G613" s="56">
        <f>IF($C613="B",INDEX(Batters[[#All],[Age]],MATCH(Table5[[#This Row],[PID]],Batters[[#All],[PID]],0)),INDEX(Table3[[#All],[Age]],MATCH(Table5[[#This Row],[PID]],Table3[[#All],[PID]],0)))</f>
        <v>17</v>
      </c>
      <c r="H613" s="52" t="str">
        <f>IF($C613="B",INDEX(Batters[[#All],[B]],MATCH(Table5[[#This Row],[PID]],Batters[[#All],[PID]],0)),INDEX(Table3[[#All],[B]],MATCH(Table5[[#This Row],[PID]],Table3[[#All],[PID]],0)))</f>
        <v>R</v>
      </c>
      <c r="I613" s="52" t="str">
        <f>IF($C613="B",INDEX(Batters[[#All],[T]],MATCH(Table5[[#This Row],[PID]],Batters[[#All],[PID]],0)),INDEX(Table3[[#All],[T]],MATCH(Table5[[#This Row],[PID]],Table3[[#All],[PID]],0)))</f>
        <v>R</v>
      </c>
      <c r="J613" s="52" t="str">
        <f>IF($C613="B",INDEX(Batters[[#All],[WE]],MATCH(Table5[[#This Row],[PID]],Batters[[#All],[PID]],0)),INDEX(Table3[[#All],[WE]],MATCH(Table5[[#This Row],[PID]],Table3[[#All],[PID]],0)))</f>
        <v>Normal</v>
      </c>
      <c r="K613" s="52" t="str">
        <f>IF($C613="B",INDEX(Batters[[#All],[INT]],MATCH(Table5[[#This Row],[PID]],Batters[[#All],[PID]],0)),INDEX(Table3[[#All],[INT]],MATCH(Table5[[#This Row],[PID]],Table3[[#All],[PID]],0)))</f>
        <v>Normal</v>
      </c>
      <c r="L613" s="60">
        <f>IF($C613="B",INDEX(Batters[[#All],[CON P]],MATCH(Table5[[#This Row],[PID]],Batters[[#All],[PID]],0)),INDEX(Table3[[#All],[STU P]],MATCH(Table5[[#This Row],[PID]],Table3[[#All],[PID]],0)))</f>
        <v>4</v>
      </c>
      <c r="M613" s="56">
        <f>IF($C613="B",INDEX(Batters[[#All],[GAP P]],MATCH(Table5[[#This Row],[PID]],Batters[[#All],[PID]],0)),INDEX(Table3[[#All],[MOV P]],MATCH(Table5[[#This Row],[PID]],Table3[[#All],[PID]],0)))</f>
        <v>2</v>
      </c>
      <c r="N613" s="56">
        <f>IF($C613="B",INDEX(Batters[[#All],[POW P]],MATCH(Table5[[#This Row],[PID]],Batters[[#All],[PID]],0)),INDEX(Table3[[#All],[CON P]],MATCH(Table5[[#This Row],[PID]],Table3[[#All],[PID]],0)))</f>
        <v>2</v>
      </c>
      <c r="O613" s="56" t="str">
        <f>IF($C613="B",INDEX(Batters[[#All],[EYE P]],MATCH(Table5[[#This Row],[PID]],Batters[[#All],[PID]],0)),INDEX(Table3[[#All],[VELO]],MATCH(Table5[[#This Row],[PID]],Table3[[#All],[PID]],0)))</f>
        <v>93-95 Mph</v>
      </c>
      <c r="P613" s="56">
        <f>IF($C613="B",INDEX(Batters[[#All],[K P]],MATCH(Table5[[#This Row],[PID]],Batters[[#All],[PID]],0)),INDEX(Table3[[#All],[STM]],MATCH(Table5[[#This Row],[PID]],Table3[[#All],[PID]],0)))</f>
        <v>9</v>
      </c>
      <c r="Q613" s="61">
        <f>IF($C613="B",INDEX(Batters[[#All],[Tot]],MATCH(Table5[[#This Row],[PID]],Batters[[#All],[PID]],0)),INDEX(Table3[[#All],[Tot]],MATCH(Table5[[#This Row],[PID]],Table3[[#All],[PID]],0)))</f>
        <v>29.044422934279186</v>
      </c>
      <c r="R613" s="52">
        <f>IF($C613="B",INDEX(Batters[[#All],[zScore]],MATCH(Table5[[#This Row],[PID]],Batters[[#All],[PID]],0)),INDEX(Table3[[#All],[zScore]],MATCH(Table5[[#This Row],[PID]],Table3[[#All],[PID]],0)))</f>
        <v>-0.61685769294145043</v>
      </c>
      <c r="S613" s="58" t="str">
        <f>IF($C613="B",INDEX(Batters[[#All],[DEM]],MATCH(Table5[[#This Row],[PID]],Batters[[#All],[PID]],0)),INDEX(Table3[[#All],[DEM]],MATCH(Table5[[#This Row],[PID]],Table3[[#All],[PID]],0)))</f>
        <v>$70k</v>
      </c>
      <c r="T613" s="62">
        <f>IF($C613="B",INDEX(Batters[[#All],[Rnk]],MATCH(Table5[[#This Row],[PID]],Batters[[#All],[PID]],0)),INDEX(Table3[[#All],[Rnk]],MATCH(Table5[[#This Row],[PID]],Table3[[#All],[PID]],0)))</f>
        <v>900</v>
      </c>
      <c r="U613" s="67">
        <f>IF($C613="B",VLOOKUP($A613,Bat!$A$4:$BA$1314,47,FALSE),VLOOKUP($A613,Pit!$A$4:$BF$1214,56,FALSE))</f>
        <v>212</v>
      </c>
      <c r="V613" s="50">
        <f>IF($C613="B",VLOOKUP($A613,Bat!$A$4:$BA$1314,48,FALSE),VLOOKUP($A613,Pit!$A$4:$BF$1214,57,FALSE))</f>
        <v>0</v>
      </c>
      <c r="W613" s="68">
        <f>IF(Table5[[#This Row],[posRnk]]=999,9999,Table5[[#This Row],[posRnk]]+Table5[[#This Row],[zRnk]]+IF($W$3&lt;&gt;Table5[[#This Row],[Type]],50,0))</f>
        <v>1538</v>
      </c>
      <c r="X613" s="51">
        <f>RANK(Table5[[#This Row],[zScore]],Table5[[#All],[zScore]])</f>
        <v>638</v>
      </c>
      <c r="Y613" s="50">
        <f>IFERROR(INDEX(DraftResults[[#All],[OVR]],MATCH(Table5[[#This Row],[PID]],DraftResults[[#All],[Player ID]],0)),"")</f>
        <v>538</v>
      </c>
      <c r="Z613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17</v>
      </c>
      <c r="AA613" s="50">
        <f>IFERROR(INDEX(DraftResults[[#All],[Pick in Round]],MATCH(Table5[[#This Row],[PID]],DraftResults[[#All],[Player ID]],0)),"")</f>
        <v>3</v>
      </c>
      <c r="AB613" s="50" t="str">
        <f>IFERROR(INDEX(DraftResults[[#All],[Team Name]],MATCH(Table5[[#This Row],[PID]],DraftResults[[#All],[Player ID]],0)),"")</f>
        <v>Okinawa Shisa</v>
      </c>
      <c r="AC613" s="50">
        <f>IF(Table5[[#This Row],[Ovr]]="","",IF(Table5[[#This Row],[cmbList]]="","",Table5[[#This Row],[cmbList]]-Table5[[#This Row],[Ovr]]))</f>
        <v>1000</v>
      </c>
      <c r="AD613" s="54" t="str">
        <f>IF(ISERROR(VLOOKUP($AB613&amp;"-"&amp;$E613&amp;" "&amp;F613,Bonuses!$B$1:$G$1006,4,FALSE)),"",INT(VLOOKUP($AB613&amp;"-"&amp;$E613&amp;" "&amp;$F613,Bonuses!$B$1:$G$1006,4,FALSE)))</f>
        <v/>
      </c>
      <c r="AE613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17.3 (538) - RP George Hall</v>
      </c>
    </row>
    <row r="614" spans="1:31" s="50" customFormat="1" x14ac:dyDescent="0.3">
      <c r="A614" s="50">
        <v>10830</v>
      </c>
      <c r="B614" s="50">
        <f>COUNTIF(Table5[PID],A614)</f>
        <v>1</v>
      </c>
      <c r="C614" s="50" t="str">
        <f>IF(COUNTIF(Table3[[#All],[PID]],A614)&gt;0,"P","B")</f>
        <v>P</v>
      </c>
      <c r="D614" s="59" t="str">
        <f>IF($C614="B",INDEX(Batters[[#All],[POS]],MATCH(Table5[[#This Row],[PID]],Batters[[#All],[PID]],0)),INDEX(Table3[[#All],[POS]],MATCH(Table5[[#This Row],[PID]],Table3[[#All],[PID]],0)))</f>
        <v>RP</v>
      </c>
      <c r="E614" s="52" t="str">
        <f>IF($C614="B",INDEX(Batters[[#All],[First]],MATCH(Table5[[#This Row],[PID]],Batters[[#All],[PID]],0)),INDEX(Table3[[#All],[First]],MATCH(Table5[[#This Row],[PID]],Table3[[#All],[PID]],0)))</f>
        <v>Yo</v>
      </c>
      <c r="F614" s="50" t="str">
        <f>IF($C614="B",INDEX(Batters[[#All],[Last]],MATCH(A614,Batters[[#All],[PID]],0)),INDEX(Table3[[#All],[Last]],MATCH(A614,Table3[[#All],[PID]],0)))</f>
        <v>Nakamura</v>
      </c>
      <c r="G614" s="56">
        <f>IF($C614="B",INDEX(Batters[[#All],[Age]],MATCH(Table5[[#This Row],[PID]],Batters[[#All],[PID]],0)),INDEX(Table3[[#All],[Age]],MATCH(Table5[[#This Row],[PID]],Table3[[#All],[PID]],0)))</f>
        <v>21</v>
      </c>
      <c r="H614" s="52" t="str">
        <f>IF($C614="B",INDEX(Batters[[#All],[B]],MATCH(Table5[[#This Row],[PID]],Batters[[#All],[PID]],0)),INDEX(Table3[[#All],[B]],MATCH(Table5[[#This Row],[PID]],Table3[[#All],[PID]],0)))</f>
        <v>L</v>
      </c>
      <c r="I614" s="52" t="str">
        <f>IF($C614="B",INDEX(Batters[[#All],[T]],MATCH(Table5[[#This Row],[PID]],Batters[[#All],[PID]],0)),INDEX(Table3[[#All],[T]],MATCH(Table5[[#This Row],[PID]],Table3[[#All],[PID]],0)))</f>
        <v>L</v>
      </c>
      <c r="J614" s="52" t="str">
        <f>IF($C614="B",INDEX(Batters[[#All],[WE]],MATCH(Table5[[#This Row],[PID]],Batters[[#All],[PID]],0)),INDEX(Table3[[#All],[WE]],MATCH(Table5[[#This Row],[PID]],Table3[[#All],[PID]],0)))</f>
        <v>Low</v>
      </c>
      <c r="K614" s="52" t="str">
        <f>IF($C614="B",INDEX(Batters[[#All],[INT]],MATCH(Table5[[#This Row],[PID]],Batters[[#All],[PID]],0)),INDEX(Table3[[#All],[INT]],MATCH(Table5[[#This Row],[PID]],Table3[[#All],[PID]],0)))</f>
        <v>Normal</v>
      </c>
      <c r="L614" s="60">
        <f>IF($C614="B",INDEX(Batters[[#All],[CON P]],MATCH(Table5[[#This Row],[PID]],Batters[[#All],[PID]],0)),INDEX(Table3[[#All],[STU P]],MATCH(Table5[[#This Row],[PID]],Table3[[#All],[PID]],0)))</f>
        <v>4</v>
      </c>
      <c r="M614" s="56">
        <f>IF($C614="B",INDEX(Batters[[#All],[GAP P]],MATCH(Table5[[#This Row],[PID]],Batters[[#All],[PID]],0)),INDEX(Table3[[#All],[MOV P]],MATCH(Table5[[#This Row],[PID]],Table3[[#All],[PID]],0)))</f>
        <v>2</v>
      </c>
      <c r="N614" s="56">
        <f>IF($C614="B",INDEX(Batters[[#All],[POW P]],MATCH(Table5[[#This Row],[PID]],Batters[[#All],[PID]],0)),INDEX(Table3[[#All],[CON P]],MATCH(Table5[[#This Row],[PID]],Table3[[#All],[PID]],0)))</f>
        <v>3</v>
      </c>
      <c r="O614" s="56" t="str">
        <f>IF($C614="B",INDEX(Batters[[#All],[EYE P]],MATCH(Table5[[#This Row],[PID]],Batters[[#All],[PID]],0)),INDEX(Table3[[#All],[VELO]],MATCH(Table5[[#This Row],[PID]],Table3[[#All],[PID]],0)))</f>
        <v>86-88 Mph</v>
      </c>
      <c r="P614" s="56">
        <f>IF($C614="B",INDEX(Batters[[#All],[K P]],MATCH(Table5[[#This Row],[PID]],Batters[[#All],[PID]],0)),INDEX(Table3[[#All],[STM]],MATCH(Table5[[#This Row],[PID]],Table3[[#All],[PID]],0)))</f>
        <v>7</v>
      </c>
      <c r="Q614" s="61">
        <f>IF($C614="B",INDEX(Batters[[#All],[Tot]],MATCH(Table5[[#This Row],[PID]],Batters[[#All],[PID]],0)),INDEX(Table3[[#All],[Tot]],MATCH(Table5[[#This Row],[PID]],Table3[[#All],[PID]],0)))</f>
        <v>29.732912549535307</v>
      </c>
      <c r="R614" s="52">
        <f>IF($C614="B",INDEX(Batters[[#All],[zScore]],MATCH(Table5[[#This Row],[PID]],Batters[[#All],[PID]],0)),INDEX(Table3[[#All],[zScore]],MATCH(Table5[[#This Row],[PID]],Table3[[#All],[PID]],0)))</f>
        <v>-0.57461725986560097</v>
      </c>
      <c r="S614" s="58" t="str">
        <f>IF($C614="B",INDEX(Batters[[#All],[DEM]],MATCH(Table5[[#This Row],[PID]],Batters[[#All],[PID]],0)),INDEX(Table3[[#All],[DEM]],MATCH(Table5[[#This Row],[PID]],Table3[[#All],[PID]],0)))</f>
        <v>$20k</v>
      </c>
      <c r="T614" s="62">
        <f>IF($C614="B",INDEX(Batters[[#All],[Rnk]],MATCH(Table5[[#This Row],[PID]],Batters[[#All],[PID]],0)),INDEX(Table3[[#All],[Rnk]],MATCH(Table5[[#This Row],[PID]],Table3[[#All],[PID]],0)))</f>
        <v>930</v>
      </c>
      <c r="U614" s="67">
        <f>IF($C614="B",VLOOKUP($A614,Bat!$A$4:$BA$1314,47,FALSE),VLOOKUP($A614,Pit!$A$4:$BF$1214,56,FALSE))</f>
        <v>332</v>
      </c>
      <c r="V614" s="50">
        <f>IF($C614="B",VLOOKUP($A614,Bat!$A$4:$BA$1314,48,FALSE),VLOOKUP($A614,Pit!$A$4:$BF$1214,57,FALSE))</f>
        <v>0</v>
      </c>
      <c r="W614" s="68">
        <f>IF(Table5[[#This Row],[posRnk]]=999,9999,Table5[[#This Row],[posRnk]]+Table5[[#This Row],[zRnk]]+IF($W$3&lt;&gt;Table5[[#This Row],[Type]],50,0))</f>
        <v>1539</v>
      </c>
      <c r="X614" s="51">
        <f>RANK(Table5[[#This Row],[zScore]],Table5[[#All],[zScore]])</f>
        <v>609</v>
      </c>
      <c r="Y614" s="50" t="str">
        <f>IFERROR(INDEX(DraftResults[[#All],[OVR]],MATCH(Table5[[#This Row],[PID]],DraftResults[[#All],[Player ID]],0)),"")</f>
        <v/>
      </c>
      <c r="Z614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/>
      </c>
      <c r="AA614" s="50" t="str">
        <f>IFERROR(INDEX(DraftResults[[#All],[Pick in Round]],MATCH(Table5[[#This Row],[PID]],DraftResults[[#All],[Player ID]],0)),"")</f>
        <v/>
      </c>
      <c r="AB614" s="50" t="str">
        <f>IFERROR(INDEX(DraftResults[[#All],[Team Name]],MATCH(Table5[[#This Row],[PID]],DraftResults[[#All],[Player ID]],0)),"")</f>
        <v/>
      </c>
      <c r="AC614" s="50" t="str">
        <f>IF(Table5[[#This Row],[Ovr]]="","",IF(Table5[[#This Row],[cmbList]]="","",Table5[[#This Row],[cmbList]]-Table5[[#This Row],[Ovr]]))</f>
        <v/>
      </c>
      <c r="AD614" s="54" t="str">
        <f>IF(ISERROR(VLOOKUP($AB614&amp;"-"&amp;$E614&amp;" "&amp;F614,Bonuses!$B$1:$G$1006,4,FALSE)),"",INT(VLOOKUP($AB614&amp;"-"&amp;$E614&amp;" "&amp;$F614,Bonuses!$B$1:$G$1006,4,FALSE)))</f>
        <v/>
      </c>
      <c r="AE614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/>
      </c>
    </row>
    <row r="615" spans="1:31" s="50" customFormat="1" x14ac:dyDescent="0.3">
      <c r="A615" s="50">
        <v>20486</v>
      </c>
      <c r="B615" s="50">
        <f>COUNTIF(Table5[PID],A615)</f>
        <v>1</v>
      </c>
      <c r="C615" s="50" t="str">
        <f>IF(COUNTIF(Table3[[#All],[PID]],A615)&gt;0,"P","B")</f>
        <v>P</v>
      </c>
      <c r="D615" s="59" t="str">
        <f>IF($C615="B",INDEX(Batters[[#All],[POS]],MATCH(Table5[[#This Row],[PID]],Batters[[#All],[PID]],0)),INDEX(Table3[[#All],[POS]],MATCH(Table5[[#This Row],[PID]],Table3[[#All],[PID]],0)))</f>
        <v>RP</v>
      </c>
      <c r="E615" s="52" t="str">
        <f>IF($C615="B",INDEX(Batters[[#All],[First]],MATCH(Table5[[#This Row],[PID]],Batters[[#All],[PID]],0)),INDEX(Table3[[#All],[First]],MATCH(Table5[[#This Row],[PID]],Table3[[#All],[PID]],0)))</f>
        <v>Eisuke</v>
      </c>
      <c r="F615" s="50" t="str">
        <f>IF($C615="B",INDEX(Batters[[#All],[Last]],MATCH(A615,Batters[[#All],[PID]],0)),INDEX(Table3[[#All],[Last]],MATCH(A615,Table3[[#All],[PID]],0)))</f>
        <v>Tanaka</v>
      </c>
      <c r="G615" s="56">
        <f>IF($C615="B",INDEX(Batters[[#All],[Age]],MATCH(Table5[[#This Row],[PID]],Batters[[#All],[PID]],0)),INDEX(Table3[[#All],[Age]],MATCH(Table5[[#This Row],[PID]],Table3[[#All],[PID]],0)))</f>
        <v>16</v>
      </c>
      <c r="H615" s="52" t="str">
        <f>IF($C615="B",INDEX(Batters[[#All],[B]],MATCH(Table5[[#This Row],[PID]],Batters[[#All],[PID]],0)),INDEX(Table3[[#All],[B]],MATCH(Table5[[#This Row],[PID]],Table3[[#All],[PID]],0)))</f>
        <v>R</v>
      </c>
      <c r="I615" s="52" t="str">
        <f>IF($C615="B",INDEX(Batters[[#All],[T]],MATCH(Table5[[#This Row],[PID]],Batters[[#All],[PID]],0)),INDEX(Table3[[#All],[T]],MATCH(Table5[[#This Row],[PID]],Table3[[#All],[PID]],0)))</f>
        <v>R</v>
      </c>
      <c r="J615" s="52" t="str">
        <f>IF($C615="B",INDEX(Batters[[#All],[WE]],MATCH(Table5[[#This Row],[PID]],Batters[[#All],[PID]],0)),INDEX(Table3[[#All],[WE]],MATCH(Table5[[#This Row],[PID]],Table3[[#All],[PID]],0)))</f>
        <v>Normal</v>
      </c>
      <c r="K615" s="52" t="str">
        <f>IF($C615="B",INDEX(Batters[[#All],[INT]],MATCH(Table5[[#This Row],[PID]],Batters[[#All],[PID]],0)),INDEX(Table3[[#All],[INT]],MATCH(Table5[[#This Row],[PID]],Table3[[#All],[PID]],0)))</f>
        <v>Normal</v>
      </c>
      <c r="L615" s="60">
        <f>IF($C615="B",INDEX(Batters[[#All],[CON P]],MATCH(Table5[[#This Row],[PID]],Batters[[#All],[PID]],0)),INDEX(Table3[[#All],[STU P]],MATCH(Table5[[#This Row],[PID]],Table3[[#All],[PID]],0)))</f>
        <v>5</v>
      </c>
      <c r="M615" s="56">
        <f>IF($C615="B",INDEX(Batters[[#All],[GAP P]],MATCH(Table5[[#This Row],[PID]],Batters[[#All],[PID]],0)),INDEX(Table3[[#All],[MOV P]],MATCH(Table5[[#This Row],[PID]],Table3[[#All],[PID]],0)))</f>
        <v>1</v>
      </c>
      <c r="N615" s="56">
        <f>IF($C615="B",INDEX(Batters[[#All],[POW P]],MATCH(Table5[[#This Row],[PID]],Batters[[#All],[PID]],0)),INDEX(Table3[[#All],[CON P]],MATCH(Table5[[#This Row],[PID]],Table3[[#All],[PID]],0)))</f>
        <v>3</v>
      </c>
      <c r="O615" s="56" t="str">
        <f>IF($C615="B",INDEX(Batters[[#All],[EYE P]],MATCH(Table5[[#This Row],[PID]],Batters[[#All],[PID]],0)),INDEX(Table3[[#All],[VELO]],MATCH(Table5[[#This Row],[PID]],Table3[[#All],[PID]],0)))</f>
        <v>87-89 Mph</v>
      </c>
      <c r="P615" s="56">
        <f>IF($C615="B",INDEX(Batters[[#All],[K P]],MATCH(Table5[[#This Row],[PID]],Batters[[#All],[PID]],0)),INDEX(Table3[[#All],[STM]],MATCH(Table5[[#This Row],[PID]],Table3[[#All],[PID]],0)))</f>
        <v>2</v>
      </c>
      <c r="Q615" s="61">
        <f>IF($C615="B",INDEX(Batters[[#All],[Tot]],MATCH(Table5[[#This Row],[PID]],Batters[[#All],[PID]],0)),INDEX(Table3[[#All],[Tot]],MATCH(Table5[[#This Row],[PID]],Table3[[#All],[PID]],0)))</f>
        <v>28.989631261816275</v>
      </c>
      <c r="R615" s="52">
        <f>IF($C615="B",INDEX(Batters[[#All],[zScore]],MATCH(Table5[[#This Row],[PID]],Batters[[#All],[PID]],0)),INDEX(Table3[[#All],[zScore]],MATCH(Table5[[#This Row],[PID]],Table3[[#All],[PID]],0)))</f>
        <v>-0.62754411495407769</v>
      </c>
      <c r="S615" s="58" t="str">
        <f>IF($C615="B",INDEX(Batters[[#All],[DEM]],MATCH(Table5[[#This Row],[PID]],Batters[[#All],[PID]],0)),INDEX(Table3[[#All],[DEM]],MATCH(Table5[[#This Row],[PID]],Table3[[#All],[PID]],0)))</f>
        <v>$38k</v>
      </c>
      <c r="T615" s="62">
        <f>IF($C615="B",INDEX(Batters[[#All],[Rnk]],MATCH(Table5[[#This Row],[PID]],Batters[[#All],[PID]],0)),INDEX(Table3[[#All],[Rnk]],MATCH(Table5[[#This Row],[PID]],Table3[[#All],[PID]],0)))</f>
        <v>900</v>
      </c>
      <c r="U615" s="67">
        <f>IF($C615="B",VLOOKUP($A615,Bat!$A$4:$BA$1314,47,FALSE),VLOOKUP($A615,Pit!$A$4:$BF$1214,56,FALSE))</f>
        <v>213</v>
      </c>
      <c r="V615" s="50">
        <f>IF($C615="B",VLOOKUP($A615,Bat!$A$4:$BA$1314,48,FALSE),VLOOKUP($A615,Pit!$A$4:$BF$1214,57,FALSE))</f>
        <v>0</v>
      </c>
      <c r="W615" s="68">
        <f>IF(Table5[[#This Row],[posRnk]]=999,9999,Table5[[#This Row],[posRnk]]+Table5[[#This Row],[zRnk]]+IF($W$3&lt;&gt;Table5[[#This Row],[Type]],50,0))</f>
        <v>1540</v>
      </c>
      <c r="X615" s="51">
        <f>RANK(Table5[[#This Row],[zScore]],Table5[[#All],[zScore]])</f>
        <v>640</v>
      </c>
      <c r="Y615" s="50">
        <f>IFERROR(INDEX(DraftResults[[#All],[OVR]],MATCH(Table5[[#This Row],[PID]],DraftResults[[#All],[Player ID]],0)),"")</f>
        <v>589</v>
      </c>
      <c r="Z615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18</v>
      </c>
      <c r="AA615" s="50">
        <f>IFERROR(INDEX(DraftResults[[#All],[Pick in Round]],MATCH(Table5[[#This Row],[PID]],DraftResults[[#All],[Player ID]],0)),"")</f>
        <v>20</v>
      </c>
      <c r="AB615" s="50" t="str">
        <f>IFERROR(INDEX(DraftResults[[#All],[Team Name]],MATCH(Table5[[#This Row],[PID]],DraftResults[[#All],[Player ID]],0)),"")</f>
        <v>Crystal Lake Sandgnats</v>
      </c>
      <c r="AC615" s="50">
        <f>IF(Table5[[#This Row],[Ovr]]="","",IF(Table5[[#This Row],[cmbList]]="","",Table5[[#This Row],[cmbList]]-Table5[[#This Row],[Ovr]]))</f>
        <v>951</v>
      </c>
      <c r="AD615" s="54" t="str">
        <f>IF(ISERROR(VLOOKUP($AB615&amp;"-"&amp;$E615&amp;" "&amp;F615,Bonuses!$B$1:$G$1006,4,FALSE)),"",INT(VLOOKUP($AB615&amp;"-"&amp;$E615&amp;" "&amp;$F615,Bonuses!$B$1:$G$1006,4,FALSE)))</f>
        <v/>
      </c>
      <c r="AE615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18.20 (589) - RP Eisuke Tanaka</v>
      </c>
    </row>
    <row r="616" spans="1:31" s="50" customFormat="1" x14ac:dyDescent="0.3">
      <c r="A616" s="50">
        <v>20268</v>
      </c>
      <c r="B616" s="50">
        <f>COUNTIF(Table5[PID],A616)</f>
        <v>1</v>
      </c>
      <c r="C616" s="50" t="str">
        <f>IF(COUNTIF(Table3[[#All],[PID]],A616)&gt;0,"P","B")</f>
        <v>P</v>
      </c>
      <c r="D616" s="59" t="str">
        <f>IF($C616="B",INDEX(Batters[[#All],[POS]],MATCH(Table5[[#This Row],[PID]],Batters[[#All],[PID]],0)),INDEX(Table3[[#All],[POS]],MATCH(Table5[[#This Row],[PID]],Table3[[#All],[PID]],0)))</f>
        <v>RP</v>
      </c>
      <c r="E616" s="52" t="str">
        <f>IF($C616="B",INDEX(Batters[[#All],[First]],MATCH(Table5[[#This Row],[PID]],Batters[[#All],[PID]],0)),INDEX(Table3[[#All],[First]],MATCH(Table5[[#This Row],[PID]],Table3[[#All],[PID]],0)))</f>
        <v>Zhi-huan</v>
      </c>
      <c r="F616" s="50" t="str">
        <f>IF($C616="B",INDEX(Batters[[#All],[Last]],MATCH(A616,Batters[[#All],[PID]],0)),INDEX(Table3[[#All],[Last]],MATCH(A616,Table3[[#All],[PID]],0)))</f>
        <v>Gui</v>
      </c>
      <c r="G616" s="56">
        <f>IF($C616="B",INDEX(Batters[[#All],[Age]],MATCH(Table5[[#This Row],[PID]],Batters[[#All],[PID]],0)),INDEX(Table3[[#All],[Age]],MATCH(Table5[[#This Row],[PID]],Table3[[#All],[PID]],0)))</f>
        <v>21</v>
      </c>
      <c r="H616" s="52" t="str">
        <f>IF($C616="B",INDEX(Batters[[#All],[B]],MATCH(Table5[[#This Row],[PID]],Batters[[#All],[PID]],0)),INDEX(Table3[[#All],[B]],MATCH(Table5[[#This Row],[PID]],Table3[[#All],[PID]],0)))</f>
        <v>R</v>
      </c>
      <c r="I616" s="52" t="str">
        <f>IF($C616="B",INDEX(Batters[[#All],[T]],MATCH(Table5[[#This Row],[PID]],Batters[[#All],[PID]],0)),INDEX(Table3[[#All],[T]],MATCH(Table5[[#This Row],[PID]],Table3[[#All],[PID]],0)))</f>
        <v>R</v>
      </c>
      <c r="J616" s="52" t="str">
        <f>IF($C616="B",INDEX(Batters[[#All],[WE]],MATCH(Table5[[#This Row],[PID]],Batters[[#All],[PID]],0)),INDEX(Table3[[#All],[WE]],MATCH(Table5[[#This Row],[PID]],Table3[[#All],[PID]],0)))</f>
        <v>Normal</v>
      </c>
      <c r="K616" s="52" t="str">
        <f>IF($C616="B",INDEX(Batters[[#All],[INT]],MATCH(Table5[[#This Row],[PID]],Batters[[#All],[PID]],0)),INDEX(Table3[[#All],[INT]],MATCH(Table5[[#This Row],[PID]],Table3[[#All],[PID]],0)))</f>
        <v>Normal</v>
      </c>
      <c r="L616" s="60">
        <f>IF($C616="B",INDEX(Batters[[#All],[CON P]],MATCH(Table5[[#This Row],[PID]],Batters[[#All],[PID]],0)),INDEX(Table3[[#All],[STU P]],MATCH(Table5[[#This Row],[PID]],Table3[[#All],[PID]],0)))</f>
        <v>4</v>
      </c>
      <c r="M616" s="56">
        <f>IF($C616="B",INDEX(Batters[[#All],[GAP P]],MATCH(Table5[[#This Row],[PID]],Batters[[#All],[PID]],0)),INDEX(Table3[[#All],[MOV P]],MATCH(Table5[[#This Row],[PID]],Table3[[#All],[PID]],0)))</f>
        <v>2</v>
      </c>
      <c r="N616" s="56">
        <f>IF($C616="B",INDEX(Batters[[#All],[POW P]],MATCH(Table5[[#This Row],[PID]],Batters[[#All],[PID]],0)),INDEX(Table3[[#All],[CON P]],MATCH(Table5[[#This Row],[PID]],Table3[[#All],[PID]],0)))</f>
        <v>3</v>
      </c>
      <c r="O616" s="56" t="str">
        <f>IF($C616="B",INDEX(Batters[[#All],[EYE P]],MATCH(Table5[[#This Row],[PID]],Batters[[#All],[PID]],0)),INDEX(Table3[[#All],[VELO]],MATCH(Table5[[#This Row],[PID]],Table3[[#All],[PID]],0)))</f>
        <v>89-91 Mph</v>
      </c>
      <c r="P616" s="56">
        <f>IF($C616="B",INDEX(Batters[[#All],[K P]],MATCH(Table5[[#This Row],[PID]],Batters[[#All],[PID]],0)),INDEX(Table3[[#All],[STM]],MATCH(Table5[[#This Row],[PID]],Table3[[#All],[PID]],0)))</f>
        <v>8</v>
      </c>
      <c r="Q616" s="61">
        <f>IF($C616="B",INDEX(Batters[[#All],[Tot]],MATCH(Table5[[#This Row],[PID]],Batters[[#All],[PID]],0)),INDEX(Table3[[#All],[Tot]],MATCH(Table5[[#This Row],[PID]],Table3[[#All],[PID]],0)))</f>
        <v>28.788276835412386</v>
      </c>
      <c r="R616" s="52">
        <f>IF($C616="B",INDEX(Batters[[#All],[zScore]],MATCH(Table5[[#This Row],[PID]],Batters[[#All],[PID]],0)),INDEX(Table3[[#All],[zScore]],MATCH(Table5[[#This Row],[PID]],Table3[[#All],[PID]],0)))</f>
        <v>-0.63508085731735464</v>
      </c>
      <c r="S616" s="58" t="str">
        <f>IF($C616="B",INDEX(Batters[[#All],[DEM]],MATCH(Table5[[#This Row],[PID]],Batters[[#All],[PID]],0)),INDEX(Table3[[#All],[DEM]],MATCH(Table5[[#This Row],[PID]],Table3[[#All],[PID]],0)))</f>
        <v>-</v>
      </c>
      <c r="T616" s="62">
        <f>IF($C616="B",INDEX(Batters[[#All],[Rnk]],MATCH(Table5[[#This Row],[PID]],Batters[[#All],[PID]],0)),INDEX(Table3[[#All],[Rnk]],MATCH(Table5[[#This Row],[PID]],Table3[[#All],[PID]],0)))</f>
        <v>900</v>
      </c>
      <c r="U616" s="67">
        <f>IF($C616="B",VLOOKUP($A616,Bat!$A$4:$BA$1314,47,FALSE),VLOOKUP($A616,Pit!$A$4:$BF$1214,56,FALSE))</f>
        <v>214</v>
      </c>
      <c r="V616" s="50">
        <f>IF($C616="B",VLOOKUP($A616,Bat!$A$4:$BA$1314,48,FALSE),VLOOKUP($A616,Pit!$A$4:$BF$1214,57,FALSE))</f>
        <v>0</v>
      </c>
      <c r="W616" s="68">
        <f>IF(Table5[[#This Row],[posRnk]]=999,9999,Table5[[#This Row],[posRnk]]+Table5[[#This Row],[zRnk]]+IF($W$3&lt;&gt;Table5[[#This Row],[Type]],50,0))</f>
        <v>1541</v>
      </c>
      <c r="X616" s="51">
        <f>RANK(Table5[[#This Row],[zScore]],Table5[[#All],[zScore]])</f>
        <v>641</v>
      </c>
      <c r="Y616" s="50">
        <f>IFERROR(INDEX(DraftResults[[#All],[OVR]],MATCH(Table5[[#This Row],[PID]],DraftResults[[#All],[Player ID]],0)),"")</f>
        <v>586</v>
      </c>
      <c r="Z616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18</v>
      </c>
      <c r="AA616" s="50">
        <f>IFERROR(INDEX(DraftResults[[#All],[Pick in Round]],MATCH(Table5[[#This Row],[PID]],DraftResults[[#All],[Player ID]],0)),"")</f>
        <v>17</v>
      </c>
      <c r="AB616" s="50" t="str">
        <f>IFERROR(INDEX(DraftResults[[#All],[Team Name]],MATCH(Table5[[#This Row],[PID]],DraftResults[[#All],[Player ID]],0)),"")</f>
        <v>Duluth Warriors</v>
      </c>
      <c r="AC616" s="50">
        <f>IF(Table5[[#This Row],[Ovr]]="","",IF(Table5[[#This Row],[cmbList]]="","",Table5[[#This Row],[cmbList]]-Table5[[#This Row],[Ovr]]))</f>
        <v>955</v>
      </c>
      <c r="AD616" s="54" t="str">
        <f>IF(ISERROR(VLOOKUP($AB616&amp;"-"&amp;$E616&amp;" "&amp;F616,Bonuses!$B$1:$G$1006,4,FALSE)),"",INT(VLOOKUP($AB616&amp;"-"&amp;$E616&amp;" "&amp;$F616,Bonuses!$B$1:$G$1006,4,FALSE)))</f>
        <v/>
      </c>
      <c r="AE616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18.17 (586) - RP Zhi-huan Gui</v>
      </c>
    </row>
    <row r="617" spans="1:31" s="50" customFormat="1" x14ac:dyDescent="0.3">
      <c r="A617" s="50">
        <v>10797</v>
      </c>
      <c r="B617" s="50">
        <f>COUNTIF(Table5[PID],A617)</f>
        <v>1</v>
      </c>
      <c r="C617" s="50" t="str">
        <f>IF(COUNTIF(Table3[[#All],[PID]],A617)&gt;0,"P","B")</f>
        <v>P</v>
      </c>
      <c r="D617" s="59" t="str">
        <f>IF($C617="B",INDEX(Batters[[#All],[POS]],MATCH(Table5[[#This Row],[PID]],Batters[[#All],[PID]],0)),INDEX(Table3[[#All],[POS]],MATCH(Table5[[#This Row],[PID]],Table3[[#All],[PID]],0)))</f>
        <v>RP</v>
      </c>
      <c r="E617" s="52" t="str">
        <f>IF($C617="B",INDEX(Batters[[#All],[First]],MATCH(Table5[[#This Row],[PID]],Batters[[#All],[PID]],0)),INDEX(Table3[[#All],[First]],MATCH(Table5[[#This Row],[PID]],Table3[[#All],[PID]],0)))</f>
        <v>Luis</v>
      </c>
      <c r="F617" s="50" t="str">
        <f>IF($C617="B",INDEX(Batters[[#All],[Last]],MATCH(A617,Batters[[#All],[PID]],0)),INDEX(Table3[[#All],[Last]],MATCH(A617,Table3[[#All],[PID]],0)))</f>
        <v>Mendoza</v>
      </c>
      <c r="G617" s="56">
        <f>IF($C617="B",INDEX(Batters[[#All],[Age]],MATCH(Table5[[#This Row],[PID]],Batters[[#All],[PID]],0)),INDEX(Table3[[#All],[Age]],MATCH(Table5[[#This Row],[PID]],Table3[[#All],[PID]],0)))</f>
        <v>21</v>
      </c>
      <c r="H617" s="52" t="str">
        <f>IF($C617="B",INDEX(Batters[[#All],[B]],MATCH(Table5[[#This Row],[PID]],Batters[[#All],[PID]],0)),INDEX(Table3[[#All],[B]],MATCH(Table5[[#This Row],[PID]],Table3[[#All],[PID]],0)))</f>
        <v>R</v>
      </c>
      <c r="I617" s="52" t="str">
        <f>IF($C617="B",INDEX(Batters[[#All],[T]],MATCH(Table5[[#This Row],[PID]],Batters[[#All],[PID]],0)),INDEX(Table3[[#All],[T]],MATCH(Table5[[#This Row],[PID]],Table3[[#All],[PID]],0)))</f>
        <v>R</v>
      </c>
      <c r="J617" s="52" t="str">
        <f>IF($C617="B",INDEX(Batters[[#All],[WE]],MATCH(Table5[[#This Row],[PID]],Batters[[#All],[PID]],0)),INDEX(Table3[[#All],[WE]],MATCH(Table5[[#This Row],[PID]],Table3[[#All],[PID]],0)))</f>
        <v>Low</v>
      </c>
      <c r="K617" s="52" t="str">
        <f>IF($C617="B",INDEX(Batters[[#All],[INT]],MATCH(Table5[[#This Row],[PID]],Batters[[#All],[PID]],0)),INDEX(Table3[[#All],[INT]],MATCH(Table5[[#This Row],[PID]],Table3[[#All],[PID]],0)))</f>
        <v>Normal</v>
      </c>
      <c r="L617" s="60">
        <f>IF($C617="B",INDEX(Batters[[#All],[CON P]],MATCH(Table5[[#This Row],[PID]],Batters[[#All],[PID]],0)),INDEX(Table3[[#All],[STU P]],MATCH(Table5[[#This Row],[PID]],Table3[[#All],[PID]],0)))</f>
        <v>4</v>
      </c>
      <c r="M617" s="56">
        <f>IF($C617="B",INDEX(Batters[[#All],[GAP P]],MATCH(Table5[[#This Row],[PID]],Batters[[#All],[PID]],0)),INDEX(Table3[[#All],[MOV P]],MATCH(Table5[[#This Row],[PID]],Table3[[#All],[PID]],0)))</f>
        <v>2</v>
      </c>
      <c r="N617" s="56">
        <f>IF($C617="B",INDEX(Batters[[#All],[POW P]],MATCH(Table5[[#This Row],[PID]],Batters[[#All],[PID]],0)),INDEX(Table3[[#All],[CON P]],MATCH(Table5[[#This Row],[PID]],Table3[[#All],[PID]],0)))</f>
        <v>3</v>
      </c>
      <c r="O617" s="56" t="str">
        <f>IF($C617="B",INDEX(Batters[[#All],[EYE P]],MATCH(Table5[[#This Row],[PID]],Batters[[#All],[PID]],0)),INDEX(Table3[[#All],[VELO]],MATCH(Table5[[#This Row],[PID]],Table3[[#All],[PID]],0)))</f>
        <v>89-91 Mph</v>
      </c>
      <c r="P617" s="56">
        <f>IF($C617="B",INDEX(Batters[[#All],[K P]],MATCH(Table5[[#This Row],[PID]],Batters[[#All],[PID]],0)),INDEX(Table3[[#All],[STM]],MATCH(Table5[[#This Row],[PID]],Table3[[#All],[PID]],0)))</f>
        <v>8</v>
      </c>
      <c r="Q617" s="61">
        <f>IF($C617="B",INDEX(Batters[[#All],[Tot]],MATCH(Table5[[#This Row],[PID]],Batters[[#All],[PID]],0)),INDEX(Table3[[#All],[Tot]],MATCH(Table5[[#This Row],[PID]],Table3[[#All],[PID]],0)))</f>
        <v>29.689812722201562</v>
      </c>
      <c r="R617" s="52">
        <f>IF($C617="B",INDEX(Batters[[#All],[zScore]],MATCH(Table5[[#This Row],[PID]],Batters[[#All],[PID]],0)),INDEX(Table3[[#All],[zScore]],MATCH(Table5[[#This Row],[PID]],Table3[[#All],[PID]],0)))</f>
        <v>-0.57768627068737455</v>
      </c>
      <c r="S617" s="58" t="str">
        <f>IF($C617="B",INDEX(Batters[[#All],[DEM]],MATCH(Table5[[#This Row],[PID]],Batters[[#All],[PID]],0)),INDEX(Table3[[#All],[DEM]],MATCH(Table5[[#This Row],[PID]],Table3[[#All],[PID]],0)))</f>
        <v>-</v>
      </c>
      <c r="T617" s="62">
        <f>IF($C617="B",INDEX(Batters[[#All],[Rnk]],MATCH(Table5[[#This Row],[PID]],Batters[[#All],[PID]],0)),INDEX(Table3[[#All],[Rnk]],MATCH(Table5[[#This Row],[PID]],Table3[[#All],[PID]],0)))</f>
        <v>930</v>
      </c>
      <c r="U617" s="67">
        <f>IF($C617="B",VLOOKUP($A617,Bat!$A$4:$BA$1314,47,FALSE),VLOOKUP($A617,Pit!$A$4:$BF$1214,56,FALSE))</f>
        <v>333</v>
      </c>
      <c r="V617" s="50">
        <f>IF($C617="B",VLOOKUP($A617,Bat!$A$4:$BA$1314,48,FALSE),VLOOKUP($A617,Pit!$A$4:$BF$1214,57,FALSE))</f>
        <v>0</v>
      </c>
      <c r="W617" s="68">
        <f>IF(Table5[[#This Row],[posRnk]]=999,9999,Table5[[#This Row],[posRnk]]+Table5[[#This Row],[zRnk]]+IF($W$3&lt;&gt;Table5[[#This Row],[Type]],50,0))</f>
        <v>1541</v>
      </c>
      <c r="X617" s="51">
        <f>RANK(Table5[[#This Row],[zScore]],Table5[[#All],[zScore]])</f>
        <v>611</v>
      </c>
      <c r="Y617" s="50">
        <f>IFERROR(INDEX(DraftResults[[#All],[OVR]],MATCH(Table5[[#This Row],[PID]],DraftResults[[#All],[Player ID]],0)),"")</f>
        <v>422</v>
      </c>
      <c r="Z617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13</v>
      </c>
      <c r="AA617" s="50">
        <f>IFERROR(INDEX(DraftResults[[#All],[Pick in Round]],MATCH(Table5[[#This Row],[PID]],DraftResults[[#All],[Player ID]],0)),"")</f>
        <v>23</v>
      </c>
      <c r="AB617" s="50" t="str">
        <f>IFERROR(INDEX(DraftResults[[#All],[Team Name]],MATCH(Table5[[#This Row],[PID]],DraftResults[[#All],[Player ID]],0)),"")</f>
        <v>Kentucky Thoroughbreds</v>
      </c>
      <c r="AC617" s="50">
        <f>IF(Table5[[#This Row],[Ovr]]="","",IF(Table5[[#This Row],[cmbList]]="","",Table5[[#This Row],[cmbList]]-Table5[[#This Row],[Ovr]]))</f>
        <v>1119</v>
      </c>
      <c r="AD617" s="54" t="str">
        <f>IF(ISERROR(VLOOKUP($AB617&amp;"-"&amp;$E617&amp;" "&amp;F617,Bonuses!$B$1:$G$1006,4,FALSE)),"",INT(VLOOKUP($AB617&amp;"-"&amp;$E617&amp;" "&amp;$F617,Bonuses!$B$1:$G$1006,4,FALSE)))</f>
        <v/>
      </c>
      <c r="AE617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13.23 (422) - RP Luis Mendoza</v>
      </c>
    </row>
    <row r="618" spans="1:31" s="50" customFormat="1" x14ac:dyDescent="0.3">
      <c r="A618" s="67">
        <v>12885</v>
      </c>
      <c r="B618" s="68">
        <f>COUNTIF(Table5[PID],A618)</f>
        <v>1</v>
      </c>
      <c r="C618" s="68" t="str">
        <f>IF(COUNTIF(Table3[[#All],[PID]],A618)&gt;0,"P","B")</f>
        <v>P</v>
      </c>
      <c r="D618" s="59" t="str">
        <f>IF($C618="B",INDEX(Batters[[#All],[POS]],MATCH(Table5[[#This Row],[PID]],Batters[[#All],[PID]],0)),INDEX(Table3[[#All],[POS]],MATCH(Table5[[#This Row],[PID]],Table3[[#All],[PID]],0)))</f>
        <v>RP</v>
      </c>
      <c r="E618" s="52" t="str">
        <f>IF($C618="B",INDEX(Batters[[#All],[First]],MATCH(Table5[[#This Row],[PID]],Batters[[#All],[PID]],0)),INDEX(Table3[[#All],[First]],MATCH(Table5[[#This Row],[PID]],Table3[[#All],[PID]],0)))</f>
        <v>Aaron</v>
      </c>
      <c r="F618" s="55" t="str">
        <f>IF($C618="B",INDEX(Batters[[#All],[Last]],MATCH(A618,Batters[[#All],[PID]],0)),INDEX(Table3[[#All],[Last]],MATCH(A618,Table3[[#All],[PID]],0)))</f>
        <v>Attoehow</v>
      </c>
      <c r="G618" s="56">
        <f>IF($C618="B",INDEX(Batters[[#All],[Age]],MATCH(Table5[[#This Row],[PID]],Batters[[#All],[PID]],0)),INDEX(Table3[[#All],[Age]],MATCH(Table5[[#This Row],[PID]],Table3[[#All],[PID]],0)))</f>
        <v>21</v>
      </c>
      <c r="H618" s="52" t="str">
        <f>IF($C618="B",INDEX(Batters[[#All],[B]],MATCH(Table5[[#This Row],[PID]],Batters[[#All],[PID]],0)),INDEX(Table3[[#All],[B]],MATCH(Table5[[#This Row],[PID]],Table3[[#All],[PID]],0)))</f>
        <v>S</v>
      </c>
      <c r="I618" s="52" t="str">
        <f>IF($C618="B",INDEX(Batters[[#All],[T]],MATCH(Table5[[#This Row],[PID]],Batters[[#All],[PID]],0)),INDEX(Table3[[#All],[T]],MATCH(Table5[[#This Row],[PID]],Table3[[#All],[PID]],0)))</f>
        <v>R</v>
      </c>
      <c r="J618" s="69" t="str">
        <f>IF($C618="B",INDEX(Batters[[#All],[WE]],MATCH(Table5[[#This Row],[PID]],Batters[[#All],[PID]],0)),INDEX(Table3[[#All],[WE]],MATCH(Table5[[#This Row],[PID]],Table3[[#All],[PID]],0)))</f>
        <v>Normal</v>
      </c>
      <c r="K618" s="52" t="str">
        <f>IF($C618="B",INDEX(Batters[[#All],[INT]],MATCH(Table5[[#This Row],[PID]],Batters[[#All],[PID]],0)),INDEX(Table3[[#All],[INT]],MATCH(Table5[[#This Row],[PID]],Table3[[#All],[PID]],0)))</f>
        <v>Normal</v>
      </c>
      <c r="L618" s="60">
        <f>IF($C618="B",INDEX(Batters[[#All],[CON P]],MATCH(Table5[[#This Row],[PID]],Batters[[#All],[PID]],0)),INDEX(Table3[[#All],[STU P]],MATCH(Table5[[#This Row],[PID]],Table3[[#All],[PID]],0)))</f>
        <v>4</v>
      </c>
      <c r="M618" s="70">
        <f>IF($C618="B",INDEX(Batters[[#All],[GAP P]],MATCH(Table5[[#This Row],[PID]],Batters[[#All],[PID]],0)),INDEX(Table3[[#All],[MOV P]],MATCH(Table5[[#This Row],[PID]],Table3[[#All],[PID]],0)))</f>
        <v>2</v>
      </c>
      <c r="N618" s="70">
        <f>IF($C618="B",INDEX(Batters[[#All],[POW P]],MATCH(Table5[[#This Row],[PID]],Batters[[#All],[PID]],0)),INDEX(Table3[[#All],[CON P]],MATCH(Table5[[#This Row],[PID]],Table3[[#All],[PID]],0)))</f>
        <v>3</v>
      </c>
      <c r="O618" s="70" t="str">
        <f>IF($C618="B",INDEX(Batters[[#All],[EYE P]],MATCH(Table5[[#This Row],[PID]],Batters[[#All],[PID]],0)),INDEX(Table3[[#All],[VELO]],MATCH(Table5[[#This Row],[PID]],Table3[[#All],[PID]],0)))</f>
        <v>93-95 Mph</v>
      </c>
      <c r="P618" s="56">
        <f>IF($C618="B",INDEX(Batters[[#All],[K P]],MATCH(Table5[[#This Row],[PID]],Batters[[#All],[PID]],0)),INDEX(Table3[[#All],[STM]],MATCH(Table5[[#This Row],[PID]],Table3[[#All],[PID]],0)))</f>
        <v>9</v>
      </c>
      <c r="Q618" s="61">
        <f>IF($C618="B",INDEX(Batters[[#All],[Tot]],MATCH(Table5[[#This Row],[PID]],Batters[[#All],[PID]],0)),INDEX(Table3[[#All],[Tot]],MATCH(Table5[[#This Row],[PID]],Table3[[#All],[PID]],0)))</f>
        <v>28.862146318732222</v>
      </c>
      <c r="R618" s="52">
        <f>IF($C618="B",INDEX(Batters[[#All],[zScore]],MATCH(Table5[[#This Row],[PID]],Batters[[#All],[PID]],0)),INDEX(Table3[[#All],[zScore]],MATCH(Table5[[#This Row],[PID]],Table3[[#All],[PID]],0)))</f>
        <v>-0.63662193948707324</v>
      </c>
      <c r="S618" s="75" t="str">
        <f>IF($C618="B",INDEX(Batters[[#All],[DEM]],MATCH(Table5[[#This Row],[PID]],Batters[[#All],[PID]],0)),INDEX(Table3[[#All],[DEM]],MATCH(Table5[[#This Row],[PID]],Table3[[#All],[PID]],0)))</f>
        <v>-</v>
      </c>
      <c r="T618" s="72">
        <f>IF($C618="B",INDEX(Batters[[#All],[Rnk]],MATCH(Table5[[#This Row],[PID]],Batters[[#All],[PID]],0)),INDEX(Table3[[#All],[Rnk]],MATCH(Table5[[#This Row],[PID]],Table3[[#All],[PID]],0)))</f>
        <v>900</v>
      </c>
      <c r="U618" s="67">
        <f>IF($C618="B",VLOOKUP($A618,Bat!$A$4:$BA$1314,47,FALSE),VLOOKUP($A618,Pit!$A$4:$BF$1214,56,FALSE))</f>
        <v>215</v>
      </c>
      <c r="V618" s="50">
        <f>IF($C618="B",VLOOKUP($A618,Bat!$A$4:$BA$1314,48,FALSE),VLOOKUP($A618,Pit!$A$4:$BF$1214,57,FALSE))</f>
        <v>0</v>
      </c>
      <c r="W618" s="68">
        <f>IF(Table5[[#This Row],[posRnk]]=999,9999,Table5[[#This Row],[posRnk]]+Table5[[#This Row],[zRnk]]+IF($W$3&lt;&gt;Table5[[#This Row],[Type]],50,0))</f>
        <v>1542</v>
      </c>
      <c r="X618" s="71">
        <f>RANK(Table5[[#This Row],[zScore]],Table5[[#All],[zScore]])</f>
        <v>642</v>
      </c>
      <c r="Y618" s="68">
        <f>IFERROR(INDEX(DraftResults[[#All],[OVR]],MATCH(Table5[[#This Row],[PID]],DraftResults[[#All],[Player ID]],0)),"")</f>
        <v>394</v>
      </c>
      <c r="Z618" s="7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12</v>
      </c>
      <c r="AA618" s="68">
        <f>IFERROR(INDEX(DraftResults[[#All],[Pick in Round]],MATCH(Table5[[#This Row],[PID]],DraftResults[[#All],[Player ID]],0)),"")</f>
        <v>29</v>
      </c>
      <c r="AB618" s="68" t="str">
        <f>IFERROR(INDEX(DraftResults[[#All],[Team Name]],MATCH(Table5[[#This Row],[PID]],DraftResults[[#All],[Player ID]],0)),"")</f>
        <v>Shin Seiki Evas</v>
      </c>
      <c r="AC618" s="68">
        <f>IF(Table5[[#This Row],[Ovr]]="","",IF(Table5[[#This Row],[cmbList]]="","",Table5[[#This Row],[cmbList]]-Table5[[#This Row],[Ovr]]))</f>
        <v>1148</v>
      </c>
      <c r="AD618" s="74" t="str">
        <f>IF(ISERROR(VLOOKUP($AB618&amp;"-"&amp;$E618&amp;" "&amp;F618,Bonuses!$B$1:$G$1006,4,FALSE)),"",INT(VLOOKUP($AB618&amp;"-"&amp;$E618&amp;" "&amp;$F618,Bonuses!$B$1:$G$1006,4,FALSE)))</f>
        <v/>
      </c>
      <c r="AE618" s="68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12.29 (394) - RP Aaron Attoehow</v>
      </c>
    </row>
    <row r="619" spans="1:31" s="50" customFormat="1" x14ac:dyDescent="0.3">
      <c r="A619" s="50">
        <v>8797</v>
      </c>
      <c r="B619" s="50">
        <f>COUNTIF(Table5[PID],A619)</f>
        <v>1</v>
      </c>
      <c r="C619" s="50" t="str">
        <f>IF(COUNTIF(Table3[[#All],[PID]],A619)&gt;0,"P","B")</f>
        <v>P</v>
      </c>
      <c r="D619" s="59" t="str">
        <f>IF($C619="B",INDEX(Batters[[#All],[POS]],MATCH(Table5[[#This Row],[PID]],Batters[[#All],[PID]],0)),INDEX(Table3[[#All],[POS]],MATCH(Table5[[#This Row],[PID]],Table3[[#All],[PID]],0)))</f>
        <v>RP</v>
      </c>
      <c r="E619" s="52" t="str">
        <f>IF($C619="B",INDEX(Batters[[#All],[First]],MATCH(Table5[[#This Row],[PID]],Batters[[#All],[PID]],0)),INDEX(Table3[[#All],[First]],MATCH(Table5[[#This Row],[PID]],Table3[[#All],[PID]],0)))</f>
        <v>Masaharu</v>
      </c>
      <c r="F619" s="50" t="str">
        <f>IF($C619="B",INDEX(Batters[[#All],[Last]],MATCH(A619,Batters[[#All],[PID]],0)),INDEX(Table3[[#All],[Last]],MATCH(A619,Table3[[#All],[PID]],0)))</f>
        <v>Uenohara</v>
      </c>
      <c r="G619" s="56">
        <f>IF($C619="B",INDEX(Batters[[#All],[Age]],MATCH(Table5[[#This Row],[PID]],Batters[[#All],[PID]],0)),INDEX(Table3[[#All],[Age]],MATCH(Table5[[#This Row],[PID]],Table3[[#All],[PID]],0)))</f>
        <v>21</v>
      </c>
      <c r="H619" s="52" t="str">
        <f>IF($C619="B",INDEX(Batters[[#All],[B]],MATCH(Table5[[#This Row],[PID]],Batters[[#All],[PID]],0)),INDEX(Table3[[#All],[B]],MATCH(Table5[[#This Row],[PID]],Table3[[#All],[PID]],0)))</f>
        <v>L</v>
      </c>
      <c r="I619" s="52" t="str">
        <f>IF($C619="B",INDEX(Batters[[#All],[T]],MATCH(Table5[[#This Row],[PID]],Batters[[#All],[PID]],0)),INDEX(Table3[[#All],[T]],MATCH(Table5[[#This Row],[PID]],Table3[[#All],[PID]],0)))</f>
        <v>L</v>
      </c>
      <c r="J619" s="52" t="str">
        <f>IF($C619="B",INDEX(Batters[[#All],[WE]],MATCH(Table5[[#This Row],[PID]],Batters[[#All],[PID]],0)),INDEX(Table3[[#All],[WE]],MATCH(Table5[[#This Row],[PID]],Table3[[#All],[PID]],0)))</f>
        <v>Normal</v>
      </c>
      <c r="K619" s="52" t="str">
        <f>IF($C619="B",INDEX(Batters[[#All],[INT]],MATCH(Table5[[#This Row],[PID]],Batters[[#All],[PID]],0)),INDEX(Table3[[#All],[INT]],MATCH(Table5[[#This Row],[PID]],Table3[[#All],[PID]],0)))</f>
        <v>Normal</v>
      </c>
      <c r="L619" s="60">
        <f>IF($C619="B",INDEX(Batters[[#All],[CON P]],MATCH(Table5[[#This Row],[PID]],Batters[[#All],[PID]],0)),INDEX(Table3[[#All],[STU P]],MATCH(Table5[[#This Row],[PID]],Table3[[#All],[PID]],0)))</f>
        <v>4</v>
      </c>
      <c r="M619" s="56">
        <f>IF($C619="B",INDEX(Batters[[#All],[GAP P]],MATCH(Table5[[#This Row],[PID]],Batters[[#All],[PID]],0)),INDEX(Table3[[#All],[MOV P]],MATCH(Table5[[#This Row],[PID]],Table3[[#All],[PID]],0)))</f>
        <v>2</v>
      </c>
      <c r="N619" s="56">
        <f>IF($C619="B",INDEX(Batters[[#All],[POW P]],MATCH(Table5[[#This Row],[PID]],Batters[[#All],[PID]],0)),INDEX(Table3[[#All],[CON P]],MATCH(Table5[[#This Row],[PID]],Table3[[#All],[PID]],0)))</f>
        <v>3</v>
      </c>
      <c r="O619" s="56" t="str">
        <f>IF($C619="B",INDEX(Batters[[#All],[EYE P]],MATCH(Table5[[#This Row],[PID]],Batters[[#All],[PID]],0)),INDEX(Table3[[#All],[VELO]],MATCH(Table5[[#This Row],[PID]],Table3[[#All],[PID]],0)))</f>
        <v>87-89 Mph</v>
      </c>
      <c r="P619" s="56">
        <f>IF($C619="B",INDEX(Batters[[#All],[K P]],MATCH(Table5[[#This Row],[PID]],Batters[[#All],[PID]],0)),INDEX(Table3[[#All],[STM]],MATCH(Table5[[#This Row],[PID]],Table3[[#All],[PID]],0)))</f>
        <v>8</v>
      </c>
      <c r="Q619" s="61">
        <f>IF($C619="B",INDEX(Batters[[#All],[Tot]],MATCH(Table5[[#This Row],[PID]],Batters[[#All],[PID]],0)),INDEX(Table3[[#All],[Tot]],MATCH(Table5[[#This Row],[PID]],Table3[[#All],[PID]],0)))</f>
        <v>28.836740948623209</v>
      </c>
      <c r="R619" s="52">
        <f>IF($C619="B",INDEX(Batters[[#All],[zScore]],MATCH(Table5[[#This Row],[PID]],Batters[[#All],[PID]],0)),INDEX(Table3[[#All],[zScore]],MATCH(Table5[[#This Row],[PID]],Table3[[#All],[PID]],0)))</f>
        <v>-0.63843098051157587</v>
      </c>
      <c r="S619" s="58" t="str">
        <f>IF($C619="B",INDEX(Batters[[#All],[DEM]],MATCH(Table5[[#This Row],[PID]],Batters[[#All],[PID]],0)),INDEX(Table3[[#All],[DEM]],MATCH(Table5[[#This Row],[PID]],Table3[[#All],[PID]],0)))</f>
        <v>-</v>
      </c>
      <c r="T619" s="62">
        <f>IF($C619="B",INDEX(Batters[[#All],[Rnk]],MATCH(Table5[[#This Row],[PID]],Batters[[#All],[PID]],0)),INDEX(Table3[[#All],[Rnk]],MATCH(Table5[[#This Row],[PID]],Table3[[#All],[PID]],0)))</f>
        <v>900</v>
      </c>
      <c r="U619" s="67">
        <f>IF($C619="B",VLOOKUP($A619,Bat!$A$4:$BA$1314,47,FALSE),VLOOKUP($A619,Pit!$A$4:$BF$1214,56,FALSE))</f>
        <v>216</v>
      </c>
      <c r="V619" s="50">
        <f>IF($C619="B",VLOOKUP($A619,Bat!$A$4:$BA$1314,48,FALSE),VLOOKUP($A619,Pit!$A$4:$BF$1214,57,FALSE))</f>
        <v>0</v>
      </c>
      <c r="W619" s="68">
        <f>IF(Table5[[#This Row],[posRnk]]=999,9999,Table5[[#This Row],[posRnk]]+Table5[[#This Row],[zRnk]]+IF($W$3&lt;&gt;Table5[[#This Row],[Type]],50,0))</f>
        <v>1543</v>
      </c>
      <c r="X619" s="51">
        <f>RANK(Table5[[#This Row],[zScore]],Table5[[#All],[zScore]])</f>
        <v>643</v>
      </c>
      <c r="Y619" s="50">
        <f>IFERROR(INDEX(DraftResults[[#All],[OVR]],MATCH(Table5[[#This Row],[PID]],DraftResults[[#All],[Player ID]],0)),"")</f>
        <v>576</v>
      </c>
      <c r="Z619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18</v>
      </c>
      <c r="AA619" s="50">
        <f>IFERROR(INDEX(DraftResults[[#All],[Pick in Round]],MATCH(Table5[[#This Row],[PID]],DraftResults[[#All],[Player ID]],0)),"")</f>
        <v>7</v>
      </c>
      <c r="AB619" s="50" t="str">
        <f>IFERROR(INDEX(DraftResults[[#All],[Team Name]],MATCH(Table5[[#This Row],[PID]],DraftResults[[#All],[Player ID]],0)),"")</f>
        <v>Hartford Harpoon</v>
      </c>
      <c r="AC619" s="50">
        <f>IF(Table5[[#This Row],[Ovr]]="","",IF(Table5[[#This Row],[cmbList]]="","",Table5[[#This Row],[cmbList]]-Table5[[#This Row],[Ovr]]))</f>
        <v>967</v>
      </c>
      <c r="AD619" s="54" t="str">
        <f>IF(ISERROR(VLOOKUP($AB619&amp;"-"&amp;$E619&amp;" "&amp;F619,Bonuses!$B$1:$G$1006,4,FALSE)),"",INT(VLOOKUP($AB619&amp;"-"&amp;$E619&amp;" "&amp;$F619,Bonuses!$B$1:$G$1006,4,FALSE)))</f>
        <v/>
      </c>
      <c r="AE619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18.7 (576) - RP Masaharu Uenohara</v>
      </c>
    </row>
    <row r="620" spans="1:31" s="50" customFormat="1" x14ac:dyDescent="0.3">
      <c r="A620" s="67">
        <v>5484</v>
      </c>
      <c r="B620" s="68">
        <f>COUNTIF(Table5[PID],A620)</f>
        <v>1</v>
      </c>
      <c r="C620" s="68" t="str">
        <f>IF(COUNTIF(Table3[[#All],[PID]],A620)&gt;0,"P","B")</f>
        <v>B</v>
      </c>
      <c r="D620" s="59" t="str">
        <f>IF($C620="B",INDEX(Batters[[#All],[POS]],MATCH(Table5[[#This Row],[PID]],Batters[[#All],[PID]],0)),INDEX(Table3[[#All],[POS]],MATCH(Table5[[#This Row],[PID]],Table3[[#All],[PID]],0)))</f>
        <v>CF</v>
      </c>
      <c r="E620" s="52" t="str">
        <f>IF($C620="B",INDEX(Batters[[#All],[First]],MATCH(Table5[[#This Row],[PID]],Batters[[#All],[PID]],0)),INDEX(Table3[[#All],[First]],MATCH(Table5[[#This Row],[PID]],Table3[[#All],[PID]],0)))</f>
        <v>Andy</v>
      </c>
      <c r="F620" s="55" t="str">
        <f>IF($C620="B",INDEX(Batters[[#All],[Last]],MATCH(A620,Batters[[#All],[PID]],0)),INDEX(Table3[[#All],[Last]],MATCH(A620,Table3[[#All],[PID]],0)))</f>
        <v>Shaw</v>
      </c>
      <c r="G620" s="56">
        <f>IF($C620="B",INDEX(Batters[[#All],[Age]],MATCH(Table5[[#This Row],[PID]],Batters[[#All],[PID]],0)),INDEX(Table3[[#All],[Age]],MATCH(Table5[[#This Row],[PID]],Table3[[#All],[PID]],0)))</f>
        <v>21</v>
      </c>
      <c r="H620" s="52" t="str">
        <f>IF($C620="B",INDEX(Batters[[#All],[B]],MATCH(Table5[[#This Row],[PID]],Batters[[#All],[PID]],0)),INDEX(Table3[[#All],[B]],MATCH(Table5[[#This Row],[PID]],Table3[[#All],[PID]],0)))</f>
        <v>R</v>
      </c>
      <c r="I620" s="52" t="str">
        <f>IF($C620="B",INDEX(Batters[[#All],[T]],MATCH(Table5[[#This Row],[PID]],Batters[[#All],[PID]],0)),INDEX(Table3[[#All],[T]],MATCH(Table5[[#This Row],[PID]],Table3[[#All],[PID]],0)))</f>
        <v>R</v>
      </c>
      <c r="J620" s="69" t="str">
        <f>IF($C620="B",INDEX(Batters[[#All],[WE]],MATCH(Table5[[#This Row],[PID]],Batters[[#All],[PID]],0)),INDEX(Table3[[#All],[WE]],MATCH(Table5[[#This Row],[PID]],Table3[[#All],[PID]],0)))</f>
        <v>Normal</v>
      </c>
      <c r="K620" s="52" t="str">
        <f>IF($C620="B",INDEX(Batters[[#All],[INT]],MATCH(Table5[[#This Row],[PID]],Batters[[#All],[PID]],0)),INDEX(Table3[[#All],[INT]],MATCH(Table5[[#This Row],[PID]],Table3[[#All],[PID]],0)))</f>
        <v>Normal</v>
      </c>
      <c r="L620" s="60">
        <f>IF($C620="B",INDEX(Batters[[#All],[CON P]],MATCH(Table5[[#This Row],[PID]],Batters[[#All],[PID]],0)),INDEX(Table3[[#All],[STU P]],MATCH(Table5[[#This Row],[PID]],Table3[[#All],[PID]],0)))</f>
        <v>3</v>
      </c>
      <c r="M620" s="70">
        <f>IF($C620="B",INDEX(Batters[[#All],[GAP P]],MATCH(Table5[[#This Row],[PID]],Batters[[#All],[PID]],0)),INDEX(Table3[[#All],[MOV P]],MATCH(Table5[[#This Row],[PID]],Table3[[#All],[PID]],0)))</f>
        <v>3</v>
      </c>
      <c r="N620" s="70">
        <f>IF($C620="B",INDEX(Batters[[#All],[POW P]],MATCH(Table5[[#This Row],[PID]],Batters[[#All],[PID]],0)),INDEX(Table3[[#All],[CON P]],MATCH(Table5[[#This Row],[PID]],Table3[[#All],[PID]],0)))</f>
        <v>4</v>
      </c>
      <c r="O620" s="70">
        <f>IF($C620="B",INDEX(Batters[[#All],[EYE P]],MATCH(Table5[[#This Row],[PID]],Batters[[#All],[PID]],0)),INDEX(Table3[[#All],[VELO]],MATCH(Table5[[#This Row],[PID]],Table3[[#All],[PID]],0)))</f>
        <v>5</v>
      </c>
      <c r="P620" s="56">
        <f>IF($C620="B",INDEX(Batters[[#All],[K P]],MATCH(Table5[[#This Row],[PID]],Batters[[#All],[PID]],0)),INDEX(Table3[[#All],[STM]],MATCH(Table5[[#This Row],[PID]],Table3[[#All],[PID]],0)))</f>
        <v>3</v>
      </c>
      <c r="Q620" s="61">
        <f>IF($C620="B",INDEX(Batters[[#All],[Tot]],MATCH(Table5[[#This Row],[PID]],Batters[[#All],[PID]],0)),INDEX(Table3[[#All],[Tot]],MATCH(Table5[[#This Row],[PID]],Table3[[#All],[PID]],0)))</f>
        <v>38.825467573717205</v>
      </c>
      <c r="R620" s="52">
        <f>IF($C620="B",INDEX(Batters[[#All],[zScore]],MATCH(Table5[[#This Row],[PID]],Batters[[#All],[PID]],0)),INDEX(Table3[[#All],[zScore]],MATCH(Table5[[#This Row],[PID]],Table3[[#All],[PID]],0)))</f>
        <v>-0.6412412607179343</v>
      </c>
      <c r="S620" s="75" t="str">
        <f>IF($C620="B",INDEX(Batters[[#All],[DEM]],MATCH(Table5[[#This Row],[PID]],Batters[[#All],[PID]],0)),INDEX(Table3[[#All],[DEM]],MATCH(Table5[[#This Row],[PID]],Table3[[#All],[PID]],0)))</f>
        <v>$110k</v>
      </c>
      <c r="T620" s="72">
        <f>IF($C620="B",INDEX(Batters[[#All],[Rnk]],MATCH(Table5[[#This Row],[PID]],Batters[[#All],[PID]],0)),INDEX(Table3[[#All],[Rnk]],MATCH(Table5[[#This Row],[PID]],Table3[[#All],[PID]],0)))</f>
        <v>900</v>
      </c>
      <c r="U620" s="67">
        <f>IF($C620="B",VLOOKUP($A620,Bat!$A$4:$BA$1314,47,FALSE),VLOOKUP($A620,Pit!$A$4:$BF$1214,56,FALSE))</f>
        <v>225</v>
      </c>
      <c r="V620" s="50">
        <f>IF($C620="B",VLOOKUP($A620,Bat!$A$4:$BA$1314,48,FALSE),VLOOKUP($A620,Pit!$A$4:$BF$1214,57,FALSE))</f>
        <v>0</v>
      </c>
      <c r="W620" s="68">
        <f>IF(Table5[[#This Row],[posRnk]]=999,9999,Table5[[#This Row],[posRnk]]+Table5[[#This Row],[zRnk]]+IF($W$3&lt;&gt;Table5[[#This Row],[Type]],50,0))</f>
        <v>1594</v>
      </c>
      <c r="X620" s="71">
        <f>RANK(Table5[[#This Row],[zScore]],Table5[[#All],[zScore]])</f>
        <v>644</v>
      </c>
      <c r="Y620" s="68">
        <f>IFERROR(INDEX(DraftResults[[#All],[OVR]],MATCH(Table5[[#This Row],[PID]],DraftResults[[#All],[Player ID]],0)),"")</f>
        <v>183</v>
      </c>
      <c r="Z620" s="7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6</v>
      </c>
      <c r="AA620" s="68">
        <f>IFERROR(INDEX(DraftResults[[#All],[Pick in Round]],MATCH(Table5[[#This Row],[PID]],DraftResults[[#All],[Player ID]],0)),"")</f>
        <v>14</v>
      </c>
      <c r="AB620" s="68" t="str">
        <f>IFERROR(INDEX(DraftResults[[#All],[Team Name]],MATCH(Table5[[#This Row],[PID]],DraftResults[[#All],[Player ID]],0)),"")</f>
        <v>San Antonio Calzones of Laredo</v>
      </c>
      <c r="AC620" s="68">
        <f>IF(Table5[[#This Row],[Ovr]]="","",IF(Table5[[#This Row],[cmbList]]="","",Table5[[#This Row],[cmbList]]-Table5[[#This Row],[Ovr]]))</f>
        <v>1411</v>
      </c>
      <c r="AD620" s="74" t="str">
        <f>IF(ISERROR(VLOOKUP($AB620&amp;"-"&amp;$E620&amp;" "&amp;F620,Bonuses!$B$1:$G$1006,4,FALSE)),"",INT(VLOOKUP($AB620&amp;"-"&amp;$E620&amp;" "&amp;$F620,Bonuses!$B$1:$G$1006,4,FALSE)))</f>
        <v/>
      </c>
      <c r="AE620" s="68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6.14 (183) - CF Andy Shaw</v>
      </c>
    </row>
    <row r="621" spans="1:31" s="50" customFormat="1" x14ac:dyDescent="0.3">
      <c r="A621" s="50">
        <v>6225</v>
      </c>
      <c r="B621" s="55">
        <f>COUNTIF(Table5[PID],A621)</f>
        <v>1</v>
      </c>
      <c r="C621" s="55" t="str">
        <f>IF(COUNTIF(Table3[[#All],[PID]],A621)&gt;0,"P","B")</f>
        <v>P</v>
      </c>
      <c r="D621" s="59" t="str">
        <f>IF($C621="B",INDEX(Batters[[#All],[POS]],MATCH(Table5[[#This Row],[PID]],Batters[[#All],[PID]],0)),INDEX(Table3[[#All],[POS]],MATCH(Table5[[#This Row],[PID]],Table3[[#All],[PID]],0)))</f>
        <v>RP</v>
      </c>
      <c r="E621" s="52" t="str">
        <f>IF($C621="B",INDEX(Batters[[#All],[First]],MATCH(Table5[[#This Row],[PID]],Batters[[#All],[PID]],0)),INDEX(Table3[[#All],[First]],MATCH(Table5[[#This Row],[PID]],Table3[[#All],[PID]],0)))</f>
        <v>Mitsukuni</v>
      </c>
      <c r="F621" s="50" t="str">
        <f>IF($C621="B",INDEX(Batters[[#All],[Last]],MATCH(A621,Batters[[#All],[PID]],0)),INDEX(Table3[[#All],[Last]],MATCH(A621,Table3[[#All],[PID]],0)))</f>
        <v>Morita</v>
      </c>
      <c r="G621" s="56">
        <f>IF($C621="B",INDEX(Batters[[#All],[Age]],MATCH(Table5[[#This Row],[PID]],Batters[[#All],[PID]],0)),INDEX(Table3[[#All],[Age]],MATCH(Table5[[#This Row],[PID]],Table3[[#All],[PID]],0)))</f>
        <v>21</v>
      </c>
      <c r="H621" s="52" t="str">
        <f>IF($C621="B",INDEX(Batters[[#All],[B]],MATCH(Table5[[#This Row],[PID]],Batters[[#All],[PID]],0)),INDEX(Table3[[#All],[B]],MATCH(Table5[[#This Row],[PID]],Table3[[#All],[PID]],0)))</f>
        <v>S</v>
      </c>
      <c r="I621" s="52" t="str">
        <f>IF($C621="B",INDEX(Batters[[#All],[T]],MATCH(Table5[[#This Row],[PID]],Batters[[#All],[PID]],0)),INDEX(Table3[[#All],[T]],MATCH(Table5[[#This Row],[PID]],Table3[[#All],[PID]],0)))</f>
        <v>R</v>
      </c>
      <c r="J621" s="52" t="str">
        <f>IF($C621="B",INDEX(Batters[[#All],[WE]],MATCH(Table5[[#This Row],[PID]],Batters[[#All],[PID]],0)),INDEX(Table3[[#All],[WE]],MATCH(Table5[[#This Row],[PID]],Table3[[#All],[PID]],0)))</f>
        <v>Normal</v>
      </c>
      <c r="K621" s="52" t="str">
        <f>IF($C621="B",INDEX(Batters[[#All],[INT]],MATCH(Table5[[#This Row],[PID]],Batters[[#All],[PID]],0)),INDEX(Table3[[#All],[INT]],MATCH(Table5[[#This Row],[PID]],Table3[[#All],[PID]],0)))</f>
        <v>Normal</v>
      </c>
      <c r="L621" s="60">
        <f>IF($C621="B",INDEX(Batters[[#All],[CON P]],MATCH(Table5[[#This Row],[PID]],Batters[[#All],[PID]],0)),INDEX(Table3[[#All],[STU P]],MATCH(Table5[[#This Row],[PID]],Table3[[#All],[PID]],0)))</f>
        <v>4</v>
      </c>
      <c r="M621" s="56">
        <f>IF($C621="B",INDEX(Batters[[#All],[GAP P]],MATCH(Table5[[#This Row],[PID]],Batters[[#All],[PID]],0)),INDEX(Table3[[#All],[MOV P]],MATCH(Table5[[#This Row],[PID]],Table3[[#All],[PID]],0)))</f>
        <v>2</v>
      </c>
      <c r="N621" s="56">
        <f>IF($C621="B",INDEX(Batters[[#All],[POW P]],MATCH(Table5[[#This Row],[PID]],Batters[[#All],[PID]],0)),INDEX(Table3[[#All],[CON P]],MATCH(Table5[[#This Row],[PID]],Table3[[#All],[PID]],0)))</f>
        <v>3</v>
      </c>
      <c r="O621" s="56" t="str">
        <f>IF($C621="B",INDEX(Batters[[#All],[EYE P]],MATCH(Table5[[#This Row],[PID]],Batters[[#All],[PID]],0)),INDEX(Table3[[#All],[VELO]],MATCH(Table5[[#This Row],[PID]],Table3[[#All],[PID]],0)))</f>
        <v>88-90 Mph</v>
      </c>
      <c r="P621" s="56">
        <f>IF($C621="B",INDEX(Batters[[#All],[K P]],MATCH(Table5[[#This Row],[PID]],Batters[[#All],[PID]],0)),INDEX(Table3[[#All],[STM]],MATCH(Table5[[#This Row],[PID]],Table3[[#All],[PID]],0)))</f>
        <v>5</v>
      </c>
      <c r="Q621" s="61">
        <f>IF($C621="B",INDEX(Batters[[#All],[Tot]],MATCH(Table5[[#This Row],[PID]],Batters[[#All],[PID]],0)),INDEX(Table3[[#All],[Tot]],MATCH(Table5[[#This Row],[PID]],Table3[[#All],[PID]],0)))</f>
        <v>28.670852595867238</v>
      </c>
      <c r="R621" s="52">
        <f>IF($C621="B",INDEX(Batters[[#All],[zScore]],MATCH(Table5[[#This Row],[PID]],Batters[[#All],[PID]],0)),INDEX(Table3[[#All],[zScore]],MATCH(Table5[[#This Row],[PID]],Table3[[#All],[PID]],0)))</f>
        <v>-0.64343484446927124</v>
      </c>
      <c r="S621" s="58" t="str">
        <f>IF($C621="B",INDEX(Batters[[#All],[DEM]],MATCH(Table5[[#This Row],[PID]],Batters[[#All],[PID]],0)),INDEX(Table3[[#All],[DEM]],MATCH(Table5[[#This Row],[PID]],Table3[[#All],[PID]],0)))</f>
        <v>$20k</v>
      </c>
      <c r="T621" s="62">
        <f>IF($C621="B",INDEX(Batters[[#All],[Rnk]],MATCH(Table5[[#This Row],[PID]],Batters[[#All],[PID]],0)),INDEX(Table3[[#All],[Rnk]],MATCH(Table5[[#This Row],[PID]],Table3[[#All],[PID]],0)))</f>
        <v>900</v>
      </c>
      <c r="U621" s="67">
        <f>IF($C621="B",VLOOKUP($A621,Bat!$A$4:$BA$1314,47,FALSE),VLOOKUP($A621,Pit!$A$4:$BF$1214,56,FALSE))</f>
        <v>217</v>
      </c>
      <c r="V621" s="50">
        <f>IF($C621="B",VLOOKUP($A621,Bat!$A$4:$BA$1314,48,FALSE),VLOOKUP($A621,Pit!$A$4:$BF$1214,57,FALSE))</f>
        <v>0</v>
      </c>
      <c r="W621" s="68">
        <f>IF(Table5[[#This Row],[posRnk]]=999,9999,Table5[[#This Row],[posRnk]]+Table5[[#This Row],[zRnk]]+IF($W$3&lt;&gt;Table5[[#This Row],[Type]],50,0))</f>
        <v>1545</v>
      </c>
      <c r="X621" s="51">
        <f>RANK(Table5[[#This Row],[zScore]],Table5[[#All],[zScore]])</f>
        <v>645</v>
      </c>
      <c r="Y621" s="50">
        <f>IFERROR(INDEX(DraftResults[[#All],[OVR]],MATCH(Table5[[#This Row],[PID]],DraftResults[[#All],[Player ID]],0)),"")</f>
        <v>630</v>
      </c>
      <c r="Z621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19</v>
      </c>
      <c r="AA621" s="50">
        <f>IFERROR(INDEX(DraftResults[[#All],[Pick in Round]],MATCH(Table5[[#This Row],[PID]],DraftResults[[#All],[Player ID]],0)),"")</f>
        <v>27</v>
      </c>
      <c r="AB621" s="50" t="str">
        <f>IFERROR(INDEX(DraftResults[[#All],[Team Name]],MATCH(Table5[[#This Row],[PID]],DraftResults[[#All],[Player ID]],0)),"")</f>
        <v>Havana Leones</v>
      </c>
      <c r="AC621" s="50">
        <f>IF(Table5[[#This Row],[Ovr]]="","",IF(Table5[[#This Row],[cmbList]]="","",Table5[[#This Row],[cmbList]]-Table5[[#This Row],[Ovr]]))</f>
        <v>915</v>
      </c>
      <c r="AD621" s="54" t="str">
        <f>IF(ISERROR(VLOOKUP($AB621&amp;"-"&amp;$E621&amp;" "&amp;F621,Bonuses!$B$1:$G$1006,4,FALSE)),"",INT(VLOOKUP($AB621&amp;"-"&amp;$E621&amp;" "&amp;$F621,Bonuses!$B$1:$G$1006,4,FALSE)))</f>
        <v/>
      </c>
      <c r="AE621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19.27 (630) - RP Mitsukuni Morita</v>
      </c>
    </row>
    <row r="622" spans="1:31" s="50" customFormat="1" x14ac:dyDescent="0.3">
      <c r="A622" s="50">
        <v>11606</v>
      </c>
      <c r="B622" s="50">
        <f>COUNTIF(Table5[PID],A622)</f>
        <v>1</v>
      </c>
      <c r="C622" s="50" t="str">
        <f>IF(COUNTIF(Table3[[#All],[PID]],A622)&gt;0,"P","B")</f>
        <v>P</v>
      </c>
      <c r="D622" s="59" t="str">
        <f>IF($C622="B",INDEX(Batters[[#All],[POS]],MATCH(Table5[[#This Row],[PID]],Batters[[#All],[PID]],0)),INDEX(Table3[[#All],[POS]],MATCH(Table5[[#This Row],[PID]],Table3[[#All],[PID]],0)))</f>
        <v>RP</v>
      </c>
      <c r="E622" s="52" t="str">
        <f>IF($C622="B",INDEX(Batters[[#All],[First]],MATCH(Table5[[#This Row],[PID]],Batters[[#All],[PID]],0)),INDEX(Table3[[#All],[First]],MATCH(Table5[[#This Row],[PID]],Table3[[#All],[PID]],0)))</f>
        <v>Curtis</v>
      </c>
      <c r="F622" s="50" t="str">
        <f>IF($C622="B",INDEX(Batters[[#All],[Last]],MATCH(A622,Batters[[#All],[PID]],0)),INDEX(Table3[[#All],[Last]],MATCH(A622,Table3[[#All],[PID]],0)))</f>
        <v>Charles</v>
      </c>
      <c r="G622" s="56">
        <f>IF($C622="B",INDEX(Batters[[#All],[Age]],MATCH(Table5[[#This Row],[PID]],Batters[[#All],[PID]],0)),INDEX(Table3[[#All],[Age]],MATCH(Table5[[#This Row],[PID]],Table3[[#All],[PID]],0)))</f>
        <v>18</v>
      </c>
      <c r="H622" s="52" t="str">
        <f>IF($C622="B",INDEX(Batters[[#All],[B]],MATCH(Table5[[#This Row],[PID]],Batters[[#All],[PID]],0)),INDEX(Table3[[#All],[B]],MATCH(Table5[[#This Row],[PID]],Table3[[#All],[PID]],0)))</f>
        <v>R</v>
      </c>
      <c r="I622" s="52" t="str">
        <f>IF($C622="B",INDEX(Batters[[#All],[T]],MATCH(Table5[[#This Row],[PID]],Batters[[#All],[PID]],0)),INDEX(Table3[[#All],[T]],MATCH(Table5[[#This Row],[PID]],Table3[[#All],[PID]],0)))</f>
        <v>L</v>
      </c>
      <c r="J622" s="52" t="str">
        <f>IF($C622="B",INDEX(Batters[[#All],[WE]],MATCH(Table5[[#This Row],[PID]],Batters[[#All],[PID]],0)),INDEX(Table3[[#All],[WE]],MATCH(Table5[[#This Row],[PID]],Table3[[#All],[PID]],0)))</f>
        <v>Low</v>
      </c>
      <c r="K622" s="52" t="str">
        <f>IF($C622="B",INDEX(Batters[[#All],[INT]],MATCH(Table5[[#This Row],[PID]],Batters[[#All],[PID]],0)),INDEX(Table3[[#All],[INT]],MATCH(Table5[[#This Row],[PID]],Table3[[#All],[PID]],0)))</f>
        <v>Normal</v>
      </c>
      <c r="L622" s="60">
        <f>IF($C622="B",INDEX(Batters[[#All],[CON P]],MATCH(Table5[[#This Row],[PID]],Batters[[#All],[PID]],0)),INDEX(Table3[[#All],[STU P]],MATCH(Table5[[#This Row],[PID]],Table3[[#All],[PID]],0)))</f>
        <v>3</v>
      </c>
      <c r="M622" s="56">
        <f>IF($C622="B",INDEX(Batters[[#All],[GAP P]],MATCH(Table5[[#This Row],[PID]],Batters[[#All],[PID]],0)),INDEX(Table3[[#All],[MOV P]],MATCH(Table5[[#This Row],[PID]],Table3[[#All],[PID]],0)))</f>
        <v>2</v>
      </c>
      <c r="N622" s="56">
        <f>IF($C622="B",INDEX(Batters[[#All],[POW P]],MATCH(Table5[[#This Row],[PID]],Batters[[#All],[PID]],0)),INDEX(Table3[[#All],[CON P]],MATCH(Table5[[#This Row],[PID]],Table3[[#All],[PID]],0)))</f>
        <v>3</v>
      </c>
      <c r="O622" s="56" t="str">
        <f>IF($C622="B",INDEX(Batters[[#All],[EYE P]],MATCH(Table5[[#This Row],[PID]],Batters[[#All],[PID]],0)),INDEX(Table3[[#All],[VELO]],MATCH(Table5[[#This Row],[PID]],Table3[[#All],[PID]],0)))</f>
        <v>88-90 Mph</v>
      </c>
      <c r="P622" s="56">
        <f>IF($C622="B",INDEX(Batters[[#All],[K P]],MATCH(Table5[[#This Row],[PID]],Batters[[#All],[PID]],0)),INDEX(Table3[[#All],[STM]],MATCH(Table5[[#This Row],[PID]],Table3[[#All],[PID]],0)))</f>
        <v>6</v>
      </c>
      <c r="Q622" s="61">
        <f>IF($C622="B",INDEX(Batters[[#All],[Tot]],MATCH(Table5[[#This Row],[PID]],Batters[[#All],[PID]],0)),INDEX(Table3[[#All],[Tot]],MATCH(Table5[[#This Row],[PID]],Table3[[#All],[PID]],0)))</f>
        <v>29.574371767938359</v>
      </c>
      <c r="R622" s="52">
        <f>IF($C622="B",INDEX(Batters[[#All],[zScore]],MATCH(Table5[[#This Row],[PID]],Batters[[#All],[PID]],0)),INDEX(Table3[[#All],[zScore]],MATCH(Table5[[#This Row],[PID]],Table3[[#All],[PID]],0)))</f>
        <v>-0.58590647851248212</v>
      </c>
      <c r="S622" s="58" t="str">
        <f>IF($C622="B",INDEX(Batters[[#All],[DEM]],MATCH(Table5[[#This Row],[PID]],Batters[[#All],[PID]],0)),INDEX(Table3[[#All],[DEM]],MATCH(Table5[[#This Row],[PID]],Table3[[#All],[PID]],0)))</f>
        <v>$65k</v>
      </c>
      <c r="T622" s="62">
        <f>IF($C622="B",INDEX(Batters[[#All],[Rnk]],MATCH(Table5[[#This Row],[PID]],Batters[[#All],[PID]],0)),INDEX(Table3[[#All],[Rnk]],MATCH(Table5[[#This Row],[PID]],Table3[[#All],[PID]],0)))</f>
        <v>930</v>
      </c>
      <c r="U622" s="67">
        <f>IF($C622="B",VLOOKUP($A622,Bat!$A$4:$BA$1314,47,FALSE),VLOOKUP($A622,Pit!$A$4:$BF$1214,56,FALSE))</f>
        <v>334</v>
      </c>
      <c r="V622" s="50">
        <f>IF($C622="B",VLOOKUP($A622,Bat!$A$4:$BA$1314,48,FALSE),VLOOKUP($A622,Pit!$A$4:$BF$1214,57,FALSE))</f>
        <v>0</v>
      </c>
      <c r="W622" s="68">
        <f>IF(Table5[[#This Row],[posRnk]]=999,9999,Table5[[#This Row],[posRnk]]+Table5[[#This Row],[zRnk]]+IF($W$3&lt;&gt;Table5[[#This Row],[Type]],50,0))</f>
        <v>1545</v>
      </c>
      <c r="X622" s="51">
        <f>RANK(Table5[[#This Row],[zScore]],Table5[[#All],[zScore]])</f>
        <v>615</v>
      </c>
      <c r="Y622" s="50" t="str">
        <f>IFERROR(INDEX(DraftResults[[#All],[OVR]],MATCH(Table5[[#This Row],[PID]],DraftResults[[#All],[Player ID]],0)),"")</f>
        <v/>
      </c>
      <c r="Z622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/>
      </c>
      <c r="AA622" s="50" t="str">
        <f>IFERROR(INDEX(DraftResults[[#All],[Pick in Round]],MATCH(Table5[[#This Row],[PID]],DraftResults[[#All],[Player ID]],0)),"")</f>
        <v/>
      </c>
      <c r="AB622" s="50" t="str">
        <f>IFERROR(INDEX(DraftResults[[#All],[Team Name]],MATCH(Table5[[#This Row],[PID]],DraftResults[[#All],[Player ID]],0)),"")</f>
        <v/>
      </c>
      <c r="AC622" s="50" t="str">
        <f>IF(Table5[[#This Row],[Ovr]]="","",IF(Table5[[#This Row],[cmbList]]="","",Table5[[#This Row],[cmbList]]-Table5[[#This Row],[Ovr]]))</f>
        <v/>
      </c>
      <c r="AD622" s="54" t="str">
        <f>IF(ISERROR(VLOOKUP($AB622&amp;"-"&amp;$E622&amp;" "&amp;F622,Bonuses!$B$1:$G$1006,4,FALSE)),"",INT(VLOOKUP($AB622&amp;"-"&amp;$E622&amp;" "&amp;$F622,Bonuses!$B$1:$G$1006,4,FALSE)))</f>
        <v/>
      </c>
      <c r="AE622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/>
      </c>
    </row>
    <row r="623" spans="1:31" s="50" customFormat="1" x14ac:dyDescent="0.3">
      <c r="A623" s="67">
        <v>12827</v>
      </c>
      <c r="B623" s="68">
        <f>COUNTIF(Table5[PID],A623)</f>
        <v>1</v>
      </c>
      <c r="C623" s="68" t="str">
        <f>IF(COUNTIF(Table3[[#All],[PID]],A623)&gt;0,"P","B")</f>
        <v>B</v>
      </c>
      <c r="D623" s="59" t="str">
        <f>IF($C623="B",INDEX(Batters[[#All],[POS]],MATCH(Table5[[#This Row],[PID]],Batters[[#All],[PID]],0)),INDEX(Table3[[#All],[POS]],MATCH(Table5[[#This Row],[PID]],Table3[[#All],[PID]],0)))</f>
        <v>LF</v>
      </c>
      <c r="E623" s="52" t="str">
        <f>IF($C623="B",INDEX(Batters[[#All],[First]],MATCH(Table5[[#This Row],[PID]],Batters[[#All],[PID]],0)),INDEX(Table3[[#All],[First]],MATCH(Table5[[#This Row],[PID]],Table3[[#All],[PID]],0)))</f>
        <v>Clive</v>
      </c>
      <c r="F623" s="55" t="str">
        <f>IF($C623="B",INDEX(Batters[[#All],[Last]],MATCH(A623,Batters[[#All],[PID]],0)),INDEX(Table3[[#All],[Last]],MATCH(A623,Table3[[#All],[PID]],0)))</f>
        <v>Hotham</v>
      </c>
      <c r="G623" s="56">
        <f>IF($C623="B",INDEX(Batters[[#All],[Age]],MATCH(Table5[[#This Row],[PID]],Batters[[#All],[PID]],0)),INDEX(Table3[[#All],[Age]],MATCH(Table5[[#This Row],[PID]],Table3[[#All],[PID]],0)))</f>
        <v>22</v>
      </c>
      <c r="H623" s="52" t="str">
        <f>IF($C623="B",INDEX(Batters[[#All],[B]],MATCH(Table5[[#This Row],[PID]],Batters[[#All],[PID]],0)),INDEX(Table3[[#All],[B]],MATCH(Table5[[#This Row],[PID]],Table3[[#All],[PID]],0)))</f>
        <v>L</v>
      </c>
      <c r="I623" s="52" t="str">
        <f>IF($C623="B",INDEX(Batters[[#All],[T]],MATCH(Table5[[#This Row],[PID]],Batters[[#All],[PID]],0)),INDEX(Table3[[#All],[T]],MATCH(Table5[[#This Row],[PID]],Table3[[#All],[PID]],0)))</f>
        <v>R</v>
      </c>
      <c r="J623" s="69" t="str">
        <f>IF($C623="B",INDEX(Batters[[#All],[WE]],MATCH(Table5[[#This Row],[PID]],Batters[[#All],[PID]],0)),INDEX(Table3[[#All],[WE]],MATCH(Table5[[#This Row],[PID]],Table3[[#All],[PID]],0)))</f>
        <v>Normal</v>
      </c>
      <c r="K623" s="52" t="str">
        <f>IF($C623="B",INDEX(Batters[[#All],[INT]],MATCH(Table5[[#This Row],[PID]],Batters[[#All],[PID]],0)),INDEX(Table3[[#All],[INT]],MATCH(Table5[[#This Row],[PID]],Table3[[#All],[PID]],0)))</f>
        <v>Normal</v>
      </c>
      <c r="L623" s="60">
        <f>IF($C623="B",INDEX(Batters[[#All],[CON P]],MATCH(Table5[[#This Row],[PID]],Batters[[#All],[PID]],0)),INDEX(Table3[[#All],[STU P]],MATCH(Table5[[#This Row],[PID]],Table3[[#All],[PID]],0)))</f>
        <v>3</v>
      </c>
      <c r="M623" s="70">
        <f>IF($C623="B",INDEX(Batters[[#All],[GAP P]],MATCH(Table5[[#This Row],[PID]],Batters[[#All],[PID]],0)),INDEX(Table3[[#All],[MOV P]],MATCH(Table5[[#This Row],[PID]],Table3[[#All],[PID]],0)))</f>
        <v>5</v>
      </c>
      <c r="N623" s="70">
        <f>IF($C623="B",INDEX(Batters[[#All],[POW P]],MATCH(Table5[[#This Row],[PID]],Batters[[#All],[PID]],0)),INDEX(Table3[[#All],[CON P]],MATCH(Table5[[#This Row],[PID]],Table3[[#All],[PID]],0)))</f>
        <v>4</v>
      </c>
      <c r="O623" s="70">
        <f>IF($C623="B",INDEX(Batters[[#All],[EYE P]],MATCH(Table5[[#This Row],[PID]],Batters[[#All],[PID]],0)),INDEX(Table3[[#All],[VELO]],MATCH(Table5[[#This Row],[PID]],Table3[[#All],[PID]],0)))</f>
        <v>5</v>
      </c>
      <c r="P623" s="56">
        <f>IF($C623="B",INDEX(Batters[[#All],[K P]],MATCH(Table5[[#This Row],[PID]],Batters[[#All],[PID]],0)),INDEX(Table3[[#All],[STM]],MATCH(Table5[[#This Row],[PID]],Table3[[#All],[PID]],0)))</f>
        <v>4</v>
      </c>
      <c r="Q623" s="61">
        <f>IF($C623="B",INDEX(Batters[[#All],[Tot]],MATCH(Table5[[#This Row],[PID]],Batters[[#All],[PID]],0)),INDEX(Table3[[#All],[Tot]],MATCH(Table5[[#This Row],[PID]],Table3[[#All],[PID]],0)))</f>
        <v>38.789543578716099</v>
      </c>
      <c r="R623" s="52">
        <f>IF($C623="B",INDEX(Batters[[#All],[zScore]],MATCH(Table5[[#This Row],[PID]],Batters[[#All],[PID]],0)),INDEX(Table3[[#All],[zScore]],MATCH(Table5[[#This Row],[PID]],Table3[[#All],[PID]],0)))</f>
        <v>-0.64648501835921957</v>
      </c>
      <c r="S623" s="75" t="str">
        <f>IF($C623="B",INDEX(Batters[[#All],[DEM]],MATCH(Table5[[#This Row],[PID]],Batters[[#All],[PID]],0)),INDEX(Table3[[#All],[DEM]],MATCH(Table5[[#This Row],[PID]],Table3[[#All],[PID]],0)))</f>
        <v>$20k</v>
      </c>
      <c r="T623" s="72">
        <f>IF($C623="B",INDEX(Batters[[#All],[Rnk]],MATCH(Table5[[#This Row],[PID]],Batters[[#All],[PID]],0)),INDEX(Table3[[#All],[Rnk]],MATCH(Table5[[#This Row],[PID]],Table3[[#All],[PID]],0)))</f>
        <v>900</v>
      </c>
      <c r="U623" s="67">
        <f>IF($C623="B",VLOOKUP($A623,Bat!$A$4:$BA$1314,47,FALSE),VLOOKUP($A623,Pit!$A$4:$BF$1214,56,FALSE))</f>
        <v>228</v>
      </c>
      <c r="V623" s="50">
        <f>IF($C623="B",VLOOKUP($A623,Bat!$A$4:$BA$1314,48,FALSE),VLOOKUP($A623,Pit!$A$4:$BF$1214,57,FALSE))</f>
        <v>0</v>
      </c>
      <c r="W623" s="68">
        <f>IF(Table5[[#This Row],[posRnk]]=999,9999,Table5[[#This Row],[posRnk]]+Table5[[#This Row],[zRnk]]+IF($W$3&lt;&gt;Table5[[#This Row],[Type]],50,0))</f>
        <v>1596</v>
      </c>
      <c r="X623" s="71">
        <f>RANK(Table5[[#This Row],[zScore]],Table5[[#All],[zScore]])</f>
        <v>646</v>
      </c>
      <c r="Y623" s="68">
        <f>IFERROR(INDEX(DraftResults[[#All],[OVR]],MATCH(Table5[[#This Row],[PID]],DraftResults[[#All],[Player ID]],0)),"")</f>
        <v>357</v>
      </c>
      <c r="Z623" s="7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11</v>
      </c>
      <c r="AA623" s="68">
        <f>IFERROR(INDEX(DraftResults[[#All],[Pick in Round]],MATCH(Table5[[#This Row],[PID]],DraftResults[[#All],[Player ID]],0)),"")</f>
        <v>26</v>
      </c>
      <c r="AB623" s="68" t="str">
        <f>IFERROR(INDEX(DraftResults[[#All],[Team Name]],MATCH(Table5[[#This Row],[PID]],DraftResults[[#All],[Player ID]],0)),"")</f>
        <v>Aurora Borealis</v>
      </c>
      <c r="AC623" s="68">
        <f>IF(Table5[[#This Row],[Ovr]]="","",IF(Table5[[#This Row],[cmbList]]="","",Table5[[#This Row],[cmbList]]-Table5[[#This Row],[Ovr]]))</f>
        <v>1239</v>
      </c>
      <c r="AD623" s="74" t="str">
        <f>IF(ISERROR(VLOOKUP($AB623&amp;"-"&amp;$E623&amp;" "&amp;F623,Bonuses!$B$1:$G$1006,4,FALSE)),"",INT(VLOOKUP($AB623&amp;"-"&amp;$E623&amp;" "&amp;$F623,Bonuses!$B$1:$G$1006,4,FALSE)))</f>
        <v/>
      </c>
      <c r="AE623" s="68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11.26 (357) - LF Clive Hotham</v>
      </c>
    </row>
    <row r="624" spans="1:31" s="50" customFormat="1" x14ac:dyDescent="0.3">
      <c r="A624" s="67">
        <v>11740</v>
      </c>
      <c r="B624" s="68">
        <f>COUNTIF(Table5[PID],A624)</f>
        <v>1</v>
      </c>
      <c r="C624" s="68" t="str">
        <f>IF(COUNTIF(Table3[[#All],[PID]],A624)&gt;0,"P","B")</f>
        <v>P</v>
      </c>
      <c r="D624" s="59" t="str">
        <f>IF($C624="B",INDEX(Batters[[#All],[POS]],MATCH(Table5[[#This Row],[PID]],Batters[[#All],[PID]],0)),INDEX(Table3[[#All],[POS]],MATCH(Table5[[#This Row],[PID]],Table3[[#All],[PID]],0)))</f>
        <v>RP</v>
      </c>
      <c r="E624" s="52" t="str">
        <f>IF($C624="B",INDEX(Batters[[#All],[First]],MATCH(Table5[[#This Row],[PID]],Batters[[#All],[PID]],0)),INDEX(Table3[[#All],[First]],MATCH(Table5[[#This Row],[PID]],Table3[[#All],[PID]],0)))</f>
        <v>Alan</v>
      </c>
      <c r="F624" s="55" t="str">
        <f>IF($C624="B",INDEX(Batters[[#All],[Last]],MATCH(A624,Batters[[#All],[PID]],0)),INDEX(Table3[[#All],[Last]],MATCH(A624,Table3[[#All],[PID]],0)))</f>
        <v>Jones</v>
      </c>
      <c r="G624" s="56">
        <f>IF($C624="B",INDEX(Batters[[#All],[Age]],MATCH(Table5[[#This Row],[PID]],Batters[[#All],[PID]],0)),INDEX(Table3[[#All],[Age]],MATCH(Table5[[#This Row],[PID]],Table3[[#All],[PID]],0)))</f>
        <v>21</v>
      </c>
      <c r="H624" s="52" t="str">
        <f>IF($C624="B",INDEX(Batters[[#All],[B]],MATCH(Table5[[#This Row],[PID]],Batters[[#All],[PID]],0)),INDEX(Table3[[#All],[B]],MATCH(Table5[[#This Row],[PID]],Table3[[#All],[PID]],0)))</f>
        <v>R</v>
      </c>
      <c r="I624" s="52" t="str">
        <f>IF($C624="B",INDEX(Batters[[#All],[T]],MATCH(Table5[[#This Row],[PID]],Batters[[#All],[PID]],0)),INDEX(Table3[[#All],[T]],MATCH(Table5[[#This Row],[PID]],Table3[[#All],[PID]],0)))</f>
        <v>R</v>
      </c>
      <c r="J624" s="69" t="str">
        <f>IF($C624="B",INDEX(Batters[[#All],[WE]],MATCH(Table5[[#This Row],[PID]],Batters[[#All],[PID]],0)),INDEX(Table3[[#All],[WE]],MATCH(Table5[[#This Row],[PID]],Table3[[#All],[PID]],0)))</f>
        <v>Normal</v>
      </c>
      <c r="K624" s="52" t="str">
        <f>IF($C624="B",INDEX(Batters[[#All],[INT]],MATCH(Table5[[#This Row],[PID]],Batters[[#All],[PID]],0)),INDEX(Table3[[#All],[INT]],MATCH(Table5[[#This Row],[PID]],Table3[[#All],[PID]],0)))</f>
        <v>Normal</v>
      </c>
      <c r="L624" s="60">
        <f>IF($C624="B",INDEX(Batters[[#All],[CON P]],MATCH(Table5[[#This Row],[PID]],Batters[[#All],[PID]],0)),INDEX(Table3[[#All],[STU P]],MATCH(Table5[[#This Row],[PID]],Table3[[#All],[PID]],0)))</f>
        <v>4</v>
      </c>
      <c r="M624" s="70">
        <f>IF($C624="B",INDEX(Batters[[#All],[GAP P]],MATCH(Table5[[#This Row],[PID]],Batters[[#All],[PID]],0)),INDEX(Table3[[#All],[MOV P]],MATCH(Table5[[#This Row],[PID]],Table3[[#All],[PID]],0)))</f>
        <v>2</v>
      </c>
      <c r="N624" s="70">
        <f>IF($C624="B",INDEX(Batters[[#All],[POW P]],MATCH(Table5[[#This Row],[PID]],Batters[[#All],[PID]],0)),INDEX(Table3[[#All],[CON P]],MATCH(Table5[[#This Row],[PID]],Table3[[#All],[PID]],0)))</f>
        <v>3</v>
      </c>
      <c r="O624" s="70" t="str">
        <f>IF($C624="B",INDEX(Batters[[#All],[EYE P]],MATCH(Table5[[#This Row],[PID]],Batters[[#All],[PID]],0)),INDEX(Table3[[#All],[VELO]],MATCH(Table5[[#This Row],[PID]],Table3[[#All],[PID]],0)))</f>
        <v>87-89 Mph</v>
      </c>
      <c r="P624" s="56">
        <f>IF($C624="B",INDEX(Batters[[#All],[K P]],MATCH(Table5[[#This Row],[PID]],Batters[[#All],[PID]],0)),INDEX(Table3[[#All],[STM]],MATCH(Table5[[#This Row],[PID]],Table3[[#All],[PID]],0)))</f>
        <v>7</v>
      </c>
      <c r="Q624" s="61">
        <f>IF($C624="B",INDEX(Batters[[#All],[Tot]],MATCH(Table5[[#This Row],[PID]],Batters[[#All],[PID]],0)),INDEX(Table3[[#All],[Tot]],MATCH(Table5[[#This Row],[PID]],Table3[[#All],[PID]],0)))</f>
        <v>28.700874457299729</v>
      </c>
      <c r="R624" s="52">
        <f>IF($C624="B",INDEX(Batters[[#All],[zScore]],MATCH(Table5[[#This Row],[PID]],Batters[[#All],[PID]],0)),INDEX(Table3[[#All],[zScore]],MATCH(Table5[[#This Row],[PID]],Table3[[#All],[PID]],0)))</f>
        <v>-0.64810563022558276</v>
      </c>
      <c r="S624" s="75" t="str">
        <f>IF($C624="B",INDEX(Batters[[#All],[DEM]],MATCH(Table5[[#This Row],[PID]],Batters[[#All],[PID]],0)),INDEX(Table3[[#All],[DEM]],MATCH(Table5[[#This Row],[PID]],Table3[[#All],[PID]],0)))</f>
        <v>$20k</v>
      </c>
      <c r="T624" s="72">
        <f>IF($C624="B",INDEX(Batters[[#All],[Rnk]],MATCH(Table5[[#This Row],[PID]],Batters[[#All],[PID]],0)),INDEX(Table3[[#All],[Rnk]],MATCH(Table5[[#This Row],[PID]],Table3[[#All],[PID]],0)))</f>
        <v>900</v>
      </c>
      <c r="U624" s="67">
        <f>IF($C624="B",VLOOKUP($A624,Bat!$A$4:$BA$1314,47,FALSE),VLOOKUP($A624,Pit!$A$4:$BF$1214,56,FALSE))</f>
        <v>218</v>
      </c>
      <c r="V624" s="50">
        <f>IF($C624="B",VLOOKUP($A624,Bat!$A$4:$BA$1314,48,FALSE),VLOOKUP($A624,Pit!$A$4:$BF$1214,57,FALSE))</f>
        <v>0</v>
      </c>
      <c r="W624" s="68">
        <f>IF(Table5[[#This Row],[posRnk]]=999,9999,Table5[[#This Row],[posRnk]]+Table5[[#This Row],[zRnk]]+IF($W$3&lt;&gt;Table5[[#This Row],[Type]],50,0))</f>
        <v>1547</v>
      </c>
      <c r="X624" s="71">
        <f>RANK(Table5[[#This Row],[zScore]],Table5[[#All],[zScore]])</f>
        <v>647</v>
      </c>
      <c r="Y624" s="68" t="str">
        <f>IFERROR(INDEX(DraftResults[[#All],[OVR]],MATCH(Table5[[#This Row],[PID]],DraftResults[[#All],[Player ID]],0)),"")</f>
        <v/>
      </c>
      <c r="Z624" s="7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/>
      </c>
      <c r="AA624" s="68" t="str">
        <f>IFERROR(INDEX(DraftResults[[#All],[Pick in Round]],MATCH(Table5[[#This Row],[PID]],DraftResults[[#All],[Player ID]],0)),"")</f>
        <v/>
      </c>
      <c r="AB624" s="68" t="str">
        <f>IFERROR(INDEX(DraftResults[[#All],[Team Name]],MATCH(Table5[[#This Row],[PID]],DraftResults[[#All],[Player ID]],0)),"")</f>
        <v/>
      </c>
      <c r="AC624" s="68" t="str">
        <f>IF(Table5[[#This Row],[Ovr]]="","",IF(Table5[[#This Row],[cmbList]]="","",Table5[[#This Row],[cmbList]]-Table5[[#This Row],[Ovr]]))</f>
        <v/>
      </c>
      <c r="AD624" s="74" t="str">
        <f>IF(ISERROR(VLOOKUP($AB624&amp;"-"&amp;$E624&amp;" "&amp;F624,Bonuses!$B$1:$G$1006,4,FALSE)),"",INT(VLOOKUP($AB624&amp;"-"&amp;$E624&amp;" "&amp;$F624,Bonuses!$B$1:$G$1006,4,FALSE)))</f>
        <v/>
      </c>
      <c r="AE624" s="68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/>
      </c>
    </row>
    <row r="625" spans="1:31" s="50" customFormat="1" x14ac:dyDescent="0.3">
      <c r="A625" s="50">
        <v>15192</v>
      </c>
      <c r="B625" s="50">
        <f>COUNTIF(Table5[PID],A625)</f>
        <v>1</v>
      </c>
      <c r="C625" s="50" t="str">
        <f>IF(COUNTIF(Table3[[#All],[PID]],A625)&gt;0,"P","B")</f>
        <v>P</v>
      </c>
      <c r="D625" s="59" t="str">
        <f>IF($C625="B",INDEX(Batters[[#All],[POS]],MATCH(Table5[[#This Row],[PID]],Batters[[#All],[PID]],0)),INDEX(Table3[[#All],[POS]],MATCH(Table5[[#This Row],[PID]],Table3[[#All],[PID]],0)))</f>
        <v>SP</v>
      </c>
      <c r="E625" s="52" t="str">
        <f>IF($C625="B",INDEX(Batters[[#All],[First]],MATCH(Table5[[#This Row],[PID]],Batters[[#All],[PID]],0)),INDEX(Table3[[#All],[First]],MATCH(Table5[[#This Row],[PID]],Table3[[#All],[PID]],0)))</f>
        <v>Luis</v>
      </c>
      <c r="F625" s="50" t="str">
        <f>IF($C625="B",INDEX(Batters[[#All],[Last]],MATCH(A625,Batters[[#All],[PID]],0)),INDEX(Table3[[#All],[Last]],MATCH(A625,Table3[[#All],[PID]],0)))</f>
        <v>Morán</v>
      </c>
      <c r="G625" s="56">
        <f>IF($C625="B",INDEX(Batters[[#All],[Age]],MATCH(Table5[[#This Row],[PID]],Batters[[#All],[PID]],0)),INDEX(Table3[[#All],[Age]],MATCH(Table5[[#This Row],[PID]],Table3[[#All],[PID]],0)))</f>
        <v>21</v>
      </c>
      <c r="H625" s="52" t="str">
        <f>IF($C625="B",INDEX(Batters[[#All],[B]],MATCH(Table5[[#This Row],[PID]],Batters[[#All],[PID]],0)),INDEX(Table3[[#All],[B]],MATCH(Table5[[#This Row],[PID]],Table3[[#All],[PID]],0)))</f>
        <v>L</v>
      </c>
      <c r="I625" s="52" t="str">
        <f>IF($C625="B",INDEX(Batters[[#All],[T]],MATCH(Table5[[#This Row],[PID]],Batters[[#All],[PID]],0)),INDEX(Table3[[#All],[T]],MATCH(Table5[[#This Row],[PID]],Table3[[#All],[PID]],0)))</f>
        <v>R</v>
      </c>
      <c r="J625" s="52" t="str">
        <f>IF($C625="B",INDEX(Batters[[#All],[WE]],MATCH(Table5[[#This Row],[PID]],Batters[[#All],[PID]],0)),INDEX(Table3[[#All],[WE]],MATCH(Table5[[#This Row],[PID]],Table3[[#All],[PID]],0)))</f>
        <v>Normal</v>
      </c>
      <c r="K625" s="52" t="str">
        <f>IF($C625="B",INDEX(Batters[[#All],[INT]],MATCH(Table5[[#This Row],[PID]],Batters[[#All],[PID]],0)),INDEX(Table3[[#All],[INT]],MATCH(Table5[[#This Row],[PID]],Table3[[#All],[PID]],0)))</f>
        <v>Normal</v>
      </c>
      <c r="L625" s="60">
        <f>IF($C625="B",INDEX(Batters[[#All],[CON P]],MATCH(Table5[[#This Row],[PID]],Batters[[#All],[PID]],0)),INDEX(Table3[[#All],[STU P]],MATCH(Table5[[#This Row],[PID]],Table3[[#All],[PID]],0)))</f>
        <v>5</v>
      </c>
      <c r="M625" s="56">
        <f>IF($C625="B",INDEX(Batters[[#All],[GAP P]],MATCH(Table5[[#This Row],[PID]],Batters[[#All],[PID]],0)),INDEX(Table3[[#All],[MOV P]],MATCH(Table5[[#This Row],[PID]],Table3[[#All],[PID]],0)))</f>
        <v>2</v>
      </c>
      <c r="N625" s="56">
        <f>IF($C625="B",INDEX(Batters[[#All],[POW P]],MATCH(Table5[[#This Row],[PID]],Batters[[#All],[PID]],0)),INDEX(Table3[[#All],[CON P]],MATCH(Table5[[#This Row],[PID]],Table3[[#All],[PID]],0)))</f>
        <v>2</v>
      </c>
      <c r="O625" s="56" t="str">
        <f>IF($C625="B",INDEX(Batters[[#All],[EYE P]],MATCH(Table5[[#This Row],[PID]],Batters[[#All],[PID]],0)),INDEX(Table3[[#All],[VELO]],MATCH(Table5[[#This Row],[PID]],Table3[[#All],[PID]],0)))</f>
        <v>91-93 Mph</v>
      </c>
      <c r="P625" s="56">
        <f>IF($C625="B",INDEX(Batters[[#All],[K P]],MATCH(Table5[[#This Row],[PID]],Batters[[#All],[PID]],0)),INDEX(Table3[[#All],[STM]],MATCH(Table5[[#This Row],[PID]],Table3[[#All],[PID]],0)))</f>
        <v>4</v>
      </c>
      <c r="Q625" s="61">
        <f>IF($C625="B",INDEX(Batters[[#All],[Tot]],MATCH(Table5[[#This Row],[PID]],Batters[[#All],[PID]],0)),INDEX(Table3[[#All],[Tot]],MATCH(Table5[[#This Row],[PID]],Table3[[#All],[PID]],0)))</f>
        <v>28.610875145080943</v>
      </c>
      <c r="R625" s="52">
        <f>IF($C625="B",INDEX(Batters[[#All],[zScore]],MATCH(Table5[[#This Row],[PID]],Batters[[#All],[PID]],0)),INDEX(Table3[[#All],[zScore]],MATCH(Table5[[#This Row],[PID]],Table3[[#All],[PID]],0)))</f>
        <v>-0.65451421420929101</v>
      </c>
      <c r="S625" s="58" t="str">
        <f>IF($C625="B",INDEX(Batters[[#All],[DEM]],MATCH(Table5[[#This Row],[PID]],Batters[[#All],[PID]],0)),INDEX(Table3[[#All],[DEM]],MATCH(Table5[[#This Row],[PID]],Table3[[#All],[PID]],0)))</f>
        <v>$20k</v>
      </c>
      <c r="T625" s="62">
        <f>IF($C625="B",INDEX(Batters[[#All],[Rnk]],MATCH(Table5[[#This Row],[PID]],Batters[[#All],[PID]],0)),INDEX(Table3[[#All],[Rnk]],MATCH(Table5[[#This Row],[PID]],Table3[[#All],[PID]],0)))</f>
        <v>900</v>
      </c>
      <c r="U625" s="67">
        <f>IF($C625="B",VLOOKUP($A625,Bat!$A$4:$BA$1314,47,FALSE),VLOOKUP($A625,Pit!$A$4:$BF$1214,56,FALSE))</f>
        <v>219</v>
      </c>
      <c r="V625" s="50">
        <f>IF($C625="B",VLOOKUP($A625,Bat!$A$4:$BA$1314,48,FALSE),VLOOKUP($A625,Pit!$A$4:$BF$1214,57,FALSE))</f>
        <v>0</v>
      </c>
      <c r="W625" s="68">
        <f>IF(Table5[[#This Row],[posRnk]]=999,9999,Table5[[#This Row],[posRnk]]+Table5[[#This Row],[zRnk]]+IF($W$3&lt;&gt;Table5[[#This Row],[Type]],50,0))</f>
        <v>1549</v>
      </c>
      <c r="X625" s="51">
        <f>RANK(Table5[[#This Row],[zScore]],Table5[[#All],[zScore]])</f>
        <v>649</v>
      </c>
      <c r="Y625" s="50">
        <f>IFERROR(INDEX(DraftResults[[#All],[OVR]],MATCH(Table5[[#This Row],[PID]],DraftResults[[#All],[Player ID]],0)),"")</f>
        <v>554</v>
      </c>
      <c r="Z625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17</v>
      </c>
      <c r="AA625" s="50">
        <f>IFERROR(INDEX(DraftResults[[#All],[Pick in Round]],MATCH(Table5[[#This Row],[PID]],DraftResults[[#All],[Player ID]],0)),"")</f>
        <v>19</v>
      </c>
      <c r="AB625" s="50" t="str">
        <f>IFERROR(INDEX(DraftResults[[#All],[Team Name]],MATCH(Table5[[#This Row],[PID]],DraftResults[[#All],[Player ID]],0)),"")</f>
        <v>Fargo Dinosaurs</v>
      </c>
      <c r="AC625" s="50">
        <f>IF(Table5[[#This Row],[Ovr]]="","",IF(Table5[[#This Row],[cmbList]]="","",Table5[[#This Row],[cmbList]]-Table5[[#This Row],[Ovr]]))</f>
        <v>995</v>
      </c>
      <c r="AD625" s="54" t="str">
        <f>IF(ISERROR(VLOOKUP($AB625&amp;"-"&amp;$E625&amp;" "&amp;F625,Bonuses!$B$1:$G$1006,4,FALSE)),"",INT(VLOOKUP($AB625&amp;"-"&amp;$E625&amp;" "&amp;$F625,Bonuses!$B$1:$G$1006,4,FALSE)))</f>
        <v/>
      </c>
      <c r="AE625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17.19 (554) - SP Luis Morán</v>
      </c>
    </row>
    <row r="626" spans="1:31" s="50" customFormat="1" x14ac:dyDescent="0.3">
      <c r="A626" s="67">
        <v>15314</v>
      </c>
      <c r="B626" s="68">
        <f>COUNTIF(Table5[PID],A626)</f>
        <v>1</v>
      </c>
      <c r="C626" s="68" t="str">
        <f>IF(COUNTIF(Table3[[#All],[PID]],A626)&gt;0,"P","B")</f>
        <v>B</v>
      </c>
      <c r="D626" s="59" t="str">
        <f>IF($C626="B",INDEX(Batters[[#All],[POS]],MATCH(Table5[[#This Row],[PID]],Batters[[#All],[PID]],0)),INDEX(Table3[[#All],[POS]],MATCH(Table5[[#This Row],[PID]],Table3[[#All],[PID]],0)))</f>
        <v>LF</v>
      </c>
      <c r="E626" s="52" t="str">
        <f>IF($C626="B",INDEX(Batters[[#All],[First]],MATCH(Table5[[#This Row],[PID]],Batters[[#All],[PID]],0)),INDEX(Table3[[#All],[First]],MATCH(Table5[[#This Row],[PID]],Table3[[#All],[PID]],0)))</f>
        <v>Toyoshige</v>
      </c>
      <c r="F626" s="55" t="str">
        <f>IF($C626="B",INDEX(Batters[[#All],[Last]],MATCH(A626,Batters[[#All],[PID]],0)),INDEX(Table3[[#All],[Last]],MATCH(A626,Table3[[#All],[PID]],0)))</f>
        <v>Suzuki</v>
      </c>
      <c r="G626" s="56">
        <f>IF($C626="B",INDEX(Batters[[#All],[Age]],MATCH(Table5[[#This Row],[PID]],Batters[[#All],[PID]],0)),INDEX(Table3[[#All],[Age]],MATCH(Table5[[#This Row],[PID]],Table3[[#All],[PID]],0)))</f>
        <v>21</v>
      </c>
      <c r="H626" s="52" t="str">
        <f>IF($C626="B",INDEX(Batters[[#All],[B]],MATCH(Table5[[#This Row],[PID]],Batters[[#All],[PID]],0)),INDEX(Table3[[#All],[B]],MATCH(Table5[[#This Row],[PID]],Table3[[#All],[PID]],0)))</f>
        <v>R</v>
      </c>
      <c r="I626" s="52" t="str">
        <f>IF($C626="B",INDEX(Batters[[#All],[T]],MATCH(Table5[[#This Row],[PID]],Batters[[#All],[PID]],0)),INDEX(Table3[[#All],[T]],MATCH(Table5[[#This Row],[PID]],Table3[[#All],[PID]],0)))</f>
        <v>R</v>
      </c>
      <c r="J626" s="69" t="str">
        <f>IF($C626="B",INDEX(Batters[[#All],[WE]],MATCH(Table5[[#This Row],[PID]],Batters[[#All],[PID]],0)),INDEX(Table3[[#All],[WE]],MATCH(Table5[[#This Row],[PID]],Table3[[#All],[PID]],0)))</f>
        <v>Low</v>
      </c>
      <c r="K626" s="52" t="str">
        <f>IF($C626="B",INDEX(Batters[[#All],[INT]],MATCH(Table5[[#This Row],[PID]],Batters[[#All],[PID]],0)),INDEX(Table3[[#All],[INT]],MATCH(Table5[[#This Row],[PID]],Table3[[#All],[PID]],0)))</f>
        <v>Low</v>
      </c>
      <c r="L626" s="60">
        <f>IF($C626="B",INDEX(Batters[[#All],[CON P]],MATCH(Table5[[#This Row],[PID]],Batters[[#All],[PID]],0)),INDEX(Table3[[#All],[STU P]],MATCH(Table5[[#This Row],[PID]],Table3[[#All],[PID]],0)))</f>
        <v>4</v>
      </c>
      <c r="M626" s="70">
        <f>IF($C626="B",INDEX(Batters[[#All],[GAP P]],MATCH(Table5[[#This Row],[PID]],Batters[[#All],[PID]],0)),INDEX(Table3[[#All],[MOV P]],MATCH(Table5[[#This Row],[PID]],Table3[[#All],[PID]],0)))</f>
        <v>4</v>
      </c>
      <c r="N626" s="70">
        <f>IF($C626="B",INDEX(Batters[[#All],[POW P]],MATCH(Table5[[#This Row],[PID]],Batters[[#All],[PID]],0)),INDEX(Table3[[#All],[CON P]],MATCH(Table5[[#This Row],[PID]],Table3[[#All],[PID]],0)))</f>
        <v>2</v>
      </c>
      <c r="O626" s="70">
        <f>IF($C626="B",INDEX(Batters[[#All],[EYE P]],MATCH(Table5[[#This Row],[PID]],Batters[[#All],[PID]],0)),INDEX(Table3[[#All],[VELO]],MATCH(Table5[[#This Row],[PID]],Table3[[#All],[PID]],0)))</f>
        <v>5</v>
      </c>
      <c r="P626" s="56">
        <f>IF($C626="B",INDEX(Batters[[#All],[K P]],MATCH(Table5[[#This Row],[PID]],Batters[[#All],[PID]],0)),INDEX(Table3[[#All],[STM]],MATCH(Table5[[#This Row],[PID]],Table3[[#All],[PID]],0)))</f>
        <v>4</v>
      </c>
      <c r="Q626" s="61">
        <f>IF($C626="B",INDEX(Batters[[#All],[Tot]],MATCH(Table5[[#This Row],[PID]],Batters[[#All],[PID]],0)),INDEX(Table3[[#All],[Tot]],MATCH(Table5[[#This Row],[PID]],Table3[[#All],[PID]],0)))</f>
        <v>39.427634474803185</v>
      </c>
      <c r="R626" s="52">
        <f>IF($C626="B",INDEX(Batters[[#All],[zScore]],MATCH(Table5[[#This Row],[PID]],Batters[[#All],[PID]],0)),INDEX(Table3[[#All],[zScore]],MATCH(Table5[[#This Row],[PID]],Table3[[#All],[PID]],0)))</f>
        <v>-0.55334409647433036</v>
      </c>
      <c r="S626" s="75" t="str">
        <f>IF($C626="B",INDEX(Batters[[#All],[DEM]],MATCH(Table5[[#This Row],[PID]],Batters[[#All],[PID]],0)),INDEX(Table3[[#All],[DEM]],MATCH(Table5[[#This Row],[PID]],Table3[[#All],[PID]],0)))</f>
        <v>-</v>
      </c>
      <c r="T626" s="72">
        <f>IF($C626="B",INDEX(Batters[[#All],[Rnk]],MATCH(Table5[[#This Row],[PID]],Batters[[#All],[PID]],0)),INDEX(Table3[[#All],[Rnk]],MATCH(Table5[[#This Row],[PID]],Table3[[#All],[PID]],0)))</f>
        <v>950</v>
      </c>
      <c r="U626" s="67">
        <f>IF($C626="B",VLOOKUP($A626,Bat!$A$4:$BA$1314,47,FALSE),VLOOKUP($A626,Pit!$A$4:$BF$1214,56,FALSE))</f>
        <v>440</v>
      </c>
      <c r="V626" s="50">
        <f>IF($C626="B",VLOOKUP($A626,Bat!$A$4:$BA$1314,48,FALSE),VLOOKUP($A626,Pit!$A$4:$BF$1214,57,FALSE))</f>
        <v>0</v>
      </c>
      <c r="W626" s="68">
        <f>IF(Table5[[#This Row],[posRnk]]=999,9999,Table5[[#This Row],[posRnk]]+Table5[[#This Row],[zRnk]]+IF($W$3&lt;&gt;Table5[[#This Row],[Type]],50,0))</f>
        <v>1600</v>
      </c>
      <c r="X626" s="71">
        <f>RANK(Table5[[#This Row],[zScore]],Table5[[#All],[zScore]])</f>
        <v>600</v>
      </c>
      <c r="Y626" s="68" t="str">
        <f>IFERROR(INDEX(DraftResults[[#All],[OVR]],MATCH(Table5[[#This Row],[PID]],DraftResults[[#All],[Player ID]],0)),"")</f>
        <v/>
      </c>
      <c r="Z626" s="7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/>
      </c>
      <c r="AA626" s="68" t="str">
        <f>IFERROR(INDEX(DraftResults[[#All],[Pick in Round]],MATCH(Table5[[#This Row],[PID]],DraftResults[[#All],[Player ID]],0)),"")</f>
        <v/>
      </c>
      <c r="AB626" s="68" t="str">
        <f>IFERROR(INDEX(DraftResults[[#All],[Team Name]],MATCH(Table5[[#This Row],[PID]],DraftResults[[#All],[Player ID]],0)),"")</f>
        <v/>
      </c>
      <c r="AC626" s="68" t="str">
        <f>IF(Table5[[#This Row],[Ovr]]="","",IF(Table5[[#This Row],[cmbList]]="","",Table5[[#This Row],[cmbList]]-Table5[[#This Row],[Ovr]]))</f>
        <v/>
      </c>
      <c r="AD626" s="74" t="str">
        <f>IF(ISERROR(VLOOKUP($AB626&amp;"-"&amp;$E626&amp;" "&amp;F626,Bonuses!$B$1:$G$1006,4,FALSE)),"",INT(VLOOKUP($AB626&amp;"-"&amp;$E626&amp;" "&amp;$F626,Bonuses!$B$1:$G$1006,4,FALSE)))</f>
        <v/>
      </c>
      <c r="AE626" s="68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/>
      </c>
    </row>
    <row r="627" spans="1:31" s="50" customFormat="1" x14ac:dyDescent="0.3">
      <c r="A627" s="50">
        <v>14529</v>
      </c>
      <c r="B627" s="50">
        <f>COUNTIF(Table5[PID],A627)</f>
        <v>1</v>
      </c>
      <c r="C627" s="50" t="str">
        <f>IF(COUNTIF(Table3[[#All],[PID]],A627)&gt;0,"P","B")</f>
        <v>B</v>
      </c>
      <c r="D627" s="59" t="str">
        <f>IF($C627="B",INDEX(Batters[[#All],[POS]],MATCH(Table5[[#This Row],[PID]],Batters[[#All],[PID]],0)),INDEX(Table3[[#All],[POS]],MATCH(Table5[[#This Row],[PID]],Table3[[#All],[PID]],0)))</f>
        <v>RF</v>
      </c>
      <c r="E627" s="52" t="str">
        <f>IF($C627="B",INDEX(Batters[[#All],[First]],MATCH(Table5[[#This Row],[PID]],Batters[[#All],[PID]],0)),INDEX(Table3[[#All],[First]],MATCH(Table5[[#This Row],[PID]],Table3[[#All],[PID]],0)))</f>
        <v>Cris</v>
      </c>
      <c r="F627" s="50" t="str">
        <f>IF($C627="B",INDEX(Batters[[#All],[Last]],MATCH(A627,Batters[[#All],[PID]],0)),INDEX(Table3[[#All],[Last]],MATCH(A627,Table3[[#All],[PID]],0)))</f>
        <v>Vargas</v>
      </c>
      <c r="G627" s="56">
        <f>IF($C627="B",INDEX(Batters[[#All],[Age]],MATCH(Table5[[#This Row],[PID]],Batters[[#All],[PID]],0)),INDEX(Table3[[#All],[Age]],MATCH(Table5[[#This Row],[PID]],Table3[[#All],[PID]],0)))</f>
        <v>21</v>
      </c>
      <c r="H627" s="52" t="str">
        <f>IF($C627="B",INDEX(Batters[[#All],[B]],MATCH(Table5[[#This Row],[PID]],Batters[[#All],[PID]],0)),INDEX(Table3[[#All],[B]],MATCH(Table5[[#This Row],[PID]],Table3[[#All],[PID]],0)))</f>
        <v>S</v>
      </c>
      <c r="I627" s="52" t="str">
        <f>IF($C627="B",INDEX(Batters[[#All],[T]],MATCH(Table5[[#This Row],[PID]],Batters[[#All],[PID]],0)),INDEX(Table3[[#All],[T]],MATCH(Table5[[#This Row],[PID]],Table3[[#All],[PID]],0)))</f>
        <v>R</v>
      </c>
      <c r="J627" s="52" t="str">
        <f>IF($C627="B",INDEX(Batters[[#All],[WE]],MATCH(Table5[[#This Row],[PID]],Batters[[#All],[PID]],0)),INDEX(Table3[[#All],[WE]],MATCH(Table5[[#This Row],[PID]],Table3[[#All],[PID]],0)))</f>
        <v>Normal</v>
      </c>
      <c r="K627" s="52" t="str">
        <f>IF($C627="B",INDEX(Batters[[#All],[INT]],MATCH(Table5[[#This Row],[PID]],Batters[[#All],[PID]],0)),INDEX(Table3[[#All],[INT]],MATCH(Table5[[#This Row],[PID]],Table3[[#All],[PID]],0)))</f>
        <v>Normal</v>
      </c>
      <c r="L627" s="60">
        <f>IF($C627="B",INDEX(Batters[[#All],[CON P]],MATCH(Table5[[#This Row],[PID]],Batters[[#All],[PID]],0)),INDEX(Table3[[#All],[STU P]],MATCH(Table5[[#This Row],[PID]],Table3[[#All],[PID]],0)))</f>
        <v>3</v>
      </c>
      <c r="M627" s="56">
        <f>IF($C627="B",INDEX(Batters[[#All],[GAP P]],MATCH(Table5[[#This Row],[PID]],Batters[[#All],[PID]],0)),INDEX(Table3[[#All],[MOV P]],MATCH(Table5[[#This Row],[PID]],Table3[[#All],[PID]],0)))</f>
        <v>4</v>
      </c>
      <c r="N627" s="56">
        <f>IF($C627="B",INDEX(Batters[[#All],[POW P]],MATCH(Table5[[#This Row],[PID]],Batters[[#All],[PID]],0)),INDEX(Table3[[#All],[CON P]],MATCH(Table5[[#This Row],[PID]],Table3[[#All],[PID]],0)))</f>
        <v>5</v>
      </c>
      <c r="O627" s="56">
        <f>IF($C627="B",INDEX(Batters[[#All],[EYE P]],MATCH(Table5[[#This Row],[PID]],Batters[[#All],[PID]],0)),INDEX(Table3[[#All],[VELO]],MATCH(Table5[[#This Row],[PID]],Table3[[#All],[PID]],0)))</f>
        <v>5</v>
      </c>
      <c r="P627" s="56">
        <f>IF($C627="B",INDEX(Batters[[#All],[K P]],MATCH(Table5[[#This Row],[PID]],Batters[[#All],[PID]],0)),INDEX(Table3[[#All],[STM]],MATCH(Table5[[#This Row],[PID]],Table3[[#All],[PID]],0)))</f>
        <v>3</v>
      </c>
      <c r="Q627" s="61">
        <f>IF($C627="B",INDEX(Batters[[#All],[Tot]],MATCH(Table5[[#This Row],[PID]],Batters[[#All],[PID]],0)),INDEX(Table3[[#All],[Tot]],MATCH(Table5[[#This Row],[PID]],Table3[[#All],[PID]],0)))</f>
        <v>38.697671389194156</v>
      </c>
      <c r="R627" s="52">
        <f>IF($C627="B",INDEX(Batters[[#All],[zScore]],MATCH(Table5[[#This Row],[PID]],Batters[[#All],[PID]],0)),INDEX(Table3[[#All],[zScore]],MATCH(Table5[[#This Row],[PID]],Table3[[#All],[PID]],0)))</f>
        <v>-0.65989542819288249</v>
      </c>
      <c r="S627" s="58" t="str">
        <f>IF($C627="B",INDEX(Batters[[#All],[DEM]],MATCH(Table5[[#This Row],[PID]],Batters[[#All],[PID]],0)),INDEX(Table3[[#All],[DEM]],MATCH(Table5[[#This Row],[PID]],Table3[[#All],[PID]],0)))</f>
        <v>$30k</v>
      </c>
      <c r="T627" s="62">
        <f>IF($C627="B",INDEX(Batters[[#All],[Rnk]],MATCH(Table5[[#This Row],[PID]],Batters[[#All],[PID]],0)),INDEX(Table3[[#All],[Rnk]],MATCH(Table5[[#This Row],[PID]],Table3[[#All],[PID]],0)))</f>
        <v>900</v>
      </c>
      <c r="U627" s="67">
        <f>IF($C627="B",VLOOKUP($A627,Bat!$A$4:$BA$1314,47,FALSE),VLOOKUP($A627,Pit!$A$4:$BF$1214,56,FALSE))</f>
        <v>231</v>
      </c>
      <c r="V627" s="50">
        <f>IF($C627="B",VLOOKUP($A627,Bat!$A$4:$BA$1314,48,FALSE),VLOOKUP($A627,Pit!$A$4:$BF$1214,57,FALSE))</f>
        <v>0</v>
      </c>
      <c r="W627" s="68">
        <f>IF(Table5[[#This Row],[posRnk]]=999,9999,Table5[[#This Row],[posRnk]]+Table5[[#This Row],[zRnk]]+IF($W$3&lt;&gt;Table5[[#This Row],[Type]],50,0))</f>
        <v>1601</v>
      </c>
      <c r="X627" s="51">
        <f>RANK(Table5[[#This Row],[zScore]],Table5[[#All],[zScore]])</f>
        <v>651</v>
      </c>
      <c r="Y627" s="50">
        <f>IFERROR(INDEX(DraftResults[[#All],[OVR]],MATCH(Table5[[#This Row],[PID]],DraftResults[[#All],[Player ID]],0)),"")</f>
        <v>196</v>
      </c>
      <c r="Z627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6</v>
      </c>
      <c r="AA627" s="50">
        <f>IFERROR(INDEX(DraftResults[[#All],[Pick in Round]],MATCH(Table5[[#This Row],[PID]],DraftResults[[#All],[Player ID]],0)),"")</f>
        <v>27</v>
      </c>
      <c r="AB627" s="50" t="str">
        <f>IFERROR(INDEX(DraftResults[[#All],[Team Name]],MATCH(Table5[[#This Row],[PID]],DraftResults[[#All],[Player ID]],0)),"")</f>
        <v>Havana Leones</v>
      </c>
      <c r="AC627" s="50">
        <f>IF(Table5[[#This Row],[Ovr]]="","",IF(Table5[[#This Row],[cmbList]]="","",Table5[[#This Row],[cmbList]]-Table5[[#This Row],[Ovr]]))</f>
        <v>1405</v>
      </c>
      <c r="AD627" s="54" t="str">
        <f>IF(ISERROR(VLOOKUP($AB627&amp;"-"&amp;$E627&amp;" "&amp;F627,Bonuses!$B$1:$G$1006,4,FALSE)),"",INT(VLOOKUP($AB627&amp;"-"&amp;$E627&amp;" "&amp;$F627,Bonuses!$B$1:$G$1006,4,FALSE)))</f>
        <v/>
      </c>
      <c r="AE627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6.27 (196) - RF Cris Vargas</v>
      </c>
    </row>
    <row r="628" spans="1:31" s="50" customFormat="1" x14ac:dyDescent="0.3">
      <c r="A628" s="50">
        <v>6004</v>
      </c>
      <c r="B628" s="50">
        <f>COUNTIF(Table5[PID],A628)</f>
        <v>1</v>
      </c>
      <c r="C628" s="50" t="str">
        <f>IF(COUNTIF(Table3[[#All],[PID]],A628)&gt;0,"P","B")</f>
        <v>P</v>
      </c>
      <c r="D628" s="59" t="str">
        <f>IF($C628="B",INDEX(Batters[[#All],[POS]],MATCH(Table5[[#This Row],[PID]],Batters[[#All],[PID]],0)),INDEX(Table3[[#All],[POS]],MATCH(Table5[[#This Row],[PID]],Table3[[#All],[PID]],0)))</f>
        <v>RP</v>
      </c>
      <c r="E628" s="52" t="str">
        <f>IF($C628="B",INDEX(Batters[[#All],[First]],MATCH(Table5[[#This Row],[PID]],Batters[[#All],[PID]],0)),INDEX(Table3[[#All],[First]],MATCH(Table5[[#This Row],[PID]],Table3[[#All],[PID]],0)))</f>
        <v>Erwin</v>
      </c>
      <c r="F628" s="50" t="str">
        <f>IF($C628="B",INDEX(Batters[[#All],[Last]],MATCH(A628,Batters[[#All],[PID]],0)),INDEX(Table3[[#All],[Last]],MATCH(A628,Table3[[#All],[PID]],0)))</f>
        <v>Leurink</v>
      </c>
      <c r="G628" s="56">
        <f>IF($C628="B",INDEX(Batters[[#All],[Age]],MATCH(Table5[[#This Row],[PID]],Batters[[#All],[PID]],0)),INDEX(Table3[[#All],[Age]],MATCH(Table5[[#This Row],[PID]],Table3[[#All],[PID]],0)))</f>
        <v>21</v>
      </c>
      <c r="H628" s="52" t="str">
        <f>IF($C628="B",INDEX(Batters[[#All],[B]],MATCH(Table5[[#This Row],[PID]],Batters[[#All],[PID]],0)),INDEX(Table3[[#All],[B]],MATCH(Table5[[#This Row],[PID]],Table3[[#All],[PID]],0)))</f>
        <v>R</v>
      </c>
      <c r="I628" s="52" t="str">
        <f>IF($C628="B",INDEX(Batters[[#All],[T]],MATCH(Table5[[#This Row],[PID]],Batters[[#All],[PID]],0)),INDEX(Table3[[#All],[T]],MATCH(Table5[[#This Row],[PID]],Table3[[#All],[PID]],0)))</f>
        <v>R</v>
      </c>
      <c r="J628" s="52" t="str">
        <f>IF($C628="B",INDEX(Batters[[#All],[WE]],MATCH(Table5[[#This Row],[PID]],Batters[[#All],[PID]],0)),INDEX(Table3[[#All],[WE]],MATCH(Table5[[#This Row],[PID]],Table3[[#All],[PID]],0)))</f>
        <v>High</v>
      </c>
      <c r="K628" s="52" t="str">
        <f>IF($C628="B",INDEX(Batters[[#All],[INT]],MATCH(Table5[[#This Row],[PID]],Batters[[#All],[PID]],0)),INDEX(Table3[[#All],[INT]],MATCH(Table5[[#This Row],[PID]],Table3[[#All],[PID]],0)))</f>
        <v>Normal</v>
      </c>
      <c r="L628" s="60">
        <f>IF($C628="B",INDEX(Batters[[#All],[CON P]],MATCH(Table5[[#This Row],[PID]],Batters[[#All],[PID]],0)),INDEX(Table3[[#All],[STU P]],MATCH(Table5[[#This Row],[PID]],Table3[[#All],[PID]],0)))</f>
        <v>4</v>
      </c>
      <c r="M628" s="56">
        <f>IF($C628="B",INDEX(Batters[[#All],[GAP P]],MATCH(Table5[[#This Row],[PID]],Batters[[#All],[PID]],0)),INDEX(Table3[[#All],[MOV P]],MATCH(Table5[[#This Row],[PID]],Table3[[#All],[PID]],0)))</f>
        <v>2</v>
      </c>
      <c r="N628" s="56">
        <f>IF($C628="B",INDEX(Batters[[#All],[POW P]],MATCH(Table5[[#This Row],[PID]],Batters[[#All],[PID]],0)),INDEX(Table3[[#All],[CON P]],MATCH(Table5[[#This Row],[PID]],Table3[[#All],[PID]],0)))</f>
        <v>3</v>
      </c>
      <c r="O628" s="56" t="str">
        <f>IF($C628="B",INDEX(Batters[[#All],[EYE P]],MATCH(Table5[[#This Row],[PID]],Batters[[#All],[PID]],0)),INDEX(Table3[[#All],[VELO]],MATCH(Table5[[#This Row],[PID]],Table3[[#All],[PID]],0)))</f>
        <v>89-91 Mph</v>
      </c>
      <c r="P628" s="56">
        <f>IF($C628="B",INDEX(Batters[[#All],[K P]],MATCH(Table5[[#This Row],[PID]],Batters[[#All],[PID]],0)),INDEX(Table3[[#All],[STM]],MATCH(Table5[[#This Row],[PID]],Table3[[#All],[PID]],0)))</f>
        <v>9</v>
      </c>
      <c r="Q628" s="61">
        <f>IF($C628="B",INDEX(Batters[[#All],[Tot]],MATCH(Table5[[#This Row],[PID]],Batters[[#All],[PID]],0)),INDEX(Table3[[#All],[Tot]],MATCH(Table5[[#This Row],[PID]],Table3[[#All],[PID]],0)))</f>
        <v>28.50087445729973</v>
      </c>
      <c r="R628" s="52">
        <f>IF($C628="B",INDEX(Batters[[#All],[zScore]],MATCH(Table5[[#This Row],[PID]],Batters[[#All],[PID]],0)),INDEX(Table3[[#All],[zScore]],MATCH(Table5[[#This Row],[PID]],Table3[[#All],[PID]],0)))</f>
        <v>-0.66234703680017781</v>
      </c>
      <c r="S628" s="58" t="str">
        <f>IF($C628="B",INDEX(Batters[[#All],[DEM]],MATCH(Table5[[#This Row],[PID]],Batters[[#All],[PID]],0)),INDEX(Table3[[#All],[DEM]],MATCH(Table5[[#This Row],[PID]],Table3[[#All],[PID]],0)))</f>
        <v>-</v>
      </c>
      <c r="T628" s="62">
        <f>IF($C628="B",INDEX(Batters[[#All],[Rnk]],MATCH(Table5[[#This Row],[PID]],Batters[[#All],[PID]],0)),INDEX(Table3[[#All],[Rnk]],MATCH(Table5[[#This Row],[PID]],Table3[[#All],[PID]],0)))</f>
        <v>900</v>
      </c>
      <c r="U628" s="67">
        <f>IF($C628="B",VLOOKUP($A628,Bat!$A$4:$BA$1314,47,FALSE),VLOOKUP($A628,Pit!$A$4:$BF$1214,56,FALSE))</f>
        <v>210</v>
      </c>
      <c r="V628" s="50">
        <f>IF($C628="B",VLOOKUP($A628,Bat!$A$4:$BA$1314,48,FALSE),VLOOKUP($A628,Pit!$A$4:$BF$1214,57,FALSE))</f>
        <v>0</v>
      </c>
      <c r="W628" s="68">
        <f>IF(Table5[[#This Row],[posRnk]]=999,9999,Table5[[#This Row],[posRnk]]+Table5[[#This Row],[zRnk]]+IF($W$3&lt;&gt;Table5[[#This Row],[Type]],50,0))</f>
        <v>1552</v>
      </c>
      <c r="X628" s="51">
        <f>RANK(Table5[[#This Row],[zScore]],Table5[[#All],[zScore]])</f>
        <v>652</v>
      </c>
      <c r="Y628" s="50">
        <f>IFERROR(INDEX(DraftResults[[#All],[OVR]],MATCH(Table5[[#This Row],[PID]],DraftResults[[#All],[Player ID]],0)),"")</f>
        <v>480</v>
      </c>
      <c r="Z628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15</v>
      </c>
      <c r="AA628" s="50">
        <f>IFERROR(INDEX(DraftResults[[#All],[Pick in Round]],MATCH(Table5[[#This Row],[PID]],DraftResults[[#All],[Player ID]],0)),"")</f>
        <v>13</v>
      </c>
      <c r="AB628" s="50" t="str">
        <f>IFERROR(INDEX(DraftResults[[#All],[Team Name]],MATCH(Table5[[#This Row],[PID]],DraftResults[[#All],[Player ID]],0)),"")</f>
        <v>Scottish Claymores</v>
      </c>
      <c r="AC628" s="50">
        <f>IF(Table5[[#This Row],[Ovr]]="","",IF(Table5[[#This Row],[cmbList]]="","",Table5[[#This Row],[cmbList]]-Table5[[#This Row],[Ovr]]))</f>
        <v>1072</v>
      </c>
      <c r="AD628" s="54" t="str">
        <f>IF(ISERROR(VLOOKUP($AB628&amp;"-"&amp;$E628&amp;" "&amp;F628,Bonuses!$B$1:$G$1006,4,FALSE)),"",INT(VLOOKUP($AB628&amp;"-"&amp;$E628&amp;" "&amp;$F628,Bonuses!$B$1:$G$1006,4,FALSE)))</f>
        <v/>
      </c>
      <c r="AE628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15.13 (480) - RP Erwin Leurink</v>
      </c>
    </row>
    <row r="629" spans="1:31" s="50" customFormat="1" x14ac:dyDescent="0.3">
      <c r="A629" s="50">
        <v>6098</v>
      </c>
      <c r="B629" s="50">
        <f>COUNTIF(Table5[PID],A629)</f>
        <v>1</v>
      </c>
      <c r="C629" s="50" t="str">
        <f>IF(COUNTIF(Table3[[#All],[PID]],A629)&gt;0,"P","B")</f>
        <v>P</v>
      </c>
      <c r="D629" s="59" t="str">
        <f>IF($C629="B",INDEX(Batters[[#All],[POS]],MATCH(Table5[[#This Row],[PID]],Batters[[#All],[PID]],0)),INDEX(Table3[[#All],[POS]],MATCH(Table5[[#This Row],[PID]],Table3[[#All],[PID]],0)))</f>
        <v>RP</v>
      </c>
      <c r="E629" s="52" t="str">
        <f>IF($C629="B",INDEX(Batters[[#All],[First]],MATCH(Table5[[#This Row],[PID]],Batters[[#All],[PID]],0)),INDEX(Table3[[#All],[First]],MATCH(Table5[[#This Row],[PID]],Table3[[#All],[PID]],0)))</f>
        <v>Yuki</v>
      </c>
      <c r="F629" s="50" t="str">
        <f>IF($C629="B",INDEX(Batters[[#All],[Last]],MATCH(A629,Batters[[#All],[PID]],0)),INDEX(Table3[[#All],[Last]],MATCH(A629,Table3[[#All],[PID]],0)))</f>
        <v>Ichikawa</v>
      </c>
      <c r="G629" s="56">
        <f>IF($C629="B",INDEX(Batters[[#All],[Age]],MATCH(Table5[[#This Row],[PID]],Batters[[#All],[PID]],0)),INDEX(Table3[[#All],[Age]],MATCH(Table5[[#This Row],[PID]],Table3[[#All],[PID]],0)))</f>
        <v>21</v>
      </c>
      <c r="H629" s="52" t="str">
        <f>IF($C629="B",INDEX(Batters[[#All],[B]],MATCH(Table5[[#This Row],[PID]],Batters[[#All],[PID]],0)),INDEX(Table3[[#All],[B]],MATCH(Table5[[#This Row],[PID]],Table3[[#All],[PID]],0)))</f>
        <v>R</v>
      </c>
      <c r="I629" s="52" t="str">
        <f>IF($C629="B",INDEX(Batters[[#All],[T]],MATCH(Table5[[#This Row],[PID]],Batters[[#All],[PID]],0)),INDEX(Table3[[#All],[T]],MATCH(Table5[[#This Row],[PID]],Table3[[#All],[PID]],0)))</f>
        <v>R</v>
      </c>
      <c r="J629" s="52" t="str">
        <f>IF($C629="B",INDEX(Batters[[#All],[WE]],MATCH(Table5[[#This Row],[PID]],Batters[[#All],[PID]],0)),INDEX(Table3[[#All],[WE]],MATCH(Table5[[#This Row],[PID]],Table3[[#All],[PID]],0)))</f>
        <v>High</v>
      </c>
      <c r="K629" s="52" t="str">
        <f>IF($C629="B",INDEX(Batters[[#All],[INT]],MATCH(Table5[[#This Row],[PID]],Batters[[#All],[PID]],0)),INDEX(Table3[[#All],[INT]],MATCH(Table5[[#This Row],[PID]],Table3[[#All],[PID]],0)))</f>
        <v>Low</v>
      </c>
      <c r="L629" s="60">
        <f>IF($C629="B",INDEX(Batters[[#All],[CON P]],MATCH(Table5[[#This Row],[PID]],Batters[[#All],[PID]],0)),INDEX(Table3[[#All],[STU P]],MATCH(Table5[[#This Row],[PID]],Table3[[#All],[PID]],0)))</f>
        <v>4</v>
      </c>
      <c r="M629" s="56">
        <f>IF($C629="B",INDEX(Batters[[#All],[GAP P]],MATCH(Table5[[#This Row],[PID]],Batters[[#All],[PID]],0)),INDEX(Table3[[#All],[MOV P]],MATCH(Table5[[#This Row],[PID]],Table3[[#All],[PID]],0)))</f>
        <v>1</v>
      </c>
      <c r="N629" s="56">
        <f>IF($C629="B",INDEX(Batters[[#All],[POW P]],MATCH(Table5[[#This Row],[PID]],Batters[[#All],[PID]],0)),INDEX(Table3[[#All],[CON P]],MATCH(Table5[[#This Row],[PID]],Table3[[#All],[PID]],0)))</f>
        <v>4</v>
      </c>
      <c r="O629" s="56" t="str">
        <f>IF($C629="B",INDEX(Batters[[#All],[EYE P]],MATCH(Table5[[#This Row],[PID]],Batters[[#All],[PID]],0)),INDEX(Table3[[#All],[VELO]],MATCH(Table5[[#This Row],[PID]],Table3[[#All],[PID]],0)))</f>
        <v>90-92 Mph</v>
      </c>
      <c r="P629" s="56">
        <f>IF($C629="B",INDEX(Batters[[#All],[K P]],MATCH(Table5[[#This Row],[PID]],Batters[[#All],[PID]],0)),INDEX(Table3[[#All],[STM]],MATCH(Table5[[#This Row],[PID]],Table3[[#All],[PID]],0)))</f>
        <v>8</v>
      </c>
      <c r="Q629" s="61">
        <f>IF($C629="B",INDEX(Batters[[#All],[Tot]],MATCH(Table5[[#This Row],[PID]],Batters[[#All],[PID]],0)),INDEX(Table3[[#All],[Tot]],MATCH(Table5[[#This Row],[PID]],Table3[[#All],[PID]],0)))</f>
        <v>29.686967484607479</v>
      </c>
      <c r="R629" s="52">
        <f>IF($C629="B",INDEX(Batters[[#All],[zScore]],MATCH(Table5[[#This Row],[PID]],Batters[[#All],[PID]],0)),INDEX(Table3[[#All],[zScore]],MATCH(Table5[[#This Row],[PID]],Table3[[#All],[PID]],0)))</f>
        <v>-0.57788887161426783</v>
      </c>
      <c r="S629" s="58" t="str">
        <f>IF($C629="B",INDEX(Batters[[#All],[DEM]],MATCH(Table5[[#This Row],[PID]],Batters[[#All],[PID]],0)),INDEX(Table3[[#All],[DEM]],MATCH(Table5[[#This Row],[PID]],Table3[[#All],[PID]],0)))</f>
        <v>-</v>
      </c>
      <c r="T629" s="62">
        <f>IF($C629="B",INDEX(Batters[[#All],[Rnk]],MATCH(Table5[[#This Row],[PID]],Batters[[#All],[PID]],0)),INDEX(Table3[[#All],[Rnk]],MATCH(Table5[[#This Row],[PID]],Table3[[#All],[PID]],0)))</f>
        <v>940</v>
      </c>
      <c r="U629" s="67">
        <f>IF($C629="B",VLOOKUP($A629,Bat!$A$4:$BA$1314,47,FALSE),VLOOKUP($A629,Pit!$A$4:$BF$1214,56,FALSE))</f>
        <v>399</v>
      </c>
      <c r="V629" s="50">
        <f>IF($C629="B",VLOOKUP($A629,Bat!$A$4:$BA$1314,48,FALSE),VLOOKUP($A629,Pit!$A$4:$BF$1214,57,FALSE))</f>
        <v>0</v>
      </c>
      <c r="W629" s="68">
        <f>IF(Table5[[#This Row],[posRnk]]=999,9999,Table5[[#This Row],[posRnk]]+Table5[[#This Row],[zRnk]]+IF($W$3&lt;&gt;Table5[[#This Row],[Type]],50,0))</f>
        <v>1553</v>
      </c>
      <c r="X629" s="51">
        <f>RANK(Table5[[#This Row],[zScore]],Table5[[#All],[zScore]])</f>
        <v>613</v>
      </c>
      <c r="Y629" s="50">
        <f>IFERROR(INDEX(DraftResults[[#All],[OVR]],MATCH(Table5[[#This Row],[PID]],DraftResults[[#All],[Player ID]],0)),"")</f>
        <v>430</v>
      </c>
      <c r="Z629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13</v>
      </c>
      <c r="AA629" s="50">
        <f>IFERROR(INDEX(DraftResults[[#All],[Pick in Round]],MATCH(Table5[[#This Row],[PID]],DraftResults[[#All],[Player ID]],0)),"")</f>
        <v>31</v>
      </c>
      <c r="AB629" s="50" t="str">
        <f>IFERROR(INDEX(DraftResults[[#All],[Team Name]],MATCH(Table5[[#This Row],[PID]],DraftResults[[#All],[Player ID]],0)),"")</f>
        <v>West Virginia Alleghenies</v>
      </c>
      <c r="AC629" s="50">
        <f>IF(Table5[[#This Row],[Ovr]]="","",IF(Table5[[#This Row],[cmbList]]="","",Table5[[#This Row],[cmbList]]-Table5[[#This Row],[Ovr]]))</f>
        <v>1123</v>
      </c>
      <c r="AD629" s="54" t="str">
        <f>IF(ISERROR(VLOOKUP($AB629&amp;"-"&amp;$E629&amp;" "&amp;F629,Bonuses!$B$1:$G$1006,4,FALSE)),"",INT(VLOOKUP($AB629&amp;"-"&amp;$E629&amp;" "&amp;$F629,Bonuses!$B$1:$G$1006,4,FALSE)))</f>
        <v/>
      </c>
      <c r="AE629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13.31 (430) - RP Yuki Ichikawa</v>
      </c>
    </row>
    <row r="630" spans="1:31" s="50" customFormat="1" x14ac:dyDescent="0.3">
      <c r="A630" s="67">
        <v>5230</v>
      </c>
      <c r="B630" s="68">
        <f>COUNTIF(Table5[PID],A630)</f>
        <v>1</v>
      </c>
      <c r="C630" s="68" t="str">
        <f>IF(COUNTIF(Table3[[#All],[PID]],A630)&gt;0,"P","B")</f>
        <v>B</v>
      </c>
      <c r="D630" s="59" t="str">
        <f>IF($C630="B",INDEX(Batters[[#All],[POS]],MATCH(Table5[[#This Row],[PID]],Batters[[#All],[PID]],0)),INDEX(Table3[[#All],[POS]],MATCH(Table5[[#This Row],[PID]],Table3[[#All],[PID]],0)))</f>
        <v>3B</v>
      </c>
      <c r="E630" s="52" t="str">
        <f>IF($C630="B",INDEX(Batters[[#All],[First]],MATCH(Table5[[#This Row],[PID]],Batters[[#All],[PID]],0)),INDEX(Table3[[#All],[First]],MATCH(Table5[[#This Row],[PID]],Table3[[#All],[PID]],0)))</f>
        <v>Jerry</v>
      </c>
      <c r="F630" s="55" t="str">
        <f>IF($C630="B",INDEX(Batters[[#All],[Last]],MATCH(A630,Batters[[#All],[PID]],0)),INDEX(Table3[[#All],[Last]],MATCH(A630,Table3[[#All],[PID]],0)))</f>
        <v>Garner</v>
      </c>
      <c r="G630" s="56">
        <f>IF($C630="B",INDEX(Batters[[#All],[Age]],MATCH(Table5[[#This Row],[PID]],Batters[[#All],[PID]],0)),INDEX(Table3[[#All],[Age]],MATCH(Table5[[#This Row],[PID]],Table3[[#All],[PID]],0)))</f>
        <v>21</v>
      </c>
      <c r="H630" s="52" t="str">
        <f>IF($C630="B",INDEX(Batters[[#All],[B]],MATCH(Table5[[#This Row],[PID]],Batters[[#All],[PID]],0)),INDEX(Table3[[#All],[B]],MATCH(Table5[[#This Row],[PID]],Table3[[#All],[PID]],0)))</f>
        <v>S</v>
      </c>
      <c r="I630" s="52" t="str">
        <f>IF($C630="B",INDEX(Batters[[#All],[T]],MATCH(Table5[[#This Row],[PID]],Batters[[#All],[PID]],0)),INDEX(Table3[[#All],[T]],MATCH(Table5[[#This Row],[PID]],Table3[[#All],[PID]],0)))</f>
        <v>R</v>
      </c>
      <c r="J630" s="69" t="str">
        <f>IF($C630="B",INDEX(Batters[[#All],[WE]],MATCH(Table5[[#This Row],[PID]],Batters[[#All],[PID]],0)),INDEX(Table3[[#All],[WE]],MATCH(Table5[[#This Row],[PID]],Table3[[#All],[PID]],0)))</f>
        <v>Normal</v>
      </c>
      <c r="K630" s="52" t="str">
        <f>IF($C630="B",INDEX(Batters[[#All],[INT]],MATCH(Table5[[#This Row],[PID]],Batters[[#All],[PID]],0)),INDEX(Table3[[#All],[INT]],MATCH(Table5[[#This Row],[PID]],Table3[[#All],[PID]],0)))</f>
        <v>Normal</v>
      </c>
      <c r="L630" s="60">
        <f>IF($C630="B",INDEX(Batters[[#All],[CON P]],MATCH(Table5[[#This Row],[PID]],Batters[[#All],[PID]],0)),INDEX(Table3[[#All],[STU P]],MATCH(Table5[[#This Row],[PID]],Table3[[#All],[PID]],0)))</f>
        <v>3</v>
      </c>
      <c r="M630" s="70">
        <f>IF($C630="B",INDEX(Batters[[#All],[GAP P]],MATCH(Table5[[#This Row],[PID]],Batters[[#All],[PID]],0)),INDEX(Table3[[#All],[MOV P]],MATCH(Table5[[#This Row],[PID]],Table3[[#All],[PID]],0)))</f>
        <v>4</v>
      </c>
      <c r="N630" s="70">
        <f>IF($C630="B",INDEX(Batters[[#All],[POW P]],MATCH(Table5[[#This Row],[PID]],Batters[[#All],[PID]],0)),INDEX(Table3[[#All],[CON P]],MATCH(Table5[[#This Row],[PID]],Table3[[#All],[PID]],0)))</f>
        <v>3</v>
      </c>
      <c r="O630" s="70">
        <f>IF($C630="B",INDEX(Batters[[#All],[EYE P]],MATCH(Table5[[#This Row],[PID]],Batters[[#All],[PID]],0)),INDEX(Table3[[#All],[VELO]],MATCH(Table5[[#This Row],[PID]],Table3[[#All],[PID]],0)))</f>
        <v>6</v>
      </c>
      <c r="P630" s="56">
        <f>IF($C630="B",INDEX(Batters[[#All],[K P]],MATCH(Table5[[#This Row],[PID]],Batters[[#All],[PID]],0)),INDEX(Table3[[#All],[STM]],MATCH(Table5[[#This Row],[PID]],Table3[[#All],[PID]],0)))</f>
        <v>2</v>
      </c>
      <c r="Q630" s="61">
        <f>IF($C630="B",INDEX(Batters[[#All],[Tot]],MATCH(Table5[[#This Row],[PID]],Batters[[#All],[PID]],0)),INDEX(Table3[[#All],[Tot]],MATCH(Table5[[#This Row],[PID]],Table3[[#All],[PID]],0)))</f>
        <v>38.668312839172117</v>
      </c>
      <c r="R630" s="52">
        <f>IF($C630="B",INDEX(Batters[[#All],[zScore]],MATCH(Table5[[#This Row],[PID]],Batters[[#All],[PID]],0)),INDEX(Table3[[#All],[zScore]],MATCH(Table5[[#This Row],[PID]],Table3[[#All],[PID]],0)))</f>
        <v>-0.66418084024158086</v>
      </c>
      <c r="S630" s="75" t="str">
        <f>IF($C630="B",INDEX(Batters[[#All],[DEM]],MATCH(Table5[[#This Row],[PID]],Batters[[#All],[PID]],0)),INDEX(Table3[[#All],[DEM]],MATCH(Table5[[#This Row],[PID]],Table3[[#All],[PID]],0)))</f>
        <v>$95k</v>
      </c>
      <c r="T630" s="72">
        <f>IF($C630="B",INDEX(Batters[[#All],[Rnk]],MATCH(Table5[[#This Row],[PID]],Batters[[#All],[PID]],0)),INDEX(Table3[[#All],[Rnk]],MATCH(Table5[[#This Row],[PID]],Table3[[#All],[PID]],0)))</f>
        <v>900</v>
      </c>
      <c r="U630" s="67">
        <f>IF($C630="B",VLOOKUP($A630,Bat!$A$4:$BA$1314,47,FALSE),VLOOKUP($A630,Pit!$A$4:$BF$1214,56,FALSE))</f>
        <v>232</v>
      </c>
      <c r="V630" s="50">
        <f>IF($C630="B",VLOOKUP($A630,Bat!$A$4:$BA$1314,48,FALSE),VLOOKUP($A630,Pit!$A$4:$BF$1214,57,FALSE))</f>
        <v>0</v>
      </c>
      <c r="W630" s="68">
        <f>IF(Table5[[#This Row],[posRnk]]=999,9999,Table5[[#This Row],[posRnk]]+Table5[[#This Row],[zRnk]]+IF($W$3&lt;&gt;Table5[[#This Row],[Type]],50,0))</f>
        <v>1604</v>
      </c>
      <c r="X630" s="71">
        <f>RANK(Table5[[#This Row],[zScore]],Table5[[#All],[zScore]])</f>
        <v>654</v>
      </c>
      <c r="Y630" s="68">
        <f>IFERROR(INDEX(DraftResults[[#All],[OVR]],MATCH(Table5[[#This Row],[PID]],DraftResults[[#All],[Player ID]],0)),"")</f>
        <v>187</v>
      </c>
      <c r="Z630" s="7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6</v>
      </c>
      <c r="AA630" s="68">
        <f>IFERROR(INDEX(DraftResults[[#All],[Pick in Round]],MATCH(Table5[[#This Row],[PID]],DraftResults[[#All],[Player ID]],0)),"")</f>
        <v>18</v>
      </c>
      <c r="AB630" s="68" t="str">
        <f>IFERROR(INDEX(DraftResults[[#All],[Team Name]],MATCH(Table5[[#This Row],[PID]],DraftResults[[#All],[Player ID]],0)),"")</f>
        <v>San Juan Coqui</v>
      </c>
      <c r="AC630" s="68">
        <f>IF(Table5[[#This Row],[Ovr]]="","",IF(Table5[[#This Row],[cmbList]]="","",Table5[[#This Row],[cmbList]]-Table5[[#This Row],[Ovr]]))</f>
        <v>1417</v>
      </c>
      <c r="AD630" s="74" t="str">
        <f>IF(ISERROR(VLOOKUP($AB630&amp;"-"&amp;$E630&amp;" "&amp;F630,Bonuses!$B$1:$G$1006,4,FALSE)),"",INT(VLOOKUP($AB630&amp;"-"&amp;$E630&amp;" "&amp;$F630,Bonuses!$B$1:$G$1006,4,FALSE)))</f>
        <v/>
      </c>
      <c r="AE630" s="68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6.18 (187) - 3B Jerry Garner</v>
      </c>
    </row>
    <row r="631" spans="1:31" s="50" customFormat="1" x14ac:dyDescent="0.3">
      <c r="A631" s="50">
        <v>20489</v>
      </c>
      <c r="B631" s="50">
        <f>COUNTIF(Table5[PID],A631)</f>
        <v>1</v>
      </c>
      <c r="C631" s="50" t="str">
        <f>IF(COUNTIF(Table3[[#All],[PID]],A631)&gt;0,"P","B")</f>
        <v>B</v>
      </c>
      <c r="D631" s="59" t="str">
        <f>IF($C631="B",INDEX(Batters[[#All],[POS]],MATCH(Table5[[#This Row],[PID]],Batters[[#All],[PID]],0)),INDEX(Table3[[#All],[POS]],MATCH(Table5[[#This Row],[PID]],Table3[[#All],[PID]],0)))</f>
        <v>C</v>
      </c>
      <c r="E631" s="52" t="str">
        <f>IF($C631="B",INDEX(Batters[[#All],[First]],MATCH(Table5[[#This Row],[PID]],Batters[[#All],[PID]],0)),INDEX(Table3[[#All],[First]],MATCH(Table5[[#This Row],[PID]],Table3[[#All],[PID]],0)))</f>
        <v>Shinichi</v>
      </c>
      <c r="F631" s="50" t="str">
        <f>IF($C631="B",INDEX(Batters[[#All],[Last]],MATCH(A631,Batters[[#All],[PID]],0)),INDEX(Table3[[#All],[Last]],MATCH(A631,Table3[[#All],[PID]],0)))</f>
        <v>Matsumura</v>
      </c>
      <c r="G631" s="56">
        <f>IF($C631="B",INDEX(Batters[[#All],[Age]],MATCH(Table5[[#This Row],[PID]],Batters[[#All],[PID]],0)),INDEX(Table3[[#All],[Age]],MATCH(Table5[[#This Row],[PID]],Table3[[#All],[PID]],0)))</f>
        <v>17</v>
      </c>
      <c r="H631" s="52" t="str">
        <f>IF($C631="B",INDEX(Batters[[#All],[B]],MATCH(Table5[[#This Row],[PID]],Batters[[#All],[PID]],0)),INDEX(Table3[[#All],[B]],MATCH(Table5[[#This Row],[PID]],Table3[[#All],[PID]],0)))</f>
        <v>L</v>
      </c>
      <c r="I631" s="52" t="str">
        <f>IF($C631="B",INDEX(Batters[[#All],[T]],MATCH(Table5[[#This Row],[PID]],Batters[[#All],[PID]],0)),INDEX(Table3[[#All],[T]],MATCH(Table5[[#This Row],[PID]],Table3[[#All],[PID]],0)))</f>
        <v>R</v>
      </c>
      <c r="J631" s="52" t="str">
        <f>IF($C631="B",INDEX(Batters[[#All],[WE]],MATCH(Table5[[#This Row],[PID]],Batters[[#All],[PID]],0)),INDEX(Table3[[#All],[WE]],MATCH(Table5[[#This Row],[PID]],Table3[[#All],[PID]],0)))</f>
        <v>Low</v>
      </c>
      <c r="K631" s="52" t="str">
        <f>IF($C631="B",INDEX(Batters[[#All],[INT]],MATCH(Table5[[#This Row],[PID]],Batters[[#All],[PID]],0)),INDEX(Table3[[#All],[INT]],MATCH(Table5[[#This Row],[PID]],Table3[[#All],[PID]],0)))</f>
        <v>Normal</v>
      </c>
      <c r="L631" s="60">
        <f>IF($C631="B",INDEX(Batters[[#All],[CON P]],MATCH(Table5[[#This Row],[PID]],Batters[[#All],[PID]],0)),INDEX(Table3[[#All],[STU P]],MATCH(Table5[[#This Row],[PID]],Table3[[#All],[PID]],0)))</f>
        <v>2</v>
      </c>
      <c r="M631" s="56">
        <f>IF($C631="B",INDEX(Batters[[#All],[GAP P]],MATCH(Table5[[#This Row],[PID]],Batters[[#All],[PID]],0)),INDEX(Table3[[#All],[MOV P]],MATCH(Table5[[#This Row],[PID]],Table3[[#All],[PID]],0)))</f>
        <v>5</v>
      </c>
      <c r="N631" s="56">
        <f>IF($C631="B",INDEX(Batters[[#All],[POW P]],MATCH(Table5[[#This Row],[PID]],Batters[[#All],[PID]],0)),INDEX(Table3[[#All],[CON P]],MATCH(Table5[[#This Row],[PID]],Table3[[#All],[PID]],0)))</f>
        <v>4</v>
      </c>
      <c r="O631" s="56">
        <f>IF($C631="B",INDEX(Batters[[#All],[EYE P]],MATCH(Table5[[#This Row],[PID]],Batters[[#All],[PID]],0)),INDEX(Table3[[#All],[VELO]],MATCH(Table5[[#This Row],[PID]],Table3[[#All],[PID]],0)))</f>
        <v>5</v>
      </c>
      <c r="P631" s="56">
        <f>IF($C631="B",INDEX(Batters[[#All],[K P]],MATCH(Table5[[#This Row],[PID]],Batters[[#All],[PID]],0)),INDEX(Table3[[#All],[STM]],MATCH(Table5[[#This Row],[PID]],Table3[[#All],[PID]],0)))</f>
        <v>3</v>
      </c>
      <c r="Q631" s="61">
        <f>IF($C631="B",INDEX(Batters[[#All],[Tot]],MATCH(Table5[[#This Row],[PID]],Batters[[#All],[PID]],0)),INDEX(Table3[[#All],[Tot]],MATCH(Table5[[#This Row],[PID]],Table3[[#All],[PID]],0)))</f>
        <v>39.102420248877024</v>
      </c>
      <c r="R631" s="52">
        <f>IF($C631="B",INDEX(Batters[[#All],[zScore]],MATCH(Table5[[#This Row],[PID]],Batters[[#All],[PID]],0)),INDEX(Table3[[#All],[zScore]],MATCH(Table5[[#This Row],[PID]],Table3[[#All],[PID]],0)))</f>
        <v>-0.60081500226313378</v>
      </c>
      <c r="S631" s="58" t="str">
        <f>IF($C631="B",INDEX(Batters[[#All],[DEM]],MATCH(Table5[[#This Row],[PID]],Batters[[#All],[PID]],0)),INDEX(Table3[[#All],[DEM]],MATCH(Table5[[#This Row],[PID]],Table3[[#All],[PID]],0)))</f>
        <v>$170k</v>
      </c>
      <c r="T631" s="62">
        <f>IF($C631="B",INDEX(Batters[[#All],[Rnk]],MATCH(Table5[[#This Row],[PID]],Batters[[#All],[PID]],0)),INDEX(Table3[[#All],[Rnk]],MATCH(Table5[[#This Row],[PID]],Table3[[#All],[PID]],0)))</f>
        <v>930</v>
      </c>
      <c r="U631" s="67">
        <f>IF($C631="B",VLOOKUP($A631,Bat!$A$4:$BA$1314,47,FALSE),VLOOKUP($A631,Pit!$A$4:$BF$1214,56,FALSE))</f>
        <v>352</v>
      </c>
      <c r="V631" s="50">
        <f>IF($C631="B",VLOOKUP($A631,Bat!$A$4:$BA$1314,48,FALSE),VLOOKUP($A631,Pit!$A$4:$BF$1214,57,FALSE))</f>
        <v>0</v>
      </c>
      <c r="W631" s="68">
        <f>IF(Table5[[#This Row],[posRnk]]=999,9999,Table5[[#This Row],[posRnk]]+Table5[[#This Row],[zRnk]]+IF($W$3&lt;&gt;Table5[[#This Row],[Type]],50,0))</f>
        <v>1604</v>
      </c>
      <c r="X631" s="51">
        <f>RANK(Table5[[#This Row],[zScore]],Table5[[#All],[zScore]])</f>
        <v>624</v>
      </c>
      <c r="Y631" s="50" t="str">
        <f>IFERROR(INDEX(DraftResults[[#All],[OVR]],MATCH(Table5[[#This Row],[PID]],DraftResults[[#All],[Player ID]],0)),"")</f>
        <v/>
      </c>
      <c r="Z631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/>
      </c>
      <c r="AA631" s="50" t="str">
        <f>IFERROR(INDEX(DraftResults[[#All],[Pick in Round]],MATCH(Table5[[#This Row],[PID]],DraftResults[[#All],[Player ID]],0)),"")</f>
        <v/>
      </c>
      <c r="AB631" s="50" t="str">
        <f>IFERROR(INDEX(DraftResults[[#All],[Team Name]],MATCH(Table5[[#This Row],[PID]],DraftResults[[#All],[Player ID]],0)),"")</f>
        <v/>
      </c>
      <c r="AC631" s="50" t="str">
        <f>IF(Table5[[#This Row],[Ovr]]="","",IF(Table5[[#This Row],[cmbList]]="","",Table5[[#This Row],[cmbList]]-Table5[[#This Row],[Ovr]]))</f>
        <v/>
      </c>
      <c r="AD631" s="54" t="str">
        <f>IF(ISERROR(VLOOKUP($AB631&amp;"-"&amp;$E631&amp;" "&amp;F631,Bonuses!$B$1:$G$1006,4,FALSE)),"",INT(VLOOKUP($AB631&amp;"-"&amp;$E631&amp;" "&amp;$F631,Bonuses!$B$1:$G$1006,4,FALSE)))</f>
        <v/>
      </c>
      <c r="AE631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/>
      </c>
    </row>
    <row r="632" spans="1:31" s="50" customFormat="1" x14ac:dyDescent="0.3">
      <c r="A632" s="50">
        <v>7564</v>
      </c>
      <c r="B632" s="50">
        <f>COUNTIF(Table5[PID],A632)</f>
        <v>1</v>
      </c>
      <c r="C632" s="50" t="str">
        <f>IF(COUNTIF(Table3[[#All],[PID]],A632)&gt;0,"P","B")</f>
        <v>B</v>
      </c>
      <c r="D632" s="59" t="str">
        <f>IF($C632="B",INDEX(Batters[[#All],[POS]],MATCH(Table5[[#This Row],[PID]],Batters[[#All],[PID]],0)),INDEX(Table3[[#All],[POS]],MATCH(Table5[[#This Row],[PID]],Table3[[#All],[PID]],0)))</f>
        <v>3B</v>
      </c>
      <c r="E632" s="52" t="str">
        <f>IF($C632="B",INDEX(Batters[[#All],[First]],MATCH(Table5[[#This Row],[PID]],Batters[[#All],[PID]],0)),INDEX(Table3[[#All],[First]],MATCH(Table5[[#This Row],[PID]],Table3[[#All],[PID]],0)))</f>
        <v>Enrique</v>
      </c>
      <c r="F632" s="50" t="str">
        <f>IF($C632="B",INDEX(Batters[[#All],[Last]],MATCH(A632,Batters[[#All],[PID]],0)),INDEX(Table3[[#All],[Last]],MATCH(A632,Table3[[#All],[PID]],0)))</f>
        <v>Rangel</v>
      </c>
      <c r="G632" s="56">
        <f>IF($C632="B",INDEX(Batters[[#All],[Age]],MATCH(Table5[[#This Row],[PID]],Batters[[#All],[PID]],0)),INDEX(Table3[[#All],[Age]],MATCH(Table5[[#This Row],[PID]],Table3[[#All],[PID]],0)))</f>
        <v>21</v>
      </c>
      <c r="H632" s="52" t="str">
        <f>IF($C632="B",INDEX(Batters[[#All],[B]],MATCH(Table5[[#This Row],[PID]],Batters[[#All],[PID]],0)),INDEX(Table3[[#All],[B]],MATCH(Table5[[#This Row],[PID]],Table3[[#All],[PID]],0)))</f>
        <v>R</v>
      </c>
      <c r="I632" s="52" t="str">
        <f>IF($C632="B",INDEX(Batters[[#All],[T]],MATCH(Table5[[#This Row],[PID]],Batters[[#All],[PID]],0)),INDEX(Table3[[#All],[T]],MATCH(Table5[[#This Row],[PID]],Table3[[#All],[PID]],0)))</f>
        <v>R</v>
      </c>
      <c r="J632" s="52" t="str">
        <f>IF($C632="B",INDEX(Batters[[#All],[WE]],MATCH(Table5[[#This Row],[PID]],Batters[[#All],[PID]],0)),INDEX(Table3[[#All],[WE]],MATCH(Table5[[#This Row],[PID]],Table3[[#All],[PID]],0)))</f>
        <v>Normal</v>
      </c>
      <c r="K632" s="52" t="str">
        <f>IF($C632="B",INDEX(Batters[[#All],[INT]],MATCH(Table5[[#This Row],[PID]],Batters[[#All],[PID]],0)),INDEX(Table3[[#All],[INT]],MATCH(Table5[[#This Row],[PID]],Table3[[#All],[PID]],0)))</f>
        <v>Normal</v>
      </c>
      <c r="L632" s="60">
        <f>IF($C632="B",INDEX(Batters[[#All],[CON P]],MATCH(Table5[[#This Row],[PID]],Batters[[#All],[PID]],0)),INDEX(Table3[[#All],[STU P]],MATCH(Table5[[#This Row],[PID]],Table3[[#All],[PID]],0)))</f>
        <v>3</v>
      </c>
      <c r="M632" s="56">
        <f>IF($C632="B",INDEX(Batters[[#All],[GAP P]],MATCH(Table5[[#This Row],[PID]],Batters[[#All],[PID]],0)),INDEX(Table3[[#All],[MOV P]],MATCH(Table5[[#This Row],[PID]],Table3[[#All],[PID]],0)))</f>
        <v>4</v>
      </c>
      <c r="N632" s="56">
        <f>IF($C632="B",INDEX(Batters[[#All],[POW P]],MATCH(Table5[[#This Row],[PID]],Batters[[#All],[PID]],0)),INDEX(Table3[[#All],[CON P]],MATCH(Table5[[#This Row],[PID]],Table3[[#All],[PID]],0)))</f>
        <v>5</v>
      </c>
      <c r="O632" s="56">
        <f>IF($C632="B",INDEX(Batters[[#All],[EYE P]],MATCH(Table5[[#This Row],[PID]],Batters[[#All],[PID]],0)),INDEX(Table3[[#All],[VELO]],MATCH(Table5[[#This Row],[PID]],Table3[[#All],[PID]],0)))</f>
        <v>5</v>
      </c>
      <c r="P632" s="56">
        <f>IF($C632="B",INDEX(Batters[[#All],[K P]],MATCH(Table5[[#This Row],[PID]],Batters[[#All],[PID]],0)),INDEX(Table3[[#All],[STM]],MATCH(Table5[[#This Row],[PID]],Table3[[#All],[PID]],0)))</f>
        <v>3</v>
      </c>
      <c r="Q632" s="61">
        <f>IF($C632="B",INDEX(Batters[[#All],[Tot]],MATCH(Table5[[#This Row],[PID]],Batters[[#All],[PID]],0)),INDEX(Table3[[#All],[Tot]],MATCH(Table5[[#This Row],[PID]],Table3[[#All],[PID]],0)))</f>
        <v>38.6571096561715</v>
      </c>
      <c r="R632" s="52">
        <f>IF($C632="B",INDEX(Batters[[#All],[zScore]],MATCH(Table5[[#This Row],[PID]],Batters[[#All],[PID]],0)),INDEX(Table3[[#All],[zScore]],MATCH(Table5[[#This Row],[PID]],Table3[[#All],[PID]],0)))</f>
        <v>-0.66581614768621211</v>
      </c>
      <c r="S632" s="58" t="str">
        <f>IF($C632="B",INDEX(Batters[[#All],[DEM]],MATCH(Table5[[#This Row],[PID]],Batters[[#All],[PID]],0)),INDEX(Table3[[#All],[DEM]],MATCH(Table5[[#This Row],[PID]],Table3[[#All],[PID]],0)))</f>
        <v>-</v>
      </c>
      <c r="T632" s="62">
        <f>IF($C632="B",INDEX(Batters[[#All],[Rnk]],MATCH(Table5[[#This Row],[PID]],Batters[[#All],[PID]],0)),INDEX(Table3[[#All],[Rnk]],MATCH(Table5[[#This Row],[PID]],Table3[[#All],[PID]],0)))</f>
        <v>900</v>
      </c>
      <c r="U632" s="67">
        <f>IF($C632="B",VLOOKUP($A632,Bat!$A$4:$BA$1314,47,FALSE),VLOOKUP($A632,Pit!$A$4:$BF$1214,56,FALSE))</f>
        <v>233</v>
      </c>
      <c r="V632" s="50">
        <f>IF($C632="B",VLOOKUP($A632,Bat!$A$4:$BA$1314,48,FALSE),VLOOKUP($A632,Pit!$A$4:$BF$1214,57,FALSE))</f>
        <v>0</v>
      </c>
      <c r="W632" s="68">
        <f>IF(Table5[[#This Row],[posRnk]]=999,9999,Table5[[#This Row],[posRnk]]+Table5[[#This Row],[zRnk]]+IF($W$3&lt;&gt;Table5[[#This Row],[Type]],50,0))</f>
        <v>1605</v>
      </c>
      <c r="X632" s="51">
        <f>RANK(Table5[[#This Row],[zScore]],Table5[[#All],[zScore]])</f>
        <v>655</v>
      </c>
      <c r="Y632" s="50" t="str">
        <f>IFERROR(INDEX(DraftResults[[#All],[OVR]],MATCH(Table5[[#This Row],[PID]],DraftResults[[#All],[Player ID]],0)),"")</f>
        <v/>
      </c>
      <c r="Z632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/>
      </c>
      <c r="AA632" s="50" t="str">
        <f>IFERROR(INDEX(DraftResults[[#All],[Pick in Round]],MATCH(Table5[[#This Row],[PID]],DraftResults[[#All],[Player ID]],0)),"")</f>
        <v/>
      </c>
      <c r="AB632" s="50" t="str">
        <f>IFERROR(INDEX(DraftResults[[#All],[Team Name]],MATCH(Table5[[#This Row],[PID]],DraftResults[[#All],[Player ID]],0)),"")</f>
        <v/>
      </c>
      <c r="AC632" s="50" t="str">
        <f>IF(Table5[[#This Row],[Ovr]]="","",IF(Table5[[#This Row],[cmbList]]="","",Table5[[#This Row],[cmbList]]-Table5[[#This Row],[Ovr]]))</f>
        <v/>
      </c>
      <c r="AD632" s="54" t="str">
        <f>IF(ISERROR(VLOOKUP($AB632&amp;"-"&amp;$E632&amp;" "&amp;F632,Bonuses!$B$1:$G$1006,4,FALSE)),"",INT(VLOOKUP($AB632&amp;"-"&amp;$E632&amp;" "&amp;$F632,Bonuses!$B$1:$G$1006,4,FALSE)))</f>
        <v/>
      </c>
      <c r="AE632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/>
      </c>
    </row>
    <row r="633" spans="1:31" s="50" customFormat="1" x14ac:dyDescent="0.3">
      <c r="A633" s="50">
        <v>13148</v>
      </c>
      <c r="B633" s="50">
        <f>COUNTIF(Table5[PID],A633)</f>
        <v>1</v>
      </c>
      <c r="C633" s="50" t="str">
        <f>IF(COUNTIF(Table3[[#All],[PID]],A633)&gt;0,"P","B")</f>
        <v>B</v>
      </c>
      <c r="D633" s="59" t="str">
        <f>IF($C633="B",INDEX(Batters[[#All],[POS]],MATCH(Table5[[#This Row],[PID]],Batters[[#All],[PID]],0)),INDEX(Table3[[#All],[POS]],MATCH(Table5[[#This Row],[PID]],Table3[[#All],[PID]],0)))</f>
        <v>C</v>
      </c>
      <c r="E633" s="52" t="str">
        <f>IF($C633="B",INDEX(Batters[[#All],[First]],MATCH(Table5[[#This Row],[PID]],Batters[[#All],[PID]],0)),INDEX(Table3[[#All],[First]],MATCH(Table5[[#This Row],[PID]],Table3[[#All],[PID]],0)))</f>
        <v>Richard</v>
      </c>
      <c r="F633" s="50" t="str">
        <f>IF($C633="B",INDEX(Batters[[#All],[Last]],MATCH(A633,Batters[[#All],[PID]],0)),INDEX(Table3[[#All],[Last]],MATCH(A633,Table3[[#All],[PID]],0)))</f>
        <v>Charles</v>
      </c>
      <c r="G633" s="56">
        <f>IF($C633="B",INDEX(Batters[[#All],[Age]],MATCH(Table5[[#This Row],[PID]],Batters[[#All],[PID]],0)),INDEX(Table3[[#All],[Age]],MATCH(Table5[[#This Row],[PID]],Table3[[#All],[PID]],0)))</f>
        <v>17</v>
      </c>
      <c r="H633" s="52" t="str">
        <f>IF($C633="B",INDEX(Batters[[#All],[B]],MATCH(Table5[[#This Row],[PID]],Batters[[#All],[PID]],0)),INDEX(Table3[[#All],[B]],MATCH(Table5[[#This Row],[PID]],Table3[[#All],[PID]],0)))</f>
        <v>R</v>
      </c>
      <c r="I633" s="52" t="str">
        <f>IF($C633="B",INDEX(Batters[[#All],[T]],MATCH(Table5[[#This Row],[PID]],Batters[[#All],[PID]],0)),INDEX(Table3[[#All],[T]],MATCH(Table5[[#This Row],[PID]],Table3[[#All],[PID]],0)))</f>
        <v>R</v>
      </c>
      <c r="J633" s="52" t="str">
        <f>IF($C633="B",INDEX(Batters[[#All],[WE]],MATCH(Table5[[#This Row],[PID]],Batters[[#All],[PID]],0)),INDEX(Table3[[#All],[WE]],MATCH(Table5[[#This Row],[PID]],Table3[[#All],[PID]],0)))</f>
        <v>Low</v>
      </c>
      <c r="K633" s="52" t="str">
        <f>IF($C633="B",INDEX(Batters[[#All],[INT]],MATCH(Table5[[#This Row],[PID]],Batters[[#All],[PID]],0)),INDEX(Table3[[#All],[INT]],MATCH(Table5[[#This Row],[PID]],Table3[[#All],[PID]],0)))</f>
        <v>Normal</v>
      </c>
      <c r="L633" s="60">
        <f>IF($C633="B",INDEX(Batters[[#All],[CON P]],MATCH(Table5[[#This Row],[PID]],Batters[[#All],[PID]],0)),INDEX(Table3[[#All],[STU P]],MATCH(Table5[[#This Row],[PID]],Table3[[#All],[PID]],0)))</f>
        <v>2</v>
      </c>
      <c r="M633" s="56">
        <f>IF($C633="B",INDEX(Batters[[#All],[GAP P]],MATCH(Table5[[#This Row],[PID]],Batters[[#All],[PID]],0)),INDEX(Table3[[#All],[MOV P]],MATCH(Table5[[#This Row],[PID]],Table3[[#All],[PID]],0)))</f>
        <v>4</v>
      </c>
      <c r="N633" s="56">
        <f>IF($C633="B",INDEX(Batters[[#All],[POW P]],MATCH(Table5[[#This Row],[PID]],Batters[[#All],[PID]],0)),INDEX(Table3[[#All],[CON P]],MATCH(Table5[[#This Row],[PID]],Table3[[#All],[PID]],0)))</f>
        <v>3</v>
      </c>
      <c r="O633" s="56">
        <f>IF($C633="B",INDEX(Batters[[#All],[EYE P]],MATCH(Table5[[#This Row],[PID]],Batters[[#All],[PID]],0)),INDEX(Table3[[#All],[VELO]],MATCH(Table5[[#This Row],[PID]],Table3[[#All],[PID]],0)))</f>
        <v>6</v>
      </c>
      <c r="P633" s="56">
        <f>IF($C633="B",INDEX(Batters[[#All],[K P]],MATCH(Table5[[#This Row],[PID]],Batters[[#All],[PID]],0)),INDEX(Table3[[#All],[STM]],MATCH(Table5[[#This Row],[PID]],Table3[[#All],[PID]],0)))</f>
        <v>2</v>
      </c>
      <c r="Q633" s="61">
        <f>IF($C633="B",INDEX(Batters[[#All],[Tot]],MATCH(Table5[[#This Row],[PID]],Batters[[#All],[PID]],0)),INDEX(Table3[[#All],[Tot]],MATCH(Table5[[#This Row],[PID]],Table3[[#All],[PID]],0)))</f>
        <v>39.084841105112432</v>
      </c>
      <c r="R633" s="52">
        <f>IF($C633="B",INDEX(Batters[[#All],[zScore]],MATCH(Table5[[#This Row],[PID]],Batters[[#All],[PID]],0)),INDEX(Table3[[#All],[zScore]],MATCH(Table5[[#This Row],[PID]],Table3[[#All],[PID]],0)))</f>
        <v>-0.60338099664766687</v>
      </c>
      <c r="S633" s="58" t="str">
        <f>IF($C633="B",INDEX(Batters[[#All],[DEM]],MATCH(Table5[[#This Row],[PID]],Batters[[#All],[PID]],0)),INDEX(Table3[[#All],[DEM]],MATCH(Table5[[#This Row],[PID]],Table3[[#All],[PID]],0)))</f>
        <v>$65k</v>
      </c>
      <c r="T633" s="62">
        <f>IF($C633="B",INDEX(Batters[[#All],[Rnk]],MATCH(Table5[[#This Row],[PID]],Batters[[#All],[PID]],0)),INDEX(Table3[[#All],[Rnk]],MATCH(Table5[[#This Row],[PID]],Table3[[#All],[PID]],0)))</f>
        <v>930</v>
      </c>
      <c r="U633" s="67">
        <f>IF($C633="B",VLOOKUP($A633,Bat!$A$4:$BA$1314,47,FALSE),VLOOKUP($A633,Pit!$A$4:$BF$1214,56,FALSE))</f>
        <v>353</v>
      </c>
      <c r="V633" s="50">
        <f>IF($C633="B",VLOOKUP($A633,Bat!$A$4:$BA$1314,48,FALSE),VLOOKUP($A633,Pit!$A$4:$BF$1214,57,FALSE))</f>
        <v>0</v>
      </c>
      <c r="W633" s="68">
        <f>IF(Table5[[#This Row],[posRnk]]=999,9999,Table5[[#This Row],[posRnk]]+Table5[[#This Row],[zRnk]]+IF($W$3&lt;&gt;Table5[[#This Row],[Type]],50,0))</f>
        <v>1605</v>
      </c>
      <c r="X633" s="51">
        <f>RANK(Table5[[#This Row],[zScore]],Table5[[#All],[zScore]])</f>
        <v>625</v>
      </c>
      <c r="Y633" s="50" t="str">
        <f>IFERROR(INDEX(DraftResults[[#All],[OVR]],MATCH(Table5[[#This Row],[PID]],DraftResults[[#All],[Player ID]],0)),"")</f>
        <v/>
      </c>
      <c r="Z633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/>
      </c>
      <c r="AA633" s="50" t="str">
        <f>IFERROR(INDEX(DraftResults[[#All],[Pick in Round]],MATCH(Table5[[#This Row],[PID]],DraftResults[[#All],[Player ID]],0)),"")</f>
        <v/>
      </c>
      <c r="AB633" s="50" t="str">
        <f>IFERROR(INDEX(DraftResults[[#All],[Team Name]],MATCH(Table5[[#This Row],[PID]],DraftResults[[#All],[Player ID]],0)),"")</f>
        <v/>
      </c>
      <c r="AC633" s="50" t="str">
        <f>IF(Table5[[#This Row],[Ovr]]="","",IF(Table5[[#This Row],[cmbList]]="","",Table5[[#This Row],[cmbList]]-Table5[[#This Row],[Ovr]]))</f>
        <v/>
      </c>
      <c r="AD633" s="54" t="str">
        <f>IF(ISERROR(VLOOKUP($AB633&amp;"-"&amp;$E633&amp;" "&amp;F633,Bonuses!$B$1:$G$1006,4,FALSE)),"",INT(VLOOKUP($AB633&amp;"-"&amp;$E633&amp;" "&amp;$F633,Bonuses!$B$1:$G$1006,4,FALSE)))</f>
        <v/>
      </c>
      <c r="AE633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/>
      </c>
    </row>
    <row r="634" spans="1:31" s="50" customFormat="1" x14ac:dyDescent="0.3">
      <c r="A634" s="50">
        <v>21001</v>
      </c>
      <c r="B634" s="50">
        <f>COUNTIF(Table5[PID],A634)</f>
        <v>1</v>
      </c>
      <c r="C634" s="50" t="str">
        <f>IF(COUNTIF(Table3[[#All],[PID]],A634)&gt;0,"P","B")</f>
        <v>P</v>
      </c>
      <c r="D634" s="59" t="str">
        <f>IF($C634="B",INDEX(Batters[[#All],[POS]],MATCH(Table5[[#This Row],[PID]],Batters[[#All],[PID]],0)),INDEX(Table3[[#All],[POS]],MATCH(Table5[[#This Row],[PID]],Table3[[#All],[PID]],0)))</f>
        <v>SP</v>
      </c>
      <c r="E634" s="52" t="str">
        <f>IF($C634="B",INDEX(Batters[[#All],[First]],MATCH(Table5[[#This Row],[PID]],Batters[[#All],[PID]],0)),INDEX(Table3[[#All],[First]],MATCH(Table5[[#This Row],[PID]],Table3[[#All],[PID]],0)))</f>
        <v>Robby</v>
      </c>
      <c r="F634" s="50" t="str">
        <f>IF($C634="B",INDEX(Batters[[#All],[Last]],MATCH(A634,Batters[[#All],[PID]],0)),INDEX(Table3[[#All],[Last]],MATCH(A634,Table3[[#All],[PID]],0)))</f>
        <v>Bennett</v>
      </c>
      <c r="G634" s="56">
        <f>IF($C634="B",INDEX(Batters[[#All],[Age]],MATCH(Table5[[#This Row],[PID]],Batters[[#All],[PID]],0)),INDEX(Table3[[#All],[Age]],MATCH(Table5[[#This Row],[PID]],Table3[[#All],[PID]],0)))</f>
        <v>17</v>
      </c>
      <c r="H634" s="52" t="str">
        <f>IF($C634="B",INDEX(Batters[[#All],[B]],MATCH(Table5[[#This Row],[PID]],Batters[[#All],[PID]],0)),INDEX(Table3[[#All],[B]],MATCH(Table5[[#This Row],[PID]],Table3[[#All],[PID]],0)))</f>
        <v>L</v>
      </c>
      <c r="I634" s="52" t="str">
        <f>IF($C634="B",INDEX(Batters[[#All],[T]],MATCH(Table5[[#This Row],[PID]],Batters[[#All],[PID]],0)),INDEX(Table3[[#All],[T]],MATCH(Table5[[#This Row],[PID]],Table3[[#All],[PID]],0)))</f>
        <v>R</v>
      </c>
      <c r="J634" s="52" t="str">
        <f>IF($C634="B",INDEX(Batters[[#All],[WE]],MATCH(Table5[[#This Row],[PID]],Batters[[#All],[PID]],0)),INDEX(Table3[[#All],[WE]],MATCH(Table5[[#This Row],[PID]],Table3[[#All],[PID]],0)))</f>
        <v>Normal</v>
      </c>
      <c r="K634" s="52" t="str">
        <f>IF($C634="B",INDEX(Batters[[#All],[INT]],MATCH(Table5[[#This Row],[PID]],Batters[[#All],[PID]],0)),INDEX(Table3[[#All],[INT]],MATCH(Table5[[#This Row],[PID]],Table3[[#All],[PID]],0)))</f>
        <v>Normal</v>
      </c>
      <c r="L634" s="60">
        <f>IF($C634="B",INDEX(Batters[[#All],[CON P]],MATCH(Table5[[#This Row],[PID]],Batters[[#All],[PID]],0)),INDEX(Table3[[#All],[STU P]],MATCH(Table5[[#This Row],[PID]],Table3[[#All],[PID]],0)))</f>
        <v>4</v>
      </c>
      <c r="M634" s="56">
        <f>IF($C634="B",INDEX(Batters[[#All],[GAP P]],MATCH(Table5[[#This Row],[PID]],Batters[[#All],[PID]],0)),INDEX(Table3[[#All],[MOV P]],MATCH(Table5[[#This Row],[PID]],Table3[[#All],[PID]],0)))</f>
        <v>2</v>
      </c>
      <c r="N634" s="56">
        <f>IF($C634="B",INDEX(Batters[[#All],[POW P]],MATCH(Table5[[#This Row],[PID]],Batters[[#All],[PID]],0)),INDEX(Table3[[#All],[CON P]],MATCH(Table5[[#This Row],[PID]],Table3[[#All],[PID]],0)))</f>
        <v>2</v>
      </c>
      <c r="O634" s="56" t="str">
        <f>IF($C634="B",INDEX(Batters[[#All],[EYE P]],MATCH(Table5[[#This Row],[PID]],Batters[[#All],[PID]],0)),INDEX(Table3[[#All],[VELO]],MATCH(Table5[[#This Row],[PID]],Table3[[#All],[PID]],0)))</f>
        <v>91-93 Mph</v>
      </c>
      <c r="P634" s="56">
        <f>IF($C634="B",INDEX(Batters[[#All],[K P]],MATCH(Table5[[#This Row],[PID]],Batters[[#All],[PID]],0)),INDEX(Table3[[#All],[STM]],MATCH(Table5[[#This Row],[PID]],Table3[[#All],[PID]],0)))</f>
        <v>10</v>
      </c>
      <c r="Q634" s="61">
        <f>IF($C634="B",INDEX(Batters[[#All],[Tot]],MATCH(Table5[[#This Row],[PID]],Batters[[#All],[PID]],0)),INDEX(Table3[[#All],[Tot]],MATCH(Table5[[#This Row],[PID]],Table3[[#All],[PID]],0)))</f>
        <v>28.354463136217525</v>
      </c>
      <c r="R634" s="52">
        <f>IF($C634="B",INDEX(Batters[[#All],[zScore]],MATCH(Table5[[#This Row],[PID]],Batters[[#All],[PID]],0)),INDEX(Table3[[#All],[zScore]],MATCH(Table5[[#This Row],[PID]],Table3[[#All],[PID]],0)))</f>
        <v>-0.66594394047154326</v>
      </c>
      <c r="S634" s="58" t="str">
        <f>IF($C634="B",INDEX(Batters[[#All],[DEM]],MATCH(Table5[[#This Row],[PID]],Batters[[#All],[PID]],0)),INDEX(Table3[[#All],[DEM]],MATCH(Table5[[#This Row],[PID]],Table3[[#All],[PID]],0)))</f>
        <v>$38k</v>
      </c>
      <c r="T634" s="62">
        <f>IF($C634="B",INDEX(Batters[[#All],[Rnk]],MATCH(Table5[[#This Row],[PID]],Batters[[#All],[PID]],0)),INDEX(Table3[[#All],[Rnk]],MATCH(Table5[[#This Row],[PID]],Table3[[#All],[PID]],0)))</f>
        <v>900</v>
      </c>
      <c r="U634" s="67">
        <f>IF($C634="B",VLOOKUP($A634,Bat!$A$4:$BA$1314,47,FALSE),VLOOKUP($A634,Pit!$A$4:$BF$1214,56,FALSE))</f>
        <v>220</v>
      </c>
      <c r="V634" s="50">
        <f>IF($C634="B",VLOOKUP($A634,Bat!$A$4:$BA$1314,48,FALSE),VLOOKUP($A634,Pit!$A$4:$BF$1214,57,FALSE))</f>
        <v>0</v>
      </c>
      <c r="W634" s="68">
        <f>IF(Table5[[#This Row],[posRnk]]=999,9999,Table5[[#This Row],[posRnk]]+Table5[[#This Row],[zRnk]]+IF($W$3&lt;&gt;Table5[[#This Row],[Type]],50,0))</f>
        <v>1556</v>
      </c>
      <c r="X634" s="51">
        <f>RANK(Table5[[#This Row],[zScore]],Table5[[#All],[zScore]])</f>
        <v>656</v>
      </c>
      <c r="Y634" s="50">
        <f>IFERROR(INDEX(DraftResults[[#All],[OVR]],MATCH(Table5[[#This Row],[PID]],DraftResults[[#All],[Player ID]],0)),"")</f>
        <v>464</v>
      </c>
      <c r="Z634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14</v>
      </c>
      <c r="AA634" s="50">
        <f>IFERROR(INDEX(DraftResults[[#All],[Pick in Round]],MATCH(Table5[[#This Row],[PID]],DraftResults[[#All],[Player ID]],0)),"")</f>
        <v>31</v>
      </c>
      <c r="AB634" s="50" t="str">
        <f>IFERROR(INDEX(DraftResults[[#All],[Team Name]],MATCH(Table5[[#This Row],[PID]],DraftResults[[#All],[Player ID]],0)),"")</f>
        <v>West Virginia Alleghenies</v>
      </c>
      <c r="AC634" s="50">
        <f>IF(Table5[[#This Row],[Ovr]]="","",IF(Table5[[#This Row],[cmbList]]="","",Table5[[#This Row],[cmbList]]-Table5[[#This Row],[Ovr]]))</f>
        <v>1092</v>
      </c>
      <c r="AD634" s="54" t="str">
        <f>IF(ISERROR(VLOOKUP($AB634&amp;"-"&amp;$E634&amp;" "&amp;F634,Bonuses!$B$1:$G$1006,4,FALSE)),"",INT(VLOOKUP($AB634&amp;"-"&amp;$E634&amp;" "&amp;$F634,Bonuses!$B$1:$G$1006,4,FALSE)))</f>
        <v/>
      </c>
      <c r="AE634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14.31 (464) - SP Robby Bennett</v>
      </c>
    </row>
    <row r="635" spans="1:31" s="50" customFormat="1" x14ac:dyDescent="0.3">
      <c r="A635" s="50">
        <v>20241</v>
      </c>
      <c r="B635" s="50">
        <f>COUNTIF(Table5[PID],A635)</f>
        <v>1</v>
      </c>
      <c r="C635" s="50" t="str">
        <f>IF(COUNTIF(Table3[[#All],[PID]],A635)&gt;0,"P","B")</f>
        <v>P</v>
      </c>
      <c r="D635" s="59" t="str">
        <f>IF($C635="B",INDEX(Batters[[#All],[POS]],MATCH(Table5[[#This Row],[PID]],Batters[[#All],[PID]],0)),INDEX(Table3[[#All],[POS]],MATCH(Table5[[#This Row],[PID]],Table3[[#All],[PID]],0)))</f>
        <v>RP</v>
      </c>
      <c r="E635" s="52" t="str">
        <f>IF($C635="B",INDEX(Batters[[#All],[First]],MATCH(Table5[[#This Row],[PID]],Batters[[#All],[PID]],0)),INDEX(Table3[[#All],[First]],MATCH(Table5[[#This Row],[PID]],Table3[[#All],[PID]],0)))</f>
        <v>Woody</v>
      </c>
      <c r="F635" s="50" t="str">
        <f>IF($C635="B",INDEX(Batters[[#All],[Last]],MATCH(A635,Batters[[#All],[PID]],0)),INDEX(Table3[[#All],[Last]],MATCH(A635,Table3[[#All],[PID]],0)))</f>
        <v>Follett</v>
      </c>
      <c r="G635" s="56">
        <f>IF($C635="B",INDEX(Batters[[#All],[Age]],MATCH(Table5[[#This Row],[PID]],Batters[[#All],[PID]],0)),INDEX(Table3[[#All],[Age]],MATCH(Table5[[#This Row],[PID]],Table3[[#All],[PID]],0)))</f>
        <v>22</v>
      </c>
      <c r="H635" s="52" t="str">
        <f>IF($C635="B",INDEX(Batters[[#All],[B]],MATCH(Table5[[#This Row],[PID]],Batters[[#All],[PID]],0)),INDEX(Table3[[#All],[B]],MATCH(Table5[[#This Row],[PID]],Table3[[#All],[PID]],0)))</f>
        <v>R</v>
      </c>
      <c r="I635" s="52" t="str">
        <f>IF($C635="B",INDEX(Batters[[#All],[T]],MATCH(Table5[[#This Row],[PID]],Batters[[#All],[PID]],0)),INDEX(Table3[[#All],[T]],MATCH(Table5[[#This Row],[PID]],Table3[[#All],[PID]],0)))</f>
        <v>R</v>
      </c>
      <c r="J635" s="52" t="str">
        <f>IF($C635="B",INDEX(Batters[[#All],[WE]],MATCH(Table5[[#This Row],[PID]],Batters[[#All],[PID]],0)),INDEX(Table3[[#All],[WE]],MATCH(Table5[[#This Row],[PID]],Table3[[#All],[PID]],0)))</f>
        <v>Low</v>
      </c>
      <c r="K635" s="52" t="str">
        <f>IF($C635="B",INDEX(Batters[[#All],[INT]],MATCH(Table5[[#This Row],[PID]],Batters[[#All],[PID]],0)),INDEX(Table3[[#All],[INT]],MATCH(Table5[[#This Row],[PID]],Table3[[#All],[PID]],0)))</f>
        <v>Normal</v>
      </c>
      <c r="L635" s="60">
        <f>IF($C635="B",INDEX(Batters[[#All],[CON P]],MATCH(Table5[[#This Row],[PID]],Batters[[#All],[PID]],0)),INDEX(Table3[[#All],[STU P]],MATCH(Table5[[#This Row],[PID]],Table3[[#All],[PID]],0)))</f>
        <v>5</v>
      </c>
      <c r="M635" s="56">
        <f>IF($C635="B",INDEX(Batters[[#All],[GAP P]],MATCH(Table5[[#This Row],[PID]],Batters[[#All],[PID]],0)),INDEX(Table3[[#All],[MOV P]],MATCH(Table5[[#This Row],[PID]],Table3[[#All],[PID]],0)))</f>
        <v>1</v>
      </c>
      <c r="N635" s="56">
        <f>IF($C635="B",INDEX(Batters[[#All],[POW P]],MATCH(Table5[[#This Row],[PID]],Batters[[#All],[PID]],0)),INDEX(Table3[[#All],[CON P]],MATCH(Table5[[#This Row],[PID]],Table3[[#All],[PID]],0)))</f>
        <v>3</v>
      </c>
      <c r="O635" s="56" t="str">
        <f>IF($C635="B",INDEX(Batters[[#All],[EYE P]],MATCH(Table5[[#This Row],[PID]],Batters[[#All],[PID]],0)),INDEX(Table3[[#All],[VELO]],MATCH(Table5[[#This Row],[PID]],Table3[[#All],[PID]],0)))</f>
        <v>93-95 Mph</v>
      </c>
      <c r="P635" s="56">
        <f>IF($C635="B",INDEX(Batters[[#All],[K P]],MATCH(Table5[[#This Row],[PID]],Batters[[#All],[PID]],0)),INDEX(Table3[[#All],[STM]],MATCH(Table5[[#This Row],[PID]],Table3[[#All],[PID]],0)))</f>
        <v>10</v>
      </c>
      <c r="Q635" s="61">
        <f>IF($C635="B",INDEX(Batters[[#All],[Tot]],MATCH(Table5[[#This Row],[PID]],Batters[[#All],[PID]],0)),INDEX(Table3[[#All],[Tot]],MATCH(Table5[[#This Row],[PID]],Table3[[#All],[PID]],0)))</f>
        <v>29.298903941575837</v>
      </c>
      <c r="R635" s="52">
        <f>IF($C635="B",INDEX(Batters[[#All],[zScore]],MATCH(Table5[[#This Row],[PID]],Batters[[#All],[PID]],0)),INDEX(Table3[[#All],[zScore]],MATCH(Table5[[#This Row],[PID]],Table3[[#All],[PID]],0)))</f>
        <v>-0.60552172507972535</v>
      </c>
      <c r="S635" s="58" t="str">
        <f>IF($C635="B",INDEX(Batters[[#All],[DEM]],MATCH(Table5[[#This Row],[PID]],Batters[[#All],[PID]],0)),INDEX(Table3[[#All],[DEM]],MATCH(Table5[[#This Row],[PID]],Table3[[#All],[PID]],0)))</f>
        <v>-</v>
      </c>
      <c r="T635" s="62">
        <f>IF($C635="B",INDEX(Batters[[#All],[Rnk]],MATCH(Table5[[#This Row],[PID]],Batters[[#All],[PID]],0)),INDEX(Table3[[#All],[Rnk]],MATCH(Table5[[#This Row],[PID]],Table3[[#All],[PID]],0)))</f>
        <v>930</v>
      </c>
      <c r="U635" s="67">
        <f>IF($C635="B",VLOOKUP($A635,Bat!$A$4:$BA$1314,47,FALSE),VLOOKUP($A635,Pit!$A$4:$BF$1214,56,FALSE))</f>
        <v>335</v>
      </c>
      <c r="V635" s="50">
        <f>IF($C635="B",VLOOKUP($A635,Bat!$A$4:$BA$1314,48,FALSE),VLOOKUP($A635,Pit!$A$4:$BF$1214,57,FALSE))</f>
        <v>0</v>
      </c>
      <c r="W635" s="68">
        <f>IF(Table5[[#This Row],[posRnk]]=999,9999,Table5[[#This Row],[posRnk]]+Table5[[#This Row],[zRnk]]+IF($W$3&lt;&gt;Table5[[#This Row],[Type]],50,0))</f>
        <v>1556</v>
      </c>
      <c r="X635" s="51">
        <f>RANK(Table5[[#This Row],[zScore]],Table5[[#All],[zScore]])</f>
        <v>626</v>
      </c>
      <c r="Y635" s="50">
        <f>IFERROR(INDEX(DraftResults[[#All],[OVR]],MATCH(Table5[[#This Row],[PID]],DraftResults[[#All],[Player ID]],0)),"")</f>
        <v>370</v>
      </c>
      <c r="Z635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12</v>
      </c>
      <c r="AA635" s="50">
        <f>IFERROR(INDEX(DraftResults[[#All],[Pick in Round]],MATCH(Table5[[#This Row],[PID]],DraftResults[[#All],[Player ID]],0)),"")</f>
        <v>5</v>
      </c>
      <c r="AB635" s="50" t="str">
        <f>IFERROR(INDEX(DraftResults[[#All],[Team Name]],MATCH(Table5[[#This Row],[PID]],DraftResults[[#All],[Player ID]],0)),"")</f>
        <v>Tempe Knights</v>
      </c>
      <c r="AC635" s="50">
        <f>IF(Table5[[#This Row],[Ovr]]="","",IF(Table5[[#This Row],[cmbList]]="","",Table5[[#This Row],[cmbList]]-Table5[[#This Row],[Ovr]]))</f>
        <v>1186</v>
      </c>
      <c r="AD635" s="54" t="str">
        <f>IF(ISERROR(VLOOKUP($AB635&amp;"-"&amp;$E635&amp;" "&amp;F635,Bonuses!$B$1:$G$1006,4,FALSE)),"",INT(VLOOKUP($AB635&amp;"-"&amp;$E635&amp;" "&amp;$F635,Bonuses!$B$1:$G$1006,4,FALSE)))</f>
        <v/>
      </c>
      <c r="AE635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12.5 (370) - RP Woody Follett</v>
      </c>
    </row>
    <row r="636" spans="1:31" s="50" customFormat="1" x14ac:dyDescent="0.3">
      <c r="A636" s="50">
        <v>16888</v>
      </c>
      <c r="B636" s="50">
        <f>COUNTIF(Table5[PID],A636)</f>
        <v>1</v>
      </c>
      <c r="C636" s="50" t="str">
        <f>IF(COUNTIF(Table3[[#All],[PID]],A636)&gt;0,"P","B")</f>
        <v>B</v>
      </c>
      <c r="D636" s="59" t="str">
        <f>IF($C636="B",INDEX(Batters[[#All],[POS]],MATCH(Table5[[#This Row],[PID]],Batters[[#All],[PID]],0)),INDEX(Table3[[#All],[POS]],MATCH(Table5[[#This Row],[PID]],Table3[[#All],[PID]],0)))</f>
        <v>C</v>
      </c>
      <c r="E636" s="52" t="str">
        <f>IF($C636="B",INDEX(Batters[[#All],[First]],MATCH(Table5[[#This Row],[PID]],Batters[[#All],[PID]],0)),INDEX(Table3[[#All],[First]],MATCH(Table5[[#This Row],[PID]],Table3[[#All],[PID]],0)))</f>
        <v>Lorenzo</v>
      </c>
      <c r="F636" s="50" t="str">
        <f>IF($C636="B",INDEX(Batters[[#All],[Last]],MATCH(A636,Batters[[#All],[PID]],0)),INDEX(Table3[[#All],[Last]],MATCH(A636,Table3[[#All],[PID]],0)))</f>
        <v>Ferrer</v>
      </c>
      <c r="G636" s="56">
        <f>IF($C636="B",INDEX(Batters[[#All],[Age]],MATCH(Table5[[#This Row],[PID]],Batters[[#All],[PID]],0)),INDEX(Table3[[#All],[Age]],MATCH(Table5[[#This Row],[PID]],Table3[[#All],[PID]],0)))</f>
        <v>22</v>
      </c>
      <c r="H636" s="52" t="str">
        <f>IF($C636="B",INDEX(Batters[[#All],[B]],MATCH(Table5[[#This Row],[PID]],Batters[[#All],[PID]],0)),INDEX(Table3[[#All],[B]],MATCH(Table5[[#This Row],[PID]],Table3[[#All],[PID]],0)))</f>
        <v>L</v>
      </c>
      <c r="I636" s="52" t="str">
        <f>IF($C636="B",INDEX(Batters[[#All],[T]],MATCH(Table5[[#This Row],[PID]],Batters[[#All],[PID]],0)),INDEX(Table3[[#All],[T]],MATCH(Table5[[#This Row],[PID]],Table3[[#All],[PID]],0)))</f>
        <v>R</v>
      </c>
      <c r="J636" s="52" t="str">
        <f>IF($C636="B",INDEX(Batters[[#All],[WE]],MATCH(Table5[[#This Row],[PID]],Batters[[#All],[PID]],0)),INDEX(Table3[[#All],[WE]],MATCH(Table5[[#This Row],[PID]],Table3[[#All],[PID]],0)))</f>
        <v>High</v>
      </c>
      <c r="K636" s="52" t="str">
        <f>IF($C636="B",INDEX(Batters[[#All],[INT]],MATCH(Table5[[#This Row],[PID]],Batters[[#All],[PID]],0)),INDEX(Table3[[#All],[INT]],MATCH(Table5[[#This Row],[PID]],Table3[[#All],[PID]],0)))</f>
        <v>High</v>
      </c>
      <c r="L636" s="60">
        <f>IF($C636="B",INDEX(Batters[[#All],[CON P]],MATCH(Table5[[#This Row],[PID]],Batters[[#All],[PID]],0)),INDEX(Table3[[#All],[STU P]],MATCH(Table5[[#This Row],[PID]],Table3[[#All],[PID]],0)))</f>
        <v>3</v>
      </c>
      <c r="M636" s="56">
        <f>IF($C636="B",INDEX(Batters[[#All],[GAP P]],MATCH(Table5[[#This Row],[PID]],Batters[[#All],[PID]],0)),INDEX(Table3[[#All],[MOV P]],MATCH(Table5[[#This Row],[PID]],Table3[[#All],[PID]],0)))</f>
        <v>4</v>
      </c>
      <c r="N636" s="56">
        <f>IF($C636="B",INDEX(Batters[[#All],[POW P]],MATCH(Table5[[#This Row],[PID]],Batters[[#All],[PID]],0)),INDEX(Table3[[#All],[CON P]],MATCH(Table5[[#This Row],[PID]],Table3[[#All],[PID]],0)))</f>
        <v>3</v>
      </c>
      <c r="O636" s="56">
        <f>IF($C636="B",INDEX(Batters[[#All],[EYE P]],MATCH(Table5[[#This Row],[PID]],Batters[[#All],[PID]],0)),INDEX(Table3[[#All],[VELO]],MATCH(Table5[[#This Row],[PID]],Table3[[#All],[PID]],0)))</f>
        <v>5</v>
      </c>
      <c r="P636" s="56">
        <f>IF($C636="B",INDEX(Batters[[#All],[K P]],MATCH(Table5[[#This Row],[PID]],Batters[[#All],[PID]],0)),INDEX(Table3[[#All],[STM]],MATCH(Table5[[#This Row],[PID]],Table3[[#All],[PID]],0)))</f>
        <v>3</v>
      </c>
      <c r="Q636" s="61">
        <f>IF($C636="B",INDEX(Batters[[#All],[Tot]],MATCH(Table5[[#This Row],[PID]],Batters[[#All],[PID]],0)),INDEX(Table3[[#All],[Tot]],MATCH(Table5[[#This Row],[PID]],Table3[[#All],[PID]],0)))</f>
        <v>38.628612278814785</v>
      </c>
      <c r="R636" s="52">
        <f>IF($C636="B",INDEX(Batters[[#All],[zScore]],MATCH(Table5[[#This Row],[PID]],Batters[[#All],[PID]],0)),INDEX(Table3[[#All],[zScore]],MATCH(Table5[[#This Row],[PID]],Table3[[#All],[PID]],0)))</f>
        <v>-0.66997585598887321</v>
      </c>
      <c r="S636" s="58" t="str">
        <f>IF($C636="B",INDEX(Batters[[#All],[DEM]],MATCH(Table5[[#This Row],[PID]],Batters[[#All],[PID]],0)),INDEX(Table3[[#All],[DEM]],MATCH(Table5[[#This Row],[PID]],Table3[[#All],[PID]],0)))</f>
        <v>-</v>
      </c>
      <c r="T636" s="62">
        <f>IF($C636="B",INDEX(Batters[[#All],[Rnk]],MATCH(Table5[[#This Row],[PID]],Batters[[#All],[PID]],0)),INDEX(Table3[[#All],[Rnk]],MATCH(Table5[[#This Row],[PID]],Table3[[#All],[PID]],0)))</f>
        <v>900</v>
      </c>
      <c r="U636" s="67">
        <f>IF($C636="B",VLOOKUP($A636,Bat!$A$4:$BA$1314,47,FALSE),VLOOKUP($A636,Pit!$A$4:$BF$1214,56,FALSE))</f>
        <v>207</v>
      </c>
      <c r="V636" s="50">
        <f>IF($C636="B",VLOOKUP($A636,Bat!$A$4:$BA$1314,48,FALSE),VLOOKUP($A636,Pit!$A$4:$BF$1214,57,FALSE))</f>
        <v>0</v>
      </c>
      <c r="W636" s="68">
        <f>IF(Table5[[#This Row],[posRnk]]=999,9999,Table5[[#This Row],[posRnk]]+Table5[[#This Row],[zRnk]]+IF($W$3&lt;&gt;Table5[[#This Row],[Type]],50,0))</f>
        <v>1608</v>
      </c>
      <c r="X636" s="51">
        <f>RANK(Table5[[#This Row],[zScore]],Table5[[#All],[zScore]])</f>
        <v>658</v>
      </c>
      <c r="Y636" s="50">
        <f>IFERROR(INDEX(DraftResults[[#All],[OVR]],MATCH(Table5[[#This Row],[PID]],DraftResults[[#All],[Player ID]],0)),"")</f>
        <v>643</v>
      </c>
      <c r="Z636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20</v>
      </c>
      <c r="AA636" s="50">
        <f>IFERROR(INDEX(DraftResults[[#All],[Pick in Round]],MATCH(Table5[[#This Row],[PID]],DraftResults[[#All],[Player ID]],0)),"")</f>
        <v>6</v>
      </c>
      <c r="AB636" s="50" t="str">
        <f>IFERROR(INDEX(DraftResults[[#All],[Team Name]],MATCH(Table5[[#This Row],[PID]],DraftResults[[#All],[Player ID]],0)),"")</f>
        <v>New Orleans Trendsetters</v>
      </c>
      <c r="AC636" s="50">
        <f>IF(Table5[[#This Row],[Ovr]]="","",IF(Table5[[#This Row],[cmbList]]="","",Table5[[#This Row],[cmbList]]-Table5[[#This Row],[Ovr]]))</f>
        <v>965</v>
      </c>
      <c r="AD636" s="54" t="str">
        <f>IF(ISERROR(VLOOKUP($AB636&amp;"-"&amp;$E636&amp;" "&amp;F636,Bonuses!$B$1:$G$1006,4,FALSE)),"",INT(VLOOKUP($AB636&amp;"-"&amp;$E636&amp;" "&amp;$F636,Bonuses!$B$1:$G$1006,4,FALSE)))</f>
        <v/>
      </c>
      <c r="AE636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20.6 (643) - C Lorenzo Ferrer</v>
      </c>
    </row>
    <row r="637" spans="1:31" s="50" customFormat="1" x14ac:dyDescent="0.3">
      <c r="A637" s="50">
        <v>12795</v>
      </c>
      <c r="B637" s="50">
        <f>COUNTIF(Table5[PID],A637)</f>
        <v>1</v>
      </c>
      <c r="C637" s="50" t="str">
        <f>IF(COUNTIF(Table3[[#All],[PID]],A637)&gt;0,"P","B")</f>
        <v>P</v>
      </c>
      <c r="D637" s="59" t="str">
        <f>IF($C637="B",INDEX(Batters[[#All],[POS]],MATCH(Table5[[#This Row],[PID]],Batters[[#All],[PID]],0)),INDEX(Table3[[#All],[POS]],MATCH(Table5[[#This Row],[PID]],Table3[[#All],[PID]],0)))</f>
        <v>RP</v>
      </c>
      <c r="E637" s="52" t="str">
        <f>IF($C637="B",INDEX(Batters[[#All],[First]],MATCH(Table5[[#This Row],[PID]],Batters[[#All],[PID]],0)),INDEX(Table3[[#All],[First]],MATCH(Table5[[#This Row],[PID]],Table3[[#All],[PID]],0)))</f>
        <v>Motonobu</v>
      </c>
      <c r="F637" s="50" t="str">
        <f>IF($C637="B",INDEX(Batters[[#All],[Last]],MATCH(A637,Batters[[#All],[PID]],0)),INDEX(Table3[[#All],[Last]],MATCH(A637,Table3[[#All],[PID]],0)))</f>
        <v>Yamada</v>
      </c>
      <c r="G637" s="56">
        <f>IF($C637="B",INDEX(Batters[[#All],[Age]],MATCH(Table5[[#This Row],[PID]],Batters[[#All],[PID]],0)),INDEX(Table3[[#All],[Age]],MATCH(Table5[[#This Row],[PID]],Table3[[#All],[PID]],0)))</f>
        <v>21</v>
      </c>
      <c r="H637" s="52" t="str">
        <f>IF($C637="B",INDEX(Batters[[#All],[B]],MATCH(Table5[[#This Row],[PID]],Batters[[#All],[PID]],0)),INDEX(Table3[[#All],[B]],MATCH(Table5[[#This Row],[PID]],Table3[[#All],[PID]],0)))</f>
        <v>R</v>
      </c>
      <c r="I637" s="52" t="str">
        <f>IF($C637="B",INDEX(Batters[[#All],[T]],MATCH(Table5[[#This Row],[PID]],Batters[[#All],[PID]],0)),INDEX(Table3[[#All],[T]],MATCH(Table5[[#This Row],[PID]],Table3[[#All],[PID]],0)))</f>
        <v>R</v>
      </c>
      <c r="J637" s="52" t="str">
        <f>IF($C637="B",INDEX(Batters[[#All],[WE]],MATCH(Table5[[#This Row],[PID]],Batters[[#All],[PID]],0)),INDEX(Table3[[#All],[WE]],MATCH(Table5[[#This Row],[PID]],Table3[[#All],[PID]],0)))</f>
        <v>Low</v>
      </c>
      <c r="K637" s="52" t="str">
        <f>IF($C637="B",INDEX(Batters[[#All],[INT]],MATCH(Table5[[#This Row],[PID]],Batters[[#All],[PID]],0)),INDEX(Table3[[#All],[INT]],MATCH(Table5[[#This Row],[PID]],Table3[[#All],[PID]],0)))</f>
        <v>Normal</v>
      </c>
      <c r="L637" s="60">
        <f>IF($C637="B",INDEX(Batters[[#All],[CON P]],MATCH(Table5[[#This Row],[PID]],Batters[[#All],[PID]],0)),INDEX(Table3[[#All],[STU P]],MATCH(Table5[[#This Row],[PID]],Table3[[#All],[PID]],0)))</f>
        <v>4</v>
      </c>
      <c r="M637" s="56">
        <f>IF($C637="B",INDEX(Batters[[#All],[GAP P]],MATCH(Table5[[#This Row],[PID]],Batters[[#All],[PID]],0)),INDEX(Table3[[#All],[MOV P]],MATCH(Table5[[#This Row],[PID]],Table3[[#All],[PID]],0)))</f>
        <v>2</v>
      </c>
      <c r="N637" s="56">
        <f>IF($C637="B",INDEX(Batters[[#All],[POW P]],MATCH(Table5[[#This Row],[PID]],Batters[[#All],[PID]],0)),INDEX(Table3[[#All],[CON P]],MATCH(Table5[[#This Row],[PID]],Table3[[#All],[PID]],0)))</f>
        <v>3</v>
      </c>
      <c r="O637" s="56" t="str">
        <f>IF($C637="B",INDEX(Batters[[#All],[EYE P]],MATCH(Table5[[#This Row],[PID]],Batters[[#All],[PID]],0)),INDEX(Table3[[#All],[VELO]],MATCH(Table5[[#This Row],[PID]],Table3[[#All],[PID]],0)))</f>
        <v>87-89 Mph</v>
      </c>
      <c r="P637" s="56">
        <f>IF($C637="B",INDEX(Batters[[#All],[K P]],MATCH(Table5[[#This Row],[PID]],Batters[[#All],[PID]],0)),INDEX(Table3[[#All],[STM]],MATCH(Table5[[#This Row],[PID]],Table3[[#All],[PID]],0)))</f>
        <v>9</v>
      </c>
      <c r="Q637" s="61">
        <f>IF($C637="B",INDEX(Batters[[#All],[Tot]],MATCH(Table5[[#This Row],[PID]],Batters[[#All],[PID]],0)),INDEX(Table3[[#All],[Tot]],MATCH(Table5[[#This Row],[PID]],Table3[[#All],[PID]],0)))</f>
        <v>29.150874457299729</v>
      </c>
      <c r="R637" s="52">
        <f>IF($C637="B",INDEX(Batters[[#All],[zScore]],MATCH(Table5[[#This Row],[PID]],Batters[[#All],[PID]],0)),INDEX(Table3[[#All],[zScore]],MATCH(Table5[[#This Row],[PID]],Table3[[#All],[PID]],0)))</f>
        <v>-0.60928434472084181</v>
      </c>
      <c r="S637" s="58" t="str">
        <f>IF($C637="B",INDEX(Batters[[#All],[DEM]],MATCH(Table5[[#This Row],[PID]],Batters[[#All],[PID]],0)),INDEX(Table3[[#All],[DEM]],MATCH(Table5[[#This Row],[PID]],Table3[[#All],[PID]],0)))</f>
        <v>-</v>
      </c>
      <c r="T637" s="62">
        <f>IF($C637="B",INDEX(Batters[[#All],[Rnk]],MATCH(Table5[[#This Row],[PID]],Batters[[#All],[PID]],0)),INDEX(Table3[[#All],[Rnk]],MATCH(Table5[[#This Row],[PID]],Table3[[#All],[PID]],0)))</f>
        <v>930</v>
      </c>
      <c r="U637" s="67">
        <f>IF($C637="B",VLOOKUP($A637,Bat!$A$4:$BA$1314,47,FALSE),VLOOKUP($A637,Pit!$A$4:$BF$1214,56,FALSE))</f>
        <v>336</v>
      </c>
      <c r="V637" s="50">
        <f>IF($C637="B",VLOOKUP($A637,Bat!$A$4:$BA$1314,48,FALSE),VLOOKUP($A637,Pit!$A$4:$BF$1214,57,FALSE))</f>
        <v>0</v>
      </c>
      <c r="W637" s="68">
        <f>IF(Table5[[#This Row],[posRnk]]=999,9999,Table5[[#This Row],[posRnk]]+Table5[[#This Row],[zRnk]]+IF($W$3&lt;&gt;Table5[[#This Row],[Type]],50,0))</f>
        <v>1558</v>
      </c>
      <c r="X637" s="51">
        <f>RANK(Table5[[#This Row],[zScore]],Table5[[#All],[zScore]])</f>
        <v>628</v>
      </c>
      <c r="Y637" s="50">
        <f>IFERROR(INDEX(DraftResults[[#All],[OVR]],MATCH(Table5[[#This Row],[PID]],DraftResults[[#All],[Player ID]],0)),"")</f>
        <v>556</v>
      </c>
      <c r="Z637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17</v>
      </c>
      <c r="AA637" s="50">
        <f>IFERROR(INDEX(DraftResults[[#All],[Pick in Round]],MATCH(Table5[[#This Row],[PID]],DraftResults[[#All],[Player ID]],0)),"")</f>
        <v>21</v>
      </c>
      <c r="AB637" s="50" t="str">
        <f>IFERROR(INDEX(DraftResults[[#All],[Team Name]],MATCH(Table5[[#This Row],[PID]],DraftResults[[#All],[Player ID]],0)),"")</f>
        <v>Neo-Tokyo Akira</v>
      </c>
      <c r="AC637" s="50">
        <f>IF(Table5[[#This Row],[Ovr]]="","",IF(Table5[[#This Row],[cmbList]]="","",Table5[[#This Row],[cmbList]]-Table5[[#This Row],[Ovr]]))</f>
        <v>1002</v>
      </c>
      <c r="AD637" s="54" t="str">
        <f>IF(ISERROR(VLOOKUP($AB637&amp;"-"&amp;$E637&amp;" "&amp;F637,Bonuses!$B$1:$G$1006,4,FALSE)),"",INT(VLOOKUP($AB637&amp;"-"&amp;$E637&amp;" "&amp;$F637,Bonuses!$B$1:$G$1006,4,FALSE)))</f>
        <v/>
      </c>
      <c r="AE637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17.21 (556) - RP Motonobu Yamada</v>
      </c>
    </row>
    <row r="638" spans="1:31" s="50" customFormat="1" x14ac:dyDescent="0.3">
      <c r="A638" s="50">
        <v>9764</v>
      </c>
      <c r="B638" s="50">
        <f>COUNTIF(Table5[PID],A638)</f>
        <v>1</v>
      </c>
      <c r="C638" s="50" t="str">
        <f>IF(COUNTIF(Table3[[#All],[PID]],A638)&gt;0,"P","B")</f>
        <v>P</v>
      </c>
      <c r="D638" s="59" t="str">
        <f>IF($C638="B",INDEX(Batters[[#All],[POS]],MATCH(Table5[[#This Row],[PID]],Batters[[#All],[PID]],0)),INDEX(Table3[[#All],[POS]],MATCH(Table5[[#This Row],[PID]],Table3[[#All],[PID]],0)))</f>
        <v>RP</v>
      </c>
      <c r="E638" s="52" t="str">
        <f>IF($C638="B",INDEX(Batters[[#All],[First]],MATCH(Table5[[#This Row],[PID]],Batters[[#All],[PID]],0)),INDEX(Table3[[#All],[First]],MATCH(Table5[[#This Row],[PID]],Table3[[#All],[PID]],0)))</f>
        <v>Eric</v>
      </c>
      <c r="F638" s="50" t="str">
        <f>IF($C638="B",INDEX(Batters[[#All],[Last]],MATCH(A638,Batters[[#All],[PID]],0)),INDEX(Table3[[#All],[Last]],MATCH(A638,Table3[[#All],[PID]],0)))</f>
        <v>Nix</v>
      </c>
      <c r="G638" s="56">
        <f>IF($C638="B",INDEX(Batters[[#All],[Age]],MATCH(Table5[[#This Row],[PID]],Batters[[#All],[PID]],0)),INDEX(Table3[[#All],[Age]],MATCH(Table5[[#This Row],[PID]],Table3[[#All],[PID]],0)))</f>
        <v>17</v>
      </c>
      <c r="H638" s="52" t="str">
        <f>IF($C638="B",INDEX(Batters[[#All],[B]],MATCH(Table5[[#This Row],[PID]],Batters[[#All],[PID]],0)),INDEX(Table3[[#All],[B]],MATCH(Table5[[#This Row],[PID]],Table3[[#All],[PID]],0)))</f>
        <v>S</v>
      </c>
      <c r="I638" s="52" t="str">
        <f>IF($C638="B",INDEX(Batters[[#All],[T]],MATCH(Table5[[#This Row],[PID]],Batters[[#All],[PID]],0)),INDEX(Table3[[#All],[T]],MATCH(Table5[[#This Row],[PID]],Table3[[#All],[PID]],0)))</f>
        <v>R</v>
      </c>
      <c r="J638" s="52" t="str">
        <f>IF($C638="B",INDEX(Batters[[#All],[WE]],MATCH(Table5[[#This Row],[PID]],Batters[[#All],[PID]],0)),INDEX(Table3[[#All],[WE]],MATCH(Table5[[#This Row],[PID]],Table3[[#All],[PID]],0)))</f>
        <v>Low</v>
      </c>
      <c r="K638" s="52" t="str">
        <f>IF($C638="B",INDEX(Batters[[#All],[INT]],MATCH(Table5[[#This Row],[PID]],Batters[[#All],[PID]],0)),INDEX(Table3[[#All],[INT]],MATCH(Table5[[#This Row],[PID]],Table3[[#All],[PID]],0)))</f>
        <v>Normal</v>
      </c>
      <c r="L638" s="60">
        <f>IF($C638="B",INDEX(Batters[[#All],[CON P]],MATCH(Table5[[#This Row],[PID]],Batters[[#All],[PID]],0)),INDEX(Table3[[#All],[STU P]],MATCH(Table5[[#This Row],[PID]],Table3[[#All],[PID]],0)))</f>
        <v>4</v>
      </c>
      <c r="M638" s="56">
        <f>IF($C638="B",INDEX(Batters[[#All],[GAP P]],MATCH(Table5[[#This Row],[PID]],Batters[[#All],[PID]],0)),INDEX(Table3[[#All],[MOV P]],MATCH(Table5[[#This Row],[PID]],Table3[[#All],[PID]],0)))</f>
        <v>1</v>
      </c>
      <c r="N638" s="56">
        <f>IF($C638="B",INDEX(Batters[[#All],[POW P]],MATCH(Table5[[#This Row],[PID]],Batters[[#All],[PID]],0)),INDEX(Table3[[#All],[CON P]],MATCH(Table5[[#This Row],[PID]],Table3[[#All],[PID]],0)))</f>
        <v>3</v>
      </c>
      <c r="O638" s="56" t="str">
        <f>IF($C638="B",INDEX(Batters[[#All],[EYE P]],MATCH(Table5[[#This Row],[PID]],Batters[[#All],[PID]],0)),INDEX(Table3[[#All],[VELO]],MATCH(Table5[[#This Row],[PID]],Table3[[#All],[PID]],0)))</f>
        <v>87-89 Mph</v>
      </c>
      <c r="P638" s="56">
        <f>IF($C638="B",INDEX(Batters[[#All],[K P]],MATCH(Table5[[#This Row],[PID]],Batters[[#All],[PID]],0)),INDEX(Table3[[#All],[STM]],MATCH(Table5[[#This Row],[PID]],Table3[[#All],[PID]],0)))</f>
        <v>3</v>
      </c>
      <c r="Q638" s="61">
        <f>IF($C638="B",INDEX(Batters[[#All],[Tot]],MATCH(Table5[[#This Row],[PID]],Batters[[#All],[PID]],0)),INDEX(Table3[[#All],[Tot]],MATCH(Table5[[#This Row],[PID]],Table3[[#All],[PID]],0)))</f>
        <v>29.241004744485235</v>
      </c>
      <c r="R638" s="52">
        <f>IF($C638="B",INDEX(Batters[[#All],[zScore]],MATCH(Table5[[#This Row],[PID]],Batters[[#All],[PID]],0)),INDEX(Table3[[#All],[zScore]],MATCH(Table5[[#This Row],[PID]],Table3[[#All],[PID]],0)))</f>
        <v>-0.60964455511027471</v>
      </c>
      <c r="S638" s="58" t="str">
        <f>IF($C638="B",INDEX(Batters[[#All],[DEM]],MATCH(Table5[[#This Row],[PID]],Batters[[#All],[PID]],0)),INDEX(Table3[[#All],[DEM]],MATCH(Table5[[#This Row],[PID]],Table3[[#All],[PID]],0)))</f>
        <v>$65k</v>
      </c>
      <c r="T638" s="62">
        <f>IF($C638="B",INDEX(Batters[[#All],[Rnk]],MATCH(Table5[[#This Row],[PID]],Batters[[#All],[PID]],0)),INDEX(Table3[[#All],[Rnk]],MATCH(Table5[[#This Row],[PID]],Table3[[#All],[PID]],0)))</f>
        <v>930</v>
      </c>
      <c r="U638" s="67">
        <f>IF($C638="B",VLOOKUP($A638,Bat!$A$4:$BA$1314,47,FALSE),VLOOKUP($A638,Pit!$A$4:$BF$1214,56,FALSE))</f>
        <v>337</v>
      </c>
      <c r="V638" s="50">
        <f>IF($C638="B",VLOOKUP($A638,Bat!$A$4:$BA$1314,48,FALSE),VLOOKUP($A638,Pit!$A$4:$BF$1214,57,FALSE))</f>
        <v>0</v>
      </c>
      <c r="W638" s="68">
        <f>IF(Table5[[#This Row],[posRnk]]=999,9999,Table5[[#This Row],[posRnk]]+Table5[[#This Row],[zRnk]]+IF($W$3&lt;&gt;Table5[[#This Row],[Type]],50,0))</f>
        <v>1559</v>
      </c>
      <c r="X638" s="51">
        <f>RANK(Table5[[#This Row],[zScore]],Table5[[#All],[zScore]])</f>
        <v>629</v>
      </c>
      <c r="Y638" s="50" t="str">
        <f>IFERROR(INDEX(DraftResults[[#All],[OVR]],MATCH(Table5[[#This Row],[PID]],DraftResults[[#All],[Player ID]],0)),"")</f>
        <v/>
      </c>
      <c r="Z638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/>
      </c>
      <c r="AA638" s="50" t="str">
        <f>IFERROR(INDEX(DraftResults[[#All],[Pick in Round]],MATCH(Table5[[#This Row],[PID]],DraftResults[[#All],[Player ID]],0)),"")</f>
        <v/>
      </c>
      <c r="AB638" s="50" t="str">
        <f>IFERROR(INDEX(DraftResults[[#All],[Team Name]],MATCH(Table5[[#This Row],[PID]],DraftResults[[#All],[Player ID]],0)),"")</f>
        <v/>
      </c>
      <c r="AC638" s="50" t="str">
        <f>IF(Table5[[#This Row],[Ovr]]="","",IF(Table5[[#This Row],[cmbList]]="","",Table5[[#This Row],[cmbList]]-Table5[[#This Row],[Ovr]]))</f>
        <v/>
      </c>
      <c r="AD638" s="54" t="str">
        <f>IF(ISERROR(VLOOKUP($AB638&amp;"-"&amp;$E638&amp;" "&amp;F638,Bonuses!$B$1:$G$1006,4,FALSE)),"",INT(VLOOKUP($AB638&amp;"-"&amp;$E638&amp;" "&amp;$F638,Bonuses!$B$1:$G$1006,4,FALSE)))</f>
        <v/>
      </c>
      <c r="AE638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/>
      </c>
    </row>
    <row r="639" spans="1:31" s="50" customFormat="1" x14ac:dyDescent="0.3">
      <c r="A639" s="50">
        <v>12201</v>
      </c>
      <c r="B639" s="50">
        <f>COUNTIF(Table5[PID],A639)</f>
        <v>1</v>
      </c>
      <c r="C639" s="50" t="str">
        <f>IF(COUNTIF(Table3[[#All],[PID]],A639)&gt;0,"P","B")</f>
        <v>P</v>
      </c>
      <c r="D639" s="59" t="str">
        <f>IF($C639="B",INDEX(Batters[[#All],[POS]],MATCH(Table5[[#This Row],[PID]],Batters[[#All],[PID]],0)),INDEX(Table3[[#All],[POS]],MATCH(Table5[[#This Row],[PID]],Table3[[#All],[PID]],0)))</f>
        <v>RP</v>
      </c>
      <c r="E639" s="52" t="str">
        <f>IF($C639="B",INDEX(Batters[[#All],[First]],MATCH(Table5[[#This Row],[PID]],Batters[[#All],[PID]],0)),INDEX(Table3[[#All],[First]],MATCH(Table5[[#This Row],[PID]],Table3[[#All],[PID]],0)))</f>
        <v>Hisamitsu</v>
      </c>
      <c r="F639" s="50" t="str">
        <f>IF($C639="B",INDEX(Batters[[#All],[Last]],MATCH(A639,Batters[[#All],[PID]],0)),INDEX(Table3[[#All],[Last]],MATCH(A639,Table3[[#All],[PID]],0)))</f>
        <v>Ishii</v>
      </c>
      <c r="G639" s="56">
        <f>IF($C639="B",INDEX(Batters[[#All],[Age]],MATCH(Table5[[#This Row],[PID]],Batters[[#All],[PID]],0)),INDEX(Table3[[#All],[Age]],MATCH(Table5[[#This Row],[PID]],Table3[[#All],[PID]],0)))</f>
        <v>21</v>
      </c>
      <c r="H639" s="52" t="str">
        <f>IF($C639="B",INDEX(Batters[[#All],[B]],MATCH(Table5[[#This Row],[PID]],Batters[[#All],[PID]],0)),INDEX(Table3[[#All],[B]],MATCH(Table5[[#This Row],[PID]],Table3[[#All],[PID]],0)))</f>
        <v>L</v>
      </c>
      <c r="I639" s="52" t="str">
        <f>IF($C639="B",INDEX(Batters[[#All],[T]],MATCH(Table5[[#This Row],[PID]],Batters[[#All],[PID]],0)),INDEX(Table3[[#All],[T]],MATCH(Table5[[#This Row],[PID]],Table3[[#All],[PID]],0)))</f>
        <v>L</v>
      </c>
      <c r="J639" s="52" t="str">
        <f>IF($C639="B",INDEX(Batters[[#All],[WE]],MATCH(Table5[[#This Row],[PID]],Batters[[#All],[PID]],0)),INDEX(Table3[[#All],[WE]],MATCH(Table5[[#This Row],[PID]],Table3[[#All],[PID]],0)))</f>
        <v>Low</v>
      </c>
      <c r="K639" s="52" t="str">
        <f>IF($C639="B",INDEX(Batters[[#All],[INT]],MATCH(Table5[[#This Row],[PID]],Batters[[#All],[PID]],0)),INDEX(Table3[[#All],[INT]],MATCH(Table5[[#This Row],[PID]],Table3[[#All],[PID]],0)))</f>
        <v>High</v>
      </c>
      <c r="L639" s="60">
        <f>IF($C639="B",INDEX(Batters[[#All],[CON P]],MATCH(Table5[[#This Row],[PID]],Batters[[#All],[PID]],0)),INDEX(Table3[[#All],[STU P]],MATCH(Table5[[#This Row],[PID]],Table3[[#All],[PID]],0)))</f>
        <v>4</v>
      </c>
      <c r="M639" s="56">
        <f>IF($C639="B",INDEX(Batters[[#All],[GAP P]],MATCH(Table5[[#This Row],[PID]],Batters[[#All],[PID]],0)),INDEX(Table3[[#All],[MOV P]],MATCH(Table5[[#This Row],[PID]],Table3[[#All],[PID]],0)))</f>
        <v>1</v>
      </c>
      <c r="N639" s="56">
        <f>IF($C639="B",INDEX(Batters[[#All],[POW P]],MATCH(Table5[[#This Row],[PID]],Batters[[#All],[PID]],0)),INDEX(Table3[[#All],[CON P]],MATCH(Table5[[#This Row],[PID]],Table3[[#All],[PID]],0)))</f>
        <v>4</v>
      </c>
      <c r="O639" s="56" t="str">
        <f>IF($C639="B",INDEX(Batters[[#All],[EYE P]],MATCH(Table5[[#This Row],[PID]],Batters[[#All],[PID]],0)),INDEX(Table3[[#All],[VELO]],MATCH(Table5[[#This Row],[PID]],Table3[[#All],[PID]],0)))</f>
        <v>88-90 Mph</v>
      </c>
      <c r="P639" s="56">
        <f>IF($C639="B",INDEX(Batters[[#All],[K P]],MATCH(Table5[[#This Row],[PID]],Batters[[#All],[PID]],0)),INDEX(Table3[[#All],[STM]],MATCH(Table5[[#This Row],[PID]],Table3[[#All],[PID]],0)))</f>
        <v>4</v>
      </c>
      <c r="Q639" s="61">
        <f>IF($C639="B",INDEX(Batters[[#All],[Tot]],MATCH(Table5[[#This Row],[PID]],Batters[[#All],[PID]],0)),INDEX(Table3[[#All],[Tot]],MATCH(Table5[[#This Row],[PID]],Table3[[#All],[PID]],0)))</f>
        <v>29.228127758720362</v>
      </c>
      <c r="R639" s="52">
        <f>IF($C639="B",INDEX(Batters[[#All],[zScore]],MATCH(Table5[[#This Row],[PID]],Batters[[#All],[PID]],0)),INDEX(Table3[[#All],[zScore]],MATCH(Table5[[#This Row],[PID]],Table3[[#All],[PID]],0)))</f>
        <v>-0.61056148705893887</v>
      </c>
      <c r="S639" s="58" t="str">
        <f>IF($C639="B",INDEX(Batters[[#All],[DEM]],MATCH(Table5[[#This Row],[PID]],Batters[[#All],[PID]],0)),INDEX(Table3[[#All],[DEM]],MATCH(Table5[[#This Row],[PID]],Table3[[#All],[PID]],0)))</f>
        <v>$20k</v>
      </c>
      <c r="T639" s="62">
        <f>IF($C639="B",INDEX(Batters[[#All],[Rnk]],MATCH(Table5[[#This Row],[PID]],Batters[[#All],[PID]],0)),INDEX(Table3[[#All],[Rnk]],MATCH(Table5[[#This Row],[PID]],Table3[[#All],[PID]],0)))</f>
        <v>930</v>
      </c>
      <c r="U639" s="67">
        <f>IF($C639="B",VLOOKUP($A639,Bat!$A$4:$BA$1314,47,FALSE),VLOOKUP($A639,Pit!$A$4:$BF$1214,56,FALSE))</f>
        <v>331</v>
      </c>
      <c r="V639" s="50">
        <f>IF($C639="B",VLOOKUP($A639,Bat!$A$4:$BA$1314,48,FALSE),VLOOKUP($A639,Pit!$A$4:$BF$1214,57,FALSE))</f>
        <v>0</v>
      </c>
      <c r="W639" s="68">
        <f>IF(Table5[[#This Row],[posRnk]]=999,9999,Table5[[#This Row],[posRnk]]+Table5[[#This Row],[zRnk]]+IF($W$3&lt;&gt;Table5[[#This Row],[Type]],50,0))</f>
        <v>1560</v>
      </c>
      <c r="X639" s="51">
        <f>RANK(Table5[[#This Row],[zScore]],Table5[[#All],[zScore]])</f>
        <v>630</v>
      </c>
      <c r="Y639" s="50" t="str">
        <f>IFERROR(INDEX(DraftResults[[#All],[OVR]],MATCH(Table5[[#This Row],[PID]],DraftResults[[#All],[Player ID]],0)),"")</f>
        <v/>
      </c>
      <c r="Z639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/>
      </c>
      <c r="AA639" s="50" t="str">
        <f>IFERROR(INDEX(DraftResults[[#All],[Pick in Round]],MATCH(Table5[[#This Row],[PID]],DraftResults[[#All],[Player ID]],0)),"")</f>
        <v/>
      </c>
      <c r="AB639" s="50" t="str">
        <f>IFERROR(INDEX(DraftResults[[#All],[Team Name]],MATCH(Table5[[#This Row],[PID]],DraftResults[[#All],[Player ID]],0)),"")</f>
        <v/>
      </c>
      <c r="AC639" s="50" t="str">
        <f>IF(Table5[[#This Row],[Ovr]]="","",IF(Table5[[#This Row],[cmbList]]="","",Table5[[#This Row],[cmbList]]-Table5[[#This Row],[Ovr]]))</f>
        <v/>
      </c>
      <c r="AD639" s="54" t="str">
        <f>IF(ISERROR(VLOOKUP($AB639&amp;"-"&amp;$E639&amp;" "&amp;F639,Bonuses!$B$1:$G$1006,4,FALSE)),"",INT(VLOOKUP($AB639&amp;"-"&amp;$E639&amp;" "&amp;$F639,Bonuses!$B$1:$G$1006,4,FALSE)))</f>
        <v/>
      </c>
      <c r="AE639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/>
      </c>
    </row>
    <row r="640" spans="1:31" s="50" customFormat="1" x14ac:dyDescent="0.3">
      <c r="A640" s="50">
        <v>7376</v>
      </c>
      <c r="B640" s="50">
        <f>COUNTIF(Table5[PID],A640)</f>
        <v>1</v>
      </c>
      <c r="C640" s="50" t="str">
        <f>IF(COUNTIF(Table3[[#All],[PID]],A640)&gt;0,"P","B")</f>
        <v>P</v>
      </c>
      <c r="D640" s="59" t="str">
        <f>IF($C640="B",INDEX(Batters[[#All],[POS]],MATCH(Table5[[#This Row],[PID]],Batters[[#All],[PID]],0)),INDEX(Table3[[#All],[POS]],MATCH(Table5[[#This Row],[PID]],Table3[[#All],[PID]],0)))</f>
        <v>RP</v>
      </c>
      <c r="E640" s="52" t="str">
        <f>IF($C640="B",INDEX(Batters[[#All],[First]],MATCH(Table5[[#This Row],[PID]],Batters[[#All],[PID]],0)),INDEX(Table3[[#All],[First]],MATCH(Table5[[#This Row],[PID]],Table3[[#All],[PID]],0)))</f>
        <v>Tyrone</v>
      </c>
      <c r="F640" s="50" t="str">
        <f>IF($C640="B",INDEX(Batters[[#All],[Last]],MATCH(A640,Batters[[#All],[PID]],0)),INDEX(Table3[[#All],[Last]],MATCH(A640,Table3[[#All],[PID]],0)))</f>
        <v>Barton</v>
      </c>
      <c r="G640" s="56">
        <f>IF($C640="B",INDEX(Batters[[#All],[Age]],MATCH(Table5[[#This Row],[PID]],Batters[[#All],[PID]],0)),INDEX(Table3[[#All],[Age]],MATCH(Table5[[#This Row],[PID]],Table3[[#All],[PID]],0)))</f>
        <v>21</v>
      </c>
      <c r="H640" s="52" t="str">
        <f>IF($C640="B",INDEX(Batters[[#All],[B]],MATCH(Table5[[#This Row],[PID]],Batters[[#All],[PID]],0)),INDEX(Table3[[#All],[B]],MATCH(Table5[[#This Row],[PID]],Table3[[#All],[PID]],0)))</f>
        <v>R</v>
      </c>
      <c r="I640" s="52" t="str">
        <f>IF($C640="B",INDEX(Batters[[#All],[T]],MATCH(Table5[[#This Row],[PID]],Batters[[#All],[PID]],0)),INDEX(Table3[[#All],[T]],MATCH(Table5[[#This Row],[PID]],Table3[[#All],[PID]],0)))</f>
        <v>R</v>
      </c>
      <c r="J640" s="52" t="str">
        <f>IF($C640="B",INDEX(Batters[[#All],[WE]],MATCH(Table5[[#This Row],[PID]],Batters[[#All],[PID]],0)),INDEX(Table3[[#All],[WE]],MATCH(Table5[[#This Row],[PID]],Table3[[#All],[PID]],0)))</f>
        <v>Normal</v>
      </c>
      <c r="K640" s="52" t="str">
        <f>IF($C640="B",INDEX(Batters[[#All],[INT]],MATCH(Table5[[#This Row],[PID]],Batters[[#All],[PID]],0)),INDEX(Table3[[#All],[INT]],MATCH(Table5[[#This Row],[PID]],Table3[[#All],[PID]],0)))</f>
        <v>Normal</v>
      </c>
      <c r="L640" s="60">
        <f>IF($C640="B",INDEX(Batters[[#All],[CON P]],MATCH(Table5[[#This Row],[PID]],Batters[[#All],[PID]],0)),INDEX(Table3[[#All],[STU P]],MATCH(Table5[[#This Row],[PID]],Table3[[#All],[PID]],0)))</f>
        <v>4</v>
      </c>
      <c r="M640" s="56">
        <f>IF($C640="B",INDEX(Batters[[#All],[GAP P]],MATCH(Table5[[#This Row],[PID]],Batters[[#All],[PID]],0)),INDEX(Table3[[#All],[MOV P]],MATCH(Table5[[#This Row],[PID]],Table3[[#All],[PID]],0)))</f>
        <v>2</v>
      </c>
      <c r="N640" s="56">
        <f>IF($C640="B",INDEX(Batters[[#All],[POW P]],MATCH(Table5[[#This Row],[PID]],Batters[[#All],[PID]],0)),INDEX(Table3[[#All],[CON P]],MATCH(Table5[[#This Row],[PID]],Table3[[#All],[PID]],0)))</f>
        <v>3</v>
      </c>
      <c r="O640" s="56" t="str">
        <f>IF($C640="B",INDEX(Batters[[#All],[EYE P]],MATCH(Table5[[#This Row],[PID]],Batters[[#All],[PID]],0)),INDEX(Table3[[#All],[VELO]],MATCH(Table5[[#This Row],[PID]],Table3[[#All],[PID]],0)))</f>
        <v>94-96 Mph</v>
      </c>
      <c r="P640" s="56">
        <f>IF($C640="B",INDEX(Batters[[#All],[K P]],MATCH(Table5[[#This Row],[PID]],Batters[[#All],[PID]],0)),INDEX(Table3[[#All],[STM]],MATCH(Table5[[#This Row],[PID]],Table3[[#All],[PID]],0)))</f>
        <v>6</v>
      </c>
      <c r="Q640" s="61">
        <f>IF($C640="B",INDEX(Batters[[#All],[Tot]],MATCH(Table5[[#This Row],[PID]],Batters[[#All],[PID]],0)),INDEX(Table3[[#All],[Tot]],MATCH(Table5[[#This Row],[PID]],Table3[[#All],[PID]],0)))</f>
        <v>28.299971662390256</v>
      </c>
      <c r="R640" s="52">
        <f>IF($C640="B",INDEX(Batters[[#All],[zScore]],MATCH(Table5[[#This Row],[PID]],Batters[[#All],[PID]],0)),INDEX(Table3[[#All],[zScore]],MATCH(Table5[[#This Row],[PID]],Table3[[#All],[PID]],0)))</f>
        <v>-0.67665272872156934</v>
      </c>
      <c r="S640" s="58" t="str">
        <f>IF($C640="B",INDEX(Batters[[#All],[DEM]],MATCH(Table5[[#This Row],[PID]],Batters[[#All],[PID]],0)),INDEX(Table3[[#All],[DEM]],MATCH(Table5[[#This Row],[PID]],Table3[[#All],[PID]],0)))</f>
        <v>$20k</v>
      </c>
      <c r="T640" s="62">
        <f>IF($C640="B",INDEX(Batters[[#All],[Rnk]],MATCH(Table5[[#This Row],[PID]],Batters[[#All],[PID]],0)),INDEX(Table3[[#All],[Rnk]],MATCH(Table5[[#This Row],[PID]],Table3[[#All],[PID]],0)))</f>
        <v>900</v>
      </c>
      <c r="U640" s="67">
        <f>IF($C640="B",VLOOKUP($A640,Bat!$A$4:$BA$1314,47,FALSE),VLOOKUP($A640,Pit!$A$4:$BF$1214,56,FALSE))</f>
        <v>221</v>
      </c>
      <c r="V640" s="50">
        <f>IF($C640="B",VLOOKUP($A640,Bat!$A$4:$BA$1314,48,FALSE),VLOOKUP($A640,Pit!$A$4:$BF$1214,57,FALSE))</f>
        <v>0</v>
      </c>
      <c r="W640" s="68">
        <f>IF(Table5[[#This Row],[posRnk]]=999,9999,Table5[[#This Row],[posRnk]]+Table5[[#This Row],[zRnk]]+IF($W$3&lt;&gt;Table5[[#This Row],[Type]],50,0))</f>
        <v>1562</v>
      </c>
      <c r="X640" s="51">
        <f>RANK(Table5[[#This Row],[zScore]],Table5[[#All],[zScore]])</f>
        <v>662</v>
      </c>
      <c r="Y640" s="50">
        <f>IFERROR(INDEX(DraftResults[[#All],[OVR]],MATCH(Table5[[#This Row],[PID]],DraftResults[[#All],[Player ID]],0)),"")</f>
        <v>550</v>
      </c>
      <c r="Z640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17</v>
      </c>
      <c r="AA640" s="50">
        <f>IFERROR(INDEX(DraftResults[[#All],[Pick in Round]],MATCH(Table5[[#This Row],[PID]],DraftResults[[#All],[Player ID]],0)),"")</f>
        <v>15</v>
      </c>
      <c r="AB640" s="50" t="str">
        <f>IFERROR(INDEX(DraftResults[[#All],[Team Name]],MATCH(Table5[[#This Row],[PID]],DraftResults[[#All],[Player ID]],0)),"")</f>
        <v>Niihama-shi Ghosts</v>
      </c>
      <c r="AC640" s="50">
        <f>IF(Table5[[#This Row],[Ovr]]="","",IF(Table5[[#This Row],[cmbList]]="","",Table5[[#This Row],[cmbList]]-Table5[[#This Row],[Ovr]]))</f>
        <v>1012</v>
      </c>
      <c r="AD640" s="54" t="str">
        <f>IF(ISERROR(VLOOKUP($AB640&amp;"-"&amp;$E640&amp;" "&amp;F640,Bonuses!$B$1:$G$1006,4,FALSE)),"",INT(VLOOKUP($AB640&amp;"-"&amp;$E640&amp;" "&amp;$F640,Bonuses!$B$1:$G$1006,4,FALSE)))</f>
        <v/>
      </c>
      <c r="AE640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17.15 (550) - RP Tyrone Barton</v>
      </c>
    </row>
    <row r="641" spans="1:31" s="50" customFormat="1" x14ac:dyDescent="0.3">
      <c r="A641" s="50">
        <v>10943</v>
      </c>
      <c r="B641" s="50">
        <f>COUNTIF(Table5[PID],A641)</f>
        <v>1</v>
      </c>
      <c r="C641" s="50" t="str">
        <f>IF(COUNTIF(Table3[[#All],[PID]],A641)&gt;0,"P","B")</f>
        <v>P</v>
      </c>
      <c r="D641" s="59" t="str">
        <f>IF($C641="B",INDEX(Batters[[#All],[POS]],MATCH(Table5[[#This Row],[PID]],Batters[[#All],[PID]],0)),INDEX(Table3[[#All],[POS]],MATCH(Table5[[#This Row],[PID]],Table3[[#All],[PID]],0)))</f>
        <v>RP</v>
      </c>
      <c r="E641" s="52" t="str">
        <f>IF($C641="B",INDEX(Batters[[#All],[First]],MATCH(Table5[[#This Row],[PID]],Batters[[#All],[PID]],0)),INDEX(Table3[[#All],[First]],MATCH(Table5[[#This Row],[PID]],Table3[[#All],[PID]],0)))</f>
        <v>Trevor</v>
      </c>
      <c r="F641" s="50" t="str">
        <f>IF($C641="B",INDEX(Batters[[#All],[Last]],MATCH(A641,Batters[[#All],[PID]],0)),INDEX(Table3[[#All],[Last]],MATCH(A641,Table3[[#All],[PID]],0)))</f>
        <v>van Egmond</v>
      </c>
      <c r="G641" s="56">
        <f>IF($C641="B",INDEX(Batters[[#All],[Age]],MATCH(Table5[[#This Row],[PID]],Batters[[#All],[PID]],0)),INDEX(Table3[[#All],[Age]],MATCH(Table5[[#This Row],[PID]],Table3[[#All],[PID]],0)))</f>
        <v>21</v>
      </c>
      <c r="H641" s="52" t="str">
        <f>IF($C641="B",INDEX(Batters[[#All],[B]],MATCH(Table5[[#This Row],[PID]],Batters[[#All],[PID]],0)),INDEX(Table3[[#All],[B]],MATCH(Table5[[#This Row],[PID]],Table3[[#All],[PID]],0)))</f>
        <v>L</v>
      </c>
      <c r="I641" s="52" t="str">
        <f>IF($C641="B",INDEX(Batters[[#All],[T]],MATCH(Table5[[#This Row],[PID]],Batters[[#All],[PID]],0)),INDEX(Table3[[#All],[T]],MATCH(Table5[[#This Row],[PID]],Table3[[#All],[PID]],0)))</f>
        <v>R</v>
      </c>
      <c r="J641" s="52" t="str">
        <f>IF($C641="B",INDEX(Batters[[#All],[WE]],MATCH(Table5[[#This Row],[PID]],Batters[[#All],[PID]],0)),INDEX(Table3[[#All],[WE]],MATCH(Table5[[#This Row],[PID]],Table3[[#All],[PID]],0)))</f>
        <v>Normal</v>
      </c>
      <c r="K641" s="52" t="str">
        <f>IF($C641="B",INDEX(Batters[[#All],[INT]],MATCH(Table5[[#This Row],[PID]],Batters[[#All],[PID]],0)),INDEX(Table3[[#All],[INT]],MATCH(Table5[[#This Row],[PID]],Table3[[#All],[PID]],0)))</f>
        <v>Normal</v>
      </c>
      <c r="L641" s="60">
        <f>IF($C641="B",INDEX(Batters[[#All],[CON P]],MATCH(Table5[[#This Row],[PID]],Batters[[#All],[PID]],0)),INDEX(Table3[[#All],[STU P]],MATCH(Table5[[#This Row],[PID]],Table3[[#All],[PID]],0)))</f>
        <v>4</v>
      </c>
      <c r="M641" s="56">
        <f>IF($C641="B",INDEX(Batters[[#All],[GAP P]],MATCH(Table5[[#This Row],[PID]],Batters[[#All],[PID]],0)),INDEX(Table3[[#All],[MOV P]],MATCH(Table5[[#This Row],[PID]],Table3[[#All],[PID]],0)))</f>
        <v>2</v>
      </c>
      <c r="N641" s="56">
        <f>IF($C641="B",INDEX(Batters[[#All],[POW P]],MATCH(Table5[[#This Row],[PID]],Batters[[#All],[PID]],0)),INDEX(Table3[[#All],[CON P]],MATCH(Table5[[#This Row],[PID]],Table3[[#All],[PID]],0)))</f>
        <v>3</v>
      </c>
      <c r="O641" s="56" t="str">
        <f>IF($C641="B",INDEX(Batters[[#All],[EYE P]],MATCH(Table5[[#This Row],[PID]],Batters[[#All],[PID]],0)),INDEX(Table3[[#All],[VELO]],MATCH(Table5[[#This Row],[PID]],Table3[[#All],[PID]],0)))</f>
        <v>87-89 Mph</v>
      </c>
      <c r="P641" s="56">
        <f>IF($C641="B",INDEX(Batters[[#All],[K P]],MATCH(Table5[[#This Row],[PID]],Batters[[#All],[PID]],0)),INDEX(Table3[[#All],[STM]],MATCH(Table5[[#This Row],[PID]],Table3[[#All],[PID]],0)))</f>
        <v>7</v>
      </c>
      <c r="Q641" s="61">
        <f>IF($C641="B",INDEX(Batters[[#All],[Tot]],MATCH(Table5[[#This Row],[PID]],Batters[[#All],[PID]],0)),INDEX(Table3[[#All],[Tot]],MATCH(Table5[[#This Row],[PID]],Table3[[#All],[PID]],0)))</f>
        <v>28.249338570510552</v>
      </c>
      <c r="R641" s="52">
        <f>IF($C641="B",INDEX(Batters[[#All],[zScore]],MATCH(Table5[[#This Row],[PID]],Batters[[#All],[PID]],0)),INDEX(Table3[[#All],[zScore]],MATCH(Table5[[#This Row],[PID]],Table3[[#All],[PID]],0)))</f>
        <v>-0.68025816095950786</v>
      </c>
      <c r="S641" s="58" t="str">
        <f>IF($C641="B",INDEX(Batters[[#All],[DEM]],MATCH(Table5[[#This Row],[PID]],Batters[[#All],[PID]],0)),INDEX(Table3[[#All],[DEM]],MATCH(Table5[[#This Row],[PID]],Table3[[#All],[PID]],0)))</f>
        <v>-</v>
      </c>
      <c r="T641" s="62">
        <f>IF($C641="B",INDEX(Batters[[#All],[Rnk]],MATCH(Table5[[#This Row],[PID]],Batters[[#All],[PID]],0)),INDEX(Table3[[#All],[Rnk]],MATCH(Table5[[#This Row],[PID]],Table3[[#All],[PID]],0)))</f>
        <v>900</v>
      </c>
      <c r="U641" s="67">
        <f>IF($C641="B",VLOOKUP($A641,Bat!$A$4:$BA$1314,47,FALSE),VLOOKUP($A641,Pit!$A$4:$BF$1214,56,FALSE))</f>
        <v>222</v>
      </c>
      <c r="V641" s="50">
        <f>IF($C641="B",VLOOKUP($A641,Bat!$A$4:$BA$1314,48,FALSE),VLOOKUP($A641,Pit!$A$4:$BF$1214,57,FALSE))</f>
        <v>0</v>
      </c>
      <c r="W641" s="68">
        <f>IF(Table5[[#This Row],[posRnk]]=999,9999,Table5[[#This Row],[posRnk]]+Table5[[#This Row],[zRnk]]+IF($W$3&lt;&gt;Table5[[#This Row],[Type]],50,0))</f>
        <v>1563</v>
      </c>
      <c r="X641" s="51">
        <f>RANK(Table5[[#This Row],[zScore]],Table5[[#All],[zScore]])</f>
        <v>663</v>
      </c>
      <c r="Y641" s="50">
        <f>IFERROR(INDEX(DraftResults[[#All],[OVR]],MATCH(Table5[[#This Row],[PID]],DraftResults[[#All],[Player ID]],0)),"")</f>
        <v>640</v>
      </c>
      <c r="Z641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20</v>
      </c>
      <c r="AA641" s="50">
        <f>IFERROR(INDEX(DraftResults[[#All],[Pick in Round]],MATCH(Table5[[#This Row],[PID]],DraftResults[[#All],[Player ID]],0)),"")</f>
        <v>3</v>
      </c>
      <c r="AB641" s="50" t="str">
        <f>IFERROR(INDEX(DraftResults[[#All],[Team Name]],MATCH(Table5[[#This Row],[PID]],DraftResults[[#All],[Player ID]],0)),"")</f>
        <v>Okinawa Shisa</v>
      </c>
      <c r="AC641" s="50">
        <f>IF(Table5[[#This Row],[Ovr]]="","",IF(Table5[[#This Row],[cmbList]]="","",Table5[[#This Row],[cmbList]]-Table5[[#This Row],[Ovr]]))</f>
        <v>923</v>
      </c>
      <c r="AD641" s="54" t="str">
        <f>IF(ISERROR(VLOOKUP($AB641&amp;"-"&amp;$E641&amp;" "&amp;F641,Bonuses!$B$1:$G$1006,4,FALSE)),"",INT(VLOOKUP($AB641&amp;"-"&amp;$E641&amp;" "&amp;$F641,Bonuses!$B$1:$G$1006,4,FALSE)))</f>
        <v/>
      </c>
      <c r="AE641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20.3 (640) - RP Trevor van Egmond</v>
      </c>
    </row>
    <row r="642" spans="1:31" s="50" customFormat="1" x14ac:dyDescent="0.3">
      <c r="A642" s="50">
        <v>9597</v>
      </c>
      <c r="B642" s="50">
        <f>COUNTIF(Table5[PID],A642)</f>
        <v>1</v>
      </c>
      <c r="C642" s="50" t="str">
        <f>IF(COUNTIF(Table3[[#All],[PID]],A642)&gt;0,"P","B")</f>
        <v>B</v>
      </c>
      <c r="D642" s="59" t="str">
        <f>IF($C642="B",INDEX(Batters[[#All],[POS]],MATCH(Table5[[#This Row],[PID]],Batters[[#All],[PID]],0)),INDEX(Table3[[#All],[POS]],MATCH(Table5[[#This Row],[PID]],Table3[[#All],[PID]],0)))</f>
        <v>C</v>
      </c>
      <c r="E642" s="52" t="str">
        <f>IF($C642="B",INDEX(Batters[[#All],[First]],MATCH(Table5[[#This Row],[PID]],Batters[[#All],[PID]],0)),INDEX(Table3[[#All],[First]],MATCH(Table5[[#This Row],[PID]],Table3[[#All],[PID]],0)))</f>
        <v>Juan Jose</v>
      </c>
      <c r="F642" s="50" t="str">
        <f>IF($C642="B",INDEX(Batters[[#All],[Last]],MATCH(A642,Batters[[#All],[PID]],0)),INDEX(Table3[[#All],[Last]],MATCH(A642,Table3[[#All],[PID]],0)))</f>
        <v>Hinojosa</v>
      </c>
      <c r="G642" s="56">
        <f>IF($C642="B",INDEX(Batters[[#All],[Age]],MATCH(Table5[[#This Row],[PID]],Batters[[#All],[PID]],0)),INDEX(Table3[[#All],[Age]],MATCH(Table5[[#This Row],[PID]],Table3[[#All],[PID]],0)))</f>
        <v>21</v>
      </c>
      <c r="H642" s="52" t="str">
        <f>IF($C642="B",INDEX(Batters[[#All],[B]],MATCH(Table5[[#This Row],[PID]],Batters[[#All],[PID]],0)),INDEX(Table3[[#All],[B]],MATCH(Table5[[#This Row],[PID]],Table3[[#All],[PID]],0)))</f>
        <v>R</v>
      </c>
      <c r="I642" s="52" t="str">
        <f>IF($C642="B",INDEX(Batters[[#All],[T]],MATCH(Table5[[#This Row],[PID]],Batters[[#All],[PID]],0)),INDEX(Table3[[#All],[T]],MATCH(Table5[[#This Row],[PID]],Table3[[#All],[PID]],0)))</f>
        <v>R</v>
      </c>
      <c r="J642" s="52" t="str">
        <f>IF($C642="B",INDEX(Batters[[#All],[WE]],MATCH(Table5[[#This Row],[PID]],Batters[[#All],[PID]],0)),INDEX(Table3[[#All],[WE]],MATCH(Table5[[#This Row],[PID]],Table3[[#All],[PID]],0)))</f>
        <v>Low</v>
      </c>
      <c r="K642" s="52" t="str">
        <f>IF($C642="B",INDEX(Batters[[#All],[INT]],MATCH(Table5[[#This Row],[PID]],Batters[[#All],[PID]],0)),INDEX(Table3[[#All],[INT]],MATCH(Table5[[#This Row],[PID]],Table3[[#All],[PID]],0)))</f>
        <v>Normal</v>
      </c>
      <c r="L642" s="60">
        <f>IF($C642="B",INDEX(Batters[[#All],[CON P]],MATCH(Table5[[#This Row],[PID]],Batters[[#All],[PID]],0)),INDEX(Table3[[#All],[STU P]],MATCH(Table5[[#This Row],[PID]],Table3[[#All],[PID]],0)))</f>
        <v>3</v>
      </c>
      <c r="M642" s="56">
        <f>IF($C642="B",INDEX(Batters[[#All],[GAP P]],MATCH(Table5[[#This Row],[PID]],Batters[[#All],[PID]],0)),INDEX(Table3[[#All],[MOV P]],MATCH(Table5[[#This Row],[PID]],Table3[[#All],[PID]],0)))</f>
        <v>5</v>
      </c>
      <c r="N642" s="56">
        <f>IF($C642="B",INDEX(Batters[[#All],[POW P]],MATCH(Table5[[#This Row],[PID]],Batters[[#All],[PID]],0)),INDEX(Table3[[#All],[CON P]],MATCH(Table5[[#This Row],[PID]],Table3[[#All],[PID]],0)))</f>
        <v>4</v>
      </c>
      <c r="O642" s="56">
        <f>IF($C642="B",INDEX(Batters[[#All],[EYE P]],MATCH(Table5[[#This Row],[PID]],Batters[[#All],[PID]],0)),INDEX(Table3[[#All],[VELO]],MATCH(Table5[[#This Row],[PID]],Table3[[#All],[PID]],0)))</f>
        <v>6</v>
      </c>
      <c r="P642" s="56">
        <f>IF($C642="B",INDEX(Batters[[#All],[K P]],MATCH(Table5[[#This Row],[PID]],Batters[[#All],[PID]],0)),INDEX(Table3[[#All],[STM]],MATCH(Table5[[#This Row],[PID]],Table3[[#All],[PID]],0)))</f>
        <v>3</v>
      </c>
      <c r="Q642" s="61">
        <f>IF($C642="B",INDEX(Batters[[#All],[Tot]],MATCH(Table5[[#This Row],[PID]],Batters[[#All],[PID]],0)),INDEX(Table3[[#All],[Tot]],MATCH(Table5[[#This Row],[PID]],Table3[[#All],[PID]],0)))</f>
        <v>38.903469850463182</v>
      </c>
      <c r="R642" s="52">
        <f>IF($C642="B",INDEX(Batters[[#All],[zScore]],MATCH(Table5[[#This Row],[PID]],Batters[[#All],[PID]],0)),INDEX(Table3[[#All],[zScore]],MATCH(Table5[[#This Row],[PID]],Table3[[#All],[PID]],0)))</f>
        <v>-0.61261680136171837</v>
      </c>
      <c r="S642" s="58" t="str">
        <f>IF($C642="B",INDEX(Batters[[#All],[DEM]],MATCH(Table5[[#This Row],[PID]],Batters[[#All],[PID]],0)),INDEX(Table3[[#All],[DEM]],MATCH(Table5[[#This Row],[PID]],Table3[[#All],[PID]],0)))</f>
        <v>$100k</v>
      </c>
      <c r="T642" s="62">
        <f>IF($C642="B",INDEX(Batters[[#All],[Rnk]],MATCH(Table5[[#This Row],[PID]],Batters[[#All],[PID]],0)),INDEX(Table3[[#All],[Rnk]],MATCH(Table5[[#This Row],[PID]],Table3[[#All],[PID]],0)))</f>
        <v>930</v>
      </c>
      <c r="U642" s="67">
        <f>IF($C642="B",VLOOKUP($A642,Bat!$A$4:$BA$1314,47,FALSE),VLOOKUP($A642,Pit!$A$4:$BF$1214,56,FALSE))</f>
        <v>354</v>
      </c>
      <c r="V642" s="50">
        <f>IF($C642="B",VLOOKUP($A642,Bat!$A$4:$BA$1314,48,FALSE),VLOOKUP($A642,Pit!$A$4:$BF$1214,57,FALSE))</f>
        <v>0</v>
      </c>
      <c r="W642" s="68">
        <f>IF(Table5[[#This Row],[posRnk]]=999,9999,Table5[[#This Row],[posRnk]]+Table5[[#This Row],[zRnk]]+IF($W$3&lt;&gt;Table5[[#This Row],[Type]],50,0))</f>
        <v>1613</v>
      </c>
      <c r="X642" s="51">
        <f>RANK(Table5[[#This Row],[zScore]],Table5[[#All],[zScore]])</f>
        <v>633</v>
      </c>
      <c r="Y642" s="50" t="str">
        <f>IFERROR(INDEX(DraftResults[[#All],[OVR]],MATCH(Table5[[#This Row],[PID]],DraftResults[[#All],[Player ID]],0)),"")</f>
        <v/>
      </c>
      <c r="Z642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/>
      </c>
      <c r="AA642" s="50" t="str">
        <f>IFERROR(INDEX(DraftResults[[#All],[Pick in Round]],MATCH(Table5[[#This Row],[PID]],DraftResults[[#All],[Player ID]],0)),"")</f>
        <v/>
      </c>
      <c r="AB642" s="50" t="str">
        <f>IFERROR(INDEX(DraftResults[[#All],[Team Name]],MATCH(Table5[[#This Row],[PID]],DraftResults[[#All],[Player ID]],0)),"")</f>
        <v/>
      </c>
      <c r="AC642" s="50" t="str">
        <f>IF(Table5[[#This Row],[Ovr]]="","",IF(Table5[[#This Row],[cmbList]]="","",Table5[[#This Row],[cmbList]]-Table5[[#This Row],[Ovr]]))</f>
        <v/>
      </c>
      <c r="AD642" s="54" t="str">
        <f>IF(ISERROR(VLOOKUP($AB642&amp;"-"&amp;$E642&amp;" "&amp;F642,Bonuses!$B$1:$G$1006,4,FALSE)),"",INT(VLOOKUP($AB642&amp;"-"&amp;$E642&amp;" "&amp;$F642,Bonuses!$B$1:$G$1006,4,FALSE)))</f>
        <v/>
      </c>
      <c r="AE642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/>
      </c>
    </row>
    <row r="643" spans="1:31" s="50" customFormat="1" x14ac:dyDescent="0.3">
      <c r="A643" s="50">
        <v>5262</v>
      </c>
      <c r="B643" s="50">
        <f>COUNTIF(Table5[PID],A643)</f>
        <v>1</v>
      </c>
      <c r="C643" s="50" t="str">
        <f>IF(COUNTIF(Table3[[#All],[PID]],A643)&gt;0,"P","B")</f>
        <v>P</v>
      </c>
      <c r="D643" s="59" t="str">
        <f>IF($C643="B",INDEX(Batters[[#All],[POS]],MATCH(Table5[[#This Row],[PID]],Batters[[#All],[PID]],0)),INDEX(Table3[[#All],[POS]],MATCH(Table5[[#This Row],[PID]],Table3[[#All],[PID]],0)))</f>
        <v>RP</v>
      </c>
      <c r="E643" s="52" t="str">
        <f>IF($C643="B",INDEX(Batters[[#All],[First]],MATCH(Table5[[#This Row],[PID]],Batters[[#All],[PID]],0)),INDEX(Table3[[#All],[First]],MATCH(Table5[[#This Row],[PID]],Table3[[#All],[PID]],0)))</f>
        <v>Octávio</v>
      </c>
      <c r="F643" s="50" t="str">
        <f>IF($C643="B",INDEX(Batters[[#All],[Last]],MATCH(A643,Batters[[#All],[PID]],0)),INDEX(Table3[[#All],[Last]],MATCH(A643,Table3[[#All],[PID]],0)))</f>
        <v>Guerrero</v>
      </c>
      <c r="G643" s="56">
        <f>IF($C643="B",INDEX(Batters[[#All],[Age]],MATCH(Table5[[#This Row],[PID]],Batters[[#All],[PID]],0)),INDEX(Table3[[#All],[Age]],MATCH(Table5[[#This Row],[PID]],Table3[[#All],[PID]],0)))</f>
        <v>21</v>
      </c>
      <c r="H643" s="52" t="str">
        <f>IF($C643="B",INDEX(Batters[[#All],[B]],MATCH(Table5[[#This Row],[PID]],Batters[[#All],[PID]],0)),INDEX(Table3[[#All],[B]],MATCH(Table5[[#This Row],[PID]],Table3[[#All],[PID]],0)))</f>
        <v>L</v>
      </c>
      <c r="I643" s="52" t="str">
        <f>IF($C643="B",INDEX(Batters[[#All],[T]],MATCH(Table5[[#This Row],[PID]],Batters[[#All],[PID]],0)),INDEX(Table3[[#All],[T]],MATCH(Table5[[#This Row],[PID]],Table3[[#All],[PID]],0)))</f>
        <v>L</v>
      </c>
      <c r="J643" s="52" t="str">
        <f>IF($C643="B",INDEX(Batters[[#All],[WE]],MATCH(Table5[[#This Row],[PID]],Batters[[#All],[PID]],0)),INDEX(Table3[[#All],[WE]],MATCH(Table5[[#This Row],[PID]],Table3[[#All],[PID]],0)))</f>
        <v>Low</v>
      </c>
      <c r="K643" s="52" t="str">
        <f>IF($C643="B",INDEX(Batters[[#All],[INT]],MATCH(Table5[[#This Row],[PID]],Batters[[#All],[PID]],0)),INDEX(Table3[[#All],[INT]],MATCH(Table5[[#This Row],[PID]],Table3[[#All],[PID]],0)))</f>
        <v>Normal</v>
      </c>
      <c r="L643" s="60">
        <f>IF($C643="B",INDEX(Batters[[#All],[CON P]],MATCH(Table5[[#This Row],[PID]],Batters[[#All],[PID]],0)),INDEX(Table3[[#All],[STU P]],MATCH(Table5[[#This Row],[PID]],Table3[[#All],[PID]],0)))</f>
        <v>4</v>
      </c>
      <c r="M643" s="56">
        <f>IF($C643="B",INDEX(Batters[[#All],[GAP P]],MATCH(Table5[[#This Row],[PID]],Batters[[#All],[PID]],0)),INDEX(Table3[[#All],[MOV P]],MATCH(Table5[[#This Row],[PID]],Table3[[#All],[PID]],0)))</f>
        <v>1</v>
      </c>
      <c r="N643" s="56">
        <f>IF($C643="B",INDEX(Batters[[#All],[POW P]],MATCH(Table5[[#This Row],[PID]],Batters[[#All],[PID]],0)),INDEX(Table3[[#All],[CON P]],MATCH(Table5[[#This Row],[PID]],Table3[[#All],[PID]],0)))</f>
        <v>4</v>
      </c>
      <c r="O643" s="56" t="str">
        <f>IF($C643="B",INDEX(Batters[[#All],[EYE P]],MATCH(Table5[[#This Row],[PID]],Batters[[#All],[PID]],0)),INDEX(Table3[[#All],[VELO]],MATCH(Table5[[#This Row],[PID]],Table3[[#All],[PID]],0)))</f>
        <v>88-90 Mph</v>
      </c>
      <c r="P643" s="56">
        <f>IF($C643="B",INDEX(Batters[[#All],[K P]],MATCH(Table5[[#This Row],[PID]],Batters[[#All],[PID]],0)),INDEX(Table3[[#All],[STM]],MATCH(Table5[[#This Row],[PID]],Table3[[#All],[PID]],0)))</f>
        <v>6</v>
      </c>
      <c r="Q643" s="61">
        <f>IF($C643="B",INDEX(Batters[[#All],[Tot]],MATCH(Table5[[#This Row],[PID]],Batters[[#All],[PID]],0)),INDEX(Table3[[#All],[Tot]],MATCH(Table5[[#This Row],[PID]],Table3[[#All],[PID]],0)))</f>
        <v>29.09707597883245</v>
      </c>
      <c r="R643" s="52">
        <f>IF($C643="B",INDEX(Batters[[#All],[zScore]],MATCH(Table5[[#This Row],[PID]],Batters[[#All],[PID]],0)),INDEX(Table3[[#All],[zScore]],MATCH(Table5[[#This Row],[PID]],Table3[[#All],[PID]],0)))</f>
        <v>-0.61311176399687217</v>
      </c>
      <c r="S643" s="58" t="str">
        <f>IF($C643="B",INDEX(Batters[[#All],[DEM]],MATCH(Table5[[#This Row],[PID]],Batters[[#All],[PID]],0)),INDEX(Table3[[#All],[DEM]],MATCH(Table5[[#This Row],[PID]],Table3[[#All],[PID]],0)))</f>
        <v>$20k</v>
      </c>
      <c r="T643" s="62">
        <f>IF($C643="B",INDEX(Batters[[#All],[Rnk]],MATCH(Table5[[#This Row],[PID]],Batters[[#All],[PID]],0)),INDEX(Table3[[#All],[Rnk]],MATCH(Table5[[#This Row],[PID]],Table3[[#All],[PID]],0)))</f>
        <v>930</v>
      </c>
      <c r="U643" s="67">
        <f>IF($C643="B",VLOOKUP($A643,Bat!$A$4:$BA$1314,47,FALSE),VLOOKUP($A643,Pit!$A$4:$BF$1214,56,FALSE))</f>
        <v>338</v>
      </c>
      <c r="V643" s="50">
        <f>IF($C643="B",VLOOKUP($A643,Bat!$A$4:$BA$1314,48,FALSE),VLOOKUP($A643,Pit!$A$4:$BF$1214,57,FALSE))</f>
        <v>0</v>
      </c>
      <c r="W643" s="68">
        <f>IF(Table5[[#This Row],[posRnk]]=999,9999,Table5[[#This Row],[posRnk]]+Table5[[#This Row],[zRnk]]+IF($W$3&lt;&gt;Table5[[#This Row],[Type]],50,0))</f>
        <v>1564</v>
      </c>
      <c r="X643" s="51">
        <f>RANK(Table5[[#This Row],[zScore]],Table5[[#All],[zScore]])</f>
        <v>634</v>
      </c>
      <c r="Y643" s="50" t="str">
        <f>IFERROR(INDEX(DraftResults[[#All],[OVR]],MATCH(Table5[[#This Row],[PID]],DraftResults[[#All],[Player ID]],0)),"")</f>
        <v/>
      </c>
      <c r="Z643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/>
      </c>
      <c r="AA643" s="50" t="str">
        <f>IFERROR(INDEX(DraftResults[[#All],[Pick in Round]],MATCH(Table5[[#This Row],[PID]],DraftResults[[#All],[Player ID]],0)),"")</f>
        <v/>
      </c>
      <c r="AB643" s="50" t="str">
        <f>IFERROR(INDEX(DraftResults[[#All],[Team Name]],MATCH(Table5[[#This Row],[PID]],DraftResults[[#All],[Player ID]],0)),"")</f>
        <v/>
      </c>
      <c r="AC643" s="50" t="str">
        <f>IF(Table5[[#This Row],[Ovr]]="","",IF(Table5[[#This Row],[cmbList]]="","",Table5[[#This Row],[cmbList]]-Table5[[#This Row],[Ovr]]))</f>
        <v/>
      </c>
      <c r="AD643" s="54" t="str">
        <f>IF(ISERROR(VLOOKUP($AB643&amp;"-"&amp;$E643&amp;" "&amp;F643,Bonuses!$B$1:$G$1006,4,FALSE)),"",INT(VLOOKUP($AB643&amp;"-"&amp;$E643&amp;" "&amp;$F643,Bonuses!$B$1:$G$1006,4,FALSE)))</f>
        <v/>
      </c>
      <c r="AE643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/>
      </c>
    </row>
    <row r="644" spans="1:31" s="50" customFormat="1" x14ac:dyDescent="0.3">
      <c r="A644" s="50">
        <v>5064</v>
      </c>
      <c r="B644" s="50">
        <f>COUNTIF(Table5[PID],A644)</f>
        <v>1</v>
      </c>
      <c r="C644" s="50" t="str">
        <f>IF(COUNTIF(Table3[[#All],[PID]],A644)&gt;0,"P","B")</f>
        <v>P</v>
      </c>
      <c r="D644" s="59" t="str">
        <f>IF($C644="B",INDEX(Batters[[#All],[POS]],MATCH(Table5[[#This Row],[PID]],Batters[[#All],[PID]],0)),INDEX(Table3[[#All],[POS]],MATCH(Table5[[#This Row],[PID]],Table3[[#All],[PID]],0)))</f>
        <v>RP</v>
      </c>
      <c r="E644" s="52" t="str">
        <f>IF($C644="B",INDEX(Batters[[#All],[First]],MATCH(Table5[[#This Row],[PID]],Batters[[#All],[PID]],0)),INDEX(Table3[[#All],[First]],MATCH(Table5[[#This Row],[PID]],Table3[[#All],[PID]],0)))</f>
        <v>Germán</v>
      </c>
      <c r="F644" s="50" t="str">
        <f>IF($C644="B",INDEX(Batters[[#All],[Last]],MATCH(A644,Batters[[#All],[PID]],0)),INDEX(Table3[[#All],[Last]],MATCH(A644,Table3[[#All],[PID]],0)))</f>
        <v>García</v>
      </c>
      <c r="G644" s="56">
        <f>IF($C644="B",INDEX(Batters[[#All],[Age]],MATCH(Table5[[#This Row],[PID]],Batters[[#All],[PID]],0)),INDEX(Table3[[#All],[Age]],MATCH(Table5[[#This Row],[PID]],Table3[[#All],[PID]],0)))</f>
        <v>21</v>
      </c>
      <c r="H644" s="52" t="str">
        <f>IF($C644="B",INDEX(Batters[[#All],[B]],MATCH(Table5[[#This Row],[PID]],Batters[[#All],[PID]],0)),INDEX(Table3[[#All],[B]],MATCH(Table5[[#This Row],[PID]],Table3[[#All],[PID]],0)))</f>
        <v>L</v>
      </c>
      <c r="I644" s="52" t="str">
        <f>IF($C644="B",INDEX(Batters[[#All],[T]],MATCH(Table5[[#This Row],[PID]],Batters[[#All],[PID]],0)),INDEX(Table3[[#All],[T]],MATCH(Table5[[#This Row],[PID]],Table3[[#All],[PID]],0)))</f>
        <v>L</v>
      </c>
      <c r="J644" s="52" t="str">
        <f>IF($C644="B",INDEX(Batters[[#All],[WE]],MATCH(Table5[[#This Row],[PID]],Batters[[#All],[PID]],0)),INDEX(Table3[[#All],[WE]],MATCH(Table5[[#This Row],[PID]],Table3[[#All],[PID]],0)))</f>
        <v>Low</v>
      </c>
      <c r="K644" s="52" t="str">
        <f>IF($C644="B",INDEX(Batters[[#All],[INT]],MATCH(Table5[[#This Row],[PID]],Batters[[#All],[PID]],0)),INDEX(Table3[[#All],[INT]],MATCH(Table5[[#This Row],[PID]],Table3[[#All],[PID]],0)))</f>
        <v>Normal</v>
      </c>
      <c r="L644" s="60">
        <f>IF($C644="B",INDEX(Batters[[#All],[CON P]],MATCH(Table5[[#This Row],[PID]],Batters[[#All],[PID]],0)),INDEX(Table3[[#All],[STU P]],MATCH(Table5[[#This Row],[PID]],Table3[[#All],[PID]],0)))</f>
        <v>4</v>
      </c>
      <c r="M644" s="56">
        <f>IF($C644="B",INDEX(Batters[[#All],[GAP P]],MATCH(Table5[[#This Row],[PID]],Batters[[#All],[PID]],0)),INDEX(Table3[[#All],[MOV P]],MATCH(Table5[[#This Row],[PID]],Table3[[#All],[PID]],0)))</f>
        <v>1</v>
      </c>
      <c r="N644" s="56">
        <f>IF($C644="B",INDEX(Batters[[#All],[POW P]],MATCH(Table5[[#This Row],[PID]],Batters[[#All],[PID]],0)),INDEX(Table3[[#All],[CON P]],MATCH(Table5[[#This Row],[PID]],Table3[[#All],[PID]],0)))</f>
        <v>4</v>
      </c>
      <c r="O644" s="56" t="str">
        <f>IF($C644="B",INDEX(Batters[[#All],[EYE P]],MATCH(Table5[[#This Row],[PID]],Batters[[#All],[PID]],0)),INDEX(Table3[[#All],[VELO]],MATCH(Table5[[#This Row],[PID]],Table3[[#All],[PID]],0)))</f>
        <v>88-90 Mph</v>
      </c>
      <c r="P644" s="56">
        <f>IF($C644="B",INDEX(Batters[[#All],[K P]],MATCH(Table5[[#This Row],[PID]],Batters[[#All],[PID]],0)),INDEX(Table3[[#All],[STM]],MATCH(Table5[[#This Row],[PID]],Table3[[#All],[PID]],0)))</f>
        <v>6</v>
      </c>
      <c r="Q644" s="61">
        <f>IF($C644="B",INDEX(Batters[[#All],[Tot]],MATCH(Table5[[#This Row],[PID]],Batters[[#All],[PID]],0)),INDEX(Table3[[#All],[Tot]],MATCH(Table5[[#This Row],[PID]],Table3[[#All],[PID]],0)))</f>
        <v>29.191580999593555</v>
      </c>
      <c r="R644" s="52">
        <f>IF($C644="B",INDEX(Batters[[#All],[zScore]],MATCH(Table5[[#This Row],[PID]],Batters[[#All],[PID]],0)),INDEX(Table3[[#All],[zScore]],MATCH(Table5[[#This Row],[PID]],Table3[[#All],[PID]],0)))</f>
        <v>-0.61316387333748212</v>
      </c>
      <c r="S644" s="58" t="str">
        <f>IF($C644="B",INDEX(Batters[[#All],[DEM]],MATCH(Table5[[#This Row],[PID]],Batters[[#All],[PID]],0)),INDEX(Table3[[#All],[DEM]],MATCH(Table5[[#This Row],[PID]],Table3[[#All],[PID]],0)))</f>
        <v>$20k</v>
      </c>
      <c r="T644" s="62">
        <f>IF($C644="B",INDEX(Batters[[#All],[Rnk]],MATCH(Table5[[#This Row],[PID]],Batters[[#All],[PID]],0)),INDEX(Table3[[#All],[Rnk]],MATCH(Table5[[#This Row],[PID]],Table3[[#All],[PID]],0)))</f>
        <v>930</v>
      </c>
      <c r="U644" s="67">
        <f>IF($C644="B",VLOOKUP($A644,Bat!$A$4:$BA$1314,47,FALSE),VLOOKUP($A644,Pit!$A$4:$BF$1214,56,FALSE))</f>
        <v>339</v>
      </c>
      <c r="V644" s="50">
        <f>IF($C644="B",VLOOKUP($A644,Bat!$A$4:$BA$1314,48,FALSE),VLOOKUP($A644,Pit!$A$4:$BF$1214,57,FALSE))</f>
        <v>0</v>
      </c>
      <c r="W644" s="68">
        <f>IF(Table5[[#This Row],[posRnk]]=999,9999,Table5[[#This Row],[posRnk]]+Table5[[#This Row],[zRnk]]+IF($W$3&lt;&gt;Table5[[#This Row],[Type]],50,0))</f>
        <v>1565</v>
      </c>
      <c r="X644" s="51">
        <f>RANK(Table5[[#This Row],[zScore]],Table5[[#All],[zScore]])</f>
        <v>635</v>
      </c>
      <c r="Y644" s="50">
        <f>IFERROR(INDEX(DraftResults[[#All],[OVR]],MATCH(Table5[[#This Row],[PID]],DraftResults[[#All],[Player ID]],0)),"")</f>
        <v>649</v>
      </c>
      <c r="Z644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20</v>
      </c>
      <c r="AA644" s="50">
        <f>IFERROR(INDEX(DraftResults[[#All],[Pick in Round]],MATCH(Table5[[#This Row],[PID]],DraftResults[[#All],[Player ID]],0)),"")</f>
        <v>12</v>
      </c>
      <c r="AB644" s="50" t="str">
        <f>IFERROR(INDEX(DraftResults[[#All],[Team Name]],MATCH(Table5[[#This Row],[PID]],DraftResults[[#All],[Player ID]],0)),"")</f>
        <v>Manchester Maulers</v>
      </c>
      <c r="AC644" s="50">
        <f>IF(Table5[[#This Row],[Ovr]]="","",IF(Table5[[#This Row],[cmbList]]="","",Table5[[#This Row],[cmbList]]-Table5[[#This Row],[Ovr]]))</f>
        <v>916</v>
      </c>
      <c r="AD644" s="54" t="str">
        <f>IF(ISERROR(VLOOKUP($AB644&amp;"-"&amp;$E644&amp;" "&amp;F644,Bonuses!$B$1:$G$1006,4,FALSE)),"",INT(VLOOKUP($AB644&amp;"-"&amp;$E644&amp;" "&amp;$F644,Bonuses!$B$1:$G$1006,4,FALSE)))</f>
        <v/>
      </c>
      <c r="AE644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20.12 (649) - RP Germán García</v>
      </c>
    </row>
    <row r="645" spans="1:31" s="50" customFormat="1" x14ac:dyDescent="0.3">
      <c r="A645" s="50">
        <v>12644</v>
      </c>
      <c r="B645" s="50">
        <f>COUNTIF(Table5[PID],A645)</f>
        <v>1</v>
      </c>
      <c r="C645" s="50" t="str">
        <f>IF(COUNTIF(Table3[[#All],[PID]],A645)&gt;0,"P","B")</f>
        <v>P</v>
      </c>
      <c r="D645" s="59" t="str">
        <f>IF($C645="B",INDEX(Batters[[#All],[POS]],MATCH(Table5[[#This Row],[PID]],Batters[[#All],[PID]],0)),INDEX(Table3[[#All],[POS]],MATCH(Table5[[#This Row],[PID]],Table3[[#All],[PID]],0)))</f>
        <v>RP</v>
      </c>
      <c r="E645" s="52" t="str">
        <f>IF($C645="B",INDEX(Batters[[#All],[First]],MATCH(Table5[[#This Row],[PID]],Batters[[#All],[PID]],0)),INDEX(Table3[[#All],[First]],MATCH(Table5[[#This Row],[PID]],Table3[[#All],[PID]],0)))</f>
        <v>Lenny</v>
      </c>
      <c r="F645" s="50" t="str">
        <f>IF($C645="B",INDEX(Batters[[#All],[Last]],MATCH(A645,Batters[[#All],[PID]],0)),INDEX(Table3[[#All],[Last]],MATCH(A645,Table3[[#All],[PID]],0)))</f>
        <v>Harris</v>
      </c>
      <c r="G645" s="56">
        <f>IF($C645="B",INDEX(Batters[[#All],[Age]],MATCH(Table5[[#This Row],[PID]],Batters[[#All],[PID]],0)),INDEX(Table3[[#All],[Age]],MATCH(Table5[[#This Row],[PID]],Table3[[#All],[PID]],0)))</f>
        <v>21</v>
      </c>
      <c r="H645" s="52" t="str">
        <f>IF($C645="B",INDEX(Batters[[#All],[B]],MATCH(Table5[[#This Row],[PID]],Batters[[#All],[PID]],0)),INDEX(Table3[[#All],[B]],MATCH(Table5[[#This Row],[PID]],Table3[[#All],[PID]],0)))</f>
        <v>R</v>
      </c>
      <c r="I645" s="52" t="str">
        <f>IF($C645="B",INDEX(Batters[[#All],[T]],MATCH(Table5[[#This Row],[PID]],Batters[[#All],[PID]],0)),INDEX(Table3[[#All],[T]],MATCH(Table5[[#This Row],[PID]],Table3[[#All],[PID]],0)))</f>
        <v>R</v>
      </c>
      <c r="J645" s="52" t="str">
        <f>IF($C645="B",INDEX(Batters[[#All],[WE]],MATCH(Table5[[#This Row],[PID]],Batters[[#All],[PID]],0)),INDEX(Table3[[#All],[WE]],MATCH(Table5[[#This Row],[PID]],Table3[[#All],[PID]],0)))</f>
        <v>Low</v>
      </c>
      <c r="K645" s="52" t="str">
        <f>IF($C645="B",INDEX(Batters[[#All],[INT]],MATCH(Table5[[#This Row],[PID]],Batters[[#All],[PID]],0)),INDEX(Table3[[#All],[INT]],MATCH(Table5[[#This Row],[PID]],Table3[[#All],[PID]],0)))</f>
        <v>Normal</v>
      </c>
      <c r="L645" s="60">
        <f>IF($C645="B",INDEX(Batters[[#All],[CON P]],MATCH(Table5[[#This Row],[PID]],Batters[[#All],[PID]],0)),INDEX(Table3[[#All],[STU P]],MATCH(Table5[[#This Row],[PID]],Table3[[#All],[PID]],0)))</f>
        <v>4</v>
      </c>
      <c r="M645" s="56">
        <f>IF($C645="B",INDEX(Batters[[#All],[GAP P]],MATCH(Table5[[#This Row],[PID]],Batters[[#All],[PID]],0)),INDEX(Table3[[#All],[MOV P]],MATCH(Table5[[#This Row],[PID]],Table3[[#All],[PID]],0)))</f>
        <v>2</v>
      </c>
      <c r="N645" s="56">
        <f>IF($C645="B",INDEX(Batters[[#All],[POW P]],MATCH(Table5[[#This Row],[PID]],Batters[[#All],[PID]],0)),INDEX(Table3[[#All],[CON P]],MATCH(Table5[[#This Row],[PID]],Table3[[#All],[PID]],0)))</f>
        <v>3</v>
      </c>
      <c r="O645" s="56" t="str">
        <f>IF($C645="B",INDEX(Batters[[#All],[EYE P]],MATCH(Table5[[#This Row],[PID]],Batters[[#All],[PID]],0)),INDEX(Table3[[#All],[VELO]],MATCH(Table5[[#This Row],[PID]],Table3[[#All],[PID]],0)))</f>
        <v>92-94 Mph</v>
      </c>
      <c r="P645" s="56">
        <f>IF($C645="B",INDEX(Batters[[#All],[K P]],MATCH(Table5[[#This Row],[PID]],Batters[[#All],[PID]],0)),INDEX(Table3[[#All],[STM]],MATCH(Table5[[#This Row],[PID]],Table3[[#All],[PID]],0)))</f>
        <v>7</v>
      </c>
      <c r="Q645" s="61">
        <f>IF($C645="B",INDEX(Batters[[#All],[Tot]],MATCH(Table5[[#This Row],[PID]],Batters[[#All],[PID]],0)),INDEX(Table3[[#All],[Tot]],MATCH(Table5[[#This Row],[PID]],Table3[[#All],[PID]],0)))</f>
        <v>29.189812722201562</v>
      </c>
      <c r="R645" s="52">
        <f>IF($C645="B",INDEX(Batters[[#All],[zScore]],MATCH(Table5[[#This Row],[PID]],Batters[[#All],[PID]],0)),INDEX(Table3[[#All],[zScore]],MATCH(Table5[[#This Row],[PID]],Table3[[#All],[PID]],0)))</f>
        <v>-0.61328978712386228</v>
      </c>
      <c r="S645" s="58" t="str">
        <f>IF($C645="B",INDEX(Batters[[#All],[DEM]],MATCH(Table5[[#This Row],[PID]],Batters[[#All],[PID]],0)),INDEX(Table3[[#All],[DEM]],MATCH(Table5[[#This Row],[PID]],Table3[[#All],[PID]],0)))</f>
        <v>-</v>
      </c>
      <c r="T645" s="62">
        <f>IF($C645="B",INDEX(Batters[[#All],[Rnk]],MATCH(Table5[[#This Row],[PID]],Batters[[#All],[PID]],0)),INDEX(Table3[[#All],[Rnk]],MATCH(Table5[[#This Row],[PID]],Table3[[#All],[PID]],0)))</f>
        <v>930</v>
      </c>
      <c r="U645" s="67">
        <f>IF($C645="B",VLOOKUP($A645,Bat!$A$4:$BA$1314,47,FALSE),VLOOKUP($A645,Pit!$A$4:$BF$1214,56,FALSE))</f>
        <v>340</v>
      </c>
      <c r="V645" s="50">
        <f>IF($C645="B",VLOOKUP($A645,Bat!$A$4:$BA$1314,48,FALSE),VLOOKUP($A645,Pit!$A$4:$BF$1214,57,FALSE))</f>
        <v>0</v>
      </c>
      <c r="W645" s="68">
        <f>IF(Table5[[#This Row],[posRnk]]=999,9999,Table5[[#This Row],[posRnk]]+Table5[[#This Row],[zRnk]]+IF($W$3&lt;&gt;Table5[[#This Row],[Type]],50,0))</f>
        <v>1566</v>
      </c>
      <c r="X645" s="51">
        <f>RANK(Table5[[#This Row],[zScore]],Table5[[#All],[zScore]])</f>
        <v>636</v>
      </c>
      <c r="Y645" s="50">
        <f>IFERROR(INDEX(DraftResults[[#All],[OVR]],MATCH(Table5[[#This Row],[PID]],DraftResults[[#All],[Player ID]],0)),"")</f>
        <v>578</v>
      </c>
      <c r="Z645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18</v>
      </c>
      <c r="AA645" s="50">
        <f>IFERROR(INDEX(DraftResults[[#All],[Pick in Round]],MATCH(Table5[[#This Row],[PID]],DraftResults[[#All],[Player ID]],0)),"")</f>
        <v>9</v>
      </c>
      <c r="AB645" s="50" t="str">
        <f>IFERROR(INDEX(DraftResults[[#All],[Team Name]],MATCH(Table5[[#This Row],[PID]],DraftResults[[#All],[Player ID]],0)),"")</f>
        <v>New Jersey Hitmen</v>
      </c>
      <c r="AC645" s="50">
        <f>IF(Table5[[#This Row],[Ovr]]="","",IF(Table5[[#This Row],[cmbList]]="","",Table5[[#This Row],[cmbList]]-Table5[[#This Row],[Ovr]]))</f>
        <v>988</v>
      </c>
      <c r="AD645" s="54" t="str">
        <f>IF(ISERROR(VLOOKUP($AB645&amp;"-"&amp;$E645&amp;" "&amp;F645,Bonuses!$B$1:$G$1006,4,FALSE)),"",INT(VLOOKUP($AB645&amp;"-"&amp;$E645&amp;" "&amp;$F645,Bonuses!$B$1:$G$1006,4,FALSE)))</f>
        <v/>
      </c>
      <c r="AE645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18.9 (578) - RP Lenny Harris</v>
      </c>
    </row>
    <row r="646" spans="1:31" s="50" customFormat="1" x14ac:dyDescent="0.3">
      <c r="A646" s="50">
        <v>15983</v>
      </c>
      <c r="B646" s="50">
        <f>COUNTIF(Table5[PID],A646)</f>
        <v>1</v>
      </c>
      <c r="C646" s="50" t="str">
        <f>IF(COUNTIF(Table3[[#All],[PID]],A646)&gt;0,"P","B")</f>
        <v>B</v>
      </c>
      <c r="D646" s="59" t="str">
        <f>IF($C646="B",INDEX(Batters[[#All],[POS]],MATCH(Table5[[#This Row],[PID]],Batters[[#All],[PID]],0)),INDEX(Table3[[#All],[POS]],MATCH(Table5[[#This Row],[PID]],Table3[[#All],[PID]],0)))</f>
        <v>SS</v>
      </c>
      <c r="E646" s="52" t="str">
        <f>IF($C646="B",INDEX(Batters[[#All],[First]],MATCH(Table5[[#This Row],[PID]],Batters[[#All],[PID]],0)),INDEX(Table3[[#All],[First]],MATCH(Table5[[#This Row],[PID]],Table3[[#All],[PID]],0)))</f>
        <v>Naonobu</v>
      </c>
      <c r="F646" s="50" t="str">
        <f>IF($C646="B",INDEX(Batters[[#All],[Last]],MATCH(A646,Batters[[#All],[PID]],0)),INDEX(Table3[[#All],[Last]],MATCH(A646,Table3[[#All],[PID]],0)))</f>
        <v>Okabe</v>
      </c>
      <c r="G646" s="56">
        <f>IF($C646="B",INDEX(Batters[[#All],[Age]],MATCH(Table5[[#This Row],[PID]],Batters[[#All],[PID]],0)),INDEX(Table3[[#All],[Age]],MATCH(Table5[[#This Row],[PID]],Table3[[#All],[PID]],0)))</f>
        <v>22</v>
      </c>
      <c r="H646" s="52" t="str">
        <f>IF($C646="B",INDEX(Batters[[#All],[B]],MATCH(Table5[[#This Row],[PID]],Batters[[#All],[PID]],0)),INDEX(Table3[[#All],[B]],MATCH(Table5[[#This Row],[PID]],Table3[[#All],[PID]],0)))</f>
        <v>L</v>
      </c>
      <c r="I646" s="52" t="str">
        <f>IF($C646="B",INDEX(Batters[[#All],[T]],MATCH(Table5[[#This Row],[PID]],Batters[[#All],[PID]],0)),INDEX(Table3[[#All],[T]],MATCH(Table5[[#This Row],[PID]],Table3[[#All],[PID]],0)))</f>
        <v>R</v>
      </c>
      <c r="J646" s="52" t="str">
        <f>IF($C646="B",INDEX(Batters[[#All],[WE]],MATCH(Table5[[#This Row],[PID]],Batters[[#All],[PID]],0)),INDEX(Table3[[#All],[WE]],MATCH(Table5[[#This Row],[PID]],Table3[[#All],[PID]],0)))</f>
        <v>Normal</v>
      </c>
      <c r="K646" s="52" t="str">
        <f>IF($C646="B",INDEX(Batters[[#All],[INT]],MATCH(Table5[[#This Row],[PID]],Batters[[#All],[PID]],0)),INDEX(Table3[[#All],[INT]],MATCH(Table5[[#This Row],[PID]],Table3[[#All],[PID]],0)))</f>
        <v>Normal</v>
      </c>
      <c r="L646" s="60">
        <f>IF($C646="B",INDEX(Batters[[#All],[CON P]],MATCH(Table5[[#This Row],[PID]],Batters[[#All],[PID]],0)),INDEX(Table3[[#All],[STU P]],MATCH(Table5[[#This Row],[PID]],Table3[[#All],[PID]],0)))</f>
        <v>3</v>
      </c>
      <c r="M646" s="56">
        <f>IF($C646="B",INDEX(Batters[[#All],[GAP P]],MATCH(Table5[[#This Row],[PID]],Batters[[#All],[PID]],0)),INDEX(Table3[[#All],[MOV P]],MATCH(Table5[[#This Row],[PID]],Table3[[#All],[PID]],0)))</f>
        <v>4</v>
      </c>
      <c r="N646" s="56">
        <f>IF($C646="B",INDEX(Batters[[#All],[POW P]],MATCH(Table5[[#This Row],[PID]],Batters[[#All],[PID]],0)),INDEX(Table3[[#All],[CON P]],MATCH(Table5[[#This Row],[PID]],Table3[[#All],[PID]],0)))</f>
        <v>4</v>
      </c>
      <c r="O646" s="56">
        <f>IF($C646="B",INDEX(Batters[[#All],[EYE P]],MATCH(Table5[[#This Row],[PID]],Batters[[#All],[PID]],0)),INDEX(Table3[[#All],[VELO]],MATCH(Table5[[#This Row],[PID]],Table3[[#All],[PID]],0)))</f>
        <v>5</v>
      </c>
      <c r="P646" s="56">
        <f>IF($C646="B",INDEX(Batters[[#All],[K P]],MATCH(Table5[[#This Row],[PID]],Batters[[#All],[PID]],0)),INDEX(Table3[[#All],[STM]],MATCH(Table5[[#This Row],[PID]],Table3[[#All],[PID]],0)))</f>
        <v>2</v>
      </c>
      <c r="Q646" s="61">
        <f>IF($C646="B",INDEX(Batters[[#All],[Tot]],MATCH(Table5[[#This Row],[PID]],Batters[[#All],[PID]],0)),INDEX(Table3[[#All],[Tot]],MATCH(Table5[[#This Row],[PID]],Table3[[#All],[PID]],0)))</f>
        <v>38.370126945365655</v>
      </c>
      <c r="R646" s="52">
        <f>IF($C646="B",INDEX(Batters[[#All],[zScore]],MATCH(Table5[[#This Row],[PID]],Batters[[#All],[PID]],0)),INDEX(Table3[[#All],[zScore]],MATCH(Table5[[#This Row],[PID]],Table3[[#All],[PID]],0)))</f>
        <v>-0.70770647148395649</v>
      </c>
      <c r="S646" s="58" t="str">
        <f>IF($C646="B",INDEX(Batters[[#All],[DEM]],MATCH(Table5[[#This Row],[PID]],Batters[[#All],[PID]],0)),INDEX(Table3[[#All],[DEM]],MATCH(Table5[[#This Row],[PID]],Table3[[#All],[PID]],0)))</f>
        <v>$20k</v>
      </c>
      <c r="T646" s="62">
        <f>IF($C646="B",INDEX(Batters[[#All],[Rnk]],MATCH(Table5[[#This Row],[PID]],Batters[[#All],[PID]],0)),INDEX(Table3[[#All],[Rnk]],MATCH(Table5[[#This Row],[PID]],Table3[[#All],[PID]],0)))</f>
        <v>900</v>
      </c>
      <c r="U646" s="67">
        <f>IF($C646="B",VLOOKUP($A646,Bat!$A$4:$BA$1314,47,FALSE),VLOOKUP($A646,Pit!$A$4:$BF$1214,56,FALSE))</f>
        <v>234</v>
      </c>
      <c r="V646" s="50">
        <f>IF($C646="B",VLOOKUP($A646,Bat!$A$4:$BA$1314,48,FALSE),VLOOKUP($A646,Pit!$A$4:$BF$1214,57,FALSE))</f>
        <v>0</v>
      </c>
      <c r="W646" s="68">
        <f>IF(Table5[[#This Row],[posRnk]]=999,9999,Table5[[#This Row],[posRnk]]+Table5[[#This Row],[zRnk]]+IF($W$3&lt;&gt;Table5[[#This Row],[Type]],50,0))</f>
        <v>1619</v>
      </c>
      <c r="X646" s="51">
        <f>RANK(Table5[[#This Row],[zScore]],Table5[[#All],[zScore]])</f>
        <v>669</v>
      </c>
      <c r="Y646" s="50">
        <f>IFERROR(INDEX(DraftResults[[#All],[OVR]],MATCH(Table5[[#This Row],[PID]],DraftResults[[#All],[Player ID]],0)),"")</f>
        <v>252</v>
      </c>
      <c r="Z646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8</v>
      </c>
      <c r="AA646" s="50">
        <f>IFERROR(INDEX(DraftResults[[#All],[Pick in Round]],MATCH(Table5[[#This Row],[PID]],DraftResults[[#All],[Player ID]],0)),"")</f>
        <v>19</v>
      </c>
      <c r="AB646" s="50" t="str">
        <f>IFERROR(INDEX(DraftResults[[#All],[Team Name]],MATCH(Table5[[#This Row],[PID]],DraftResults[[#All],[Player ID]],0)),"")</f>
        <v>Fargo Dinosaurs</v>
      </c>
      <c r="AC646" s="50">
        <f>IF(Table5[[#This Row],[Ovr]]="","",IF(Table5[[#This Row],[cmbList]]="","",Table5[[#This Row],[cmbList]]-Table5[[#This Row],[Ovr]]))</f>
        <v>1367</v>
      </c>
      <c r="AD646" s="54" t="str">
        <f>IF(ISERROR(VLOOKUP($AB646&amp;"-"&amp;$E646&amp;" "&amp;F646,Bonuses!$B$1:$G$1006,4,FALSE)),"",INT(VLOOKUP($AB646&amp;"-"&amp;$E646&amp;" "&amp;$F646,Bonuses!$B$1:$G$1006,4,FALSE)))</f>
        <v/>
      </c>
      <c r="AE646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8.19 (252) - SS Naonobu Okabe</v>
      </c>
    </row>
    <row r="647" spans="1:31" s="50" customFormat="1" x14ac:dyDescent="0.3">
      <c r="A647" s="67">
        <v>6165</v>
      </c>
      <c r="B647" s="68">
        <f>COUNTIF(Table5[PID],A647)</f>
        <v>1</v>
      </c>
      <c r="C647" s="68" t="str">
        <f>IF(COUNTIF(Table3[[#All],[PID]],A647)&gt;0,"P","B")</f>
        <v>B</v>
      </c>
      <c r="D647" s="59" t="str">
        <f>IF($C647="B",INDEX(Batters[[#All],[POS]],MATCH(Table5[[#This Row],[PID]],Batters[[#All],[PID]],0)),INDEX(Table3[[#All],[POS]],MATCH(Table5[[#This Row],[PID]],Table3[[#All],[PID]],0)))</f>
        <v>LF</v>
      </c>
      <c r="E647" s="52" t="str">
        <f>IF($C647="B",INDEX(Batters[[#All],[First]],MATCH(Table5[[#This Row],[PID]],Batters[[#All],[PID]],0)),INDEX(Table3[[#All],[First]],MATCH(Table5[[#This Row],[PID]],Table3[[#All],[PID]],0)))</f>
        <v>Chris</v>
      </c>
      <c r="F647" s="55" t="str">
        <f>IF($C647="B",INDEX(Batters[[#All],[Last]],MATCH(A647,Batters[[#All],[PID]],0)),INDEX(Table3[[#All],[Last]],MATCH(A647,Table3[[#All],[PID]],0)))</f>
        <v>Reyes</v>
      </c>
      <c r="G647" s="56">
        <f>IF($C647="B",INDEX(Batters[[#All],[Age]],MATCH(Table5[[#This Row],[PID]],Batters[[#All],[PID]],0)),INDEX(Table3[[#All],[Age]],MATCH(Table5[[#This Row],[PID]],Table3[[#All],[PID]],0)))</f>
        <v>21</v>
      </c>
      <c r="H647" s="52" t="str">
        <f>IF($C647="B",INDEX(Batters[[#All],[B]],MATCH(Table5[[#This Row],[PID]],Batters[[#All],[PID]],0)),INDEX(Table3[[#All],[B]],MATCH(Table5[[#This Row],[PID]],Table3[[#All],[PID]],0)))</f>
        <v>R</v>
      </c>
      <c r="I647" s="52" t="str">
        <f>IF($C647="B",INDEX(Batters[[#All],[T]],MATCH(Table5[[#This Row],[PID]],Batters[[#All],[PID]],0)),INDEX(Table3[[#All],[T]],MATCH(Table5[[#This Row],[PID]],Table3[[#All],[PID]],0)))</f>
        <v>R</v>
      </c>
      <c r="J647" s="69" t="str">
        <f>IF($C647="B",INDEX(Batters[[#All],[WE]],MATCH(Table5[[#This Row],[PID]],Batters[[#All],[PID]],0)),INDEX(Table3[[#All],[WE]],MATCH(Table5[[#This Row],[PID]],Table3[[#All],[PID]],0)))</f>
        <v>Low</v>
      </c>
      <c r="K647" s="52" t="str">
        <f>IF($C647="B",INDEX(Batters[[#All],[INT]],MATCH(Table5[[#This Row],[PID]],Batters[[#All],[PID]],0)),INDEX(Table3[[#All],[INT]],MATCH(Table5[[#This Row],[PID]],Table3[[#All],[PID]],0)))</f>
        <v>Normal</v>
      </c>
      <c r="L647" s="60">
        <f>IF($C647="B",INDEX(Batters[[#All],[CON P]],MATCH(Table5[[#This Row],[PID]],Batters[[#All],[PID]],0)),INDEX(Table3[[#All],[STU P]],MATCH(Table5[[#This Row],[PID]],Table3[[#All],[PID]],0)))</f>
        <v>3</v>
      </c>
      <c r="M647" s="70">
        <f>IF($C647="B",INDEX(Batters[[#All],[GAP P]],MATCH(Table5[[#This Row],[PID]],Batters[[#All],[PID]],0)),INDEX(Table3[[#All],[MOV P]],MATCH(Table5[[#This Row],[PID]],Table3[[#All],[PID]],0)))</f>
        <v>5</v>
      </c>
      <c r="N647" s="70">
        <f>IF($C647="B",INDEX(Batters[[#All],[POW P]],MATCH(Table5[[#This Row],[PID]],Batters[[#All],[PID]],0)),INDEX(Table3[[#All],[CON P]],MATCH(Table5[[#This Row],[PID]],Table3[[#All],[PID]],0)))</f>
        <v>5</v>
      </c>
      <c r="O647" s="70">
        <f>IF($C647="B",INDEX(Batters[[#All],[EYE P]],MATCH(Table5[[#This Row],[PID]],Batters[[#All],[PID]],0)),INDEX(Table3[[#All],[VELO]],MATCH(Table5[[#This Row],[PID]],Table3[[#All],[PID]],0)))</f>
        <v>5</v>
      </c>
      <c r="P647" s="56">
        <f>IF($C647="B",INDEX(Batters[[#All],[K P]],MATCH(Table5[[#This Row],[PID]],Batters[[#All],[PID]],0)),INDEX(Table3[[#All],[STM]],MATCH(Table5[[#This Row],[PID]],Table3[[#All],[PID]],0)))</f>
        <v>3</v>
      </c>
      <c r="Q647" s="61">
        <f>IF($C647="B",INDEX(Batters[[#All],[Tot]],MATCH(Table5[[#This Row],[PID]],Batters[[#All],[PID]],0)),INDEX(Table3[[#All],[Tot]],MATCH(Table5[[#This Row],[PID]],Table3[[#All],[PID]],0)))</f>
        <v>38.956416074231683</v>
      </c>
      <c r="R647" s="52">
        <f>IF($C647="B",INDEX(Batters[[#All],[zScore]],MATCH(Table5[[#This Row],[PID]],Batters[[#All],[PID]],0)),INDEX(Table3[[#All],[zScore]],MATCH(Table5[[#This Row],[PID]],Table3[[#All],[PID]],0)))</f>
        <v>-0.62212695563670695</v>
      </c>
      <c r="S647" s="75" t="str">
        <f>IF($C647="B",INDEX(Batters[[#All],[DEM]],MATCH(Table5[[#This Row],[PID]],Batters[[#All],[PID]],0)),INDEX(Table3[[#All],[DEM]],MATCH(Table5[[#This Row],[PID]],Table3[[#All],[PID]],0)))</f>
        <v>$20k</v>
      </c>
      <c r="T647" s="72">
        <f>IF($C647="B",INDEX(Batters[[#All],[Rnk]],MATCH(Table5[[#This Row],[PID]],Batters[[#All],[PID]],0)),INDEX(Table3[[#All],[Rnk]],MATCH(Table5[[#This Row],[PID]],Table3[[#All],[PID]],0)))</f>
        <v>930</v>
      </c>
      <c r="U647" s="67">
        <f>IF($C647="B",VLOOKUP($A647,Bat!$A$4:$BA$1314,47,FALSE),VLOOKUP($A647,Pit!$A$4:$BF$1214,56,FALSE))</f>
        <v>356</v>
      </c>
      <c r="V647" s="50">
        <f>IF($C647="B",VLOOKUP($A647,Bat!$A$4:$BA$1314,48,FALSE),VLOOKUP($A647,Pit!$A$4:$BF$1214,57,FALSE))</f>
        <v>0</v>
      </c>
      <c r="W647" s="68">
        <f>IF(Table5[[#This Row],[posRnk]]=999,9999,Table5[[#This Row],[posRnk]]+Table5[[#This Row],[zRnk]]+IF($W$3&lt;&gt;Table5[[#This Row],[Type]],50,0))</f>
        <v>1619</v>
      </c>
      <c r="X647" s="71">
        <f>RANK(Table5[[#This Row],[zScore]],Table5[[#All],[zScore]])</f>
        <v>639</v>
      </c>
      <c r="Y647" s="68">
        <f>IFERROR(INDEX(DraftResults[[#All],[OVR]],MATCH(Table5[[#This Row],[PID]],DraftResults[[#All],[Player ID]],0)),"")</f>
        <v>271</v>
      </c>
      <c r="Z647" s="7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9</v>
      </c>
      <c r="AA647" s="68">
        <f>IFERROR(INDEX(DraftResults[[#All],[Pick in Round]],MATCH(Table5[[#This Row],[PID]],DraftResults[[#All],[Player ID]],0)),"")</f>
        <v>6</v>
      </c>
      <c r="AB647" s="68" t="str">
        <f>IFERROR(INDEX(DraftResults[[#All],[Team Name]],MATCH(Table5[[#This Row],[PID]],DraftResults[[#All],[Player ID]],0)),"")</f>
        <v>New Orleans Trendsetters</v>
      </c>
      <c r="AC647" s="68">
        <f>IF(Table5[[#This Row],[Ovr]]="","",IF(Table5[[#This Row],[cmbList]]="","",Table5[[#This Row],[cmbList]]-Table5[[#This Row],[Ovr]]))</f>
        <v>1348</v>
      </c>
      <c r="AD647" s="74" t="str">
        <f>IF(ISERROR(VLOOKUP($AB647&amp;"-"&amp;$E647&amp;" "&amp;F647,Bonuses!$B$1:$G$1006,4,FALSE)),"",INT(VLOOKUP($AB647&amp;"-"&amp;$E647&amp;" "&amp;$F647,Bonuses!$B$1:$G$1006,4,FALSE)))</f>
        <v/>
      </c>
      <c r="AE647" s="68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9.6 (271) - LF Chris Reyes</v>
      </c>
    </row>
    <row r="648" spans="1:31" s="50" customFormat="1" x14ac:dyDescent="0.3">
      <c r="A648" s="50">
        <v>12627</v>
      </c>
      <c r="B648" s="50">
        <f>COUNTIF(Table5[PID],A648)</f>
        <v>1</v>
      </c>
      <c r="C648" s="50" t="str">
        <f>IF(COUNTIF(Table3[[#All],[PID]],A648)&gt;0,"P","B")</f>
        <v>B</v>
      </c>
      <c r="D648" s="59" t="str">
        <f>IF($C648="B",INDEX(Batters[[#All],[POS]],MATCH(Table5[[#This Row],[PID]],Batters[[#All],[PID]],0)),INDEX(Table3[[#All],[POS]],MATCH(Table5[[#This Row],[PID]],Table3[[#All],[PID]],0)))</f>
        <v>LF</v>
      </c>
      <c r="E648" s="52" t="str">
        <f>IF($C648="B",INDEX(Batters[[#All],[First]],MATCH(Table5[[#This Row],[PID]],Batters[[#All],[PID]],0)),INDEX(Table3[[#All],[First]],MATCH(Table5[[#This Row],[PID]],Table3[[#All],[PID]],0)))</f>
        <v>Wilson</v>
      </c>
      <c r="F648" s="50" t="str">
        <f>IF($C648="B",INDEX(Batters[[#All],[Last]],MATCH(A648,Batters[[#All],[PID]],0)),INDEX(Table3[[#All],[Last]],MATCH(A648,Table3[[#All],[PID]],0)))</f>
        <v>González</v>
      </c>
      <c r="G648" s="56">
        <f>IF($C648="B",INDEX(Batters[[#All],[Age]],MATCH(Table5[[#This Row],[PID]],Batters[[#All],[PID]],0)),INDEX(Table3[[#All],[Age]],MATCH(Table5[[#This Row],[PID]],Table3[[#All],[PID]],0)))</f>
        <v>21</v>
      </c>
      <c r="H648" s="52" t="str">
        <f>IF($C648="B",INDEX(Batters[[#All],[B]],MATCH(Table5[[#This Row],[PID]],Batters[[#All],[PID]],0)),INDEX(Table3[[#All],[B]],MATCH(Table5[[#This Row],[PID]],Table3[[#All],[PID]],0)))</f>
        <v>L</v>
      </c>
      <c r="I648" s="52" t="str">
        <f>IF($C648="B",INDEX(Batters[[#All],[T]],MATCH(Table5[[#This Row],[PID]],Batters[[#All],[PID]],0)),INDEX(Table3[[#All],[T]],MATCH(Table5[[#This Row],[PID]],Table3[[#All],[PID]],0)))</f>
        <v>R</v>
      </c>
      <c r="J648" s="52" t="str">
        <f>IF($C648="B",INDEX(Batters[[#All],[WE]],MATCH(Table5[[#This Row],[PID]],Batters[[#All],[PID]],0)),INDEX(Table3[[#All],[WE]],MATCH(Table5[[#This Row],[PID]],Table3[[#All],[PID]],0)))</f>
        <v>High</v>
      </c>
      <c r="K648" s="52" t="str">
        <f>IF($C648="B",INDEX(Batters[[#All],[INT]],MATCH(Table5[[#This Row],[PID]],Batters[[#All],[PID]],0)),INDEX(Table3[[#All],[INT]],MATCH(Table5[[#This Row],[PID]],Table3[[#All],[PID]],0)))</f>
        <v>Normal</v>
      </c>
      <c r="L648" s="60">
        <f>IF($C648="B",INDEX(Batters[[#All],[CON P]],MATCH(Table5[[#This Row],[PID]],Batters[[#All],[PID]],0)),INDEX(Table3[[#All],[STU P]],MATCH(Table5[[#This Row],[PID]],Table3[[#All],[PID]],0)))</f>
        <v>3</v>
      </c>
      <c r="M648" s="56">
        <f>IF($C648="B",INDEX(Batters[[#All],[GAP P]],MATCH(Table5[[#This Row],[PID]],Batters[[#All],[PID]],0)),INDEX(Table3[[#All],[MOV P]],MATCH(Table5[[#This Row],[PID]],Table3[[#All],[PID]],0)))</f>
        <v>2</v>
      </c>
      <c r="N648" s="56">
        <f>IF($C648="B",INDEX(Batters[[#All],[POW P]],MATCH(Table5[[#This Row],[PID]],Batters[[#All],[PID]],0)),INDEX(Table3[[#All],[CON P]],MATCH(Table5[[#This Row],[PID]],Table3[[#All],[PID]],0)))</f>
        <v>4</v>
      </c>
      <c r="O648" s="56">
        <f>IF($C648="B",INDEX(Batters[[#All],[EYE P]],MATCH(Table5[[#This Row],[PID]],Batters[[#All],[PID]],0)),INDEX(Table3[[#All],[VELO]],MATCH(Table5[[#This Row],[PID]],Table3[[#All],[PID]],0)))</f>
        <v>6</v>
      </c>
      <c r="P648" s="56">
        <f>IF($C648="B",INDEX(Batters[[#All],[K P]],MATCH(Table5[[#This Row],[PID]],Batters[[#All],[PID]],0)),INDEX(Table3[[#All],[STM]],MATCH(Table5[[#This Row],[PID]],Table3[[#All],[PID]],0)))</f>
        <v>2</v>
      </c>
      <c r="Q648" s="61">
        <f>IF($C648="B",INDEX(Batters[[#All],[Tot]],MATCH(Table5[[#This Row],[PID]],Batters[[#All],[PID]],0)),INDEX(Table3[[#All],[Tot]],MATCH(Table5[[#This Row],[PID]],Table3[[#All],[PID]],0)))</f>
        <v>38.321705969020599</v>
      </c>
      <c r="R648" s="52">
        <f>IF($C648="B",INDEX(Batters[[#All],[zScore]],MATCH(Table5[[#This Row],[PID]],Batters[[#All],[PID]],0)),INDEX(Table3[[#All],[zScore]],MATCH(Table5[[#This Row],[PID]],Table3[[#All],[PID]],0)))</f>
        <v>-0.71477438986831388</v>
      </c>
      <c r="S648" s="58" t="str">
        <f>IF($C648="B",INDEX(Batters[[#All],[DEM]],MATCH(Table5[[#This Row],[PID]],Batters[[#All],[PID]],0)),INDEX(Table3[[#All],[DEM]],MATCH(Table5[[#This Row],[PID]],Table3[[#All],[PID]],0)))</f>
        <v>-</v>
      </c>
      <c r="T648" s="62">
        <f>IF($C648="B",INDEX(Batters[[#All],[Rnk]],MATCH(Table5[[#This Row],[PID]],Batters[[#All],[PID]],0)),INDEX(Table3[[#All],[Rnk]],MATCH(Table5[[#This Row],[PID]],Table3[[#All],[PID]],0)))</f>
        <v>900</v>
      </c>
      <c r="U648" s="67">
        <f>IF($C648="B",VLOOKUP($A648,Bat!$A$4:$BA$1314,47,FALSE),VLOOKUP($A648,Pit!$A$4:$BF$1214,56,FALSE))</f>
        <v>224</v>
      </c>
      <c r="V648" s="50">
        <f>IF($C648="B",VLOOKUP($A648,Bat!$A$4:$BA$1314,48,FALSE),VLOOKUP($A648,Pit!$A$4:$BF$1214,57,FALSE))</f>
        <v>0</v>
      </c>
      <c r="W648" s="68">
        <f>IF(Table5[[#This Row],[posRnk]]=999,9999,Table5[[#This Row],[posRnk]]+Table5[[#This Row],[zRnk]]+IF($W$3&lt;&gt;Table5[[#This Row],[Type]],50,0))</f>
        <v>1621</v>
      </c>
      <c r="X648" s="51">
        <f>RANK(Table5[[#This Row],[zScore]],Table5[[#All],[zScore]])</f>
        <v>671</v>
      </c>
      <c r="Y648" s="50">
        <f>IFERROR(INDEX(DraftResults[[#All],[OVR]],MATCH(Table5[[#This Row],[PID]],DraftResults[[#All],[Player ID]],0)),"")</f>
        <v>371</v>
      </c>
      <c r="Z648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12</v>
      </c>
      <c r="AA648" s="50">
        <f>IFERROR(INDEX(DraftResults[[#All],[Pick in Round]],MATCH(Table5[[#This Row],[PID]],DraftResults[[#All],[Player ID]],0)),"")</f>
        <v>6</v>
      </c>
      <c r="AB648" s="50" t="str">
        <f>IFERROR(INDEX(DraftResults[[#All],[Team Name]],MATCH(Table5[[#This Row],[PID]],DraftResults[[#All],[Player ID]],0)),"")</f>
        <v>New Orleans Trendsetters</v>
      </c>
      <c r="AC648" s="50">
        <f>IF(Table5[[#This Row],[Ovr]]="","",IF(Table5[[#This Row],[cmbList]]="","",Table5[[#This Row],[cmbList]]-Table5[[#This Row],[Ovr]]))</f>
        <v>1250</v>
      </c>
      <c r="AD648" s="54" t="str">
        <f>IF(ISERROR(VLOOKUP($AB648&amp;"-"&amp;$E648&amp;" "&amp;F648,Bonuses!$B$1:$G$1006,4,FALSE)),"",INT(VLOOKUP($AB648&amp;"-"&amp;$E648&amp;" "&amp;$F648,Bonuses!$B$1:$G$1006,4,FALSE)))</f>
        <v/>
      </c>
      <c r="AE648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12.6 (371) - LF Wilson González</v>
      </c>
    </row>
    <row r="649" spans="1:31" s="50" customFormat="1" x14ac:dyDescent="0.3">
      <c r="A649" s="50">
        <v>5183</v>
      </c>
      <c r="B649" s="50">
        <f>COUNTIF(Table5[PID],A649)</f>
        <v>1</v>
      </c>
      <c r="C649" s="50" t="str">
        <f>IF(COUNTIF(Table3[[#All],[PID]],A649)&gt;0,"P","B")</f>
        <v>P</v>
      </c>
      <c r="D649" s="59" t="str">
        <f>IF($C649="B",INDEX(Batters[[#All],[POS]],MATCH(Table5[[#This Row],[PID]],Batters[[#All],[PID]],0)),INDEX(Table3[[#All],[POS]],MATCH(Table5[[#This Row],[PID]],Table3[[#All],[PID]],0)))</f>
        <v>RP</v>
      </c>
      <c r="E649" s="52" t="str">
        <f>IF($C649="B",INDEX(Batters[[#All],[First]],MATCH(Table5[[#This Row],[PID]],Batters[[#All],[PID]],0)),INDEX(Table3[[#All],[First]],MATCH(Table5[[#This Row],[PID]],Table3[[#All],[PID]],0)))</f>
        <v>Joe</v>
      </c>
      <c r="F649" s="50" t="str">
        <f>IF($C649="B",INDEX(Batters[[#All],[Last]],MATCH(A649,Batters[[#All],[PID]],0)),INDEX(Table3[[#All],[Last]],MATCH(A649,Table3[[#All],[PID]],0)))</f>
        <v>Donahue</v>
      </c>
      <c r="G649" s="56">
        <f>IF($C649="B",INDEX(Batters[[#All],[Age]],MATCH(Table5[[#This Row],[PID]],Batters[[#All],[PID]],0)),INDEX(Table3[[#All],[Age]],MATCH(Table5[[#This Row],[PID]],Table3[[#All],[PID]],0)))</f>
        <v>21</v>
      </c>
      <c r="H649" s="52" t="str">
        <f>IF($C649="B",INDEX(Batters[[#All],[B]],MATCH(Table5[[#This Row],[PID]],Batters[[#All],[PID]],0)),INDEX(Table3[[#All],[B]],MATCH(Table5[[#This Row],[PID]],Table3[[#All],[PID]],0)))</f>
        <v>R</v>
      </c>
      <c r="I649" s="52" t="str">
        <f>IF($C649="B",INDEX(Batters[[#All],[T]],MATCH(Table5[[#This Row],[PID]],Batters[[#All],[PID]],0)),INDEX(Table3[[#All],[T]],MATCH(Table5[[#This Row],[PID]],Table3[[#All],[PID]],0)))</f>
        <v>R</v>
      </c>
      <c r="J649" s="52" t="str">
        <f>IF($C649="B",INDEX(Batters[[#All],[WE]],MATCH(Table5[[#This Row],[PID]],Batters[[#All],[PID]],0)),INDEX(Table3[[#All],[WE]],MATCH(Table5[[#This Row],[PID]],Table3[[#All],[PID]],0)))</f>
        <v>High</v>
      </c>
      <c r="K649" s="52" t="str">
        <f>IF($C649="B",INDEX(Batters[[#All],[INT]],MATCH(Table5[[#This Row],[PID]],Batters[[#All],[PID]],0)),INDEX(Table3[[#All],[INT]],MATCH(Table5[[#This Row],[PID]],Table3[[#All],[PID]],0)))</f>
        <v>Low</v>
      </c>
      <c r="L649" s="60">
        <f>IF($C649="B",INDEX(Batters[[#All],[CON P]],MATCH(Table5[[#This Row],[PID]],Batters[[#All],[PID]],0)),INDEX(Table3[[#All],[STU P]],MATCH(Table5[[#This Row],[PID]],Table3[[#All],[PID]],0)))</f>
        <v>3</v>
      </c>
      <c r="M649" s="56">
        <f>IF($C649="B",INDEX(Batters[[#All],[GAP P]],MATCH(Table5[[#This Row],[PID]],Batters[[#All],[PID]],0)),INDEX(Table3[[#All],[MOV P]],MATCH(Table5[[#This Row],[PID]],Table3[[#All],[PID]],0)))</f>
        <v>2</v>
      </c>
      <c r="N649" s="56">
        <f>IF($C649="B",INDEX(Batters[[#All],[POW P]],MATCH(Table5[[#This Row],[PID]],Batters[[#All],[PID]],0)),INDEX(Table3[[#All],[CON P]],MATCH(Table5[[#This Row],[PID]],Table3[[#All],[PID]],0)))</f>
        <v>4</v>
      </c>
      <c r="O649" s="56" t="str">
        <f>IF($C649="B",INDEX(Batters[[#All],[EYE P]],MATCH(Table5[[#This Row],[PID]],Batters[[#All],[PID]],0)),INDEX(Table3[[#All],[VELO]],MATCH(Table5[[#This Row],[PID]],Table3[[#All],[PID]],0)))</f>
        <v>87-89 Mph</v>
      </c>
      <c r="P649" s="56">
        <f>IF($C649="B",INDEX(Batters[[#All],[K P]],MATCH(Table5[[#This Row],[PID]],Batters[[#All],[PID]],0)),INDEX(Table3[[#All],[STM]],MATCH(Table5[[#This Row],[PID]],Table3[[#All],[PID]],0)))</f>
        <v>7</v>
      </c>
      <c r="Q649" s="61">
        <f>IF($C649="B",INDEX(Batters[[#All],[Tot]],MATCH(Table5[[#This Row],[PID]],Batters[[#All],[PID]],0)),INDEX(Table3[[#All],[Tot]],MATCH(Table5[[#This Row],[PID]],Table3[[#All],[PID]],0)))</f>
        <v>29.201923401409292</v>
      </c>
      <c r="R649" s="52">
        <f>IF($C649="B",INDEX(Batters[[#All],[zScore]],MATCH(Table5[[#This Row],[PID]],Batters[[#All],[PID]],0)),INDEX(Table3[[#All],[zScore]],MATCH(Table5[[#This Row],[PID]],Table3[[#All],[PID]],0)))</f>
        <v>-0.6124274215914034</v>
      </c>
      <c r="S649" s="58" t="str">
        <f>IF($C649="B",INDEX(Batters[[#All],[DEM]],MATCH(Table5[[#This Row],[PID]],Batters[[#All],[PID]],0)),INDEX(Table3[[#All],[DEM]],MATCH(Table5[[#This Row],[PID]],Table3[[#All],[PID]],0)))</f>
        <v>-</v>
      </c>
      <c r="T649" s="62">
        <f>IF($C649="B",INDEX(Batters[[#All],[Rnk]],MATCH(Table5[[#This Row],[PID]],Batters[[#All],[PID]],0)),INDEX(Table3[[#All],[Rnk]],MATCH(Table5[[#This Row],[PID]],Table3[[#All],[PID]],0)))</f>
        <v>940</v>
      </c>
      <c r="U649" s="67">
        <f>IF($C649="B",VLOOKUP($A649,Bat!$A$4:$BA$1314,47,FALSE),VLOOKUP($A649,Pit!$A$4:$BF$1214,56,FALSE))</f>
        <v>400</v>
      </c>
      <c r="V649" s="50">
        <f>IF($C649="B",VLOOKUP($A649,Bat!$A$4:$BA$1314,48,FALSE),VLOOKUP($A649,Pit!$A$4:$BF$1214,57,FALSE))</f>
        <v>0</v>
      </c>
      <c r="W649" s="68">
        <f>IF(Table5[[#This Row],[posRnk]]=999,9999,Table5[[#This Row],[posRnk]]+Table5[[#This Row],[zRnk]]+IF($W$3&lt;&gt;Table5[[#This Row],[Type]],50,0))</f>
        <v>1572</v>
      </c>
      <c r="X649" s="51">
        <f>RANK(Table5[[#This Row],[zScore]],Table5[[#All],[zScore]])</f>
        <v>632</v>
      </c>
      <c r="Y649" s="50">
        <f>IFERROR(INDEX(DraftResults[[#All],[OVR]],MATCH(Table5[[#This Row],[PID]],DraftResults[[#All],[Player ID]],0)),"")</f>
        <v>650</v>
      </c>
      <c r="Z649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20</v>
      </c>
      <c r="AA649" s="50">
        <f>IFERROR(INDEX(DraftResults[[#All],[Pick in Round]],MATCH(Table5[[#This Row],[PID]],DraftResults[[#All],[Player ID]],0)),"")</f>
        <v>13</v>
      </c>
      <c r="AB649" s="50" t="str">
        <f>IFERROR(INDEX(DraftResults[[#All],[Team Name]],MATCH(Table5[[#This Row],[PID]],DraftResults[[#All],[Player ID]],0)),"")</f>
        <v>Scottish Claymores</v>
      </c>
      <c r="AC649" s="50">
        <f>IF(Table5[[#This Row],[Ovr]]="","",IF(Table5[[#This Row],[cmbList]]="","",Table5[[#This Row],[cmbList]]-Table5[[#This Row],[Ovr]]))</f>
        <v>922</v>
      </c>
      <c r="AD649" s="54" t="str">
        <f>IF(ISERROR(VLOOKUP($AB649&amp;"-"&amp;$E649&amp;" "&amp;F649,Bonuses!$B$1:$G$1006,4,FALSE)),"",INT(VLOOKUP($AB649&amp;"-"&amp;$E649&amp;" "&amp;$F649,Bonuses!$B$1:$G$1006,4,FALSE)))</f>
        <v/>
      </c>
      <c r="AE649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20.13 (650) - RP Joe Donahue</v>
      </c>
    </row>
    <row r="650" spans="1:31" s="50" customFormat="1" x14ac:dyDescent="0.3">
      <c r="A650" s="50">
        <v>11922</v>
      </c>
      <c r="B650" s="55">
        <f>COUNTIF(Table5[PID],A650)</f>
        <v>1</v>
      </c>
      <c r="C650" s="55" t="str">
        <f>IF(COUNTIF(Table3[[#All],[PID]],A650)&gt;0,"P","B")</f>
        <v>B</v>
      </c>
      <c r="D650" s="59" t="str">
        <f>IF($C650="B",INDEX(Batters[[#All],[POS]],MATCH(Table5[[#This Row],[PID]],Batters[[#All],[PID]],0)),INDEX(Table3[[#All],[POS]],MATCH(Table5[[#This Row],[PID]],Table3[[#All],[PID]],0)))</f>
        <v>RF</v>
      </c>
      <c r="E650" s="52" t="str">
        <f>IF($C650="B",INDEX(Batters[[#All],[First]],MATCH(Table5[[#This Row],[PID]],Batters[[#All],[PID]],0)),INDEX(Table3[[#All],[First]],MATCH(Table5[[#This Row],[PID]],Table3[[#All],[PID]],0)))</f>
        <v>Luis</v>
      </c>
      <c r="F650" s="50" t="str">
        <f>IF($C650="B",INDEX(Batters[[#All],[Last]],MATCH(A650,Batters[[#All],[PID]],0)),INDEX(Table3[[#All],[Last]],MATCH(A650,Table3[[#All],[PID]],0)))</f>
        <v>Mota</v>
      </c>
      <c r="G650" s="56">
        <f>IF($C650="B",INDEX(Batters[[#All],[Age]],MATCH(Table5[[#This Row],[PID]],Batters[[#All],[PID]],0)),INDEX(Table3[[#All],[Age]],MATCH(Table5[[#This Row],[PID]],Table3[[#All],[PID]],0)))</f>
        <v>22</v>
      </c>
      <c r="H650" s="52" t="str">
        <f>IF($C650="B",INDEX(Batters[[#All],[B]],MATCH(Table5[[#This Row],[PID]],Batters[[#All],[PID]],0)),INDEX(Table3[[#All],[B]],MATCH(Table5[[#This Row],[PID]],Table3[[#All],[PID]],0)))</f>
        <v>R</v>
      </c>
      <c r="I650" s="52" t="str">
        <f>IF($C650="B",INDEX(Batters[[#All],[T]],MATCH(Table5[[#This Row],[PID]],Batters[[#All],[PID]],0)),INDEX(Table3[[#All],[T]],MATCH(Table5[[#This Row],[PID]],Table3[[#All],[PID]],0)))</f>
        <v>R</v>
      </c>
      <c r="J650" s="52" t="str">
        <f>IF($C650="B",INDEX(Batters[[#All],[WE]],MATCH(Table5[[#This Row],[PID]],Batters[[#All],[PID]],0)),INDEX(Table3[[#All],[WE]],MATCH(Table5[[#This Row],[PID]],Table3[[#All],[PID]],0)))</f>
        <v>Normal</v>
      </c>
      <c r="K650" s="52" t="str">
        <f>IF($C650="B",INDEX(Batters[[#All],[INT]],MATCH(Table5[[#This Row],[PID]],Batters[[#All],[PID]],0)),INDEX(Table3[[#All],[INT]],MATCH(Table5[[#This Row],[PID]],Table3[[#All],[PID]],0)))</f>
        <v>Normal</v>
      </c>
      <c r="L650" s="60">
        <f>IF($C650="B",INDEX(Batters[[#All],[CON P]],MATCH(Table5[[#This Row],[PID]],Batters[[#All],[PID]],0)),INDEX(Table3[[#All],[STU P]],MATCH(Table5[[#This Row],[PID]],Table3[[#All],[PID]],0)))</f>
        <v>3</v>
      </c>
      <c r="M650" s="56">
        <f>IF($C650="B",INDEX(Batters[[#All],[GAP P]],MATCH(Table5[[#This Row],[PID]],Batters[[#All],[PID]],0)),INDEX(Table3[[#All],[MOV P]],MATCH(Table5[[#This Row],[PID]],Table3[[#All],[PID]],0)))</f>
        <v>4</v>
      </c>
      <c r="N650" s="56">
        <f>IF($C650="B",INDEX(Batters[[#All],[POW P]],MATCH(Table5[[#This Row],[PID]],Batters[[#All],[PID]],0)),INDEX(Table3[[#All],[CON P]],MATCH(Table5[[#This Row],[PID]],Table3[[#All],[PID]],0)))</f>
        <v>4</v>
      </c>
      <c r="O650" s="56">
        <f>IF($C650="B",INDEX(Batters[[#All],[EYE P]],MATCH(Table5[[#This Row],[PID]],Batters[[#All],[PID]],0)),INDEX(Table3[[#All],[VELO]],MATCH(Table5[[#This Row],[PID]],Table3[[#All],[PID]],0)))</f>
        <v>6</v>
      </c>
      <c r="P650" s="56">
        <f>IF($C650="B",INDEX(Batters[[#All],[K P]],MATCH(Table5[[#This Row],[PID]],Batters[[#All],[PID]],0)),INDEX(Table3[[#All],[STM]],MATCH(Table5[[#This Row],[PID]],Table3[[#All],[PID]],0)))</f>
        <v>2</v>
      </c>
      <c r="Q650" s="61">
        <f>IF($C650="B",INDEX(Batters[[#All],[Tot]],MATCH(Table5[[#This Row],[PID]],Batters[[#All],[PID]],0)),INDEX(Table3[[#All],[Tot]],MATCH(Table5[[#This Row],[PID]],Table3[[#All],[PID]],0)))</f>
        <v>38.261796238156521</v>
      </c>
      <c r="R650" s="52">
        <f>IF($C650="B",INDEX(Batters[[#All],[zScore]],MATCH(Table5[[#This Row],[PID]],Batters[[#All],[PID]],0)),INDEX(Table3[[#All],[zScore]],MATCH(Table5[[#This Row],[PID]],Table3[[#All],[PID]],0)))</f>
        <v>-0.72351930003201292</v>
      </c>
      <c r="S650" s="58" t="str">
        <f>IF($C650="B",INDEX(Batters[[#All],[DEM]],MATCH(Table5[[#This Row],[PID]],Batters[[#All],[PID]],0)),INDEX(Table3[[#All],[DEM]],MATCH(Table5[[#This Row],[PID]],Table3[[#All],[PID]],0)))</f>
        <v>-</v>
      </c>
      <c r="T650" s="62">
        <f>IF($C650="B",INDEX(Batters[[#All],[Rnk]],MATCH(Table5[[#This Row],[PID]],Batters[[#All],[PID]],0)),INDEX(Table3[[#All],[Rnk]],MATCH(Table5[[#This Row],[PID]],Table3[[#All],[PID]],0)))</f>
        <v>900</v>
      </c>
      <c r="U650" s="67">
        <f>IF($C650="B",VLOOKUP($A650,Bat!$A$4:$BA$1314,47,FALSE),VLOOKUP($A650,Pit!$A$4:$BF$1214,56,FALSE))</f>
        <v>236</v>
      </c>
      <c r="V650" s="50">
        <f>IF($C650="B",VLOOKUP($A650,Bat!$A$4:$BA$1314,48,FALSE),VLOOKUP($A650,Pit!$A$4:$BF$1214,57,FALSE))</f>
        <v>0</v>
      </c>
      <c r="W650" s="68">
        <f>IF(Table5[[#This Row],[posRnk]]=999,9999,Table5[[#This Row],[posRnk]]+Table5[[#This Row],[zRnk]]+IF($W$3&lt;&gt;Table5[[#This Row],[Type]],50,0))</f>
        <v>1623</v>
      </c>
      <c r="X650" s="51">
        <f>RANK(Table5[[#This Row],[zScore]],Table5[[#All],[zScore]])</f>
        <v>673</v>
      </c>
      <c r="Y650" s="50">
        <f>IFERROR(INDEX(DraftResults[[#All],[OVR]],MATCH(Table5[[#This Row],[PID]],DraftResults[[#All],[Player ID]],0)),"")</f>
        <v>587</v>
      </c>
      <c r="Z650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18</v>
      </c>
      <c r="AA650" s="50">
        <f>IFERROR(INDEX(DraftResults[[#All],[Pick in Round]],MATCH(Table5[[#This Row],[PID]],DraftResults[[#All],[Player ID]],0)),"")</f>
        <v>18</v>
      </c>
      <c r="AB650" s="50" t="str">
        <f>IFERROR(INDEX(DraftResults[[#All],[Team Name]],MATCH(Table5[[#This Row],[PID]],DraftResults[[#All],[Player ID]],0)),"")</f>
        <v>San Juan Coqui</v>
      </c>
      <c r="AC650" s="50">
        <f>IF(Table5[[#This Row],[Ovr]]="","",IF(Table5[[#This Row],[cmbList]]="","",Table5[[#This Row],[cmbList]]-Table5[[#This Row],[Ovr]]))</f>
        <v>1036</v>
      </c>
      <c r="AD650" s="54" t="str">
        <f>IF(ISERROR(VLOOKUP($AB650&amp;"-"&amp;$E650&amp;" "&amp;F650,Bonuses!$B$1:$G$1006,4,FALSE)),"",INT(VLOOKUP($AB650&amp;"-"&amp;$E650&amp;" "&amp;$F650,Bonuses!$B$1:$G$1006,4,FALSE)))</f>
        <v/>
      </c>
      <c r="AE650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18.18 (587) - RF Luis Mota</v>
      </c>
    </row>
    <row r="651" spans="1:31" s="50" customFormat="1" x14ac:dyDescent="0.3">
      <c r="A651" s="67">
        <v>9236</v>
      </c>
      <c r="B651" s="68">
        <f>COUNTIF(Table5[PID],A651)</f>
        <v>1</v>
      </c>
      <c r="C651" s="68" t="str">
        <f>IF(COUNTIF(Table3[[#All],[PID]],A651)&gt;0,"P","B")</f>
        <v>B</v>
      </c>
      <c r="D651" s="59" t="str">
        <f>IF($C651="B",INDEX(Batters[[#All],[POS]],MATCH(Table5[[#This Row],[PID]],Batters[[#All],[PID]],0)),INDEX(Table3[[#All],[POS]],MATCH(Table5[[#This Row],[PID]],Table3[[#All],[PID]],0)))</f>
        <v>C</v>
      </c>
      <c r="E651" s="52" t="str">
        <f>IF($C651="B",INDEX(Batters[[#All],[First]],MATCH(Table5[[#This Row],[PID]],Batters[[#All],[PID]],0)),INDEX(Table3[[#All],[First]],MATCH(Table5[[#This Row],[PID]],Table3[[#All],[PID]],0)))</f>
        <v>Jim</v>
      </c>
      <c r="F651" s="55" t="str">
        <f>IF($C651="B",INDEX(Batters[[#All],[Last]],MATCH(A651,Batters[[#All],[PID]],0)),INDEX(Table3[[#All],[Last]],MATCH(A651,Table3[[#All],[PID]],0)))</f>
        <v>Fitzgerald</v>
      </c>
      <c r="G651" s="56">
        <f>IF($C651="B",INDEX(Batters[[#All],[Age]],MATCH(Table5[[#This Row],[PID]],Batters[[#All],[PID]],0)),INDEX(Table3[[#All],[Age]],MATCH(Table5[[#This Row],[PID]],Table3[[#All],[PID]],0)))</f>
        <v>17</v>
      </c>
      <c r="H651" s="52" t="str">
        <f>IF($C651="B",INDEX(Batters[[#All],[B]],MATCH(Table5[[#This Row],[PID]],Batters[[#All],[PID]],0)),INDEX(Table3[[#All],[B]],MATCH(Table5[[#This Row],[PID]],Table3[[#All],[PID]],0)))</f>
        <v>R</v>
      </c>
      <c r="I651" s="52" t="str">
        <f>IF($C651="B",INDEX(Batters[[#All],[T]],MATCH(Table5[[#This Row],[PID]],Batters[[#All],[PID]],0)),INDEX(Table3[[#All],[T]],MATCH(Table5[[#This Row],[PID]],Table3[[#All],[PID]],0)))</f>
        <v>R</v>
      </c>
      <c r="J651" s="69" t="str">
        <f>IF($C651="B",INDEX(Batters[[#All],[WE]],MATCH(Table5[[#This Row],[PID]],Batters[[#All],[PID]],0)),INDEX(Table3[[#All],[WE]],MATCH(Table5[[#This Row],[PID]],Table3[[#All],[PID]],0)))</f>
        <v>Normal</v>
      </c>
      <c r="K651" s="52" t="str">
        <f>IF($C651="B",INDEX(Batters[[#All],[INT]],MATCH(Table5[[#This Row],[PID]],Batters[[#All],[PID]],0)),INDEX(Table3[[#All],[INT]],MATCH(Table5[[#This Row],[PID]],Table3[[#All],[PID]],0)))</f>
        <v>Normal</v>
      </c>
      <c r="L651" s="60">
        <f>IF($C651="B",INDEX(Batters[[#All],[CON P]],MATCH(Table5[[#This Row],[PID]],Batters[[#All],[PID]],0)),INDEX(Table3[[#All],[STU P]],MATCH(Table5[[#This Row],[PID]],Table3[[#All],[PID]],0)))</f>
        <v>2</v>
      </c>
      <c r="M651" s="70">
        <f>IF($C651="B",INDEX(Batters[[#All],[GAP P]],MATCH(Table5[[#This Row],[PID]],Batters[[#All],[PID]],0)),INDEX(Table3[[#All],[MOV P]],MATCH(Table5[[#This Row],[PID]],Table3[[#All],[PID]],0)))</f>
        <v>6</v>
      </c>
      <c r="N651" s="70">
        <f>IF($C651="B",INDEX(Batters[[#All],[POW P]],MATCH(Table5[[#This Row],[PID]],Batters[[#All],[PID]],0)),INDEX(Table3[[#All],[CON P]],MATCH(Table5[[#This Row],[PID]],Table3[[#All],[PID]],0)))</f>
        <v>2</v>
      </c>
      <c r="O651" s="70">
        <f>IF($C651="B",INDEX(Batters[[#All],[EYE P]],MATCH(Table5[[#This Row],[PID]],Batters[[#All],[PID]],0)),INDEX(Table3[[#All],[VELO]],MATCH(Table5[[#This Row],[PID]],Table3[[#All],[PID]],0)))</f>
        <v>5</v>
      </c>
      <c r="P651" s="56">
        <f>IF($C651="B",INDEX(Batters[[#All],[K P]],MATCH(Table5[[#This Row],[PID]],Batters[[#All],[PID]],0)),INDEX(Table3[[#All],[STM]],MATCH(Table5[[#This Row],[PID]],Table3[[#All],[PID]],0)))</f>
        <v>3</v>
      </c>
      <c r="Q651" s="61">
        <f>IF($C651="B",INDEX(Batters[[#All],[Tot]],MATCH(Table5[[#This Row],[PID]],Batters[[#All],[PID]],0)),INDEX(Table3[[#All],[Tot]],MATCH(Table5[[#This Row],[PID]],Table3[[#All],[PID]],0)))</f>
        <v>38.22427985536261</v>
      </c>
      <c r="R651" s="52">
        <f>IF($C651="B",INDEX(Batters[[#All],[zScore]],MATCH(Table5[[#This Row],[PID]],Batters[[#All],[PID]],0)),INDEX(Table3[[#All],[zScore]],MATCH(Table5[[#This Row],[PID]],Table3[[#All],[PID]],0)))</f>
        <v>-0.72899549550923892</v>
      </c>
      <c r="S651" s="75" t="str">
        <f>IF($C651="B",INDEX(Batters[[#All],[DEM]],MATCH(Table5[[#This Row],[PID]],Batters[[#All],[PID]],0)),INDEX(Table3[[#All],[DEM]],MATCH(Table5[[#This Row],[PID]],Table3[[#All],[PID]],0)))</f>
        <v>$38k</v>
      </c>
      <c r="T651" s="72">
        <f>IF($C651="B",INDEX(Batters[[#All],[Rnk]],MATCH(Table5[[#This Row],[PID]],Batters[[#All],[PID]],0)),INDEX(Table3[[#All],[Rnk]],MATCH(Table5[[#This Row],[PID]],Table3[[#All],[PID]],0)))</f>
        <v>900</v>
      </c>
      <c r="U651" s="67">
        <f>IF($C651="B",VLOOKUP($A651,Bat!$A$4:$BA$1314,47,FALSE),VLOOKUP($A651,Pit!$A$4:$BF$1214,56,FALSE))</f>
        <v>239</v>
      </c>
      <c r="V651" s="50">
        <f>IF($C651="B",VLOOKUP($A651,Bat!$A$4:$BA$1314,48,FALSE),VLOOKUP($A651,Pit!$A$4:$BF$1214,57,FALSE))</f>
        <v>0</v>
      </c>
      <c r="W651" s="68">
        <f>IF(Table5[[#This Row],[posRnk]]=999,9999,Table5[[#This Row],[posRnk]]+Table5[[#This Row],[zRnk]]+IF($W$3&lt;&gt;Table5[[#This Row],[Type]],50,0))</f>
        <v>1624</v>
      </c>
      <c r="X651" s="71">
        <f>RANK(Table5[[#This Row],[zScore]],Table5[[#All],[zScore]])</f>
        <v>674</v>
      </c>
      <c r="Y651" s="68" t="str">
        <f>IFERROR(INDEX(DraftResults[[#All],[OVR]],MATCH(Table5[[#This Row],[PID]],DraftResults[[#All],[Player ID]],0)),"")</f>
        <v/>
      </c>
      <c r="Z651" s="7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/>
      </c>
      <c r="AA651" s="68" t="str">
        <f>IFERROR(INDEX(DraftResults[[#All],[Pick in Round]],MATCH(Table5[[#This Row],[PID]],DraftResults[[#All],[Player ID]],0)),"")</f>
        <v/>
      </c>
      <c r="AB651" s="68" t="str">
        <f>IFERROR(INDEX(DraftResults[[#All],[Team Name]],MATCH(Table5[[#This Row],[PID]],DraftResults[[#All],[Player ID]],0)),"")</f>
        <v/>
      </c>
      <c r="AC651" s="68" t="str">
        <f>IF(Table5[[#This Row],[Ovr]]="","",IF(Table5[[#This Row],[cmbList]]="","",Table5[[#This Row],[cmbList]]-Table5[[#This Row],[Ovr]]))</f>
        <v/>
      </c>
      <c r="AD651" s="74" t="str">
        <f>IF(ISERROR(VLOOKUP($AB651&amp;"-"&amp;$E651&amp;" "&amp;F651,Bonuses!$B$1:$G$1006,4,FALSE)),"",INT(VLOOKUP($AB651&amp;"-"&amp;$E651&amp;" "&amp;$F651,Bonuses!$B$1:$G$1006,4,FALSE)))</f>
        <v/>
      </c>
      <c r="AE651" s="68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/>
      </c>
    </row>
    <row r="652" spans="1:31" s="50" customFormat="1" x14ac:dyDescent="0.3">
      <c r="A652" s="50">
        <v>20982</v>
      </c>
      <c r="B652" s="50">
        <f>COUNTIF(Table5[PID],A652)</f>
        <v>1</v>
      </c>
      <c r="C652" s="50" t="str">
        <f>IF(COUNTIF(Table3[[#All],[PID]],A652)&gt;0,"P","B")</f>
        <v>P</v>
      </c>
      <c r="D652" s="59" t="str">
        <f>IF($C652="B",INDEX(Batters[[#All],[POS]],MATCH(Table5[[#This Row],[PID]],Batters[[#All],[PID]],0)),INDEX(Table3[[#All],[POS]],MATCH(Table5[[#This Row],[PID]],Table3[[#All],[PID]],0)))</f>
        <v>RP</v>
      </c>
      <c r="E652" s="52" t="str">
        <f>IF($C652="B",INDEX(Batters[[#All],[First]],MATCH(Table5[[#This Row],[PID]],Batters[[#All],[PID]],0)),INDEX(Table3[[#All],[First]],MATCH(Table5[[#This Row],[PID]],Table3[[#All],[PID]],0)))</f>
        <v>Tony</v>
      </c>
      <c r="F652" s="50" t="str">
        <f>IF($C652="B",INDEX(Batters[[#All],[Last]],MATCH(A652,Batters[[#All],[PID]],0)),INDEX(Table3[[#All],[Last]],MATCH(A652,Table3[[#All],[PID]],0)))</f>
        <v>Mele</v>
      </c>
      <c r="G652" s="56">
        <f>IF($C652="B",INDEX(Batters[[#All],[Age]],MATCH(Table5[[#This Row],[PID]],Batters[[#All],[PID]],0)),INDEX(Table3[[#All],[Age]],MATCH(Table5[[#This Row],[PID]],Table3[[#All],[PID]],0)))</f>
        <v>17</v>
      </c>
      <c r="H652" s="52" t="str">
        <f>IF($C652="B",INDEX(Batters[[#All],[B]],MATCH(Table5[[#This Row],[PID]],Batters[[#All],[PID]],0)),INDEX(Table3[[#All],[B]],MATCH(Table5[[#This Row],[PID]],Table3[[#All],[PID]],0)))</f>
        <v>L</v>
      </c>
      <c r="I652" s="52" t="str">
        <f>IF($C652="B",INDEX(Batters[[#All],[T]],MATCH(Table5[[#This Row],[PID]],Batters[[#All],[PID]],0)),INDEX(Table3[[#All],[T]],MATCH(Table5[[#This Row],[PID]],Table3[[#All],[PID]],0)))</f>
        <v>L</v>
      </c>
      <c r="J652" s="52" t="str">
        <f>IF($C652="B",INDEX(Batters[[#All],[WE]],MATCH(Table5[[#This Row],[PID]],Batters[[#All],[PID]],0)),INDEX(Table3[[#All],[WE]],MATCH(Table5[[#This Row],[PID]],Table3[[#All],[PID]],0)))</f>
        <v>Normal</v>
      </c>
      <c r="K652" s="52" t="str">
        <f>IF($C652="B",INDEX(Batters[[#All],[INT]],MATCH(Table5[[#This Row],[PID]],Batters[[#All],[PID]],0)),INDEX(Table3[[#All],[INT]],MATCH(Table5[[#This Row],[PID]],Table3[[#All],[PID]],0)))</f>
        <v>Normal</v>
      </c>
      <c r="L652" s="60">
        <f>IF($C652="B",INDEX(Batters[[#All],[CON P]],MATCH(Table5[[#This Row],[PID]],Batters[[#All],[PID]],0)),INDEX(Table3[[#All],[STU P]],MATCH(Table5[[#This Row],[PID]],Table3[[#All],[PID]],0)))</f>
        <v>3</v>
      </c>
      <c r="M652" s="56">
        <f>IF($C652="B",INDEX(Batters[[#All],[GAP P]],MATCH(Table5[[#This Row],[PID]],Batters[[#All],[PID]],0)),INDEX(Table3[[#All],[MOV P]],MATCH(Table5[[#This Row],[PID]],Table3[[#All],[PID]],0)))</f>
        <v>2</v>
      </c>
      <c r="N652" s="56">
        <f>IF($C652="B",INDEX(Batters[[#All],[POW P]],MATCH(Table5[[#This Row],[PID]],Batters[[#All],[PID]],0)),INDEX(Table3[[#All],[CON P]],MATCH(Table5[[#This Row],[PID]],Table3[[#All],[PID]],0)))</f>
        <v>4</v>
      </c>
      <c r="O652" s="56" t="str">
        <f>IF($C652="B",INDEX(Batters[[#All],[EYE P]],MATCH(Table5[[#This Row],[PID]],Batters[[#All],[PID]],0)),INDEX(Table3[[#All],[VELO]],MATCH(Table5[[#This Row],[PID]],Table3[[#All],[PID]],0)))</f>
        <v>85-87 Mph</v>
      </c>
      <c r="P652" s="56">
        <f>IF($C652="B",INDEX(Batters[[#All],[K P]],MATCH(Table5[[#This Row],[PID]],Batters[[#All],[PID]],0)),INDEX(Table3[[#All],[STM]],MATCH(Table5[[#This Row],[PID]],Table3[[#All],[PID]],0)))</f>
        <v>7</v>
      </c>
      <c r="Q652" s="61">
        <f>IF($C652="B",INDEX(Batters[[#All],[Tot]],MATCH(Table5[[#This Row],[PID]],Batters[[#All],[PID]],0)),INDEX(Table3[[#All],[Tot]],MATCH(Table5[[#This Row],[PID]],Table3[[#All],[PID]],0)))</f>
        <v>27.533794972131805</v>
      </c>
      <c r="R652" s="52">
        <f>IF($C652="B",INDEX(Batters[[#All],[zScore]],MATCH(Table5[[#This Row],[PID]],Batters[[#All],[PID]],0)),INDEX(Table3[[#All],[zScore]],MATCH(Table5[[#This Row],[PID]],Table3[[#All],[PID]],0)))</f>
        <v>-0.73120989749131049</v>
      </c>
      <c r="S652" s="58" t="str">
        <f>IF($C652="B",INDEX(Batters[[#All],[DEM]],MATCH(Table5[[#This Row],[PID]],Batters[[#All],[PID]],0)),INDEX(Table3[[#All],[DEM]],MATCH(Table5[[#This Row],[PID]],Table3[[#All],[PID]],0)))</f>
        <v>$65k</v>
      </c>
      <c r="T652" s="62">
        <f>IF($C652="B",INDEX(Batters[[#All],[Rnk]],MATCH(Table5[[#This Row],[PID]],Batters[[#All],[PID]],0)),INDEX(Table3[[#All],[Rnk]],MATCH(Table5[[#This Row],[PID]],Table3[[#All],[PID]],0)))</f>
        <v>900</v>
      </c>
      <c r="U652" s="67">
        <f>IF($C652="B",VLOOKUP($A652,Bat!$A$4:$BA$1314,47,FALSE),VLOOKUP($A652,Pit!$A$4:$BF$1214,56,FALSE))</f>
        <v>224</v>
      </c>
      <c r="V652" s="50">
        <f>IF($C652="B",VLOOKUP($A652,Bat!$A$4:$BA$1314,48,FALSE),VLOOKUP($A652,Pit!$A$4:$BF$1214,57,FALSE))</f>
        <v>0</v>
      </c>
      <c r="W652" s="68">
        <f>IF(Table5[[#This Row],[posRnk]]=999,9999,Table5[[#This Row],[posRnk]]+Table5[[#This Row],[zRnk]]+IF($W$3&lt;&gt;Table5[[#This Row],[Type]],50,0))</f>
        <v>1575</v>
      </c>
      <c r="X652" s="51">
        <f>RANK(Table5[[#This Row],[zScore]],Table5[[#All],[zScore]])</f>
        <v>675</v>
      </c>
      <c r="Y652" s="50" t="str">
        <f>IFERROR(INDEX(DraftResults[[#All],[OVR]],MATCH(Table5[[#This Row],[PID]],DraftResults[[#All],[Player ID]],0)),"")</f>
        <v/>
      </c>
      <c r="Z652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/>
      </c>
      <c r="AA652" s="50" t="str">
        <f>IFERROR(INDEX(DraftResults[[#All],[Pick in Round]],MATCH(Table5[[#This Row],[PID]],DraftResults[[#All],[Player ID]],0)),"")</f>
        <v/>
      </c>
      <c r="AB652" s="50" t="str">
        <f>IFERROR(INDEX(DraftResults[[#All],[Team Name]],MATCH(Table5[[#This Row],[PID]],DraftResults[[#All],[Player ID]],0)),"")</f>
        <v/>
      </c>
      <c r="AC652" s="50" t="str">
        <f>IF(Table5[[#This Row],[Ovr]]="","",IF(Table5[[#This Row],[cmbList]]="","",Table5[[#This Row],[cmbList]]-Table5[[#This Row],[Ovr]]))</f>
        <v/>
      </c>
      <c r="AD652" s="54" t="str">
        <f>IF(ISERROR(VLOOKUP($AB652&amp;"-"&amp;$E652&amp;" "&amp;F652,Bonuses!$B$1:$G$1006,4,FALSE)),"",INT(VLOOKUP($AB652&amp;"-"&amp;$E652&amp;" "&amp;$F652,Bonuses!$B$1:$G$1006,4,FALSE)))</f>
        <v/>
      </c>
      <c r="AE652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/>
      </c>
    </row>
    <row r="653" spans="1:31" s="50" customFormat="1" x14ac:dyDescent="0.3">
      <c r="A653" s="50">
        <v>15582</v>
      </c>
      <c r="B653" s="55">
        <f>COUNTIF(Table5[PID],A653)</f>
        <v>1</v>
      </c>
      <c r="C653" s="55" t="str">
        <f>IF(COUNTIF(Table3[[#All],[PID]],A653)&gt;0,"P","B")</f>
        <v>P</v>
      </c>
      <c r="D653" s="59" t="str">
        <f>IF($C653="B",INDEX(Batters[[#All],[POS]],MATCH(Table5[[#This Row],[PID]],Batters[[#All],[PID]],0)),INDEX(Table3[[#All],[POS]],MATCH(Table5[[#This Row],[PID]],Table3[[#All],[PID]],0)))</f>
        <v>RP</v>
      </c>
      <c r="E653" s="52" t="str">
        <f>IF($C653="B",INDEX(Batters[[#All],[First]],MATCH(Table5[[#This Row],[PID]],Batters[[#All],[PID]],0)),INDEX(Table3[[#All],[First]],MATCH(Table5[[#This Row],[PID]],Table3[[#All],[PID]],0)))</f>
        <v>Manny</v>
      </c>
      <c r="F653" s="50" t="str">
        <f>IF($C653="B",INDEX(Batters[[#All],[Last]],MATCH(A653,Batters[[#All],[PID]],0)),INDEX(Table3[[#All],[Last]],MATCH(A653,Table3[[#All],[PID]],0)))</f>
        <v>Rodríguez</v>
      </c>
      <c r="G653" s="56">
        <f>IF($C653="B",INDEX(Batters[[#All],[Age]],MATCH(Table5[[#This Row],[PID]],Batters[[#All],[PID]],0)),INDEX(Table3[[#All],[Age]],MATCH(Table5[[#This Row],[PID]],Table3[[#All],[PID]],0)))</f>
        <v>22</v>
      </c>
      <c r="H653" s="52" t="str">
        <f>IF($C653="B",INDEX(Batters[[#All],[B]],MATCH(Table5[[#This Row],[PID]],Batters[[#All],[PID]],0)),INDEX(Table3[[#All],[B]],MATCH(Table5[[#This Row],[PID]],Table3[[#All],[PID]],0)))</f>
        <v>R</v>
      </c>
      <c r="I653" s="52" t="str">
        <f>IF($C653="B",INDEX(Batters[[#All],[T]],MATCH(Table5[[#This Row],[PID]],Batters[[#All],[PID]],0)),INDEX(Table3[[#All],[T]],MATCH(Table5[[#This Row],[PID]],Table3[[#All],[PID]],0)))</f>
        <v>R</v>
      </c>
      <c r="J653" s="52" t="str">
        <f>IF($C653="B",INDEX(Batters[[#All],[WE]],MATCH(Table5[[#This Row],[PID]],Batters[[#All],[PID]],0)),INDEX(Table3[[#All],[WE]],MATCH(Table5[[#This Row],[PID]],Table3[[#All],[PID]],0)))</f>
        <v>High</v>
      </c>
      <c r="K653" s="52" t="str">
        <f>IF($C653="B",INDEX(Batters[[#All],[INT]],MATCH(Table5[[#This Row],[PID]],Batters[[#All],[PID]],0)),INDEX(Table3[[#All],[INT]],MATCH(Table5[[#This Row],[PID]],Table3[[#All],[PID]],0)))</f>
        <v>Normal</v>
      </c>
      <c r="L653" s="60">
        <f>IF($C653="B",INDEX(Batters[[#All],[CON P]],MATCH(Table5[[#This Row],[PID]],Batters[[#All],[PID]],0)),INDEX(Table3[[#All],[STU P]],MATCH(Table5[[#This Row],[PID]],Table3[[#All],[PID]],0)))</f>
        <v>2</v>
      </c>
      <c r="M653" s="56">
        <f>IF($C653="B",INDEX(Batters[[#All],[GAP P]],MATCH(Table5[[#This Row],[PID]],Batters[[#All],[PID]],0)),INDEX(Table3[[#All],[MOV P]],MATCH(Table5[[#This Row],[PID]],Table3[[#All],[PID]],0)))</f>
        <v>3</v>
      </c>
      <c r="N653" s="56">
        <f>IF($C653="B",INDEX(Batters[[#All],[POW P]],MATCH(Table5[[#This Row],[PID]],Batters[[#All],[PID]],0)),INDEX(Table3[[#All],[CON P]],MATCH(Table5[[#This Row],[PID]],Table3[[#All],[PID]],0)))</f>
        <v>3</v>
      </c>
      <c r="O653" s="56" t="str">
        <f>IF($C653="B",INDEX(Batters[[#All],[EYE P]],MATCH(Table5[[#This Row],[PID]],Batters[[#All],[PID]],0)),INDEX(Table3[[#All],[VELO]],MATCH(Table5[[#This Row],[PID]],Table3[[#All],[PID]],0)))</f>
        <v>83-85 Mph</v>
      </c>
      <c r="P653" s="56">
        <f>IF($C653="B",INDEX(Batters[[#All],[K P]],MATCH(Table5[[#This Row],[PID]],Batters[[#All],[PID]],0)),INDEX(Table3[[#All],[STM]],MATCH(Table5[[#This Row],[PID]],Table3[[#All],[PID]],0)))</f>
        <v>6</v>
      </c>
      <c r="Q653" s="61">
        <f>IF($C653="B",INDEX(Batters[[#All],[Tot]],MATCH(Table5[[#This Row],[PID]],Batters[[#All],[PID]],0)),INDEX(Table3[[#All],[Tot]],MATCH(Table5[[#This Row],[PID]],Table3[[#All],[PID]],0)))</f>
        <v>27.400058408138115</v>
      </c>
      <c r="R653" s="52">
        <f>IF($C653="B",INDEX(Batters[[#All],[zScore]],MATCH(Table5[[#This Row],[PID]],Batters[[#All],[PID]],0)),INDEX(Table3[[#All],[zScore]],MATCH(Table5[[#This Row],[PID]],Table3[[#All],[PID]],0)))</f>
        <v>-0.73384376138576135</v>
      </c>
      <c r="S653" s="58" t="str">
        <f>IF($C653="B",INDEX(Batters[[#All],[DEM]],MATCH(Table5[[#This Row],[PID]],Batters[[#All],[PID]],0)),INDEX(Table3[[#All],[DEM]],MATCH(Table5[[#This Row],[PID]],Table3[[#All],[PID]],0)))</f>
        <v>-</v>
      </c>
      <c r="T653" s="62">
        <f>IF($C653="B",INDEX(Batters[[#All],[Rnk]],MATCH(Table5[[#This Row],[PID]],Batters[[#All],[PID]],0)),INDEX(Table3[[#All],[Rnk]],MATCH(Table5[[#This Row],[PID]],Table3[[#All],[PID]],0)))</f>
        <v>900</v>
      </c>
      <c r="U653" s="67">
        <f>IF($C653="B",VLOOKUP($A653,Bat!$A$4:$BA$1314,47,FALSE),VLOOKUP($A653,Pit!$A$4:$BF$1214,56,FALSE))</f>
        <v>223</v>
      </c>
      <c r="V653" s="50">
        <f>IF($C653="B",VLOOKUP($A653,Bat!$A$4:$BA$1314,48,FALSE),VLOOKUP($A653,Pit!$A$4:$BF$1214,57,FALSE))</f>
        <v>0</v>
      </c>
      <c r="W653" s="68">
        <f>IF(Table5[[#This Row],[posRnk]]=999,9999,Table5[[#This Row],[posRnk]]+Table5[[#This Row],[zRnk]]+IF($W$3&lt;&gt;Table5[[#This Row],[Type]],50,0))</f>
        <v>1576</v>
      </c>
      <c r="X653" s="51">
        <f>RANK(Table5[[#This Row],[zScore]],Table5[[#All],[zScore]])</f>
        <v>676</v>
      </c>
      <c r="Y653" s="50">
        <f>IFERROR(INDEX(DraftResults[[#All],[OVR]],MATCH(Table5[[#This Row],[PID]],DraftResults[[#All],[Player ID]],0)),"")</f>
        <v>603</v>
      </c>
      <c r="Z653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18</v>
      </c>
      <c r="AA653" s="50">
        <f>IFERROR(INDEX(DraftResults[[#All],[Pick in Round]],MATCH(Table5[[#This Row],[PID]],DraftResults[[#All],[Player ID]],0)),"")</f>
        <v>34</v>
      </c>
      <c r="AB653" s="50" t="str">
        <f>IFERROR(INDEX(DraftResults[[#All],[Team Name]],MATCH(Table5[[#This Row],[PID]],DraftResults[[#All],[Player ID]],0)),"")</f>
        <v>Gloucester Fishermen</v>
      </c>
      <c r="AC653" s="50">
        <f>IF(Table5[[#This Row],[Ovr]]="","",IF(Table5[[#This Row],[cmbList]]="","",Table5[[#This Row],[cmbList]]-Table5[[#This Row],[Ovr]]))</f>
        <v>973</v>
      </c>
      <c r="AD653" s="54" t="str">
        <f>IF(ISERROR(VLOOKUP($AB653&amp;"-"&amp;$E653&amp;" "&amp;F653,Bonuses!$B$1:$G$1006,4,FALSE)),"",INT(VLOOKUP($AB653&amp;"-"&amp;$E653&amp;" "&amp;$F653,Bonuses!$B$1:$G$1006,4,FALSE)))</f>
        <v/>
      </c>
      <c r="AE653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18.34 (603) - RP Manny Rodríguez</v>
      </c>
    </row>
    <row r="654" spans="1:31" s="50" customFormat="1" x14ac:dyDescent="0.3">
      <c r="A654" s="50">
        <v>12637</v>
      </c>
      <c r="B654" s="55">
        <f>COUNTIF(Table5[PID],A654)</f>
        <v>1</v>
      </c>
      <c r="C654" s="55" t="str">
        <f>IF(COUNTIF(Table3[[#All],[PID]],A654)&gt;0,"P","B")</f>
        <v>B</v>
      </c>
      <c r="D654" s="59" t="str">
        <f>IF($C654="B",INDEX(Batters[[#All],[POS]],MATCH(Table5[[#This Row],[PID]],Batters[[#All],[PID]],0)),INDEX(Table3[[#All],[POS]],MATCH(Table5[[#This Row],[PID]],Table3[[#All],[PID]],0)))</f>
        <v>1B</v>
      </c>
      <c r="E654" s="52" t="str">
        <f>IF($C654="B",INDEX(Batters[[#All],[First]],MATCH(Table5[[#This Row],[PID]],Batters[[#All],[PID]],0)),INDEX(Table3[[#All],[First]],MATCH(Table5[[#This Row],[PID]],Table3[[#All],[PID]],0)))</f>
        <v>Jim</v>
      </c>
      <c r="F654" s="50" t="str">
        <f>IF($C654="B",INDEX(Batters[[#All],[Last]],MATCH(A654,Batters[[#All],[PID]],0)),INDEX(Table3[[#All],[Last]],MATCH(A654,Table3[[#All],[PID]],0)))</f>
        <v>Dodman</v>
      </c>
      <c r="G654" s="56">
        <f>IF($C654="B",INDEX(Batters[[#All],[Age]],MATCH(Table5[[#This Row],[PID]],Batters[[#All],[PID]],0)),INDEX(Table3[[#All],[Age]],MATCH(Table5[[#This Row],[PID]],Table3[[#All],[PID]],0)))</f>
        <v>17</v>
      </c>
      <c r="H654" s="52" t="str">
        <f>IF($C654="B",INDEX(Batters[[#All],[B]],MATCH(Table5[[#This Row],[PID]],Batters[[#All],[PID]],0)),INDEX(Table3[[#All],[B]],MATCH(Table5[[#This Row],[PID]],Table3[[#All],[PID]],0)))</f>
        <v>L</v>
      </c>
      <c r="I654" s="52" t="str">
        <f>IF($C654="B",INDEX(Batters[[#All],[T]],MATCH(Table5[[#This Row],[PID]],Batters[[#All],[PID]],0)),INDEX(Table3[[#All],[T]],MATCH(Table5[[#This Row],[PID]],Table3[[#All],[PID]],0)))</f>
        <v>L</v>
      </c>
      <c r="J654" s="52" t="str">
        <f>IF($C654="B",INDEX(Batters[[#All],[WE]],MATCH(Table5[[#This Row],[PID]],Batters[[#All],[PID]],0)),INDEX(Table3[[#All],[WE]],MATCH(Table5[[#This Row],[PID]],Table3[[#All],[PID]],0)))</f>
        <v>High</v>
      </c>
      <c r="K654" s="52" t="str">
        <f>IF($C654="B",INDEX(Batters[[#All],[INT]],MATCH(Table5[[#This Row],[PID]],Batters[[#All],[PID]],0)),INDEX(Table3[[#All],[INT]],MATCH(Table5[[#This Row],[PID]],Table3[[#All],[PID]],0)))</f>
        <v>Normal</v>
      </c>
      <c r="L654" s="60">
        <f>IF($C654="B",INDEX(Batters[[#All],[CON P]],MATCH(Table5[[#This Row],[PID]],Batters[[#All],[PID]],0)),INDEX(Table3[[#All],[STU P]],MATCH(Table5[[#This Row],[PID]],Table3[[#All],[PID]],0)))</f>
        <v>3</v>
      </c>
      <c r="M654" s="56">
        <f>IF($C654="B",INDEX(Batters[[#All],[GAP P]],MATCH(Table5[[#This Row],[PID]],Batters[[#All],[PID]],0)),INDEX(Table3[[#All],[MOV P]],MATCH(Table5[[#This Row],[PID]],Table3[[#All],[PID]],0)))</f>
        <v>3</v>
      </c>
      <c r="N654" s="56">
        <f>IF($C654="B",INDEX(Batters[[#All],[POW P]],MATCH(Table5[[#This Row],[PID]],Batters[[#All],[PID]],0)),INDEX(Table3[[#All],[CON P]],MATCH(Table5[[#This Row],[PID]],Table3[[#All],[PID]],0)))</f>
        <v>3</v>
      </c>
      <c r="O654" s="56">
        <f>IF($C654="B",INDEX(Batters[[#All],[EYE P]],MATCH(Table5[[#This Row],[PID]],Batters[[#All],[PID]],0)),INDEX(Table3[[#All],[VELO]],MATCH(Table5[[#This Row],[PID]],Table3[[#All],[PID]],0)))</f>
        <v>2</v>
      </c>
      <c r="P654" s="56">
        <f>IF($C654="B",INDEX(Batters[[#All],[K P]],MATCH(Table5[[#This Row],[PID]],Batters[[#All],[PID]],0)),INDEX(Table3[[#All],[STM]],MATCH(Table5[[#This Row],[PID]],Table3[[#All],[PID]],0)))</f>
        <v>3</v>
      </c>
      <c r="Q654" s="61">
        <f>IF($C654="B",INDEX(Batters[[#All],[Tot]],MATCH(Table5[[#This Row],[PID]],Batters[[#All],[PID]],0)),INDEX(Table3[[#All],[Tot]],MATCH(Table5[[#This Row],[PID]],Table3[[#All],[PID]],0)))</f>
        <v>38.10409433942516</v>
      </c>
      <c r="R654" s="52">
        <f>IF($C654="B",INDEX(Batters[[#All],[zScore]],MATCH(Table5[[#This Row],[PID]],Batters[[#All],[PID]],0)),INDEX(Table3[[#All],[zScore]],MATCH(Table5[[#This Row],[PID]],Table3[[#All],[PID]],0)))</f>
        <v>-0.74653874807759624</v>
      </c>
      <c r="S654" s="58" t="str">
        <f>IF($C654="B",INDEX(Batters[[#All],[DEM]],MATCH(Table5[[#This Row],[PID]],Batters[[#All],[PID]],0)),INDEX(Table3[[#All],[DEM]],MATCH(Table5[[#This Row],[PID]],Table3[[#All],[PID]],0)))</f>
        <v>$65k</v>
      </c>
      <c r="T654" s="62">
        <f>IF($C654="B",INDEX(Batters[[#All],[Rnk]],MATCH(Table5[[#This Row],[PID]],Batters[[#All],[PID]],0)),INDEX(Table3[[#All],[Rnk]],MATCH(Table5[[#This Row],[PID]],Table3[[#All],[PID]],0)))</f>
        <v>900</v>
      </c>
      <c r="U654" s="67">
        <f>IF($C654="B",VLOOKUP($A654,Bat!$A$4:$BA$1314,47,FALSE),VLOOKUP($A654,Pit!$A$4:$BF$1214,56,FALSE))</f>
        <v>226</v>
      </c>
      <c r="V654" s="50">
        <f>IF($C654="B",VLOOKUP($A654,Bat!$A$4:$BA$1314,48,FALSE),VLOOKUP($A654,Pit!$A$4:$BF$1214,57,FALSE))</f>
        <v>0</v>
      </c>
      <c r="W654" s="68">
        <f>IF(Table5[[#This Row],[posRnk]]=999,9999,Table5[[#This Row],[posRnk]]+Table5[[#This Row],[zRnk]]+IF($W$3&lt;&gt;Table5[[#This Row],[Type]],50,0))</f>
        <v>1627</v>
      </c>
      <c r="X654" s="51">
        <f>RANK(Table5[[#This Row],[zScore]],Table5[[#All],[zScore]])</f>
        <v>677</v>
      </c>
      <c r="Y654" s="50" t="str">
        <f>IFERROR(INDEX(DraftResults[[#All],[OVR]],MATCH(Table5[[#This Row],[PID]],DraftResults[[#All],[Player ID]],0)),"")</f>
        <v/>
      </c>
      <c r="Z654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/>
      </c>
      <c r="AA654" s="50" t="str">
        <f>IFERROR(INDEX(DraftResults[[#All],[Pick in Round]],MATCH(Table5[[#This Row],[PID]],DraftResults[[#All],[Player ID]],0)),"")</f>
        <v/>
      </c>
      <c r="AB654" s="50" t="str">
        <f>IFERROR(INDEX(DraftResults[[#All],[Team Name]],MATCH(Table5[[#This Row],[PID]],DraftResults[[#All],[Player ID]],0)),"")</f>
        <v/>
      </c>
      <c r="AC654" s="50" t="str">
        <f>IF(Table5[[#This Row],[Ovr]]="","",IF(Table5[[#This Row],[cmbList]]="","",Table5[[#This Row],[cmbList]]-Table5[[#This Row],[Ovr]]))</f>
        <v/>
      </c>
      <c r="AD654" s="54" t="str">
        <f>IF(ISERROR(VLOOKUP($AB654&amp;"-"&amp;$E654&amp;" "&amp;F654,Bonuses!$B$1:$G$1006,4,FALSE)),"",INT(VLOOKUP($AB654&amp;"-"&amp;$E654&amp;" "&amp;$F654,Bonuses!$B$1:$G$1006,4,FALSE)))</f>
        <v/>
      </c>
      <c r="AE654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/>
      </c>
    </row>
    <row r="655" spans="1:31" s="50" customFormat="1" x14ac:dyDescent="0.3">
      <c r="A655" s="50">
        <v>5141</v>
      </c>
      <c r="B655" s="50">
        <f>COUNTIF(Table5[PID],A655)</f>
        <v>1</v>
      </c>
      <c r="C655" s="50" t="str">
        <f>IF(COUNTIF(Table3[[#All],[PID]],A655)&gt;0,"P","B")</f>
        <v>P</v>
      </c>
      <c r="D655" s="59" t="str">
        <f>IF($C655="B",INDEX(Batters[[#All],[POS]],MATCH(Table5[[#This Row],[PID]],Batters[[#All],[PID]],0)),INDEX(Table3[[#All],[POS]],MATCH(Table5[[#This Row],[PID]],Table3[[#All],[PID]],0)))</f>
        <v>RP</v>
      </c>
      <c r="E655" s="52" t="str">
        <f>IF($C655="B",INDEX(Batters[[#All],[First]],MATCH(Table5[[#This Row],[PID]],Batters[[#All],[PID]],0)),INDEX(Table3[[#All],[First]],MATCH(Table5[[#This Row],[PID]],Table3[[#All],[PID]],0)))</f>
        <v>Tommy</v>
      </c>
      <c r="F655" s="50" t="str">
        <f>IF($C655="B",INDEX(Batters[[#All],[Last]],MATCH(A655,Batters[[#All],[PID]],0)),INDEX(Table3[[#All],[Last]],MATCH(A655,Table3[[#All],[PID]],0)))</f>
        <v>Henderson</v>
      </c>
      <c r="G655" s="56">
        <f>IF($C655="B",INDEX(Batters[[#All],[Age]],MATCH(Table5[[#This Row],[PID]],Batters[[#All],[PID]],0)),INDEX(Table3[[#All],[Age]],MATCH(Table5[[#This Row],[PID]],Table3[[#All],[PID]],0)))</f>
        <v>21</v>
      </c>
      <c r="H655" s="52" t="str">
        <f>IF($C655="B",INDEX(Batters[[#All],[B]],MATCH(Table5[[#This Row],[PID]],Batters[[#All],[PID]],0)),INDEX(Table3[[#All],[B]],MATCH(Table5[[#This Row],[PID]],Table3[[#All],[PID]],0)))</f>
        <v>L</v>
      </c>
      <c r="I655" s="52" t="str">
        <f>IF($C655="B",INDEX(Batters[[#All],[T]],MATCH(Table5[[#This Row],[PID]],Batters[[#All],[PID]],0)),INDEX(Table3[[#All],[T]],MATCH(Table5[[#This Row],[PID]],Table3[[#All],[PID]],0)))</f>
        <v>L</v>
      </c>
      <c r="J655" s="52" t="str">
        <f>IF($C655="B",INDEX(Batters[[#All],[WE]],MATCH(Table5[[#This Row],[PID]],Batters[[#All],[PID]],0)),INDEX(Table3[[#All],[WE]],MATCH(Table5[[#This Row],[PID]],Table3[[#All],[PID]],0)))</f>
        <v>Normal</v>
      </c>
      <c r="K655" s="52" t="str">
        <f>IF($C655="B",INDEX(Batters[[#All],[INT]],MATCH(Table5[[#This Row],[PID]],Batters[[#All],[PID]],0)),INDEX(Table3[[#All],[INT]],MATCH(Table5[[#This Row],[PID]],Table3[[#All],[PID]],0)))</f>
        <v>Normal</v>
      </c>
      <c r="L655" s="60">
        <f>IF($C655="B",INDEX(Batters[[#All],[CON P]],MATCH(Table5[[#This Row],[PID]],Batters[[#All],[PID]],0)),INDEX(Table3[[#All],[STU P]],MATCH(Table5[[#This Row],[PID]],Table3[[#All],[PID]],0)))</f>
        <v>4</v>
      </c>
      <c r="M655" s="56">
        <f>IF($C655="B",INDEX(Batters[[#All],[GAP P]],MATCH(Table5[[#This Row],[PID]],Batters[[#All],[PID]],0)),INDEX(Table3[[#All],[MOV P]],MATCH(Table5[[#This Row],[PID]],Table3[[#All],[PID]],0)))</f>
        <v>3</v>
      </c>
      <c r="N655" s="56">
        <f>IF($C655="B",INDEX(Batters[[#All],[POW P]],MATCH(Table5[[#This Row],[PID]],Batters[[#All],[PID]],0)),INDEX(Table3[[#All],[CON P]],MATCH(Table5[[#This Row],[PID]],Table3[[#All],[PID]],0)))</f>
        <v>2</v>
      </c>
      <c r="O655" s="56" t="str">
        <f>IF($C655="B",INDEX(Batters[[#All],[EYE P]],MATCH(Table5[[#This Row],[PID]],Batters[[#All],[PID]],0)),INDEX(Table3[[#All],[VELO]],MATCH(Table5[[#This Row],[PID]],Table3[[#All],[PID]],0)))</f>
        <v>88-90 Mph</v>
      </c>
      <c r="P655" s="56">
        <f>IF($C655="B",INDEX(Batters[[#All],[K P]],MATCH(Table5[[#This Row],[PID]],Batters[[#All],[PID]],0)),INDEX(Table3[[#All],[STM]],MATCH(Table5[[#This Row],[PID]],Table3[[#All],[PID]],0)))</f>
        <v>7</v>
      </c>
      <c r="Q655" s="61">
        <f>IF($C655="B",INDEX(Batters[[#All],[Tot]],MATCH(Table5[[#This Row],[PID]],Batters[[#All],[PID]],0)),INDEX(Table3[[#All],[Tot]],MATCH(Table5[[#This Row],[PID]],Table3[[#All],[PID]],0)))</f>
        <v>27.302183808104648</v>
      </c>
      <c r="R655" s="52">
        <f>IF($C655="B",INDEX(Batters[[#All],[zScore]],MATCH(Table5[[#This Row],[PID]],Batters[[#All],[PID]],0)),INDEX(Table3[[#All],[zScore]],MATCH(Table5[[#This Row],[PID]],Table3[[#All],[PID]],0)))</f>
        <v>-0.7477022412619404</v>
      </c>
      <c r="S655" s="58" t="str">
        <f>IF($C655="B",INDEX(Batters[[#All],[DEM]],MATCH(Table5[[#This Row],[PID]],Batters[[#All],[PID]],0)),INDEX(Table3[[#All],[DEM]],MATCH(Table5[[#This Row],[PID]],Table3[[#All],[PID]],0)))</f>
        <v>-</v>
      </c>
      <c r="T655" s="62">
        <f>IF($C655="B",INDEX(Batters[[#All],[Rnk]],MATCH(Table5[[#This Row],[PID]],Batters[[#All],[PID]],0)),INDEX(Table3[[#All],[Rnk]],MATCH(Table5[[#This Row],[PID]],Table3[[#All],[PID]],0)))</f>
        <v>900</v>
      </c>
      <c r="U655" s="67">
        <f>IF($C655="B",VLOOKUP($A655,Bat!$A$4:$BA$1314,47,FALSE),VLOOKUP($A655,Pit!$A$4:$BF$1214,56,FALSE))</f>
        <v>226</v>
      </c>
      <c r="V655" s="50">
        <f>IF($C655="B",VLOOKUP($A655,Bat!$A$4:$BA$1314,48,FALSE),VLOOKUP($A655,Pit!$A$4:$BF$1214,57,FALSE))</f>
        <v>0</v>
      </c>
      <c r="W655" s="68">
        <f>IF(Table5[[#This Row],[posRnk]]=999,9999,Table5[[#This Row],[posRnk]]+Table5[[#This Row],[zRnk]]+IF($W$3&lt;&gt;Table5[[#This Row],[Type]],50,0))</f>
        <v>1578</v>
      </c>
      <c r="X655" s="51">
        <f>RANK(Table5[[#This Row],[zScore]],Table5[[#All],[zScore]])</f>
        <v>678</v>
      </c>
      <c r="Y655" s="50">
        <f>IFERROR(INDEX(DraftResults[[#All],[OVR]],MATCH(Table5[[#This Row],[PID]],DraftResults[[#All],[Player ID]],0)),"")</f>
        <v>513</v>
      </c>
      <c r="Z655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16</v>
      </c>
      <c r="AA655" s="50">
        <f>IFERROR(INDEX(DraftResults[[#All],[Pick in Round]],MATCH(Table5[[#This Row],[PID]],DraftResults[[#All],[Player ID]],0)),"")</f>
        <v>12</v>
      </c>
      <c r="AB655" s="50" t="str">
        <f>IFERROR(INDEX(DraftResults[[#All],[Team Name]],MATCH(Table5[[#This Row],[PID]],DraftResults[[#All],[Player ID]],0)),"")</f>
        <v>Manchester Maulers</v>
      </c>
      <c r="AC655" s="50">
        <f>IF(Table5[[#This Row],[Ovr]]="","",IF(Table5[[#This Row],[cmbList]]="","",Table5[[#This Row],[cmbList]]-Table5[[#This Row],[Ovr]]))</f>
        <v>1065</v>
      </c>
      <c r="AD655" s="54" t="str">
        <f>IF(ISERROR(VLOOKUP($AB655&amp;"-"&amp;$E655&amp;" "&amp;F655,Bonuses!$B$1:$G$1006,4,FALSE)),"",INT(VLOOKUP($AB655&amp;"-"&amp;$E655&amp;" "&amp;$F655,Bonuses!$B$1:$G$1006,4,FALSE)))</f>
        <v/>
      </c>
      <c r="AE655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16.12 (513) - RP Tommy Henderson</v>
      </c>
    </row>
    <row r="656" spans="1:31" s="50" customFormat="1" x14ac:dyDescent="0.3">
      <c r="A656" s="50">
        <v>11943</v>
      </c>
      <c r="B656" s="50">
        <f>COUNTIF(Table5[PID],A656)</f>
        <v>1</v>
      </c>
      <c r="C656" s="50" t="str">
        <f>IF(COUNTIF(Table3[[#All],[PID]],A656)&gt;0,"P","B")</f>
        <v>B</v>
      </c>
      <c r="D656" s="59" t="str">
        <f>IF($C656="B",INDEX(Batters[[#All],[POS]],MATCH(Table5[[#This Row],[PID]],Batters[[#All],[PID]],0)),INDEX(Table3[[#All],[POS]],MATCH(Table5[[#This Row],[PID]],Table3[[#All],[PID]],0)))</f>
        <v>1B</v>
      </c>
      <c r="E656" s="52" t="str">
        <f>IF($C656="B",INDEX(Batters[[#All],[First]],MATCH(Table5[[#This Row],[PID]],Batters[[#All],[PID]],0)),INDEX(Table3[[#All],[First]],MATCH(Table5[[#This Row],[PID]],Table3[[#All],[PID]],0)))</f>
        <v>José</v>
      </c>
      <c r="F656" s="50" t="str">
        <f>IF($C656="B",INDEX(Batters[[#All],[Last]],MATCH(A656,Batters[[#All],[PID]],0)),INDEX(Table3[[#All],[Last]],MATCH(A656,Table3[[#All],[PID]],0)))</f>
        <v>Ortíz</v>
      </c>
      <c r="G656" s="56">
        <f>IF($C656="B",INDEX(Batters[[#All],[Age]],MATCH(Table5[[#This Row],[PID]],Batters[[#All],[PID]],0)),INDEX(Table3[[#All],[Age]],MATCH(Table5[[#This Row],[PID]],Table3[[#All],[PID]],0)))</f>
        <v>17</v>
      </c>
      <c r="H656" s="52" t="str">
        <f>IF($C656="B",INDEX(Batters[[#All],[B]],MATCH(Table5[[#This Row],[PID]],Batters[[#All],[PID]],0)),INDEX(Table3[[#All],[B]],MATCH(Table5[[#This Row],[PID]],Table3[[#All],[PID]],0)))</f>
        <v>S</v>
      </c>
      <c r="I656" s="52" t="str">
        <f>IF($C656="B",INDEX(Batters[[#All],[T]],MATCH(Table5[[#This Row],[PID]],Batters[[#All],[PID]],0)),INDEX(Table3[[#All],[T]],MATCH(Table5[[#This Row],[PID]],Table3[[#All],[PID]],0)))</f>
        <v>R</v>
      </c>
      <c r="J656" s="52" t="str">
        <f>IF($C656="B",INDEX(Batters[[#All],[WE]],MATCH(Table5[[#This Row],[PID]],Batters[[#All],[PID]],0)),INDEX(Table3[[#All],[WE]],MATCH(Table5[[#This Row],[PID]],Table3[[#All],[PID]],0)))</f>
        <v>Low</v>
      </c>
      <c r="K656" s="52" t="str">
        <f>IF($C656="B",INDEX(Batters[[#All],[INT]],MATCH(Table5[[#This Row],[PID]],Batters[[#All],[PID]],0)),INDEX(Table3[[#All],[INT]],MATCH(Table5[[#This Row],[PID]],Table3[[#All],[PID]],0)))</f>
        <v>Normal</v>
      </c>
      <c r="L656" s="60">
        <f>IF($C656="B",INDEX(Batters[[#All],[CON P]],MATCH(Table5[[#This Row],[PID]],Batters[[#All],[PID]],0)),INDEX(Table3[[#All],[STU P]],MATCH(Table5[[#This Row],[PID]],Table3[[#All],[PID]],0)))</f>
        <v>2</v>
      </c>
      <c r="M656" s="56">
        <f>IF($C656="B",INDEX(Batters[[#All],[GAP P]],MATCH(Table5[[#This Row],[PID]],Batters[[#All],[PID]],0)),INDEX(Table3[[#All],[MOV P]],MATCH(Table5[[#This Row],[PID]],Table3[[#All],[PID]],0)))</f>
        <v>5</v>
      </c>
      <c r="N656" s="56">
        <f>IF($C656="B",INDEX(Batters[[#All],[POW P]],MATCH(Table5[[#This Row],[PID]],Batters[[#All],[PID]],0)),INDEX(Table3[[#All],[CON P]],MATCH(Table5[[#This Row],[PID]],Table3[[#All],[PID]],0)))</f>
        <v>4</v>
      </c>
      <c r="O656" s="56">
        <f>IF($C656="B",INDEX(Batters[[#All],[EYE P]],MATCH(Table5[[#This Row],[PID]],Batters[[#All],[PID]],0)),INDEX(Table3[[#All],[VELO]],MATCH(Table5[[#This Row],[PID]],Table3[[#All],[PID]],0)))</f>
        <v>5</v>
      </c>
      <c r="P656" s="56">
        <f>IF($C656="B",INDEX(Batters[[#All],[K P]],MATCH(Table5[[#This Row],[PID]],Batters[[#All],[PID]],0)),INDEX(Table3[[#All],[STM]],MATCH(Table5[[#This Row],[PID]],Table3[[#All],[PID]],0)))</f>
        <v>2</v>
      </c>
      <c r="Q656" s="61">
        <f>IF($C656="B",INDEX(Batters[[#All],[Tot]],MATCH(Table5[[#This Row],[PID]],Batters[[#All],[PID]],0)),INDEX(Table3[[#All],[Tot]],MATCH(Table5[[#This Row],[PID]],Table3[[#All],[PID]],0)))</f>
        <v>38.627330159033896</v>
      </c>
      <c r="R656" s="52">
        <f>IF($C656="B",INDEX(Batters[[#All],[zScore]],MATCH(Table5[[#This Row],[PID]],Batters[[#All],[PID]],0)),INDEX(Table3[[#All],[zScore]],MATCH(Table5[[#This Row],[PID]],Table3[[#All],[PID]],0)))</f>
        <v>-0.65259595361254374</v>
      </c>
      <c r="S656" s="58" t="str">
        <f>IF($C656="B",INDEX(Batters[[#All],[DEM]],MATCH(Table5[[#This Row],[PID]],Batters[[#All],[PID]],0)),INDEX(Table3[[#All],[DEM]],MATCH(Table5[[#This Row],[PID]],Table3[[#All],[PID]],0)))</f>
        <v>$80k</v>
      </c>
      <c r="T656" s="62">
        <f>IF($C656="B",INDEX(Batters[[#All],[Rnk]],MATCH(Table5[[#This Row],[PID]],Batters[[#All],[PID]],0)),INDEX(Table3[[#All],[Rnk]],MATCH(Table5[[#This Row],[PID]],Table3[[#All],[PID]],0)))</f>
        <v>930</v>
      </c>
      <c r="U656" s="67">
        <f>IF($C656="B",VLOOKUP($A656,Bat!$A$4:$BA$1314,47,FALSE),VLOOKUP($A656,Pit!$A$4:$BF$1214,56,FALSE))</f>
        <v>357</v>
      </c>
      <c r="V656" s="50">
        <f>IF($C656="B",VLOOKUP($A656,Bat!$A$4:$BA$1314,48,FALSE),VLOOKUP($A656,Pit!$A$4:$BF$1214,57,FALSE))</f>
        <v>0</v>
      </c>
      <c r="W656" s="68">
        <f>IF(Table5[[#This Row],[posRnk]]=999,9999,Table5[[#This Row],[posRnk]]+Table5[[#This Row],[zRnk]]+IF($W$3&lt;&gt;Table5[[#This Row],[Type]],50,0))</f>
        <v>1628</v>
      </c>
      <c r="X656" s="51">
        <f>RANK(Table5[[#This Row],[zScore]],Table5[[#All],[zScore]])</f>
        <v>648</v>
      </c>
      <c r="Y656" s="50" t="str">
        <f>IFERROR(INDEX(DraftResults[[#All],[OVR]],MATCH(Table5[[#This Row],[PID]],DraftResults[[#All],[Player ID]],0)),"")</f>
        <v/>
      </c>
      <c r="Z656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/>
      </c>
      <c r="AA656" s="50" t="str">
        <f>IFERROR(INDEX(DraftResults[[#All],[Pick in Round]],MATCH(Table5[[#This Row],[PID]],DraftResults[[#All],[Player ID]],0)),"")</f>
        <v/>
      </c>
      <c r="AB656" s="50" t="str">
        <f>IFERROR(INDEX(DraftResults[[#All],[Team Name]],MATCH(Table5[[#This Row],[PID]],DraftResults[[#All],[Player ID]],0)),"")</f>
        <v/>
      </c>
      <c r="AC656" s="50" t="str">
        <f>IF(Table5[[#This Row],[Ovr]]="","",IF(Table5[[#This Row],[cmbList]]="","",Table5[[#This Row],[cmbList]]-Table5[[#This Row],[Ovr]]))</f>
        <v/>
      </c>
      <c r="AD656" s="54" t="str">
        <f>IF(ISERROR(VLOOKUP($AB656&amp;"-"&amp;$E656&amp;" "&amp;F656,Bonuses!$B$1:$G$1006,4,FALSE)),"",INT(VLOOKUP($AB656&amp;"-"&amp;$E656&amp;" "&amp;$F656,Bonuses!$B$1:$G$1006,4,FALSE)))</f>
        <v/>
      </c>
      <c r="AE656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/>
      </c>
    </row>
    <row r="657" spans="1:31" s="50" customFormat="1" x14ac:dyDescent="0.3">
      <c r="A657" s="67">
        <v>16929</v>
      </c>
      <c r="B657" s="68">
        <f>COUNTIF(Table5[PID],A657)</f>
        <v>1</v>
      </c>
      <c r="C657" s="68" t="str">
        <f>IF(COUNTIF(Table3[[#All],[PID]],A657)&gt;0,"P","B")</f>
        <v>B</v>
      </c>
      <c r="D657" s="59" t="str">
        <f>IF($C657="B",INDEX(Batters[[#All],[POS]],MATCH(Table5[[#This Row],[PID]],Batters[[#All],[PID]],0)),INDEX(Table3[[#All],[POS]],MATCH(Table5[[#This Row],[PID]],Table3[[#All],[PID]],0)))</f>
        <v>3B</v>
      </c>
      <c r="E657" s="52" t="str">
        <f>IF($C657="B",INDEX(Batters[[#All],[First]],MATCH(Table5[[#This Row],[PID]],Batters[[#All],[PID]],0)),INDEX(Table3[[#All],[First]],MATCH(Table5[[#This Row],[PID]],Table3[[#All],[PID]],0)))</f>
        <v>Jim</v>
      </c>
      <c r="F657" s="55" t="str">
        <f>IF($C657="B",INDEX(Batters[[#All],[Last]],MATCH(A657,Batters[[#All],[PID]],0)),INDEX(Table3[[#All],[Last]],MATCH(A657,Table3[[#All],[PID]],0)))</f>
        <v>Marshall</v>
      </c>
      <c r="G657" s="56">
        <f>IF($C657="B",INDEX(Batters[[#All],[Age]],MATCH(Table5[[#This Row],[PID]],Batters[[#All],[PID]],0)),INDEX(Table3[[#All],[Age]],MATCH(Table5[[#This Row],[PID]],Table3[[#All],[PID]],0)))</f>
        <v>22</v>
      </c>
      <c r="H657" s="52" t="str">
        <f>IF($C657="B",INDEX(Batters[[#All],[B]],MATCH(Table5[[#This Row],[PID]],Batters[[#All],[PID]],0)),INDEX(Table3[[#All],[B]],MATCH(Table5[[#This Row],[PID]],Table3[[#All],[PID]],0)))</f>
        <v>R</v>
      </c>
      <c r="I657" s="52" t="str">
        <f>IF($C657="B",INDEX(Batters[[#All],[T]],MATCH(Table5[[#This Row],[PID]],Batters[[#All],[PID]],0)),INDEX(Table3[[#All],[T]],MATCH(Table5[[#This Row],[PID]],Table3[[#All],[PID]],0)))</f>
        <v>R</v>
      </c>
      <c r="J657" s="69" t="str">
        <f>IF($C657="B",INDEX(Batters[[#All],[WE]],MATCH(Table5[[#This Row],[PID]],Batters[[#All],[PID]],0)),INDEX(Table3[[#All],[WE]],MATCH(Table5[[#This Row],[PID]],Table3[[#All],[PID]],0)))</f>
        <v>High</v>
      </c>
      <c r="K657" s="52" t="str">
        <f>IF($C657="B",INDEX(Batters[[#All],[INT]],MATCH(Table5[[#This Row],[PID]],Batters[[#All],[PID]],0)),INDEX(Table3[[#All],[INT]],MATCH(Table5[[#This Row],[PID]],Table3[[#All],[PID]],0)))</f>
        <v>Normal</v>
      </c>
      <c r="L657" s="60">
        <f>IF($C657="B",INDEX(Batters[[#All],[CON P]],MATCH(Table5[[#This Row],[PID]],Batters[[#All],[PID]],0)),INDEX(Table3[[#All],[STU P]],MATCH(Table5[[#This Row],[PID]],Table3[[#All],[PID]],0)))</f>
        <v>3</v>
      </c>
      <c r="M657" s="70">
        <f>IF($C657="B",INDEX(Batters[[#All],[GAP P]],MATCH(Table5[[#This Row],[PID]],Batters[[#All],[PID]],0)),INDEX(Table3[[#All],[MOV P]],MATCH(Table5[[#This Row],[PID]],Table3[[#All],[PID]],0)))</f>
        <v>4</v>
      </c>
      <c r="N657" s="70">
        <f>IF($C657="B",INDEX(Batters[[#All],[POW P]],MATCH(Table5[[#This Row],[PID]],Batters[[#All],[PID]],0)),INDEX(Table3[[#All],[CON P]],MATCH(Table5[[#This Row],[PID]],Table3[[#All],[PID]],0)))</f>
        <v>2</v>
      </c>
      <c r="O657" s="70">
        <f>IF($C657="B",INDEX(Batters[[#All],[EYE P]],MATCH(Table5[[#This Row],[PID]],Batters[[#All],[PID]],0)),INDEX(Table3[[#All],[VELO]],MATCH(Table5[[#This Row],[PID]],Table3[[#All],[PID]],0)))</f>
        <v>5</v>
      </c>
      <c r="P657" s="56">
        <f>IF($C657="B",INDEX(Batters[[#All],[K P]],MATCH(Table5[[#This Row],[PID]],Batters[[#All],[PID]],0)),INDEX(Table3[[#All],[STM]],MATCH(Table5[[#This Row],[PID]],Table3[[#All],[PID]],0)))</f>
        <v>3</v>
      </c>
      <c r="Q657" s="61">
        <f>IF($C657="B",INDEX(Batters[[#All],[Tot]],MATCH(Table5[[#This Row],[PID]],Batters[[#All],[PID]],0)),INDEX(Table3[[#All],[Tot]],MATCH(Table5[[#This Row],[PID]],Table3[[#All],[PID]],0)))</f>
        <v>38.094846939510632</v>
      </c>
      <c r="R657" s="52">
        <f>IF($C657="B",INDEX(Batters[[#All],[zScore]],MATCH(Table5[[#This Row],[PID]],Batters[[#All],[PID]],0)),INDEX(Table3[[#All],[zScore]],MATCH(Table5[[#This Row],[PID]],Table3[[#All],[PID]],0)))</f>
        <v>-0.74788857356227123</v>
      </c>
      <c r="S657" s="75" t="str">
        <f>IF($C657="B",INDEX(Batters[[#All],[DEM]],MATCH(Table5[[#This Row],[PID]],Batters[[#All],[PID]],0)),INDEX(Table3[[#All],[DEM]],MATCH(Table5[[#This Row],[PID]],Table3[[#All],[PID]],0)))</f>
        <v>$20k</v>
      </c>
      <c r="T657" s="72">
        <f>IF($C657="B",INDEX(Batters[[#All],[Rnk]],MATCH(Table5[[#This Row],[PID]],Batters[[#All],[PID]],0)),INDEX(Table3[[#All],[Rnk]],MATCH(Table5[[#This Row],[PID]],Table3[[#All],[PID]],0)))</f>
        <v>900</v>
      </c>
      <c r="U657" s="67">
        <f>IF($C657="B",VLOOKUP($A657,Bat!$A$4:$BA$1314,47,FALSE),VLOOKUP($A657,Pit!$A$4:$BF$1214,56,FALSE))</f>
        <v>227</v>
      </c>
      <c r="V657" s="50">
        <f>IF($C657="B",VLOOKUP($A657,Bat!$A$4:$BA$1314,48,FALSE),VLOOKUP($A657,Pit!$A$4:$BF$1214,57,FALSE))</f>
        <v>0</v>
      </c>
      <c r="W657" s="68">
        <f>IF(Table5[[#This Row],[posRnk]]=999,9999,Table5[[#This Row],[posRnk]]+Table5[[#This Row],[zRnk]]+IF($W$3&lt;&gt;Table5[[#This Row],[Type]],50,0))</f>
        <v>1629</v>
      </c>
      <c r="X657" s="71">
        <f>RANK(Table5[[#This Row],[zScore]],Table5[[#All],[zScore]])</f>
        <v>679</v>
      </c>
      <c r="Y657" s="68">
        <f>IFERROR(INDEX(DraftResults[[#All],[OVR]],MATCH(Table5[[#This Row],[PID]],DraftResults[[#All],[Player ID]],0)),"")</f>
        <v>253</v>
      </c>
      <c r="Z657" s="7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8</v>
      </c>
      <c r="AA657" s="68">
        <f>IFERROR(INDEX(DraftResults[[#All],[Pick in Round]],MATCH(Table5[[#This Row],[PID]],DraftResults[[#All],[Player ID]],0)),"")</f>
        <v>20</v>
      </c>
      <c r="AB657" s="68" t="str">
        <f>IFERROR(INDEX(DraftResults[[#All],[Team Name]],MATCH(Table5[[#This Row],[PID]],DraftResults[[#All],[Player ID]],0)),"")</f>
        <v>Crystal Lake Sandgnats</v>
      </c>
      <c r="AC657" s="68">
        <f>IF(Table5[[#This Row],[Ovr]]="","",IF(Table5[[#This Row],[cmbList]]="","",Table5[[#This Row],[cmbList]]-Table5[[#This Row],[Ovr]]))</f>
        <v>1376</v>
      </c>
      <c r="AD657" s="74" t="str">
        <f>IF(ISERROR(VLOOKUP($AB657&amp;"-"&amp;$E657&amp;" "&amp;F657,Bonuses!$B$1:$G$1006,4,FALSE)),"",INT(VLOOKUP($AB657&amp;"-"&amp;$E657&amp;" "&amp;$F657,Bonuses!$B$1:$G$1006,4,FALSE)))</f>
        <v/>
      </c>
      <c r="AE657" s="68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8.20 (253) - 3B Jim Marshall</v>
      </c>
    </row>
    <row r="658" spans="1:31" s="50" customFormat="1" x14ac:dyDescent="0.3">
      <c r="A658" s="50">
        <v>13320</v>
      </c>
      <c r="B658" s="50">
        <f>COUNTIF(Table5[PID],A658)</f>
        <v>1</v>
      </c>
      <c r="C658" s="50" t="str">
        <f>IF(COUNTIF(Table3[[#All],[PID]],A658)&gt;0,"P","B")</f>
        <v>B</v>
      </c>
      <c r="D658" s="59" t="str">
        <f>IF($C658="B",INDEX(Batters[[#All],[POS]],MATCH(Table5[[#This Row],[PID]],Batters[[#All],[PID]],0)),INDEX(Table3[[#All],[POS]],MATCH(Table5[[#This Row],[PID]],Table3[[#All],[PID]],0)))</f>
        <v>CF</v>
      </c>
      <c r="E658" s="52" t="str">
        <f>IF($C658="B",INDEX(Batters[[#All],[First]],MATCH(Table5[[#This Row],[PID]],Batters[[#All],[PID]],0)),INDEX(Table3[[#All],[First]],MATCH(Table5[[#This Row],[PID]],Table3[[#All],[PID]],0)))</f>
        <v>Juichi</v>
      </c>
      <c r="F658" s="50" t="str">
        <f>IF($C658="B",INDEX(Batters[[#All],[Last]],MATCH(A658,Batters[[#All],[PID]],0)),INDEX(Table3[[#All],[Last]],MATCH(A658,Table3[[#All],[PID]],0)))</f>
        <v>Sakai</v>
      </c>
      <c r="G658" s="56">
        <f>IF($C658="B",INDEX(Batters[[#All],[Age]],MATCH(Table5[[#This Row],[PID]],Batters[[#All],[PID]],0)),INDEX(Table3[[#All],[Age]],MATCH(Table5[[#This Row],[PID]],Table3[[#All],[PID]],0)))</f>
        <v>22</v>
      </c>
      <c r="H658" s="52" t="str">
        <f>IF($C658="B",INDEX(Batters[[#All],[B]],MATCH(Table5[[#This Row],[PID]],Batters[[#All],[PID]],0)),INDEX(Table3[[#All],[B]],MATCH(Table5[[#This Row],[PID]],Table3[[#All],[PID]],0)))</f>
        <v>R</v>
      </c>
      <c r="I658" s="52" t="str">
        <f>IF($C658="B",INDEX(Batters[[#All],[T]],MATCH(Table5[[#This Row],[PID]],Batters[[#All],[PID]],0)),INDEX(Table3[[#All],[T]],MATCH(Table5[[#This Row],[PID]],Table3[[#All],[PID]],0)))</f>
        <v>R</v>
      </c>
      <c r="J658" s="52" t="str">
        <f>IF($C658="B",INDEX(Batters[[#All],[WE]],MATCH(Table5[[#This Row],[PID]],Batters[[#All],[PID]],0)),INDEX(Table3[[#All],[WE]],MATCH(Table5[[#This Row],[PID]],Table3[[#All],[PID]],0)))</f>
        <v>Low</v>
      </c>
      <c r="K658" s="52" t="str">
        <f>IF($C658="B",INDEX(Batters[[#All],[INT]],MATCH(Table5[[#This Row],[PID]],Batters[[#All],[PID]],0)),INDEX(Table3[[#All],[INT]],MATCH(Table5[[#This Row],[PID]],Table3[[#All],[PID]],0)))</f>
        <v>Normal</v>
      </c>
      <c r="L658" s="60">
        <f>IF($C658="B",INDEX(Batters[[#All],[CON P]],MATCH(Table5[[#This Row],[PID]],Batters[[#All],[PID]],0)),INDEX(Table3[[#All],[STU P]],MATCH(Table5[[#This Row],[PID]],Table3[[#All],[PID]],0)))</f>
        <v>4</v>
      </c>
      <c r="M658" s="56">
        <f>IF($C658="B",INDEX(Batters[[#All],[GAP P]],MATCH(Table5[[#This Row],[PID]],Batters[[#All],[PID]],0)),INDEX(Table3[[#All],[MOV P]],MATCH(Table5[[#This Row],[PID]],Table3[[#All],[PID]],0)))</f>
        <v>3</v>
      </c>
      <c r="N658" s="56">
        <f>IF($C658="B",INDEX(Batters[[#All],[POW P]],MATCH(Table5[[#This Row],[PID]],Batters[[#All],[PID]],0)),INDEX(Table3[[#All],[CON P]],MATCH(Table5[[#This Row],[PID]],Table3[[#All],[PID]],0)))</f>
        <v>2</v>
      </c>
      <c r="O658" s="56">
        <f>IF($C658="B",INDEX(Batters[[#All],[EYE P]],MATCH(Table5[[#This Row],[PID]],Batters[[#All],[PID]],0)),INDEX(Table3[[#All],[VELO]],MATCH(Table5[[#This Row],[PID]],Table3[[#All],[PID]],0)))</f>
        <v>4</v>
      </c>
      <c r="P658" s="56">
        <f>IF($C658="B",INDEX(Batters[[#All],[K P]],MATCH(Table5[[#This Row],[PID]],Batters[[#All],[PID]],0)),INDEX(Table3[[#All],[STM]],MATCH(Table5[[#This Row],[PID]],Table3[[#All],[PID]],0)))</f>
        <v>5</v>
      </c>
      <c r="Q658" s="61">
        <f>IF($C658="B",INDEX(Batters[[#All],[Tot]],MATCH(Table5[[#This Row],[PID]],Batters[[#All],[PID]],0)),INDEX(Table3[[#All],[Tot]],MATCH(Table5[[#This Row],[PID]],Table3[[#All],[PID]],0)))</f>
        <v>38.711345908643402</v>
      </c>
      <c r="R658" s="52">
        <f>IF($C658="B",INDEX(Batters[[#All],[zScore]],MATCH(Table5[[#This Row],[PID]],Batters[[#All],[PID]],0)),INDEX(Table3[[#All],[zScore]],MATCH(Table5[[#This Row],[PID]],Table3[[#All],[PID]],0)))</f>
        <v>-0.65789938443854279</v>
      </c>
      <c r="S658" s="58" t="str">
        <f>IF($C658="B",INDEX(Batters[[#All],[DEM]],MATCH(Table5[[#This Row],[PID]],Batters[[#All],[PID]],0)),INDEX(Table3[[#All],[DEM]],MATCH(Table5[[#This Row],[PID]],Table3[[#All],[PID]],0)))</f>
        <v>-</v>
      </c>
      <c r="T658" s="62">
        <f>IF($C658="B",INDEX(Batters[[#All],[Rnk]],MATCH(Table5[[#This Row],[PID]],Batters[[#All],[PID]],0)),INDEX(Table3[[#All],[Rnk]],MATCH(Table5[[#This Row],[PID]],Table3[[#All],[PID]],0)))</f>
        <v>930</v>
      </c>
      <c r="U658" s="67">
        <f>IF($C658="B",VLOOKUP($A658,Bat!$A$4:$BA$1314,47,FALSE),VLOOKUP($A658,Pit!$A$4:$BF$1214,56,FALSE))</f>
        <v>358</v>
      </c>
      <c r="V658" s="50">
        <f>IF($C658="B",VLOOKUP($A658,Bat!$A$4:$BA$1314,48,FALSE),VLOOKUP($A658,Pit!$A$4:$BF$1214,57,FALSE))</f>
        <v>0</v>
      </c>
      <c r="W658" s="68">
        <f>IF(Table5[[#This Row],[posRnk]]=999,9999,Table5[[#This Row],[posRnk]]+Table5[[#This Row],[zRnk]]+IF($W$3&lt;&gt;Table5[[#This Row],[Type]],50,0))</f>
        <v>1630</v>
      </c>
      <c r="X658" s="51">
        <f>RANK(Table5[[#This Row],[zScore]],Table5[[#All],[zScore]])</f>
        <v>650</v>
      </c>
      <c r="Y658" s="50">
        <f>IFERROR(INDEX(DraftResults[[#All],[OVR]],MATCH(Table5[[#This Row],[PID]],DraftResults[[#All],[Player ID]],0)),"")</f>
        <v>418</v>
      </c>
      <c r="Z658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13</v>
      </c>
      <c r="AA658" s="50">
        <f>IFERROR(INDEX(DraftResults[[#All],[Pick in Round]],MATCH(Table5[[#This Row],[PID]],DraftResults[[#All],[Player ID]],0)),"")</f>
        <v>19</v>
      </c>
      <c r="AB658" s="50" t="str">
        <f>IFERROR(INDEX(DraftResults[[#All],[Team Name]],MATCH(Table5[[#This Row],[PID]],DraftResults[[#All],[Player ID]],0)),"")</f>
        <v>Fargo Dinosaurs</v>
      </c>
      <c r="AC658" s="50">
        <f>IF(Table5[[#This Row],[Ovr]]="","",IF(Table5[[#This Row],[cmbList]]="","",Table5[[#This Row],[cmbList]]-Table5[[#This Row],[Ovr]]))</f>
        <v>1212</v>
      </c>
      <c r="AD658" s="54" t="str">
        <f>IF(ISERROR(VLOOKUP($AB658&amp;"-"&amp;$E658&amp;" "&amp;F658,Bonuses!$B$1:$G$1006,4,FALSE)),"",INT(VLOOKUP($AB658&amp;"-"&amp;$E658&amp;" "&amp;$F658,Bonuses!$B$1:$G$1006,4,FALSE)))</f>
        <v/>
      </c>
      <c r="AE658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13.19 (418) - CF Juichi Sakai</v>
      </c>
    </row>
    <row r="659" spans="1:31" s="50" customFormat="1" x14ac:dyDescent="0.3">
      <c r="A659" s="67">
        <v>6173</v>
      </c>
      <c r="B659" s="68">
        <f>COUNTIF(Table5[PID],A659)</f>
        <v>1</v>
      </c>
      <c r="C659" s="68" t="str">
        <f>IF(COUNTIF(Table3[[#All],[PID]],A659)&gt;0,"P","B")</f>
        <v>B</v>
      </c>
      <c r="D659" s="59" t="str">
        <f>IF($C659="B",INDEX(Batters[[#All],[POS]],MATCH(Table5[[#This Row],[PID]],Batters[[#All],[PID]],0)),INDEX(Table3[[#All],[POS]],MATCH(Table5[[#This Row],[PID]],Table3[[#All],[PID]],0)))</f>
        <v>1B</v>
      </c>
      <c r="E659" s="52" t="str">
        <f>IF($C659="B",INDEX(Batters[[#All],[First]],MATCH(Table5[[#This Row],[PID]],Batters[[#All],[PID]],0)),INDEX(Table3[[#All],[First]],MATCH(Table5[[#This Row],[PID]],Table3[[#All],[PID]],0)))</f>
        <v>Noritoshi</v>
      </c>
      <c r="F659" s="55" t="str">
        <f>IF($C659="B",INDEX(Batters[[#All],[Last]],MATCH(A659,Batters[[#All],[PID]],0)),INDEX(Table3[[#All],[Last]],MATCH(A659,Table3[[#All],[PID]],0)))</f>
        <v>Ishinomori</v>
      </c>
      <c r="G659" s="56">
        <f>IF($C659="B",INDEX(Batters[[#All],[Age]],MATCH(Table5[[#This Row],[PID]],Batters[[#All],[PID]],0)),INDEX(Table3[[#All],[Age]],MATCH(Table5[[#This Row],[PID]],Table3[[#All],[PID]],0)))</f>
        <v>21</v>
      </c>
      <c r="H659" s="52" t="str">
        <f>IF($C659="B",INDEX(Batters[[#All],[B]],MATCH(Table5[[#This Row],[PID]],Batters[[#All],[PID]],0)),INDEX(Table3[[#All],[B]],MATCH(Table5[[#This Row],[PID]],Table3[[#All],[PID]],0)))</f>
        <v>L</v>
      </c>
      <c r="I659" s="52" t="str">
        <f>IF($C659="B",INDEX(Batters[[#All],[T]],MATCH(Table5[[#This Row],[PID]],Batters[[#All],[PID]],0)),INDEX(Table3[[#All],[T]],MATCH(Table5[[#This Row],[PID]],Table3[[#All],[PID]],0)))</f>
        <v>R</v>
      </c>
      <c r="J659" s="69" t="str">
        <f>IF($C659="B",INDEX(Batters[[#All],[WE]],MATCH(Table5[[#This Row],[PID]],Batters[[#All],[PID]],0)),INDEX(Table3[[#All],[WE]],MATCH(Table5[[#This Row],[PID]],Table3[[#All],[PID]],0)))</f>
        <v>High</v>
      </c>
      <c r="K659" s="52" t="str">
        <f>IF($C659="B",INDEX(Batters[[#All],[INT]],MATCH(Table5[[#This Row],[PID]],Batters[[#All],[PID]],0)),INDEX(Table3[[#All],[INT]],MATCH(Table5[[#This Row],[PID]],Table3[[#All],[PID]],0)))</f>
        <v>Normal</v>
      </c>
      <c r="L659" s="60">
        <f>IF($C659="B",INDEX(Batters[[#All],[CON P]],MATCH(Table5[[#This Row],[PID]],Batters[[#All],[PID]],0)),INDEX(Table3[[#All],[STU P]],MATCH(Table5[[#This Row],[PID]],Table3[[#All],[PID]],0)))</f>
        <v>3</v>
      </c>
      <c r="M659" s="70">
        <f>IF($C659="B",INDEX(Batters[[#All],[GAP P]],MATCH(Table5[[#This Row],[PID]],Batters[[#All],[PID]],0)),INDEX(Table3[[#All],[MOV P]],MATCH(Table5[[#This Row],[PID]],Table3[[#All],[PID]],0)))</f>
        <v>4</v>
      </c>
      <c r="N659" s="70">
        <f>IF($C659="B",INDEX(Batters[[#All],[POW P]],MATCH(Table5[[#This Row],[PID]],Batters[[#All],[PID]],0)),INDEX(Table3[[#All],[CON P]],MATCH(Table5[[#This Row],[PID]],Table3[[#All],[PID]],0)))</f>
        <v>4</v>
      </c>
      <c r="O659" s="70">
        <f>IF($C659="B",INDEX(Batters[[#All],[EYE P]],MATCH(Table5[[#This Row],[PID]],Batters[[#All],[PID]],0)),INDEX(Table3[[#All],[VELO]],MATCH(Table5[[#This Row],[PID]],Table3[[#All],[PID]],0)))</f>
        <v>5</v>
      </c>
      <c r="P659" s="56">
        <f>IF($C659="B",INDEX(Batters[[#All],[K P]],MATCH(Table5[[#This Row],[PID]],Batters[[#All],[PID]],0)),INDEX(Table3[[#All],[STM]],MATCH(Table5[[#This Row],[PID]],Table3[[#All],[PID]],0)))</f>
        <v>3</v>
      </c>
      <c r="Q659" s="61">
        <f>IF($C659="B",INDEX(Batters[[#All],[Tot]],MATCH(Table5[[#This Row],[PID]],Batters[[#All],[PID]],0)),INDEX(Table3[[#All],[Tot]],MATCH(Table5[[#This Row],[PID]],Table3[[#All],[PID]],0)))</f>
        <v>38.029988883087086</v>
      </c>
      <c r="R659" s="52">
        <f>IF($C659="B",INDEX(Batters[[#All],[zScore]],MATCH(Table5[[#This Row],[PID]],Batters[[#All],[PID]],0)),INDEX(Table3[[#All],[zScore]],MATCH(Table5[[#This Row],[PID]],Table3[[#All],[PID]],0)))</f>
        <v>-0.75735578145380444</v>
      </c>
      <c r="S659" s="75" t="str">
        <f>IF($C659="B",INDEX(Batters[[#All],[DEM]],MATCH(Table5[[#This Row],[PID]],Batters[[#All],[PID]],0)),INDEX(Table3[[#All],[DEM]],MATCH(Table5[[#This Row],[PID]],Table3[[#All],[PID]],0)))</f>
        <v>-</v>
      </c>
      <c r="T659" s="72">
        <f>IF($C659="B",INDEX(Batters[[#All],[Rnk]],MATCH(Table5[[#This Row],[PID]],Batters[[#All],[PID]],0)),INDEX(Table3[[#All],[Rnk]],MATCH(Table5[[#This Row],[PID]],Table3[[#All],[PID]],0)))</f>
        <v>900</v>
      </c>
      <c r="U659" s="67">
        <f>IF($C659="B",VLOOKUP($A659,Bat!$A$4:$BA$1314,47,FALSE),VLOOKUP($A659,Pit!$A$4:$BF$1214,56,FALSE))</f>
        <v>230</v>
      </c>
      <c r="V659" s="50">
        <f>IF($C659="B",VLOOKUP($A659,Bat!$A$4:$BA$1314,48,FALSE),VLOOKUP($A659,Pit!$A$4:$BF$1214,57,FALSE))</f>
        <v>0</v>
      </c>
      <c r="W659" s="68">
        <f>IF(Table5[[#This Row],[posRnk]]=999,9999,Table5[[#This Row],[posRnk]]+Table5[[#This Row],[zRnk]]+IF($W$3&lt;&gt;Table5[[#This Row],[Type]],50,0))</f>
        <v>1631</v>
      </c>
      <c r="X659" s="71">
        <f>RANK(Table5[[#This Row],[zScore]],Table5[[#All],[zScore]])</f>
        <v>681</v>
      </c>
      <c r="Y659" s="68">
        <f>IFERROR(INDEX(DraftResults[[#All],[OVR]],MATCH(Table5[[#This Row],[PID]],DraftResults[[#All],[Player ID]],0)),"")</f>
        <v>405</v>
      </c>
      <c r="Z659" s="7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13</v>
      </c>
      <c r="AA659" s="68">
        <f>IFERROR(INDEX(DraftResults[[#All],[Pick in Round]],MATCH(Table5[[#This Row],[PID]],DraftResults[[#All],[Player ID]],0)),"")</f>
        <v>6</v>
      </c>
      <c r="AB659" s="68" t="str">
        <f>IFERROR(INDEX(DraftResults[[#All],[Team Name]],MATCH(Table5[[#This Row],[PID]],DraftResults[[#All],[Player ID]],0)),"")</f>
        <v>New Orleans Trendsetters</v>
      </c>
      <c r="AC659" s="68">
        <f>IF(Table5[[#This Row],[Ovr]]="","",IF(Table5[[#This Row],[cmbList]]="","",Table5[[#This Row],[cmbList]]-Table5[[#This Row],[Ovr]]))</f>
        <v>1226</v>
      </c>
      <c r="AD659" s="74" t="str">
        <f>IF(ISERROR(VLOOKUP($AB659&amp;"-"&amp;$E659&amp;" "&amp;F659,Bonuses!$B$1:$G$1006,4,FALSE)),"",INT(VLOOKUP($AB659&amp;"-"&amp;$E659&amp;" "&amp;$F659,Bonuses!$B$1:$G$1006,4,FALSE)))</f>
        <v/>
      </c>
      <c r="AE659" s="68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13.6 (405) - 1B Noritoshi Ishinomori</v>
      </c>
    </row>
    <row r="660" spans="1:31" s="50" customFormat="1" x14ac:dyDescent="0.3">
      <c r="A660" s="50">
        <v>20250</v>
      </c>
      <c r="B660" s="50">
        <f>COUNTIF(Table5[PID],A660)</f>
        <v>1</v>
      </c>
      <c r="C660" s="50" t="str">
        <f>IF(COUNTIF(Table3[[#All],[PID]],A660)&gt;0,"P","B")</f>
        <v>B</v>
      </c>
      <c r="D660" s="59" t="str">
        <f>IF($C660="B",INDEX(Batters[[#All],[POS]],MATCH(Table5[[#This Row],[PID]],Batters[[#All],[PID]],0)),INDEX(Table3[[#All],[POS]],MATCH(Table5[[#This Row],[PID]],Table3[[#All],[PID]],0)))</f>
        <v>C</v>
      </c>
      <c r="E660" s="52" t="str">
        <f>IF($C660="B",INDEX(Batters[[#All],[First]],MATCH(Table5[[#This Row],[PID]],Batters[[#All],[PID]],0)),INDEX(Table3[[#All],[First]],MATCH(Table5[[#This Row],[PID]],Table3[[#All],[PID]],0)))</f>
        <v>Joseph</v>
      </c>
      <c r="F660" s="50" t="str">
        <f>IF($C660="B",INDEX(Batters[[#All],[Last]],MATCH(A660,Batters[[#All],[PID]],0)),INDEX(Table3[[#All],[Last]],MATCH(A660,Table3[[#All],[PID]],0)))</f>
        <v>Cowan</v>
      </c>
      <c r="G660" s="56">
        <f>IF($C660="B",INDEX(Batters[[#All],[Age]],MATCH(Table5[[#This Row],[PID]],Batters[[#All],[PID]],0)),INDEX(Table3[[#All],[Age]],MATCH(Table5[[#This Row],[PID]],Table3[[#All],[PID]],0)))</f>
        <v>21</v>
      </c>
      <c r="H660" s="52" t="str">
        <f>IF($C660="B",INDEX(Batters[[#All],[B]],MATCH(Table5[[#This Row],[PID]],Batters[[#All],[PID]],0)),INDEX(Table3[[#All],[B]],MATCH(Table5[[#This Row],[PID]],Table3[[#All],[PID]],0)))</f>
        <v>R</v>
      </c>
      <c r="I660" s="52" t="str">
        <f>IF($C660="B",INDEX(Batters[[#All],[T]],MATCH(Table5[[#This Row],[PID]],Batters[[#All],[PID]],0)),INDEX(Table3[[#All],[T]],MATCH(Table5[[#This Row],[PID]],Table3[[#All],[PID]],0)))</f>
        <v>R</v>
      </c>
      <c r="J660" s="52" t="str">
        <f>IF($C660="B",INDEX(Batters[[#All],[WE]],MATCH(Table5[[#This Row],[PID]],Batters[[#All],[PID]],0)),INDEX(Table3[[#All],[WE]],MATCH(Table5[[#This Row],[PID]],Table3[[#All],[PID]],0)))</f>
        <v>Normal</v>
      </c>
      <c r="K660" s="52" t="str">
        <f>IF($C660="B",INDEX(Batters[[#All],[INT]],MATCH(Table5[[#This Row],[PID]],Batters[[#All],[PID]],0)),INDEX(Table3[[#All],[INT]],MATCH(Table5[[#This Row],[PID]],Table3[[#All],[PID]],0)))</f>
        <v>Normal</v>
      </c>
      <c r="L660" s="60">
        <f>IF($C660="B",INDEX(Batters[[#All],[CON P]],MATCH(Table5[[#This Row],[PID]],Batters[[#All],[PID]],0)),INDEX(Table3[[#All],[STU P]],MATCH(Table5[[#This Row],[PID]],Table3[[#All],[PID]],0)))</f>
        <v>3</v>
      </c>
      <c r="M660" s="56">
        <f>IF($C660="B",INDEX(Batters[[#All],[GAP P]],MATCH(Table5[[#This Row],[PID]],Batters[[#All],[PID]],0)),INDEX(Table3[[#All],[MOV P]],MATCH(Table5[[#This Row],[PID]],Table3[[#All],[PID]],0)))</f>
        <v>3</v>
      </c>
      <c r="N660" s="56">
        <f>IF($C660="B",INDEX(Batters[[#All],[POW P]],MATCH(Table5[[#This Row],[PID]],Batters[[#All],[PID]],0)),INDEX(Table3[[#All],[CON P]],MATCH(Table5[[#This Row],[PID]],Table3[[#All],[PID]],0)))</f>
        <v>2</v>
      </c>
      <c r="O660" s="56">
        <f>IF($C660="B",INDEX(Batters[[#All],[EYE P]],MATCH(Table5[[#This Row],[PID]],Batters[[#All],[PID]],0)),INDEX(Table3[[#All],[VELO]],MATCH(Table5[[#This Row],[PID]],Table3[[#All],[PID]],0)))</f>
        <v>6</v>
      </c>
      <c r="P660" s="56">
        <f>IF($C660="B",INDEX(Batters[[#All],[K P]],MATCH(Table5[[#This Row],[PID]],Batters[[#All],[PID]],0)),INDEX(Table3[[#All],[STM]],MATCH(Table5[[#This Row],[PID]],Table3[[#All],[PID]],0)))</f>
        <v>3</v>
      </c>
      <c r="Q660" s="61">
        <f>IF($C660="B",INDEX(Batters[[#All],[Tot]],MATCH(Table5[[#This Row],[PID]],Batters[[#All],[PID]],0)),INDEX(Table3[[#All],[Tot]],MATCH(Table5[[#This Row],[PID]],Table3[[#All],[PID]],0)))</f>
        <v>38.017477272259498</v>
      </c>
      <c r="R660" s="52">
        <f>IF($C660="B",INDEX(Batters[[#All],[zScore]],MATCH(Table5[[#This Row],[PID]],Batters[[#All],[PID]],0)),INDEX(Table3[[#All],[zScore]],MATCH(Table5[[#This Row],[PID]],Table3[[#All],[PID]],0)))</f>
        <v>-0.75918207763494827</v>
      </c>
      <c r="S660" s="58" t="str">
        <f>IF($C660="B",INDEX(Batters[[#All],[DEM]],MATCH(Table5[[#This Row],[PID]],Batters[[#All],[PID]],0)),INDEX(Table3[[#All],[DEM]],MATCH(Table5[[#This Row],[PID]],Table3[[#All],[PID]],0)))</f>
        <v>-</v>
      </c>
      <c r="T660" s="62">
        <f>IF($C660="B",INDEX(Batters[[#All],[Rnk]],MATCH(Table5[[#This Row],[PID]],Batters[[#All],[PID]],0)),INDEX(Table3[[#All],[Rnk]],MATCH(Table5[[#This Row],[PID]],Table3[[#All],[PID]],0)))</f>
        <v>900</v>
      </c>
      <c r="U660" s="67">
        <f>IF($C660="B",VLOOKUP($A660,Bat!$A$4:$BA$1314,47,FALSE),VLOOKUP($A660,Pit!$A$4:$BF$1214,56,FALSE))</f>
        <v>243</v>
      </c>
      <c r="V660" s="50">
        <f>IF($C660="B",VLOOKUP($A660,Bat!$A$4:$BA$1314,48,FALSE),VLOOKUP($A660,Pit!$A$4:$BF$1214,57,FALSE))</f>
        <v>0</v>
      </c>
      <c r="W660" s="68">
        <f>IF(Table5[[#This Row],[posRnk]]=999,9999,Table5[[#This Row],[posRnk]]+Table5[[#This Row],[zRnk]]+IF($W$3&lt;&gt;Table5[[#This Row],[Type]],50,0))</f>
        <v>1632</v>
      </c>
      <c r="X660" s="51">
        <f>RANK(Table5[[#This Row],[zScore]],Table5[[#All],[zScore]])</f>
        <v>682</v>
      </c>
      <c r="Y660" s="50">
        <f>IFERROR(INDEX(DraftResults[[#All],[OVR]],MATCH(Table5[[#This Row],[PID]],DraftResults[[#All],[Player ID]],0)),"")</f>
        <v>279</v>
      </c>
      <c r="Z660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9</v>
      </c>
      <c r="AA660" s="50">
        <f>IFERROR(INDEX(DraftResults[[#All],[Pick in Round]],MATCH(Table5[[#This Row],[PID]],DraftResults[[#All],[Player ID]],0)),"")</f>
        <v>14</v>
      </c>
      <c r="AB660" s="50" t="str">
        <f>IFERROR(INDEX(DraftResults[[#All],[Team Name]],MATCH(Table5[[#This Row],[PID]],DraftResults[[#All],[Player ID]],0)),"")</f>
        <v>San Antonio Calzones of Laredo</v>
      </c>
      <c r="AC660" s="50">
        <f>IF(Table5[[#This Row],[Ovr]]="","",IF(Table5[[#This Row],[cmbList]]="","",Table5[[#This Row],[cmbList]]-Table5[[#This Row],[Ovr]]))</f>
        <v>1353</v>
      </c>
      <c r="AD660" s="54" t="str">
        <f>IF(ISERROR(VLOOKUP($AB660&amp;"-"&amp;$E660&amp;" "&amp;F660,Bonuses!$B$1:$G$1006,4,FALSE)),"",INT(VLOOKUP($AB660&amp;"-"&amp;$E660&amp;" "&amp;$F660,Bonuses!$B$1:$G$1006,4,FALSE)))</f>
        <v/>
      </c>
      <c r="AE660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9.14 (279) - C Joseph Cowan</v>
      </c>
    </row>
    <row r="661" spans="1:31" s="50" customFormat="1" x14ac:dyDescent="0.3">
      <c r="A661" s="67">
        <v>5419</v>
      </c>
      <c r="B661" s="68">
        <f>COUNTIF(Table5[PID],A661)</f>
        <v>1</v>
      </c>
      <c r="C661" s="68" t="str">
        <f>IF(COUNTIF(Table3[[#All],[PID]],A661)&gt;0,"P","B")</f>
        <v>P</v>
      </c>
      <c r="D661" s="59" t="str">
        <f>IF($C661="B",INDEX(Batters[[#All],[POS]],MATCH(Table5[[#This Row],[PID]],Batters[[#All],[PID]],0)),INDEX(Table3[[#All],[POS]],MATCH(Table5[[#This Row],[PID]],Table3[[#All],[PID]],0)))</f>
        <v>RP</v>
      </c>
      <c r="E661" s="52" t="str">
        <f>IF($C661="B",INDEX(Batters[[#All],[First]],MATCH(Table5[[#This Row],[PID]],Batters[[#All],[PID]],0)),INDEX(Table3[[#All],[First]],MATCH(Table5[[#This Row],[PID]],Table3[[#All],[PID]],0)))</f>
        <v>Juan</v>
      </c>
      <c r="F661" s="55" t="str">
        <f>IF($C661="B",INDEX(Batters[[#All],[Last]],MATCH(A661,Batters[[#All],[PID]],0)),INDEX(Table3[[#All],[Last]],MATCH(A661,Table3[[#All],[PID]],0)))</f>
        <v>Puerta</v>
      </c>
      <c r="G661" s="56">
        <f>IF($C661="B",INDEX(Batters[[#All],[Age]],MATCH(Table5[[#This Row],[PID]],Batters[[#All],[PID]],0)),INDEX(Table3[[#All],[Age]],MATCH(Table5[[#This Row],[PID]],Table3[[#All],[PID]],0)))</f>
        <v>21</v>
      </c>
      <c r="H661" s="52" t="str">
        <f>IF($C661="B",INDEX(Batters[[#All],[B]],MATCH(Table5[[#This Row],[PID]],Batters[[#All],[PID]],0)),INDEX(Table3[[#All],[B]],MATCH(Table5[[#This Row],[PID]],Table3[[#All],[PID]],0)))</f>
        <v>L</v>
      </c>
      <c r="I661" s="52" t="str">
        <f>IF($C661="B",INDEX(Batters[[#All],[T]],MATCH(Table5[[#This Row],[PID]],Batters[[#All],[PID]],0)),INDEX(Table3[[#All],[T]],MATCH(Table5[[#This Row],[PID]],Table3[[#All],[PID]],0)))</f>
        <v>L</v>
      </c>
      <c r="J661" s="69" t="str">
        <f>IF($C661="B",INDEX(Batters[[#All],[WE]],MATCH(Table5[[#This Row],[PID]],Batters[[#All],[PID]],0)),INDEX(Table3[[#All],[WE]],MATCH(Table5[[#This Row],[PID]],Table3[[#All],[PID]],0)))</f>
        <v>Normal</v>
      </c>
      <c r="K661" s="52" t="str">
        <f>IF($C661="B",INDEX(Batters[[#All],[INT]],MATCH(Table5[[#This Row],[PID]],Batters[[#All],[PID]],0)),INDEX(Table3[[#All],[INT]],MATCH(Table5[[#This Row],[PID]],Table3[[#All],[PID]],0)))</f>
        <v>Normal</v>
      </c>
      <c r="L661" s="60">
        <f>IF($C661="B",INDEX(Batters[[#All],[CON P]],MATCH(Table5[[#This Row],[PID]],Batters[[#All],[PID]],0)),INDEX(Table3[[#All],[STU P]],MATCH(Table5[[#This Row],[PID]],Table3[[#All],[PID]],0)))</f>
        <v>4</v>
      </c>
      <c r="M661" s="70">
        <f>IF($C661="B",INDEX(Batters[[#All],[GAP P]],MATCH(Table5[[#This Row],[PID]],Batters[[#All],[PID]],0)),INDEX(Table3[[#All],[MOV P]],MATCH(Table5[[#This Row],[PID]],Table3[[#All],[PID]],0)))</f>
        <v>2</v>
      </c>
      <c r="N661" s="70">
        <f>IF($C661="B",INDEX(Batters[[#All],[POW P]],MATCH(Table5[[#This Row],[PID]],Batters[[#All],[PID]],0)),INDEX(Table3[[#All],[CON P]],MATCH(Table5[[#This Row],[PID]],Table3[[#All],[PID]],0)))</f>
        <v>3</v>
      </c>
      <c r="O661" s="70" t="str">
        <f>IF($C661="B",INDEX(Batters[[#All],[EYE P]],MATCH(Table5[[#This Row],[PID]],Batters[[#All],[PID]],0)),INDEX(Table3[[#All],[VELO]],MATCH(Table5[[#This Row],[PID]],Table3[[#All],[PID]],0)))</f>
        <v>90-92 Mph</v>
      </c>
      <c r="P661" s="56">
        <f>IF($C661="B",INDEX(Batters[[#All],[K P]],MATCH(Table5[[#This Row],[PID]],Batters[[#All],[PID]],0)),INDEX(Table3[[#All],[STM]],MATCH(Table5[[#This Row],[PID]],Table3[[#All],[PID]],0)))</f>
        <v>2</v>
      </c>
      <c r="Q661" s="61">
        <f>IF($C661="B",INDEX(Batters[[#All],[Tot]],MATCH(Table5[[#This Row],[PID]],Batters[[#All],[PID]],0)),INDEX(Table3[[#All],[Tot]],MATCH(Table5[[#This Row],[PID]],Table3[[#All],[PID]],0)))</f>
        <v>27.140830734434743</v>
      </c>
      <c r="R661" s="52">
        <f>IF($C661="B",INDEX(Batters[[#All],[zScore]],MATCH(Table5[[#This Row],[PID]],Batters[[#All],[PID]],0)),INDEX(Table3[[#All],[zScore]],MATCH(Table5[[#This Row],[PID]],Table3[[#All],[PID]],0)))</f>
        <v>-0.75919171488290893</v>
      </c>
      <c r="S661" s="75" t="str">
        <f>IF($C661="B",INDEX(Batters[[#All],[DEM]],MATCH(Table5[[#This Row],[PID]],Batters[[#All],[PID]],0)),INDEX(Table3[[#All],[DEM]],MATCH(Table5[[#This Row],[PID]],Table3[[#All],[PID]],0)))</f>
        <v>-</v>
      </c>
      <c r="T661" s="72">
        <f>IF($C661="B",INDEX(Batters[[#All],[Rnk]],MATCH(Table5[[#This Row],[PID]],Batters[[#All],[PID]],0)),INDEX(Table3[[#All],[Rnk]],MATCH(Table5[[#This Row],[PID]],Table3[[#All],[PID]],0)))</f>
        <v>900</v>
      </c>
      <c r="U661" s="67">
        <f>IF($C661="B",VLOOKUP($A661,Bat!$A$4:$BA$1314,47,FALSE),VLOOKUP($A661,Pit!$A$4:$BF$1214,56,FALSE))</f>
        <v>227</v>
      </c>
      <c r="V661" s="50">
        <f>IF($C661="B",VLOOKUP($A661,Bat!$A$4:$BA$1314,48,FALSE),VLOOKUP($A661,Pit!$A$4:$BF$1214,57,FALSE))</f>
        <v>0</v>
      </c>
      <c r="W661" s="68">
        <f>IF(Table5[[#This Row],[posRnk]]=999,9999,Table5[[#This Row],[posRnk]]+Table5[[#This Row],[zRnk]]+IF($W$3&lt;&gt;Table5[[#This Row],[Type]],50,0))</f>
        <v>1583</v>
      </c>
      <c r="X661" s="71">
        <f>RANK(Table5[[#This Row],[zScore]],Table5[[#All],[zScore]])</f>
        <v>683</v>
      </c>
      <c r="Y661" s="68">
        <f>IFERROR(INDEX(DraftResults[[#All],[OVR]],MATCH(Table5[[#This Row],[PID]],DraftResults[[#All],[Player ID]],0)),"")</f>
        <v>596</v>
      </c>
      <c r="Z661" s="7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18</v>
      </c>
      <c r="AA661" s="68">
        <f>IFERROR(INDEX(DraftResults[[#All],[Pick in Round]],MATCH(Table5[[#This Row],[PID]],DraftResults[[#All],[Player ID]],0)),"")</f>
        <v>27</v>
      </c>
      <c r="AB661" s="68" t="str">
        <f>IFERROR(INDEX(DraftResults[[#All],[Team Name]],MATCH(Table5[[#This Row],[PID]],DraftResults[[#All],[Player ID]],0)),"")</f>
        <v>Havana Leones</v>
      </c>
      <c r="AC661" s="68">
        <f>IF(Table5[[#This Row],[Ovr]]="","",IF(Table5[[#This Row],[cmbList]]="","",Table5[[#This Row],[cmbList]]-Table5[[#This Row],[Ovr]]))</f>
        <v>987</v>
      </c>
      <c r="AD661" s="74" t="str">
        <f>IF(ISERROR(VLOOKUP($AB661&amp;"-"&amp;$E661&amp;" "&amp;F661,Bonuses!$B$1:$G$1006,4,FALSE)),"",INT(VLOOKUP($AB661&amp;"-"&amp;$E661&amp;" "&amp;$F661,Bonuses!$B$1:$G$1006,4,FALSE)))</f>
        <v/>
      </c>
      <c r="AE661" s="68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18.27 (596) - RP Juan Puerta</v>
      </c>
    </row>
    <row r="662" spans="1:31" s="50" customFormat="1" x14ac:dyDescent="0.3">
      <c r="A662" s="50">
        <v>13025</v>
      </c>
      <c r="B662" s="50">
        <f>COUNTIF(Table5[PID],A662)</f>
        <v>1</v>
      </c>
      <c r="C662" s="50" t="str">
        <f>IF(COUNTIF(Table3[[#All],[PID]],A662)&gt;0,"P","B")</f>
        <v>B</v>
      </c>
      <c r="D662" s="59" t="str">
        <f>IF($C662="B",INDEX(Batters[[#All],[POS]],MATCH(Table5[[#This Row],[PID]],Batters[[#All],[PID]],0)),INDEX(Table3[[#All],[POS]],MATCH(Table5[[#This Row],[PID]],Table3[[#All],[PID]],0)))</f>
        <v>C</v>
      </c>
      <c r="E662" s="52" t="str">
        <f>IF($C662="B",INDEX(Batters[[#All],[First]],MATCH(Table5[[#This Row],[PID]],Batters[[#All],[PID]],0)),INDEX(Table3[[#All],[First]],MATCH(Table5[[#This Row],[PID]],Table3[[#All],[PID]],0)))</f>
        <v>Cisco</v>
      </c>
      <c r="F662" s="50" t="str">
        <f>IF($C662="B",INDEX(Batters[[#All],[Last]],MATCH(A662,Batters[[#All],[PID]],0)),INDEX(Table3[[#All],[Last]],MATCH(A662,Table3[[#All],[PID]],0)))</f>
        <v>Serrano</v>
      </c>
      <c r="G662" s="56">
        <f>IF($C662="B",INDEX(Batters[[#All],[Age]],MATCH(Table5[[#This Row],[PID]],Batters[[#All],[PID]],0)),INDEX(Table3[[#All],[Age]],MATCH(Table5[[#This Row],[PID]],Table3[[#All],[PID]],0)))</f>
        <v>18</v>
      </c>
      <c r="H662" s="52" t="str">
        <f>IF($C662="B",INDEX(Batters[[#All],[B]],MATCH(Table5[[#This Row],[PID]],Batters[[#All],[PID]],0)),INDEX(Table3[[#All],[B]],MATCH(Table5[[#This Row],[PID]],Table3[[#All],[PID]],0)))</f>
        <v>R</v>
      </c>
      <c r="I662" s="52" t="str">
        <f>IF($C662="B",INDEX(Batters[[#All],[T]],MATCH(Table5[[#This Row],[PID]],Batters[[#All],[PID]],0)),INDEX(Table3[[#All],[T]],MATCH(Table5[[#This Row],[PID]],Table3[[#All],[PID]],0)))</f>
        <v>R</v>
      </c>
      <c r="J662" s="52" t="str">
        <f>IF($C662="B",INDEX(Batters[[#All],[WE]],MATCH(Table5[[#This Row],[PID]],Batters[[#All],[PID]],0)),INDEX(Table3[[#All],[WE]],MATCH(Table5[[#This Row],[PID]],Table3[[#All],[PID]],0)))</f>
        <v>Low</v>
      </c>
      <c r="K662" s="52" t="str">
        <f>IF($C662="B",INDEX(Batters[[#All],[INT]],MATCH(Table5[[#This Row],[PID]],Batters[[#All],[PID]],0)),INDEX(Table3[[#All],[INT]],MATCH(Table5[[#This Row],[PID]],Table3[[#All],[PID]],0)))</f>
        <v>High</v>
      </c>
      <c r="L662" s="60">
        <f>IF($C662="B",INDEX(Batters[[#All],[CON P]],MATCH(Table5[[#This Row],[PID]],Batters[[#All],[PID]],0)),INDEX(Table3[[#All],[STU P]],MATCH(Table5[[#This Row],[PID]],Table3[[#All],[PID]],0)))</f>
        <v>3</v>
      </c>
      <c r="M662" s="56">
        <f>IF($C662="B",INDEX(Batters[[#All],[GAP P]],MATCH(Table5[[#This Row],[PID]],Batters[[#All],[PID]],0)),INDEX(Table3[[#All],[MOV P]],MATCH(Table5[[#This Row],[PID]],Table3[[#All],[PID]],0)))</f>
        <v>2</v>
      </c>
      <c r="N662" s="56">
        <f>IF($C662="B",INDEX(Batters[[#All],[POW P]],MATCH(Table5[[#This Row],[PID]],Batters[[#All],[PID]],0)),INDEX(Table3[[#All],[CON P]],MATCH(Table5[[#This Row],[PID]],Table3[[#All],[PID]],0)))</f>
        <v>2</v>
      </c>
      <c r="O662" s="56">
        <f>IF($C662="B",INDEX(Batters[[#All],[EYE P]],MATCH(Table5[[#This Row],[PID]],Batters[[#All],[PID]],0)),INDEX(Table3[[#All],[VELO]],MATCH(Table5[[#This Row],[PID]],Table3[[#All],[PID]],0)))</f>
        <v>4</v>
      </c>
      <c r="P662" s="56">
        <f>IF($C662="B",INDEX(Batters[[#All],[K P]],MATCH(Table5[[#This Row],[PID]],Batters[[#All],[PID]],0)),INDEX(Table3[[#All],[STM]],MATCH(Table5[[#This Row],[PID]],Table3[[#All],[PID]],0)))</f>
        <v>4</v>
      </c>
      <c r="Q662" s="61">
        <f>IF($C662="B",INDEX(Batters[[#All],[Tot]],MATCH(Table5[[#This Row],[PID]],Batters[[#All],[PID]],0)),INDEX(Table3[[#All],[Tot]],MATCH(Table5[[#This Row],[PID]],Table3[[#All],[PID]],0)))</f>
        <v>38.676622112826067</v>
      </c>
      <c r="R662" s="52">
        <f>IF($C662="B",INDEX(Batters[[#All],[zScore]],MATCH(Table5[[#This Row],[PID]],Batters[[#All],[PID]],0)),INDEX(Table3[[#All],[zScore]],MATCH(Table5[[#This Row],[PID]],Table3[[#All],[PID]],0)))</f>
        <v>-0.66296795127377284</v>
      </c>
      <c r="S662" s="58" t="str">
        <f>IF($C662="B",INDEX(Batters[[#All],[DEM]],MATCH(Table5[[#This Row],[PID]],Batters[[#All],[PID]],0)),INDEX(Table3[[#All],[DEM]],MATCH(Table5[[#This Row],[PID]],Table3[[#All],[PID]],0)))</f>
        <v>$95k</v>
      </c>
      <c r="T662" s="62">
        <f>IF($C662="B",INDEX(Batters[[#All],[Rnk]],MATCH(Table5[[#This Row],[PID]],Batters[[#All],[PID]],0)),INDEX(Table3[[#All],[Rnk]],MATCH(Table5[[#This Row],[PID]],Table3[[#All],[PID]],0)))</f>
        <v>930</v>
      </c>
      <c r="U662" s="67">
        <f>IF($C662="B",VLOOKUP($A662,Bat!$A$4:$BA$1314,47,FALSE),VLOOKUP($A662,Pit!$A$4:$BF$1214,56,FALSE))</f>
        <v>350</v>
      </c>
      <c r="V662" s="50">
        <f>IF($C662="B",VLOOKUP($A662,Bat!$A$4:$BA$1314,48,FALSE),VLOOKUP($A662,Pit!$A$4:$BF$1214,57,FALSE))</f>
        <v>0</v>
      </c>
      <c r="W662" s="68">
        <f>IF(Table5[[#This Row],[posRnk]]=999,9999,Table5[[#This Row],[posRnk]]+Table5[[#This Row],[zRnk]]+IF($W$3&lt;&gt;Table5[[#This Row],[Type]],50,0))</f>
        <v>1633</v>
      </c>
      <c r="X662" s="51">
        <f>RANK(Table5[[#This Row],[zScore]],Table5[[#All],[zScore]])</f>
        <v>653</v>
      </c>
      <c r="Y662" s="50" t="str">
        <f>IFERROR(INDEX(DraftResults[[#All],[OVR]],MATCH(Table5[[#This Row],[PID]],DraftResults[[#All],[Player ID]],0)),"")</f>
        <v/>
      </c>
      <c r="Z662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/>
      </c>
      <c r="AA662" s="50" t="str">
        <f>IFERROR(INDEX(DraftResults[[#All],[Pick in Round]],MATCH(Table5[[#This Row],[PID]],DraftResults[[#All],[Player ID]],0)),"")</f>
        <v/>
      </c>
      <c r="AB662" s="50" t="str">
        <f>IFERROR(INDEX(DraftResults[[#All],[Team Name]],MATCH(Table5[[#This Row],[PID]],DraftResults[[#All],[Player ID]],0)),"")</f>
        <v/>
      </c>
      <c r="AC662" s="50" t="str">
        <f>IF(Table5[[#This Row],[Ovr]]="","",IF(Table5[[#This Row],[cmbList]]="","",Table5[[#This Row],[cmbList]]-Table5[[#This Row],[Ovr]]))</f>
        <v/>
      </c>
      <c r="AD662" s="54" t="str">
        <f>IF(ISERROR(VLOOKUP($AB662&amp;"-"&amp;$E662&amp;" "&amp;F662,Bonuses!$B$1:$G$1006,4,FALSE)),"",INT(VLOOKUP($AB662&amp;"-"&amp;$E662&amp;" "&amp;$F662,Bonuses!$B$1:$G$1006,4,FALSE)))</f>
        <v/>
      </c>
      <c r="AE662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/>
      </c>
    </row>
    <row r="663" spans="1:31" s="50" customFormat="1" x14ac:dyDescent="0.3">
      <c r="A663" s="50">
        <v>12180</v>
      </c>
      <c r="B663" s="50">
        <f>COUNTIF(Table5[PID],A663)</f>
        <v>1</v>
      </c>
      <c r="C663" s="50" t="str">
        <f>IF(COUNTIF(Table3[[#All],[PID]],A663)&gt;0,"P","B")</f>
        <v>B</v>
      </c>
      <c r="D663" s="59" t="str">
        <f>IF($C663="B",INDEX(Batters[[#All],[POS]],MATCH(Table5[[#This Row],[PID]],Batters[[#All],[PID]],0)),INDEX(Table3[[#All],[POS]],MATCH(Table5[[#This Row],[PID]],Table3[[#All],[PID]],0)))</f>
        <v>1B</v>
      </c>
      <c r="E663" s="52" t="str">
        <f>IF($C663="B",INDEX(Batters[[#All],[First]],MATCH(Table5[[#This Row],[PID]],Batters[[#All],[PID]],0)),INDEX(Table3[[#All],[First]],MATCH(Table5[[#This Row],[PID]],Table3[[#All],[PID]],0)))</f>
        <v>Derek</v>
      </c>
      <c r="F663" s="50" t="str">
        <f>IF($C663="B",INDEX(Batters[[#All],[Last]],MATCH(A663,Batters[[#All],[PID]],0)),INDEX(Table3[[#All],[Last]],MATCH(A663,Table3[[#All],[PID]],0)))</f>
        <v>Gutiérrez</v>
      </c>
      <c r="G663" s="56">
        <f>IF($C663="B",INDEX(Batters[[#All],[Age]],MATCH(Table5[[#This Row],[PID]],Batters[[#All],[PID]],0)),INDEX(Table3[[#All],[Age]],MATCH(Table5[[#This Row],[PID]],Table3[[#All],[PID]],0)))</f>
        <v>21</v>
      </c>
      <c r="H663" s="52" t="str">
        <f>IF($C663="B",INDEX(Batters[[#All],[B]],MATCH(Table5[[#This Row],[PID]],Batters[[#All],[PID]],0)),INDEX(Table3[[#All],[B]],MATCH(Table5[[#This Row],[PID]],Table3[[#All],[PID]],0)))</f>
        <v>R</v>
      </c>
      <c r="I663" s="52" t="str">
        <f>IF($C663="B",INDEX(Batters[[#All],[T]],MATCH(Table5[[#This Row],[PID]],Batters[[#All],[PID]],0)),INDEX(Table3[[#All],[T]],MATCH(Table5[[#This Row],[PID]],Table3[[#All],[PID]],0)))</f>
        <v>L</v>
      </c>
      <c r="J663" s="52" t="str">
        <f>IF($C663="B",INDEX(Batters[[#All],[WE]],MATCH(Table5[[#This Row],[PID]],Batters[[#All],[PID]],0)),INDEX(Table3[[#All],[WE]],MATCH(Table5[[#This Row],[PID]],Table3[[#All],[PID]],0)))</f>
        <v>Normal</v>
      </c>
      <c r="K663" s="52" t="str">
        <f>IF($C663="B",INDEX(Batters[[#All],[INT]],MATCH(Table5[[#This Row],[PID]],Batters[[#All],[PID]],0)),INDEX(Table3[[#All],[INT]],MATCH(Table5[[#This Row],[PID]],Table3[[#All],[PID]],0)))</f>
        <v>Normal</v>
      </c>
      <c r="L663" s="60">
        <f>IF($C663="B",INDEX(Batters[[#All],[CON P]],MATCH(Table5[[#This Row],[PID]],Batters[[#All],[PID]],0)),INDEX(Table3[[#All],[STU P]],MATCH(Table5[[#This Row],[PID]],Table3[[#All],[PID]],0)))</f>
        <v>3</v>
      </c>
      <c r="M663" s="56">
        <f>IF($C663="B",INDEX(Batters[[#All],[GAP P]],MATCH(Table5[[#This Row],[PID]],Batters[[#All],[PID]],0)),INDEX(Table3[[#All],[MOV P]],MATCH(Table5[[#This Row],[PID]],Table3[[#All],[PID]],0)))</f>
        <v>3</v>
      </c>
      <c r="N663" s="56">
        <f>IF($C663="B",INDEX(Batters[[#All],[POW P]],MATCH(Table5[[#This Row],[PID]],Batters[[#All],[PID]],0)),INDEX(Table3[[#All],[CON P]],MATCH(Table5[[#This Row],[PID]],Table3[[#All],[PID]],0)))</f>
        <v>5</v>
      </c>
      <c r="O663" s="56">
        <f>IF($C663="B",INDEX(Batters[[#All],[EYE P]],MATCH(Table5[[#This Row],[PID]],Batters[[#All],[PID]],0)),INDEX(Table3[[#All],[VELO]],MATCH(Table5[[#This Row],[PID]],Table3[[#All],[PID]],0)))</f>
        <v>5</v>
      </c>
      <c r="P663" s="56">
        <f>IF($C663="B",INDEX(Batters[[#All],[K P]],MATCH(Table5[[#This Row],[PID]],Batters[[#All],[PID]],0)),INDEX(Table3[[#All],[STM]],MATCH(Table5[[#This Row],[PID]],Table3[[#All],[PID]],0)))</f>
        <v>3</v>
      </c>
      <c r="Q663" s="61">
        <f>IF($C663="B",INDEX(Batters[[#All],[Tot]],MATCH(Table5[[#This Row],[PID]],Batters[[#All],[PID]],0)),INDEX(Table3[[#All],[Tot]],MATCH(Table5[[#This Row],[PID]],Table3[[#All],[PID]],0)))</f>
        <v>38.01690202041997</v>
      </c>
      <c r="R663" s="52">
        <f>IF($C663="B",INDEX(Batters[[#All],[zScore]],MATCH(Table5[[#This Row],[PID]],Batters[[#All],[PID]],0)),INDEX(Table3[[#All],[zScore]],MATCH(Table5[[#This Row],[PID]],Table3[[#All],[PID]],0)))</f>
        <v>-0.75926604605853532</v>
      </c>
      <c r="S663" s="58" t="str">
        <f>IF($C663="B",INDEX(Batters[[#All],[DEM]],MATCH(Table5[[#This Row],[PID]],Batters[[#All],[PID]],0)),INDEX(Table3[[#All],[DEM]],MATCH(Table5[[#This Row],[PID]],Table3[[#All],[PID]],0)))</f>
        <v>$20k</v>
      </c>
      <c r="T663" s="62">
        <f>IF($C663="B",INDEX(Batters[[#All],[Rnk]],MATCH(Table5[[#This Row],[PID]],Batters[[#All],[PID]],0)),INDEX(Table3[[#All],[Rnk]],MATCH(Table5[[#This Row],[PID]],Table3[[#All],[PID]],0)))</f>
        <v>900</v>
      </c>
      <c r="U663" s="67">
        <f>IF($C663="B",VLOOKUP($A663,Bat!$A$4:$BA$1314,47,FALSE),VLOOKUP($A663,Pit!$A$4:$BF$1214,56,FALSE))</f>
        <v>244</v>
      </c>
      <c r="V663" s="50">
        <f>IF($C663="B",VLOOKUP($A663,Bat!$A$4:$BA$1314,48,FALSE),VLOOKUP($A663,Pit!$A$4:$BF$1214,57,FALSE))</f>
        <v>0</v>
      </c>
      <c r="W663" s="68">
        <f>IF(Table5[[#This Row],[posRnk]]=999,9999,Table5[[#This Row],[posRnk]]+Table5[[#This Row],[zRnk]]+IF($W$3&lt;&gt;Table5[[#This Row],[Type]],50,0))</f>
        <v>1634</v>
      </c>
      <c r="X663" s="51">
        <f>RANK(Table5[[#This Row],[zScore]],Table5[[#All],[zScore]])</f>
        <v>684</v>
      </c>
      <c r="Y663" s="50">
        <f>IFERROR(INDEX(DraftResults[[#All],[OVR]],MATCH(Table5[[#This Row],[PID]],DraftResults[[#All],[Player ID]],0)),"")</f>
        <v>565</v>
      </c>
      <c r="Z663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17</v>
      </c>
      <c r="AA663" s="50">
        <f>IFERROR(INDEX(DraftResults[[#All],[Pick in Round]],MATCH(Table5[[#This Row],[PID]],DraftResults[[#All],[Player ID]],0)),"")</f>
        <v>30</v>
      </c>
      <c r="AB663" s="50" t="str">
        <f>IFERROR(INDEX(DraftResults[[#All],[Team Name]],MATCH(Table5[[#This Row],[PID]],DraftResults[[#All],[Player ID]],0)),"")</f>
        <v>Toyama Wind Dancers</v>
      </c>
      <c r="AC663" s="50">
        <f>IF(Table5[[#This Row],[Ovr]]="","",IF(Table5[[#This Row],[cmbList]]="","",Table5[[#This Row],[cmbList]]-Table5[[#This Row],[Ovr]]))</f>
        <v>1069</v>
      </c>
      <c r="AD663" s="54" t="str">
        <f>IF(ISERROR(VLOOKUP($AB663&amp;"-"&amp;$E663&amp;" "&amp;F663,Bonuses!$B$1:$G$1006,4,FALSE)),"",INT(VLOOKUP($AB663&amp;"-"&amp;$E663&amp;" "&amp;$F663,Bonuses!$B$1:$G$1006,4,FALSE)))</f>
        <v/>
      </c>
      <c r="AE663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17.30 (565) - 1B Derek Gutiérrez</v>
      </c>
    </row>
    <row r="664" spans="1:31" s="50" customFormat="1" x14ac:dyDescent="0.3">
      <c r="A664" s="67">
        <v>20864</v>
      </c>
      <c r="B664" s="68">
        <f>COUNTIF(Table5[PID],A664)</f>
        <v>1</v>
      </c>
      <c r="C664" s="68" t="str">
        <f>IF(COUNTIF(Table3[[#All],[PID]],A664)&gt;0,"P","B")</f>
        <v>B</v>
      </c>
      <c r="D664" s="59" t="str">
        <f>IF($C664="B",INDEX(Batters[[#All],[POS]],MATCH(Table5[[#This Row],[PID]],Batters[[#All],[PID]],0)),INDEX(Table3[[#All],[POS]],MATCH(Table5[[#This Row],[PID]],Table3[[#All],[PID]],0)))</f>
        <v>C</v>
      </c>
      <c r="E664" s="52" t="str">
        <f>IF($C664="B",INDEX(Batters[[#All],[First]],MATCH(Table5[[#This Row],[PID]],Batters[[#All],[PID]],0)),INDEX(Table3[[#All],[First]],MATCH(Table5[[#This Row],[PID]],Table3[[#All],[PID]],0)))</f>
        <v>Mike</v>
      </c>
      <c r="F664" s="55" t="str">
        <f>IF($C664="B",INDEX(Batters[[#All],[Last]],MATCH(A664,Batters[[#All],[PID]],0)),INDEX(Table3[[#All],[Last]],MATCH(A664,Table3[[#All],[PID]],0)))</f>
        <v>Turner</v>
      </c>
      <c r="G664" s="56">
        <f>IF($C664="B",INDEX(Batters[[#All],[Age]],MATCH(Table5[[#This Row],[PID]],Batters[[#All],[PID]],0)),INDEX(Table3[[#All],[Age]],MATCH(Table5[[#This Row],[PID]],Table3[[#All],[PID]],0)))</f>
        <v>17</v>
      </c>
      <c r="H664" s="52" t="str">
        <f>IF($C664="B",INDEX(Batters[[#All],[B]],MATCH(Table5[[#This Row],[PID]],Batters[[#All],[PID]],0)),INDEX(Table3[[#All],[B]],MATCH(Table5[[#This Row],[PID]],Table3[[#All],[PID]],0)))</f>
        <v>L</v>
      </c>
      <c r="I664" s="52" t="str">
        <f>IF($C664="B",INDEX(Batters[[#All],[T]],MATCH(Table5[[#This Row],[PID]],Batters[[#All],[PID]],0)),INDEX(Table3[[#All],[T]],MATCH(Table5[[#This Row],[PID]],Table3[[#All],[PID]],0)))</f>
        <v>R</v>
      </c>
      <c r="J664" s="69" t="str">
        <f>IF($C664="B",INDEX(Batters[[#All],[WE]],MATCH(Table5[[#This Row],[PID]],Batters[[#All],[PID]],0)),INDEX(Table3[[#All],[WE]],MATCH(Table5[[#This Row],[PID]],Table3[[#All],[PID]],0)))</f>
        <v>Normal</v>
      </c>
      <c r="K664" s="52" t="str">
        <f>IF($C664="B",INDEX(Batters[[#All],[INT]],MATCH(Table5[[#This Row],[PID]],Batters[[#All],[PID]],0)),INDEX(Table3[[#All],[INT]],MATCH(Table5[[#This Row],[PID]],Table3[[#All],[PID]],0)))</f>
        <v>Normal</v>
      </c>
      <c r="L664" s="60">
        <f>IF($C664="B",INDEX(Batters[[#All],[CON P]],MATCH(Table5[[#This Row],[PID]],Batters[[#All],[PID]],0)),INDEX(Table3[[#All],[STU P]],MATCH(Table5[[#This Row],[PID]],Table3[[#All],[PID]],0)))</f>
        <v>2</v>
      </c>
      <c r="M664" s="70">
        <f>IF($C664="B",INDEX(Batters[[#All],[GAP P]],MATCH(Table5[[#This Row],[PID]],Batters[[#All],[PID]],0)),INDEX(Table3[[#All],[MOV P]],MATCH(Table5[[#This Row],[PID]],Table3[[#All],[PID]],0)))</f>
        <v>3</v>
      </c>
      <c r="N664" s="70">
        <f>IF($C664="B",INDEX(Batters[[#All],[POW P]],MATCH(Table5[[#This Row],[PID]],Batters[[#All],[PID]],0)),INDEX(Table3[[#All],[CON P]],MATCH(Table5[[#This Row],[PID]],Table3[[#All],[PID]],0)))</f>
        <v>3</v>
      </c>
      <c r="O664" s="70">
        <f>IF($C664="B",INDEX(Batters[[#All],[EYE P]],MATCH(Table5[[#This Row],[PID]],Batters[[#All],[PID]],0)),INDEX(Table3[[#All],[VELO]],MATCH(Table5[[#This Row],[PID]],Table3[[#All],[PID]],0)))</f>
        <v>6</v>
      </c>
      <c r="P664" s="56">
        <f>IF($C664="B",INDEX(Batters[[#All],[K P]],MATCH(Table5[[#This Row],[PID]],Batters[[#All],[PID]],0)),INDEX(Table3[[#All],[STM]],MATCH(Table5[[#This Row],[PID]],Table3[[#All],[PID]],0)))</f>
        <v>2</v>
      </c>
      <c r="Q664" s="61">
        <f>IF($C664="B",INDEX(Batters[[#All],[Tot]],MATCH(Table5[[#This Row],[PID]],Batters[[#All],[PID]],0)),INDEX(Table3[[#All],[Tot]],MATCH(Table5[[#This Row],[PID]],Table3[[#All],[PID]],0)))</f>
        <v>37.758045606725162</v>
      </c>
      <c r="R664" s="52">
        <f>IF($C664="B",INDEX(Batters[[#All],[zScore]],MATCH(Table5[[#This Row],[PID]],Batters[[#All],[PID]],0)),INDEX(Table3[[#All],[zScore]],MATCH(Table5[[#This Row],[PID]],Table3[[#All],[PID]],0)))</f>
        <v>-0.77844986214036282</v>
      </c>
      <c r="S664" s="75" t="str">
        <f>IF($C664="B",INDEX(Batters[[#All],[DEM]],MATCH(Table5[[#This Row],[PID]],Batters[[#All],[PID]],0)),INDEX(Table3[[#All],[DEM]],MATCH(Table5[[#This Row],[PID]],Table3[[#All],[PID]],0)))</f>
        <v>$38k</v>
      </c>
      <c r="T664" s="72">
        <f>IF($C664="B",INDEX(Batters[[#All],[Rnk]],MATCH(Table5[[#This Row],[PID]],Batters[[#All],[PID]],0)),INDEX(Table3[[#All],[Rnk]],MATCH(Table5[[#This Row],[PID]],Table3[[#All],[PID]],0)))</f>
        <v>900</v>
      </c>
      <c r="U664" s="67">
        <f>IF($C664="B",VLOOKUP($A664,Bat!$A$4:$BA$1314,47,FALSE),VLOOKUP($A664,Pit!$A$4:$BF$1214,56,FALSE))</f>
        <v>245</v>
      </c>
      <c r="V664" s="50">
        <f>IF($C664="B",VLOOKUP($A664,Bat!$A$4:$BA$1314,48,FALSE),VLOOKUP($A664,Pit!$A$4:$BF$1214,57,FALSE))</f>
        <v>0</v>
      </c>
      <c r="W664" s="68">
        <f>IF(Table5[[#This Row],[posRnk]]=999,9999,Table5[[#This Row],[posRnk]]+Table5[[#This Row],[zRnk]]+IF($W$3&lt;&gt;Table5[[#This Row],[Type]],50,0))</f>
        <v>1638</v>
      </c>
      <c r="X664" s="71">
        <f>RANK(Table5[[#This Row],[zScore]],Table5[[#All],[zScore]])</f>
        <v>688</v>
      </c>
      <c r="Y664" s="68" t="str">
        <f>IFERROR(INDEX(DraftResults[[#All],[OVR]],MATCH(Table5[[#This Row],[PID]],DraftResults[[#All],[Player ID]],0)),"")</f>
        <v/>
      </c>
      <c r="Z664" s="7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/>
      </c>
      <c r="AA664" s="68" t="str">
        <f>IFERROR(INDEX(DraftResults[[#All],[Pick in Round]],MATCH(Table5[[#This Row],[PID]],DraftResults[[#All],[Player ID]],0)),"")</f>
        <v/>
      </c>
      <c r="AB664" s="68" t="str">
        <f>IFERROR(INDEX(DraftResults[[#All],[Team Name]],MATCH(Table5[[#This Row],[PID]],DraftResults[[#All],[Player ID]],0)),"")</f>
        <v/>
      </c>
      <c r="AC664" s="68" t="str">
        <f>IF(Table5[[#This Row],[Ovr]]="","",IF(Table5[[#This Row],[cmbList]]="","",Table5[[#This Row],[cmbList]]-Table5[[#This Row],[Ovr]]))</f>
        <v/>
      </c>
      <c r="AD664" s="74" t="str">
        <f>IF(ISERROR(VLOOKUP($AB664&amp;"-"&amp;$E664&amp;" "&amp;F664,Bonuses!$B$1:$G$1006,4,FALSE)),"",INT(VLOOKUP($AB664&amp;"-"&amp;$E664&amp;" "&amp;$F664,Bonuses!$B$1:$G$1006,4,FALSE)))</f>
        <v/>
      </c>
      <c r="AE664" s="68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/>
      </c>
    </row>
    <row r="665" spans="1:31" s="50" customFormat="1" x14ac:dyDescent="0.3">
      <c r="A665" s="50">
        <v>20226</v>
      </c>
      <c r="B665" s="50">
        <f>COUNTIF(Table5[PID],A665)</f>
        <v>1</v>
      </c>
      <c r="C665" s="50" t="str">
        <f>IF(COUNTIF(Table3[[#All],[PID]],A665)&gt;0,"P","B")</f>
        <v>B</v>
      </c>
      <c r="D665" s="59" t="str">
        <f>IF($C665="B",INDEX(Batters[[#All],[POS]],MATCH(Table5[[#This Row],[PID]],Batters[[#All],[PID]],0)),INDEX(Table3[[#All],[POS]],MATCH(Table5[[#This Row],[PID]],Table3[[#All],[PID]],0)))</f>
        <v>2B</v>
      </c>
      <c r="E665" s="52" t="str">
        <f>IF($C665="B",INDEX(Batters[[#All],[First]],MATCH(Table5[[#This Row],[PID]],Batters[[#All],[PID]],0)),INDEX(Table3[[#All],[First]],MATCH(Table5[[#This Row],[PID]],Table3[[#All],[PID]],0)))</f>
        <v>Naoya</v>
      </c>
      <c r="F665" s="50" t="str">
        <f>IF($C665="B",INDEX(Batters[[#All],[Last]],MATCH(A665,Batters[[#All],[PID]],0)),INDEX(Table3[[#All],[Last]],MATCH(A665,Table3[[#All],[PID]],0)))</f>
        <v>Suzuki</v>
      </c>
      <c r="G665" s="56">
        <f>IF($C665="B",INDEX(Batters[[#All],[Age]],MATCH(Table5[[#This Row],[PID]],Batters[[#All],[PID]],0)),INDEX(Table3[[#All],[Age]],MATCH(Table5[[#This Row],[PID]],Table3[[#All],[PID]],0)))</f>
        <v>21</v>
      </c>
      <c r="H665" s="52" t="str">
        <f>IF($C665="B",INDEX(Batters[[#All],[B]],MATCH(Table5[[#This Row],[PID]],Batters[[#All],[PID]],0)),INDEX(Table3[[#All],[B]],MATCH(Table5[[#This Row],[PID]],Table3[[#All],[PID]],0)))</f>
        <v>R</v>
      </c>
      <c r="I665" s="52" t="str">
        <f>IF($C665="B",INDEX(Batters[[#All],[T]],MATCH(Table5[[#This Row],[PID]],Batters[[#All],[PID]],0)),INDEX(Table3[[#All],[T]],MATCH(Table5[[#This Row],[PID]],Table3[[#All],[PID]],0)))</f>
        <v>R</v>
      </c>
      <c r="J665" s="52" t="str">
        <f>IF($C665="B",INDEX(Batters[[#All],[WE]],MATCH(Table5[[#This Row],[PID]],Batters[[#All],[PID]],0)),INDEX(Table3[[#All],[WE]],MATCH(Table5[[#This Row],[PID]],Table3[[#All],[PID]],0)))</f>
        <v>Normal</v>
      </c>
      <c r="K665" s="52" t="str">
        <f>IF($C665="B",INDEX(Batters[[#All],[INT]],MATCH(Table5[[#This Row],[PID]],Batters[[#All],[PID]],0)),INDEX(Table3[[#All],[INT]],MATCH(Table5[[#This Row],[PID]],Table3[[#All],[PID]],0)))</f>
        <v>Normal</v>
      </c>
      <c r="L665" s="60">
        <f>IF($C665="B",INDEX(Batters[[#All],[CON P]],MATCH(Table5[[#This Row],[PID]],Batters[[#All],[PID]],0)),INDEX(Table3[[#All],[STU P]],MATCH(Table5[[#This Row],[PID]],Table3[[#All],[PID]],0)))</f>
        <v>3</v>
      </c>
      <c r="M665" s="56">
        <f>IF($C665="B",INDEX(Batters[[#All],[GAP P]],MATCH(Table5[[#This Row],[PID]],Batters[[#All],[PID]],0)),INDEX(Table3[[#All],[MOV P]],MATCH(Table5[[#This Row],[PID]],Table3[[#All],[PID]],0)))</f>
        <v>4</v>
      </c>
      <c r="N665" s="56">
        <f>IF($C665="B",INDEX(Batters[[#All],[POW P]],MATCH(Table5[[#This Row],[PID]],Batters[[#All],[PID]],0)),INDEX(Table3[[#All],[CON P]],MATCH(Table5[[#This Row],[PID]],Table3[[#All],[PID]],0)))</f>
        <v>2</v>
      </c>
      <c r="O665" s="56">
        <f>IF($C665="B",INDEX(Batters[[#All],[EYE P]],MATCH(Table5[[#This Row],[PID]],Batters[[#All],[PID]],0)),INDEX(Table3[[#All],[VELO]],MATCH(Table5[[#This Row],[PID]],Table3[[#All],[PID]],0)))</f>
        <v>6</v>
      </c>
      <c r="P665" s="56">
        <f>IF($C665="B",INDEX(Batters[[#All],[K P]],MATCH(Table5[[#This Row],[PID]],Batters[[#All],[PID]],0)),INDEX(Table3[[#All],[STM]],MATCH(Table5[[#This Row],[PID]],Table3[[#All],[PID]],0)))</f>
        <v>4</v>
      </c>
      <c r="Q665" s="61">
        <f>IF($C665="B",INDEX(Batters[[#All],[Tot]],MATCH(Table5[[#This Row],[PID]],Batters[[#All],[PID]],0)),INDEX(Table3[[#All],[Tot]],MATCH(Table5[[#This Row],[PID]],Table3[[#All],[PID]],0)))</f>
        <v>37.865634560393431</v>
      </c>
      <c r="R665" s="52">
        <f>IF($C665="B",INDEX(Batters[[#All],[zScore]],MATCH(Table5[[#This Row],[PID]],Batters[[#All],[PID]],0)),INDEX(Table3[[#All],[zScore]],MATCH(Table5[[#This Row],[PID]],Table3[[#All],[PID]],0)))</f>
        <v>-0.78134627124973521</v>
      </c>
      <c r="S665" s="58" t="str">
        <f>IF($C665="B",INDEX(Batters[[#All],[DEM]],MATCH(Table5[[#This Row],[PID]],Batters[[#All],[PID]],0)),INDEX(Table3[[#All],[DEM]],MATCH(Table5[[#This Row],[PID]],Table3[[#All],[PID]],0)))</f>
        <v>$110k</v>
      </c>
      <c r="T665" s="62">
        <f>IF($C665="B",INDEX(Batters[[#All],[Rnk]],MATCH(Table5[[#This Row],[PID]],Batters[[#All],[PID]],0)),INDEX(Table3[[#All],[Rnk]],MATCH(Table5[[#This Row],[PID]],Table3[[#All],[PID]],0)))</f>
        <v>900</v>
      </c>
      <c r="U665" s="67">
        <f>IF($C665="B",VLOOKUP($A665,Bat!$A$4:$BA$1314,47,FALSE),VLOOKUP($A665,Pit!$A$4:$BF$1214,56,FALSE))</f>
        <v>246</v>
      </c>
      <c r="V665" s="50">
        <f>IF($C665="B",VLOOKUP($A665,Bat!$A$4:$BA$1314,48,FALSE),VLOOKUP($A665,Pit!$A$4:$BF$1214,57,FALSE))</f>
        <v>0</v>
      </c>
      <c r="W665" s="68">
        <f>IF(Table5[[#This Row],[posRnk]]=999,9999,Table5[[#This Row],[posRnk]]+Table5[[#This Row],[zRnk]]+IF($W$3&lt;&gt;Table5[[#This Row],[Type]],50,0))</f>
        <v>1639</v>
      </c>
      <c r="X665" s="51">
        <f>RANK(Table5[[#This Row],[zScore]],Table5[[#All],[zScore]])</f>
        <v>689</v>
      </c>
      <c r="Y665" s="50">
        <f>IFERROR(INDEX(DraftResults[[#All],[OVR]],MATCH(Table5[[#This Row],[PID]],DraftResults[[#All],[Player ID]],0)),"")</f>
        <v>611</v>
      </c>
      <c r="Z665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19</v>
      </c>
      <c r="AA665" s="50">
        <f>IFERROR(INDEX(DraftResults[[#All],[Pick in Round]],MATCH(Table5[[#This Row],[PID]],DraftResults[[#All],[Player ID]],0)),"")</f>
        <v>8</v>
      </c>
      <c r="AB665" s="50" t="str">
        <f>IFERROR(INDEX(DraftResults[[#All],[Team Name]],MATCH(Table5[[#This Row],[PID]],DraftResults[[#All],[Player ID]],0)),"")</f>
        <v>Gloucester Fishermen</v>
      </c>
      <c r="AC665" s="50">
        <f>IF(Table5[[#This Row],[Ovr]]="","",IF(Table5[[#This Row],[cmbList]]="","",Table5[[#This Row],[cmbList]]-Table5[[#This Row],[Ovr]]))</f>
        <v>1028</v>
      </c>
      <c r="AD665" s="54" t="str">
        <f>IF(ISERROR(VLOOKUP($AB665&amp;"-"&amp;$E665&amp;" "&amp;F665,Bonuses!$B$1:$G$1006,4,FALSE)),"",INT(VLOOKUP($AB665&amp;"-"&amp;$E665&amp;" "&amp;$F665,Bonuses!$B$1:$G$1006,4,FALSE)))</f>
        <v/>
      </c>
      <c r="AE665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19.8 (611) - 2B Naoya Suzuki</v>
      </c>
    </row>
    <row r="666" spans="1:31" s="50" customFormat="1" x14ac:dyDescent="0.3">
      <c r="A666" s="50">
        <v>14874</v>
      </c>
      <c r="B666" s="50">
        <f>COUNTIF(Table5[PID],A666)</f>
        <v>1</v>
      </c>
      <c r="C666" s="50" t="str">
        <f>IF(COUNTIF(Table3[[#All],[PID]],A666)&gt;0,"P","B")</f>
        <v>B</v>
      </c>
      <c r="D666" s="59" t="str">
        <f>IF($C666="B",INDEX(Batters[[#All],[POS]],MATCH(Table5[[#This Row],[PID]],Batters[[#All],[PID]],0)),INDEX(Table3[[#All],[POS]],MATCH(Table5[[#This Row],[PID]],Table3[[#All],[PID]],0)))</f>
        <v>RF</v>
      </c>
      <c r="E666" s="52" t="str">
        <f>IF($C666="B",INDEX(Batters[[#All],[First]],MATCH(Table5[[#This Row],[PID]],Batters[[#All],[PID]],0)),INDEX(Table3[[#All],[First]],MATCH(Table5[[#This Row],[PID]],Table3[[#All],[PID]],0)))</f>
        <v>Larry</v>
      </c>
      <c r="F666" s="50" t="str">
        <f>IF($C666="B",INDEX(Batters[[#All],[Last]],MATCH(A666,Batters[[#All],[PID]],0)),INDEX(Table3[[#All],[Last]],MATCH(A666,Table3[[#All],[PID]],0)))</f>
        <v>Eaton</v>
      </c>
      <c r="G666" s="56">
        <f>IF($C666="B",INDEX(Batters[[#All],[Age]],MATCH(Table5[[#This Row],[PID]],Batters[[#All],[PID]],0)),INDEX(Table3[[#All],[Age]],MATCH(Table5[[#This Row],[PID]],Table3[[#All],[PID]],0)))</f>
        <v>21</v>
      </c>
      <c r="H666" s="52" t="str">
        <f>IF($C666="B",INDEX(Batters[[#All],[B]],MATCH(Table5[[#This Row],[PID]],Batters[[#All],[PID]],0)),INDEX(Table3[[#All],[B]],MATCH(Table5[[#This Row],[PID]],Table3[[#All],[PID]],0)))</f>
        <v>R</v>
      </c>
      <c r="I666" s="52" t="str">
        <f>IF($C666="B",INDEX(Batters[[#All],[T]],MATCH(Table5[[#This Row],[PID]],Batters[[#All],[PID]],0)),INDEX(Table3[[#All],[T]],MATCH(Table5[[#This Row],[PID]],Table3[[#All],[PID]],0)))</f>
        <v>R</v>
      </c>
      <c r="J666" s="52" t="str">
        <f>IF($C666="B",INDEX(Batters[[#All],[WE]],MATCH(Table5[[#This Row],[PID]],Batters[[#All],[PID]],0)),INDEX(Table3[[#All],[WE]],MATCH(Table5[[#This Row],[PID]],Table3[[#All],[PID]],0)))</f>
        <v>Low</v>
      </c>
      <c r="K666" s="52" t="str">
        <f>IF($C666="B",INDEX(Batters[[#All],[INT]],MATCH(Table5[[#This Row],[PID]],Batters[[#All],[PID]],0)),INDEX(Table3[[#All],[INT]],MATCH(Table5[[#This Row],[PID]],Table3[[#All],[PID]],0)))</f>
        <v>Normal</v>
      </c>
      <c r="L666" s="60">
        <f>IF($C666="B",INDEX(Batters[[#All],[CON P]],MATCH(Table5[[#This Row],[PID]],Batters[[#All],[PID]],0)),INDEX(Table3[[#All],[STU P]],MATCH(Table5[[#This Row],[PID]],Table3[[#All],[PID]],0)))</f>
        <v>3</v>
      </c>
      <c r="M666" s="56">
        <f>IF($C666="B",INDEX(Batters[[#All],[GAP P]],MATCH(Table5[[#This Row],[PID]],Batters[[#All],[PID]],0)),INDEX(Table3[[#All],[MOV P]],MATCH(Table5[[#This Row],[PID]],Table3[[#All],[PID]],0)))</f>
        <v>3</v>
      </c>
      <c r="N666" s="56">
        <f>IF($C666="B",INDEX(Batters[[#All],[POW P]],MATCH(Table5[[#This Row],[PID]],Batters[[#All],[PID]],0)),INDEX(Table3[[#All],[CON P]],MATCH(Table5[[#This Row],[PID]],Table3[[#All],[PID]],0)))</f>
        <v>4</v>
      </c>
      <c r="O666" s="56">
        <f>IF($C666="B",INDEX(Batters[[#All],[EYE P]],MATCH(Table5[[#This Row],[PID]],Batters[[#All],[PID]],0)),INDEX(Table3[[#All],[VELO]],MATCH(Table5[[#This Row],[PID]],Table3[[#All],[PID]],0)))</f>
        <v>6</v>
      </c>
      <c r="P666" s="56">
        <f>IF($C666="B",INDEX(Batters[[#All],[K P]],MATCH(Table5[[#This Row],[PID]],Batters[[#All],[PID]],0)),INDEX(Table3[[#All],[STM]],MATCH(Table5[[#This Row],[PID]],Table3[[#All],[PID]],0)))</f>
        <v>4</v>
      </c>
      <c r="Q666" s="61">
        <f>IF($C666="B",INDEX(Batters[[#All],[Tot]],MATCH(Table5[[#This Row],[PID]],Batters[[#All],[PID]],0)),INDEX(Table3[[#All],[Tot]],MATCH(Table5[[#This Row],[PID]],Table3[[#All],[PID]],0)))</f>
        <v>38.628286680330994</v>
      </c>
      <c r="R666" s="52">
        <f>IF($C666="B",INDEX(Batters[[#All],[zScore]],MATCH(Table5[[#This Row],[PID]],Batters[[#All],[PID]],0)),INDEX(Table3[[#All],[zScore]],MATCH(Table5[[#This Row],[PID]],Table3[[#All],[PID]],0)))</f>
        <v>-0.67002338298405617</v>
      </c>
      <c r="S666" s="58" t="str">
        <f>IF($C666="B",INDEX(Batters[[#All],[DEM]],MATCH(Table5[[#This Row],[PID]],Batters[[#All],[PID]],0)),INDEX(Table3[[#All],[DEM]],MATCH(Table5[[#This Row],[PID]],Table3[[#All],[PID]],0)))</f>
        <v>-</v>
      </c>
      <c r="T666" s="62">
        <f>IF($C666="B",INDEX(Batters[[#All],[Rnk]],MATCH(Table5[[#This Row],[PID]],Batters[[#All],[PID]],0)),INDEX(Table3[[#All],[Rnk]],MATCH(Table5[[#This Row],[PID]],Table3[[#All],[PID]],0)))</f>
        <v>930</v>
      </c>
      <c r="U666" s="67">
        <f>IF($C666="B",VLOOKUP($A666,Bat!$A$4:$BA$1314,47,FALSE),VLOOKUP($A666,Pit!$A$4:$BF$1214,56,FALSE))</f>
        <v>359</v>
      </c>
      <c r="V666" s="50">
        <f>IF($C666="B",VLOOKUP($A666,Bat!$A$4:$BA$1314,48,FALSE),VLOOKUP($A666,Pit!$A$4:$BF$1214,57,FALSE))</f>
        <v>0</v>
      </c>
      <c r="W666" s="68">
        <f>IF(Table5[[#This Row],[posRnk]]=999,9999,Table5[[#This Row],[posRnk]]+Table5[[#This Row],[zRnk]]+IF($W$3&lt;&gt;Table5[[#This Row],[Type]],50,0))</f>
        <v>1639</v>
      </c>
      <c r="X666" s="51">
        <f>RANK(Table5[[#This Row],[zScore]],Table5[[#All],[zScore]])</f>
        <v>659</v>
      </c>
      <c r="Y666" s="50">
        <f>IFERROR(INDEX(DraftResults[[#All],[OVR]],MATCH(Table5[[#This Row],[PID]],DraftResults[[#All],[Player ID]],0)),"")</f>
        <v>255</v>
      </c>
      <c r="Z666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8</v>
      </c>
      <c r="AA666" s="50">
        <f>IFERROR(INDEX(DraftResults[[#All],[Pick in Round]],MATCH(Table5[[#This Row],[PID]],DraftResults[[#All],[Player ID]],0)),"")</f>
        <v>22</v>
      </c>
      <c r="AB666" s="50" t="str">
        <f>IFERROR(INDEX(DraftResults[[#All],[Team Name]],MATCH(Table5[[#This Row],[PID]],DraftResults[[#All],[Player ID]],0)),"")</f>
        <v>Bakersfield Bears</v>
      </c>
      <c r="AC666" s="50">
        <f>IF(Table5[[#This Row],[Ovr]]="","",IF(Table5[[#This Row],[cmbList]]="","",Table5[[#This Row],[cmbList]]-Table5[[#This Row],[Ovr]]))</f>
        <v>1384</v>
      </c>
      <c r="AD666" s="54" t="str">
        <f>IF(ISERROR(VLOOKUP($AB666&amp;"-"&amp;$E666&amp;" "&amp;F666,Bonuses!$B$1:$G$1006,4,FALSE)),"",INT(VLOOKUP($AB666&amp;"-"&amp;$E666&amp;" "&amp;$F666,Bonuses!$B$1:$G$1006,4,FALSE)))</f>
        <v/>
      </c>
      <c r="AE666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8.22 (255) - RF Larry Eaton</v>
      </c>
    </row>
    <row r="667" spans="1:31" s="50" customFormat="1" x14ac:dyDescent="0.3">
      <c r="A667" s="50">
        <v>10810</v>
      </c>
      <c r="B667" s="50">
        <f>COUNTIF(Table5[PID],A667)</f>
        <v>1</v>
      </c>
      <c r="C667" s="50" t="str">
        <f>IF(COUNTIF(Table3[[#All],[PID]],A667)&gt;0,"P","B")</f>
        <v>P</v>
      </c>
      <c r="D667" s="59" t="str">
        <f>IF($C667="B",INDEX(Batters[[#All],[POS]],MATCH(Table5[[#This Row],[PID]],Batters[[#All],[PID]],0)),INDEX(Table3[[#All],[POS]],MATCH(Table5[[#This Row],[PID]],Table3[[#All],[PID]],0)))</f>
        <v>RP</v>
      </c>
      <c r="E667" s="52" t="str">
        <f>IF($C667="B",INDEX(Batters[[#All],[First]],MATCH(Table5[[#This Row],[PID]],Batters[[#All],[PID]],0)),INDEX(Table3[[#All],[First]],MATCH(Table5[[#This Row],[PID]],Table3[[#All],[PID]],0)))</f>
        <v>Kanko</v>
      </c>
      <c r="F667" s="50" t="str">
        <f>IF($C667="B",INDEX(Batters[[#All],[Last]],MATCH(A667,Batters[[#All],[PID]],0)),INDEX(Table3[[#All],[Last]],MATCH(A667,Table3[[#All],[PID]],0)))</f>
        <v>Harada</v>
      </c>
      <c r="G667" s="56">
        <f>IF($C667="B",INDEX(Batters[[#All],[Age]],MATCH(Table5[[#This Row],[PID]],Batters[[#All],[PID]],0)),INDEX(Table3[[#All],[Age]],MATCH(Table5[[#This Row],[PID]],Table3[[#All],[PID]],0)))</f>
        <v>21</v>
      </c>
      <c r="H667" s="52" t="str">
        <f>IF($C667="B",INDEX(Batters[[#All],[B]],MATCH(Table5[[#This Row],[PID]],Batters[[#All],[PID]],0)),INDEX(Table3[[#All],[B]],MATCH(Table5[[#This Row],[PID]],Table3[[#All],[PID]],0)))</f>
        <v>R</v>
      </c>
      <c r="I667" s="52" t="str">
        <f>IF($C667="B",INDEX(Batters[[#All],[T]],MATCH(Table5[[#This Row],[PID]],Batters[[#All],[PID]],0)),INDEX(Table3[[#All],[T]],MATCH(Table5[[#This Row],[PID]],Table3[[#All],[PID]],0)))</f>
        <v>R</v>
      </c>
      <c r="J667" s="52" t="str">
        <f>IF($C667="B",INDEX(Batters[[#All],[WE]],MATCH(Table5[[#This Row],[PID]],Batters[[#All],[PID]],0)),INDEX(Table3[[#All],[WE]],MATCH(Table5[[#This Row],[PID]],Table3[[#All],[PID]],0)))</f>
        <v>High</v>
      </c>
      <c r="K667" s="52" t="str">
        <f>IF($C667="B",INDEX(Batters[[#All],[INT]],MATCH(Table5[[#This Row],[PID]],Batters[[#All],[PID]],0)),INDEX(Table3[[#All],[INT]],MATCH(Table5[[#This Row],[PID]],Table3[[#All],[PID]],0)))</f>
        <v>Normal</v>
      </c>
      <c r="L667" s="60">
        <f>IF($C667="B",INDEX(Batters[[#All],[CON P]],MATCH(Table5[[#This Row],[PID]],Batters[[#All],[PID]],0)),INDEX(Table3[[#All],[STU P]],MATCH(Table5[[#This Row],[PID]],Table3[[#All],[PID]],0)))</f>
        <v>4</v>
      </c>
      <c r="M667" s="56">
        <f>IF($C667="B",INDEX(Batters[[#All],[GAP P]],MATCH(Table5[[#This Row],[PID]],Batters[[#All],[PID]],0)),INDEX(Table3[[#All],[MOV P]],MATCH(Table5[[#This Row],[PID]],Table3[[#All],[PID]],0)))</f>
        <v>1</v>
      </c>
      <c r="N667" s="56">
        <f>IF($C667="B",INDEX(Batters[[#All],[POW P]],MATCH(Table5[[#This Row],[PID]],Batters[[#All],[PID]],0)),INDEX(Table3[[#All],[CON P]],MATCH(Table5[[#This Row],[PID]],Table3[[#All],[PID]],0)))</f>
        <v>3</v>
      </c>
      <c r="O667" s="56" t="str">
        <f>IF($C667="B",INDEX(Batters[[#All],[EYE P]],MATCH(Table5[[#This Row],[PID]],Batters[[#All],[PID]],0)),INDEX(Table3[[#All],[VELO]],MATCH(Table5[[#This Row],[PID]],Table3[[#All],[PID]],0)))</f>
        <v>88-90 Mph</v>
      </c>
      <c r="P667" s="56">
        <f>IF($C667="B",INDEX(Batters[[#All],[K P]],MATCH(Table5[[#This Row],[PID]],Batters[[#All],[PID]],0)),INDEX(Table3[[#All],[STM]],MATCH(Table5[[#This Row],[PID]],Table3[[#All],[PID]],0)))</f>
        <v>6</v>
      </c>
      <c r="Q667" s="61">
        <f>IF($C667="B",INDEX(Batters[[#All],[Tot]],MATCH(Table5[[#This Row],[PID]],Batters[[#All],[PID]],0)),INDEX(Table3[[#All],[Tot]],MATCH(Table5[[#This Row],[PID]],Table3[[#All],[PID]],0)))</f>
        <v>26.828074940777292</v>
      </c>
      <c r="R667" s="52">
        <f>IF($C667="B",INDEX(Batters[[#All],[zScore]],MATCH(Table5[[#This Row],[PID]],Batters[[#All],[PID]],0)),INDEX(Table3[[#All],[zScore]],MATCH(Table5[[#This Row],[PID]],Table3[[#All],[PID]],0)))</f>
        <v>-0.78146212696308859</v>
      </c>
      <c r="S667" s="58" t="str">
        <f>IF($C667="B",INDEX(Batters[[#All],[DEM]],MATCH(Table5[[#This Row],[PID]],Batters[[#All],[PID]],0)),INDEX(Table3[[#All],[DEM]],MATCH(Table5[[#This Row],[PID]],Table3[[#All],[PID]],0)))</f>
        <v>-</v>
      </c>
      <c r="T667" s="62">
        <f>IF($C667="B",INDEX(Batters[[#All],[Rnk]],MATCH(Table5[[#This Row],[PID]],Batters[[#All],[PID]],0)),INDEX(Table3[[#All],[Rnk]],MATCH(Table5[[#This Row],[PID]],Table3[[#All],[PID]],0)))</f>
        <v>900</v>
      </c>
      <c r="U667" s="67">
        <f>IF($C667="B",VLOOKUP($A667,Bat!$A$4:$BA$1314,47,FALSE),VLOOKUP($A667,Pit!$A$4:$BF$1214,56,FALSE))</f>
        <v>225</v>
      </c>
      <c r="V667" s="50">
        <f>IF($C667="B",VLOOKUP($A667,Bat!$A$4:$BA$1314,48,FALSE),VLOOKUP($A667,Pit!$A$4:$BF$1214,57,FALSE))</f>
        <v>0</v>
      </c>
      <c r="W667" s="68">
        <f>IF(Table5[[#This Row],[posRnk]]=999,9999,Table5[[#This Row],[posRnk]]+Table5[[#This Row],[zRnk]]+IF($W$3&lt;&gt;Table5[[#This Row],[Type]],50,0))</f>
        <v>1590</v>
      </c>
      <c r="X667" s="51">
        <f>RANK(Table5[[#This Row],[zScore]],Table5[[#All],[zScore]])</f>
        <v>690</v>
      </c>
      <c r="Y667" s="50">
        <f>IFERROR(INDEX(DraftResults[[#All],[OVR]],MATCH(Table5[[#This Row],[PID]],DraftResults[[#All],[Player ID]],0)),"")</f>
        <v>638</v>
      </c>
      <c r="Z667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20</v>
      </c>
      <c r="AA667" s="50">
        <f>IFERROR(INDEX(DraftResults[[#All],[Pick in Round]],MATCH(Table5[[#This Row],[PID]],DraftResults[[#All],[Player ID]],0)),"")</f>
        <v>1</v>
      </c>
      <c r="AB667" s="50" t="str">
        <f>IFERROR(INDEX(DraftResults[[#All],[Team Name]],MATCH(Table5[[#This Row],[PID]],DraftResults[[#All],[Player ID]],0)),"")</f>
        <v>Yuma Arroyos</v>
      </c>
      <c r="AC667" s="50">
        <f>IF(Table5[[#This Row],[Ovr]]="","",IF(Table5[[#This Row],[cmbList]]="","",Table5[[#This Row],[cmbList]]-Table5[[#This Row],[Ovr]]))</f>
        <v>952</v>
      </c>
      <c r="AD667" s="54" t="str">
        <f>IF(ISERROR(VLOOKUP($AB667&amp;"-"&amp;$E667&amp;" "&amp;F667,Bonuses!$B$1:$G$1006,4,FALSE)),"",INT(VLOOKUP($AB667&amp;"-"&amp;$E667&amp;" "&amp;$F667,Bonuses!$B$1:$G$1006,4,FALSE)))</f>
        <v/>
      </c>
      <c r="AE667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20.1 (638) - RP Kanko Harada</v>
      </c>
    </row>
    <row r="668" spans="1:31" s="50" customFormat="1" x14ac:dyDescent="0.3">
      <c r="A668" s="50">
        <v>6469</v>
      </c>
      <c r="B668" s="50">
        <f>COUNTIF(Table5[PID],A668)</f>
        <v>1</v>
      </c>
      <c r="C668" s="50" t="str">
        <f>IF(COUNTIF(Table3[[#All],[PID]],A668)&gt;0,"P","B")</f>
        <v>B</v>
      </c>
      <c r="D668" s="59" t="str">
        <f>IF($C668="B",INDEX(Batters[[#All],[POS]],MATCH(Table5[[#This Row],[PID]],Batters[[#All],[PID]],0)),INDEX(Table3[[#All],[POS]],MATCH(Table5[[#This Row],[PID]],Table3[[#All],[PID]],0)))</f>
        <v>C</v>
      </c>
      <c r="E668" s="52" t="str">
        <f>IF($C668="B",INDEX(Batters[[#All],[First]],MATCH(Table5[[#This Row],[PID]],Batters[[#All],[PID]],0)),INDEX(Table3[[#All],[First]],MATCH(Table5[[#This Row],[PID]],Table3[[#All],[PID]],0)))</f>
        <v>Luis</v>
      </c>
      <c r="F668" s="50" t="str">
        <f>IF($C668="B",INDEX(Batters[[#All],[Last]],MATCH(A668,Batters[[#All],[PID]],0)),INDEX(Table3[[#All],[Last]],MATCH(A668,Table3[[#All],[PID]],0)))</f>
        <v>Córdova</v>
      </c>
      <c r="G668" s="56">
        <f>IF($C668="B",INDEX(Batters[[#All],[Age]],MATCH(Table5[[#This Row],[PID]],Batters[[#All],[PID]],0)),INDEX(Table3[[#All],[Age]],MATCH(Table5[[#This Row],[PID]],Table3[[#All],[PID]],0)))</f>
        <v>21</v>
      </c>
      <c r="H668" s="52" t="str">
        <f>IF($C668="B",INDEX(Batters[[#All],[B]],MATCH(Table5[[#This Row],[PID]],Batters[[#All],[PID]],0)),INDEX(Table3[[#All],[B]],MATCH(Table5[[#This Row],[PID]],Table3[[#All],[PID]],0)))</f>
        <v>R</v>
      </c>
      <c r="I668" s="52" t="str">
        <f>IF($C668="B",INDEX(Batters[[#All],[T]],MATCH(Table5[[#This Row],[PID]],Batters[[#All],[PID]],0)),INDEX(Table3[[#All],[T]],MATCH(Table5[[#This Row],[PID]],Table3[[#All],[PID]],0)))</f>
        <v>R</v>
      </c>
      <c r="J668" s="52" t="str">
        <f>IF($C668="B",INDEX(Batters[[#All],[WE]],MATCH(Table5[[#This Row],[PID]],Batters[[#All],[PID]],0)),INDEX(Table3[[#All],[WE]],MATCH(Table5[[#This Row],[PID]],Table3[[#All],[PID]],0)))</f>
        <v>Low</v>
      </c>
      <c r="K668" s="52" t="str">
        <f>IF($C668="B",INDEX(Batters[[#All],[INT]],MATCH(Table5[[#This Row],[PID]],Batters[[#All],[PID]],0)),INDEX(Table3[[#All],[INT]],MATCH(Table5[[#This Row],[PID]],Table3[[#All],[PID]],0)))</f>
        <v>Normal</v>
      </c>
      <c r="L668" s="60">
        <f>IF($C668="B",INDEX(Batters[[#All],[CON P]],MATCH(Table5[[#This Row],[PID]],Batters[[#All],[PID]],0)),INDEX(Table3[[#All],[STU P]],MATCH(Table5[[#This Row],[PID]],Table3[[#All],[PID]],0)))</f>
        <v>3</v>
      </c>
      <c r="M668" s="56">
        <f>IF($C668="B",INDEX(Batters[[#All],[GAP P]],MATCH(Table5[[#This Row],[PID]],Batters[[#All],[PID]],0)),INDEX(Table3[[#All],[MOV P]],MATCH(Table5[[#This Row],[PID]],Table3[[#All],[PID]],0)))</f>
        <v>6</v>
      </c>
      <c r="N668" s="56">
        <f>IF($C668="B",INDEX(Batters[[#All],[POW P]],MATCH(Table5[[#This Row],[PID]],Batters[[#All],[PID]],0)),INDEX(Table3[[#All],[CON P]],MATCH(Table5[[#This Row],[PID]],Table3[[#All],[PID]],0)))</f>
        <v>4</v>
      </c>
      <c r="O668" s="56">
        <f>IF($C668="B",INDEX(Batters[[#All],[EYE P]],MATCH(Table5[[#This Row],[PID]],Batters[[#All],[PID]],0)),INDEX(Table3[[#All],[VELO]],MATCH(Table5[[#This Row],[PID]],Table3[[#All],[PID]],0)))</f>
        <v>5</v>
      </c>
      <c r="P668" s="56">
        <f>IF($C668="B",INDEX(Batters[[#All],[K P]],MATCH(Table5[[#This Row],[PID]],Batters[[#All],[PID]],0)),INDEX(Table3[[#All],[STM]],MATCH(Table5[[#This Row],[PID]],Table3[[#All],[PID]],0)))</f>
        <v>3</v>
      </c>
      <c r="Q668" s="61">
        <f>IF($C668="B",INDEX(Batters[[#All],[Tot]],MATCH(Table5[[#This Row],[PID]],Batters[[#All],[PID]],0)),INDEX(Table3[[#All],[Tot]],MATCH(Table5[[#This Row],[PID]],Table3[[#All],[PID]],0)))</f>
        <v>38.605893305912353</v>
      </c>
      <c r="R668" s="52">
        <f>IF($C668="B",INDEX(Batters[[#All],[zScore]],MATCH(Table5[[#This Row],[PID]],Batters[[#All],[PID]],0)),INDEX(Table3[[#All],[zScore]],MATCH(Table5[[#This Row],[PID]],Table3[[#All],[PID]],0)))</f>
        <v>-0.67329210151656604</v>
      </c>
      <c r="S668" s="58" t="str">
        <f>IF($C668="B",INDEX(Batters[[#All],[DEM]],MATCH(Table5[[#This Row],[PID]],Batters[[#All],[PID]],0)),INDEX(Table3[[#All],[DEM]],MATCH(Table5[[#This Row],[PID]],Table3[[#All],[PID]],0)))</f>
        <v>$110k</v>
      </c>
      <c r="T668" s="62">
        <f>IF($C668="B",INDEX(Batters[[#All],[Rnk]],MATCH(Table5[[#This Row],[PID]],Batters[[#All],[PID]],0)),INDEX(Table3[[#All],[Rnk]],MATCH(Table5[[#This Row],[PID]],Table3[[#All],[PID]],0)))</f>
        <v>930</v>
      </c>
      <c r="U668" s="67">
        <f>IF($C668="B",VLOOKUP($A668,Bat!$A$4:$BA$1314,47,FALSE),VLOOKUP($A668,Pit!$A$4:$BF$1214,56,FALSE))</f>
        <v>360</v>
      </c>
      <c r="V668" s="50">
        <f>IF($C668="B",VLOOKUP($A668,Bat!$A$4:$BA$1314,48,FALSE),VLOOKUP($A668,Pit!$A$4:$BF$1214,57,FALSE))</f>
        <v>0</v>
      </c>
      <c r="W668" s="68">
        <f>IF(Table5[[#This Row],[posRnk]]=999,9999,Table5[[#This Row],[posRnk]]+Table5[[#This Row],[zRnk]]+IF($W$3&lt;&gt;Table5[[#This Row],[Type]],50,0))</f>
        <v>1640</v>
      </c>
      <c r="X668" s="51">
        <f>RANK(Table5[[#This Row],[zScore]],Table5[[#All],[zScore]])</f>
        <v>660</v>
      </c>
      <c r="Y668" s="50" t="str">
        <f>IFERROR(INDEX(DraftResults[[#All],[OVR]],MATCH(Table5[[#This Row],[PID]],DraftResults[[#All],[Player ID]],0)),"")</f>
        <v/>
      </c>
      <c r="Z668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/>
      </c>
      <c r="AA668" s="50" t="str">
        <f>IFERROR(INDEX(DraftResults[[#All],[Pick in Round]],MATCH(Table5[[#This Row],[PID]],DraftResults[[#All],[Player ID]],0)),"")</f>
        <v/>
      </c>
      <c r="AB668" s="50" t="str">
        <f>IFERROR(INDEX(DraftResults[[#All],[Team Name]],MATCH(Table5[[#This Row],[PID]],DraftResults[[#All],[Player ID]],0)),"")</f>
        <v/>
      </c>
      <c r="AC668" s="50" t="str">
        <f>IF(Table5[[#This Row],[Ovr]]="","",IF(Table5[[#This Row],[cmbList]]="","",Table5[[#This Row],[cmbList]]-Table5[[#This Row],[Ovr]]))</f>
        <v/>
      </c>
      <c r="AD668" s="54" t="str">
        <f>IF(ISERROR(VLOOKUP($AB668&amp;"-"&amp;$E668&amp;" "&amp;F668,Bonuses!$B$1:$G$1006,4,FALSE)),"",INT(VLOOKUP($AB668&amp;"-"&amp;$E668&amp;" "&amp;$F668,Bonuses!$B$1:$G$1006,4,FALSE)))</f>
        <v/>
      </c>
      <c r="AE668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/>
      </c>
    </row>
    <row r="669" spans="1:31" s="50" customFormat="1" x14ac:dyDescent="0.3">
      <c r="A669" s="50">
        <v>8032</v>
      </c>
      <c r="B669" s="50">
        <f>COUNTIF(Table5[PID],A669)</f>
        <v>1</v>
      </c>
      <c r="C669" s="50" t="str">
        <f>IF(COUNTIF(Table3[[#All],[PID]],A669)&gt;0,"P","B")</f>
        <v>B</v>
      </c>
      <c r="D669" s="59" t="str">
        <f>IF($C669="B",INDEX(Batters[[#All],[POS]],MATCH(Table5[[#This Row],[PID]],Batters[[#All],[PID]],0)),INDEX(Table3[[#All],[POS]],MATCH(Table5[[#This Row],[PID]],Table3[[#All],[PID]],0)))</f>
        <v>CF</v>
      </c>
      <c r="E669" s="52" t="str">
        <f>IF($C669="B",INDEX(Batters[[#All],[First]],MATCH(Table5[[#This Row],[PID]],Batters[[#All],[PID]],0)),INDEX(Table3[[#All],[First]],MATCH(Table5[[#This Row],[PID]],Table3[[#All],[PID]],0)))</f>
        <v>Marcos</v>
      </c>
      <c r="F669" s="50" t="str">
        <f>IF($C669="B",INDEX(Batters[[#All],[Last]],MATCH(A669,Batters[[#All],[PID]],0)),INDEX(Table3[[#All],[Last]],MATCH(A669,Table3[[#All],[PID]],0)))</f>
        <v>Rodríguez</v>
      </c>
      <c r="G669" s="56">
        <f>IF($C669="B",INDEX(Batters[[#All],[Age]],MATCH(Table5[[#This Row],[PID]],Batters[[#All],[PID]],0)),INDEX(Table3[[#All],[Age]],MATCH(Table5[[#This Row],[PID]],Table3[[#All],[PID]],0)))</f>
        <v>21</v>
      </c>
      <c r="H669" s="52" t="str">
        <f>IF($C669="B",INDEX(Batters[[#All],[B]],MATCH(Table5[[#This Row],[PID]],Batters[[#All],[PID]],0)),INDEX(Table3[[#All],[B]],MATCH(Table5[[#This Row],[PID]],Table3[[#All],[PID]],0)))</f>
        <v>R</v>
      </c>
      <c r="I669" s="52" t="str">
        <f>IF($C669="B",INDEX(Batters[[#All],[T]],MATCH(Table5[[#This Row],[PID]],Batters[[#All],[PID]],0)),INDEX(Table3[[#All],[T]],MATCH(Table5[[#This Row],[PID]],Table3[[#All],[PID]],0)))</f>
        <v>R</v>
      </c>
      <c r="J669" s="52" t="str">
        <f>IF($C669="B",INDEX(Batters[[#All],[WE]],MATCH(Table5[[#This Row],[PID]],Batters[[#All],[PID]],0)),INDEX(Table3[[#All],[WE]],MATCH(Table5[[#This Row],[PID]],Table3[[#All],[PID]],0)))</f>
        <v>Low</v>
      </c>
      <c r="K669" s="52" t="str">
        <f>IF($C669="B",INDEX(Batters[[#All],[INT]],MATCH(Table5[[#This Row],[PID]],Batters[[#All],[PID]],0)),INDEX(Table3[[#All],[INT]],MATCH(Table5[[#This Row],[PID]],Table3[[#All],[PID]],0)))</f>
        <v>Normal</v>
      </c>
      <c r="L669" s="60">
        <f>IF($C669="B",INDEX(Batters[[#All],[CON P]],MATCH(Table5[[#This Row],[PID]],Batters[[#All],[PID]],0)),INDEX(Table3[[#All],[STU P]],MATCH(Table5[[#This Row],[PID]],Table3[[#All],[PID]],0)))</f>
        <v>3</v>
      </c>
      <c r="M669" s="56">
        <f>IF($C669="B",INDEX(Batters[[#All],[GAP P]],MATCH(Table5[[#This Row],[PID]],Batters[[#All],[PID]],0)),INDEX(Table3[[#All],[MOV P]],MATCH(Table5[[#This Row],[PID]],Table3[[#All],[PID]],0)))</f>
        <v>4</v>
      </c>
      <c r="N669" s="56">
        <f>IF($C669="B",INDEX(Batters[[#All],[POW P]],MATCH(Table5[[#This Row],[PID]],Batters[[#All],[PID]],0)),INDEX(Table3[[#All],[CON P]],MATCH(Table5[[#This Row],[PID]],Table3[[#All],[PID]],0)))</f>
        <v>4</v>
      </c>
      <c r="O669" s="56">
        <f>IF($C669="B",INDEX(Batters[[#All],[EYE P]],MATCH(Table5[[#This Row],[PID]],Batters[[#All],[PID]],0)),INDEX(Table3[[#All],[VELO]],MATCH(Table5[[#This Row],[PID]],Table3[[#All],[PID]],0)))</f>
        <v>5</v>
      </c>
      <c r="P669" s="56">
        <f>IF($C669="B",INDEX(Batters[[#All],[K P]],MATCH(Table5[[#This Row],[PID]],Batters[[#All],[PID]],0)),INDEX(Table3[[#All],[STM]],MATCH(Table5[[#This Row],[PID]],Table3[[#All],[PID]],0)))</f>
        <v>3</v>
      </c>
      <c r="Q669" s="61">
        <f>IF($C669="B",INDEX(Batters[[#All],[Tot]],MATCH(Table5[[#This Row],[PID]],Batters[[#All],[PID]],0)),INDEX(Table3[[#All],[Tot]],MATCH(Table5[[#This Row],[PID]],Table3[[#All],[PID]],0)))</f>
        <v>38.596294784921852</v>
      </c>
      <c r="R669" s="52">
        <f>IF($C669="B",INDEX(Batters[[#All],[zScore]],MATCH(Table5[[#This Row],[PID]],Batters[[#All],[PID]],0)),INDEX(Table3[[#All],[zScore]],MATCH(Table5[[#This Row],[PID]],Table3[[#All],[PID]],0)))</f>
        <v>-0.67469317948095797</v>
      </c>
      <c r="S669" s="58" t="str">
        <f>IF($C669="B",INDEX(Batters[[#All],[DEM]],MATCH(Table5[[#This Row],[PID]],Batters[[#All],[PID]],0)),INDEX(Table3[[#All],[DEM]],MATCH(Table5[[#This Row],[PID]],Table3[[#All],[PID]],0)))</f>
        <v>$95k</v>
      </c>
      <c r="T669" s="62">
        <f>IF($C669="B",INDEX(Batters[[#All],[Rnk]],MATCH(Table5[[#This Row],[PID]],Batters[[#All],[PID]],0)),INDEX(Table3[[#All],[Rnk]],MATCH(Table5[[#This Row],[PID]],Table3[[#All],[PID]],0)))</f>
        <v>930</v>
      </c>
      <c r="U669" s="67">
        <f>IF($C669="B",VLOOKUP($A669,Bat!$A$4:$BA$1314,47,FALSE),VLOOKUP($A669,Pit!$A$4:$BF$1214,56,FALSE))</f>
        <v>361</v>
      </c>
      <c r="V669" s="50">
        <f>IF($C669="B",VLOOKUP($A669,Bat!$A$4:$BA$1314,48,FALSE),VLOOKUP($A669,Pit!$A$4:$BF$1214,57,FALSE))</f>
        <v>0</v>
      </c>
      <c r="W669" s="68">
        <f>IF(Table5[[#This Row],[posRnk]]=999,9999,Table5[[#This Row],[posRnk]]+Table5[[#This Row],[zRnk]]+IF($W$3&lt;&gt;Table5[[#This Row],[Type]],50,0))</f>
        <v>1641</v>
      </c>
      <c r="X669" s="51">
        <f>RANK(Table5[[#This Row],[zScore]],Table5[[#All],[zScore]])</f>
        <v>661</v>
      </c>
      <c r="Y669" s="50">
        <f>IFERROR(INDEX(DraftResults[[#All],[OVR]],MATCH(Table5[[#This Row],[PID]],DraftResults[[#All],[Player ID]],0)),"")</f>
        <v>247</v>
      </c>
      <c r="Z669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8</v>
      </c>
      <c r="AA669" s="50">
        <f>IFERROR(INDEX(DraftResults[[#All],[Pick in Round]],MATCH(Table5[[#This Row],[PID]],DraftResults[[#All],[Player ID]],0)),"")</f>
        <v>14</v>
      </c>
      <c r="AB669" s="50" t="str">
        <f>IFERROR(INDEX(DraftResults[[#All],[Team Name]],MATCH(Table5[[#This Row],[PID]],DraftResults[[#All],[Player ID]],0)),"")</f>
        <v>San Antonio Calzones of Laredo</v>
      </c>
      <c r="AC669" s="50">
        <f>IF(Table5[[#This Row],[Ovr]]="","",IF(Table5[[#This Row],[cmbList]]="","",Table5[[#This Row],[cmbList]]-Table5[[#This Row],[Ovr]]))</f>
        <v>1394</v>
      </c>
      <c r="AD669" s="54" t="str">
        <f>IF(ISERROR(VLOOKUP($AB669&amp;"-"&amp;$E669&amp;" "&amp;F669,Bonuses!$B$1:$G$1006,4,FALSE)),"",INT(VLOOKUP($AB669&amp;"-"&amp;$E669&amp;" "&amp;$F669,Bonuses!$B$1:$G$1006,4,FALSE)))</f>
        <v/>
      </c>
      <c r="AE669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8.14 (247) - CF Marcos Rodríguez</v>
      </c>
    </row>
    <row r="670" spans="1:31" s="50" customFormat="1" x14ac:dyDescent="0.3">
      <c r="A670" s="50">
        <v>8594</v>
      </c>
      <c r="B670" s="50">
        <f>COUNTIF(Table5[PID],A670)</f>
        <v>1</v>
      </c>
      <c r="C670" s="50" t="str">
        <f>IF(COUNTIF(Table3[[#All],[PID]],A670)&gt;0,"P","B")</f>
        <v>B</v>
      </c>
      <c r="D670" s="59" t="str">
        <f>IF($C670="B",INDEX(Batters[[#All],[POS]],MATCH(Table5[[#This Row],[PID]],Batters[[#All],[PID]],0)),INDEX(Table3[[#All],[POS]],MATCH(Table5[[#This Row],[PID]],Table3[[#All],[PID]],0)))</f>
        <v>RF</v>
      </c>
      <c r="E670" s="52" t="str">
        <f>IF($C670="B",INDEX(Batters[[#All],[First]],MATCH(Table5[[#This Row],[PID]],Batters[[#All],[PID]],0)),INDEX(Table3[[#All],[First]],MATCH(Table5[[#This Row],[PID]],Table3[[#All],[PID]],0)))</f>
        <v>Cristián</v>
      </c>
      <c r="F670" s="50" t="str">
        <f>IF($C670="B",INDEX(Batters[[#All],[Last]],MATCH(A670,Batters[[#All],[PID]],0)),INDEX(Table3[[#All],[Last]],MATCH(A670,Table3[[#All],[PID]],0)))</f>
        <v>Acevedo</v>
      </c>
      <c r="G670" s="56">
        <f>IF($C670="B",INDEX(Batters[[#All],[Age]],MATCH(Table5[[#This Row],[PID]],Batters[[#All],[PID]],0)),INDEX(Table3[[#All],[Age]],MATCH(Table5[[#This Row],[PID]],Table3[[#All],[PID]],0)))</f>
        <v>21</v>
      </c>
      <c r="H670" s="52" t="str">
        <f>IF($C670="B",INDEX(Batters[[#All],[B]],MATCH(Table5[[#This Row],[PID]],Batters[[#All],[PID]],0)),INDEX(Table3[[#All],[B]],MATCH(Table5[[#This Row],[PID]],Table3[[#All],[PID]],0)))</f>
        <v>L</v>
      </c>
      <c r="I670" s="52" t="str">
        <f>IF($C670="B",INDEX(Batters[[#All],[T]],MATCH(Table5[[#This Row],[PID]],Batters[[#All],[PID]],0)),INDEX(Table3[[#All],[T]],MATCH(Table5[[#This Row],[PID]],Table3[[#All],[PID]],0)))</f>
        <v>R</v>
      </c>
      <c r="J670" s="52" t="str">
        <f>IF($C670="B",INDEX(Batters[[#All],[WE]],MATCH(Table5[[#This Row],[PID]],Batters[[#All],[PID]],0)),INDEX(Table3[[#All],[WE]],MATCH(Table5[[#This Row],[PID]],Table3[[#All],[PID]],0)))</f>
        <v>Normal</v>
      </c>
      <c r="K670" s="52" t="str">
        <f>IF($C670="B",INDEX(Batters[[#All],[INT]],MATCH(Table5[[#This Row],[PID]],Batters[[#All],[PID]],0)),INDEX(Table3[[#All],[INT]],MATCH(Table5[[#This Row],[PID]],Table3[[#All],[PID]],0)))</f>
        <v>Normal</v>
      </c>
      <c r="L670" s="60">
        <f>IF($C670="B",INDEX(Batters[[#All],[CON P]],MATCH(Table5[[#This Row],[PID]],Batters[[#All],[PID]],0)),INDEX(Table3[[#All],[STU P]],MATCH(Table5[[#This Row],[PID]],Table3[[#All],[PID]],0)))</f>
        <v>3</v>
      </c>
      <c r="M670" s="56">
        <f>IF($C670="B",INDEX(Batters[[#All],[GAP P]],MATCH(Table5[[#This Row],[PID]],Batters[[#All],[PID]],0)),INDEX(Table3[[#All],[MOV P]],MATCH(Table5[[#This Row],[PID]],Table3[[#All],[PID]],0)))</f>
        <v>3</v>
      </c>
      <c r="N670" s="56">
        <f>IF($C670="B",INDEX(Batters[[#All],[POW P]],MATCH(Table5[[#This Row],[PID]],Batters[[#All],[PID]],0)),INDEX(Table3[[#All],[CON P]],MATCH(Table5[[#This Row],[PID]],Table3[[#All],[PID]],0)))</f>
        <v>4</v>
      </c>
      <c r="O670" s="56">
        <f>IF($C670="B",INDEX(Batters[[#All],[EYE P]],MATCH(Table5[[#This Row],[PID]],Batters[[#All],[PID]],0)),INDEX(Table3[[#All],[VELO]],MATCH(Table5[[#This Row],[PID]],Table3[[#All],[PID]],0)))</f>
        <v>5</v>
      </c>
      <c r="P670" s="56">
        <f>IF($C670="B",INDEX(Batters[[#All],[K P]],MATCH(Table5[[#This Row],[PID]],Batters[[#All],[PID]],0)),INDEX(Table3[[#All],[STM]],MATCH(Table5[[#This Row],[PID]],Table3[[#All],[PID]],0)))</f>
        <v>3</v>
      </c>
      <c r="Q670" s="61">
        <f>IF($C670="B",INDEX(Batters[[#All],[Tot]],MATCH(Table5[[#This Row],[PID]],Batters[[#All],[PID]],0)),INDEX(Table3[[#All],[Tot]],MATCH(Table5[[#This Row],[PID]],Table3[[#All],[PID]],0)))</f>
        <v>37.706013689724514</v>
      </c>
      <c r="R670" s="52">
        <f>IF($C670="B",INDEX(Batters[[#All],[zScore]],MATCH(Table5[[#This Row],[PID]],Batters[[#All],[PID]],0)),INDEX(Table3[[#All],[zScore]],MATCH(Table5[[#This Row],[PID]],Table3[[#All],[PID]],0)))</f>
        <v>-0.80464582800150952</v>
      </c>
      <c r="S670" s="58" t="str">
        <f>IF($C670="B",INDEX(Batters[[#All],[DEM]],MATCH(Table5[[#This Row],[PID]],Batters[[#All],[PID]],0)),INDEX(Table3[[#All],[DEM]],MATCH(Table5[[#This Row],[PID]],Table3[[#All],[PID]],0)))</f>
        <v>$100k</v>
      </c>
      <c r="T670" s="62">
        <f>IF($C670="B",INDEX(Batters[[#All],[Rnk]],MATCH(Table5[[#This Row],[PID]],Batters[[#All],[PID]],0)),INDEX(Table3[[#All],[Rnk]],MATCH(Table5[[#This Row],[PID]],Table3[[#All],[PID]],0)))</f>
        <v>900</v>
      </c>
      <c r="U670" s="67">
        <f>IF($C670="B",VLOOKUP($A670,Bat!$A$4:$BA$1314,47,FALSE),VLOOKUP($A670,Pit!$A$4:$BF$1214,56,FALSE))</f>
        <v>247</v>
      </c>
      <c r="V670" s="50">
        <f>IF($C670="B",VLOOKUP($A670,Bat!$A$4:$BA$1314,48,FALSE),VLOOKUP($A670,Pit!$A$4:$BF$1214,57,FALSE))</f>
        <v>0</v>
      </c>
      <c r="W670" s="68">
        <f>IF(Table5[[#This Row],[posRnk]]=999,9999,Table5[[#This Row],[posRnk]]+Table5[[#This Row],[zRnk]]+IF($W$3&lt;&gt;Table5[[#This Row],[Type]],50,0))</f>
        <v>1643</v>
      </c>
      <c r="X670" s="51">
        <f>RANK(Table5[[#This Row],[zScore]],Table5[[#All],[zScore]])</f>
        <v>693</v>
      </c>
      <c r="Y670" s="50">
        <f>IFERROR(INDEX(DraftResults[[#All],[OVR]],MATCH(Table5[[#This Row],[PID]],DraftResults[[#All],[Player ID]],0)),"")</f>
        <v>241</v>
      </c>
      <c r="Z670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8</v>
      </c>
      <c r="AA670" s="50">
        <f>IFERROR(INDEX(DraftResults[[#All],[Pick in Round]],MATCH(Table5[[#This Row],[PID]],DraftResults[[#All],[Player ID]],0)),"")</f>
        <v>8</v>
      </c>
      <c r="AB670" s="50" t="str">
        <f>IFERROR(INDEX(DraftResults[[#All],[Team Name]],MATCH(Table5[[#This Row],[PID]],DraftResults[[#All],[Player ID]],0)),"")</f>
        <v>Gloucester Fishermen</v>
      </c>
      <c r="AC670" s="50">
        <f>IF(Table5[[#This Row],[Ovr]]="","",IF(Table5[[#This Row],[cmbList]]="","",Table5[[#This Row],[cmbList]]-Table5[[#This Row],[Ovr]]))</f>
        <v>1402</v>
      </c>
      <c r="AD670" s="54" t="str">
        <f>IF(ISERROR(VLOOKUP($AB670&amp;"-"&amp;$E670&amp;" "&amp;F670,Bonuses!$B$1:$G$1006,4,FALSE)),"",INT(VLOOKUP($AB670&amp;"-"&amp;$E670&amp;" "&amp;$F670,Bonuses!$B$1:$G$1006,4,FALSE)))</f>
        <v/>
      </c>
      <c r="AE670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8.8 (241) - RF Cristián Acevedo</v>
      </c>
    </row>
    <row r="671" spans="1:31" s="50" customFormat="1" x14ac:dyDescent="0.3">
      <c r="A671" s="50">
        <v>5335</v>
      </c>
      <c r="B671" s="50">
        <f>COUNTIF(Table5[PID],A671)</f>
        <v>1</v>
      </c>
      <c r="C671" s="50" t="str">
        <f>IF(COUNTIF(Table3[[#All],[PID]],A671)&gt;0,"P","B")</f>
        <v>P</v>
      </c>
      <c r="D671" s="59" t="str">
        <f>IF($C671="B",INDEX(Batters[[#All],[POS]],MATCH(Table5[[#This Row],[PID]],Batters[[#All],[PID]],0)),INDEX(Table3[[#All],[POS]],MATCH(Table5[[#This Row],[PID]],Table3[[#All],[PID]],0)))</f>
        <v>RP</v>
      </c>
      <c r="E671" s="52" t="str">
        <f>IF($C671="B",INDEX(Batters[[#All],[First]],MATCH(Table5[[#This Row],[PID]],Batters[[#All],[PID]],0)),INDEX(Table3[[#All],[First]],MATCH(Table5[[#This Row],[PID]],Table3[[#All],[PID]],0)))</f>
        <v>James</v>
      </c>
      <c r="F671" s="50" t="str">
        <f>IF($C671="B",INDEX(Batters[[#All],[Last]],MATCH(A671,Batters[[#All],[PID]],0)),INDEX(Table3[[#All],[Last]],MATCH(A671,Table3[[#All],[PID]],0)))</f>
        <v>Rowe</v>
      </c>
      <c r="G671" s="56">
        <f>IF($C671="B",INDEX(Batters[[#All],[Age]],MATCH(Table5[[#This Row],[PID]],Batters[[#All],[PID]],0)),INDEX(Table3[[#All],[Age]],MATCH(Table5[[#This Row],[PID]],Table3[[#All],[PID]],0)))</f>
        <v>21</v>
      </c>
      <c r="H671" s="52" t="str">
        <f>IF($C671="B",INDEX(Batters[[#All],[B]],MATCH(Table5[[#This Row],[PID]],Batters[[#All],[PID]],0)),INDEX(Table3[[#All],[B]],MATCH(Table5[[#This Row],[PID]],Table3[[#All],[PID]],0)))</f>
        <v>R</v>
      </c>
      <c r="I671" s="52" t="str">
        <f>IF($C671="B",INDEX(Batters[[#All],[T]],MATCH(Table5[[#This Row],[PID]],Batters[[#All],[PID]],0)),INDEX(Table3[[#All],[T]],MATCH(Table5[[#This Row],[PID]],Table3[[#All],[PID]],0)))</f>
        <v>R</v>
      </c>
      <c r="J671" s="52" t="str">
        <f>IF($C671="B",INDEX(Batters[[#All],[WE]],MATCH(Table5[[#This Row],[PID]],Batters[[#All],[PID]],0)),INDEX(Table3[[#All],[WE]],MATCH(Table5[[#This Row],[PID]],Table3[[#All],[PID]],0)))</f>
        <v>Low</v>
      </c>
      <c r="K671" s="52" t="str">
        <f>IF($C671="B",INDEX(Batters[[#All],[INT]],MATCH(Table5[[#This Row],[PID]],Batters[[#All],[PID]],0)),INDEX(Table3[[#All],[INT]],MATCH(Table5[[#This Row],[PID]],Table3[[#All],[PID]],0)))</f>
        <v>Normal</v>
      </c>
      <c r="L671" s="60">
        <f>IF($C671="B",INDEX(Batters[[#All],[CON P]],MATCH(Table5[[#This Row],[PID]],Batters[[#All],[PID]],0)),INDEX(Table3[[#All],[STU P]],MATCH(Table5[[#This Row],[PID]],Table3[[#All],[PID]],0)))</f>
        <v>4</v>
      </c>
      <c r="M671" s="56">
        <f>IF($C671="B",INDEX(Batters[[#All],[GAP P]],MATCH(Table5[[#This Row],[PID]],Batters[[#All],[PID]],0)),INDEX(Table3[[#All],[MOV P]],MATCH(Table5[[#This Row],[PID]],Table3[[#All],[PID]],0)))</f>
        <v>2</v>
      </c>
      <c r="N671" s="56">
        <f>IF($C671="B",INDEX(Batters[[#All],[POW P]],MATCH(Table5[[#This Row],[PID]],Batters[[#All],[PID]],0)),INDEX(Table3[[#All],[CON P]],MATCH(Table5[[#This Row],[PID]],Table3[[#All],[PID]],0)))</f>
        <v>3</v>
      </c>
      <c r="O671" s="56" t="str">
        <f>IF($C671="B",INDEX(Batters[[#All],[EYE P]],MATCH(Table5[[#This Row],[PID]],Batters[[#All],[PID]],0)),INDEX(Table3[[#All],[VELO]],MATCH(Table5[[#This Row],[PID]],Table3[[#All],[PID]],0)))</f>
        <v>88-90 Mph</v>
      </c>
      <c r="P671" s="56">
        <f>IF($C671="B",INDEX(Batters[[#All],[K P]],MATCH(Table5[[#This Row],[PID]],Batters[[#All],[PID]],0)),INDEX(Table3[[#All],[STM]],MATCH(Table5[[#This Row],[PID]],Table3[[#All],[PID]],0)))</f>
        <v>5</v>
      </c>
      <c r="Q671" s="61">
        <f>IF($C671="B",INDEX(Batters[[#All],[Tot]],MATCH(Table5[[#This Row],[PID]],Batters[[#All],[PID]],0)),INDEX(Table3[[#All],[Tot]],MATCH(Table5[[#This Row],[PID]],Table3[[#All],[PID]],0)))</f>
        <v>28.220852595867235</v>
      </c>
      <c r="R671" s="52">
        <f>IF($C671="B",INDEX(Batters[[#All],[zScore]],MATCH(Table5[[#This Row],[PID]],Batters[[#All],[PID]],0)),INDEX(Table3[[#All],[zScore]],MATCH(Table5[[#This Row],[PID]],Table3[[#All],[PID]],0)))</f>
        <v>-0.68228656269235322</v>
      </c>
      <c r="S671" s="58" t="str">
        <f>IF($C671="B",INDEX(Batters[[#All],[DEM]],MATCH(Table5[[#This Row],[PID]],Batters[[#All],[PID]],0)),INDEX(Table3[[#All],[DEM]],MATCH(Table5[[#This Row],[PID]],Table3[[#All],[PID]],0)))</f>
        <v>$20k</v>
      </c>
      <c r="T671" s="62">
        <f>IF($C671="B",INDEX(Batters[[#All],[Rnk]],MATCH(Table5[[#This Row],[PID]],Batters[[#All],[PID]],0)),INDEX(Table3[[#All],[Rnk]],MATCH(Table5[[#This Row],[PID]],Table3[[#All],[PID]],0)))</f>
        <v>930</v>
      </c>
      <c r="U671" s="67">
        <f>IF($C671="B",VLOOKUP($A671,Bat!$A$4:$BA$1314,47,FALSE),VLOOKUP($A671,Pit!$A$4:$BF$1214,56,FALSE))</f>
        <v>342</v>
      </c>
      <c r="V671" s="50">
        <f>IF($C671="B",VLOOKUP($A671,Bat!$A$4:$BA$1314,48,FALSE),VLOOKUP($A671,Pit!$A$4:$BF$1214,57,FALSE))</f>
        <v>0</v>
      </c>
      <c r="W671" s="68">
        <f>IF(Table5[[#This Row],[posRnk]]=999,9999,Table5[[#This Row],[posRnk]]+Table5[[#This Row],[zRnk]]+IF($W$3&lt;&gt;Table5[[#This Row],[Type]],50,0))</f>
        <v>1594</v>
      </c>
      <c r="X671" s="51">
        <f>RANK(Table5[[#This Row],[zScore]],Table5[[#All],[zScore]])</f>
        <v>664</v>
      </c>
      <c r="Y671" s="50" t="str">
        <f>IFERROR(INDEX(DraftResults[[#All],[OVR]],MATCH(Table5[[#This Row],[PID]],DraftResults[[#All],[Player ID]],0)),"")</f>
        <v/>
      </c>
      <c r="Z671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/>
      </c>
      <c r="AA671" s="50" t="str">
        <f>IFERROR(INDEX(DraftResults[[#All],[Pick in Round]],MATCH(Table5[[#This Row],[PID]],DraftResults[[#All],[Player ID]],0)),"")</f>
        <v/>
      </c>
      <c r="AB671" s="50" t="str">
        <f>IFERROR(INDEX(DraftResults[[#All],[Team Name]],MATCH(Table5[[#This Row],[PID]],DraftResults[[#All],[Player ID]],0)),"")</f>
        <v/>
      </c>
      <c r="AC671" s="50" t="str">
        <f>IF(Table5[[#This Row],[Ovr]]="","",IF(Table5[[#This Row],[cmbList]]="","",Table5[[#This Row],[cmbList]]-Table5[[#This Row],[Ovr]]))</f>
        <v/>
      </c>
      <c r="AD671" s="54" t="str">
        <f>IF(ISERROR(VLOOKUP($AB671&amp;"-"&amp;$E671&amp;" "&amp;F671,Bonuses!$B$1:$G$1006,4,FALSE)),"",INT(VLOOKUP($AB671&amp;"-"&amp;$E671&amp;" "&amp;$F671,Bonuses!$B$1:$G$1006,4,FALSE)))</f>
        <v/>
      </c>
      <c r="AE671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/>
      </c>
    </row>
    <row r="672" spans="1:31" s="50" customFormat="1" x14ac:dyDescent="0.3">
      <c r="A672" s="67">
        <v>11889</v>
      </c>
      <c r="B672" s="68">
        <f>COUNTIF(Table5[PID],A672)</f>
        <v>1</v>
      </c>
      <c r="C672" s="68" t="str">
        <f>IF(COUNTIF(Table3[[#All],[PID]],A672)&gt;0,"P","B")</f>
        <v>B</v>
      </c>
      <c r="D672" s="59" t="str">
        <f>IF($C672="B",INDEX(Batters[[#All],[POS]],MATCH(Table5[[#This Row],[PID]],Batters[[#All],[PID]],0)),INDEX(Table3[[#All],[POS]],MATCH(Table5[[#This Row],[PID]],Table3[[#All],[PID]],0)))</f>
        <v>LF</v>
      </c>
      <c r="E672" s="52" t="str">
        <f>IF($C672="B",INDEX(Batters[[#All],[First]],MATCH(Table5[[#This Row],[PID]],Batters[[#All],[PID]],0)),INDEX(Table3[[#All],[First]],MATCH(Table5[[#This Row],[PID]],Table3[[#All],[PID]],0)))</f>
        <v>Jamie</v>
      </c>
      <c r="F672" s="55" t="str">
        <f>IF($C672="B",INDEX(Batters[[#All],[Last]],MATCH(A672,Batters[[#All],[PID]],0)),INDEX(Table3[[#All],[Last]],MATCH(A672,Table3[[#All],[PID]],0)))</f>
        <v>MacClacher</v>
      </c>
      <c r="G672" s="56">
        <f>IF($C672="B",INDEX(Batters[[#All],[Age]],MATCH(Table5[[#This Row],[PID]],Batters[[#All],[PID]],0)),INDEX(Table3[[#All],[Age]],MATCH(Table5[[#This Row],[PID]],Table3[[#All],[PID]],0)))</f>
        <v>21</v>
      </c>
      <c r="H672" s="52" t="str">
        <f>IF($C672="B",INDEX(Batters[[#All],[B]],MATCH(Table5[[#This Row],[PID]],Batters[[#All],[PID]],0)),INDEX(Table3[[#All],[B]],MATCH(Table5[[#This Row],[PID]],Table3[[#All],[PID]],0)))</f>
        <v>L</v>
      </c>
      <c r="I672" s="52" t="str">
        <f>IF($C672="B",INDEX(Batters[[#All],[T]],MATCH(Table5[[#This Row],[PID]],Batters[[#All],[PID]],0)),INDEX(Table3[[#All],[T]],MATCH(Table5[[#This Row],[PID]],Table3[[#All],[PID]],0)))</f>
        <v>L</v>
      </c>
      <c r="J672" s="69" t="str">
        <f>IF($C672="B",INDEX(Batters[[#All],[WE]],MATCH(Table5[[#This Row],[PID]],Batters[[#All],[PID]],0)),INDEX(Table3[[#All],[WE]],MATCH(Table5[[#This Row],[PID]],Table3[[#All],[PID]],0)))</f>
        <v>Normal</v>
      </c>
      <c r="K672" s="52" t="str">
        <f>IF($C672="B",INDEX(Batters[[#All],[INT]],MATCH(Table5[[#This Row],[PID]],Batters[[#All],[PID]],0)),INDEX(Table3[[#All],[INT]],MATCH(Table5[[#This Row],[PID]],Table3[[#All],[PID]],0)))</f>
        <v>Normal</v>
      </c>
      <c r="L672" s="60">
        <f>IF($C672="B",INDEX(Batters[[#All],[CON P]],MATCH(Table5[[#This Row],[PID]],Batters[[#All],[PID]],0)),INDEX(Table3[[#All],[STU P]],MATCH(Table5[[#This Row],[PID]],Table3[[#All],[PID]],0)))</f>
        <v>3</v>
      </c>
      <c r="M672" s="70">
        <f>IF($C672="B",INDEX(Batters[[#All],[GAP P]],MATCH(Table5[[#This Row],[PID]],Batters[[#All],[PID]],0)),INDEX(Table3[[#All],[MOV P]],MATCH(Table5[[#This Row],[PID]],Table3[[#All],[PID]],0)))</f>
        <v>4</v>
      </c>
      <c r="N672" s="70">
        <f>IF($C672="B",INDEX(Batters[[#All],[POW P]],MATCH(Table5[[#This Row],[PID]],Batters[[#All],[PID]],0)),INDEX(Table3[[#All],[CON P]],MATCH(Table5[[#This Row],[PID]],Table3[[#All],[PID]],0)))</f>
        <v>4</v>
      </c>
      <c r="O672" s="70">
        <f>IF($C672="B",INDEX(Batters[[#All],[EYE P]],MATCH(Table5[[#This Row],[PID]],Batters[[#All],[PID]],0)),INDEX(Table3[[#All],[VELO]],MATCH(Table5[[#This Row],[PID]],Table3[[#All],[PID]],0)))</f>
        <v>5</v>
      </c>
      <c r="P672" s="56">
        <f>IF($C672="B",INDEX(Batters[[#All],[K P]],MATCH(Table5[[#This Row],[PID]],Batters[[#All],[PID]],0)),INDEX(Table3[[#All],[STM]],MATCH(Table5[[#This Row],[PID]],Table3[[#All],[PID]],0)))</f>
        <v>2</v>
      </c>
      <c r="Q672" s="61">
        <f>IF($C672="B",INDEX(Batters[[#All],[Tot]],MATCH(Table5[[#This Row],[PID]],Batters[[#All],[PID]],0)),INDEX(Table3[[#All],[Tot]],MATCH(Table5[[#This Row],[PID]],Table3[[#All],[PID]],0)))</f>
        <v>37.680175650079683</v>
      </c>
      <c r="R672" s="52">
        <f>IF($C672="B",INDEX(Batters[[#All],[zScore]],MATCH(Table5[[#This Row],[PID]],Batters[[#All],[PID]],0)),INDEX(Table3[[#All],[zScore]],MATCH(Table5[[#This Row],[PID]],Table3[[#All],[PID]],0)))</f>
        <v>-0.80841735780545376</v>
      </c>
      <c r="S672" s="75" t="str">
        <f>IF($C672="B",INDEX(Batters[[#All],[DEM]],MATCH(Table5[[#This Row],[PID]],Batters[[#All],[PID]],0)),INDEX(Table3[[#All],[DEM]],MATCH(Table5[[#This Row],[PID]],Table3[[#All],[PID]],0)))</f>
        <v>-</v>
      </c>
      <c r="T672" s="72">
        <f>IF($C672="B",INDEX(Batters[[#All],[Rnk]],MATCH(Table5[[#This Row],[PID]],Batters[[#All],[PID]],0)),INDEX(Table3[[#All],[Rnk]],MATCH(Table5[[#This Row],[PID]],Table3[[#All],[PID]],0)))</f>
        <v>900</v>
      </c>
      <c r="U672" s="67">
        <f>IF($C672="B",VLOOKUP($A672,Bat!$A$4:$BA$1314,47,FALSE),VLOOKUP($A672,Pit!$A$4:$BF$1214,56,FALSE))</f>
        <v>249</v>
      </c>
      <c r="V672" s="50">
        <f>IF($C672="B",VLOOKUP($A672,Bat!$A$4:$BA$1314,48,FALSE),VLOOKUP($A672,Pit!$A$4:$BF$1214,57,FALSE))</f>
        <v>0</v>
      </c>
      <c r="W672" s="68">
        <f>IF(Table5[[#This Row],[posRnk]]=999,9999,Table5[[#This Row],[posRnk]]+Table5[[#This Row],[zRnk]]+IF($W$3&lt;&gt;Table5[[#This Row],[Type]],50,0))</f>
        <v>1645</v>
      </c>
      <c r="X672" s="71">
        <f>RANK(Table5[[#This Row],[zScore]],Table5[[#All],[zScore]])</f>
        <v>695</v>
      </c>
      <c r="Y672" s="68">
        <f>IFERROR(INDEX(DraftResults[[#All],[OVR]],MATCH(Table5[[#This Row],[PID]],DraftResults[[#All],[Player ID]],0)),"")</f>
        <v>545</v>
      </c>
      <c r="Z672" s="7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17</v>
      </c>
      <c r="AA672" s="68">
        <f>IFERROR(INDEX(DraftResults[[#All],[Pick in Round]],MATCH(Table5[[#This Row],[PID]],DraftResults[[#All],[Player ID]],0)),"")</f>
        <v>10</v>
      </c>
      <c r="AB672" s="68" t="str">
        <f>IFERROR(INDEX(DraftResults[[#All],[Team Name]],MATCH(Table5[[#This Row],[PID]],DraftResults[[#All],[Player ID]],0)),"")</f>
        <v>London Underground</v>
      </c>
      <c r="AC672" s="68">
        <f>IF(Table5[[#This Row],[Ovr]]="","",IF(Table5[[#This Row],[cmbList]]="","",Table5[[#This Row],[cmbList]]-Table5[[#This Row],[Ovr]]))</f>
        <v>1100</v>
      </c>
      <c r="AD672" s="74" t="str">
        <f>IF(ISERROR(VLOOKUP($AB672&amp;"-"&amp;$E672&amp;" "&amp;F672,Bonuses!$B$1:$G$1006,4,FALSE)),"",INT(VLOOKUP($AB672&amp;"-"&amp;$E672&amp;" "&amp;$F672,Bonuses!$B$1:$G$1006,4,FALSE)))</f>
        <v/>
      </c>
      <c r="AE672" s="68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17.10 (545) - LF Jamie MacClacher</v>
      </c>
    </row>
    <row r="673" spans="1:31" s="50" customFormat="1" x14ac:dyDescent="0.3">
      <c r="A673" s="67">
        <v>12567</v>
      </c>
      <c r="B673" s="68">
        <f>COUNTIF(Table5[PID],A673)</f>
        <v>1</v>
      </c>
      <c r="C673" s="68" t="str">
        <f>IF(COUNTIF(Table3[[#All],[PID]],A673)&gt;0,"P","B")</f>
        <v>B</v>
      </c>
      <c r="D673" s="59" t="str">
        <f>IF($C673="B",INDEX(Batters[[#All],[POS]],MATCH(Table5[[#This Row],[PID]],Batters[[#All],[PID]],0)),INDEX(Table3[[#All],[POS]],MATCH(Table5[[#This Row],[PID]],Table3[[#All],[PID]],0)))</f>
        <v>RF</v>
      </c>
      <c r="E673" s="52" t="str">
        <f>IF($C673="B",INDEX(Batters[[#All],[First]],MATCH(Table5[[#This Row],[PID]],Batters[[#All],[PID]],0)),INDEX(Table3[[#All],[First]],MATCH(Table5[[#This Row],[PID]],Table3[[#All],[PID]],0)))</f>
        <v>Walt</v>
      </c>
      <c r="F673" s="55" t="str">
        <f>IF($C673="B",INDEX(Batters[[#All],[Last]],MATCH(A673,Batters[[#All],[PID]],0)),INDEX(Table3[[#All],[Last]],MATCH(A673,Table3[[#All],[PID]],0)))</f>
        <v>Daniel</v>
      </c>
      <c r="G673" s="56">
        <f>IF($C673="B",INDEX(Batters[[#All],[Age]],MATCH(Table5[[#This Row],[PID]],Batters[[#All],[PID]],0)),INDEX(Table3[[#All],[Age]],MATCH(Table5[[#This Row],[PID]],Table3[[#All],[PID]],0)))</f>
        <v>21</v>
      </c>
      <c r="H673" s="52" t="str">
        <f>IF($C673="B",INDEX(Batters[[#All],[B]],MATCH(Table5[[#This Row],[PID]],Batters[[#All],[PID]],0)),INDEX(Table3[[#All],[B]],MATCH(Table5[[#This Row],[PID]],Table3[[#All],[PID]],0)))</f>
        <v>L</v>
      </c>
      <c r="I673" s="52" t="str">
        <f>IF($C673="B",INDEX(Batters[[#All],[T]],MATCH(Table5[[#This Row],[PID]],Batters[[#All],[PID]],0)),INDEX(Table3[[#All],[T]],MATCH(Table5[[#This Row],[PID]],Table3[[#All],[PID]],0)))</f>
        <v>L</v>
      </c>
      <c r="J673" s="69" t="str">
        <f>IF($C673="B",INDEX(Batters[[#All],[WE]],MATCH(Table5[[#This Row],[PID]],Batters[[#All],[PID]],0)),INDEX(Table3[[#All],[WE]],MATCH(Table5[[#This Row],[PID]],Table3[[#All],[PID]],0)))</f>
        <v>Low</v>
      </c>
      <c r="K673" s="52" t="str">
        <f>IF($C673="B",INDEX(Batters[[#All],[INT]],MATCH(Table5[[#This Row],[PID]],Batters[[#All],[PID]],0)),INDEX(Table3[[#All],[INT]],MATCH(Table5[[#This Row],[PID]],Table3[[#All],[PID]],0)))</f>
        <v>Normal</v>
      </c>
      <c r="L673" s="60">
        <f>IF($C673="B",INDEX(Batters[[#All],[CON P]],MATCH(Table5[[#This Row],[PID]],Batters[[#All],[PID]],0)),INDEX(Table3[[#All],[STU P]],MATCH(Table5[[#This Row],[PID]],Table3[[#All],[PID]],0)))</f>
        <v>4</v>
      </c>
      <c r="M673" s="70">
        <f>IF($C673="B",INDEX(Batters[[#All],[GAP P]],MATCH(Table5[[#This Row],[PID]],Batters[[#All],[PID]],0)),INDEX(Table3[[#All],[MOV P]],MATCH(Table5[[#This Row],[PID]],Table3[[#All],[PID]],0)))</f>
        <v>3</v>
      </c>
      <c r="N673" s="70">
        <f>IF($C673="B",INDEX(Batters[[#All],[POW P]],MATCH(Table5[[#This Row],[PID]],Batters[[#All],[PID]],0)),INDEX(Table3[[#All],[CON P]],MATCH(Table5[[#This Row],[PID]],Table3[[#All],[PID]],0)))</f>
        <v>2</v>
      </c>
      <c r="O673" s="70">
        <f>IF($C673="B",INDEX(Batters[[#All],[EYE P]],MATCH(Table5[[#This Row],[PID]],Batters[[#All],[PID]],0)),INDEX(Table3[[#All],[VELO]],MATCH(Table5[[#This Row],[PID]],Table3[[#All],[PID]],0)))</f>
        <v>4</v>
      </c>
      <c r="P673" s="56">
        <f>IF($C673="B",INDEX(Batters[[#All],[K P]],MATCH(Table5[[#This Row],[PID]],Batters[[#All],[PID]],0)),INDEX(Table3[[#All],[STM]],MATCH(Table5[[#This Row],[PID]],Table3[[#All],[PID]],0)))</f>
        <v>5</v>
      </c>
      <c r="Q673" s="61">
        <f>IF($C673="B",INDEX(Batters[[#All],[Tot]],MATCH(Table5[[#This Row],[PID]],Batters[[#All],[PID]],0)),INDEX(Table3[[#All],[Tot]],MATCH(Table5[[#This Row],[PID]],Table3[[#All],[PID]],0)))</f>
        <v>38.485237459468351</v>
      </c>
      <c r="R673" s="52">
        <f>IF($C673="B",INDEX(Batters[[#All],[zScore]],MATCH(Table5[[#This Row],[PID]],Batters[[#All],[PID]],0)),INDEX(Table3[[#All],[zScore]],MATCH(Table5[[#This Row],[PID]],Table3[[#All],[PID]],0)))</f>
        <v>-0.69090400733987412</v>
      </c>
      <c r="S673" s="75" t="str">
        <f>IF($C673="B",INDEX(Batters[[#All],[DEM]],MATCH(Table5[[#This Row],[PID]],Batters[[#All],[PID]],0)),INDEX(Table3[[#All],[DEM]],MATCH(Table5[[#This Row],[PID]],Table3[[#All],[PID]],0)))</f>
        <v>-</v>
      </c>
      <c r="T673" s="72">
        <f>IF($C673="B",INDEX(Batters[[#All],[Rnk]],MATCH(Table5[[#This Row],[PID]],Batters[[#All],[PID]],0)),INDEX(Table3[[#All],[Rnk]],MATCH(Table5[[#This Row],[PID]],Table3[[#All],[PID]],0)))</f>
        <v>930</v>
      </c>
      <c r="U673" s="67">
        <f>IF($C673="B",VLOOKUP($A673,Bat!$A$4:$BA$1314,47,FALSE),VLOOKUP($A673,Pit!$A$4:$BF$1214,56,FALSE))</f>
        <v>362</v>
      </c>
      <c r="V673" s="50">
        <f>IF($C673="B",VLOOKUP($A673,Bat!$A$4:$BA$1314,48,FALSE),VLOOKUP($A673,Pit!$A$4:$BF$1214,57,FALSE))</f>
        <v>0</v>
      </c>
      <c r="W673" s="68">
        <f>IF(Table5[[#This Row],[posRnk]]=999,9999,Table5[[#This Row],[posRnk]]+Table5[[#This Row],[zRnk]]+IF($W$3&lt;&gt;Table5[[#This Row],[Type]],50,0))</f>
        <v>1646</v>
      </c>
      <c r="X673" s="71">
        <f>RANK(Table5[[#This Row],[zScore]],Table5[[#All],[zScore]])</f>
        <v>666</v>
      </c>
      <c r="Y673" s="68">
        <f>IFERROR(INDEX(DraftResults[[#All],[OVR]],MATCH(Table5[[#This Row],[PID]],DraftResults[[#All],[Player ID]],0)),"")</f>
        <v>413</v>
      </c>
      <c r="Z673" s="7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13</v>
      </c>
      <c r="AA673" s="68">
        <f>IFERROR(INDEX(DraftResults[[#All],[Pick in Round]],MATCH(Table5[[#This Row],[PID]],DraftResults[[#All],[Player ID]],0)),"")</f>
        <v>14</v>
      </c>
      <c r="AB673" s="68" t="str">
        <f>IFERROR(INDEX(DraftResults[[#All],[Team Name]],MATCH(Table5[[#This Row],[PID]],DraftResults[[#All],[Player ID]],0)),"")</f>
        <v>San Antonio Calzones of Laredo</v>
      </c>
      <c r="AC673" s="68">
        <f>IF(Table5[[#This Row],[Ovr]]="","",IF(Table5[[#This Row],[cmbList]]="","",Table5[[#This Row],[cmbList]]-Table5[[#This Row],[Ovr]]))</f>
        <v>1233</v>
      </c>
      <c r="AD673" s="74" t="str">
        <f>IF(ISERROR(VLOOKUP($AB673&amp;"-"&amp;$E673&amp;" "&amp;F673,Bonuses!$B$1:$G$1006,4,FALSE)),"",INT(VLOOKUP($AB673&amp;"-"&amp;$E673&amp;" "&amp;$F673,Bonuses!$B$1:$G$1006,4,FALSE)))</f>
        <v/>
      </c>
      <c r="AE673" s="68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13.14 (413) - RF Walt Daniel</v>
      </c>
    </row>
    <row r="674" spans="1:31" s="50" customFormat="1" x14ac:dyDescent="0.3">
      <c r="A674" s="50">
        <v>11960</v>
      </c>
      <c r="B674" s="50">
        <f>COUNTIF(Table5[PID],A674)</f>
        <v>1</v>
      </c>
      <c r="C674" s="50" t="str">
        <f>IF(COUNTIF(Table3[[#All],[PID]],A674)&gt;0,"P","B")</f>
        <v>B</v>
      </c>
      <c r="D674" s="59" t="str">
        <f>IF($C674="B",INDEX(Batters[[#All],[POS]],MATCH(Table5[[#This Row],[PID]],Batters[[#All],[PID]],0)),INDEX(Table3[[#All],[POS]],MATCH(Table5[[#This Row],[PID]],Table3[[#All],[PID]],0)))</f>
        <v>2B</v>
      </c>
      <c r="E674" s="52" t="str">
        <f>IF($C674="B",INDEX(Batters[[#All],[First]],MATCH(Table5[[#This Row],[PID]],Batters[[#All],[PID]],0)),INDEX(Table3[[#All],[First]],MATCH(Table5[[#This Row],[PID]],Table3[[#All],[PID]],0)))</f>
        <v>Kantaro</v>
      </c>
      <c r="F674" s="50" t="str">
        <f>IF($C674="B",INDEX(Batters[[#All],[Last]],MATCH(A674,Batters[[#All],[PID]],0)),INDEX(Table3[[#All],[Last]],MATCH(A674,Table3[[#All],[PID]],0)))</f>
        <v>Sasaki</v>
      </c>
      <c r="G674" s="56">
        <f>IF($C674="B",INDEX(Batters[[#All],[Age]],MATCH(Table5[[#This Row],[PID]],Batters[[#All],[PID]],0)),INDEX(Table3[[#All],[Age]],MATCH(Table5[[#This Row],[PID]],Table3[[#All],[PID]],0)))</f>
        <v>22</v>
      </c>
      <c r="H674" s="52" t="str">
        <f>IF($C674="B",INDEX(Batters[[#All],[B]],MATCH(Table5[[#This Row],[PID]],Batters[[#All],[PID]],0)),INDEX(Table3[[#All],[B]],MATCH(Table5[[#This Row],[PID]],Table3[[#All],[PID]],0)))</f>
        <v>S</v>
      </c>
      <c r="I674" s="52" t="str">
        <f>IF($C674="B",INDEX(Batters[[#All],[T]],MATCH(Table5[[#This Row],[PID]],Batters[[#All],[PID]],0)),INDEX(Table3[[#All],[T]],MATCH(Table5[[#This Row],[PID]],Table3[[#All],[PID]],0)))</f>
        <v>R</v>
      </c>
      <c r="J674" s="52" t="str">
        <f>IF($C674="B",INDEX(Batters[[#All],[WE]],MATCH(Table5[[#This Row],[PID]],Batters[[#All],[PID]],0)),INDEX(Table3[[#All],[WE]],MATCH(Table5[[#This Row],[PID]],Table3[[#All],[PID]],0)))</f>
        <v>Normal</v>
      </c>
      <c r="K674" s="52" t="str">
        <f>IF($C674="B",INDEX(Batters[[#All],[INT]],MATCH(Table5[[#This Row],[PID]],Batters[[#All],[PID]],0)),INDEX(Table3[[#All],[INT]],MATCH(Table5[[#This Row],[PID]],Table3[[#All],[PID]],0)))</f>
        <v>Normal</v>
      </c>
      <c r="L674" s="60">
        <f>IF($C674="B",INDEX(Batters[[#All],[CON P]],MATCH(Table5[[#This Row],[PID]],Batters[[#All],[PID]],0)),INDEX(Table3[[#All],[STU P]],MATCH(Table5[[#This Row],[PID]],Table3[[#All],[PID]],0)))</f>
        <v>3</v>
      </c>
      <c r="M674" s="56">
        <f>IF($C674="B",INDEX(Batters[[#All],[GAP P]],MATCH(Table5[[#This Row],[PID]],Batters[[#All],[PID]],0)),INDEX(Table3[[#All],[MOV P]],MATCH(Table5[[#This Row],[PID]],Table3[[#All],[PID]],0)))</f>
        <v>5</v>
      </c>
      <c r="N674" s="56">
        <f>IF($C674="B",INDEX(Batters[[#All],[POW P]],MATCH(Table5[[#This Row],[PID]],Batters[[#All],[PID]],0)),INDEX(Table3[[#All],[CON P]],MATCH(Table5[[#This Row],[PID]],Table3[[#All],[PID]],0)))</f>
        <v>3</v>
      </c>
      <c r="O674" s="56">
        <f>IF($C674="B",INDEX(Batters[[#All],[EYE P]],MATCH(Table5[[#This Row],[PID]],Batters[[#All],[PID]],0)),INDEX(Table3[[#All],[VELO]],MATCH(Table5[[#This Row],[PID]],Table3[[#All],[PID]],0)))</f>
        <v>5</v>
      </c>
      <c r="P674" s="56">
        <f>IF($C674="B",INDEX(Batters[[#All],[K P]],MATCH(Table5[[#This Row],[PID]],Batters[[#All],[PID]],0)),INDEX(Table3[[#All],[STM]],MATCH(Table5[[#This Row],[PID]],Table3[[#All],[PID]],0)))</f>
        <v>3</v>
      </c>
      <c r="Q674" s="61">
        <f>IF($C674="B",INDEX(Batters[[#All],[Tot]],MATCH(Table5[[#This Row],[PID]],Batters[[#All],[PID]],0)),INDEX(Table3[[#All],[Tot]],MATCH(Table5[[#This Row],[PID]],Table3[[#All],[PID]],0)))</f>
        <v>37.638741110535385</v>
      </c>
      <c r="R674" s="52">
        <f>IF($C674="B",INDEX(Batters[[#All],[zScore]],MATCH(Table5[[#This Row],[PID]],Batters[[#All],[PID]],0)),INDEX(Table3[[#All],[zScore]],MATCH(Table5[[#This Row],[PID]],Table3[[#All],[PID]],0)))</f>
        <v>-0.8144654792168351</v>
      </c>
      <c r="S674" s="58" t="str">
        <f>IF($C674="B",INDEX(Batters[[#All],[DEM]],MATCH(Table5[[#This Row],[PID]],Batters[[#All],[PID]],0)),INDEX(Table3[[#All],[DEM]],MATCH(Table5[[#This Row],[PID]],Table3[[#All],[PID]],0)))</f>
        <v>-</v>
      </c>
      <c r="T674" s="62">
        <f>IF($C674="B",INDEX(Batters[[#All],[Rnk]],MATCH(Table5[[#This Row],[PID]],Batters[[#All],[PID]],0)),INDEX(Table3[[#All],[Rnk]],MATCH(Table5[[#This Row],[PID]],Table3[[#All],[PID]],0)))</f>
        <v>900</v>
      </c>
      <c r="U674" s="67">
        <f>IF($C674="B",VLOOKUP($A674,Bat!$A$4:$BA$1314,47,FALSE),VLOOKUP($A674,Pit!$A$4:$BF$1214,56,FALSE))</f>
        <v>251</v>
      </c>
      <c r="V674" s="50">
        <f>IF($C674="B",VLOOKUP($A674,Bat!$A$4:$BA$1314,48,FALSE),VLOOKUP($A674,Pit!$A$4:$BF$1214,57,FALSE))</f>
        <v>0</v>
      </c>
      <c r="W674" s="68">
        <f>IF(Table5[[#This Row],[posRnk]]=999,9999,Table5[[#This Row],[posRnk]]+Table5[[#This Row],[zRnk]]+IF($W$3&lt;&gt;Table5[[#This Row],[Type]],50,0))</f>
        <v>1647</v>
      </c>
      <c r="X674" s="51">
        <f>RANK(Table5[[#This Row],[zScore]],Table5[[#All],[zScore]])</f>
        <v>697</v>
      </c>
      <c r="Y674" s="50" t="str">
        <f>IFERROR(INDEX(DraftResults[[#All],[OVR]],MATCH(Table5[[#This Row],[PID]],DraftResults[[#All],[Player ID]],0)),"")</f>
        <v/>
      </c>
      <c r="Z674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/>
      </c>
      <c r="AA674" s="50" t="str">
        <f>IFERROR(INDEX(DraftResults[[#All],[Pick in Round]],MATCH(Table5[[#This Row],[PID]],DraftResults[[#All],[Player ID]],0)),"")</f>
        <v/>
      </c>
      <c r="AB674" s="50" t="str">
        <f>IFERROR(INDEX(DraftResults[[#All],[Team Name]],MATCH(Table5[[#This Row],[PID]],DraftResults[[#All],[Player ID]],0)),"")</f>
        <v/>
      </c>
      <c r="AC674" s="50" t="str">
        <f>IF(Table5[[#This Row],[Ovr]]="","",IF(Table5[[#This Row],[cmbList]]="","",Table5[[#This Row],[cmbList]]-Table5[[#This Row],[Ovr]]))</f>
        <v/>
      </c>
      <c r="AD674" s="54" t="str">
        <f>IF(ISERROR(VLOOKUP($AB674&amp;"-"&amp;$E674&amp;" "&amp;F674,Bonuses!$B$1:$G$1006,4,FALSE)),"",INT(VLOOKUP($AB674&amp;"-"&amp;$E674&amp;" "&amp;$F674,Bonuses!$B$1:$G$1006,4,FALSE)))</f>
        <v/>
      </c>
      <c r="AE674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/>
      </c>
    </row>
    <row r="675" spans="1:31" s="50" customFormat="1" x14ac:dyDescent="0.3">
      <c r="A675" s="50">
        <v>7246</v>
      </c>
      <c r="B675" s="50">
        <f>COUNTIF(Table5[PID],A675)</f>
        <v>1</v>
      </c>
      <c r="C675" s="50" t="str">
        <f>IF(COUNTIF(Table3[[#All],[PID]],A675)&gt;0,"P","B")</f>
        <v>P</v>
      </c>
      <c r="D675" s="59" t="str">
        <f>IF($C675="B",INDEX(Batters[[#All],[POS]],MATCH(Table5[[#This Row],[PID]],Batters[[#All],[PID]],0)),INDEX(Table3[[#All],[POS]],MATCH(Table5[[#This Row],[PID]],Table3[[#All],[PID]],0)))</f>
        <v>RP</v>
      </c>
      <c r="E675" s="52" t="str">
        <f>IF($C675="B",INDEX(Batters[[#All],[First]],MATCH(Table5[[#This Row],[PID]],Batters[[#All],[PID]],0)),INDEX(Table3[[#All],[First]],MATCH(Table5[[#This Row],[PID]],Table3[[#All],[PID]],0)))</f>
        <v>Travis</v>
      </c>
      <c r="F675" s="50" t="str">
        <f>IF($C675="B",INDEX(Batters[[#All],[Last]],MATCH(A675,Batters[[#All],[PID]],0)),INDEX(Table3[[#All],[Last]],MATCH(A675,Table3[[#All],[PID]],0)))</f>
        <v>Richardson</v>
      </c>
      <c r="G675" s="56">
        <f>IF($C675="B",INDEX(Batters[[#All],[Age]],MATCH(Table5[[#This Row],[PID]],Batters[[#All],[PID]],0)),INDEX(Table3[[#All],[Age]],MATCH(Table5[[#This Row],[PID]],Table3[[#All],[PID]],0)))</f>
        <v>21</v>
      </c>
      <c r="H675" s="52" t="str">
        <f>IF($C675="B",INDEX(Batters[[#All],[B]],MATCH(Table5[[#This Row],[PID]],Batters[[#All],[PID]],0)),INDEX(Table3[[#All],[B]],MATCH(Table5[[#This Row],[PID]],Table3[[#All],[PID]],0)))</f>
        <v>R</v>
      </c>
      <c r="I675" s="52" t="str">
        <f>IF($C675="B",INDEX(Batters[[#All],[T]],MATCH(Table5[[#This Row],[PID]],Batters[[#All],[PID]],0)),INDEX(Table3[[#All],[T]],MATCH(Table5[[#This Row],[PID]],Table3[[#All],[PID]],0)))</f>
        <v>R</v>
      </c>
      <c r="J675" s="52" t="str">
        <f>IF($C675="B",INDEX(Batters[[#All],[WE]],MATCH(Table5[[#This Row],[PID]],Batters[[#All],[PID]],0)),INDEX(Table3[[#All],[WE]],MATCH(Table5[[#This Row],[PID]],Table3[[#All],[PID]],0)))</f>
        <v>Low</v>
      </c>
      <c r="K675" s="52" t="str">
        <f>IF($C675="B",INDEX(Batters[[#All],[INT]],MATCH(Table5[[#This Row],[PID]],Batters[[#All],[PID]],0)),INDEX(Table3[[#All],[INT]],MATCH(Table5[[#This Row],[PID]],Table3[[#All],[PID]],0)))</f>
        <v>Normal</v>
      </c>
      <c r="L675" s="60">
        <f>IF($C675="B",INDEX(Batters[[#All],[CON P]],MATCH(Table5[[#This Row],[PID]],Batters[[#All],[PID]],0)),INDEX(Table3[[#All],[STU P]],MATCH(Table5[[#This Row],[PID]],Table3[[#All],[PID]],0)))</f>
        <v>6</v>
      </c>
      <c r="M675" s="56">
        <f>IF($C675="B",INDEX(Batters[[#All],[GAP P]],MATCH(Table5[[#This Row],[PID]],Batters[[#All],[PID]],0)),INDEX(Table3[[#All],[MOV P]],MATCH(Table5[[#This Row],[PID]],Table3[[#All],[PID]],0)))</f>
        <v>1</v>
      </c>
      <c r="N675" s="56">
        <f>IF($C675="B",INDEX(Batters[[#All],[POW P]],MATCH(Table5[[#This Row],[PID]],Batters[[#All],[PID]],0)),INDEX(Table3[[#All],[CON P]],MATCH(Table5[[#This Row],[PID]],Table3[[#All],[PID]],0)))</f>
        <v>2</v>
      </c>
      <c r="O675" s="56" t="str">
        <f>IF($C675="B",INDEX(Batters[[#All],[EYE P]],MATCH(Table5[[#This Row],[PID]],Batters[[#All],[PID]],0)),INDEX(Table3[[#All],[VELO]],MATCH(Table5[[#This Row],[PID]],Table3[[#All],[PID]],0)))</f>
        <v>93-95 Mph</v>
      </c>
      <c r="P675" s="56">
        <f>IF($C675="B",INDEX(Batters[[#All],[K P]],MATCH(Table5[[#This Row],[PID]],Batters[[#All],[PID]],0)),INDEX(Table3[[#All],[STM]],MATCH(Table5[[#This Row],[PID]],Table3[[#All],[PID]],0)))</f>
        <v>4</v>
      </c>
      <c r="Q675" s="61">
        <f>IF($C675="B",INDEX(Batters[[#All],[Tot]],MATCH(Table5[[#This Row],[PID]],Batters[[#All],[PID]],0)),INDEX(Table3[[#All],[Tot]],MATCH(Table5[[#This Row],[PID]],Table3[[#All],[PID]],0)))</f>
        <v>27.933775629961243</v>
      </c>
      <c r="R675" s="52">
        <f>IF($C675="B",INDEX(Batters[[#All],[zScore]],MATCH(Table5[[#This Row],[PID]],Batters[[#All],[PID]],0)),INDEX(Table3[[#All],[zScore]],MATCH(Table5[[#This Row],[PID]],Table3[[#All],[PID]],0)))</f>
        <v>-0.70272846164069536</v>
      </c>
      <c r="S675" s="58" t="str">
        <f>IF($C675="B",INDEX(Batters[[#All],[DEM]],MATCH(Table5[[#This Row],[PID]],Batters[[#All],[PID]],0)),INDEX(Table3[[#All],[DEM]],MATCH(Table5[[#This Row],[PID]],Table3[[#All],[PID]],0)))</f>
        <v>-</v>
      </c>
      <c r="T675" s="62">
        <f>IF($C675="B",INDEX(Batters[[#All],[Rnk]],MATCH(Table5[[#This Row],[PID]],Batters[[#All],[PID]],0)),INDEX(Table3[[#All],[Rnk]],MATCH(Table5[[#This Row],[PID]],Table3[[#All],[PID]],0)))</f>
        <v>930</v>
      </c>
      <c r="U675" s="67">
        <f>IF($C675="B",VLOOKUP($A675,Bat!$A$4:$BA$1314,47,FALSE),VLOOKUP($A675,Pit!$A$4:$BF$1214,56,FALSE))</f>
        <v>343</v>
      </c>
      <c r="V675" s="50">
        <f>IF($C675="B",VLOOKUP($A675,Bat!$A$4:$BA$1314,48,FALSE),VLOOKUP($A675,Pit!$A$4:$BF$1214,57,FALSE))</f>
        <v>0</v>
      </c>
      <c r="W675" s="68">
        <f>IF(Table5[[#This Row],[posRnk]]=999,9999,Table5[[#This Row],[posRnk]]+Table5[[#This Row],[zRnk]]+IF($W$3&lt;&gt;Table5[[#This Row],[Type]],50,0))</f>
        <v>1597</v>
      </c>
      <c r="X675" s="51">
        <f>RANK(Table5[[#This Row],[zScore]],Table5[[#All],[zScore]])</f>
        <v>667</v>
      </c>
      <c r="Y675" s="50">
        <f>IFERROR(INDEX(DraftResults[[#All],[OVR]],MATCH(Table5[[#This Row],[PID]],DraftResults[[#All],[Player ID]],0)),"")</f>
        <v>449</v>
      </c>
      <c r="Z675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14</v>
      </c>
      <c r="AA675" s="50">
        <f>IFERROR(INDEX(DraftResults[[#All],[Pick in Round]],MATCH(Table5[[#This Row],[PID]],DraftResults[[#All],[Player ID]],0)),"")</f>
        <v>16</v>
      </c>
      <c r="AB675" s="50" t="str">
        <f>IFERROR(INDEX(DraftResults[[#All],[Team Name]],MATCH(Table5[[#This Row],[PID]],DraftResults[[#All],[Player ID]],0)),"")</f>
        <v>Madison Malts</v>
      </c>
      <c r="AC675" s="50">
        <f>IF(Table5[[#This Row],[Ovr]]="","",IF(Table5[[#This Row],[cmbList]]="","",Table5[[#This Row],[cmbList]]-Table5[[#This Row],[Ovr]]))</f>
        <v>1148</v>
      </c>
      <c r="AD675" s="54" t="str">
        <f>IF(ISERROR(VLOOKUP($AB675&amp;"-"&amp;$E675&amp;" "&amp;F675,Bonuses!$B$1:$G$1006,4,FALSE)),"",INT(VLOOKUP($AB675&amp;"-"&amp;$E675&amp;" "&amp;$F675,Bonuses!$B$1:$G$1006,4,FALSE)))</f>
        <v/>
      </c>
      <c r="AE675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14.16 (449) - RP Travis Richardson</v>
      </c>
    </row>
    <row r="676" spans="1:31" s="50" customFormat="1" x14ac:dyDescent="0.3">
      <c r="A676" s="67">
        <v>20606</v>
      </c>
      <c r="B676" s="68">
        <f>COUNTIF(Table5[PID],A676)</f>
        <v>1</v>
      </c>
      <c r="C676" s="68" t="str">
        <f>IF(COUNTIF(Table3[[#All],[PID]],A676)&gt;0,"P","B")</f>
        <v>P</v>
      </c>
      <c r="D676" s="59" t="str">
        <f>IF($C676="B",INDEX(Batters[[#All],[POS]],MATCH(Table5[[#This Row],[PID]],Batters[[#All],[PID]],0)),INDEX(Table3[[#All],[POS]],MATCH(Table5[[#This Row],[PID]],Table3[[#All],[PID]],0)))</f>
        <v>RP</v>
      </c>
      <c r="E676" s="52" t="str">
        <f>IF($C676="B",INDEX(Batters[[#All],[First]],MATCH(Table5[[#This Row],[PID]],Batters[[#All],[PID]],0)),INDEX(Table3[[#All],[First]],MATCH(Table5[[#This Row],[PID]],Table3[[#All],[PID]],0)))</f>
        <v>Zheng-ze</v>
      </c>
      <c r="F676" s="55" t="str">
        <f>IF($C676="B",INDEX(Batters[[#All],[Last]],MATCH(A676,Batters[[#All],[PID]],0)),INDEX(Table3[[#All],[Last]],MATCH(A676,Table3[[#All],[PID]],0)))</f>
        <v>Quan</v>
      </c>
      <c r="G676" s="56">
        <f>IF($C676="B",INDEX(Batters[[#All],[Age]],MATCH(Table5[[#This Row],[PID]],Batters[[#All],[PID]],0)),INDEX(Table3[[#All],[Age]],MATCH(Table5[[#This Row],[PID]],Table3[[#All],[PID]],0)))</f>
        <v>17</v>
      </c>
      <c r="H676" s="52" t="str">
        <f>IF($C676="B",INDEX(Batters[[#All],[B]],MATCH(Table5[[#This Row],[PID]],Batters[[#All],[PID]],0)),INDEX(Table3[[#All],[B]],MATCH(Table5[[#This Row],[PID]],Table3[[#All],[PID]],0)))</f>
        <v>L</v>
      </c>
      <c r="I676" s="52" t="str">
        <f>IF($C676="B",INDEX(Batters[[#All],[T]],MATCH(Table5[[#This Row],[PID]],Batters[[#All],[PID]],0)),INDEX(Table3[[#All],[T]],MATCH(Table5[[#This Row],[PID]],Table3[[#All],[PID]],0)))</f>
        <v>L</v>
      </c>
      <c r="J676" s="69" t="str">
        <f>IF($C676="B",INDEX(Batters[[#All],[WE]],MATCH(Table5[[#This Row],[PID]],Batters[[#All],[PID]],0)),INDEX(Table3[[#All],[WE]],MATCH(Table5[[#This Row],[PID]],Table3[[#All],[PID]],0)))</f>
        <v>Low</v>
      </c>
      <c r="K676" s="52" t="str">
        <f>IF($C676="B",INDEX(Batters[[#All],[INT]],MATCH(Table5[[#This Row],[PID]],Batters[[#All],[PID]],0)),INDEX(Table3[[#All],[INT]],MATCH(Table5[[#This Row],[PID]],Table3[[#All],[PID]],0)))</f>
        <v>High</v>
      </c>
      <c r="L676" s="60">
        <f>IF($C676="B",INDEX(Batters[[#All],[CON P]],MATCH(Table5[[#This Row],[PID]],Batters[[#All],[PID]],0)),INDEX(Table3[[#All],[STU P]],MATCH(Table5[[#This Row],[PID]],Table3[[#All],[PID]],0)))</f>
        <v>5</v>
      </c>
      <c r="M676" s="70">
        <f>IF($C676="B",INDEX(Batters[[#All],[GAP P]],MATCH(Table5[[#This Row],[PID]],Batters[[#All],[PID]],0)),INDEX(Table3[[#All],[MOV P]],MATCH(Table5[[#This Row],[PID]],Table3[[#All],[PID]],0)))</f>
        <v>1</v>
      </c>
      <c r="N676" s="70">
        <f>IF($C676="B",INDEX(Batters[[#All],[POW P]],MATCH(Table5[[#This Row],[PID]],Batters[[#All],[PID]],0)),INDEX(Table3[[#All],[CON P]],MATCH(Table5[[#This Row],[PID]],Table3[[#All],[PID]],0)))</f>
        <v>3</v>
      </c>
      <c r="O676" s="70" t="str">
        <f>IF($C676="B",INDEX(Batters[[#All],[EYE P]],MATCH(Table5[[#This Row],[PID]],Batters[[#All],[PID]],0)),INDEX(Table3[[#All],[VELO]],MATCH(Table5[[#This Row],[PID]],Table3[[#All],[PID]],0)))</f>
        <v>88-90 Mph</v>
      </c>
      <c r="P676" s="56">
        <f>IF($C676="B",INDEX(Batters[[#All],[K P]],MATCH(Table5[[#This Row],[PID]],Batters[[#All],[PID]],0)),INDEX(Table3[[#All],[STM]],MATCH(Table5[[#This Row],[PID]],Table3[[#All],[PID]],0)))</f>
        <v>3</v>
      </c>
      <c r="Q676" s="61">
        <f>IF($C676="B",INDEX(Batters[[#All],[Tot]],MATCH(Table5[[#This Row],[PID]],Batters[[#All],[PID]],0)),INDEX(Table3[[#All],[Tot]],MATCH(Table5[[#This Row],[PID]],Table3[[#All],[PID]],0)))</f>
        <v>27.802131261816275</v>
      </c>
      <c r="R676" s="52">
        <f>IF($C676="B",INDEX(Batters[[#All],[zScore]],MATCH(Table5[[#This Row],[PID]],Batters[[#All],[PID]],0)),INDEX(Table3[[#All],[zScore]],MATCH(Table5[[#This Row],[PID]],Table3[[#All],[PID]],0)))</f>
        <v>-0.70523883733623993</v>
      </c>
      <c r="S676" s="75" t="str">
        <f>IF($C676="B",INDEX(Batters[[#All],[DEM]],MATCH(Table5[[#This Row],[PID]],Batters[[#All],[PID]],0)),INDEX(Table3[[#All],[DEM]],MATCH(Table5[[#This Row],[PID]],Table3[[#All],[PID]],0)))</f>
        <v>$65k</v>
      </c>
      <c r="T676" s="72">
        <f>IF($C676="B",INDEX(Batters[[#All],[Rnk]],MATCH(Table5[[#This Row],[PID]],Batters[[#All],[PID]],0)),INDEX(Table3[[#All],[Rnk]],MATCH(Table5[[#This Row],[PID]],Table3[[#All],[PID]],0)))</f>
        <v>930</v>
      </c>
      <c r="U676" s="67">
        <f>IF($C676="B",VLOOKUP($A676,Bat!$A$4:$BA$1314,47,FALSE),VLOOKUP($A676,Pit!$A$4:$BF$1214,56,FALSE))</f>
        <v>341</v>
      </c>
      <c r="V676" s="50">
        <f>IF($C676="B",VLOOKUP($A676,Bat!$A$4:$BA$1314,48,FALSE),VLOOKUP($A676,Pit!$A$4:$BF$1214,57,FALSE))</f>
        <v>0</v>
      </c>
      <c r="W676" s="68">
        <f>IF(Table5[[#This Row],[posRnk]]=999,9999,Table5[[#This Row],[posRnk]]+Table5[[#This Row],[zRnk]]+IF($W$3&lt;&gt;Table5[[#This Row],[Type]],50,0))</f>
        <v>1598</v>
      </c>
      <c r="X676" s="71">
        <f>RANK(Table5[[#This Row],[zScore]],Table5[[#All],[zScore]])</f>
        <v>668</v>
      </c>
      <c r="Y676" s="68">
        <f>IFERROR(INDEX(DraftResults[[#All],[OVR]],MATCH(Table5[[#This Row],[PID]],DraftResults[[#All],[Player ID]],0)),"")</f>
        <v>633</v>
      </c>
      <c r="Z676" s="7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19</v>
      </c>
      <c r="AA676" s="68">
        <f>IFERROR(INDEX(DraftResults[[#All],[Pick in Round]],MATCH(Table5[[#This Row],[PID]],DraftResults[[#All],[Player ID]],0)),"")</f>
        <v>30</v>
      </c>
      <c r="AB676" s="68" t="str">
        <f>IFERROR(INDEX(DraftResults[[#All],[Team Name]],MATCH(Table5[[#This Row],[PID]],DraftResults[[#All],[Player ID]],0)),"")</f>
        <v>Toyama Wind Dancers</v>
      </c>
      <c r="AC676" s="68">
        <f>IF(Table5[[#This Row],[Ovr]]="","",IF(Table5[[#This Row],[cmbList]]="","",Table5[[#This Row],[cmbList]]-Table5[[#This Row],[Ovr]]))</f>
        <v>965</v>
      </c>
      <c r="AD676" s="74" t="str">
        <f>IF(ISERROR(VLOOKUP($AB676&amp;"-"&amp;$E676&amp;" "&amp;F676,Bonuses!$B$1:$G$1006,4,FALSE)),"",INT(VLOOKUP($AB676&amp;"-"&amp;$E676&amp;" "&amp;$F676,Bonuses!$B$1:$G$1006,4,FALSE)))</f>
        <v/>
      </c>
      <c r="AE676" s="68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19.30 (633) - RP Zheng-ze Quan</v>
      </c>
    </row>
    <row r="677" spans="1:31" s="50" customFormat="1" x14ac:dyDescent="0.3">
      <c r="A677" s="67">
        <v>10306</v>
      </c>
      <c r="B677" s="68">
        <f>COUNTIF(Table5[PID],A677)</f>
        <v>1</v>
      </c>
      <c r="C677" s="68" t="str">
        <f>IF(COUNTIF(Table3[[#All],[PID]],A677)&gt;0,"P","B")</f>
        <v>B</v>
      </c>
      <c r="D677" s="59" t="str">
        <f>IF($C677="B",INDEX(Batters[[#All],[POS]],MATCH(Table5[[#This Row],[PID]],Batters[[#All],[PID]],0)),INDEX(Table3[[#All],[POS]],MATCH(Table5[[#This Row],[PID]],Table3[[#All],[PID]],0)))</f>
        <v>RF</v>
      </c>
      <c r="E677" s="52" t="str">
        <f>IF($C677="B",INDEX(Batters[[#All],[First]],MATCH(Table5[[#This Row],[PID]],Batters[[#All],[PID]],0)),INDEX(Table3[[#All],[First]],MATCH(Table5[[#This Row],[PID]],Table3[[#All],[PID]],0)))</f>
        <v>Rafael</v>
      </c>
      <c r="F677" s="55" t="str">
        <f>IF($C677="B",INDEX(Batters[[#All],[Last]],MATCH(A677,Batters[[#All],[PID]],0)),INDEX(Table3[[#All],[Last]],MATCH(A677,Table3[[#All],[PID]],0)))</f>
        <v>Solís</v>
      </c>
      <c r="G677" s="56">
        <f>IF($C677="B",INDEX(Batters[[#All],[Age]],MATCH(Table5[[#This Row],[PID]],Batters[[#All],[PID]],0)),INDEX(Table3[[#All],[Age]],MATCH(Table5[[#This Row],[PID]],Table3[[#All],[PID]],0)))</f>
        <v>22</v>
      </c>
      <c r="H677" s="52" t="str">
        <f>IF($C677="B",INDEX(Batters[[#All],[B]],MATCH(Table5[[#This Row],[PID]],Batters[[#All],[PID]],0)),INDEX(Table3[[#All],[B]],MATCH(Table5[[#This Row],[PID]],Table3[[#All],[PID]],0)))</f>
        <v>R</v>
      </c>
      <c r="I677" s="52" t="str">
        <f>IF($C677="B",INDEX(Batters[[#All],[T]],MATCH(Table5[[#This Row],[PID]],Batters[[#All],[PID]],0)),INDEX(Table3[[#All],[T]],MATCH(Table5[[#This Row],[PID]],Table3[[#All],[PID]],0)))</f>
        <v>R</v>
      </c>
      <c r="J677" s="69" t="str">
        <f>IF($C677="B",INDEX(Batters[[#All],[WE]],MATCH(Table5[[#This Row],[PID]],Batters[[#All],[PID]],0)),INDEX(Table3[[#All],[WE]],MATCH(Table5[[#This Row],[PID]],Table3[[#All],[PID]],0)))</f>
        <v>Normal</v>
      </c>
      <c r="K677" s="52" t="str">
        <f>IF($C677="B",INDEX(Batters[[#All],[INT]],MATCH(Table5[[#This Row],[PID]],Batters[[#All],[PID]],0)),INDEX(Table3[[#All],[INT]],MATCH(Table5[[#This Row],[PID]],Table3[[#All],[PID]],0)))</f>
        <v>High</v>
      </c>
      <c r="L677" s="60">
        <f>IF($C677="B",INDEX(Batters[[#All],[CON P]],MATCH(Table5[[#This Row],[PID]],Batters[[#All],[PID]],0)),INDEX(Table3[[#All],[STU P]],MATCH(Table5[[#This Row],[PID]],Table3[[#All],[PID]],0)))</f>
        <v>3</v>
      </c>
      <c r="M677" s="70">
        <f>IF($C677="B",INDEX(Batters[[#All],[GAP P]],MATCH(Table5[[#This Row],[PID]],Batters[[#All],[PID]],0)),INDEX(Table3[[#All],[MOV P]],MATCH(Table5[[#This Row],[PID]],Table3[[#All],[PID]],0)))</f>
        <v>3</v>
      </c>
      <c r="N677" s="70">
        <f>IF($C677="B",INDEX(Batters[[#All],[POW P]],MATCH(Table5[[#This Row],[PID]],Batters[[#All],[PID]],0)),INDEX(Table3[[#All],[CON P]],MATCH(Table5[[#This Row],[PID]],Table3[[#All],[PID]],0)))</f>
        <v>4</v>
      </c>
      <c r="O677" s="70">
        <f>IF($C677="B",INDEX(Batters[[#All],[EYE P]],MATCH(Table5[[#This Row],[PID]],Batters[[#All],[PID]],0)),INDEX(Table3[[#All],[VELO]],MATCH(Table5[[#This Row],[PID]],Table3[[#All],[PID]],0)))</f>
        <v>4</v>
      </c>
      <c r="P677" s="56">
        <f>IF($C677="B",INDEX(Batters[[#All],[K P]],MATCH(Table5[[#This Row],[PID]],Batters[[#All],[PID]],0)),INDEX(Table3[[#All],[STM]],MATCH(Table5[[#This Row],[PID]],Table3[[#All],[PID]],0)))</f>
        <v>5</v>
      </c>
      <c r="Q677" s="61">
        <f>IF($C677="B",INDEX(Batters[[#All],[Tot]],MATCH(Table5[[#This Row],[PID]],Batters[[#All],[PID]],0)),INDEX(Table3[[#All],[Tot]],MATCH(Table5[[#This Row],[PID]],Table3[[#All],[PID]],0)))</f>
        <v>37.601121278890581</v>
      </c>
      <c r="R677" s="52">
        <f>IF($C677="B",INDEX(Batters[[#All],[zScore]],MATCH(Table5[[#This Row],[PID]],Batters[[#All],[PID]],0)),INDEX(Table3[[#All],[zScore]],MATCH(Table5[[#This Row],[PID]],Table3[[#All],[PID]],0)))</f>
        <v>-0.81995677492727126</v>
      </c>
      <c r="S677" s="75" t="str">
        <f>IF($C677="B",INDEX(Batters[[#All],[DEM]],MATCH(Table5[[#This Row],[PID]],Batters[[#All],[PID]],0)),INDEX(Table3[[#All],[DEM]],MATCH(Table5[[#This Row],[PID]],Table3[[#All],[PID]],0)))</f>
        <v>-</v>
      </c>
      <c r="T677" s="72">
        <f>IF($C677="B",INDEX(Batters[[#All],[Rnk]],MATCH(Table5[[#This Row],[PID]],Batters[[#All],[PID]],0)),INDEX(Table3[[#All],[Rnk]],MATCH(Table5[[#This Row],[PID]],Table3[[#All],[PID]],0)))</f>
        <v>900</v>
      </c>
      <c r="U677" s="67">
        <f>IF($C677="B",VLOOKUP($A677,Bat!$A$4:$BA$1314,47,FALSE),VLOOKUP($A677,Pit!$A$4:$BF$1214,56,FALSE))</f>
        <v>235</v>
      </c>
      <c r="V677" s="50">
        <f>IF($C677="B",VLOOKUP($A677,Bat!$A$4:$BA$1314,48,FALSE),VLOOKUP($A677,Pit!$A$4:$BF$1214,57,FALSE))</f>
        <v>0</v>
      </c>
      <c r="W677" s="68">
        <f>IF(Table5[[#This Row],[posRnk]]=999,9999,Table5[[#This Row],[posRnk]]+Table5[[#This Row],[zRnk]]+IF($W$3&lt;&gt;Table5[[#This Row],[Type]],50,0))</f>
        <v>1649</v>
      </c>
      <c r="X677" s="71">
        <f>RANK(Table5[[#This Row],[zScore]],Table5[[#All],[zScore]])</f>
        <v>699</v>
      </c>
      <c r="Y677" s="68">
        <f>IFERROR(INDEX(DraftResults[[#All],[OVR]],MATCH(Table5[[#This Row],[PID]],DraftResults[[#All],[Player ID]],0)),"")</f>
        <v>598</v>
      </c>
      <c r="Z677" s="7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18</v>
      </c>
      <c r="AA677" s="68">
        <f>IFERROR(INDEX(DraftResults[[#All],[Pick in Round]],MATCH(Table5[[#This Row],[PID]],DraftResults[[#All],[Player ID]],0)),"")</f>
        <v>29</v>
      </c>
      <c r="AB677" s="68" t="str">
        <f>IFERROR(INDEX(DraftResults[[#All],[Team Name]],MATCH(Table5[[#This Row],[PID]],DraftResults[[#All],[Player ID]],0)),"")</f>
        <v>Shin Seiki Evas</v>
      </c>
      <c r="AC677" s="68">
        <f>IF(Table5[[#This Row],[Ovr]]="","",IF(Table5[[#This Row],[cmbList]]="","",Table5[[#This Row],[cmbList]]-Table5[[#This Row],[Ovr]]))</f>
        <v>1051</v>
      </c>
      <c r="AD677" s="74" t="str">
        <f>IF(ISERROR(VLOOKUP($AB677&amp;"-"&amp;$E677&amp;" "&amp;F677,Bonuses!$B$1:$G$1006,4,FALSE)),"",INT(VLOOKUP($AB677&amp;"-"&amp;$E677&amp;" "&amp;$F677,Bonuses!$B$1:$G$1006,4,FALSE)))</f>
        <v/>
      </c>
      <c r="AE677" s="68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18.29 (598) - RF Rafael Solís</v>
      </c>
    </row>
    <row r="678" spans="1:31" s="50" customFormat="1" x14ac:dyDescent="0.3">
      <c r="A678" s="50">
        <v>20275</v>
      </c>
      <c r="B678" s="50">
        <f>COUNTIF(Table5[PID],A678)</f>
        <v>1</v>
      </c>
      <c r="C678" s="50" t="str">
        <f>IF(COUNTIF(Table3[[#All],[PID]],A678)&gt;0,"P","B")</f>
        <v>P</v>
      </c>
      <c r="D678" s="59" t="str">
        <f>IF($C678="B",INDEX(Batters[[#All],[POS]],MATCH(Table5[[#This Row],[PID]],Batters[[#All],[PID]],0)),INDEX(Table3[[#All],[POS]],MATCH(Table5[[#This Row],[PID]],Table3[[#All],[PID]],0)))</f>
        <v>RP</v>
      </c>
      <c r="E678" s="52" t="str">
        <f>IF($C678="B",INDEX(Batters[[#All],[First]],MATCH(Table5[[#This Row],[PID]],Batters[[#All],[PID]],0)),INDEX(Table3[[#All],[First]],MATCH(Table5[[#This Row],[PID]],Table3[[#All],[PID]],0)))</f>
        <v>José</v>
      </c>
      <c r="F678" s="50" t="str">
        <f>IF($C678="B",INDEX(Batters[[#All],[Last]],MATCH(A678,Batters[[#All],[PID]],0)),INDEX(Table3[[#All],[Last]],MATCH(A678,Table3[[#All],[PID]],0)))</f>
        <v>Contreras</v>
      </c>
      <c r="G678" s="56">
        <f>IF($C678="B",INDEX(Batters[[#All],[Age]],MATCH(Table5[[#This Row],[PID]],Batters[[#All],[PID]],0)),INDEX(Table3[[#All],[Age]],MATCH(Table5[[#This Row],[PID]],Table3[[#All],[PID]],0)))</f>
        <v>22</v>
      </c>
      <c r="H678" s="52" t="str">
        <f>IF($C678="B",INDEX(Batters[[#All],[B]],MATCH(Table5[[#This Row],[PID]],Batters[[#All],[PID]],0)),INDEX(Table3[[#All],[B]],MATCH(Table5[[#This Row],[PID]],Table3[[#All],[PID]],0)))</f>
        <v>R</v>
      </c>
      <c r="I678" s="52" t="str">
        <f>IF($C678="B",INDEX(Batters[[#All],[T]],MATCH(Table5[[#This Row],[PID]],Batters[[#All],[PID]],0)),INDEX(Table3[[#All],[T]],MATCH(Table5[[#This Row],[PID]],Table3[[#All],[PID]],0)))</f>
        <v>R</v>
      </c>
      <c r="J678" s="52" t="str">
        <f>IF($C678="B",INDEX(Batters[[#All],[WE]],MATCH(Table5[[#This Row],[PID]],Batters[[#All],[PID]],0)),INDEX(Table3[[#All],[WE]],MATCH(Table5[[#This Row],[PID]],Table3[[#All],[PID]],0)))</f>
        <v>Normal</v>
      </c>
      <c r="K678" s="52" t="str">
        <f>IF($C678="B",INDEX(Batters[[#All],[INT]],MATCH(Table5[[#This Row],[PID]],Batters[[#All],[PID]],0)),INDEX(Table3[[#All],[INT]],MATCH(Table5[[#This Row],[PID]],Table3[[#All],[PID]],0)))</f>
        <v>Normal</v>
      </c>
      <c r="L678" s="60">
        <f>IF($C678="B",INDEX(Batters[[#All],[CON P]],MATCH(Table5[[#This Row],[PID]],Batters[[#All],[PID]],0)),INDEX(Table3[[#All],[STU P]],MATCH(Table5[[#This Row],[PID]],Table3[[#All],[PID]],0)))</f>
        <v>4</v>
      </c>
      <c r="M678" s="56">
        <f>IF($C678="B",INDEX(Batters[[#All],[GAP P]],MATCH(Table5[[#This Row],[PID]],Batters[[#All],[PID]],0)),INDEX(Table3[[#All],[MOV P]],MATCH(Table5[[#This Row],[PID]],Table3[[#All],[PID]],0)))</f>
        <v>1</v>
      </c>
      <c r="N678" s="56">
        <f>IF($C678="B",INDEX(Batters[[#All],[POW P]],MATCH(Table5[[#This Row],[PID]],Batters[[#All],[PID]],0)),INDEX(Table3[[#All],[CON P]],MATCH(Table5[[#This Row],[PID]],Table3[[#All],[PID]],0)))</f>
        <v>3</v>
      </c>
      <c r="O678" s="56" t="str">
        <f>IF($C678="B",INDEX(Batters[[#All],[EYE P]],MATCH(Table5[[#This Row],[PID]],Batters[[#All],[PID]],0)),INDEX(Table3[[#All],[VELO]],MATCH(Table5[[#This Row],[PID]],Table3[[#All],[PID]],0)))</f>
        <v>90-92 Mph</v>
      </c>
      <c r="P678" s="56">
        <f>IF($C678="B",INDEX(Batters[[#All],[K P]],MATCH(Table5[[#This Row],[PID]],Batters[[#All],[PID]],0)),INDEX(Table3[[#All],[STM]],MATCH(Table5[[#This Row],[PID]],Table3[[#All],[PID]],0)))</f>
        <v>5</v>
      </c>
      <c r="Q678" s="61">
        <f>IF($C678="B",INDEX(Batters[[#All],[Tot]],MATCH(Table5[[#This Row],[PID]],Batters[[#All],[PID]],0)),INDEX(Table3[[#All],[Tot]],MATCH(Table5[[#This Row],[PID]],Table3[[#All],[PID]],0)))</f>
        <v>26.173044769817686</v>
      </c>
      <c r="R678" s="52">
        <f>IF($C678="B",INDEX(Batters[[#All],[zScore]],MATCH(Table5[[#This Row],[PID]],Batters[[#All],[PID]],0)),INDEX(Table3[[#All],[zScore]],MATCH(Table5[[#This Row],[PID]],Table3[[#All],[PID]],0)))</f>
        <v>-0.82810488187940001</v>
      </c>
      <c r="S678" s="58" t="str">
        <f>IF($C678="B",INDEX(Batters[[#All],[DEM]],MATCH(Table5[[#This Row],[PID]],Batters[[#All],[PID]],0)),INDEX(Table3[[#All],[DEM]],MATCH(Table5[[#This Row],[PID]],Table3[[#All],[PID]],0)))</f>
        <v>-</v>
      </c>
      <c r="T678" s="62">
        <f>IF($C678="B",INDEX(Batters[[#All],[Rnk]],MATCH(Table5[[#This Row],[PID]],Batters[[#All],[PID]],0)),INDEX(Table3[[#All],[Rnk]],MATCH(Table5[[#This Row],[PID]],Table3[[#All],[PID]],0)))</f>
        <v>900</v>
      </c>
      <c r="U678" s="67">
        <f>IF($C678="B",VLOOKUP($A678,Bat!$A$4:$BA$1314,47,FALSE),VLOOKUP($A678,Pit!$A$4:$BF$1214,56,FALSE))</f>
        <v>228</v>
      </c>
      <c r="V678" s="50">
        <f>IF($C678="B",VLOOKUP($A678,Bat!$A$4:$BA$1314,48,FALSE),VLOOKUP($A678,Pit!$A$4:$BF$1214,57,FALSE))</f>
        <v>0</v>
      </c>
      <c r="W678" s="68">
        <f>IF(Table5[[#This Row],[posRnk]]=999,9999,Table5[[#This Row],[posRnk]]+Table5[[#This Row],[zRnk]]+IF($W$3&lt;&gt;Table5[[#This Row],[Type]],50,0))</f>
        <v>1600</v>
      </c>
      <c r="X678" s="51">
        <f>RANK(Table5[[#This Row],[zScore]],Table5[[#All],[zScore]])</f>
        <v>700</v>
      </c>
      <c r="Y678" s="50">
        <f>IFERROR(INDEX(DraftResults[[#All],[OVR]],MATCH(Table5[[#This Row],[PID]],DraftResults[[#All],[Player ID]],0)),"")</f>
        <v>632</v>
      </c>
      <c r="Z678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19</v>
      </c>
      <c r="AA678" s="50">
        <f>IFERROR(INDEX(DraftResults[[#All],[Pick in Round]],MATCH(Table5[[#This Row],[PID]],DraftResults[[#All],[Player ID]],0)),"")</f>
        <v>29</v>
      </c>
      <c r="AB678" s="50" t="str">
        <f>IFERROR(INDEX(DraftResults[[#All],[Team Name]],MATCH(Table5[[#This Row],[PID]],DraftResults[[#All],[Player ID]],0)),"")</f>
        <v>Shin Seiki Evas</v>
      </c>
      <c r="AC678" s="50">
        <f>IF(Table5[[#This Row],[Ovr]]="","",IF(Table5[[#This Row],[cmbList]]="","",Table5[[#This Row],[cmbList]]-Table5[[#This Row],[Ovr]]))</f>
        <v>968</v>
      </c>
      <c r="AD678" s="54" t="str">
        <f>IF(ISERROR(VLOOKUP($AB678&amp;"-"&amp;$E678&amp;" "&amp;F678,Bonuses!$B$1:$G$1006,4,FALSE)),"",INT(VLOOKUP($AB678&amp;"-"&amp;$E678&amp;" "&amp;$F678,Bonuses!$B$1:$G$1006,4,FALSE)))</f>
        <v/>
      </c>
      <c r="AE678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19.29 (632) - RP José Contreras</v>
      </c>
    </row>
    <row r="679" spans="1:31" s="50" customFormat="1" x14ac:dyDescent="0.3">
      <c r="A679" s="50">
        <v>21073</v>
      </c>
      <c r="B679" s="50">
        <f>COUNTIF(Table5[PID],A679)</f>
        <v>1</v>
      </c>
      <c r="C679" s="50" t="str">
        <f>IF(COUNTIF(Table3[[#All],[PID]],A679)&gt;0,"P","B")</f>
        <v>B</v>
      </c>
      <c r="D679" s="59" t="str">
        <f>IF($C679="B",INDEX(Batters[[#All],[POS]],MATCH(Table5[[#This Row],[PID]],Batters[[#All],[PID]],0)),INDEX(Table3[[#All],[POS]],MATCH(Table5[[#This Row],[PID]],Table3[[#All],[PID]],0)))</f>
        <v>SS</v>
      </c>
      <c r="E679" s="52" t="str">
        <f>IF($C679="B",INDEX(Batters[[#All],[First]],MATCH(Table5[[#This Row],[PID]],Batters[[#All],[PID]],0)),INDEX(Table3[[#All],[First]],MATCH(Table5[[#This Row],[PID]],Table3[[#All],[PID]],0)))</f>
        <v>Tom</v>
      </c>
      <c r="F679" s="50" t="str">
        <f>IF($C679="B",INDEX(Batters[[#All],[Last]],MATCH(A679,Batters[[#All],[PID]],0)),INDEX(Table3[[#All],[Last]],MATCH(A679,Table3[[#All],[PID]],0)))</f>
        <v>Becker</v>
      </c>
      <c r="G679" s="56">
        <f>IF($C679="B",INDEX(Batters[[#All],[Age]],MATCH(Table5[[#This Row],[PID]],Batters[[#All],[PID]],0)),INDEX(Table3[[#All],[Age]],MATCH(Table5[[#This Row],[PID]],Table3[[#All],[PID]],0)))</f>
        <v>16</v>
      </c>
      <c r="H679" s="52" t="str">
        <f>IF($C679="B",INDEX(Batters[[#All],[B]],MATCH(Table5[[#This Row],[PID]],Batters[[#All],[PID]],0)),INDEX(Table3[[#All],[B]],MATCH(Table5[[#This Row],[PID]],Table3[[#All],[PID]],0)))</f>
        <v>R</v>
      </c>
      <c r="I679" s="52" t="str">
        <f>IF($C679="B",INDEX(Batters[[#All],[T]],MATCH(Table5[[#This Row],[PID]],Batters[[#All],[PID]],0)),INDEX(Table3[[#All],[T]],MATCH(Table5[[#This Row],[PID]],Table3[[#All],[PID]],0)))</f>
        <v>R</v>
      </c>
      <c r="J679" s="52" t="str">
        <f>IF($C679="B",INDEX(Batters[[#All],[WE]],MATCH(Table5[[#This Row],[PID]],Batters[[#All],[PID]],0)),INDEX(Table3[[#All],[WE]],MATCH(Table5[[#This Row],[PID]],Table3[[#All],[PID]],0)))</f>
        <v>Low</v>
      </c>
      <c r="K679" s="52" t="str">
        <f>IF($C679="B",INDEX(Batters[[#All],[INT]],MATCH(Table5[[#This Row],[PID]],Batters[[#All],[PID]],0)),INDEX(Table3[[#All],[INT]],MATCH(Table5[[#This Row],[PID]],Table3[[#All],[PID]],0)))</f>
        <v>High</v>
      </c>
      <c r="L679" s="60">
        <f>IF($C679="B",INDEX(Batters[[#All],[CON P]],MATCH(Table5[[#This Row],[PID]],Batters[[#All],[PID]],0)),INDEX(Table3[[#All],[STU P]],MATCH(Table5[[#This Row],[PID]],Table3[[#All],[PID]],0)))</f>
        <v>2</v>
      </c>
      <c r="M679" s="56">
        <f>IF($C679="B",INDEX(Batters[[#All],[GAP P]],MATCH(Table5[[#This Row],[PID]],Batters[[#All],[PID]],0)),INDEX(Table3[[#All],[MOV P]],MATCH(Table5[[#This Row],[PID]],Table3[[#All],[PID]],0)))</f>
        <v>4</v>
      </c>
      <c r="N679" s="56">
        <f>IF($C679="B",INDEX(Batters[[#All],[POW P]],MATCH(Table5[[#This Row],[PID]],Batters[[#All],[PID]],0)),INDEX(Table3[[#All],[CON P]],MATCH(Table5[[#This Row],[PID]],Table3[[#All],[PID]],0)))</f>
        <v>2</v>
      </c>
      <c r="O679" s="56">
        <f>IF($C679="B",INDEX(Batters[[#All],[EYE P]],MATCH(Table5[[#This Row],[PID]],Batters[[#All],[PID]],0)),INDEX(Table3[[#All],[VELO]],MATCH(Table5[[#This Row],[PID]],Table3[[#All],[PID]],0)))</f>
        <v>6</v>
      </c>
      <c r="P679" s="56">
        <f>IF($C679="B",INDEX(Batters[[#All],[K P]],MATCH(Table5[[#This Row],[PID]],Batters[[#All],[PID]],0)),INDEX(Table3[[#All],[STM]],MATCH(Table5[[#This Row],[PID]],Table3[[#All],[PID]],0)))</f>
        <v>4</v>
      </c>
      <c r="Q679" s="61">
        <f>IF($C679="B",INDEX(Batters[[#All],[Tot]],MATCH(Table5[[#This Row],[PID]],Batters[[#All],[PID]],0)),INDEX(Table3[[#All],[Tot]],MATCH(Table5[[#This Row],[PID]],Table3[[#All],[PID]],0)))</f>
        <v>38.339524377434657</v>
      </c>
      <c r="R679" s="52">
        <f>IF($C679="B",INDEX(Batters[[#All],[zScore]],MATCH(Table5[[#This Row],[PID]],Batters[[#All],[PID]],0)),INDEX(Table3[[#All],[zScore]],MATCH(Table5[[#This Row],[PID]],Table3[[#All],[PID]],0)))</f>
        <v>-0.71217347047519286</v>
      </c>
      <c r="S679" s="58" t="str">
        <f>IF($C679="B",INDEX(Batters[[#All],[DEM]],MATCH(Table5[[#This Row],[PID]],Batters[[#All],[PID]],0)),INDEX(Table3[[#All],[DEM]],MATCH(Table5[[#This Row],[PID]],Table3[[#All],[PID]],0)))</f>
        <v>$65k</v>
      </c>
      <c r="T679" s="62">
        <f>IF($C679="B",INDEX(Batters[[#All],[Rnk]],MATCH(Table5[[#This Row],[PID]],Batters[[#All],[PID]],0)),INDEX(Table3[[#All],[Rnk]],MATCH(Table5[[#This Row],[PID]],Table3[[#All],[PID]],0)))</f>
        <v>930</v>
      </c>
      <c r="U679" s="67">
        <f>IF($C679="B",VLOOKUP($A679,Bat!$A$4:$BA$1314,47,FALSE),VLOOKUP($A679,Pit!$A$4:$BF$1214,56,FALSE))</f>
        <v>355</v>
      </c>
      <c r="V679" s="50">
        <f>IF($C679="B",VLOOKUP($A679,Bat!$A$4:$BA$1314,48,FALSE),VLOOKUP($A679,Pit!$A$4:$BF$1214,57,FALSE))</f>
        <v>0</v>
      </c>
      <c r="W679" s="68">
        <f>IF(Table5[[#This Row],[posRnk]]=999,9999,Table5[[#This Row],[posRnk]]+Table5[[#This Row],[zRnk]]+IF($W$3&lt;&gt;Table5[[#This Row],[Type]],50,0))</f>
        <v>1650</v>
      </c>
      <c r="X679" s="51">
        <f>RANK(Table5[[#This Row],[zScore]],Table5[[#All],[zScore]])</f>
        <v>670</v>
      </c>
      <c r="Y679" s="50">
        <f>IFERROR(INDEX(DraftResults[[#All],[OVR]],MATCH(Table5[[#This Row],[PID]],DraftResults[[#All],[Player ID]],0)),"")</f>
        <v>361</v>
      </c>
      <c r="Z679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11</v>
      </c>
      <c r="AA679" s="50">
        <f>IFERROR(INDEX(DraftResults[[#All],[Pick in Round]],MATCH(Table5[[#This Row],[PID]],DraftResults[[#All],[Player ID]],0)),"")</f>
        <v>30</v>
      </c>
      <c r="AB679" s="50" t="str">
        <f>IFERROR(INDEX(DraftResults[[#All],[Team Name]],MATCH(Table5[[#This Row],[PID]],DraftResults[[#All],[Player ID]],0)),"")</f>
        <v>Toyama Wind Dancers</v>
      </c>
      <c r="AC679" s="50">
        <f>IF(Table5[[#This Row],[Ovr]]="","",IF(Table5[[#This Row],[cmbList]]="","",Table5[[#This Row],[cmbList]]-Table5[[#This Row],[Ovr]]))</f>
        <v>1289</v>
      </c>
      <c r="AD679" s="54" t="str">
        <f>IF(ISERROR(VLOOKUP($AB679&amp;"-"&amp;$E679&amp;" "&amp;F679,Bonuses!$B$1:$G$1006,4,FALSE)),"",INT(VLOOKUP($AB679&amp;"-"&amp;$E679&amp;" "&amp;$F679,Bonuses!$B$1:$G$1006,4,FALSE)))</f>
        <v/>
      </c>
      <c r="AE679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11.30 (361) - SS Tom Becker</v>
      </c>
    </row>
    <row r="680" spans="1:31" s="50" customFormat="1" x14ac:dyDescent="0.3">
      <c r="A680" s="50">
        <v>20281</v>
      </c>
      <c r="B680" s="50">
        <f>COUNTIF(Table5[PID],A680)</f>
        <v>1</v>
      </c>
      <c r="C680" s="50" t="str">
        <f>IF(COUNTIF(Table3[[#All],[PID]],A680)&gt;0,"P","B")</f>
        <v>B</v>
      </c>
      <c r="D680" s="59" t="str">
        <f>IF($C680="B",INDEX(Batters[[#All],[POS]],MATCH(Table5[[#This Row],[PID]],Batters[[#All],[PID]],0)),INDEX(Table3[[#All],[POS]],MATCH(Table5[[#This Row],[PID]],Table3[[#All],[PID]],0)))</f>
        <v>1B</v>
      </c>
      <c r="E680" s="52" t="str">
        <f>IF($C680="B",INDEX(Batters[[#All],[First]],MATCH(Table5[[#This Row],[PID]],Batters[[#All],[PID]],0)),INDEX(Table3[[#All],[First]],MATCH(Table5[[#This Row],[PID]],Table3[[#All],[PID]],0)))</f>
        <v>Dan</v>
      </c>
      <c r="F680" s="50" t="str">
        <f>IF($C680="B",INDEX(Batters[[#All],[Last]],MATCH(A680,Batters[[#All],[PID]],0)),INDEX(Table3[[#All],[Last]],MATCH(A680,Table3[[#All],[PID]],0)))</f>
        <v>Nesbitt</v>
      </c>
      <c r="G680" s="56">
        <f>IF($C680="B",INDEX(Batters[[#All],[Age]],MATCH(Table5[[#This Row],[PID]],Batters[[#All],[PID]],0)),INDEX(Table3[[#All],[Age]],MATCH(Table5[[#This Row],[PID]],Table3[[#All],[PID]],0)))</f>
        <v>22</v>
      </c>
      <c r="H680" s="52" t="str">
        <f>IF($C680="B",INDEX(Batters[[#All],[B]],MATCH(Table5[[#This Row],[PID]],Batters[[#All],[PID]],0)),INDEX(Table3[[#All],[B]],MATCH(Table5[[#This Row],[PID]],Table3[[#All],[PID]],0)))</f>
        <v>R</v>
      </c>
      <c r="I680" s="52" t="str">
        <f>IF($C680="B",INDEX(Batters[[#All],[T]],MATCH(Table5[[#This Row],[PID]],Batters[[#All],[PID]],0)),INDEX(Table3[[#All],[T]],MATCH(Table5[[#This Row],[PID]],Table3[[#All],[PID]],0)))</f>
        <v>R</v>
      </c>
      <c r="J680" s="52" t="str">
        <f>IF($C680="B",INDEX(Batters[[#All],[WE]],MATCH(Table5[[#This Row],[PID]],Batters[[#All],[PID]],0)),INDEX(Table3[[#All],[WE]],MATCH(Table5[[#This Row],[PID]],Table3[[#All],[PID]],0)))</f>
        <v>Normal</v>
      </c>
      <c r="K680" s="52" t="str">
        <f>IF($C680="B",INDEX(Batters[[#All],[INT]],MATCH(Table5[[#This Row],[PID]],Batters[[#All],[PID]],0)),INDEX(Table3[[#All],[INT]],MATCH(Table5[[#This Row],[PID]],Table3[[#All],[PID]],0)))</f>
        <v>Normal</v>
      </c>
      <c r="L680" s="60">
        <f>IF($C680="B",INDEX(Batters[[#All],[CON P]],MATCH(Table5[[#This Row],[PID]],Batters[[#All],[PID]],0)),INDEX(Table3[[#All],[STU P]],MATCH(Table5[[#This Row],[PID]],Table3[[#All],[PID]],0)))</f>
        <v>3</v>
      </c>
      <c r="M680" s="56">
        <f>IF($C680="B",INDEX(Batters[[#All],[GAP P]],MATCH(Table5[[#This Row],[PID]],Batters[[#All],[PID]],0)),INDEX(Table3[[#All],[MOV P]],MATCH(Table5[[#This Row],[PID]],Table3[[#All],[PID]],0)))</f>
        <v>4</v>
      </c>
      <c r="N680" s="56">
        <f>IF($C680="B",INDEX(Batters[[#All],[POW P]],MATCH(Table5[[#This Row],[PID]],Batters[[#All],[PID]],0)),INDEX(Table3[[#All],[CON P]],MATCH(Table5[[#This Row],[PID]],Table3[[#All],[PID]],0)))</f>
        <v>4</v>
      </c>
      <c r="O680" s="56">
        <f>IF($C680="B",INDEX(Batters[[#All],[EYE P]],MATCH(Table5[[#This Row],[PID]],Batters[[#All],[PID]],0)),INDEX(Table3[[#All],[VELO]],MATCH(Table5[[#This Row],[PID]],Table3[[#All],[PID]],0)))</f>
        <v>5</v>
      </c>
      <c r="P680" s="56">
        <f>IF($C680="B",INDEX(Batters[[#All],[K P]],MATCH(Table5[[#This Row],[PID]],Batters[[#All],[PID]],0)),INDEX(Table3[[#All],[STM]],MATCH(Table5[[#This Row],[PID]],Table3[[#All],[PID]],0)))</f>
        <v>3</v>
      </c>
      <c r="Q680" s="61">
        <f>IF($C680="B",INDEX(Batters[[#All],[Tot]],MATCH(Table5[[#This Row],[PID]],Batters[[#All],[PID]],0)),INDEX(Table3[[#All],[Tot]],MATCH(Table5[[#This Row],[PID]],Table3[[#All],[PID]],0)))</f>
        <v>37.528450304829221</v>
      </c>
      <c r="R680" s="52">
        <f>IF($C680="B",INDEX(Batters[[#All],[zScore]],MATCH(Table5[[#This Row],[PID]],Batters[[#All],[PID]],0)),INDEX(Table3[[#All],[zScore]],MATCH(Table5[[#This Row],[PID]],Table3[[#All],[PID]],0)))</f>
        <v>-0.83056441963722516</v>
      </c>
      <c r="S680" s="58" t="str">
        <f>IF($C680="B",INDEX(Batters[[#All],[DEM]],MATCH(Table5[[#This Row],[PID]],Batters[[#All],[PID]],0)),INDEX(Table3[[#All],[DEM]],MATCH(Table5[[#This Row],[PID]],Table3[[#All],[PID]],0)))</f>
        <v>-</v>
      </c>
      <c r="T680" s="62">
        <f>IF($C680="B",INDEX(Batters[[#All],[Rnk]],MATCH(Table5[[#This Row],[PID]],Batters[[#All],[PID]],0)),INDEX(Table3[[#All],[Rnk]],MATCH(Table5[[#This Row],[PID]],Table3[[#All],[PID]],0)))</f>
        <v>900</v>
      </c>
      <c r="U680" s="67">
        <f>IF($C680="B",VLOOKUP($A680,Bat!$A$4:$BA$1314,47,FALSE),VLOOKUP($A680,Pit!$A$4:$BF$1214,56,FALSE))</f>
        <v>252</v>
      </c>
      <c r="V680" s="50">
        <f>IF($C680="B",VLOOKUP($A680,Bat!$A$4:$BA$1314,48,FALSE),VLOOKUP($A680,Pit!$A$4:$BF$1214,57,FALSE))</f>
        <v>0</v>
      </c>
      <c r="W680" s="68">
        <f>IF(Table5[[#This Row],[posRnk]]=999,9999,Table5[[#This Row],[posRnk]]+Table5[[#This Row],[zRnk]]+IF($W$3&lt;&gt;Table5[[#This Row],[Type]],50,0))</f>
        <v>1652</v>
      </c>
      <c r="X680" s="51">
        <f>RANK(Table5[[#This Row],[zScore]],Table5[[#All],[zScore]])</f>
        <v>702</v>
      </c>
      <c r="Y680" s="50" t="str">
        <f>IFERROR(INDEX(DraftResults[[#All],[OVR]],MATCH(Table5[[#This Row],[PID]],DraftResults[[#All],[Player ID]],0)),"")</f>
        <v/>
      </c>
      <c r="Z680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/>
      </c>
      <c r="AA680" s="50" t="str">
        <f>IFERROR(INDEX(DraftResults[[#All],[Pick in Round]],MATCH(Table5[[#This Row],[PID]],DraftResults[[#All],[Player ID]],0)),"")</f>
        <v/>
      </c>
      <c r="AB680" s="50" t="str">
        <f>IFERROR(INDEX(DraftResults[[#All],[Team Name]],MATCH(Table5[[#This Row],[PID]],DraftResults[[#All],[Player ID]],0)),"")</f>
        <v/>
      </c>
      <c r="AC680" s="50" t="str">
        <f>IF(Table5[[#This Row],[Ovr]]="","",IF(Table5[[#This Row],[cmbList]]="","",Table5[[#This Row],[cmbList]]-Table5[[#This Row],[Ovr]]))</f>
        <v/>
      </c>
      <c r="AD680" s="54" t="str">
        <f>IF(ISERROR(VLOOKUP($AB680&amp;"-"&amp;$E680&amp;" "&amp;F680,Bonuses!$B$1:$G$1006,4,FALSE)),"",INT(VLOOKUP($AB680&amp;"-"&amp;$E680&amp;" "&amp;$F680,Bonuses!$B$1:$G$1006,4,FALSE)))</f>
        <v/>
      </c>
      <c r="AE680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/>
      </c>
    </row>
    <row r="681" spans="1:31" s="50" customFormat="1" x14ac:dyDescent="0.3">
      <c r="A681" s="67">
        <v>9573</v>
      </c>
      <c r="B681" s="68">
        <f>COUNTIF(Table5[PID],A681)</f>
        <v>1</v>
      </c>
      <c r="C681" s="68" t="str">
        <f>IF(COUNTIF(Table3[[#All],[PID]],A681)&gt;0,"P","B")</f>
        <v>B</v>
      </c>
      <c r="D681" s="59" t="str">
        <f>IF($C681="B",INDEX(Batters[[#All],[POS]],MATCH(Table5[[#This Row],[PID]],Batters[[#All],[PID]],0)),INDEX(Table3[[#All],[POS]],MATCH(Table5[[#This Row],[PID]],Table3[[#All],[PID]],0)))</f>
        <v>C</v>
      </c>
      <c r="E681" s="52" t="str">
        <f>IF($C681="B",INDEX(Batters[[#All],[First]],MATCH(Table5[[#This Row],[PID]],Batters[[#All],[PID]],0)),INDEX(Table3[[#All],[First]],MATCH(Table5[[#This Row],[PID]],Table3[[#All],[PID]],0)))</f>
        <v>Lorenzo</v>
      </c>
      <c r="F681" s="55" t="str">
        <f>IF($C681="B",INDEX(Batters[[#All],[Last]],MATCH(A681,Batters[[#All],[PID]],0)),INDEX(Table3[[#All],[Last]],MATCH(A681,Table3[[#All],[PID]],0)))</f>
        <v>Canseco</v>
      </c>
      <c r="G681" s="56">
        <f>IF($C681="B",INDEX(Batters[[#All],[Age]],MATCH(Table5[[#This Row],[PID]],Batters[[#All],[PID]],0)),INDEX(Table3[[#All],[Age]],MATCH(Table5[[#This Row],[PID]],Table3[[#All],[PID]],0)))</f>
        <v>22</v>
      </c>
      <c r="H681" s="52" t="str">
        <f>IF($C681="B",INDEX(Batters[[#All],[B]],MATCH(Table5[[#This Row],[PID]],Batters[[#All],[PID]],0)),INDEX(Table3[[#All],[B]],MATCH(Table5[[#This Row],[PID]],Table3[[#All],[PID]],0)))</f>
        <v>R</v>
      </c>
      <c r="I681" s="52" t="str">
        <f>IF($C681="B",INDEX(Batters[[#All],[T]],MATCH(Table5[[#This Row],[PID]],Batters[[#All],[PID]],0)),INDEX(Table3[[#All],[T]],MATCH(Table5[[#This Row],[PID]],Table3[[#All],[PID]],0)))</f>
        <v>R</v>
      </c>
      <c r="J681" s="69" t="str">
        <f>IF($C681="B",INDEX(Batters[[#All],[WE]],MATCH(Table5[[#This Row],[PID]],Batters[[#All],[PID]],0)),INDEX(Table3[[#All],[WE]],MATCH(Table5[[#This Row],[PID]],Table3[[#All],[PID]],0)))</f>
        <v>Normal</v>
      </c>
      <c r="K681" s="52" t="str">
        <f>IF($C681="B",INDEX(Batters[[#All],[INT]],MATCH(Table5[[#This Row],[PID]],Batters[[#All],[PID]],0)),INDEX(Table3[[#All],[INT]],MATCH(Table5[[#This Row],[PID]],Table3[[#All],[PID]],0)))</f>
        <v>High</v>
      </c>
      <c r="L681" s="60">
        <f>IF($C681="B",INDEX(Batters[[#All],[CON P]],MATCH(Table5[[#This Row],[PID]],Batters[[#All],[PID]],0)),INDEX(Table3[[#All],[STU P]],MATCH(Table5[[#This Row],[PID]],Table3[[#All],[PID]],0)))</f>
        <v>3</v>
      </c>
      <c r="M681" s="70">
        <f>IF($C681="B",INDEX(Batters[[#All],[GAP P]],MATCH(Table5[[#This Row],[PID]],Batters[[#All],[PID]],0)),INDEX(Table3[[#All],[MOV P]],MATCH(Table5[[#This Row],[PID]],Table3[[#All],[PID]],0)))</f>
        <v>3</v>
      </c>
      <c r="N681" s="70">
        <f>IF($C681="B",INDEX(Batters[[#All],[POW P]],MATCH(Table5[[#This Row],[PID]],Batters[[#All],[PID]],0)),INDEX(Table3[[#All],[CON P]],MATCH(Table5[[#This Row],[PID]],Table3[[#All],[PID]],0)))</f>
        <v>4</v>
      </c>
      <c r="O681" s="70">
        <f>IF($C681="B",INDEX(Batters[[#All],[EYE P]],MATCH(Table5[[#This Row],[PID]],Batters[[#All],[PID]],0)),INDEX(Table3[[#All],[VELO]],MATCH(Table5[[#This Row],[PID]],Table3[[#All],[PID]],0)))</f>
        <v>5</v>
      </c>
      <c r="P681" s="56">
        <f>IF($C681="B",INDEX(Batters[[#All],[K P]],MATCH(Table5[[#This Row],[PID]],Batters[[#All],[PID]],0)),INDEX(Table3[[#All],[STM]],MATCH(Table5[[#This Row],[PID]],Table3[[#All],[PID]],0)))</f>
        <v>3</v>
      </c>
      <c r="Q681" s="61">
        <f>IF($C681="B",INDEX(Batters[[#All],[Tot]],MATCH(Table5[[#This Row],[PID]],Batters[[#All],[PID]],0)),INDEX(Table3[[#All],[Tot]],MATCH(Table5[[#This Row],[PID]],Table3[[#All],[PID]],0)))</f>
        <v>37.527392491822482</v>
      </c>
      <c r="R681" s="52">
        <f>IF($C681="B",INDEX(Batters[[#All],[zScore]],MATCH(Table5[[#This Row],[PID]],Batters[[#All],[PID]],0)),INDEX(Table3[[#All],[zScore]],MATCH(Table5[[#This Row],[PID]],Table3[[#All],[PID]],0)))</f>
        <v>-0.83071882660217899</v>
      </c>
      <c r="S681" s="75" t="str">
        <f>IF($C681="B",INDEX(Batters[[#All],[DEM]],MATCH(Table5[[#This Row],[PID]],Batters[[#All],[PID]],0)),INDEX(Table3[[#All],[DEM]],MATCH(Table5[[#This Row],[PID]],Table3[[#All],[PID]],0)))</f>
        <v>$20k</v>
      </c>
      <c r="T681" s="72">
        <f>IF($C681="B",INDEX(Batters[[#All],[Rnk]],MATCH(Table5[[#This Row],[PID]],Batters[[#All],[PID]],0)),INDEX(Table3[[#All],[Rnk]],MATCH(Table5[[#This Row],[PID]],Table3[[#All],[PID]],0)))</f>
        <v>900</v>
      </c>
      <c r="U681" s="67">
        <f>IF($C681="B",VLOOKUP($A681,Bat!$A$4:$BA$1314,47,FALSE),VLOOKUP($A681,Pit!$A$4:$BF$1214,56,FALSE))</f>
        <v>238</v>
      </c>
      <c r="V681" s="50">
        <f>IF($C681="B",VLOOKUP($A681,Bat!$A$4:$BA$1314,48,FALSE),VLOOKUP($A681,Pit!$A$4:$BF$1214,57,FALSE))</f>
        <v>0</v>
      </c>
      <c r="W681" s="68">
        <f>IF(Table5[[#This Row],[posRnk]]=999,9999,Table5[[#This Row],[posRnk]]+Table5[[#This Row],[zRnk]]+IF($W$3&lt;&gt;Table5[[#This Row],[Type]],50,0))</f>
        <v>1653</v>
      </c>
      <c r="X681" s="71">
        <f>RANK(Table5[[#This Row],[zScore]],Table5[[#All],[zScore]])</f>
        <v>703</v>
      </c>
      <c r="Y681" s="68" t="str">
        <f>IFERROR(INDEX(DraftResults[[#All],[OVR]],MATCH(Table5[[#This Row],[PID]],DraftResults[[#All],[Player ID]],0)),"")</f>
        <v/>
      </c>
      <c r="Z681" s="7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/>
      </c>
      <c r="AA681" s="68" t="str">
        <f>IFERROR(INDEX(DraftResults[[#All],[Pick in Round]],MATCH(Table5[[#This Row],[PID]],DraftResults[[#All],[Player ID]],0)),"")</f>
        <v/>
      </c>
      <c r="AB681" s="68" t="str">
        <f>IFERROR(INDEX(DraftResults[[#All],[Team Name]],MATCH(Table5[[#This Row],[PID]],DraftResults[[#All],[Player ID]],0)),"")</f>
        <v/>
      </c>
      <c r="AC681" s="68" t="str">
        <f>IF(Table5[[#This Row],[Ovr]]="","",IF(Table5[[#This Row],[cmbList]]="","",Table5[[#This Row],[cmbList]]-Table5[[#This Row],[Ovr]]))</f>
        <v/>
      </c>
      <c r="AD681" s="74" t="str">
        <f>IF(ISERROR(VLOOKUP($AB681&amp;"-"&amp;$E681&amp;" "&amp;F681,Bonuses!$B$1:$G$1006,4,FALSE)),"",INT(VLOOKUP($AB681&amp;"-"&amp;$E681&amp;" "&amp;$F681,Bonuses!$B$1:$G$1006,4,FALSE)))</f>
        <v/>
      </c>
      <c r="AE681" s="68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/>
      </c>
    </row>
    <row r="682" spans="1:31" s="50" customFormat="1" x14ac:dyDescent="0.3">
      <c r="A682" s="50">
        <v>17046</v>
      </c>
      <c r="B682" s="50">
        <f>COUNTIF(Table5[PID],A682)</f>
        <v>1</v>
      </c>
      <c r="C682" s="50" t="str">
        <f>IF(COUNTIF(Table3[[#All],[PID]],A682)&gt;0,"P","B")</f>
        <v>B</v>
      </c>
      <c r="D682" s="59" t="str">
        <f>IF($C682="B",INDEX(Batters[[#All],[POS]],MATCH(Table5[[#This Row],[PID]],Batters[[#All],[PID]],0)),INDEX(Table3[[#All],[POS]],MATCH(Table5[[#This Row],[PID]],Table3[[#All],[PID]],0)))</f>
        <v>C</v>
      </c>
      <c r="E682" s="52" t="str">
        <f>IF($C682="B",INDEX(Batters[[#All],[First]],MATCH(Table5[[#This Row],[PID]],Batters[[#All],[PID]],0)),INDEX(Table3[[#All],[First]],MATCH(Table5[[#This Row],[PID]],Table3[[#All],[PID]],0)))</f>
        <v>Iestyn</v>
      </c>
      <c r="F682" s="50" t="str">
        <f>IF($C682="B",INDEX(Batters[[#All],[Last]],MATCH(A682,Batters[[#All],[PID]],0)),INDEX(Table3[[#All],[Last]],MATCH(A682,Table3[[#All],[PID]],0)))</f>
        <v>Firkins</v>
      </c>
      <c r="G682" s="56">
        <f>IF($C682="B",INDEX(Batters[[#All],[Age]],MATCH(Table5[[#This Row],[PID]],Batters[[#All],[PID]],0)),INDEX(Table3[[#All],[Age]],MATCH(Table5[[#This Row],[PID]],Table3[[#All],[PID]],0)))</f>
        <v>22</v>
      </c>
      <c r="H682" s="52" t="str">
        <f>IF($C682="B",INDEX(Batters[[#All],[B]],MATCH(Table5[[#This Row],[PID]],Batters[[#All],[PID]],0)),INDEX(Table3[[#All],[B]],MATCH(Table5[[#This Row],[PID]],Table3[[#All],[PID]],0)))</f>
        <v>R</v>
      </c>
      <c r="I682" s="52" t="str">
        <f>IF($C682="B",INDEX(Batters[[#All],[T]],MATCH(Table5[[#This Row],[PID]],Batters[[#All],[PID]],0)),INDEX(Table3[[#All],[T]],MATCH(Table5[[#This Row],[PID]],Table3[[#All],[PID]],0)))</f>
        <v>R</v>
      </c>
      <c r="J682" s="52" t="str">
        <f>IF($C682="B",INDEX(Batters[[#All],[WE]],MATCH(Table5[[#This Row],[PID]],Batters[[#All],[PID]],0)),INDEX(Table3[[#All],[WE]],MATCH(Table5[[#This Row],[PID]],Table3[[#All],[PID]],0)))</f>
        <v>Normal</v>
      </c>
      <c r="K682" s="52" t="str">
        <f>IF($C682="B",INDEX(Batters[[#All],[INT]],MATCH(Table5[[#This Row],[PID]],Batters[[#All],[PID]],0)),INDEX(Table3[[#All],[INT]],MATCH(Table5[[#This Row],[PID]],Table3[[#All],[PID]],0)))</f>
        <v>Low</v>
      </c>
      <c r="L682" s="60">
        <f>IF($C682="B",INDEX(Batters[[#All],[CON P]],MATCH(Table5[[#This Row],[PID]],Batters[[#All],[PID]],0)),INDEX(Table3[[#All],[STU P]],MATCH(Table5[[#This Row],[PID]],Table3[[#All],[PID]],0)))</f>
        <v>3</v>
      </c>
      <c r="M682" s="56">
        <f>IF($C682="B",INDEX(Batters[[#All],[GAP P]],MATCH(Table5[[#This Row],[PID]],Batters[[#All],[PID]],0)),INDEX(Table3[[#All],[MOV P]],MATCH(Table5[[#This Row],[PID]],Table3[[#All],[PID]],0)))</f>
        <v>5</v>
      </c>
      <c r="N682" s="56">
        <f>IF($C682="B",INDEX(Batters[[#All],[POW P]],MATCH(Table5[[#This Row],[PID]],Batters[[#All],[PID]],0)),INDEX(Table3[[#All],[CON P]],MATCH(Table5[[#This Row],[PID]],Table3[[#All],[PID]],0)))</f>
        <v>4</v>
      </c>
      <c r="O682" s="56">
        <f>IF($C682="B",INDEX(Batters[[#All],[EYE P]],MATCH(Table5[[#This Row],[PID]],Batters[[#All],[PID]],0)),INDEX(Table3[[#All],[VELO]],MATCH(Table5[[#This Row],[PID]],Table3[[#All],[PID]],0)))</f>
        <v>5</v>
      </c>
      <c r="P682" s="56">
        <f>IF($C682="B",INDEX(Batters[[#All],[K P]],MATCH(Table5[[#This Row],[PID]],Batters[[#All],[PID]],0)),INDEX(Table3[[#All],[STM]],MATCH(Table5[[#This Row],[PID]],Table3[[#All],[PID]],0)))</f>
        <v>4</v>
      </c>
      <c r="Q682" s="61">
        <f>IF($C682="B",INDEX(Batters[[#All],[Tot]],MATCH(Table5[[#This Row],[PID]],Batters[[#All],[PID]],0)),INDEX(Table3[[#All],[Tot]],MATCH(Table5[[#This Row],[PID]],Table3[[#All],[PID]],0)))</f>
        <v>38.494649566677971</v>
      </c>
      <c r="R682" s="52">
        <f>IF($C682="B",INDEX(Batters[[#All],[zScore]],MATCH(Table5[[#This Row],[PID]],Batters[[#All],[PID]],0)),INDEX(Table3[[#All],[zScore]],MATCH(Table5[[#This Row],[PID]],Table3[[#All],[PID]],0)))</f>
        <v>-0.68953013984268952</v>
      </c>
      <c r="S682" s="58" t="str">
        <f>IF($C682="B",INDEX(Batters[[#All],[DEM]],MATCH(Table5[[#This Row],[PID]],Batters[[#All],[PID]],0)),INDEX(Table3[[#All],[DEM]],MATCH(Table5[[#This Row],[PID]],Table3[[#All],[PID]],0)))</f>
        <v>$20k</v>
      </c>
      <c r="T682" s="62">
        <f>IF($C682="B",INDEX(Batters[[#All],[Rnk]],MATCH(Table5[[#This Row],[PID]],Batters[[#All],[PID]],0)),INDEX(Table3[[#All],[Rnk]],MATCH(Table5[[#This Row],[PID]],Table3[[#All],[PID]],0)))</f>
        <v>940</v>
      </c>
      <c r="U682" s="67">
        <f>IF($C682="B",VLOOKUP($A682,Bat!$A$4:$BA$1314,47,FALSE),VLOOKUP($A682,Pit!$A$4:$BF$1214,56,FALSE))</f>
        <v>418</v>
      </c>
      <c r="V682" s="50">
        <f>IF($C682="B",VLOOKUP($A682,Bat!$A$4:$BA$1314,48,FALSE),VLOOKUP($A682,Pit!$A$4:$BF$1214,57,FALSE))</f>
        <v>0</v>
      </c>
      <c r="W682" s="68">
        <f>IF(Table5[[#This Row],[posRnk]]=999,9999,Table5[[#This Row],[posRnk]]+Table5[[#This Row],[zRnk]]+IF($W$3&lt;&gt;Table5[[#This Row],[Type]],50,0))</f>
        <v>1655</v>
      </c>
      <c r="X682" s="51">
        <f>RANK(Table5[[#This Row],[zScore]],Table5[[#All],[zScore]])</f>
        <v>665</v>
      </c>
      <c r="Y682" s="50">
        <f>IFERROR(INDEX(DraftResults[[#All],[OVR]],MATCH(Table5[[#This Row],[PID]],DraftResults[[#All],[Player ID]],0)),"")</f>
        <v>409</v>
      </c>
      <c r="Z682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13</v>
      </c>
      <c r="AA682" s="50">
        <f>IFERROR(INDEX(DraftResults[[#All],[Pick in Round]],MATCH(Table5[[#This Row],[PID]],DraftResults[[#All],[Player ID]],0)),"")</f>
        <v>10</v>
      </c>
      <c r="AB682" s="50" t="str">
        <f>IFERROR(INDEX(DraftResults[[#All],[Team Name]],MATCH(Table5[[#This Row],[PID]],DraftResults[[#All],[Player ID]],0)),"")</f>
        <v>London Underground</v>
      </c>
      <c r="AC682" s="50">
        <f>IF(Table5[[#This Row],[Ovr]]="","",IF(Table5[[#This Row],[cmbList]]="","",Table5[[#This Row],[cmbList]]-Table5[[#This Row],[Ovr]]))</f>
        <v>1246</v>
      </c>
      <c r="AD682" s="54" t="str">
        <f>IF(ISERROR(VLOOKUP($AB682&amp;"-"&amp;$E682&amp;" "&amp;F682,Bonuses!$B$1:$G$1006,4,FALSE)),"",INT(VLOOKUP($AB682&amp;"-"&amp;$E682&amp;" "&amp;$F682,Bonuses!$B$1:$G$1006,4,FALSE)))</f>
        <v/>
      </c>
      <c r="AE682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13.10 (409) - C Iestyn Firkins</v>
      </c>
    </row>
    <row r="683" spans="1:31" s="50" customFormat="1" x14ac:dyDescent="0.3">
      <c r="A683" s="50">
        <v>7219</v>
      </c>
      <c r="B683" s="50">
        <f>COUNTIF(Table5[PID],A683)</f>
        <v>1</v>
      </c>
      <c r="C683" s="50" t="str">
        <f>IF(COUNTIF(Table3[[#All],[PID]],A683)&gt;0,"P","B")</f>
        <v>B</v>
      </c>
      <c r="D683" s="59" t="str">
        <f>IF($C683="B",INDEX(Batters[[#All],[POS]],MATCH(Table5[[#This Row],[PID]],Batters[[#All],[PID]],0)),INDEX(Table3[[#All],[POS]],MATCH(Table5[[#This Row],[PID]],Table3[[#All],[PID]],0)))</f>
        <v>LF</v>
      </c>
      <c r="E683" s="52" t="str">
        <f>IF($C683="B",INDEX(Batters[[#All],[First]],MATCH(Table5[[#This Row],[PID]],Batters[[#All],[PID]],0)),INDEX(Table3[[#All],[First]],MATCH(Table5[[#This Row],[PID]],Table3[[#All],[PID]],0)))</f>
        <v>Ken</v>
      </c>
      <c r="F683" s="50" t="str">
        <f>IF($C683="B",INDEX(Batters[[#All],[Last]],MATCH(A683,Batters[[#All],[PID]],0)),INDEX(Table3[[#All],[Last]],MATCH(A683,Table3[[#All],[PID]],0)))</f>
        <v>Bray</v>
      </c>
      <c r="G683" s="56">
        <f>IF($C683="B",INDEX(Batters[[#All],[Age]],MATCH(Table5[[#This Row],[PID]],Batters[[#All],[PID]],0)),INDEX(Table3[[#All],[Age]],MATCH(Table5[[#This Row],[PID]],Table3[[#All],[PID]],0)))</f>
        <v>21</v>
      </c>
      <c r="H683" s="52" t="str">
        <f>IF($C683="B",INDEX(Batters[[#All],[B]],MATCH(Table5[[#This Row],[PID]],Batters[[#All],[PID]],0)),INDEX(Table3[[#All],[B]],MATCH(Table5[[#This Row],[PID]],Table3[[#All],[PID]],0)))</f>
        <v>L</v>
      </c>
      <c r="I683" s="52" t="str">
        <f>IF($C683="B",INDEX(Batters[[#All],[T]],MATCH(Table5[[#This Row],[PID]],Batters[[#All],[PID]],0)),INDEX(Table3[[#All],[T]],MATCH(Table5[[#This Row],[PID]],Table3[[#All],[PID]],0)))</f>
        <v>L</v>
      </c>
      <c r="J683" s="52" t="str">
        <f>IF($C683="B",INDEX(Batters[[#All],[WE]],MATCH(Table5[[#This Row],[PID]],Batters[[#All],[PID]],0)),INDEX(Table3[[#All],[WE]],MATCH(Table5[[#This Row],[PID]],Table3[[#All],[PID]],0)))</f>
        <v>High</v>
      </c>
      <c r="K683" s="52" t="str">
        <f>IF($C683="B",INDEX(Batters[[#All],[INT]],MATCH(Table5[[#This Row],[PID]],Batters[[#All],[PID]],0)),INDEX(Table3[[#All],[INT]],MATCH(Table5[[#This Row],[PID]],Table3[[#All],[PID]],0)))</f>
        <v>Normal</v>
      </c>
      <c r="L683" s="60">
        <f>IF($C683="B",INDEX(Batters[[#All],[CON P]],MATCH(Table5[[#This Row],[PID]],Batters[[#All],[PID]],0)),INDEX(Table3[[#All],[STU P]],MATCH(Table5[[#This Row],[PID]],Table3[[#All],[PID]],0)))</f>
        <v>3</v>
      </c>
      <c r="M683" s="56">
        <f>IF($C683="B",INDEX(Batters[[#All],[GAP P]],MATCH(Table5[[#This Row],[PID]],Batters[[#All],[PID]],0)),INDEX(Table3[[#All],[MOV P]],MATCH(Table5[[#This Row],[PID]],Table3[[#All],[PID]],0)))</f>
        <v>4</v>
      </c>
      <c r="N683" s="56">
        <f>IF($C683="B",INDEX(Batters[[#All],[POW P]],MATCH(Table5[[#This Row],[PID]],Batters[[#All],[PID]],0)),INDEX(Table3[[#All],[CON P]],MATCH(Table5[[#This Row],[PID]],Table3[[#All],[PID]],0)))</f>
        <v>4</v>
      </c>
      <c r="O683" s="56">
        <f>IF($C683="B",INDEX(Batters[[#All],[EYE P]],MATCH(Table5[[#This Row],[PID]],Batters[[#All],[PID]],0)),INDEX(Table3[[#All],[VELO]],MATCH(Table5[[#This Row],[PID]],Table3[[#All],[PID]],0)))</f>
        <v>5</v>
      </c>
      <c r="P683" s="56">
        <f>IF($C683="B",INDEX(Batters[[#All],[K P]],MATCH(Table5[[#This Row],[PID]],Batters[[#All],[PID]],0)),INDEX(Table3[[#All],[STM]],MATCH(Table5[[#This Row],[PID]],Table3[[#All],[PID]],0)))</f>
        <v>2</v>
      </c>
      <c r="Q683" s="61">
        <f>IF($C683="B",INDEX(Batters[[#All],[Tot]],MATCH(Table5[[#This Row],[PID]],Batters[[#All],[PID]],0)),INDEX(Table3[[#All],[Tot]],MATCH(Table5[[#This Row],[PID]],Table3[[#All],[PID]],0)))</f>
        <v>37.462898545676332</v>
      </c>
      <c r="R683" s="52">
        <f>IF($C683="B",INDEX(Batters[[#All],[zScore]],MATCH(Table5[[#This Row],[PID]],Batters[[#All],[PID]],0)),INDEX(Table3[[#All],[zScore]],MATCH(Table5[[#This Row],[PID]],Table3[[#All],[PID]],0)))</f>
        <v>-0.84013288600481784</v>
      </c>
      <c r="S683" s="58" t="str">
        <f>IF($C683="B",INDEX(Batters[[#All],[DEM]],MATCH(Table5[[#This Row],[PID]],Batters[[#All],[PID]],0)),INDEX(Table3[[#All],[DEM]],MATCH(Table5[[#This Row],[PID]],Table3[[#All],[PID]],0)))</f>
        <v>$20k</v>
      </c>
      <c r="T683" s="62">
        <f>IF($C683="B",INDEX(Batters[[#All],[Rnk]],MATCH(Table5[[#This Row],[PID]],Batters[[#All],[PID]],0)),INDEX(Table3[[#All],[Rnk]],MATCH(Table5[[#This Row],[PID]],Table3[[#All],[PID]],0)))</f>
        <v>900</v>
      </c>
      <c r="U683" s="67">
        <f>IF($C683="B",VLOOKUP($A683,Bat!$A$4:$BA$1314,47,FALSE),VLOOKUP($A683,Pit!$A$4:$BF$1214,56,FALSE))</f>
        <v>240</v>
      </c>
      <c r="V683" s="50">
        <f>IF($C683="B",VLOOKUP($A683,Bat!$A$4:$BA$1314,48,FALSE),VLOOKUP($A683,Pit!$A$4:$BF$1214,57,FALSE))</f>
        <v>0</v>
      </c>
      <c r="W683" s="68">
        <f>IF(Table5[[#This Row],[posRnk]]=999,9999,Table5[[#This Row],[posRnk]]+Table5[[#This Row],[zRnk]]+IF($W$3&lt;&gt;Table5[[#This Row],[Type]],50,0))</f>
        <v>1656</v>
      </c>
      <c r="X683" s="51">
        <f>RANK(Table5[[#This Row],[zScore]],Table5[[#All],[zScore]])</f>
        <v>706</v>
      </c>
      <c r="Y683" s="50">
        <f>IFERROR(INDEX(DraftResults[[#All],[OVR]],MATCH(Table5[[#This Row],[PID]],DraftResults[[#All],[Player ID]],0)),"")</f>
        <v>575</v>
      </c>
      <c r="Z683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18</v>
      </c>
      <c r="AA683" s="50">
        <f>IFERROR(INDEX(DraftResults[[#All],[Pick in Round]],MATCH(Table5[[#This Row],[PID]],DraftResults[[#All],[Player ID]],0)),"")</f>
        <v>6</v>
      </c>
      <c r="AB683" s="50" t="str">
        <f>IFERROR(INDEX(DraftResults[[#All],[Team Name]],MATCH(Table5[[#This Row],[PID]],DraftResults[[#All],[Player ID]],0)),"")</f>
        <v>New Orleans Trendsetters</v>
      </c>
      <c r="AC683" s="50">
        <f>IF(Table5[[#This Row],[Ovr]]="","",IF(Table5[[#This Row],[cmbList]]="","",Table5[[#This Row],[cmbList]]-Table5[[#This Row],[Ovr]]))</f>
        <v>1081</v>
      </c>
      <c r="AD683" s="54" t="str">
        <f>IF(ISERROR(VLOOKUP($AB683&amp;"-"&amp;$E683&amp;" "&amp;F683,Bonuses!$B$1:$G$1006,4,FALSE)),"",INT(VLOOKUP($AB683&amp;"-"&amp;$E683&amp;" "&amp;$F683,Bonuses!$B$1:$G$1006,4,FALSE)))</f>
        <v/>
      </c>
      <c r="AE683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18.6 (575) - LF Ken Bray</v>
      </c>
    </row>
    <row r="684" spans="1:31" s="50" customFormat="1" x14ac:dyDescent="0.3">
      <c r="A684" s="50">
        <v>20224</v>
      </c>
      <c r="B684" s="50">
        <f>COUNTIF(Table5[PID],A684)</f>
        <v>1</v>
      </c>
      <c r="C684" s="50" t="str">
        <f>IF(COUNTIF(Table3[[#All],[PID]],A684)&gt;0,"P","B")</f>
        <v>B</v>
      </c>
      <c r="D684" s="59" t="str">
        <f>IF($C684="B",INDEX(Batters[[#All],[POS]],MATCH(Table5[[#This Row],[PID]],Batters[[#All],[PID]],0)),INDEX(Table3[[#All],[POS]],MATCH(Table5[[#This Row],[PID]],Table3[[#All],[PID]],0)))</f>
        <v>C</v>
      </c>
      <c r="E684" s="52" t="str">
        <f>IF($C684="B",INDEX(Batters[[#All],[First]],MATCH(Table5[[#This Row],[PID]],Batters[[#All],[PID]],0)),INDEX(Table3[[#All],[First]],MATCH(Table5[[#This Row],[PID]],Table3[[#All],[PID]],0)))</f>
        <v>Jason</v>
      </c>
      <c r="F684" s="50" t="str">
        <f>IF($C684="B",INDEX(Batters[[#All],[Last]],MATCH(A684,Batters[[#All],[PID]],0)),INDEX(Table3[[#All],[Last]],MATCH(A684,Table3[[#All],[PID]],0)))</f>
        <v>Eteldrum</v>
      </c>
      <c r="G684" s="56">
        <f>IF($C684="B",INDEX(Batters[[#All],[Age]],MATCH(Table5[[#This Row],[PID]],Batters[[#All],[PID]],0)),INDEX(Table3[[#All],[Age]],MATCH(Table5[[#This Row],[PID]],Table3[[#All],[PID]],0)))</f>
        <v>21</v>
      </c>
      <c r="H684" s="52" t="str">
        <f>IF($C684="B",INDEX(Batters[[#All],[B]],MATCH(Table5[[#This Row],[PID]],Batters[[#All],[PID]],0)),INDEX(Table3[[#All],[B]],MATCH(Table5[[#This Row],[PID]],Table3[[#All],[PID]],0)))</f>
        <v>R</v>
      </c>
      <c r="I684" s="52" t="str">
        <f>IF($C684="B",INDEX(Batters[[#All],[T]],MATCH(Table5[[#This Row],[PID]],Batters[[#All],[PID]],0)),INDEX(Table3[[#All],[T]],MATCH(Table5[[#This Row],[PID]],Table3[[#All],[PID]],0)))</f>
        <v>R</v>
      </c>
      <c r="J684" s="52" t="str">
        <f>IF($C684="B",INDEX(Batters[[#All],[WE]],MATCH(Table5[[#This Row],[PID]],Batters[[#All],[PID]],0)),INDEX(Table3[[#All],[WE]],MATCH(Table5[[#This Row],[PID]],Table3[[#All],[PID]],0)))</f>
        <v>Low</v>
      </c>
      <c r="K684" s="52" t="str">
        <f>IF($C684="B",INDEX(Batters[[#All],[INT]],MATCH(Table5[[#This Row],[PID]],Batters[[#All],[PID]],0)),INDEX(Table3[[#All],[INT]],MATCH(Table5[[#This Row],[PID]],Table3[[#All],[PID]],0)))</f>
        <v>Low</v>
      </c>
      <c r="L684" s="60">
        <f>IF($C684="B",INDEX(Batters[[#All],[CON P]],MATCH(Table5[[#This Row],[PID]],Batters[[#All],[PID]],0)),INDEX(Table3[[#All],[STU P]],MATCH(Table5[[#This Row],[PID]],Table3[[#All],[PID]],0)))</f>
        <v>3</v>
      </c>
      <c r="M684" s="56">
        <f>IF($C684="B",INDEX(Batters[[#All],[GAP P]],MATCH(Table5[[#This Row],[PID]],Batters[[#All],[PID]],0)),INDEX(Table3[[#All],[MOV P]],MATCH(Table5[[#This Row],[PID]],Table3[[#All],[PID]],0)))</f>
        <v>3</v>
      </c>
      <c r="N684" s="56">
        <f>IF($C684="B",INDEX(Batters[[#All],[POW P]],MATCH(Table5[[#This Row],[PID]],Batters[[#All],[PID]],0)),INDEX(Table3[[#All],[CON P]],MATCH(Table5[[#This Row],[PID]],Table3[[#All],[PID]],0)))</f>
        <v>4</v>
      </c>
      <c r="O684" s="56">
        <f>IF($C684="B",INDEX(Batters[[#All],[EYE P]],MATCH(Table5[[#This Row],[PID]],Batters[[#All],[PID]],0)),INDEX(Table3[[#All],[VELO]],MATCH(Table5[[#This Row],[PID]],Table3[[#All],[PID]],0)))</f>
        <v>6</v>
      </c>
      <c r="P684" s="56">
        <f>IF($C684="B",INDEX(Batters[[#All],[K P]],MATCH(Table5[[#This Row],[PID]],Batters[[#All],[PID]],0)),INDEX(Table3[[#All],[STM]],MATCH(Table5[[#This Row],[PID]],Table3[[#All],[PID]],0)))</f>
        <v>3</v>
      </c>
      <c r="Q684" s="61">
        <f>IF($C684="B",INDEX(Batters[[#All],[Tot]],MATCH(Table5[[#This Row],[PID]],Batters[[#All],[PID]],0)),INDEX(Table3[[#All],[Tot]],MATCH(Table5[[#This Row],[PID]],Table3[[#All],[PID]],0)))</f>
        <v>38.642109682577129</v>
      </c>
      <c r="R684" s="52">
        <f>IF($C684="B",INDEX(Batters[[#All],[zScore]],MATCH(Table5[[#This Row],[PID]],Batters[[#All],[PID]],0)),INDEX(Table3[[#All],[zScore]],MATCH(Table5[[#This Row],[PID]],Table3[[#All],[PID]],0)))</f>
        <v>-0.66800566547653961</v>
      </c>
      <c r="S684" s="58" t="str">
        <f>IF($C684="B",INDEX(Batters[[#All],[DEM]],MATCH(Table5[[#This Row],[PID]],Batters[[#All],[PID]],0)),INDEX(Table3[[#All],[DEM]],MATCH(Table5[[#This Row],[PID]],Table3[[#All],[PID]],0)))</f>
        <v>$20k</v>
      </c>
      <c r="T684" s="62">
        <f>IF($C684="B",INDEX(Batters[[#All],[Rnk]],MATCH(Table5[[#This Row],[PID]],Batters[[#All],[PID]],0)),INDEX(Table3[[#All],[Rnk]],MATCH(Table5[[#This Row],[PID]],Table3[[#All],[PID]],0)))</f>
        <v>950</v>
      </c>
      <c r="U684" s="67">
        <f>IF($C684="B",VLOOKUP($A684,Bat!$A$4:$BA$1314,47,FALSE),VLOOKUP($A684,Pit!$A$4:$BF$1214,56,FALSE))</f>
        <v>441</v>
      </c>
      <c r="V684" s="50">
        <f>IF($C684="B",VLOOKUP($A684,Bat!$A$4:$BA$1314,48,FALSE),VLOOKUP($A684,Pit!$A$4:$BF$1214,57,FALSE))</f>
        <v>0</v>
      </c>
      <c r="W684" s="68">
        <f>IF(Table5[[#This Row],[posRnk]]=999,9999,Table5[[#This Row],[posRnk]]+Table5[[#This Row],[zRnk]]+IF($W$3&lt;&gt;Table5[[#This Row],[Type]],50,0))</f>
        <v>1657</v>
      </c>
      <c r="X684" s="51">
        <f>RANK(Table5[[#This Row],[zScore]],Table5[[#All],[zScore]])</f>
        <v>657</v>
      </c>
      <c r="Y684" s="50">
        <f>IFERROR(INDEX(DraftResults[[#All],[OVR]],MATCH(Table5[[#This Row],[PID]],DraftResults[[#All],[Player ID]],0)),"")</f>
        <v>496</v>
      </c>
      <c r="Z684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15</v>
      </c>
      <c r="AA684" s="50">
        <f>IFERROR(INDEX(DraftResults[[#All],[Pick in Round]],MATCH(Table5[[#This Row],[PID]],DraftResults[[#All],[Player ID]],0)),"")</f>
        <v>29</v>
      </c>
      <c r="AB684" s="50" t="str">
        <f>IFERROR(INDEX(DraftResults[[#All],[Team Name]],MATCH(Table5[[#This Row],[PID]],DraftResults[[#All],[Player ID]],0)),"")</f>
        <v>Shin Seiki Evas</v>
      </c>
      <c r="AC684" s="50">
        <f>IF(Table5[[#This Row],[Ovr]]="","",IF(Table5[[#This Row],[cmbList]]="","",Table5[[#This Row],[cmbList]]-Table5[[#This Row],[Ovr]]))</f>
        <v>1161</v>
      </c>
      <c r="AD684" s="54" t="str">
        <f>IF(ISERROR(VLOOKUP($AB684&amp;"-"&amp;$E684&amp;" "&amp;F684,Bonuses!$B$1:$G$1006,4,FALSE)),"",INT(VLOOKUP($AB684&amp;"-"&amp;$E684&amp;" "&amp;$F684,Bonuses!$B$1:$G$1006,4,FALSE)))</f>
        <v/>
      </c>
      <c r="AE684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15.29 (496) - C Jason Eteldrum</v>
      </c>
    </row>
    <row r="685" spans="1:31" s="50" customFormat="1" x14ac:dyDescent="0.3">
      <c r="A685" s="50">
        <v>15914</v>
      </c>
      <c r="B685" s="50">
        <f>COUNTIF(Table5[PID],A685)</f>
        <v>1</v>
      </c>
      <c r="C685" s="50" t="str">
        <f>IF(COUNTIF(Table3[[#All],[PID]],A685)&gt;0,"P","B")</f>
        <v>B</v>
      </c>
      <c r="D685" s="59" t="str">
        <f>IF($C685="B",INDEX(Batters[[#All],[POS]],MATCH(Table5[[#This Row],[PID]],Batters[[#All],[PID]],0)),INDEX(Table3[[#All],[POS]],MATCH(Table5[[#This Row],[PID]],Table3[[#All],[PID]],0)))</f>
        <v>C</v>
      </c>
      <c r="E685" s="52" t="str">
        <f>IF($C685="B",INDEX(Batters[[#All],[First]],MATCH(Table5[[#This Row],[PID]],Batters[[#All],[PID]],0)),INDEX(Table3[[#All],[First]],MATCH(Table5[[#This Row],[PID]],Table3[[#All],[PID]],0)))</f>
        <v>Mike</v>
      </c>
      <c r="F685" s="50" t="str">
        <f>IF($C685="B",INDEX(Batters[[#All],[Last]],MATCH(A685,Batters[[#All],[PID]],0)),INDEX(Table3[[#All],[Last]],MATCH(A685,Table3[[#All],[PID]],0)))</f>
        <v>Maccley</v>
      </c>
      <c r="G685" s="56">
        <f>IF($C685="B",INDEX(Batters[[#All],[Age]],MATCH(Table5[[#This Row],[PID]],Batters[[#All],[PID]],0)),INDEX(Table3[[#All],[Age]],MATCH(Table5[[#This Row],[PID]],Table3[[#All],[PID]],0)))</f>
        <v>22</v>
      </c>
      <c r="H685" s="52" t="str">
        <f>IF($C685="B",INDEX(Batters[[#All],[B]],MATCH(Table5[[#This Row],[PID]],Batters[[#All],[PID]],0)),INDEX(Table3[[#All],[B]],MATCH(Table5[[#This Row],[PID]],Table3[[#All],[PID]],0)))</f>
        <v>R</v>
      </c>
      <c r="I685" s="52" t="str">
        <f>IF($C685="B",INDEX(Batters[[#All],[T]],MATCH(Table5[[#This Row],[PID]],Batters[[#All],[PID]],0)),INDEX(Table3[[#All],[T]],MATCH(Table5[[#This Row],[PID]],Table3[[#All],[PID]],0)))</f>
        <v>R</v>
      </c>
      <c r="J685" s="52" t="str">
        <f>IF($C685="B",INDEX(Batters[[#All],[WE]],MATCH(Table5[[#This Row],[PID]],Batters[[#All],[PID]],0)),INDEX(Table3[[#All],[WE]],MATCH(Table5[[#This Row],[PID]],Table3[[#All],[PID]],0)))</f>
        <v>Normal</v>
      </c>
      <c r="K685" s="52" t="str">
        <f>IF($C685="B",INDEX(Batters[[#All],[INT]],MATCH(Table5[[#This Row],[PID]],Batters[[#All],[PID]],0)),INDEX(Table3[[#All],[INT]],MATCH(Table5[[#This Row],[PID]],Table3[[#All],[PID]],0)))</f>
        <v>Normal</v>
      </c>
      <c r="L685" s="60">
        <f>IF($C685="B",INDEX(Batters[[#All],[CON P]],MATCH(Table5[[#This Row],[PID]],Batters[[#All],[PID]],0)),INDEX(Table3[[#All],[STU P]],MATCH(Table5[[#This Row],[PID]],Table3[[#All],[PID]],0)))</f>
        <v>3</v>
      </c>
      <c r="M685" s="56">
        <f>IF($C685="B",INDEX(Batters[[#All],[GAP P]],MATCH(Table5[[#This Row],[PID]],Batters[[#All],[PID]],0)),INDEX(Table3[[#All],[MOV P]],MATCH(Table5[[#This Row],[PID]],Table3[[#All],[PID]],0)))</f>
        <v>3</v>
      </c>
      <c r="N685" s="56">
        <f>IF($C685="B",INDEX(Batters[[#All],[POW P]],MATCH(Table5[[#This Row],[PID]],Batters[[#All],[PID]],0)),INDEX(Table3[[#All],[CON P]],MATCH(Table5[[#This Row],[PID]],Table3[[#All],[PID]],0)))</f>
        <v>3</v>
      </c>
      <c r="O685" s="56">
        <f>IF($C685="B",INDEX(Batters[[#All],[EYE P]],MATCH(Table5[[#This Row],[PID]],Batters[[#All],[PID]],0)),INDEX(Table3[[#All],[VELO]],MATCH(Table5[[#This Row],[PID]],Table3[[#All],[PID]],0)))</f>
        <v>5</v>
      </c>
      <c r="P685" s="56">
        <f>IF($C685="B",INDEX(Batters[[#All],[K P]],MATCH(Table5[[#This Row],[PID]],Batters[[#All],[PID]],0)),INDEX(Table3[[#All],[STM]],MATCH(Table5[[#This Row],[PID]],Table3[[#All],[PID]],0)))</f>
        <v>3</v>
      </c>
      <c r="Q685" s="61">
        <f>IF($C685="B",INDEX(Batters[[#All],[Tot]],MATCH(Table5[[#This Row],[PID]],Batters[[#All],[PID]],0)),INDEX(Table3[[#All],[Tot]],MATCH(Table5[[#This Row],[PID]],Table3[[#All],[PID]],0)))</f>
        <v>37.423760324411134</v>
      </c>
      <c r="R685" s="52">
        <f>IF($C685="B",INDEX(Batters[[#All],[zScore]],MATCH(Table5[[#This Row],[PID]],Batters[[#All],[PID]],0)),INDEX(Table3[[#All],[zScore]],MATCH(Table5[[#This Row],[PID]],Table3[[#All],[PID]],0)))</f>
        <v>-0.84584581817785065</v>
      </c>
      <c r="S685" s="58" t="str">
        <f>IF($C685="B",INDEX(Batters[[#All],[DEM]],MATCH(Table5[[#This Row],[PID]],Batters[[#All],[PID]],0)),INDEX(Table3[[#All],[DEM]],MATCH(Table5[[#This Row],[PID]],Table3[[#All],[PID]],0)))</f>
        <v>-</v>
      </c>
      <c r="T685" s="62">
        <f>IF($C685="B",INDEX(Batters[[#All],[Rnk]],MATCH(Table5[[#This Row],[PID]],Batters[[#All],[PID]],0)),INDEX(Table3[[#All],[Rnk]],MATCH(Table5[[#This Row],[PID]],Table3[[#All],[PID]],0)))</f>
        <v>900</v>
      </c>
      <c r="U685" s="67">
        <f>IF($C685="B",VLOOKUP($A685,Bat!$A$4:$BA$1314,47,FALSE),VLOOKUP($A685,Pit!$A$4:$BF$1214,56,FALSE))</f>
        <v>253</v>
      </c>
      <c r="V685" s="50">
        <f>IF($C685="B",VLOOKUP($A685,Bat!$A$4:$BA$1314,48,FALSE),VLOOKUP($A685,Pit!$A$4:$BF$1214,57,FALSE))</f>
        <v>0</v>
      </c>
      <c r="W685" s="68">
        <f>IF(Table5[[#This Row],[posRnk]]=999,9999,Table5[[#This Row],[posRnk]]+Table5[[#This Row],[zRnk]]+IF($W$3&lt;&gt;Table5[[#This Row],[Type]],50,0))</f>
        <v>1660</v>
      </c>
      <c r="X685" s="51">
        <f>RANK(Table5[[#This Row],[zScore]],Table5[[#All],[zScore]])</f>
        <v>710</v>
      </c>
      <c r="Y685" s="50" t="str">
        <f>IFERROR(INDEX(DraftResults[[#All],[OVR]],MATCH(Table5[[#This Row],[PID]],DraftResults[[#All],[Player ID]],0)),"")</f>
        <v/>
      </c>
      <c r="Z685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/>
      </c>
      <c r="AA685" s="50" t="str">
        <f>IFERROR(INDEX(DraftResults[[#All],[Pick in Round]],MATCH(Table5[[#This Row],[PID]],DraftResults[[#All],[Player ID]],0)),"")</f>
        <v/>
      </c>
      <c r="AB685" s="50" t="str">
        <f>IFERROR(INDEX(DraftResults[[#All],[Team Name]],MATCH(Table5[[#This Row],[PID]],DraftResults[[#All],[Player ID]],0)),"")</f>
        <v/>
      </c>
      <c r="AC685" s="50" t="str">
        <f>IF(Table5[[#This Row],[Ovr]]="","",IF(Table5[[#This Row],[cmbList]]="","",Table5[[#This Row],[cmbList]]-Table5[[#This Row],[Ovr]]))</f>
        <v/>
      </c>
      <c r="AD685" s="54" t="str">
        <f>IF(ISERROR(VLOOKUP($AB685&amp;"-"&amp;$E685&amp;" "&amp;F685,Bonuses!$B$1:$G$1006,4,FALSE)),"",INT(VLOOKUP($AB685&amp;"-"&amp;$E685&amp;" "&amp;$F685,Bonuses!$B$1:$G$1006,4,FALSE)))</f>
        <v/>
      </c>
      <c r="AE685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/>
      </c>
    </row>
    <row r="686" spans="1:31" s="50" customFormat="1" x14ac:dyDescent="0.3">
      <c r="A686" s="67">
        <v>16288</v>
      </c>
      <c r="B686" s="68">
        <f>COUNTIF(Table5[PID],A686)</f>
        <v>1</v>
      </c>
      <c r="C686" s="68" t="str">
        <f>IF(COUNTIF(Table3[[#All],[PID]],A686)&gt;0,"P","B")</f>
        <v>P</v>
      </c>
      <c r="D686" s="59" t="str">
        <f>IF($C686="B",INDEX(Batters[[#All],[POS]],MATCH(Table5[[#This Row],[PID]],Batters[[#All],[PID]],0)),INDEX(Table3[[#All],[POS]],MATCH(Table5[[#This Row],[PID]],Table3[[#All],[PID]],0)))</f>
        <v>RP</v>
      </c>
      <c r="E686" s="52" t="str">
        <f>IF($C686="B",INDEX(Batters[[#All],[First]],MATCH(Table5[[#This Row],[PID]],Batters[[#All],[PID]],0)),INDEX(Table3[[#All],[First]],MATCH(Table5[[#This Row],[PID]],Table3[[#All],[PID]],0)))</f>
        <v>Peter</v>
      </c>
      <c r="F686" s="55" t="str">
        <f>IF($C686="B",INDEX(Batters[[#All],[Last]],MATCH(A686,Batters[[#All],[PID]],0)),INDEX(Table3[[#All],[Last]],MATCH(A686,Table3[[#All],[PID]],0)))</f>
        <v>Dunford</v>
      </c>
      <c r="G686" s="56">
        <f>IF($C686="B",INDEX(Batters[[#All],[Age]],MATCH(Table5[[#This Row],[PID]],Batters[[#All],[PID]],0)),INDEX(Table3[[#All],[Age]],MATCH(Table5[[#This Row],[PID]],Table3[[#All],[PID]],0)))</f>
        <v>21</v>
      </c>
      <c r="H686" s="52" t="str">
        <f>IF($C686="B",INDEX(Batters[[#All],[B]],MATCH(Table5[[#This Row],[PID]],Batters[[#All],[PID]],0)),INDEX(Table3[[#All],[B]],MATCH(Table5[[#This Row],[PID]],Table3[[#All],[PID]],0)))</f>
        <v>R</v>
      </c>
      <c r="I686" s="52" t="str">
        <f>IF($C686="B",INDEX(Batters[[#All],[T]],MATCH(Table5[[#This Row],[PID]],Batters[[#All],[PID]],0)),INDEX(Table3[[#All],[T]],MATCH(Table5[[#This Row],[PID]],Table3[[#All],[PID]],0)))</f>
        <v>R</v>
      </c>
      <c r="J686" s="69" t="str">
        <f>IF($C686="B",INDEX(Batters[[#All],[WE]],MATCH(Table5[[#This Row],[PID]],Batters[[#All],[PID]],0)),INDEX(Table3[[#All],[WE]],MATCH(Table5[[#This Row],[PID]],Table3[[#All],[PID]],0)))</f>
        <v>Low</v>
      </c>
      <c r="K686" s="52" t="str">
        <f>IF($C686="B",INDEX(Batters[[#All],[INT]],MATCH(Table5[[#This Row],[PID]],Batters[[#All],[PID]],0)),INDEX(Table3[[#All],[INT]],MATCH(Table5[[#This Row],[PID]],Table3[[#All],[PID]],0)))</f>
        <v>Normal</v>
      </c>
      <c r="L686" s="60">
        <f>IF($C686="B",INDEX(Batters[[#All],[CON P]],MATCH(Table5[[#This Row],[PID]],Batters[[#All],[PID]],0)),INDEX(Table3[[#All],[STU P]],MATCH(Table5[[#This Row],[PID]],Table3[[#All],[PID]],0)))</f>
        <v>5</v>
      </c>
      <c r="M686" s="70">
        <f>IF($C686="B",INDEX(Batters[[#All],[GAP P]],MATCH(Table5[[#This Row],[PID]],Batters[[#All],[PID]],0)),INDEX(Table3[[#All],[MOV P]],MATCH(Table5[[#This Row],[PID]],Table3[[#All],[PID]],0)))</f>
        <v>1</v>
      </c>
      <c r="N686" s="70">
        <f>IF($C686="B",INDEX(Batters[[#All],[POW P]],MATCH(Table5[[#This Row],[PID]],Batters[[#All],[PID]],0)),INDEX(Table3[[#All],[CON P]],MATCH(Table5[[#This Row],[PID]],Table3[[#All],[PID]],0)))</f>
        <v>4</v>
      </c>
      <c r="O686" s="70" t="str">
        <f>IF($C686="B",INDEX(Batters[[#All],[EYE P]],MATCH(Table5[[#This Row],[PID]],Batters[[#All],[PID]],0)),INDEX(Table3[[#All],[VELO]],MATCH(Table5[[#This Row],[PID]],Table3[[#All],[PID]],0)))</f>
        <v>92-94 Mph</v>
      </c>
      <c r="P686" s="56">
        <f>IF($C686="B",INDEX(Batters[[#All],[K P]],MATCH(Table5[[#This Row],[PID]],Batters[[#All],[PID]],0)),INDEX(Table3[[#All],[STM]],MATCH(Table5[[#This Row],[PID]],Table3[[#All],[PID]],0)))</f>
        <v>2</v>
      </c>
      <c r="Q686" s="61">
        <f>IF($C686="B",INDEX(Batters[[#All],[Tot]],MATCH(Table5[[#This Row],[PID]],Batters[[#All],[PID]],0)),INDEX(Table3[[#All],[Tot]],MATCH(Table5[[#This Row],[PID]],Table3[[#All],[PID]],0)))</f>
        <v>27.1892542760514</v>
      </c>
      <c r="R686" s="52">
        <f>IF($C686="B",INDEX(Batters[[#All],[zScore]],MATCH(Table5[[#This Row],[PID]],Batters[[#All],[PID]],0)),INDEX(Table3[[#All],[zScore]],MATCH(Table5[[#This Row],[PID]],Table3[[#All],[PID]],0)))</f>
        <v>-0.75574361816318569</v>
      </c>
      <c r="S686" s="75" t="str">
        <f>IF($C686="B",INDEX(Batters[[#All],[DEM]],MATCH(Table5[[#This Row],[PID]],Batters[[#All],[PID]],0)),INDEX(Table3[[#All],[DEM]],MATCH(Table5[[#This Row],[PID]],Table3[[#All],[PID]],0)))</f>
        <v>-</v>
      </c>
      <c r="T686" s="72">
        <f>IF($C686="B",INDEX(Batters[[#All],[Rnk]],MATCH(Table5[[#This Row],[PID]],Batters[[#All],[PID]],0)),INDEX(Table3[[#All],[Rnk]],MATCH(Table5[[#This Row],[PID]],Table3[[#All],[PID]],0)))</f>
        <v>930</v>
      </c>
      <c r="U686" s="67">
        <f>IF($C686="B",VLOOKUP($A686,Bat!$A$4:$BA$1314,47,FALSE),VLOOKUP($A686,Pit!$A$4:$BF$1214,56,FALSE))</f>
        <v>344</v>
      </c>
      <c r="V686" s="50">
        <f>IF($C686="B",VLOOKUP($A686,Bat!$A$4:$BA$1314,48,FALSE),VLOOKUP($A686,Pit!$A$4:$BF$1214,57,FALSE))</f>
        <v>0</v>
      </c>
      <c r="W686" s="68">
        <f>IF(Table5[[#This Row],[posRnk]]=999,9999,Table5[[#This Row],[posRnk]]+Table5[[#This Row],[zRnk]]+IF($W$3&lt;&gt;Table5[[#This Row],[Type]],50,0))</f>
        <v>1610</v>
      </c>
      <c r="X686" s="71">
        <f>RANK(Table5[[#This Row],[zScore]],Table5[[#All],[zScore]])</f>
        <v>680</v>
      </c>
      <c r="Y686" s="68" t="str">
        <f>IFERROR(INDEX(DraftResults[[#All],[OVR]],MATCH(Table5[[#This Row],[PID]],DraftResults[[#All],[Player ID]],0)),"")</f>
        <v/>
      </c>
      <c r="Z686" s="7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/>
      </c>
      <c r="AA686" s="68" t="str">
        <f>IFERROR(INDEX(DraftResults[[#All],[Pick in Round]],MATCH(Table5[[#This Row],[PID]],DraftResults[[#All],[Player ID]],0)),"")</f>
        <v/>
      </c>
      <c r="AB686" s="68" t="str">
        <f>IFERROR(INDEX(DraftResults[[#All],[Team Name]],MATCH(Table5[[#This Row],[PID]],DraftResults[[#All],[Player ID]],0)),"")</f>
        <v/>
      </c>
      <c r="AC686" s="68" t="str">
        <f>IF(Table5[[#This Row],[Ovr]]="","",IF(Table5[[#This Row],[cmbList]]="","",Table5[[#This Row],[cmbList]]-Table5[[#This Row],[Ovr]]))</f>
        <v/>
      </c>
      <c r="AD686" s="74" t="str">
        <f>IF(ISERROR(VLOOKUP($AB686&amp;"-"&amp;$E686&amp;" "&amp;F686,Bonuses!$B$1:$G$1006,4,FALSE)),"",INT(VLOOKUP($AB686&amp;"-"&amp;$E686&amp;" "&amp;$F686,Bonuses!$B$1:$G$1006,4,FALSE)))</f>
        <v/>
      </c>
      <c r="AE686" s="68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/>
      </c>
    </row>
    <row r="687" spans="1:31" s="50" customFormat="1" x14ac:dyDescent="0.3">
      <c r="A687" s="50">
        <v>17044</v>
      </c>
      <c r="B687" s="50">
        <f>COUNTIF(Table5[PID],A687)</f>
        <v>1</v>
      </c>
      <c r="C687" s="50" t="str">
        <f>IF(COUNTIF(Table3[[#All],[PID]],A687)&gt;0,"P","B")</f>
        <v>P</v>
      </c>
      <c r="D687" s="59" t="str">
        <f>IF($C687="B",INDEX(Batters[[#All],[POS]],MATCH(Table5[[#This Row],[PID]],Batters[[#All],[PID]],0)),INDEX(Table3[[#All],[POS]],MATCH(Table5[[#This Row],[PID]],Table3[[#All],[PID]],0)))</f>
        <v>RP</v>
      </c>
      <c r="E687" s="52" t="str">
        <f>IF($C687="B",INDEX(Batters[[#All],[First]],MATCH(Table5[[#This Row],[PID]],Batters[[#All],[PID]],0)),INDEX(Table3[[#All],[First]],MATCH(Table5[[#This Row],[PID]],Table3[[#All],[PID]],0)))</f>
        <v>Étienne</v>
      </c>
      <c r="F687" s="50" t="str">
        <f>IF($C687="B",INDEX(Batters[[#All],[Last]],MATCH(A687,Batters[[#All],[PID]],0)),INDEX(Table3[[#All],[Last]],MATCH(A687,Table3[[#All],[PID]],0)))</f>
        <v>Monette</v>
      </c>
      <c r="G687" s="56">
        <f>IF($C687="B",INDEX(Batters[[#All],[Age]],MATCH(Table5[[#This Row],[PID]],Batters[[#All],[PID]],0)),INDEX(Table3[[#All],[Age]],MATCH(Table5[[#This Row],[PID]],Table3[[#All],[PID]],0)))</f>
        <v>22</v>
      </c>
      <c r="H687" s="52" t="str">
        <f>IF($C687="B",INDEX(Batters[[#All],[B]],MATCH(Table5[[#This Row],[PID]],Batters[[#All],[PID]],0)),INDEX(Table3[[#All],[B]],MATCH(Table5[[#This Row],[PID]],Table3[[#All],[PID]],0)))</f>
        <v>R</v>
      </c>
      <c r="I687" s="52" t="str">
        <f>IF($C687="B",INDEX(Batters[[#All],[T]],MATCH(Table5[[#This Row],[PID]],Batters[[#All],[PID]],0)),INDEX(Table3[[#All],[T]],MATCH(Table5[[#This Row],[PID]],Table3[[#All],[PID]],0)))</f>
        <v>R</v>
      </c>
      <c r="J687" s="52" t="str">
        <f>IF($C687="B",INDEX(Batters[[#All],[WE]],MATCH(Table5[[#This Row],[PID]],Batters[[#All],[PID]],0)),INDEX(Table3[[#All],[WE]],MATCH(Table5[[#This Row],[PID]],Table3[[#All],[PID]],0)))</f>
        <v>Normal</v>
      </c>
      <c r="K687" s="52" t="str">
        <f>IF($C687="B",INDEX(Batters[[#All],[INT]],MATCH(Table5[[#This Row],[PID]],Batters[[#All],[PID]],0)),INDEX(Table3[[#All],[INT]],MATCH(Table5[[#This Row],[PID]],Table3[[#All],[PID]],0)))</f>
        <v>Normal</v>
      </c>
      <c r="L687" s="60">
        <f>IF($C687="B",INDEX(Batters[[#All],[CON P]],MATCH(Table5[[#This Row],[PID]],Batters[[#All],[PID]],0)),INDEX(Table3[[#All],[STU P]],MATCH(Table5[[#This Row],[PID]],Table3[[#All],[PID]],0)))</f>
        <v>4</v>
      </c>
      <c r="M687" s="56">
        <f>IF($C687="B",INDEX(Batters[[#All],[GAP P]],MATCH(Table5[[#This Row],[PID]],Batters[[#All],[PID]],0)),INDEX(Table3[[#All],[MOV P]],MATCH(Table5[[#This Row],[PID]],Table3[[#All],[PID]],0)))</f>
        <v>1</v>
      </c>
      <c r="N687" s="56">
        <f>IF($C687="B",INDEX(Batters[[#All],[POW P]],MATCH(Table5[[#This Row],[PID]],Batters[[#All],[PID]],0)),INDEX(Table3[[#All],[CON P]],MATCH(Table5[[#This Row],[PID]],Table3[[#All],[PID]],0)))</f>
        <v>3</v>
      </c>
      <c r="O687" s="56" t="str">
        <f>IF($C687="B",INDEX(Batters[[#All],[EYE P]],MATCH(Table5[[#This Row],[PID]],Batters[[#All],[PID]],0)),INDEX(Table3[[#All],[VELO]],MATCH(Table5[[#This Row],[PID]],Table3[[#All],[PID]],0)))</f>
        <v>89-91 Mph</v>
      </c>
      <c r="P687" s="56">
        <f>IF($C687="B",INDEX(Batters[[#All],[K P]],MATCH(Table5[[#This Row],[PID]],Batters[[#All],[PID]],0)),INDEX(Table3[[#All],[STM]],MATCH(Table5[[#This Row],[PID]],Table3[[#All],[PID]],0)))</f>
        <v>6</v>
      </c>
      <c r="Q687" s="61">
        <f>IF($C687="B",INDEX(Batters[[#All],[Tot]],MATCH(Table5[[#This Row],[PID]],Batters[[#All],[PID]],0)),INDEX(Table3[[#All],[Tot]],MATCH(Table5[[#This Row],[PID]],Table3[[#All],[PID]],0)))</f>
        <v>25.890574940777292</v>
      </c>
      <c r="R687" s="52">
        <f>IF($C687="B",INDEX(Batters[[#All],[zScore]],MATCH(Table5[[#This Row],[PID]],Batters[[#All],[PID]],0)),INDEX(Table3[[#All],[zScore]],MATCH(Table5[[#This Row],[PID]],Table3[[#All],[PID]],0)))</f>
        <v>-0.84821872028150314</v>
      </c>
      <c r="S687" s="58" t="str">
        <f>IF($C687="B",INDEX(Batters[[#All],[DEM]],MATCH(Table5[[#This Row],[PID]],Batters[[#All],[PID]],0)),INDEX(Table3[[#All],[DEM]],MATCH(Table5[[#This Row],[PID]],Table3[[#All],[PID]],0)))</f>
        <v>-</v>
      </c>
      <c r="T687" s="62">
        <f>IF($C687="B",INDEX(Batters[[#All],[Rnk]],MATCH(Table5[[#This Row],[PID]],Batters[[#All],[PID]],0)),INDEX(Table3[[#All],[Rnk]],MATCH(Table5[[#This Row],[PID]],Table3[[#All],[PID]],0)))</f>
        <v>900</v>
      </c>
      <c r="U687" s="67">
        <f>IF($C687="B",VLOOKUP($A687,Bat!$A$4:$BA$1314,47,FALSE),VLOOKUP($A687,Pit!$A$4:$BF$1214,56,FALSE))</f>
        <v>230</v>
      </c>
      <c r="V687" s="50">
        <f>IF($C687="B",VLOOKUP($A687,Bat!$A$4:$BA$1314,48,FALSE),VLOOKUP($A687,Pit!$A$4:$BF$1214,57,FALSE))</f>
        <v>0</v>
      </c>
      <c r="W687" s="68">
        <f>IF(Table5[[#This Row],[posRnk]]=999,9999,Table5[[#This Row],[posRnk]]+Table5[[#This Row],[zRnk]]+IF($W$3&lt;&gt;Table5[[#This Row],[Type]],50,0))</f>
        <v>1612</v>
      </c>
      <c r="X687" s="51">
        <f>RANK(Table5[[#This Row],[zScore]],Table5[[#All],[zScore]])</f>
        <v>712</v>
      </c>
      <c r="Y687" s="50" t="str">
        <f>IFERROR(INDEX(DraftResults[[#All],[OVR]],MATCH(Table5[[#This Row],[PID]],DraftResults[[#All],[Player ID]],0)),"")</f>
        <v/>
      </c>
      <c r="Z687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/>
      </c>
      <c r="AA687" s="50" t="str">
        <f>IFERROR(INDEX(DraftResults[[#All],[Pick in Round]],MATCH(Table5[[#This Row],[PID]],DraftResults[[#All],[Player ID]],0)),"")</f>
        <v/>
      </c>
      <c r="AB687" s="50" t="str">
        <f>IFERROR(INDEX(DraftResults[[#All],[Team Name]],MATCH(Table5[[#This Row],[PID]],DraftResults[[#All],[Player ID]],0)),"")</f>
        <v/>
      </c>
      <c r="AC687" s="50" t="str">
        <f>IF(Table5[[#This Row],[Ovr]]="","",IF(Table5[[#This Row],[cmbList]]="","",Table5[[#This Row],[cmbList]]-Table5[[#This Row],[Ovr]]))</f>
        <v/>
      </c>
      <c r="AD687" s="54" t="str">
        <f>IF(ISERROR(VLOOKUP($AB687&amp;"-"&amp;$E687&amp;" "&amp;F687,Bonuses!$B$1:$G$1006,4,FALSE)),"",INT(VLOOKUP($AB687&amp;"-"&amp;$E687&amp;" "&amp;$F687,Bonuses!$B$1:$G$1006,4,FALSE)))</f>
        <v/>
      </c>
      <c r="AE687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/>
      </c>
    </row>
    <row r="688" spans="1:31" s="50" customFormat="1" x14ac:dyDescent="0.3">
      <c r="A688" s="50">
        <v>6850</v>
      </c>
      <c r="B688" s="50">
        <f>COUNTIF(Table5[PID],A688)</f>
        <v>1</v>
      </c>
      <c r="C688" s="50" t="str">
        <f>IF(COUNTIF(Table3[[#All],[PID]],A688)&gt;0,"P","B")</f>
        <v>B</v>
      </c>
      <c r="D688" s="59" t="str">
        <f>IF($C688="B",INDEX(Batters[[#All],[POS]],MATCH(Table5[[#This Row],[PID]],Batters[[#All],[PID]],0)),INDEX(Table3[[#All],[POS]],MATCH(Table5[[#This Row],[PID]],Table3[[#All],[PID]],0)))</f>
        <v>1B</v>
      </c>
      <c r="E688" s="52" t="str">
        <f>IF($C688="B",INDEX(Batters[[#All],[First]],MATCH(Table5[[#This Row],[PID]],Batters[[#All],[PID]],0)),INDEX(Table3[[#All],[First]],MATCH(Table5[[#This Row],[PID]],Table3[[#All],[PID]],0)))</f>
        <v>Juan</v>
      </c>
      <c r="F688" s="50" t="str">
        <f>IF($C688="B",INDEX(Batters[[#All],[Last]],MATCH(A688,Batters[[#All],[PID]],0)),INDEX(Table3[[#All],[Last]],MATCH(A688,Table3[[#All],[PID]],0)))</f>
        <v>Rivas</v>
      </c>
      <c r="G688" s="56">
        <f>IF($C688="B",INDEX(Batters[[#All],[Age]],MATCH(Table5[[#This Row],[PID]],Batters[[#All],[PID]],0)),INDEX(Table3[[#All],[Age]],MATCH(Table5[[#This Row],[PID]],Table3[[#All],[PID]],0)))</f>
        <v>21</v>
      </c>
      <c r="H688" s="52" t="str">
        <f>IF($C688="B",INDEX(Batters[[#All],[B]],MATCH(Table5[[#This Row],[PID]],Batters[[#All],[PID]],0)),INDEX(Table3[[#All],[B]],MATCH(Table5[[#This Row],[PID]],Table3[[#All],[PID]],0)))</f>
        <v>L</v>
      </c>
      <c r="I688" s="52" t="str">
        <f>IF($C688="B",INDEX(Batters[[#All],[T]],MATCH(Table5[[#This Row],[PID]],Batters[[#All],[PID]],0)),INDEX(Table3[[#All],[T]],MATCH(Table5[[#This Row],[PID]],Table3[[#All],[PID]],0)))</f>
        <v>L</v>
      </c>
      <c r="J688" s="52" t="str">
        <f>IF($C688="B",INDEX(Batters[[#All],[WE]],MATCH(Table5[[#This Row],[PID]],Batters[[#All],[PID]],0)),INDEX(Table3[[#All],[WE]],MATCH(Table5[[#This Row],[PID]],Table3[[#All],[PID]],0)))</f>
        <v>High</v>
      </c>
      <c r="K688" s="52" t="str">
        <f>IF($C688="B",INDEX(Batters[[#All],[INT]],MATCH(Table5[[#This Row],[PID]],Batters[[#All],[PID]],0)),INDEX(Table3[[#All],[INT]],MATCH(Table5[[#This Row],[PID]],Table3[[#All],[PID]],0)))</f>
        <v>Normal</v>
      </c>
      <c r="L688" s="60">
        <f>IF($C688="B",INDEX(Batters[[#All],[CON P]],MATCH(Table5[[#This Row],[PID]],Batters[[#All],[PID]],0)),INDEX(Table3[[#All],[STU P]],MATCH(Table5[[#This Row],[PID]],Table3[[#All],[PID]],0)))</f>
        <v>3</v>
      </c>
      <c r="M688" s="56">
        <f>IF($C688="B",INDEX(Batters[[#All],[GAP P]],MATCH(Table5[[#This Row],[PID]],Batters[[#All],[PID]],0)),INDEX(Table3[[#All],[MOV P]],MATCH(Table5[[#This Row],[PID]],Table3[[#All],[PID]],0)))</f>
        <v>4</v>
      </c>
      <c r="N688" s="56">
        <f>IF($C688="B",INDEX(Batters[[#All],[POW P]],MATCH(Table5[[#This Row],[PID]],Batters[[#All],[PID]],0)),INDEX(Table3[[#All],[CON P]],MATCH(Table5[[#This Row],[PID]],Table3[[#All],[PID]],0)))</f>
        <v>4</v>
      </c>
      <c r="O688" s="56">
        <f>IF($C688="B",INDEX(Batters[[#All],[EYE P]],MATCH(Table5[[#This Row],[PID]],Batters[[#All],[PID]],0)),INDEX(Table3[[#All],[VELO]],MATCH(Table5[[#This Row],[PID]],Table3[[#All],[PID]],0)))</f>
        <v>4</v>
      </c>
      <c r="P688" s="56">
        <f>IF($C688="B",INDEX(Batters[[#All],[K P]],MATCH(Table5[[#This Row],[PID]],Batters[[#All],[PID]],0)),INDEX(Table3[[#All],[STM]],MATCH(Table5[[#This Row],[PID]],Table3[[#All],[PID]],0)))</f>
        <v>3</v>
      </c>
      <c r="Q688" s="61">
        <f>IF($C688="B",INDEX(Batters[[#All],[Tot]],MATCH(Table5[[#This Row],[PID]],Batters[[#All],[PID]],0)),INDEX(Table3[[#All],[Tot]],MATCH(Table5[[#This Row],[PID]],Table3[[#All],[PID]],0)))</f>
        <v>37.370444990405446</v>
      </c>
      <c r="R688" s="52">
        <f>IF($C688="B",INDEX(Batters[[#All],[zScore]],MATCH(Table5[[#This Row],[PID]],Batters[[#All],[PID]],0)),INDEX(Table3[[#All],[zScore]],MATCH(Table5[[#This Row],[PID]],Table3[[#All],[PID]],0)))</f>
        <v>-0.85362815669786751</v>
      </c>
      <c r="S688" s="58" t="str">
        <f>IF($C688="B",INDEX(Batters[[#All],[DEM]],MATCH(Table5[[#This Row],[PID]],Batters[[#All],[PID]],0)),INDEX(Table3[[#All],[DEM]],MATCH(Table5[[#This Row],[PID]],Table3[[#All],[PID]],0)))</f>
        <v>-</v>
      </c>
      <c r="T688" s="62">
        <f>IF($C688="B",INDEX(Batters[[#All],[Rnk]],MATCH(Table5[[#This Row],[PID]],Batters[[#All],[PID]],0)),INDEX(Table3[[#All],[Rnk]],MATCH(Table5[[#This Row],[PID]],Table3[[#All],[PID]],0)))</f>
        <v>900</v>
      </c>
      <c r="U688" s="67">
        <f>IF($C688="B",VLOOKUP($A688,Bat!$A$4:$BA$1314,47,FALSE),VLOOKUP($A688,Pit!$A$4:$BF$1214,56,FALSE))</f>
        <v>241</v>
      </c>
      <c r="V688" s="50">
        <f>IF($C688="B",VLOOKUP($A688,Bat!$A$4:$BA$1314,48,FALSE),VLOOKUP($A688,Pit!$A$4:$BF$1214,57,FALSE))</f>
        <v>0</v>
      </c>
      <c r="W688" s="68">
        <f>IF(Table5[[#This Row],[posRnk]]=999,9999,Table5[[#This Row],[posRnk]]+Table5[[#This Row],[zRnk]]+IF($W$3&lt;&gt;Table5[[#This Row],[Type]],50,0))</f>
        <v>1664</v>
      </c>
      <c r="X688" s="51">
        <f>RANK(Table5[[#This Row],[zScore]],Table5[[#All],[zScore]])</f>
        <v>714</v>
      </c>
      <c r="Y688" s="50">
        <f>IFERROR(INDEX(DraftResults[[#All],[OVR]],MATCH(Table5[[#This Row],[PID]],DraftResults[[#All],[Player ID]],0)),"")</f>
        <v>506</v>
      </c>
      <c r="Z688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16</v>
      </c>
      <c r="AA688" s="50">
        <f>IFERROR(INDEX(DraftResults[[#All],[Pick in Round]],MATCH(Table5[[#This Row],[PID]],DraftResults[[#All],[Player ID]],0)),"")</f>
        <v>5</v>
      </c>
      <c r="AB688" s="50" t="str">
        <f>IFERROR(INDEX(DraftResults[[#All],[Team Name]],MATCH(Table5[[#This Row],[PID]],DraftResults[[#All],[Player ID]],0)),"")</f>
        <v>Tempe Knights</v>
      </c>
      <c r="AC688" s="50">
        <f>IF(Table5[[#This Row],[Ovr]]="","",IF(Table5[[#This Row],[cmbList]]="","",Table5[[#This Row],[cmbList]]-Table5[[#This Row],[Ovr]]))</f>
        <v>1158</v>
      </c>
      <c r="AD688" s="54" t="str">
        <f>IF(ISERROR(VLOOKUP($AB688&amp;"-"&amp;$E688&amp;" "&amp;F688,Bonuses!$B$1:$G$1006,4,FALSE)),"",INT(VLOOKUP($AB688&amp;"-"&amp;$E688&amp;" "&amp;$F688,Bonuses!$B$1:$G$1006,4,FALSE)))</f>
        <v/>
      </c>
      <c r="AE688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16.5 (506) - 1B Juan Rivas</v>
      </c>
    </row>
    <row r="689" spans="1:31" s="50" customFormat="1" x14ac:dyDescent="0.3">
      <c r="A689" s="50">
        <v>20866</v>
      </c>
      <c r="B689" s="50">
        <f>COUNTIF(Table5[PID],A689)</f>
        <v>1</v>
      </c>
      <c r="C689" s="50" t="str">
        <f>IF(COUNTIF(Table3[[#All],[PID]],A689)&gt;0,"P","B")</f>
        <v>B</v>
      </c>
      <c r="D689" s="59" t="str">
        <f>IF($C689="B",INDEX(Batters[[#All],[POS]],MATCH(Table5[[#This Row],[PID]],Batters[[#All],[PID]],0)),INDEX(Table3[[#All],[POS]],MATCH(Table5[[#This Row],[PID]],Table3[[#All],[PID]],0)))</f>
        <v>2B</v>
      </c>
      <c r="E689" s="52" t="str">
        <f>IF($C689="B",INDEX(Batters[[#All],[First]],MATCH(Table5[[#This Row],[PID]],Batters[[#All],[PID]],0)),INDEX(Table3[[#All],[First]],MATCH(Table5[[#This Row],[PID]],Table3[[#All],[PID]],0)))</f>
        <v>Daniel</v>
      </c>
      <c r="F689" s="50" t="str">
        <f>IF($C689="B",INDEX(Batters[[#All],[Last]],MATCH(A689,Batters[[#All],[PID]],0)),INDEX(Table3[[#All],[Last]],MATCH(A689,Table3[[#All],[PID]],0)))</f>
        <v>Lowe</v>
      </c>
      <c r="G689" s="56">
        <f>IF($C689="B",INDEX(Batters[[#All],[Age]],MATCH(Table5[[#This Row],[PID]],Batters[[#All],[PID]],0)),INDEX(Table3[[#All],[Age]],MATCH(Table5[[#This Row],[PID]],Table3[[#All],[PID]],0)))</f>
        <v>17</v>
      </c>
      <c r="H689" s="52" t="str">
        <f>IF($C689="B",INDEX(Batters[[#All],[B]],MATCH(Table5[[#This Row],[PID]],Batters[[#All],[PID]],0)),INDEX(Table3[[#All],[B]],MATCH(Table5[[#This Row],[PID]],Table3[[#All],[PID]],0)))</f>
        <v>R</v>
      </c>
      <c r="I689" s="52" t="str">
        <f>IF($C689="B",INDEX(Batters[[#All],[T]],MATCH(Table5[[#This Row],[PID]],Batters[[#All],[PID]],0)),INDEX(Table3[[#All],[T]],MATCH(Table5[[#This Row],[PID]],Table3[[#All],[PID]],0)))</f>
        <v>R</v>
      </c>
      <c r="J689" s="52" t="str">
        <f>IF($C689="B",INDEX(Batters[[#All],[WE]],MATCH(Table5[[#This Row],[PID]],Batters[[#All],[PID]],0)),INDEX(Table3[[#All],[WE]],MATCH(Table5[[#This Row],[PID]],Table3[[#All],[PID]],0)))</f>
        <v>Low</v>
      </c>
      <c r="K689" s="52" t="str">
        <f>IF($C689="B",INDEX(Batters[[#All],[INT]],MATCH(Table5[[#This Row],[PID]],Batters[[#All],[PID]],0)),INDEX(Table3[[#All],[INT]],MATCH(Table5[[#This Row],[PID]],Table3[[#All],[PID]],0)))</f>
        <v>Normal</v>
      </c>
      <c r="L689" s="60">
        <f>IF($C689="B",INDEX(Batters[[#All],[CON P]],MATCH(Table5[[#This Row],[PID]],Batters[[#All],[PID]],0)),INDEX(Table3[[#All],[STU P]],MATCH(Table5[[#This Row],[PID]],Table3[[#All],[PID]],0)))</f>
        <v>2</v>
      </c>
      <c r="M689" s="56">
        <f>IF($C689="B",INDEX(Batters[[#All],[GAP P]],MATCH(Table5[[#This Row],[PID]],Batters[[#All],[PID]],0)),INDEX(Table3[[#All],[MOV P]],MATCH(Table5[[#This Row],[PID]],Table3[[#All],[PID]],0)))</f>
        <v>5</v>
      </c>
      <c r="N689" s="56">
        <f>IF($C689="B",INDEX(Batters[[#All],[POW P]],MATCH(Table5[[#This Row],[PID]],Batters[[#All],[PID]],0)),INDEX(Table3[[#All],[CON P]],MATCH(Table5[[#This Row],[PID]],Table3[[#All],[PID]],0)))</f>
        <v>4</v>
      </c>
      <c r="O689" s="56">
        <f>IF($C689="B",INDEX(Batters[[#All],[EYE P]],MATCH(Table5[[#This Row],[PID]],Batters[[#All],[PID]],0)),INDEX(Table3[[#All],[VELO]],MATCH(Table5[[#This Row],[PID]],Table3[[#All],[PID]],0)))</f>
        <v>4</v>
      </c>
      <c r="P689" s="56">
        <f>IF($C689="B",INDEX(Batters[[#All],[K P]],MATCH(Table5[[#This Row],[PID]],Batters[[#All],[PID]],0)),INDEX(Table3[[#All],[STM]],MATCH(Table5[[#This Row],[PID]],Table3[[#All],[PID]],0)))</f>
        <v>3</v>
      </c>
      <c r="Q689" s="61">
        <f>IF($C689="B",INDEX(Batters[[#All],[Tot]],MATCH(Table5[[#This Row],[PID]],Batters[[#All],[PID]],0)),INDEX(Table3[[#All],[Tot]],MATCH(Table5[[#This Row],[PID]],Table3[[#All],[PID]],0)))</f>
        <v>38.0086285443587</v>
      </c>
      <c r="R689" s="52">
        <f>IF($C689="B",INDEX(Batters[[#All],[zScore]],MATCH(Table5[[#This Row],[PID]],Batters[[#All],[PID]],0)),INDEX(Table3[[#All],[zScore]],MATCH(Table5[[#This Row],[PID]],Table3[[#All],[PID]],0)))</f>
        <v>-0.76047370971940975</v>
      </c>
      <c r="S689" s="58" t="str">
        <f>IF($C689="B",INDEX(Batters[[#All],[DEM]],MATCH(Table5[[#This Row],[PID]],Batters[[#All],[PID]],0)),INDEX(Table3[[#All],[DEM]],MATCH(Table5[[#This Row],[PID]],Table3[[#All],[PID]],0)))</f>
        <v>$65k</v>
      </c>
      <c r="T689" s="62">
        <f>IF($C689="B",INDEX(Batters[[#All],[Rnk]],MATCH(Table5[[#This Row],[PID]],Batters[[#All],[PID]],0)),INDEX(Table3[[#All],[Rnk]],MATCH(Table5[[#This Row],[PID]],Table3[[#All],[PID]],0)))</f>
        <v>930</v>
      </c>
      <c r="U689" s="67">
        <f>IF($C689="B",VLOOKUP($A689,Bat!$A$4:$BA$1314,47,FALSE),VLOOKUP($A689,Pit!$A$4:$BF$1214,56,FALSE))</f>
        <v>363</v>
      </c>
      <c r="V689" s="50">
        <f>IF($C689="B",VLOOKUP($A689,Bat!$A$4:$BA$1314,48,FALSE),VLOOKUP($A689,Pit!$A$4:$BF$1214,57,FALSE))</f>
        <v>0</v>
      </c>
      <c r="W689" s="68">
        <f>IF(Table5[[#This Row],[posRnk]]=999,9999,Table5[[#This Row],[posRnk]]+Table5[[#This Row],[zRnk]]+IF($W$3&lt;&gt;Table5[[#This Row],[Type]],50,0))</f>
        <v>1665</v>
      </c>
      <c r="X689" s="51">
        <f>RANK(Table5[[#This Row],[zScore]],Table5[[#All],[zScore]])</f>
        <v>685</v>
      </c>
      <c r="Y689" s="50" t="str">
        <f>IFERROR(INDEX(DraftResults[[#All],[OVR]],MATCH(Table5[[#This Row],[PID]],DraftResults[[#All],[Player ID]],0)),"")</f>
        <v/>
      </c>
      <c r="Z689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/>
      </c>
      <c r="AA689" s="50" t="str">
        <f>IFERROR(INDEX(DraftResults[[#All],[Pick in Round]],MATCH(Table5[[#This Row],[PID]],DraftResults[[#All],[Player ID]],0)),"")</f>
        <v/>
      </c>
      <c r="AB689" s="50" t="str">
        <f>IFERROR(INDEX(DraftResults[[#All],[Team Name]],MATCH(Table5[[#This Row],[PID]],DraftResults[[#All],[Player ID]],0)),"")</f>
        <v/>
      </c>
      <c r="AC689" s="50" t="str">
        <f>IF(Table5[[#This Row],[Ovr]]="","",IF(Table5[[#This Row],[cmbList]]="","",Table5[[#This Row],[cmbList]]-Table5[[#This Row],[Ovr]]))</f>
        <v/>
      </c>
      <c r="AD689" s="54" t="str">
        <f>IF(ISERROR(VLOOKUP($AB689&amp;"-"&amp;$E689&amp;" "&amp;F689,Bonuses!$B$1:$G$1006,4,FALSE)),"",INT(VLOOKUP($AB689&amp;"-"&amp;$E689&amp;" "&amp;$F689,Bonuses!$B$1:$G$1006,4,FALSE)))</f>
        <v/>
      </c>
      <c r="AE689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/>
      </c>
    </row>
    <row r="690" spans="1:31" s="50" customFormat="1" x14ac:dyDescent="0.3">
      <c r="A690" s="50">
        <v>21034</v>
      </c>
      <c r="B690" s="50">
        <f>COUNTIF(Table5[PID],A690)</f>
        <v>1</v>
      </c>
      <c r="C690" s="50" t="str">
        <f>IF(COUNTIF(Table3[[#All],[PID]],A690)&gt;0,"P","B")</f>
        <v>P</v>
      </c>
      <c r="D690" s="59" t="str">
        <f>IF($C690="B",INDEX(Batters[[#All],[POS]],MATCH(Table5[[#This Row],[PID]],Batters[[#All],[PID]],0)),INDEX(Table3[[#All],[POS]],MATCH(Table5[[#This Row],[PID]],Table3[[#All],[PID]],0)))</f>
        <v>RP</v>
      </c>
      <c r="E690" s="52" t="str">
        <f>IF($C690="B",INDEX(Batters[[#All],[First]],MATCH(Table5[[#This Row],[PID]],Batters[[#All],[PID]],0)),INDEX(Table3[[#All],[First]],MATCH(Table5[[#This Row],[PID]],Table3[[#All],[PID]],0)))</f>
        <v>António</v>
      </c>
      <c r="F690" s="50" t="str">
        <f>IF($C690="B",INDEX(Batters[[#All],[Last]],MATCH(A690,Batters[[#All],[PID]],0)),INDEX(Table3[[#All],[Last]],MATCH(A690,Table3[[#All],[PID]],0)))</f>
        <v>Miranda</v>
      </c>
      <c r="G690" s="56">
        <f>IF($C690="B",INDEX(Batters[[#All],[Age]],MATCH(Table5[[#This Row],[PID]],Batters[[#All],[PID]],0)),INDEX(Table3[[#All],[Age]],MATCH(Table5[[#This Row],[PID]],Table3[[#All],[PID]],0)))</f>
        <v>16</v>
      </c>
      <c r="H690" s="52" t="str">
        <f>IF($C690="B",INDEX(Batters[[#All],[B]],MATCH(Table5[[#This Row],[PID]],Batters[[#All],[PID]],0)),INDEX(Table3[[#All],[B]],MATCH(Table5[[#This Row],[PID]],Table3[[#All],[PID]],0)))</f>
        <v>S</v>
      </c>
      <c r="I690" s="52" t="str">
        <f>IF($C690="B",INDEX(Batters[[#All],[T]],MATCH(Table5[[#This Row],[PID]],Batters[[#All],[PID]],0)),INDEX(Table3[[#All],[T]],MATCH(Table5[[#This Row],[PID]],Table3[[#All],[PID]],0)))</f>
        <v>L</v>
      </c>
      <c r="J690" s="52" t="str">
        <f>IF($C690="B",INDEX(Batters[[#All],[WE]],MATCH(Table5[[#This Row],[PID]],Batters[[#All],[PID]],0)),INDEX(Table3[[#All],[WE]],MATCH(Table5[[#This Row],[PID]],Table3[[#All],[PID]],0)))</f>
        <v>Low</v>
      </c>
      <c r="K690" s="52" t="str">
        <f>IF($C690="B",INDEX(Batters[[#All],[INT]],MATCH(Table5[[#This Row],[PID]],Batters[[#All],[PID]],0)),INDEX(Table3[[#All],[INT]],MATCH(Table5[[#This Row],[PID]],Table3[[#All],[PID]],0)))</f>
        <v>Normal</v>
      </c>
      <c r="L690" s="60">
        <f>IF($C690="B",INDEX(Batters[[#All],[CON P]],MATCH(Table5[[#This Row],[PID]],Batters[[#All],[PID]],0)),INDEX(Table3[[#All],[STU P]],MATCH(Table5[[#This Row],[PID]],Table3[[#All],[PID]],0)))</f>
        <v>4</v>
      </c>
      <c r="M690" s="56">
        <f>IF($C690="B",INDEX(Batters[[#All],[GAP P]],MATCH(Table5[[#This Row],[PID]],Batters[[#All],[PID]],0)),INDEX(Table3[[#All],[MOV P]],MATCH(Table5[[#This Row],[PID]],Table3[[#All],[PID]],0)))</f>
        <v>2</v>
      </c>
      <c r="N690" s="56">
        <f>IF($C690="B",INDEX(Batters[[#All],[POW P]],MATCH(Table5[[#This Row],[PID]],Batters[[#All],[PID]],0)),INDEX(Table3[[#All],[CON P]],MATCH(Table5[[#This Row],[PID]],Table3[[#All],[PID]],0)))</f>
        <v>3</v>
      </c>
      <c r="O690" s="56" t="str">
        <f>IF($C690="B",INDEX(Batters[[#All],[EYE P]],MATCH(Table5[[#This Row],[PID]],Batters[[#All],[PID]],0)),INDEX(Table3[[#All],[VELO]],MATCH(Table5[[#This Row],[PID]],Table3[[#All],[PID]],0)))</f>
        <v>90-92 Mph</v>
      </c>
      <c r="P690" s="56">
        <f>IF($C690="B",INDEX(Batters[[#All],[K P]],MATCH(Table5[[#This Row],[PID]],Batters[[#All],[PID]],0)),INDEX(Table3[[#All],[STM]],MATCH(Table5[[#This Row],[PID]],Table3[[#All],[PID]],0)))</f>
        <v>5</v>
      </c>
      <c r="Q690" s="61">
        <f>IF($C690="B",INDEX(Batters[[#All],[Tot]],MATCH(Table5[[#This Row],[PID]],Batters[[#All],[PID]],0)),INDEX(Table3[[#All],[Tot]],MATCH(Table5[[#This Row],[PID]],Table3[[#All],[PID]],0)))</f>
        <v>26.952102595867238</v>
      </c>
      <c r="R690" s="52">
        <f>IF($C690="B",INDEX(Batters[[#All],[zScore]],MATCH(Table5[[#This Row],[PID]],Batters[[#All],[PID]],0)),INDEX(Table3[[#All],[zScore]],MATCH(Table5[[#This Row],[PID]],Table3[[#All],[PID]],0)))</f>
        <v>-0.77263048564994075</v>
      </c>
      <c r="S690" s="58" t="str">
        <f>IF($C690="B",INDEX(Batters[[#All],[DEM]],MATCH(Table5[[#This Row],[PID]],Batters[[#All],[PID]],0)),INDEX(Table3[[#All],[DEM]],MATCH(Table5[[#This Row],[PID]],Table3[[#All],[PID]],0)))</f>
        <v>$85k</v>
      </c>
      <c r="T690" s="62">
        <f>IF($C690="B",INDEX(Batters[[#All],[Rnk]],MATCH(Table5[[#This Row],[PID]],Batters[[#All],[PID]],0)),INDEX(Table3[[#All],[Rnk]],MATCH(Table5[[#This Row],[PID]],Table3[[#All],[PID]],0)))</f>
        <v>930</v>
      </c>
      <c r="U690" s="67">
        <f>IF($C690="B",VLOOKUP($A690,Bat!$A$4:$BA$1314,47,FALSE),VLOOKUP($A690,Pit!$A$4:$BF$1214,56,FALSE))</f>
        <v>345</v>
      </c>
      <c r="V690" s="50">
        <f>IF($C690="B",VLOOKUP($A690,Bat!$A$4:$BA$1314,48,FALSE),VLOOKUP($A690,Pit!$A$4:$BF$1214,57,FALSE))</f>
        <v>0</v>
      </c>
      <c r="W690" s="68">
        <f>IF(Table5[[#This Row],[posRnk]]=999,9999,Table5[[#This Row],[posRnk]]+Table5[[#This Row],[zRnk]]+IF($W$3&lt;&gt;Table5[[#This Row],[Type]],50,0))</f>
        <v>1616</v>
      </c>
      <c r="X690" s="51">
        <f>RANK(Table5[[#This Row],[zScore]],Table5[[#All],[zScore]])</f>
        <v>686</v>
      </c>
      <c r="Y690" s="50" t="str">
        <f>IFERROR(INDEX(DraftResults[[#All],[OVR]],MATCH(Table5[[#This Row],[PID]],DraftResults[[#All],[Player ID]],0)),"")</f>
        <v/>
      </c>
      <c r="Z690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/>
      </c>
      <c r="AA690" s="50" t="str">
        <f>IFERROR(INDEX(DraftResults[[#All],[Pick in Round]],MATCH(Table5[[#This Row],[PID]],DraftResults[[#All],[Player ID]],0)),"")</f>
        <v/>
      </c>
      <c r="AB690" s="50" t="str">
        <f>IFERROR(INDEX(DraftResults[[#All],[Team Name]],MATCH(Table5[[#This Row],[PID]],DraftResults[[#All],[Player ID]],0)),"")</f>
        <v/>
      </c>
      <c r="AC690" s="50" t="str">
        <f>IF(Table5[[#This Row],[Ovr]]="","",IF(Table5[[#This Row],[cmbList]]="","",Table5[[#This Row],[cmbList]]-Table5[[#This Row],[Ovr]]))</f>
        <v/>
      </c>
      <c r="AD690" s="54" t="str">
        <f>IF(ISERROR(VLOOKUP($AB690&amp;"-"&amp;$E690&amp;" "&amp;F690,Bonuses!$B$1:$G$1006,4,FALSE)),"",INT(VLOOKUP($AB690&amp;"-"&amp;$E690&amp;" "&amp;$F690,Bonuses!$B$1:$G$1006,4,FALSE)))</f>
        <v/>
      </c>
      <c r="AE690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/>
      </c>
    </row>
    <row r="691" spans="1:31" s="50" customFormat="1" x14ac:dyDescent="0.3">
      <c r="A691" s="50">
        <v>15679</v>
      </c>
      <c r="B691" s="50">
        <f>COUNTIF(Table5[PID],A691)</f>
        <v>1</v>
      </c>
      <c r="C691" s="50" t="str">
        <f>IF(COUNTIF(Table3[[#All],[PID]],A691)&gt;0,"P","B")</f>
        <v>P</v>
      </c>
      <c r="D691" s="59" t="str">
        <f>IF($C691="B",INDEX(Batters[[#All],[POS]],MATCH(Table5[[#This Row],[PID]],Batters[[#All],[PID]],0)),INDEX(Table3[[#All],[POS]],MATCH(Table5[[#This Row],[PID]],Table3[[#All],[PID]],0)))</f>
        <v>RP</v>
      </c>
      <c r="E691" s="52" t="str">
        <f>IF($C691="B",INDEX(Batters[[#All],[First]],MATCH(Table5[[#This Row],[PID]],Batters[[#All],[PID]],0)),INDEX(Table3[[#All],[First]],MATCH(Table5[[#This Row],[PID]],Table3[[#All],[PID]],0)))</f>
        <v>Remon</v>
      </c>
      <c r="F691" s="50" t="str">
        <f>IF($C691="B",INDEX(Batters[[#All],[Last]],MATCH(A691,Batters[[#All],[PID]],0)),INDEX(Table3[[#All],[Last]],MATCH(A691,Table3[[#All],[PID]],0)))</f>
        <v>Jansen</v>
      </c>
      <c r="G691" s="56">
        <f>IF($C691="B",INDEX(Batters[[#All],[Age]],MATCH(Table5[[#This Row],[PID]],Batters[[#All],[PID]],0)),INDEX(Table3[[#All],[Age]],MATCH(Table5[[#This Row],[PID]],Table3[[#All],[PID]],0)))</f>
        <v>21</v>
      </c>
      <c r="H691" s="52" t="str">
        <f>IF($C691="B",INDEX(Batters[[#All],[B]],MATCH(Table5[[#This Row],[PID]],Batters[[#All],[PID]],0)),INDEX(Table3[[#All],[B]],MATCH(Table5[[#This Row],[PID]],Table3[[#All],[PID]],0)))</f>
        <v>R</v>
      </c>
      <c r="I691" s="52" t="str">
        <f>IF($C691="B",INDEX(Batters[[#All],[T]],MATCH(Table5[[#This Row],[PID]],Batters[[#All],[PID]],0)),INDEX(Table3[[#All],[T]],MATCH(Table5[[#This Row],[PID]],Table3[[#All],[PID]],0)))</f>
        <v>R</v>
      </c>
      <c r="J691" s="52" t="str">
        <f>IF($C691="B",INDEX(Batters[[#All],[WE]],MATCH(Table5[[#This Row],[PID]],Batters[[#All],[PID]],0)),INDEX(Table3[[#All],[WE]],MATCH(Table5[[#This Row],[PID]],Table3[[#All],[PID]],0)))</f>
        <v>Low</v>
      </c>
      <c r="K691" s="52" t="str">
        <f>IF($C691="B",INDEX(Batters[[#All],[INT]],MATCH(Table5[[#This Row],[PID]],Batters[[#All],[PID]],0)),INDEX(Table3[[#All],[INT]],MATCH(Table5[[#This Row],[PID]],Table3[[#All],[PID]],0)))</f>
        <v>Normal</v>
      </c>
      <c r="L691" s="60">
        <f>IF($C691="B",INDEX(Batters[[#All],[CON P]],MATCH(Table5[[#This Row],[PID]],Batters[[#All],[PID]],0)),INDEX(Table3[[#All],[STU P]],MATCH(Table5[[#This Row],[PID]],Table3[[#All],[PID]],0)))</f>
        <v>4</v>
      </c>
      <c r="M691" s="56">
        <f>IF($C691="B",INDEX(Batters[[#All],[GAP P]],MATCH(Table5[[#This Row],[PID]],Batters[[#All],[PID]],0)),INDEX(Table3[[#All],[MOV P]],MATCH(Table5[[#This Row],[PID]],Table3[[#All],[PID]],0)))</f>
        <v>2</v>
      </c>
      <c r="N691" s="56">
        <f>IF($C691="B",INDEX(Batters[[#All],[POW P]],MATCH(Table5[[#This Row],[PID]],Batters[[#All],[PID]],0)),INDEX(Table3[[#All],[CON P]],MATCH(Table5[[#This Row],[PID]],Table3[[#All],[PID]],0)))</f>
        <v>3</v>
      </c>
      <c r="O691" s="56" t="str">
        <f>IF($C691="B",INDEX(Batters[[#All],[EYE P]],MATCH(Table5[[#This Row],[PID]],Batters[[#All],[PID]],0)),INDEX(Table3[[#All],[VELO]],MATCH(Table5[[#This Row],[PID]],Table3[[#All],[PID]],0)))</f>
        <v>90-92 Mph</v>
      </c>
      <c r="P691" s="56">
        <f>IF($C691="B",INDEX(Batters[[#All],[K P]],MATCH(Table5[[#This Row],[PID]],Batters[[#All],[PID]],0)),INDEX(Table3[[#All],[STM]],MATCH(Table5[[#This Row],[PID]],Table3[[#All],[PID]],0)))</f>
        <v>4</v>
      </c>
      <c r="Q691" s="61">
        <f>IF($C691="B",INDEX(Batters[[#All],[Tot]],MATCH(Table5[[#This Row],[PID]],Batters[[#All],[PID]],0)),INDEX(Table3[[#All],[Tot]],MATCH(Table5[[#This Row],[PID]],Table3[[#All],[PID]],0)))</f>
        <v>26.923862993641766</v>
      </c>
      <c r="R691" s="52">
        <f>IF($C691="B",INDEX(Batters[[#All],[zScore]],MATCH(Table5[[#This Row],[PID]],Batters[[#All],[PID]],0)),INDEX(Table3[[#All],[zScore]],MATCH(Table5[[#This Row],[PID]],Table3[[#All],[PID]],0)))</f>
        <v>-0.77464134393392969</v>
      </c>
      <c r="S691" s="58" t="str">
        <f>IF($C691="B",INDEX(Batters[[#All],[DEM]],MATCH(Table5[[#This Row],[PID]],Batters[[#All],[PID]],0)),INDEX(Table3[[#All],[DEM]],MATCH(Table5[[#This Row],[PID]],Table3[[#All],[PID]],0)))</f>
        <v>-</v>
      </c>
      <c r="T691" s="62">
        <f>IF($C691="B",INDEX(Batters[[#All],[Rnk]],MATCH(Table5[[#This Row],[PID]],Batters[[#All],[PID]],0)),INDEX(Table3[[#All],[Rnk]],MATCH(Table5[[#This Row],[PID]],Table3[[#All],[PID]],0)))</f>
        <v>930</v>
      </c>
      <c r="U691" s="67">
        <f>IF($C691="B",VLOOKUP($A691,Bat!$A$4:$BA$1314,47,FALSE),VLOOKUP($A691,Pit!$A$4:$BF$1214,56,FALSE))</f>
        <v>346</v>
      </c>
      <c r="V691" s="50">
        <f>IF($C691="B",VLOOKUP($A691,Bat!$A$4:$BA$1314,48,FALSE),VLOOKUP($A691,Pit!$A$4:$BF$1214,57,FALSE))</f>
        <v>0</v>
      </c>
      <c r="W691" s="68">
        <f>IF(Table5[[#This Row],[posRnk]]=999,9999,Table5[[#This Row],[posRnk]]+Table5[[#This Row],[zRnk]]+IF($W$3&lt;&gt;Table5[[#This Row],[Type]],50,0))</f>
        <v>1617</v>
      </c>
      <c r="X691" s="51">
        <f>RANK(Table5[[#This Row],[zScore]],Table5[[#All],[zScore]])</f>
        <v>687</v>
      </c>
      <c r="Y691" s="50" t="str">
        <f>IFERROR(INDEX(DraftResults[[#All],[OVR]],MATCH(Table5[[#This Row],[PID]],DraftResults[[#All],[Player ID]],0)),"")</f>
        <v/>
      </c>
      <c r="Z691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/>
      </c>
      <c r="AA691" s="50" t="str">
        <f>IFERROR(INDEX(DraftResults[[#All],[Pick in Round]],MATCH(Table5[[#This Row],[PID]],DraftResults[[#All],[Player ID]],0)),"")</f>
        <v/>
      </c>
      <c r="AB691" s="50" t="str">
        <f>IFERROR(INDEX(DraftResults[[#All],[Team Name]],MATCH(Table5[[#This Row],[PID]],DraftResults[[#All],[Player ID]],0)),"")</f>
        <v/>
      </c>
      <c r="AC691" s="50" t="str">
        <f>IF(Table5[[#This Row],[Ovr]]="","",IF(Table5[[#This Row],[cmbList]]="","",Table5[[#This Row],[cmbList]]-Table5[[#This Row],[Ovr]]))</f>
        <v/>
      </c>
      <c r="AD691" s="54" t="str">
        <f>IF(ISERROR(VLOOKUP($AB691&amp;"-"&amp;$E691&amp;" "&amp;F691,Bonuses!$B$1:$G$1006,4,FALSE)),"",INT(VLOOKUP($AB691&amp;"-"&amp;$E691&amp;" "&amp;$F691,Bonuses!$B$1:$G$1006,4,FALSE)))</f>
        <v/>
      </c>
      <c r="AE691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/>
      </c>
    </row>
    <row r="692" spans="1:31" s="50" customFormat="1" x14ac:dyDescent="0.3">
      <c r="A692" s="50">
        <v>9717</v>
      </c>
      <c r="B692" s="50">
        <f>COUNTIF(Table5[PID],A692)</f>
        <v>1</v>
      </c>
      <c r="C692" s="50" t="str">
        <f>IF(COUNTIF(Table3[[#All],[PID]],A692)&gt;0,"P","B")</f>
        <v>P</v>
      </c>
      <c r="D692" s="59" t="str">
        <f>IF($C692="B",INDEX(Batters[[#All],[POS]],MATCH(Table5[[#This Row],[PID]],Batters[[#All],[PID]],0)),INDEX(Table3[[#All],[POS]],MATCH(Table5[[#This Row],[PID]],Table3[[#All],[PID]],0)))</f>
        <v>RP</v>
      </c>
      <c r="E692" s="52" t="str">
        <f>IF($C692="B",INDEX(Batters[[#All],[First]],MATCH(Table5[[#This Row],[PID]],Batters[[#All],[PID]],0)),INDEX(Table3[[#All],[First]],MATCH(Table5[[#This Row],[PID]],Table3[[#All],[PID]],0)))</f>
        <v>Felipe</v>
      </c>
      <c r="F692" s="50" t="str">
        <f>IF($C692="B",INDEX(Batters[[#All],[Last]],MATCH(A692,Batters[[#All],[PID]],0)),INDEX(Table3[[#All],[Last]],MATCH(A692,Table3[[#All],[PID]],0)))</f>
        <v>Vazquer</v>
      </c>
      <c r="G692" s="56">
        <f>IF($C692="B",INDEX(Batters[[#All],[Age]],MATCH(Table5[[#This Row],[PID]],Batters[[#All],[PID]],0)),INDEX(Table3[[#All],[Age]],MATCH(Table5[[#This Row],[PID]],Table3[[#All],[PID]],0)))</f>
        <v>22</v>
      </c>
      <c r="H692" s="52" t="str">
        <f>IF($C692="B",INDEX(Batters[[#All],[B]],MATCH(Table5[[#This Row],[PID]],Batters[[#All],[PID]],0)),INDEX(Table3[[#All],[B]],MATCH(Table5[[#This Row],[PID]],Table3[[#All],[PID]],0)))</f>
        <v>R</v>
      </c>
      <c r="I692" s="52" t="str">
        <f>IF($C692="B",INDEX(Batters[[#All],[T]],MATCH(Table5[[#This Row],[PID]],Batters[[#All],[PID]],0)),INDEX(Table3[[#All],[T]],MATCH(Table5[[#This Row],[PID]],Table3[[#All],[PID]],0)))</f>
        <v>R</v>
      </c>
      <c r="J692" s="52" t="str">
        <f>IF($C692="B",INDEX(Batters[[#All],[WE]],MATCH(Table5[[#This Row],[PID]],Batters[[#All],[PID]],0)),INDEX(Table3[[#All],[WE]],MATCH(Table5[[#This Row],[PID]],Table3[[#All],[PID]],0)))</f>
        <v>Normal</v>
      </c>
      <c r="K692" s="52" t="str">
        <f>IF($C692="B",INDEX(Batters[[#All],[INT]],MATCH(Table5[[#This Row],[PID]],Batters[[#All],[PID]],0)),INDEX(Table3[[#All],[INT]],MATCH(Table5[[#This Row],[PID]],Table3[[#All],[PID]],0)))</f>
        <v>Normal</v>
      </c>
      <c r="L692" s="60">
        <f>IF($C692="B",INDEX(Batters[[#All],[CON P]],MATCH(Table5[[#This Row],[PID]],Batters[[#All],[PID]],0)),INDEX(Table3[[#All],[STU P]],MATCH(Table5[[#This Row],[PID]],Table3[[#All],[PID]],0)))</f>
        <v>3</v>
      </c>
      <c r="M692" s="56">
        <f>IF($C692="B",INDEX(Batters[[#All],[GAP P]],MATCH(Table5[[#This Row],[PID]],Batters[[#All],[PID]],0)),INDEX(Table3[[#All],[MOV P]],MATCH(Table5[[#This Row],[PID]],Table3[[#All],[PID]],0)))</f>
        <v>2</v>
      </c>
      <c r="N692" s="56">
        <f>IF($C692="B",INDEX(Batters[[#All],[POW P]],MATCH(Table5[[#This Row],[PID]],Batters[[#All],[PID]],0)),INDEX(Table3[[#All],[CON P]],MATCH(Table5[[#This Row],[PID]],Table3[[#All],[PID]],0)))</f>
        <v>3</v>
      </c>
      <c r="O692" s="56" t="str">
        <f>IF($C692="B",INDEX(Batters[[#All],[EYE P]],MATCH(Table5[[#This Row],[PID]],Batters[[#All],[PID]],0)),INDEX(Table3[[#All],[VELO]],MATCH(Table5[[#This Row],[PID]],Table3[[#All],[PID]],0)))</f>
        <v>89-91 Mph</v>
      </c>
      <c r="P692" s="56">
        <f>IF($C692="B",INDEX(Batters[[#All],[K P]],MATCH(Table5[[#This Row],[PID]],Batters[[#All],[PID]],0)),INDEX(Table3[[#All],[STM]],MATCH(Table5[[#This Row],[PID]],Table3[[#All],[PID]],0)))</f>
        <v>6</v>
      </c>
      <c r="Q692" s="61">
        <f>IF($C692="B",INDEX(Batters[[#All],[Tot]],MATCH(Table5[[#This Row],[PID]],Batters[[#All],[PID]],0)),INDEX(Table3[[#All],[Tot]],MATCH(Table5[[#This Row],[PID]],Table3[[#All],[PID]],0)))</f>
        <v>25.699371767938359</v>
      </c>
      <c r="R692" s="52">
        <f>IF($C692="B",INDEX(Batters[[#All],[zScore]],MATCH(Table5[[#This Row],[PID]],Batters[[#All],[PID]],0)),INDEX(Table3[[#All],[zScore]],MATCH(Table5[[#This Row],[PID]],Table3[[#All],[PID]],0)))</f>
        <v>-0.86183373089526227</v>
      </c>
      <c r="S692" s="58" t="str">
        <f>IF($C692="B",INDEX(Batters[[#All],[DEM]],MATCH(Table5[[#This Row],[PID]],Batters[[#All],[PID]],0)),INDEX(Table3[[#All],[DEM]],MATCH(Table5[[#This Row],[PID]],Table3[[#All],[PID]],0)))</f>
        <v>-</v>
      </c>
      <c r="T692" s="62">
        <f>IF($C692="B",INDEX(Batters[[#All],[Rnk]],MATCH(Table5[[#This Row],[PID]],Batters[[#All],[PID]],0)),INDEX(Table3[[#All],[Rnk]],MATCH(Table5[[#This Row],[PID]],Table3[[#All],[PID]],0)))</f>
        <v>900</v>
      </c>
      <c r="U692" s="67">
        <f>IF($C692="B",VLOOKUP($A692,Bat!$A$4:$BA$1314,47,FALSE),VLOOKUP($A692,Pit!$A$4:$BF$1214,56,FALSE))</f>
        <v>234</v>
      </c>
      <c r="V692" s="50">
        <f>IF($C692="B",VLOOKUP($A692,Bat!$A$4:$BA$1314,48,FALSE),VLOOKUP($A692,Pit!$A$4:$BF$1214,57,FALSE))</f>
        <v>0</v>
      </c>
      <c r="W692" s="68">
        <f>IF(Table5[[#This Row],[posRnk]]=999,9999,Table5[[#This Row],[posRnk]]+Table5[[#This Row],[zRnk]]+IF($W$3&lt;&gt;Table5[[#This Row],[Type]],50,0))</f>
        <v>1618</v>
      </c>
      <c r="X692" s="51">
        <f>RANK(Table5[[#This Row],[zScore]],Table5[[#All],[zScore]])</f>
        <v>718</v>
      </c>
      <c r="Y692" s="50">
        <f>IFERROR(INDEX(DraftResults[[#All],[OVR]],MATCH(Table5[[#This Row],[PID]],DraftResults[[#All],[Player ID]],0)),"")</f>
        <v>644</v>
      </c>
      <c r="Z692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20</v>
      </c>
      <c r="AA692" s="50">
        <f>IFERROR(INDEX(DraftResults[[#All],[Pick in Round]],MATCH(Table5[[#This Row],[PID]],DraftResults[[#All],[Player ID]],0)),"")</f>
        <v>7</v>
      </c>
      <c r="AB692" s="50" t="str">
        <f>IFERROR(INDEX(DraftResults[[#All],[Team Name]],MATCH(Table5[[#This Row],[PID]],DraftResults[[#All],[Player ID]],0)),"")</f>
        <v>Hartford Harpoon</v>
      </c>
      <c r="AC692" s="50">
        <f>IF(Table5[[#This Row],[Ovr]]="","",IF(Table5[[#This Row],[cmbList]]="","",Table5[[#This Row],[cmbList]]-Table5[[#This Row],[Ovr]]))</f>
        <v>974</v>
      </c>
      <c r="AD692" s="54" t="str">
        <f>IF(ISERROR(VLOOKUP($AB692&amp;"-"&amp;$E692&amp;" "&amp;F692,Bonuses!$B$1:$G$1006,4,FALSE)),"",INT(VLOOKUP($AB692&amp;"-"&amp;$E692&amp;" "&amp;$F692,Bonuses!$B$1:$G$1006,4,FALSE)))</f>
        <v/>
      </c>
      <c r="AE692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20.7 (644) - RP Felipe Vazquer</v>
      </c>
    </row>
    <row r="693" spans="1:31" s="50" customFormat="1" x14ac:dyDescent="0.3">
      <c r="A693" s="50">
        <v>7335</v>
      </c>
      <c r="B693" s="50">
        <f>COUNTIF(Table5[PID],A693)</f>
        <v>1</v>
      </c>
      <c r="C693" s="50" t="str">
        <f>IF(COUNTIF(Table3[[#All],[PID]],A693)&gt;0,"P","B")</f>
        <v>B</v>
      </c>
      <c r="D693" s="59" t="str">
        <f>IF($C693="B",INDEX(Batters[[#All],[POS]],MATCH(Table5[[#This Row],[PID]],Batters[[#All],[PID]],0)),INDEX(Table3[[#All],[POS]],MATCH(Table5[[#This Row],[PID]],Table3[[#All],[PID]],0)))</f>
        <v>C</v>
      </c>
      <c r="E693" s="52" t="str">
        <f>IF($C693="B",INDEX(Batters[[#All],[First]],MATCH(Table5[[#This Row],[PID]],Batters[[#All],[PID]],0)),INDEX(Table3[[#All],[First]],MATCH(Table5[[#This Row],[PID]],Table3[[#All],[PID]],0)))</f>
        <v>Andrew</v>
      </c>
      <c r="F693" s="50" t="str">
        <f>IF($C693="B",INDEX(Batters[[#All],[Last]],MATCH(A693,Batters[[#All],[PID]],0)),INDEX(Table3[[#All],[Last]],MATCH(A693,Table3[[#All],[PID]],0)))</f>
        <v>Tañón</v>
      </c>
      <c r="G693" s="56">
        <f>IF($C693="B",INDEX(Batters[[#All],[Age]],MATCH(Table5[[#This Row],[PID]],Batters[[#All],[PID]],0)),INDEX(Table3[[#All],[Age]],MATCH(Table5[[#This Row],[PID]],Table3[[#All],[PID]],0)))</f>
        <v>21</v>
      </c>
      <c r="H693" s="52" t="str">
        <f>IF($C693="B",INDEX(Batters[[#All],[B]],MATCH(Table5[[#This Row],[PID]],Batters[[#All],[PID]],0)),INDEX(Table3[[#All],[B]],MATCH(Table5[[#This Row],[PID]],Table3[[#All],[PID]],0)))</f>
        <v>R</v>
      </c>
      <c r="I693" s="52" t="str">
        <f>IF($C693="B",INDEX(Batters[[#All],[T]],MATCH(Table5[[#This Row],[PID]],Batters[[#All],[PID]],0)),INDEX(Table3[[#All],[T]],MATCH(Table5[[#This Row],[PID]],Table3[[#All],[PID]],0)))</f>
        <v>R</v>
      </c>
      <c r="J693" s="52" t="str">
        <f>IF($C693="B",INDEX(Batters[[#All],[WE]],MATCH(Table5[[#This Row],[PID]],Batters[[#All],[PID]],0)),INDEX(Table3[[#All],[WE]],MATCH(Table5[[#This Row],[PID]],Table3[[#All],[PID]],0)))</f>
        <v>Normal</v>
      </c>
      <c r="K693" s="52" t="str">
        <f>IF($C693="B",INDEX(Batters[[#All],[INT]],MATCH(Table5[[#This Row],[PID]],Batters[[#All],[PID]],0)),INDEX(Table3[[#All],[INT]],MATCH(Table5[[#This Row],[PID]],Table3[[#All],[PID]],0)))</f>
        <v>Normal</v>
      </c>
      <c r="L693" s="60">
        <f>IF($C693="B",INDEX(Batters[[#All],[CON P]],MATCH(Table5[[#This Row],[PID]],Batters[[#All],[PID]],0)),INDEX(Table3[[#All],[STU P]],MATCH(Table5[[#This Row],[PID]],Table3[[#All],[PID]],0)))</f>
        <v>3</v>
      </c>
      <c r="M693" s="56">
        <f>IF($C693="B",INDEX(Batters[[#All],[GAP P]],MATCH(Table5[[#This Row],[PID]],Batters[[#All],[PID]],0)),INDEX(Table3[[#All],[MOV P]],MATCH(Table5[[#This Row],[PID]],Table3[[#All],[PID]],0)))</f>
        <v>3</v>
      </c>
      <c r="N693" s="56">
        <f>IF($C693="B",INDEX(Batters[[#All],[POW P]],MATCH(Table5[[#This Row],[PID]],Batters[[#All],[PID]],0)),INDEX(Table3[[#All],[CON P]],MATCH(Table5[[#This Row],[PID]],Table3[[#All],[PID]],0)))</f>
        <v>4</v>
      </c>
      <c r="O693" s="56">
        <f>IF($C693="B",INDEX(Batters[[#All],[EYE P]],MATCH(Table5[[#This Row],[PID]],Batters[[#All],[PID]],0)),INDEX(Table3[[#All],[VELO]],MATCH(Table5[[#This Row],[PID]],Table3[[#All],[PID]],0)))</f>
        <v>4</v>
      </c>
      <c r="P693" s="56">
        <f>IF($C693="B",INDEX(Batters[[#All],[K P]],MATCH(Table5[[#This Row],[PID]],Batters[[#All],[PID]],0)),INDEX(Table3[[#All],[STM]],MATCH(Table5[[#This Row],[PID]],Table3[[#All],[PID]],0)))</f>
        <v>3</v>
      </c>
      <c r="Q693" s="61">
        <f>IF($C693="B",INDEX(Batters[[#All],[Tot]],MATCH(Table5[[#This Row],[PID]],Batters[[#All],[PID]],0)),INDEX(Table3[[#All],[Tot]],MATCH(Table5[[#This Row],[PID]],Table3[[#All],[PID]],0)))</f>
        <v>37.287167617344309</v>
      </c>
      <c r="R693" s="52">
        <f>IF($C693="B",INDEX(Batters[[#All],[zScore]],MATCH(Table5[[#This Row],[PID]],Batters[[#All],[PID]],0)),INDEX(Table3[[#All],[zScore]],MATCH(Table5[[#This Row],[PID]],Table3[[#All],[PID]],0)))</f>
        <v>-0.86578399741998224</v>
      </c>
      <c r="S693" s="58" t="str">
        <f>IF($C693="B",INDEX(Batters[[#All],[DEM]],MATCH(Table5[[#This Row],[PID]],Batters[[#All],[PID]],0)),INDEX(Table3[[#All],[DEM]],MATCH(Table5[[#This Row],[PID]],Table3[[#All],[PID]],0)))</f>
        <v>-</v>
      </c>
      <c r="T693" s="62">
        <f>IF($C693="B",INDEX(Batters[[#All],[Rnk]],MATCH(Table5[[#This Row],[PID]],Batters[[#All],[PID]],0)),INDEX(Table3[[#All],[Rnk]],MATCH(Table5[[#This Row],[PID]],Table3[[#All],[PID]],0)))</f>
        <v>900</v>
      </c>
      <c r="U693" s="67">
        <f>IF($C693="B",VLOOKUP($A693,Bat!$A$4:$BA$1314,47,FALSE),VLOOKUP($A693,Pit!$A$4:$BF$1214,56,FALSE))</f>
        <v>254</v>
      </c>
      <c r="V693" s="50">
        <f>IF($C693="B",VLOOKUP($A693,Bat!$A$4:$BA$1314,48,FALSE),VLOOKUP($A693,Pit!$A$4:$BF$1214,57,FALSE))</f>
        <v>0</v>
      </c>
      <c r="W693" s="68">
        <f>IF(Table5[[#This Row],[posRnk]]=999,9999,Table5[[#This Row],[posRnk]]+Table5[[#This Row],[zRnk]]+IF($W$3&lt;&gt;Table5[[#This Row],[Type]],50,0))</f>
        <v>1670</v>
      </c>
      <c r="X693" s="51">
        <f>RANK(Table5[[#This Row],[zScore]],Table5[[#All],[zScore]])</f>
        <v>720</v>
      </c>
      <c r="Y693" s="50" t="str">
        <f>IFERROR(INDEX(DraftResults[[#All],[OVR]],MATCH(Table5[[#This Row],[PID]],DraftResults[[#All],[Player ID]],0)),"")</f>
        <v/>
      </c>
      <c r="Z693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/>
      </c>
      <c r="AA693" s="50" t="str">
        <f>IFERROR(INDEX(DraftResults[[#All],[Pick in Round]],MATCH(Table5[[#This Row],[PID]],DraftResults[[#All],[Player ID]],0)),"")</f>
        <v/>
      </c>
      <c r="AB693" s="50" t="str">
        <f>IFERROR(INDEX(DraftResults[[#All],[Team Name]],MATCH(Table5[[#This Row],[PID]],DraftResults[[#All],[Player ID]],0)),"")</f>
        <v/>
      </c>
      <c r="AC693" s="50" t="str">
        <f>IF(Table5[[#This Row],[Ovr]]="","",IF(Table5[[#This Row],[cmbList]]="","",Table5[[#This Row],[cmbList]]-Table5[[#This Row],[Ovr]]))</f>
        <v/>
      </c>
      <c r="AD693" s="54" t="str">
        <f>IF(ISERROR(VLOOKUP($AB693&amp;"-"&amp;$E693&amp;" "&amp;F693,Bonuses!$B$1:$G$1006,4,FALSE)),"",INT(VLOOKUP($AB693&amp;"-"&amp;$E693&amp;" "&amp;$F693,Bonuses!$B$1:$G$1006,4,FALSE)))</f>
        <v/>
      </c>
      <c r="AE693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/>
      </c>
    </row>
    <row r="694" spans="1:31" s="50" customFormat="1" x14ac:dyDescent="0.3">
      <c r="A694" s="67">
        <v>7983</v>
      </c>
      <c r="B694" s="68">
        <f>COUNTIF(Table5[PID],A694)</f>
        <v>1</v>
      </c>
      <c r="C694" s="68" t="str">
        <f>IF(COUNTIF(Table3[[#All],[PID]],A694)&gt;0,"P","B")</f>
        <v>P</v>
      </c>
      <c r="D694" s="59" t="str">
        <f>IF($C694="B",INDEX(Batters[[#All],[POS]],MATCH(Table5[[#This Row],[PID]],Batters[[#All],[PID]],0)),INDEX(Table3[[#All],[POS]],MATCH(Table5[[#This Row],[PID]],Table3[[#All],[PID]],0)))</f>
        <v>RP</v>
      </c>
      <c r="E694" s="52" t="str">
        <f>IF($C694="B",INDEX(Batters[[#All],[First]],MATCH(Table5[[#This Row],[PID]],Batters[[#All],[PID]],0)),INDEX(Table3[[#All],[First]],MATCH(Table5[[#This Row],[PID]],Table3[[#All],[PID]],0)))</f>
        <v>Joseph</v>
      </c>
      <c r="F694" s="55" t="str">
        <f>IF($C694="B",INDEX(Batters[[#All],[Last]],MATCH(A694,Batters[[#All],[PID]],0)),INDEX(Table3[[#All],[Last]],MATCH(A694,Table3[[#All],[PID]],0)))</f>
        <v>Galindo</v>
      </c>
      <c r="G694" s="56">
        <f>IF($C694="B",INDEX(Batters[[#All],[Age]],MATCH(Table5[[#This Row],[PID]],Batters[[#All],[PID]],0)),INDEX(Table3[[#All],[Age]],MATCH(Table5[[#This Row],[PID]],Table3[[#All],[PID]],0)))</f>
        <v>21</v>
      </c>
      <c r="H694" s="52" t="str">
        <f>IF($C694="B",INDEX(Batters[[#All],[B]],MATCH(Table5[[#This Row],[PID]],Batters[[#All],[PID]],0)),INDEX(Table3[[#All],[B]],MATCH(Table5[[#This Row],[PID]],Table3[[#All],[PID]],0)))</f>
        <v>R</v>
      </c>
      <c r="I694" s="52" t="str">
        <f>IF($C694="B",INDEX(Batters[[#All],[T]],MATCH(Table5[[#This Row],[PID]],Batters[[#All],[PID]],0)),INDEX(Table3[[#All],[T]],MATCH(Table5[[#This Row],[PID]],Table3[[#All],[PID]],0)))</f>
        <v>R</v>
      </c>
      <c r="J694" s="69" t="str">
        <f>IF($C694="B",INDEX(Batters[[#All],[WE]],MATCH(Table5[[#This Row],[PID]],Batters[[#All],[PID]],0)),INDEX(Table3[[#All],[WE]],MATCH(Table5[[#This Row],[PID]],Table3[[#All],[PID]],0)))</f>
        <v>Low</v>
      </c>
      <c r="K694" s="52" t="str">
        <f>IF($C694="B",INDEX(Batters[[#All],[INT]],MATCH(Table5[[#This Row],[PID]],Batters[[#All],[PID]],0)),INDEX(Table3[[#All],[INT]],MATCH(Table5[[#This Row],[PID]],Table3[[#All],[PID]],0)))</f>
        <v>Normal</v>
      </c>
      <c r="L694" s="60">
        <f>IF($C694="B",INDEX(Batters[[#All],[CON P]],MATCH(Table5[[#This Row],[PID]],Batters[[#All],[PID]],0)),INDEX(Table3[[#All],[STU P]],MATCH(Table5[[#This Row],[PID]],Table3[[#All],[PID]],0)))</f>
        <v>4</v>
      </c>
      <c r="M694" s="70">
        <f>IF($C694="B",INDEX(Batters[[#All],[GAP P]],MATCH(Table5[[#This Row],[PID]],Batters[[#All],[PID]],0)),INDEX(Table3[[#All],[MOV P]],MATCH(Table5[[#This Row],[PID]],Table3[[#All],[PID]],0)))</f>
        <v>2</v>
      </c>
      <c r="N694" s="70">
        <f>IF($C694="B",INDEX(Batters[[#All],[POW P]],MATCH(Table5[[#This Row],[PID]],Batters[[#All],[PID]],0)),INDEX(Table3[[#All],[CON P]],MATCH(Table5[[#This Row],[PID]],Table3[[#All],[PID]],0)))</f>
        <v>4</v>
      </c>
      <c r="O694" s="70" t="str">
        <f>IF($C694="B",INDEX(Batters[[#All],[EYE P]],MATCH(Table5[[#This Row],[PID]],Batters[[#All],[PID]],0)),INDEX(Table3[[#All],[VELO]],MATCH(Table5[[#This Row],[PID]],Table3[[#All],[PID]],0)))</f>
        <v>87-89 Mph</v>
      </c>
      <c r="P694" s="56">
        <f>IF($C694="B",INDEX(Batters[[#All],[K P]],MATCH(Table5[[#This Row],[PID]],Batters[[#All],[PID]],0)),INDEX(Table3[[#All],[STM]],MATCH(Table5[[#This Row],[PID]],Table3[[#All],[PID]],0)))</f>
        <v>7</v>
      </c>
      <c r="Q694" s="61">
        <f>IF($C694="B",INDEX(Batters[[#All],[Tot]],MATCH(Table5[[#This Row],[PID]],Batters[[#All],[PID]],0)),INDEX(Table3[[#All],[Tot]],MATCH(Table5[[#This Row],[PID]],Table3[[#All],[PID]],0)))</f>
        <v>26.63315226970542</v>
      </c>
      <c r="R694" s="52">
        <f>IF($C694="B",INDEX(Batters[[#All],[zScore]],MATCH(Table5[[#This Row],[PID]],Batters[[#All],[PID]],0)),INDEX(Table3[[#All],[zScore]],MATCH(Table5[[#This Row],[PID]],Table3[[#All],[PID]],0)))</f>
        <v>-0.79534199200979161</v>
      </c>
      <c r="S694" s="75" t="str">
        <f>IF($C694="B",INDEX(Batters[[#All],[DEM]],MATCH(Table5[[#This Row],[PID]],Batters[[#All],[PID]],0)),INDEX(Table3[[#All],[DEM]],MATCH(Table5[[#This Row],[PID]],Table3[[#All],[PID]],0)))</f>
        <v>-</v>
      </c>
      <c r="T694" s="72">
        <f>IF($C694="B",INDEX(Batters[[#All],[Rnk]],MATCH(Table5[[#This Row],[PID]],Batters[[#All],[PID]],0)),INDEX(Table3[[#All],[Rnk]],MATCH(Table5[[#This Row],[PID]],Table3[[#All],[PID]],0)))</f>
        <v>930</v>
      </c>
      <c r="U694" s="67">
        <f>IF($C694="B",VLOOKUP($A694,Bat!$A$4:$BA$1314,47,FALSE),VLOOKUP($A694,Pit!$A$4:$BF$1214,56,FALSE))</f>
        <v>347</v>
      </c>
      <c r="V694" s="50">
        <f>IF($C694="B",VLOOKUP($A694,Bat!$A$4:$BA$1314,48,FALSE),VLOOKUP($A694,Pit!$A$4:$BF$1214,57,FALSE))</f>
        <v>0</v>
      </c>
      <c r="W694" s="68">
        <f>IF(Table5[[#This Row],[posRnk]]=999,9999,Table5[[#This Row],[posRnk]]+Table5[[#This Row],[zRnk]]+IF($W$3&lt;&gt;Table5[[#This Row],[Type]],50,0))</f>
        <v>1621</v>
      </c>
      <c r="X694" s="71">
        <f>RANK(Table5[[#This Row],[zScore]],Table5[[#All],[zScore]])</f>
        <v>691</v>
      </c>
      <c r="Y694" s="68">
        <f>IFERROR(INDEX(DraftResults[[#All],[OVR]],MATCH(Table5[[#This Row],[PID]],DraftResults[[#All],[Player ID]],0)),"")</f>
        <v>605</v>
      </c>
      <c r="Z694" s="7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19</v>
      </c>
      <c r="AA694" s="68">
        <f>IFERROR(INDEX(DraftResults[[#All],[Pick in Round]],MATCH(Table5[[#This Row],[PID]],DraftResults[[#All],[Player ID]],0)),"")</f>
        <v>2</v>
      </c>
      <c r="AB694" s="68" t="str">
        <f>IFERROR(INDEX(DraftResults[[#All],[Team Name]],MATCH(Table5[[#This Row],[PID]],DraftResults[[#All],[Player ID]],0)),"")</f>
        <v>Charleston Statesmen</v>
      </c>
      <c r="AC694" s="68">
        <f>IF(Table5[[#This Row],[Ovr]]="","",IF(Table5[[#This Row],[cmbList]]="","",Table5[[#This Row],[cmbList]]-Table5[[#This Row],[Ovr]]))</f>
        <v>1016</v>
      </c>
      <c r="AD694" s="74" t="str">
        <f>IF(ISERROR(VLOOKUP($AB694&amp;"-"&amp;$E694&amp;" "&amp;F694,Bonuses!$B$1:$G$1006,4,FALSE)),"",INT(VLOOKUP($AB694&amp;"-"&amp;$E694&amp;" "&amp;$F694,Bonuses!$B$1:$G$1006,4,FALSE)))</f>
        <v/>
      </c>
      <c r="AE694" s="68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19.2 (605) - RP Joseph Galindo</v>
      </c>
    </row>
    <row r="695" spans="1:31" s="50" customFormat="1" x14ac:dyDescent="0.3">
      <c r="A695" s="50">
        <v>5139</v>
      </c>
      <c r="B695" s="50">
        <f>COUNTIF(Table5[PID],A695)</f>
        <v>1</v>
      </c>
      <c r="C695" s="50" t="str">
        <f>IF(COUNTIF(Table3[[#All],[PID]],A695)&gt;0,"P","B")</f>
        <v>P</v>
      </c>
      <c r="D695" s="59" t="str">
        <f>IF($C695="B",INDEX(Batters[[#All],[POS]],MATCH(Table5[[#This Row],[PID]],Batters[[#All],[PID]],0)),INDEX(Table3[[#All],[POS]],MATCH(Table5[[#This Row],[PID]],Table3[[#All],[PID]],0)))</f>
        <v>RP</v>
      </c>
      <c r="E695" s="52" t="str">
        <f>IF($C695="B",INDEX(Batters[[#All],[First]],MATCH(Table5[[#This Row],[PID]],Batters[[#All],[PID]],0)),INDEX(Table3[[#All],[First]],MATCH(Table5[[#This Row],[PID]],Table3[[#All],[PID]],0)))</f>
        <v>Miguel</v>
      </c>
      <c r="F695" s="50" t="str">
        <f>IF($C695="B",INDEX(Batters[[#All],[Last]],MATCH(A695,Batters[[#All],[PID]],0)),INDEX(Table3[[#All],[Last]],MATCH(A695,Table3[[#All],[PID]],0)))</f>
        <v>Pérez</v>
      </c>
      <c r="G695" s="56">
        <f>IF($C695="B",INDEX(Batters[[#All],[Age]],MATCH(Table5[[#This Row],[PID]],Batters[[#All],[PID]],0)),INDEX(Table3[[#All],[Age]],MATCH(Table5[[#This Row],[PID]],Table3[[#All],[PID]],0)))</f>
        <v>21</v>
      </c>
      <c r="H695" s="52" t="str">
        <f>IF($C695="B",INDEX(Batters[[#All],[B]],MATCH(Table5[[#This Row],[PID]],Batters[[#All],[PID]],0)),INDEX(Table3[[#All],[B]],MATCH(Table5[[#This Row],[PID]],Table3[[#All],[PID]],0)))</f>
        <v>S</v>
      </c>
      <c r="I695" s="52" t="str">
        <f>IF($C695="B",INDEX(Batters[[#All],[T]],MATCH(Table5[[#This Row],[PID]],Batters[[#All],[PID]],0)),INDEX(Table3[[#All],[T]],MATCH(Table5[[#This Row],[PID]],Table3[[#All],[PID]],0)))</f>
        <v>R</v>
      </c>
      <c r="J695" s="52" t="str">
        <f>IF($C695="B",INDEX(Batters[[#All],[WE]],MATCH(Table5[[#This Row],[PID]],Batters[[#All],[PID]],0)),INDEX(Table3[[#All],[WE]],MATCH(Table5[[#This Row],[PID]],Table3[[#All],[PID]],0)))</f>
        <v>Low</v>
      </c>
      <c r="K695" s="52" t="str">
        <f>IF($C695="B",INDEX(Batters[[#All],[INT]],MATCH(Table5[[#This Row],[PID]],Batters[[#All],[PID]],0)),INDEX(Table3[[#All],[INT]],MATCH(Table5[[#This Row],[PID]],Table3[[#All],[PID]],0)))</f>
        <v>Normal</v>
      </c>
      <c r="L695" s="60">
        <f>IF($C695="B",INDEX(Batters[[#All],[CON P]],MATCH(Table5[[#This Row],[PID]],Batters[[#All],[PID]],0)),INDEX(Table3[[#All],[STU P]],MATCH(Table5[[#This Row],[PID]],Table3[[#All],[PID]],0)))</f>
        <v>3</v>
      </c>
      <c r="M695" s="56">
        <f>IF($C695="B",INDEX(Batters[[#All],[GAP P]],MATCH(Table5[[#This Row],[PID]],Batters[[#All],[PID]],0)),INDEX(Table3[[#All],[MOV P]],MATCH(Table5[[#This Row],[PID]],Table3[[#All],[PID]],0)))</f>
        <v>1</v>
      </c>
      <c r="N695" s="56">
        <f>IF($C695="B",INDEX(Batters[[#All],[POW P]],MATCH(Table5[[#This Row],[PID]],Batters[[#All],[PID]],0)),INDEX(Table3[[#All],[CON P]],MATCH(Table5[[#This Row],[PID]],Table3[[#All],[PID]],0)))</f>
        <v>4</v>
      </c>
      <c r="O695" s="56" t="str">
        <f>IF($C695="B",INDEX(Batters[[#All],[EYE P]],MATCH(Table5[[#This Row],[PID]],Batters[[#All],[PID]],0)),INDEX(Table3[[#All],[VELO]],MATCH(Table5[[#This Row],[PID]],Table3[[#All],[PID]],0)))</f>
        <v>86-88 Mph</v>
      </c>
      <c r="P695" s="56">
        <f>IF($C695="B",INDEX(Batters[[#All],[K P]],MATCH(Table5[[#This Row],[PID]],Batters[[#All],[PID]],0)),INDEX(Table3[[#All],[STM]],MATCH(Table5[[#This Row],[PID]],Table3[[#All],[PID]],0)))</f>
        <v>6</v>
      </c>
      <c r="Q695" s="61">
        <f>IF($C695="B",INDEX(Batters[[#All],[Tot]],MATCH(Table5[[#This Row],[PID]],Batters[[#All],[PID]],0)),INDEX(Table3[[#All],[Tot]],MATCH(Table5[[#This Row],[PID]],Table3[[#All],[PID]],0)))</f>
        <v>26.513065393358389</v>
      </c>
      <c r="R695" s="52">
        <f>IF($C695="B",INDEX(Batters[[#All],[zScore]],MATCH(Table5[[#This Row],[PID]],Batters[[#All],[PID]],0)),INDEX(Table3[[#All],[zScore]],MATCH(Table5[[#This Row],[PID]],Table3[[#All],[PID]],0)))</f>
        <v>-0.80389302216144753</v>
      </c>
      <c r="S695" s="58" t="str">
        <f>IF($C695="B",INDEX(Batters[[#All],[DEM]],MATCH(Table5[[#This Row],[PID]],Batters[[#All],[PID]],0)),INDEX(Table3[[#All],[DEM]],MATCH(Table5[[#This Row],[PID]],Table3[[#All],[PID]],0)))</f>
        <v>-</v>
      </c>
      <c r="T695" s="62">
        <f>IF($C695="B",INDEX(Batters[[#All],[Rnk]],MATCH(Table5[[#This Row],[PID]],Batters[[#All],[PID]],0)),INDEX(Table3[[#All],[Rnk]],MATCH(Table5[[#This Row],[PID]],Table3[[#All],[PID]],0)))</f>
        <v>930</v>
      </c>
      <c r="U695" s="67">
        <f>IF($C695="B",VLOOKUP($A695,Bat!$A$4:$BA$1314,47,FALSE),VLOOKUP($A695,Pit!$A$4:$BF$1214,56,FALSE))</f>
        <v>348</v>
      </c>
      <c r="V695" s="50">
        <f>IF($C695="B",VLOOKUP($A695,Bat!$A$4:$BA$1314,48,FALSE),VLOOKUP($A695,Pit!$A$4:$BF$1214,57,FALSE))</f>
        <v>0</v>
      </c>
      <c r="W695" s="68">
        <f>IF(Table5[[#This Row],[posRnk]]=999,9999,Table5[[#This Row],[posRnk]]+Table5[[#This Row],[zRnk]]+IF($W$3&lt;&gt;Table5[[#This Row],[Type]],50,0))</f>
        <v>1622</v>
      </c>
      <c r="X695" s="51">
        <f>RANK(Table5[[#This Row],[zScore]],Table5[[#All],[zScore]])</f>
        <v>692</v>
      </c>
      <c r="Y695" s="50" t="str">
        <f>IFERROR(INDEX(DraftResults[[#All],[OVR]],MATCH(Table5[[#This Row],[PID]],DraftResults[[#All],[Player ID]],0)),"")</f>
        <v/>
      </c>
      <c r="Z695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/>
      </c>
      <c r="AA695" s="50" t="str">
        <f>IFERROR(INDEX(DraftResults[[#All],[Pick in Round]],MATCH(Table5[[#This Row],[PID]],DraftResults[[#All],[Player ID]],0)),"")</f>
        <v/>
      </c>
      <c r="AB695" s="50" t="str">
        <f>IFERROR(INDEX(DraftResults[[#All],[Team Name]],MATCH(Table5[[#This Row],[PID]],DraftResults[[#All],[Player ID]],0)),"")</f>
        <v/>
      </c>
      <c r="AC695" s="50" t="str">
        <f>IF(Table5[[#This Row],[Ovr]]="","",IF(Table5[[#This Row],[cmbList]]="","",Table5[[#This Row],[cmbList]]-Table5[[#This Row],[Ovr]]))</f>
        <v/>
      </c>
      <c r="AD695" s="54" t="str">
        <f>IF(ISERROR(VLOOKUP($AB695&amp;"-"&amp;$E695&amp;" "&amp;F695,Bonuses!$B$1:$G$1006,4,FALSE)),"",INT(VLOOKUP($AB695&amp;"-"&amp;$E695&amp;" "&amp;$F695,Bonuses!$B$1:$G$1006,4,FALSE)))</f>
        <v/>
      </c>
      <c r="AE695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/>
      </c>
    </row>
    <row r="696" spans="1:31" s="50" customFormat="1" x14ac:dyDescent="0.3">
      <c r="A696" s="50">
        <v>9150</v>
      </c>
      <c r="B696" s="50">
        <f>COUNTIF(Table5[PID],A696)</f>
        <v>1</v>
      </c>
      <c r="C696" s="50" t="str">
        <f>IF(COUNTIF(Table3[[#All],[PID]],A696)&gt;0,"P","B")</f>
        <v>P</v>
      </c>
      <c r="D696" s="59" t="str">
        <f>IF($C696="B",INDEX(Batters[[#All],[POS]],MATCH(Table5[[#This Row],[PID]],Batters[[#All],[PID]],0)),INDEX(Table3[[#All],[POS]],MATCH(Table5[[#This Row],[PID]],Table3[[#All],[PID]],0)))</f>
        <v>RP</v>
      </c>
      <c r="E696" s="52" t="str">
        <f>IF($C696="B",INDEX(Batters[[#All],[First]],MATCH(Table5[[#This Row],[PID]],Batters[[#All],[PID]],0)),INDEX(Table3[[#All],[First]],MATCH(Table5[[#This Row],[PID]],Table3[[#All],[PID]],0)))</f>
        <v>Ken</v>
      </c>
      <c r="F696" s="50" t="str">
        <f>IF($C696="B",INDEX(Batters[[#All],[Last]],MATCH(A696,Batters[[#All],[PID]],0)),INDEX(Table3[[#All],[Last]],MATCH(A696,Table3[[#All],[PID]],0)))</f>
        <v>Dashwood</v>
      </c>
      <c r="G696" s="56">
        <f>IF($C696="B",INDEX(Batters[[#All],[Age]],MATCH(Table5[[#This Row],[PID]],Batters[[#All],[PID]],0)),INDEX(Table3[[#All],[Age]],MATCH(Table5[[#This Row],[PID]],Table3[[#All],[PID]],0)))</f>
        <v>22</v>
      </c>
      <c r="H696" s="52" t="str">
        <f>IF($C696="B",INDEX(Batters[[#All],[B]],MATCH(Table5[[#This Row],[PID]],Batters[[#All],[PID]],0)),INDEX(Table3[[#All],[B]],MATCH(Table5[[#This Row],[PID]],Table3[[#All],[PID]],0)))</f>
        <v>R</v>
      </c>
      <c r="I696" s="52" t="str">
        <f>IF($C696="B",INDEX(Batters[[#All],[T]],MATCH(Table5[[#This Row],[PID]],Batters[[#All],[PID]],0)),INDEX(Table3[[#All],[T]],MATCH(Table5[[#This Row],[PID]],Table3[[#All],[PID]],0)))</f>
        <v>R</v>
      </c>
      <c r="J696" s="52" t="str">
        <f>IF($C696="B",INDEX(Batters[[#All],[WE]],MATCH(Table5[[#This Row],[PID]],Batters[[#All],[PID]],0)),INDEX(Table3[[#All],[WE]],MATCH(Table5[[#This Row],[PID]],Table3[[#All],[PID]],0)))</f>
        <v>Low</v>
      </c>
      <c r="K696" s="52" t="str">
        <f>IF($C696="B",INDEX(Batters[[#All],[INT]],MATCH(Table5[[#This Row],[PID]],Batters[[#All],[PID]],0)),INDEX(Table3[[#All],[INT]],MATCH(Table5[[#This Row],[PID]],Table3[[#All],[PID]],0)))</f>
        <v>Low</v>
      </c>
      <c r="L696" s="60">
        <f>IF($C696="B",INDEX(Batters[[#All],[CON P]],MATCH(Table5[[#This Row],[PID]],Batters[[#All],[PID]],0)),INDEX(Table3[[#All],[STU P]],MATCH(Table5[[#This Row],[PID]],Table3[[#All],[PID]],0)))</f>
        <v>4</v>
      </c>
      <c r="M696" s="56">
        <f>IF($C696="B",INDEX(Batters[[#All],[GAP P]],MATCH(Table5[[#This Row],[PID]],Batters[[#All],[PID]],0)),INDEX(Table3[[#All],[MOV P]],MATCH(Table5[[#This Row],[PID]],Table3[[#All],[PID]],0)))</f>
        <v>2</v>
      </c>
      <c r="N696" s="56">
        <f>IF($C696="B",INDEX(Batters[[#All],[POW P]],MATCH(Table5[[#This Row],[PID]],Batters[[#All],[PID]],0)),INDEX(Table3[[#All],[CON P]],MATCH(Table5[[#This Row],[PID]],Table3[[#All],[PID]],0)))</f>
        <v>3</v>
      </c>
      <c r="O696" s="56" t="str">
        <f>IF($C696="B",INDEX(Batters[[#All],[EYE P]],MATCH(Table5[[#This Row],[PID]],Batters[[#All],[PID]],0)),INDEX(Table3[[#All],[VELO]],MATCH(Table5[[#This Row],[PID]],Table3[[#All],[PID]],0)))</f>
        <v>87-89 Mph</v>
      </c>
      <c r="P696" s="56">
        <f>IF($C696="B",INDEX(Batters[[#All],[K P]],MATCH(Table5[[#This Row],[PID]],Batters[[#All],[PID]],0)),INDEX(Table3[[#All],[STM]],MATCH(Table5[[#This Row],[PID]],Table3[[#All],[PID]],0)))</f>
        <v>4</v>
      </c>
      <c r="Q696" s="61">
        <f>IF($C696="B",INDEX(Batters[[#All],[Tot]],MATCH(Table5[[#This Row],[PID]],Batters[[#All],[PID]],0)),INDEX(Table3[[#All],[Tot]],MATCH(Table5[[#This Row],[PID]],Table3[[#All],[PID]],0)))</f>
        <v>27.737380290328282</v>
      </c>
      <c r="R696" s="52">
        <f>IF($C696="B",INDEX(Batters[[#All],[zScore]],MATCH(Table5[[#This Row],[PID]],Batters[[#All],[PID]],0)),INDEX(Table3[[#All],[zScore]],MATCH(Table5[[#This Row],[PID]],Table3[[#All],[PID]],0)))</f>
        <v>-0.7167131910460387</v>
      </c>
      <c r="S696" s="58" t="str">
        <f>IF($C696="B",INDEX(Batters[[#All],[DEM]],MATCH(Table5[[#This Row],[PID]],Batters[[#All],[PID]],0)),INDEX(Table3[[#All],[DEM]],MATCH(Table5[[#This Row],[PID]],Table3[[#All],[PID]],0)))</f>
        <v>-</v>
      </c>
      <c r="T696" s="62">
        <f>IF($C696="B",INDEX(Batters[[#All],[Rnk]],MATCH(Table5[[#This Row],[PID]],Batters[[#All],[PID]],0)),INDEX(Table3[[#All],[Rnk]],MATCH(Table5[[#This Row],[PID]],Table3[[#All],[PID]],0)))</f>
        <v>950</v>
      </c>
      <c r="U696" s="67">
        <f>IF($C696="B",VLOOKUP($A696,Bat!$A$4:$BA$1314,47,FALSE),VLOOKUP($A696,Pit!$A$4:$BF$1214,56,FALSE))</f>
        <v>418</v>
      </c>
      <c r="V696" s="50">
        <f>IF($C696="B",VLOOKUP($A696,Bat!$A$4:$BA$1314,48,FALSE),VLOOKUP($A696,Pit!$A$4:$BF$1214,57,FALSE))</f>
        <v>0</v>
      </c>
      <c r="W696" s="68">
        <f>IF(Table5[[#This Row],[posRnk]]=999,9999,Table5[[#This Row],[posRnk]]+Table5[[#This Row],[zRnk]]+IF($W$3&lt;&gt;Table5[[#This Row],[Type]],50,0))</f>
        <v>1622</v>
      </c>
      <c r="X696" s="51">
        <f>RANK(Table5[[#This Row],[zScore]],Table5[[#All],[zScore]])</f>
        <v>672</v>
      </c>
      <c r="Y696" s="50" t="str">
        <f>IFERROR(INDEX(DraftResults[[#All],[OVR]],MATCH(Table5[[#This Row],[PID]],DraftResults[[#All],[Player ID]],0)),"")</f>
        <v/>
      </c>
      <c r="Z696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/>
      </c>
      <c r="AA696" s="50" t="str">
        <f>IFERROR(INDEX(DraftResults[[#All],[Pick in Round]],MATCH(Table5[[#This Row],[PID]],DraftResults[[#All],[Player ID]],0)),"")</f>
        <v/>
      </c>
      <c r="AB696" s="50" t="str">
        <f>IFERROR(INDEX(DraftResults[[#All],[Team Name]],MATCH(Table5[[#This Row],[PID]],DraftResults[[#All],[Player ID]],0)),"")</f>
        <v/>
      </c>
      <c r="AC696" s="50" t="str">
        <f>IF(Table5[[#This Row],[Ovr]]="","",IF(Table5[[#This Row],[cmbList]]="","",Table5[[#This Row],[cmbList]]-Table5[[#This Row],[Ovr]]))</f>
        <v/>
      </c>
      <c r="AD696" s="54" t="str">
        <f>IF(ISERROR(VLOOKUP($AB696&amp;"-"&amp;$E696&amp;" "&amp;F696,Bonuses!$B$1:$G$1006,4,FALSE)),"",INT(VLOOKUP($AB696&amp;"-"&amp;$E696&amp;" "&amp;$F696,Bonuses!$B$1:$G$1006,4,FALSE)))</f>
        <v/>
      </c>
      <c r="AE696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/>
      </c>
    </row>
    <row r="697" spans="1:31" s="50" customFormat="1" x14ac:dyDescent="0.3">
      <c r="A697" s="50">
        <v>15866</v>
      </c>
      <c r="B697" s="50">
        <f>COUNTIF(Table5[PID],A697)</f>
        <v>1</v>
      </c>
      <c r="C697" s="50" t="str">
        <f>IF(COUNTIF(Table3[[#All],[PID]],A697)&gt;0,"P","B")</f>
        <v>P</v>
      </c>
      <c r="D697" s="59" t="str">
        <f>IF($C697="B",INDEX(Batters[[#All],[POS]],MATCH(Table5[[#This Row],[PID]],Batters[[#All],[PID]],0)),INDEX(Table3[[#All],[POS]],MATCH(Table5[[#This Row],[PID]],Table3[[#All],[PID]],0)))</f>
        <v>SP</v>
      </c>
      <c r="E697" s="52" t="str">
        <f>IF($C697="B",INDEX(Batters[[#All],[First]],MATCH(Table5[[#This Row],[PID]],Batters[[#All],[PID]],0)),INDEX(Table3[[#All],[First]],MATCH(Table5[[#This Row],[PID]],Table3[[#All],[PID]],0)))</f>
        <v>Jorge</v>
      </c>
      <c r="F697" s="50" t="str">
        <f>IF($C697="B",INDEX(Batters[[#All],[Last]],MATCH(A697,Batters[[#All],[PID]],0)),INDEX(Table3[[#All],[Last]],MATCH(A697,Table3[[#All],[PID]],0)))</f>
        <v>Mojica</v>
      </c>
      <c r="G697" s="56">
        <f>IF($C697="B",INDEX(Batters[[#All],[Age]],MATCH(Table5[[#This Row],[PID]],Batters[[#All],[PID]],0)),INDEX(Table3[[#All],[Age]],MATCH(Table5[[#This Row],[PID]],Table3[[#All],[PID]],0)))</f>
        <v>21</v>
      </c>
      <c r="H697" s="52" t="str">
        <f>IF($C697="B",INDEX(Batters[[#All],[B]],MATCH(Table5[[#This Row],[PID]],Batters[[#All],[PID]],0)),INDEX(Table3[[#All],[B]],MATCH(Table5[[#This Row],[PID]],Table3[[#All],[PID]],0)))</f>
        <v>R</v>
      </c>
      <c r="I697" s="52" t="str">
        <f>IF($C697="B",INDEX(Batters[[#All],[T]],MATCH(Table5[[#This Row],[PID]],Batters[[#All],[PID]],0)),INDEX(Table3[[#All],[T]],MATCH(Table5[[#This Row],[PID]],Table3[[#All],[PID]],0)))</f>
        <v>L</v>
      </c>
      <c r="J697" s="52" t="str">
        <f>IF($C697="B",INDEX(Batters[[#All],[WE]],MATCH(Table5[[#This Row],[PID]],Batters[[#All],[PID]],0)),INDEX(Table3[[#All],[WE]],MATCH(Table5[[#This Row],[PID]],Table3[[#All],[PID]],0)))</f>
        <v>Low</v>
      </c>
      <c r="K697" s="52" t="str">
        <f>IF($C697="B",INDEX(Batters[[#All],[INT]],MATCH(Table5[[#This Row],[PID]],Batters[[#All],[PID]],0)),INDEX(Table3[[#All],[INT]],MATCH(Table5[[#This Row],[PID]],Table3[[#All],[PID]],0)))</f>
        <v>Normal</v>
      </c>
      <c r="L697" s="60">
        <f>IF($C697="B",INDEX(Batters[[#All],[CON P]],MATCH(Table5[[#This Row],[PID]],Batters[[#All],[PID]],0)),INDEX(Table3[[#All],[STU P]],MATCH(Table5[[#This Row],[PID]],Table3[[#All],[PID]],0)))</f>
        <v>4</v>
      </c>
      <c r="M697" s="56">
        <f>IF($C697="B",INDEX(Batters[[#All],[GAP P]],MATCH(Table5[[#This Row],[PID]],Batters[[#All],[PID]],0)),INDEX(Table3[[#All],[MOV P]],MATCH(Table5[[#This Row],[PID]],Table3[[#All],[PID]],0)))</f>
        <v>1</v>
      </c>
      <c r="N697" s="56">
        <f>IF($C697="B",INDEX(Batters[[#All],[POW P]],MATCH(Table5[[#This Row],[PID]],Batters[[#All],[PID]],0)),INDEX(Table3[[#All],[CON P]],MATCH(Table5[[#This Row],[PID]],Table3[[#All],[PID]],0)))</f>
        <v>3</v>
      </c>
      <c r="O697" s="56" t="str">
        <f>IF($C697="B",INDEX(Batters[[#All],[EYE P]],MATCH(Table5[[#This Row],[PID]],Batters[[#All],[PID]],0)),INDEX(Table3[[#All],[VELO]],MATCH(Table5[[#This Row],[PID]],Table3[[#All],[PID]],0)))</f>
        <v>90-92 Mph</v>
      </c>
      <c r="P697" s="56">
        <f>IF($C697="B",INDEX(Batters[[#All],[K P]],MATCH(Table5[[#This Row],[PID]],Batters[[#All],[PID]],0)),INDEX(Table3[[#All],[STM]],MATCH(Table5[[#This Row],[PID]],Table3[[#All],[PID]],0)))</f>
        <v>8</v>
      </c>
      <c r="Q697" s="61">
        <f>IF($C697="B",INDEX(Batters[[#All],[Tot]],MATCH(Table5[[#This Row],[PID]],Batters[[#All],[PID]],0)),INDEX(Table3[[#All],[Tot]],MATCH(Table5[[#This Row],[PID]],Table3[[#All],[PID]],0)))</f>
        <v>26.501617898623429</v>
      </c>
      <c r="R697" s="52">
        <f>IF($C697="B",INDEX(Batters[[#All],[zScore]],MATCH(Table5[[#This Row],[PID]],Batters[[#All],[PID]],0)),INDEX(Table3[[#All],[zScore]],MATCH(Table5[[#This Row],[PID]],Table3[[#All],[PID]],0)))</f>
        <v>-0.80470816429535308</v>
      </c>
      <c r="S697" s="58" t="str">
        <f>IF($C697="B",INDEX(Batters[[#All],[DEM]],MATCH(Table5[[#This Row],[PID]],Batters[[#All],[PID]],0)),INDEX(Table3[[#All],[DEM]],MATCH(Table5[[#This Row],[PID]],Table3[[#All],[PID]],0)))</f>
        <v>$20k</v>
      </c>
      <c r="T697" s="62">
        <f>IF($C697="B",INDEX(Batters[[#All],[Rnk]],MATCH(Table5[[#This Row],[PID]],Batters[[#All],[PID]],0)),INDEX(Table3[[#All],[Rnk]],MATCH(Table5[[#This Row],[PID]],Table3[[#All],[PID]],0)))</f>
        <v>930</v>
      </c>
      <c r="U697" s="67">
        <f>IF($C697="B",VLOOKUP($A697,Bat!$A$4:$BA$1314,47,FALSE),VLOOKUP($A697,Pit!$A$4:$BF$1214,56,FALSE))</f>
        <v>349</v>
      </c>
      <c r="V697" s="50">
        <f>IF($C697="B",VLOOKUP($A697,Bat!$A$4:$BA$1314,48,FALSE),VLOOKUP($A697,Pit!$A$4:$BF$1214,57,FALSE))</f>
        <v>0</v>
      </c>
      <c r="W697" s="68">
        <f>IF(Table5[[#This Row],[posRnk]]=999,9999,Table5[[#This Row],[posRnk]]+Table5[[#This Row],[zRnk]]+IF($W$3&lt;&gt;Table5[[#This Row],[Type]],50,0))</f>
        <v>1624</v>
      </c>
      <c r="X697" s="51">
        <f>RANK(Table5[[#This Row],[zScore]],Table5[[#All],[zScore]])</f>
        <v>694</v>
      </c>
      <c r="Y697" s="50">
        <f>IFERROR(INDEX(DraftResults[[#All],[OVR]],MATCH(Table5[[#This Row],[PID]],DraftResults[[#All],[Player ID]],0)),"")</f>
        <v>560</v>
      </c>
      <c r="Z697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17</v>
      </c>
      <c r="AA697" s="50">
        <f>IFERROR(INDEX(DraftResults[[#All],[Pick in Round]],MATCH(Table5[[#This Row],[PID]],DraftResults[[#All],[Player ID]],0)),"")</f>
        <v>25</v>
      </c>
      <c r="AB697" s="50" t="str">
        <f>IFERROR(INDEX(DraftResults[[#All],[Team Name]],MATCH(Table5[[#This Row],[PID]],DraftResults[[#All],[Player ID]],0)),"")</f>
        <v>Kalamazoo Badgers</v>
      </c>
      <c r="AC697" s="50">
        <f>IF(Table5[[#This Row],[Ovr]]="","",IF(Table5[[#This Row],[cmbList]]="","",Table5[[#This Row],[cmbList]]-Table5[[#This Row],[Ovr]]))</f>
        <v>1064</v>
      </c>
      <c r="AD697" s="54" t="str">
        <f>IF(ISERROR(VLOOKUP($AB697&amp;"-"&amp;$E697&amp;" "&amp;F697,Bonuses!$B$1:$G$1006,4,FALSE)),"",INT(VLOOKUP($AB697&amp;"-"&amp;$E697&amp;" "&amp;$F697,Bonuses!$B$1:$G$1006,4,FALSE)))</f>
        <v/>
      </c>
      <c r="AE697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17.25 (560) - SP Jorge Mojica</v>
      </c>
    </row>
    <row r="698" spans="1:31" s="50" customFormat="1" x14ac:dyDescent="0.3">
      <c r="A698" s="50">
        <v>20282</v>
      </c>
      <c r="B698" s="50">
        <f>COUNTIF(Table5[PID],A698)</f>
        <v>1</v>
      </c>
      <c r="C698" s="50" t="str">
        <f>IF(COUNTIF(Table3[[#All],[PID]],A698)&gt;0,"P","B")</f>
        <v>B</v>
      </c>
      <c r="D698" s="59" t="str">
        <f>IF($C698="B",INDEX(Batters[[#All],[POS]],MATCH(Table5[[#This Row],[PID]],Batters[[#All],[PID]],0)),INDEX(Table3[[#All],[POS]],MATCH(Table5[[#This Row],[PID]],Table3[[#All],[PID]],0)))</f>
        <v>2B</v>
      </c>
      <c r="E698" s="52" t="str">
        <f>IF($C698="B",INDEX(Batters[[#All],[First]],MATCH(Table5[[#This Row],[PID]],Batters[[#All],[PID]],0)),INDEX(Table3[[#All],[First]],MATCH(Table5[[#This Row],[PID]],Table3[[#All],[PID]],0)))</f>
        <v>Ju-yi</v>
      </c>
      <c r="F698" s="50" t="str">
        <f>IF($C698="B",INDEX(Batters[[#All],[Last]],MATCH(A698,Batters[[#All],[PID]],0)),INDEX(Table3[[#All],[Last]],MATCH(A698,Table3[[#All],[PID]],0)))</f>
        <v>Chen</v>
      </c>
      <c r="G698" s="56">
        <f>IF($C698="B",INDEX(Batters[[#All],[Age]],MATCH(Table5[[#This Row],[PID]],Batters[[#All],[PID]],0)),INDEX(Table3[[#All],[Age]],MATCH(Table5[[#This Row],[PID]],Table3[[#All],[PID]],0)))</f>
        <v>22</v>
      </c>
      <c r="H698" s="52" t="str">
        <f>IF($C698="B",INDEX(Batters[[#All],[B]],MATCH(Table5[[#This Row],[PID]],Batters[[#All],[PID]],0)),INDEX(Table3[[#All],[B]],MATCH(Table5[[#This Row],[PID]],Table3[[#All],[PID]],0)))</f>
        <v>S</v>
      </c>
      <c r="I698" s="52" t="str">
        <f>IF($C698="B",INDEX(Batters[[#All],[T]],MATCH(Table5[[#This Row],[PID]],Batters[[#All],[PID]],0)),INDEX(Table3[[#All],[T]],MATCH(Table5[[#This Row],[PID]],Table3[[#All],[PID]],0)))</f>
        <v>R</v>
      </c>
      <c r="J698" s="52" t="str">
        <f>IF($C698="B",INDEX(Batters[[#All],[WE]],MATCH(Table5[[#This Row],[PID]],Batters[[#All],[PID]],0)),INDEX(Table3[[#All],[WE]],MATCH(Table5[[#This Row],[PID]],Table3[[#All],[PID]],0)))</f>
        <v>Normal</v>
      </c>
      <c r="K698" s="52" t="str">
        <f>IF($C698="B",INDEX(Batters[[#All],[INT]],MATCH(Table5[[#This Row],[PID]],Batters[[#All],[PID]],0)),INDEX(Table3[[#All],[INT]],MATCH(Table5[[#This Row],[PID]],Table3[[#All],[PID]],0)))</f>
        <v>Normal</v>
      </c>
      <c r="L698" s="60">
        <f>IF($C698="B",INDEX(Batters[[#All],[CON P]],MATCH(Table5[[#This Row],[PID]],Batters[[#All],[PID]],0)),INDEX(Table3[[#All],[STU P]],MATCH(Table5[[#This Row],[PID]],Table3[[#All],[PID]],0)))</f>
        <v>3</v>
      </c>
      <c r="M698" s="56">
        <f>IF($C698="B",INDEX(Batters[[#All],[GAP P]],MATCH(Table5[[#This Row],[PID]],Batters[[#All],[PID]],0)),INDEX(Table3[[#All],[MOV P]],MATCH(Table5[[#This Row],[PID]],Table3[[#All],[PID]],0)))</f>
        <v>4</v>
      </c>
      <c r="N698" s="56">
        <f>IF($C698="B",INDEX(Batters[[#All],[POW P]],MATCH(Table5[[#This Row],[PID]],Batters[[#All],[PID]],0)),INDEX(Table3[[#All],[CON P]],MATCH(Table5[[#This Row],[PID]],Table3[[#All],[PID]],0)))</f>
        <v>3</v>
      </c>
      <c r="O698" s="56">
        <f>IF($C698="B",INDEX(Batters[[#All],[EYE P]],MATCH(Table5[[#This Row],[PID]],Batters[[#All],[PID]],0)),INDEX(Table3[[#All],[VELO]],MATCH(Table5[[#This Row],[PID]],Table3[[#All],[PID]],0)))</f>
        <v>4</v>
      </c>
      <c r="P698" s="56">
        <f>IF($C698="B",INDEX(Batters[[#All],[K P]],MATCH(Table5[[#This Row],[PID]],Batters[[#All],[PID]],0)),INDEX(Table3[[#All],[STM]],MATCH(Table5[[#This Row],[PID]],Table3[[#All],[PID]],0)))</f>
        <v>4</v>
      </c>
      <c r="Q698" s="61">
        <f>IF($C698="B",INDEX(Batters[[#All],[Tot]],MATCH(Table5[[#This Row],[PID]],Batters[[#All],[PID]],0)),INDEX(Table3[[#All],[Tot]],MATCH(Table5[[#This Row],[PID]],Table3[[#All],[PID]],0)))</f>
        <v>37.208678482851738</v>
      </c>
      <c r="R698" s="52">
        <f>IF($C698="B",INDEX(Batters[[#All],[zScore]],MATCH(Table5[[#This Row],[PID]],Batters[[#All],[PID]],0)),INDEX(Table3[[#All],[zScore]],MATCH(Table5[[#This Row],[PID]],Table3[[#All],[PID]],0)))</f>
        <v>-0.877240908009704</v>
      </c>
      <c r="S698" s="58" t="str">
        <f>IF($C698="B",INDEX(Batters[[#All],[DEM]],MATCH(Table5[[#This Row],[PID]],Batters[[#All],[PID]],0)),INDEX(Table3[[#All],[DEM]],MATCH(Table5[[#This Row],[PID]],Table3[[#All],[PID]],0)))</f>
        <v>$20k</v>
      </c>
      <c r="T698" s="62">
        <f>IF($C698="B",INDEX(Batters[[#All],[Rnk]],MATCH(Table5[[#This Row],[PID]],Batters[[#All],[PID]],0)),INDEX(Table3[[#All],[Rnk]],MATCH(Table5[[#This Row],[PID]],Table3[[#All],[PID]],0)))</f>
        <v>900</v>
      </c>
      <c r="U698" s="67">
        <f>IF($C698="B",VLOOKUP($A698,Bat!$A$4:$BA$1314,47,FALSE),VLOOKUP($A698,Pit!$A$4:$BF$1214,56,FALSE))</f>
        <v>256</v>
      </c>
      <c r="V698" s="50">
        <f>IF($C698="B",VLOOKUP($A698,Bat!$A$4:$BA$1314,48,FALSE),VLOOKUP($A698,Pit!$A$4:$BF$1214,57,FALSE))</f>
        <v>0</v>
      </c>
      <c r="W698" s="68">
        <f>IF(Table5[[#This Row],[posRnk]]=999,9999,Table5[[#This Row],[posRnk]]+Table5[[#This Row],[zRnk]]+IF($W$3&lt;&gt;Table5[[#This Row],[Type]],50,0))</f>
        <v>1676</v>
      </c>
      <c r="X698" s="51">
        <f>RANK(Table5[[#This Row],[zScore]],Table5[[#All],[zScore]])</f>
        <v>726</v>
      </c>
      <c r="Y698" s="50">
        <f>IFERROR(INDEX(DraftResults[[#All],[OVR]],MATCH(Table5[[#This Row],[PID]],DraftResults[[#All],[Player ID]],0)),"")</f>
        <v>463</v>
      </c>
      <c r="Z698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14</v>
      </c>
      <c r="AA698" s="50">
        <f>IFERROR(INDEX(DraftResults[[#All],[Pick in Round]],MATCH(Table5[[#This Row],[PID]],DraftResults[[#All],[Player ID]],0)),"")</f>
        <v>30</v>
      </c>
      <c r="AB698" s="50" t="str">
        <f>IFERROR(INDEX(DraftResults[[#All],[Team Name]],MATCH(Table5[[#This Row],[PID]],DraftResults[[#All],[Player ID]],0)),"")</f>
        <v>Toyama Wind Dancers</v>
      </c>
      <c r="AC698" s="50">
        <f>IF(Table5[[#This Row],[Ovr]]="","",IF(Table5[[#This Row],[cmbList]]="","",Table5[[#This Row],[cmbList]]-Table5[[#This Row],[Ovr]]))</f>
        <v>1213</v>
      </c>
      <c r="AD698" s="54" t="str">
        <f>IF(ISERROR(VLOOKUP($AB698&amp;"-"&amp;$E698&amp;" "&amp;F698,Bonuses!$B$1:$G$1006,4,FALSE)),"",INT(VLOOKUP($AB698&amp;"-"&amp;$E698&amp;" "&amp;$F698,Bonuses!$B$1:$G$1006,4,FALSE)))</f>
        <v/>
      </c>
      <c r="AE698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14.30 (463) - 2B Ju-yi Chen</v>
      </c>
    </row>
    <row r="699" spans="1:31" s="50" customFormat="1" x14ac:dyDescent="0.3">
      <c r="A699" s="50">
        <v>6587</v>
      </c>
      <c r="B699" s="50">
        <f>COUNTIF(Table5[PID],A699)</f>
        <v>1</v>
      </c>
      <c r="C699" s="50" t="str">
        <f>IF(COUNTIF(Table3[[#All],[PID]],A699)&gt;0,"P","B")</f>
        <v>P</v>
      </c>
      <c r="D699" s="59" t="str">
        <f>IF($C699="B",INDEX(Batters[[#All],[POS]],MATCH(Table5[[#This Row],[PID]],Batters[[#All],[PID]],0)),INDEX(Table3[[#All],[POS]],MATCH(Table5[[#This Row],[PID]],Table3[[#All],[PID]],0)))</f>
        <v>RP</v>
      </c>
      <c r="E699" s="52" t="str">
        <f>IF($C699="B",INDEX(Batters[[#All],[First]],MATCH(Table5[[#This Row],[PID]],Batters[[#All],[PID]],0)),INDEX(Table3[[#All],[First]],MATCH(Table5[[#This Row],[PID]],Table3[[#All],[PID]],0)))</f>
        <v>Santiago</v>
      </c>
      <c r="F699" s="50" t="str">
        <f>IF($C699="B",INDEX(Batters[[#All],[Last]],MATCH(A699,Batters[[#All],[PID]],0)),INDEX(Table3[[#All],[Last]],MATCH(A699,Table3[[#All],[PID]],0)))</f>
        <v>Hernández</v>
      </c>
      <c r="G699" s="56">
        <f>IF($C699="B",INDEX(Batters[[#All],[Age]],MATCH(Table5[[#This Row],[PID]],Batters[[#All],[PID]],0)),INDEX(Table3[[#All],[Age]],MATCH(Table5[[#This Row],[PID]],Table3[[#All],[PID]],0)))</f>
        <v>21</v>
      </c>
      <c r="H699" s="52" t="str">
        <f>IF($C699="B",INDEX(Batters[[#All],[B]],MATCH(Table5[[#This Row],[PID]],Batters[[#All],[PID]],0)),INDEX(Table3[[#All],[B]],MATCH(Table5[[#This Row],[PID]],Table3[[#All],[PID]],0)))</f>
        <v>R</v>
      </c>
      <c r="I699" s="52" t="str">
        <f>IF($C699="B",INDEX(Batters[[#All],[T]],MATCH(Table5[[#This Row],[PID]],Batters[[#All],[PID]],0)),INDEX(Table3[[#All],[T]],MATCH(Table5[[#This Row],[PID]],Table3[[#All],[PID]],0)))</f>
        <v>L</v>
      </c>
      <c r="J699" s="52" t="str">
        <f>IF($C699="B",INDEX(Batters[[#All],[WE]],MATCH(Table5[[#This Row],[PID]],Batters[[#All],[PID]],0)),INDEX(Table3[[#All],[WE]],MATCH(Table5[[#This Row],[PID]],Table3[[#All],[PID]],0)))</f>
        <v>High</v>
      </c>
      <c r="K699" s="52" t="str">
        <f>IF($C699="B",INDEX(Batters[[#All],[INT]],MATCH(Table5[[#This Row],[PID]],Batters[[#All],[PID]],0)),INDEX(Table3[[#All],[INT]],MATCH(Table5[[#This Row],[PID]],Table3[[#All],[PID]],0)))</f>
        <v>Normal</v>
      </c>
      <c r="L699" s="60">
        <f>IF($C699="B",INDEX(Batters[[#All],[CON P]],MATCH(Table5[[#This Row],[PID]],Batters[[#All],[PID]],0)),INDEX(Table3[[#All],[STU P]],MATCH(Table5[[#This Row],[PID]],Table3[[#All],[PID]],0)))</f>
        <v>4</v>
      </c>
      <c r="M699" s="56">
        <f>IF($C699="B",INDEX(Batters[[#All],[GAP P]],MATCH(Table5[[#This Row],[PID]],Batters[[#All],[PID]],0)),INDEX(Table3[[#All],[MOV P]],MATCH(Table5[[#This Row],[PID]],Table3[[#All],[PID]],0)))</f>
        <v>2</v>
      </c>
      <c r="N699" s="56">
        <f>IF($C699="B",INDEX(Batters[[#All],[POW P]],MATCH(Table5[[#This Row],[PID]],Batters[[#All],[PID]],0)),INDEX(Table3[[#All],[CON P]],MATCH(Table5[[#This Row],[PID]],Table3[[#All],[PID]],0)))</f>
        <v>2</v>
      </c>
      <c r="O699" s="56" t="str">
        <f>IF($C699="B",INDEX(Batters[[#All],[EYE P]],MATCH(Table5[[#This Row],[PID]],Batters[[#All],[PID]],0)),INDEX(Table3[[#All],[VELO]],MATCH(Table5[[#This Row],[PID]],Table3[[#All],[PID]],0)))</f>
        <v>86-88 Mph</v>
      </c>
      <c r="P699" s="56">
        <f>IF($C699="B",INDEX(Batters[[#All],[K P]],MATCH(Table5[[#This Row],[PID]],Batters[[#All],[PID]],0)),INDEX(Table3[[#All],[STM]],MATCH(Table5[[#This Row],[PID]],Table3[[#All],[PID]],0)))</f>
        <v>6</v>
      </c>
      <c r="Q699" s="61">
        <f>IF($C699="B",INDEX(Batters[[#All],[Tot]],MATCH(Table5[[#This Row],[PID]],Batters[[#All],[PID]],0)),INDEX(Table3[[#All],[Tot]],MATCH(Table5[[#This Row],[PID]],Table3[[#All],[PID]],0)))</f>
        <v>25.434388047786808</v>
      </c>
      <c r="R699" s="52">
        <f>IF($C699="B",INDEX(Batters[[#All],[zScore]],MATCH(Table5[[#This Row],[PID]],Batters[[#All],[PID]],0)),INDEX(Table3[[#All],[zScore]],MATCH(Table5[[#This Row],[PID]],Table3[[#All],[PID]],0)))</f>
        <v>-0.88070243536689718</v>
      </c>
      <c r="S699" s="58" t="str">
        <f>IF($C699="B",INDEX(Batters[[#All],[DEM]],MATCH(Table5[[#This Row],[PID]],Batters[[#All],[PID]],0)),INDEX(Table3[[#All],[DEM]],MATCH(Table5[[#This Row],[PID]],Table3[[#All],[PID]],0)))</f>
        <v>-</v>
      </c>
      <c r="T699" s="62">
        <f>IF($C699="B",INDEX(Batters[[#All],[Rnk]],MATCH(Table5[[#This Row],[PID]],Batters[[#All],[PID]],0)),INDEX(Table3[[#All],[Rnk]],MATCH(Table5[[#This Row],[PID]],Table3[[#All],[PID]],0)))</f>
        <v>900</v>
      </c>
      <c r="U699" s="67">
        <f>IF($C699="B",VLOOKUP($A699,Bat!$A$4:$BA$1314,47,FALSE),VLOOKUP($A699,Pit!$A$4:$BF$1214,56,FALSE))</f>
        <v>229</v>
      </c>
      <c r="V699" s="50">
        <f>IF($C699="B",VLOOKUP($A699,Bat!$A$4:$BA$1314,48,FALSE),VLOOKUP($A699,Pit!$A$4:$BF$1214,57,FALSE))</f>
        <v>0</v>
      </c>
      <c r="W699" s="68">
        <f>IF(Table5[[#This Row],[posRnk]]=999,9999,Table5[[#This Row],[posRnk]]+Table5[[#This Row],[zRnk]]+IF($W$3&lt;&gt;Table5[[#This Row],[Type]],50,0))</f>
        <v>1627</v>
      </c>
      <c r="X699" s="51">
        <f>RANK(Table5[[#This Row],[zScore]],Table5[[#All],[zScore]])</f>
        <v>727</v>
      </c>
      <c r="Y699" s="50">
        <f>IFERROR(INDEX(DraftResults[[#All],[OVR]],MATCH(Table5[[#This Row],[PID]],DraftResults[[#All],[Player ID]],0)),"")</f>
        <v>652</v>
      </c>
      <c r="Z699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20</v>
      </c>
      <c r="AA699" s="50">
        <f>IFERROR(INDEX(DraftResults[[#All],[Pick in Round]],MATCH(Table5[[#This Row],[PID]],DraftResults[[#All],[Player ID]],0)),"")</f>
        <v>15</v>
      </c>
      <c r="AB699" s="50" t="str">
        <f>IFERROR(INDEX(DraftResults[[#All],[Team Name]],MATCH(Table5[[#This Row],[PID]],DraftResults[[#All],[Player ID]],0)),"")</f>
        <v>Niihama-shi Ghosts</v>
      </c>
      <c r="AC699" s="50">
        <f>IF(Table5[[#This Row],[Ovr]]="","",IF(Table5[[#This Row],[cmbList]]="","",Table5[[#This Row],[cmbList]]-Table5[[#This Row],[Ovr]]))</f>
        <v>975</v>
      </c>
      <c r="AD699" s="54" t="str">
        <f>IF(ISERROR(VLOOKUP($AB699&amp;"-"&amp;$E699&amp;" "&amp;F699,Bonuses!$B$1:$G$1006,4,FALSE)),"",INT(VLOOKUP($AB699&amp;"-"&amp;$E699&amp;" "&amp;$F699,Bonuses!$B$1:$G$1006,4,FALSE)))</f>
        <v/>
      </c>
      <c r="AE699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20.15 (652) - RP Santiago Hernández</v>
      </c>
    </row>
    <row r="700" spans="1:31" s="50" customFormat="1" x14ac:dyDescent="0.3">
      <c r="A700" s="50">
        <v>8854</v>
      </c>
      <c r="B700" s="50">
        <f>COUNTIF(Table5[PID],A700)</f>
        <v>1</v>
      </c>
      <c r="C700" s="50" t="str">
        <f>IF(COUNTIF(Table3[[#All],[PID]],A700)&gt;0,"P","B")</f>
        <v>B</v>
      </c>
      <c r="D700" s="59" t="str">
        <f>IF($C700="B",INDEX(Batters[[#All],[POS]],MATCH(Table5[[#This Row],[PID]],Batters[[#All],[PID]],0)),INDEX(Table3[[#All],[POS]],MATCH(Table5[[#This Row],[PID]],Table3[[#All],[PID]],0)))</f>
        <v>LF</v>
      </c>
      <c r="E700" s="52" t="str">
        <f>IF($C700="B",INDEX(Batters[[#All],[First]],MATCH(Table5[[#This Row],[PID]],Batters[[#All],[PID]],0)),INDEX(Table3[[#All],[First]],MATCH(Table5[[#This Row],[PID]],Table3[[#All],[PID]],0)))</f>
        <v>Eisuke</v>
      </c>
      <c r="F700" s="50" t="str">
        <f>IF($C700="B",INDEX(Batters[[#All],[Last]],MATCH(A700,Batters[[#All],[PID]],0)),INDEX(Table3[[#All],[Last]],MATCH(A700,Table3[[#All],[PID]],0)))</f>
        <v>Suda</v>
      </c>
      <c r="G700" s="56">
        <f>IF($C700="B",INDEX(Batters[[#All],[Age]],MATCH(Table5[[#This Row],[PID]],Batters[[#All],[PID]],0)),INDEX(Table3[[#All],[Age]],MATCH(Table5[[#This Row],[PID]],Table3[[#All],[PID]],0)))</f>
        <v>21</v>
      </c>
      <c r="H700" s="52" t="str">
        <f>IF($C700="B",INDEX(Batters[[#All],[B]],MATCH(Table5[[#This Row],[PID]],Batters[[#All],[PID]],0)),INDEX(Table3[[#All],[B]],MATCH(Table5[[#This Row],[PID]],Table3[[#All],[PID]],0)))</f>
        <v>L</v>
      </c>
      <c r="I700" s="52" t="str">
        <f>IF($C700="B",INDEX(Batters[[#All],[T]],MATCH(Table5[[#This Row],[PID]],Batters[[#All],[PID]],0)),INDEX(Table3[[#All],[T]],MATCH(Table5[[#This Row],[PID]],Table3[[#All],[PID]],0)))</f>
        <v>L</v>
      </c>
      <c r="J700" s="52" t="str">
        <f>IF($C700="B",INDEX(Batters[[#All],[WE]],MATCH(Table5[[#This Row],[PID]],Batters[[#All],[PID]],0)),INDEX(Table3[[#All],[WE]],MATCH(Table5[[#This Row],[PID]],Table3[[#All],[PID]],0)))</f>
        <v>Normal</v>
      </c>
      <c r="K700" s="52" t="str">
        <f>IF($C700="B",INDEX(Batters[[#All],[INT]],MATCH(Table5[[#This Row],[PID]],Batters[[#All],[PID]],0)),INDEX(Table3[[#All],[INT]],MATCH(Table5[[#This Row],[PID]],Table3[[#All],[PID]],0)))</f>
        <v>Normal</v>
      </c>
      <c r="L700" s="60">
        <f>IF($C700="B",INDEX(Batters[[#All],[CON P]],MATCH(Table5[[#This Row],[PID]],Batters[[#All],[PID]],0)),INDEX(Table3[[#All],[STU P]],MATCH(Table5[[#This Row],[PID]],Table3[[#All],[PID]],0)))</f>
        <v>3</v>
      </c>
      <c r="M700" s="56">
        <f>IF($C700="B",INDEX(Batters[[#All],[GAP P]],MATCH(Table5[[#This Row],[PID]],Batters[[#All],[PID]],0)),INDEX(Table3[[#All],[MOV P]],MATCH(Table5[[#This Row],[PID]],Table3[[#All],[PID]],0)))</f>
        <v>2</v>
      </c>
      <c r="N700" s="56">
        <f>IF($C700="B",INDEX(Batters[[#All],[POW P]],MATCH(Table5[[#This Row],[PID]],Batters[[#All],[PID]],0)),INDEX(Table3[[#All],[CON P]],MATCH(Table5[[#This Row],[PID]],Table3[[#All],[PID]],0)))</f>
        <v>3</v>
      </c>
      <c r="O700" s="56">
        <f>IF($C700="B",INDEX(Batters[[#All],[EYE P]],MATCH(Table5[[#This Row],[PID]],Batters[[#All],[PID]],0)),INDEX(Table3[[#All],[VELO]],MATCH(Table5[[#This Row],[PID]],Table3[[#All],[PID]],0)))</f>
        <v>6</v>
      </c>
      <c r="P700" s="56">
        <f>IF($C700="B",INDEX(Batters[[#All],[K P]],MATCH(Table5[[#This Row],[PID]],Batters[[#All],[PID]],0)),INDEX(Table3[[#All],[STM]],MATCH(Table5[[#This Row],[PID]],Table3[[#All],[PID]],0)))</f>
        <v>4</v>
      </c>
      <c r="Q700" s="61">
        <f>IF($C700="B",INDEX(Batters[[#All],[Tot]],MATCH(Table5[[#This Row],[PID]],Batters[[#All],[PID]],0)),INDEX(Table3[[#All],[Tot]],MATCH(Table5[[#This Row],[PID]],Table3[[#All],[PID]],0)))</f>
        <v>37.035029551310018</v>
      </c>
      <c r="R700" s="52">
        <f>IF($C700="B",INDEX(Batters[[#All],[zScore]],MATCH(Table5[[#This Row],[PID]],Batters[[#All],[PID]],0)),INDEX(Table3[[#All],[zScore]],MATCH(Table5[[#This Row],[PID]],Table3[[#All],[PID]],0)))</f>
        <v>-0.88312720428418656</v>
      </c>
      <c r="S700" s="58" t="str">
        <f>IF($C700="B",INDEX(Batters[[#All],[DEM]],MATCH(Table5[[#This Row],[PID]],Batters[[#All],[PID]],0)),INDEX(Table3[[#All],[DEM]],MATCH(Table5[[#This Row],[PID]],Table3[[#All],[PID]],0)))</f>
        <v>-</v>
      </c>
      <c r="T700" s="62">
        <f>IF($C700="B",INDEX(Batters[[#All],[Rnk]],MATCH(Table5[[#This Row],[PID]],Batters[[#All],[PID]],0)),INDEX(Table3[[#All],[Rnk]],MATCH(Table5[[#This Row],[PID]],Table3[[#All],[PID]],0)))</f>
        <v>900</v>
      </c>
      <c r="U700" s="67">
        <f>IF($C700="B",VLOOKUP($A700,Bat!$A$4:$BA$1314,47,FALSE),VLOOKUP($A700,Pit!$A$4:$BF$1214,56,FALSE))</f>
        <v>255</v>
      </c>
      <c r="V700" s="50">
        <f>IF($C700="B",VLOOKUP($A700,Bat!$A$4:$BA$1314,48,FALSE),VLOOKUP($A700,Pit!$A$4:$BF$1214,57,FALSE))</f>
        <v>0</v>
      </c>
      <c r="W700" s="68">
        <f>IF(Table5[[#This Row],[posRnk]]=999,9999,Table5[[#This Row],[posRnk]]+Table5[[#This Row],[zRnk]]+IF($W$3&lt;&gt;Table5[[#This Row],[Type]],50,0))</f>
        <v>1678</v>
      </c>
      <c r="X700" s="51">
        <f>RANK(Table5[[#This Row],[zScore]],Table5[[#All],[zScore]])</f>
        <v>728</v>
      </c>
      <c r="Y700" s="50">
        <f>IFERROR(INDEX(DraftResults[[#All],[OVR]],MATCH(Table5[[#This Row],[PID]],DraftResults[[#All],[Player ID]],0)),"")</f>
        <v>629</v>
      </c>
      <c r="Z700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19</v>
      </c>
      <c r="AA700" s="50">
        <f>IFERROR(INDEX(DraftResults[[#All],[Pick in Round]],MATCH(Table5[[#This Row],[PID]],DraftResults[[#All],[Player ID]],0)),"")</f>
        <v>26</v>
      </c>
      <c r="AB700" s="50" t="str">
        <f>IFERROR(INDEX(DraftResults[[#All],[Team Name]],MATCH(Table5[[#This Row],[PID]],DraftResults[[#All],[Player ID]],0)),"")</f>
        <v>Aurora Borealis</v>
      </c>
      <c r="AC700" s="50">
        <f>IF(Table5[[#This Row],[Ovr]]="","",IF(Table5[[#This Row],[cmbList]]="","",Table5[[#This Row],[cmbList]]-Table5[[#This Row],[Ovr]]))</f>
        <v>1049</v>
      </c>
      <c r="AD700" s="54" t="str">
        <f>IF(ISERROR(VLOOKUP($AB700&amp;"-"&amp;$E700&amp;" "&amp;F700,Bonuses!$B$1:$G$1006,4,FALSE)),"",INT(VLOOKUP($AB700&amp;"-"&amp;$E700&amp;" "&amp;$F700,Bonuses!$B$1:$G$1006,4,FALSE)))</f>
        <v/>
      </c>
      <c r="AE700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19.26 (629) - LF Eisuke Suda</v>
      </c>
    </row>
    <row r="701" spans="1:31" s="50" customFormat="1" x14ac:dyDescent="0.3">
      <c r="A701" s="50">
        <v>20214</v>
      </c>
      <c r="B701" s="50">
        <f>COUNTIF(Table5[PID],A701)</f>
        <v>1</v>
      </c>
      <c r="C701" s="50" t="str">
        <f>IF(COUNTIF(Table3[[#All],[PID]],A701)&gt;0,"P","B")</f>
        <v>P</v>
      </c>
      <c r="D701" s="59" t="str">
        <f>IF($C701="B",INDEX(Batters[[#All],[POS]],MATCH(Table5[[#This Row],[PID]],Batters[[#All],[PID]],0)),INDEX(Table3[[#All],[POS]],MATCH(Table5[[#This Row],[PID]],Table3[[#All],[PID]],0)))</f>
        <v>SP</v>
      </c>
      <c r="E701" s="52" t="str">
        <f>IF($C701="B",INDEX(Batters[[#All],[First]],MATCH(Table5[[#This Row],[PID]],Batters[[#All],[PID]],0)),INDEX(Table3[[#All],[First]],MATCH(Table5[[#This Row],[PID]],Table3[[#All],[PID]],0)))</f>
        <v>Lee</v>
      </c>
      <c r="F701" s="50" t="str">
        <f>IF($C701="B",INDEX(Batters[[#All],[Last]],MATCH(A701,Batters[[#All],[PID]],0)),INDEX(Table3[[#All],[Last]],MATCH(A701,Table3[[#All],[PID]],0)))</f>
        <v>Warren</v>
      </c>
      <c r="G701" s="56">
        <f>IF($C701="B",INDEX(Batters[[#All],[Age]],MATCH(Table5[[#This Row],[PID]],Batters[[#All],[PID]],0)),INDEX(Table3[[#All],[Age]],MATCH(Table5[[#This Row],[PID]],Table3[[#All],[PID]],0)))</f>
        <v>23</v>
      </c>
      <c r="H701" s="52" t="str">
        <f>IF($C701="B",INDEX(Batters[[#All],[B]],MATCH(Table5[[#This Row],[PID]],Batters[[#All],[PID]],0)),INDEX(Table3[[#All],[B]],MATCH(Table5[[#This Row],[PID]],Table3[[#All],[PID]],0)))</f>
        <v>L</v>
      </c>
      <c r="I701" s="52" t="str">
        <f>IF($C701="B",INDEX(Batters[[#All],[T]],MATCH(Table5[[#This Row],[PID]],Batters[[#All],[PID]],0)),INDEX(Table3[[#All],[T]],MATCH(Table5[[#This Row],[PID]],Table3[[#All],[PID]],0)))</f>
        <v>L</v>
      </c>
      <c r="J701" s="52" t="str">
        <f>IF($C701="B",INDEX(Batters[[#All],[WE]],MATCH(Table5[[#This Row],[PID]],Batters[[#All],[PID]],0)),INDEX(Table3[[#All],[WE]],MATCH(Table5[[#This Row],[PID]],Table3[[#All],[PID]],0)))</f>
        <v>Low</v>
      </c>
      <c r="K701" s="52" t="str">
        <f>IF($C701="B",INDEX(Batters[[#All],[INT]],MATCH(Table5[[#This Row],[PID]],Batters[[#All],[PID]],0)),INDEX(Table3[[#All],[INT]],MATCH(Table5[[#This Row],[PID]],Table3[[#All],[PID]],0)))</f>
        <v>Normal</v>
      </c>
      <c r="L701" s="60">
        <f>IF($C701="B",INDEX(Batters[[#All],[CON P]],MATCH(Table5[[#This Row],[PID]],Batters[[#All],[PID]],0)),INDEX(Table3[[#All],[STU P]],MATCH(Table5[[#This Row],[PID]],Table3[[#All],[PID]],0)))</f>
        <v>4</v>
      </c>
      <c r="M701" s="56">
        <f>IF($C701="B",INDEX(Batters[[#All],[GAP P]],MATCH(Table5[[#This Row],[PID]],Batters[[#All],[PID]],0)),INDEX(Table3[[#All],[MOV P]],MATCH(Table5[[#This Row],[PID]],Table3[[#All],[PID]],0)))</f>
        <v>1</v>
      </c>
      <c r="N701" s="56">
        <f>IF($C701="B",INDEX(Batters[[#All],[POW P]],MATCH(Table5[[#This Row],[PID]],Batters[[#All],[PID]],0)),INDEX(Table3[[#All],[CON P]],MATCH(Table5[[#This Row],[PID]],Table3[[#All],[PID]],0)))</f>
        <v>3</v>
      </c>
      <c r="O701" s="56" t="str">
        <f>IF($C701="B",INDEX(Batters[[#All],[EYE P]],MATCH(Table5[[#This Row],[PID]],Batters[[#All],[PID]],0)),INDEX(Table3[[#All],[VELO]],MATCH(Table5[[#This Row],[PID]],Table3[[#All],[PID]],0)))</f>
        <v>89-91 Mph</v>
      </c>
      <c r="P701" s="56">
        <f>IF($C701="B",INDEX(Batters[[#All],[K P]],MATCH(Table5[[#This Row],[PID]],Batters[[#All],[PID]],0)),INDEX(Table3[[#All],[STM]],MATCH(Table5[[#This Row],[PID]],Table3[[#All],[PID]],0)))</f>
        <v>9</v>
      </c>
      <c r="Q701" s="61">
        <f>IF($C701="B",INDEX(Batters[[#All],[Tot]],MATCH(Table5[[#This Row],[PID]],Batters[[#All],[PID]],0)),INDEX(Table3[[#All],[Tot]],MATCH(Table5[[#This Row],[PID]],Table3[[#All],[PID]],0)))</f>
        <v>26.339020276736086</v>
      </c>
      <c r="R701" s="52">
        <f>IF($C701="B",INDEX(Batters[[#All],[zScore]],MATCH(Table5[[#This Row],[PID]],Batters[[#All],[PID]],0)),INDEX(Table3[[#All],[zScore]],MATCH(Table5[[#This Row],[PID]],Table3[[#All],[PID]],0)))</f>
        <v>-0.81628625850215275</v>
      </c>
      <c r="S701" s="58" t="str">
        <f>IF($C701="B",INDEX(Batters[[#All],[DEM]],MATCH(Table5[[#This Row],[PID]],Batters[[#All],[PID]],0)),INDEX(Table3[[#All],[DEM]],MATCH(Table5[[#This Row],[PID]],Table3[[#All],[PID]],0)))</f>
        <v>Slot</v>
      </c>
      <c r="T701" s="62">
        <f>IF($C701="B",INDEX(Batters[[#All],[Rnk]],MATCH(Table5[[#This Row],[PID]],Batters[[#All],[PID]],0)),INDEX(Table3[[#All],[Rnk]],MATCH(Table5[[#This Row],[PID]],Table3[[#All],[PID]],0)))</f>
        <v>930</v>
      </c>
      <c r="U701" s="67">
        <f>IF($C701="B",VLOOKUP($A701,Bat!$A$4:$BA$1314,47,FALSE),VLOOKUP($A701,Pit!$A$4:$BF$1214,56,FALSE))</f>
        <v>351</v>
      </c>
      <c r="V701" s="50">
        <f>IF($C701="B",VLOOKUP($A701,Bat!$A$4:$BA$1314,48,FALSE),VLOOKUP($A701,Pit!$A$4:$BF$1214,57,FALSE))</f>
        <v>0</v>
      </c>
      <c r="W701" s="68">
        <f>IF(Table5[[#This Row],[posRnk]]=999,9999,Table5[[#This Row],[posRnk]]+Table5[[#This Row],[zRnk]]+IF($W$3&lt;&gt;Table5[[#This Row],[Type]],50,0))</f>
        <v>1628</v>
      </c>
      <c r="X701" s="51">
        <f>RANK(Table5[[#This Row],[zScore]],Table5[[#All],[zScore]])</f>
        <v>698</v>
      </c>
      <c r="Y701" s="50">
        <f>IFERROR(INDEX(DraftResults[[#All],[OVR]],MATCH(Table5[[#This Row],[PID]],DraftResults[[#All],[Player ID]],0)),"")</f>
        <v>436</v>
      </c>
      <c r="Z701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14</v>
      </c>
      <c r="AA701" s="50">
        <f>IFERROR(INDEX(DraftResults[[#All],[Pick in Round]],MATCH(Table5[[#This Row],[PID]],DraftResults[[#All],[Player ID]],0)),"")</f>
        <v>3</v>
      </c>
      <c r="AB701" s="50" t="str">
        <f>IFERROR(INDEX(DraftResults[[#All],[Team Name]],MATCH(Table5[[#This Row],[PID]],DraftResults[[#All],[Player ID]],0)),"")</f>
        <v>Okinawa Shisa</v>
      </c>
      <c r="AC701" s="50">
        <f>IF(Table5[[#This Row],[Ovr]]="","",IF(Table5[[#This Row],[cmbList]]="","",Table5[[#This Row],[cmbList]]-Table5[[#This Row],[Ovr]]))</f>
        <v>1192</v>
      </c>
      <c r="AD701" s="54" t="str">
        <f>IF(ISERROR(VLOOKUP($AB701&amp;"-"&amp;$E701&amp;" "&amp;F701,Bonuses!$B$1:$G$1006,4,FALSE)),"",INT(VLOOKUP($AB701&amp;"-"&amp;$E701&amp;" "&amp;$F701,Bonuses!$B$1:$G$1006,4,FALSE)))</f>
        <v/>
      </c>
      <c r="AE701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14.3 (436) - SP Lee Warren</v>
      </c>
    </row>
    <row r="702" spans="1:31" s="50" customFormat="1" x14ac:dyDescent="0.3">
      <c r="A702" s="50">
        <v>15667</v>
      </c>
      <c r="B702" s="50">
        <f>COUNTIF(Table5[PID],A702)</f>
        <v>1</v>
      </c>
      <c r="C702" s="50" t="str">
        <f>IF(COUNTIF(Table3[[#All],[PID]],A702)&gt;0,"P","B")</f>
        <v>B</v>
      </c>
      <c r="D702" s="59" t="str">
        <f>IF($C702="B",INDEX(Batters[[#All],[POS]],MATCH(Table5[[#This Row],[PID]],Batters[[#All],[PID]],0)),INDEX(Table3[[#All],[POS]],MATCH(Table5[[#This Row],[PID]],Table3[[#All],[PID]],0)))</f>
        <v>C</v>
      </c>
      <c r="E702" s="52" t="str">
        <f>IF($C702="B",INDEX(Batters[[#All],[First]],MATCH(Table5[[#This Row],[PID]],Batters[[#All],[PID]],0)),INDEX(Table3[[#All],[First]],MATCH(Table5[[#This Row],[PID]],Table3[[#All],[PID]],0)))</f>
        <v>Shingen</v>
      </c>
      <c r="F702" s="50" t="str">
        <f>IF($C702="B",INDEX(Batters[[#All],[Last]],MATCH(A702,Batters[[#All],[PID]],0)),INDEX(Table3[[#All],[Last]],MATCH(A702,Table3[[#All],[PID]],0)))</f>
        <v>Yamamoto</v>
      </c>
      <c r="G702" s="56">
        <f>IF($C702="B",INDEX(Batters[[#All],[Age]],MATCH(Table5[[#This Row],[PID]],Batters[[#All],[PID]],0)),INDEX(Table3[[#All],[Age]],MATCH(Table5[[#This Row],[PID]],Table3[[#All],[PID]],0)))</f>
        <v>22</v>
      </c>
      <c r="H702" s="52" t="str">
        <f>IF($C702="B",INDEX(Batters[[#All],[B]],MATCH(Table5[[#This Row],[PID]],Batters[[#All],[PID]],0)),INDEX(Table3[[#All],[B]],MATCH(Table5[[#This Row],[PID]],Table3[[#All],[PID]],0)))</f>
        <v>L</v>
      </c>
      <c r="I702" s="52" t="str">
        <f>IF($C702="B",INDEX(Batters[[#All],[T]],MATCH(Table5[[#This Row],[PID]],Batters[[#All],[PID]],0)),INDEX(Table3[[#All],[T]],MATCH(Table5[[#This Row],[PID]],Table3[[#All],[PID]],0)))</f>
        <v>R</v>
      </c>
      <c r="J702" s="52" t="str">
        <f>IF($C702="B",INDEX(Batters[[#All],[WE]],MATCH(Table5[[#This Row],[PID]],Batters[[#All],[PID]],0)),INDEX(Table3[[#All],[WE]],MATCH(Table5[[#This Row],[PID]],Table3[[#All],[PID]],0)))</f>
        <v>Normal</v>
      </c>
      <c r="K702" s="52" t="str">
        <f>IF($C702="B",INDEX(Batters[[#All],[INT]],MATCH(Table5[[#This Row],[PID]],Batters[[#All],[PID]],0)),INDEX(Table3[[#All],[INT]],MATCH(Table5[[#This Row],[PID]],Table3[[#All],[PID]],0)))</f>
        <v>Normal</v>
      </c>
      <c r="L702" s="60">
        <f>IF($C702="B",INDEX(Batters[[#All],[CON P]],MATCH(Table5[[#This Row],[PID]],Batters[[#All],[PID]],0)),INDEX(Table3[[#All],[STU P]],MATCH(Table5[[#This Row],[PID]],Table3[[#All],[PID]],0)))</f>
        <v>3</v>
      </c>
      <c r="M702" s="56">
        <f>IF($C702="B",INDEX(Batters[[#All],[GAP P]],MATCH(Table5[[#This Row],[PID]],Batters[[#All],[PID]],0)),INDEX(Table3[[#All],[MOV P]],MATCH(Table5[[#This Row],[PID]],Table3[[#All],[PID]],0)))</f>
        <v>3</v>
      </c>
      <c r="N702" s="56">
        <f>IF($C702="B",INDEX(Batters[[#All],[POW P]],MATCH(Table5[[#This Row],[PID]],Batters[[#All],[PID]],0)),INDEX(Table3[[#All],[CON P]],MATCH(Table5[[#This Row],[PID]],Table3[[#All],[PID]],0)))</f>
        <v>3</v>
      </c>
      <c r="O702" s="56">
        <f>IF($C702="B",INDEX(Batters[[#All],[EYE P]],MATCH(Table5[[#This Row],[PID]],Batters[[#All],[PID]],0)),INDEX(Table3[[#All],[VELO]],MATCH(Table5[[#This Row],[PID]],Table3[[#All],[PID]],0)))</f>
        <v>6</v>
      </c>
      <c r="P702" s="56">
        <f>IF($C702="B",INDEX(Batters[[#All],[K P]],MATCH(Table5[[#This Row],[PID]],Batters[[#All],[PID]],0)),INDEX(Table3[[#All],[STM]],MATCH(Table5[[#This Row],[PID]],Table3[[#All],[PID]],0)))</f>
        <v>3</v>
      </c>
      <c r="Q702" s="61">
        <f>IF($C702="B",INDEX(Batters[[#All],[Tot]],MATCH(Table5[[#This Row],[PID]],Batters[[#All],[PID]],0)),INDEX(Table3[[#All],[Tot]],MATCH(Table5[[#This Row],[PID]],Table3[[#All],[PID]],0)))</f>
        <v>37.160350233507231</v>
      </c>
      <c r="R702" s="52">
        <f>IF($C702="B",INDEX(Batters[[#All],[zScore]],MATCH(Table5[[#This Row],[PID]],Batters[[#All],[PID]],0)),INDEX(Table3[[#All],[zScore]],MATCH(Table5[[#This Row],[PID]],Table3[[#All],[PID]],0)))</f>
        <v>-0.8842952912090779</v>
      </c>
      <c r="S702" s="58" t="str">
        <f>IF($C702="B",INDEX(Batters[[#All],[DEM]],MATCH(Table5[[#This Row],[PID]],Batters[[#All],[PID]],0)),INDEX(Table3[[#All],[DEM]],MATCH(Table5[[#This Row],[PID]],Table3[[#All],[PID]],0)))</f>
        <v>-</v>
      </c>
      <c r="T702" s="62">
        <f>IF($C702="B",INDEX(Batters[[#All],[Rnk]],MATCH(Table5[[#This Row],[PID]],Batters[[#All],[PID]],0)),INDEX(Table3[[#All],[Rnk]],MATCH(Table5[[#This Row],[PID]],Table3[[#All],[PID]],0)))</f>
        <v>900</v>
      </c>
      <c r="U702" s="67">
        <f>IF($C702="B",VLOOKUP($A702,Bat!$A$4:$BA$1314,47,FALSE),VLOOKUP($A702,Pit!$A$4:$BF$1214,56,FALSE))</f>
        <v>257</v>
      </c>
      <c r="V702" s="50">
        <f>IF($C702="B",VLOOKUP($A702,Bat!$A$4:$BA$1314,48,FALSE),VLOOKUP($A702,Pit!$A$4:$BF$1214,57,FALSE))</f>
        <v>0</v>
      </c>
      <c r="W702" s="68">
        <f>IF(Table5[[#This Row],[posRnk]]=999,9999,Table5[[#This Row],[posRnk]]+Table5[[#This Row],[zRnk]]+IF($W$3&lt;&gt;Table5[[#This Row],[Type]],50,0))</f>
        <v>1679</v>
      </c>
      <c r="X702" s="51">
        <f>RANK(Table5[[#This Row],[zScore]],Table5[[#All],[zScore]])</f>
        <v>729</v>
      </c>
      <c r="Y702" s="50">
        <f>IFERROR(INDEX(DraftResults[[#All],[OVR]],MATCH(Table5[[#This Row],[PID]],DraftResults[[#All],[Player ID]],0)),"")</f>
        <v>608</v>
      </c>
      <c r="Z702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19</v>
      </c>
      <c r="AA702" s="50">
        <f>IFERROR(INDEX(DraftResults[[#All],[Pick in Round]],MATCH(Table5[[#This Row],[PID]],DraftResults[[#All],[Player ID]],0)),"")</f>
        <v>5</v>
      </c>
      <c r="AB702" s="50" t="str">
        <f>IFERROR(INDEX(DraftResults[[#All],[Team Name]],MATCH(Table5[[#This Row],[PID]],DraftResults[[#All],[Player ID]],0)),"")</f>
        <v>Tempe Knights</v>
      </c>
      <c r="AC702" s="50">
        <f>IF(Table5[[#This Row],[Ovr]]="","",IF(Table5[[#This Row],[cmbList]]="","",Table5[[#This Row],[cmbList]]-Table5[[#This Row],[Ovr]]))</f>
        <v>1071</v>
      </c>
      <c r="AD702" s="54" t="str">
        <f>IF(ISERROR(VLOOKUP($AB702&amp;"-"&amp;$E702&amp;" "&amp;F702,Bonuses!$B$1:$G$1006,4,FALSE)),"",INT(VLOOKUP($AB702&amp;"-"&amp;$E702&amp;" "&amp;$F702,Bonuses!$B$1:$G$1006,4,FALSE)))</f>
        <v/>
      </c>
      <c r="AE702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19.5 (608) - C Shingen Yamamoto</v>
      </c>
    </row>
    <row r="703" spans="1:31" s="50" customFormat="1" x14ac:dyDescent="0.3">
      <c r="A703" s="50">
        <v>14060</v>
      </c>
      <c r="B703" s="55">
        <f>COUNTIF(Table5[PID],A703)</f>
        <v>1</v>
      </c>
      <c r="C703" s="55" t="str">
        <f>IF(COUNTIF(Table3[[#All],[PID]],A703)&gt;0,"P","B")</f>
        <v>B</v>
      </c>
      <c r="D703" s="59" t="str">
        <f>IF($C703="B",INDEX(Batters[[#All],[POS]],MATCH(Table5[[#This Row],[PID]],Batters[[#All],[PID]],0)),INDEX(Table3[[#All],[POS]],MATCH(Table5[[#This Row],[PID]],Table3[[#All],[PID]],0)))</f>
        <v>RF</v>
      </c>
      <c r="E703" s="52" t="str">
        <f>IF($C703="B",INDEX(Batters[[#All],[First]],MATCH(Table5[[#This Row],[PID]],Batters[[#All],[PID]],0)),INDEX(Table3[[#All],[First]],MATCH(Table5[[#This Row],[PID]],Table3[[#All],[PID]],0)))</f>
        <v>Juan Luis</v>
      </c>
      <c r="F703" s="50" t="str">
        <f>IF($C703="B",INDEX(Batters[[#All],[Last]],MATCH(A703,Batters[[#All],[PID]],0)),INDEX(Table3[[#All],[Last]],MATCH(A703,Table3[[#All],[PID]],0)))</f>
        <v>González</v>
      </c>
      <c r="G703" s="56">
        <f>IF($C703="B",INDEX(Batters[[#All],[Age]],MATCH(Table5[[#This Row],[PID]],Batters[[#All],[PID]],0)),INDEX(Table3[[#All],[Age]],MATCH(Table5[[#This Row],[PID]],Table3[[#All],[PID]],0)))</f>
        <v>22</v>
      </c>
      <c r="H703" s="52" t="str">
        <f>IF($C703="B",INDEX(Batters[[#All],[B]],MATCH(Table5[[#This Row],[PID]],Batters[[#All],[PID]],0)),INDEX(Table3[[#All],[B]],MATCH(Table5[[#This Row],[PID]],Table3[[#All],[PID]],0)))</f>
        <v>L</v>
      </c>
      <c r="I703" s="52" t="str">
        <f>IF($C703="B",INDEX(Batters[[#All],[T]],MATCH(Table5[[#This Row],[PID]],Batters[[#All],[PID]],0)),INDEX(Table3[[#All],[T]],MATCH(Table5[[#This Row],[PID]],Table3[[#All],[PID]],0)))</f>
        <v>R</v>
      </c>
      <c r="J703" s="52" t="str">
        <f>IF($C703="B",INDEX(Batters[[#All],[WE]],MATCH(Table5[[#This Row],[PID]],Batters[[#All],[PID]],0)),INDEX(Table3[[#All],[WE]],MATCH(Table5[[#This Row],[PID]],Table3[[#All],[PID]],0)))</f>
        <v>Low</v>
      </c>
      <c r="K703" s="52" t="str">
        <f>IF($C703="B",INDEX(Batters[[#All],[INT]],MATCH(Table5[[#This Row],[PID]],Batters[[#All],[PID]],0)),INDEX(Table3[[#All],[INT]],MATCH(Table5[[#This Row],[PID]],Table3[[#All],[PID]],0)))</f>
        <v>Normal</v>
      </c>
      <c r="L703" s="60">
        <f>IF($C703="B",INDEX(Batters[[#All],[CON P]],MATCH(Table5[[#This Row],[PID]],Batters[[#All],[PID]],0)),INDEX(Table3[[#All],[STU P]],MATCH(Table5[[#This Row],[PID]],Table3[[#All],[PID]],0)))</f>
        <v>3</v>
      </c>
      <c r="M703" s="56">
        <f>IF($C703="B",INDEX(Batters[[#All],[GAP P]],MATCH(Table5[[#This Row],[PID]],Batters[[#All],[PID]],0)),INDEX(Table3[[#All],[MOV P]],MATCH(Table5[[#This Row],[PID]],Table3[[#All],[PID]],0)))</f>
        <v>4</v>
      </c>
      <c r="N703" s="56">
        <f>IF($C703="B",INDEX(Batters[[#All],[POW P]],MATCH(Table5[[#This Row],[PID]],Batters[[#All],[PID]],0)),INDEX(Table3[[#All],[CON P]],MATCH(Table5[[#This Row],[PID]],Table3[[#All],[PID]],0)))</f>
        <v>4</v>
      </c>
      <c r="O703" s="56">
        <f>IF($C703="B",INDEX(Batters[[#All],[EYE P]],MATCH(Table5[[#This Row],[PID]],Batters[[#All],[PID]],0)),INDEX(Table3[[#All],[VELO]],MATCH(Table5[[#This Row],[PID]],Table3[[#All],[PID]],0)))</f>
        <v>5</v>
      </c>
      <c r="P703" s="56">
        <f>IF($C703="B",INDEX(Batters[[#All],[K P]],MATCH(Table5[[#This Row],[PID]],Batters[[#All],[PID]],0)),INDEX(Table3[[#All],[STM]],MATCH(Table5[[#This Row],[PID]],Table3[[#All],[PID]],0)))</f>
        <v>3</v>
      </c>
      <c r="Q703" s="61">
        <f>IF($C703="B",INDEX(Batters[[#All],[Tot]],MATCH(Table5[[#This Row],[PID]],Batters[[#All],[PID]],0)),INDEX(Table3[[#All],[Tot]],MATCH(Table5[[#This Row],[PID]],Table3[[#All],[PID]],0)))</f>
        <v>37.532144382513223</v>
      </c>
      <c r="R703" s="52">
        <f>IF($C703="B",INDEX(Batters[[#All],[zScore]],MATCH(Table5[[#This Row],[PID]],Batters[[#All],[PID]],0)),INDEX(Table3[[#All],[zScore]],MATCH(Table5[[#This Row],[PID]],Table3[[#All],[PID]],0)))</f>
        <v>-0.83002520210080155</v>
      </c>
      <c r="S703" s="58" t="str">
        <f>IF($C703="B",INDEX(Batters[[#All],[DEM]],MATCH(Table5[[#This Row],[PID]],Batters[[#All],[PID]],0)),INDEX(Table3[[#All],[DEM]],MATCH(Table5[[#This Row],[PID]],Table3[[#All],[PID]],0)))</f>
        <v>$20k</v>
      </c>
      <c r="T703" s="62">
        <f>IF($C703="B",INDEX(Batters[[#All],[Rnk]],MATCH(Table5[[#This Row],[PID]],Batters[[#All],[PID]],0)),INDEX(Table3[[#All],[Rnk]],MATCH(Table5[[#This Row],[PID]],Table3[[#All],[PID]],0)))</f>
        <v>930</v>
      </c>
      <c r="U703" s="67">
        <f>IF($C703="B",VLOOKUP($A703,Bat!$A$4:$BA$1314,47,FALSE),VLOOKUP($A703,Pit!$A$4:$BF$1214,56,FALSE))</f>
        <v>365</v>
      </c>
      <c r="V703" s="50">
        <f>IF($C703="B",VLOOKUP($A703,Bat!$A$4:$BA$1314,48,FALSE),VLOOKUP($A703,Pit!$A$4:$BF$1214,57,FALSE))</f>
        <v>0</v>
      </c>
      <c r="W703" s="68">
        <f>IF(Table5[[#This Row],[posRnk]]=999,9999,Table5[[#This Row],[posRnk]]+Table5[[#This Row],[zRnk]]+IF($W$3&lt;&gt;Table5[[#This Row],[Type]],50,0))</f>
        <v>1681</v>
      </c>
      <c r="X703" s="51">
        <f>RANK(Table5[[#This Row],[zScore]],Table5[[#All],[zScore]])</f>
        <v>701</v>
      </c>
      <c r="Y703" s="50">
        <f>IFERROR(INDEX(DraftResults[[#All],[OVR]],MATCH(Table5[[#This Row],[PID]],DraftResults[[#All],[Player ID]],0)),"")</f>
        <v>319</v>
      </c>
      <c r="Z703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10</v>
      </c>
      <c r="AA703" s="50">
        <f>IFERROR(INDEX(DraftResults[[#All],[Pick in Round]],MATCH(Table5[[#This Row],[PID]],DraftResults[[#All],[Player ID]],0)),"")</f>
        <v>22</v>
      </c>
      <c r="AB703" s="50" t="str">
        <f>IFERROR(INDEX(DraftResults[[#All],[Team Name]],MATCH(Table5[[#This Row],[PID]],DraftResults[[#All],[Player ID]],0)),"")</f>
        <v>Bakersfield Bears</v>
      </c>
      <c r="AC703" s="50">
        <f>IF(Table5[[#This Row],[Ovr]]="","",IF(Table5[[#This Row],[cmbList]]="","",Table5[[#This Row],[cmbList]]-Table5[[#This Row],[Ovr]]))</f>
        <v>1362</v>
      </c>
      <c r="AD703" s="54" t="str">
        <f>IF(ISERROR(VLOOKUP($AB703&amp;"-"&amp;$E703&amp;" "&amp;F703,Bonuses!$B$1:$G$1006,4,FALSE)),"",INT(VLOOKUP($AB703&amp;"-"&amp;$E703&amp;" "&amp;$F703,Bonuses!$B$1:$G$1006,4,FALSE)))</f>
        <v/>
      </c>
      <c r="AE703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10.22 (319) - RF Juan Luis González</v>
      </c>
    </row>
    <row r="704" spans="1:31" s="50" customFormat="1" x14ac:dyDescent="0.3">
      <c r="A704" s="50">
        <v>21009</v>
      </c>
      <c r="B704" s="50">
        <f>COUNTIF(Table5[PID],A704)</f>
        <v>1</v>
      </c>
      <c r="C704" s="50" t="str">
        <f>IF(COUNTIF(Table3[[#All],[PID]],A704)&gt;0,"P","B")</f>
        <v>P</v>
      </c>
      <c r="D704" s="59" t="str">
        <f>IF($C704="B",INDEX(Batters[[#All],[POS]],MATCH(Table5[[#This Row],[PID]],Batters[[#All],[PID]],0)),INDEX(Table3[[#All],[POS]],MATCH(Table5[[#This Row],[PID]],Table3[[#All],[PID]],0)))</f>
        <v>RP</v>
      </c>
      <c r="E704" s="52" t="str">
        <f>IF($C704="B",INDEX(Batters[[#All],[First]],MATCH(Table5[[#This Row],[PID]],Batters[[#All],[PID]],0)),INDEX(Table3[[#All],[First]],MATCH(Table5[[#This Row],[PID]],Table3[[#All],[PID]],0)))</f>
        <v>Jeffery</v>
      </c>
      <c r="F704" s="50" t="str">
        <f>IF($C704="B",INDEX(Batters[[#All],[Last]],MATCH(A704,Batters[[#All],[PID]],0)),INDEX(Table3[[#All],[Last]],MATCH(A704,Table3[[#All],[PID]],0)))</f>
        <v>Elliott</v>
      </c>
      <c r="G704" s="56">
        <f>IF($C704="B",INDEX(Batters[[#All],[Age]],MATCH(Table5[[#This Row],[PID]],Batters[[#All],[PID]],0)),INDEX(Table3[[#All],[Age]],MATCH(Table5[[#This Row],[PID]],Table3[[#All],[PID]],0)))</f>
        <v>17</v>
      </c>
      <c r="H704" s="52" t="str">
        <f>IF($C704="B",INDEX(Batters[[#All],[B]],MATCH(Table5[[#This Row],[PID]],Batters[[#All],[PID]],0)),INDEX(Table3[[#All],[B]],MATCH(Table5[[#This Row],[PID]],Table3[[#All],[PID]],0)))</f>
        <v>R</v>
      </c>
      <c r="I704" s="52" t="str">
        <f>IF($C704="B",INDEX(Batters[[#All],[T]],MATCH(Table5[[#This Row],[PID]],Batters[[#All],[PID]],0)),INDEX(Table3[[#All],[T]],MATCH(Table5[[#This Row],[PID]],Table3[[#All],[PID]],0)))</f>
        <v>R</v>
      </c>
      <c r="J704" s="52" t="str">
        <f>IF($C704="B",INDEX(Batters[[#All],[WE]],MATCH(Table5[[#This Row],[PID]],Batters[[#All],[PID]],0)),INDEX(Table3[[#All],[WE]],MATCH(Table5[[#This Row],[PID]],Table3[[#All],[PID]],0)))</f>
        <v>Normal</v>
      </c>
      <c r="K704" s="52" t="str">
        <f>IF($C704="B",INDEX(Batters[[#All],[INT]],MATCH(Table5[[#This Row],[PID]],Batters[[#All],[PID]],0)),INDEX(Table3[[#All],[INT]],MATCH(Table5[[#This Row],[PID]],Table3[[#All],[PID]],0)))</f>
        <v>Normal</v>
      </c>
      <c r="L704" s="60">
        <f>IF($C704="B",INDEX(Batters[[#All],[CON P]],MATCH(Table5[[#This Row],[PID]],Batters[[#All],[PID]],0)),INDEX(Table3[[#All],[STU P]],MATCH(Table5[[#This Row],[PID]],Table3[[#All],[PID]],0)))</f>
        <v>4</v>
      </c>
      <c r="M704" s="56">
        <f>IF($C704="B",INDEX(Batters[[#All],[GAP P]],MATCH(Table5[[#This Row],[PID]],Batters[[#All],[PID]],0)),INDEX(Table3[[#All],[MOV P]],MATCH(Table5[[#This Row],[PID]],Table3[[#All],[PID]],0)))</f>
        <v>1</v>
      </c>
      <c r="N704" s="56">
        <f>IF($C704="B",INDEX(Batters[[#All],[POW P]],MATCH(Table5[[#This Row],[PID]],Batters[[#All],[PID]],0)),INDEX(Table3[[#All],[CON P]],MATCH(Table5[[#This Row],[PID]],Table3[[#All],[PID]],0)))</f>
        <v>3</v>
      </c>
      <c r="O704" s="56" t="str">
        <f>IF($C704="B",INDEX(Batters[[#All],[EYE P]],MATCH(Table5[[#This Row],[PID]],Batters[[#All],[PID]],0)),INDEX(Table3[[#All],[VELO]],MATCH(Table5[[#This Row],[PID]],Table3[[#All],[PID]],0)))</f>
        <v>86-88 Mph</v>
      </c>
      <c r="P704" s="56">
        <f>IF($C704="B",INDEX(Batters[[#All],[K P]],MATCH(Table5[[#This Row],[PID]],Batters[[#All],[PID]],0)),INDEX(Table3[[#All],[STM]],MATCH(Table5[[#This Row],[PID]],Table3[[#All],[PID]],0)))</f>
        <v>4</v>
      </c>
      <c r="Q704" s="61">
        <f>IF($C704="B",INDEX(Batters[[#All],[Tot]],MATCH(Table5[[#This Row],[PID]],Batters[[#All],[PID]],0)),INDEX(Table3[[#All],[Tot]],MATCH(Table5[[#This Row],[PID]],Table3[[#All],[PID]],0)))</f>
        <v>25.337704507260973</v>
      </c>
      <c r="R704" s="52">
        <f>IF($C704="B",INDEX(Batters[[#All],[zScore]],MATCH(Table5[[#This Row],[PID]],Batters[[#All],[PID]],0)),INDEX(Table3[[#All],[zScore]],MATCH(Table5[[#This Row],[PID]],Table3[[#All],[PID]],0)))</f>
        <v>-0.88758698341539588</v>
      </c>
      <c r="S704" s="58" t="str">
        <f>IF($C704="B",INDEX(Batters[[#All],[DEM]],MATCH(Table5[[#This Row],[PID]],Batters[[#All],[PID]],0)),INDEX(Table3[[#All],[DEM]],MATCH(Table5[[#This Row],[PID]],Table3[[#All],[PID]],0)))</f>
        <v>$70k</v>
      </c>
      <c r="T704" s="62">
        <f>IF($C704="B",INDEX(Batters[[#All],[Rnk]],MATCH(Table5[[#This Row],[PID]],Batters[[#All],[PID]],0)),INDEX(Table3[[#All],[Rnk]],MATCH(Table5[[#This Row],[PID]],Table3[[#All],[PID]],0)))</f>
        <v>900</v>
      </c>
      <c r="U704" s="67">
        <f>IF($C704="B",VLOOKUP($A704,Bat!$A$4:$BA$1314,47,FALSE),VLOOKUP($A704,Pit!$A$4:$BF$1214,56,FALSE))</f>
        <v>236</v>
      </c>
      <c r="V704" s="50">
        <f>IF($C704="B",VLOOKUP($A704,Bat!$A$4:$BA$1314,48,FALSE),VLOOKUP($A704,Pit!$A$4:$BF$1214,57,FALSE))</f>
        <v>0</v>
      </c>
      <c r="W704" s="68">
        <f>IF(Table5[[#This Row],[posRnk]]=999,9999,Table5[[#This Row],[posRnk]]+Table5[[#This Row],[zRnk]]+IF($W$3&lt;&gt;Table5[[#This Row],[Type]],50,0))</f>
        <v>1632</v>
      </c>
      <c r="X704" s="51">
        <f>RANK(Table5[[#This Row],[zScore]],Table5[[#All],[zScore]])</f>
        <v>732</v>
      </c>
      <c r="Y704" s="50" t="str">
        <f>IFERROR(INDEX(DraftResults[[#All],[OVR]],MATCH(Table5[[#This Row],[PID]],DraftResults[[#All],[Player ID]],0)),"")</f>
        <v/>
      </c>
      <c r="Z704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/>
      </c>
      <c r="AA704" s="50" t="str">
        <f>IFERROR(INDEX(DraftResults[[#All],[Pick in Round]],MATCH(Table5[[#This Row],[PID]],DraftResults[[#All],[Player ID]],0)),"")</f>
        <v/>
      </c>
      <c r="AB704" s="50" t="str">
        <f>IFERROR(INDEX(DraftResults[[#All],[Team Name]],MATCH(Table5[[#This Row],[PID]],DraftResults[[#All],[Player ID]],0)),"")</f>
        <v/>
      </c>
      <c r="AC704" s="50" t="str">
        <f>IF(Table5[[#This Row],[Ovr]]="","",IF(Table5[[#This Row],[cmbList]]="","",Table5[[#This Row],[cmbList]]-Table5[[#This Row],[Ovr]]))</f>
        <v/>
      </c>
      <c r="AD704" s="54" t="str">
        <f>IF(ISERROR(VLOOKUP($AB704&amp;"-"&amp;$E704&amp;" "&amp;F704,Bonuses!$B$1:$G$1006,4,FALSE)),"",INT(VLOOKUP($AB704&amp;"-"&amp;$E704&amp;" "&amp;$F704,Bonuses!$B$1:$G$1006,4,FALSE)))</f>
        <v/>
      </c>
      <c r="AE704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/>
      </c>
    </row>
    <row r="705" spans="1:31" s="50" customFormat="1" x14ac:dyDescent="0.3">
      <c r="A705" s="50">
        <v>20222</v>
      </c>
      <c r="B705" s="50">
        <f>COUNTIF(Table5[PID],A705)</f>
        <v>1</v>
      </c>
      <c r="C705" s="50" t="str">
        <f>IF(COUNTIF(Table3[[#All],[PID]],A705)&gt;0,"P","B")</f>
        <v>B</v>
      </c>
      <c r="D705" s="59" t="str">
        <f>IF($C705="B",INDEX(Batters[[#All],[POS]],MATCH(Table5[[#This Row],[PID]],Batters[[#All],[PID]],0)),INDEX(Table3[[#All],[POS]],MATCH(Table5[[#This Row],[PID]],Table3[[#All],[PID]],0)))</f>
        <v>C</v>
      </c>
      <c r="E705" s="52" t="str">
        <f>IF($C705="B",INDEX(Batters[[#All],[First]],MATCH(Table5[[#This Row],[PID]],Batters[[#All],[PID]],0)),INDEX(Table3[[#All],[First]],MATCH(Table5[[#This Row],[PID]],Table3[[#All],[PID]],0)))</f>
        <v>Kyle</v>
      </c>
      <c r="F705" s="50" t="str">
        <f>IF($C705="B",INDEX(Batters[[#All],[Last]],MATCH(A705,Batters[[#All],[PID]],0)),INDEX(Table3[[#All],[Last]],MATCH(A705,Table3[[#All],[PID]],0)))</f>
        <v>MacAulay</v>
      </c>
      <c r="G705" s="56">
        <f>IF($C705="B",INDEX(Batters[[#All],[Age]],MATCH(Table5[[#This Row],[PID]],Batters[[#All],[PID]],0)),INDEX(Table3[[#All],[Age]],MATCH(Table5[[#This Row],[PID]],Table3[[#All],[PID]],0)))</f>
        <v>21</v>
      </c>
      <c r="H705" s="52" t="str">
        <f>IF($C705="B",INDEX(Batters[[#All],[B]],MATCH(Table5[[#This Row],[PID]],Batters[[#All],[PID]],0)),INDEX(Table3[[#All],[B]],MATCH(Table5[[#This Row],[PID]],Table3[[#All],[PID]],0)))</f>
        <v>R</v>
      </c>
      <c r="I705" s="52" t="str">
        <f>IF($C705="B",INDEX(Batters[[#All],[T]],MATCH(Table5[[#This Row],[PID]],Batters[[#All],[PID]],0)),INDEX(Table3[[#All],[T]],MATCH(Table5[[#This Row],[PID]],Table3[[#All],[PID]],0)))</f>
        <v>R</v>
      </c>
      <c r="J705" s="52" t="str">
        <f>IF($C705="B",INDEX(Batters[[#All],[WE]],MATCH(Table5[[#This Row],[PID]],Batters[[#All],[PID]],0)),INDEX(Table3[[#All],[WE]],MATCH(Table5[[#This Row],[PID]],Table3[[#All],[PID]],0)))</f>
        <v>Low</v>
      </c>
      <c r="K705" s="52" t="str">
        <f>IF($C705="B",INDEX(Batters[[#All],[INT]],MATCH(Table5[[#This Row],[PID]],Batters[[#All],[PID]],0)),INDEX(Table3[[#All],[INT]],MATCH(Table5[[#This Row],[PID]],Table3[[#All],[PID]],0)))</f>
        <v>Normal</v>
      </c>
      <c r="L705" s="60">
        <f>IF($C705="B",INDEX(Batters[[#All],[CON P]],MATCH(Table5[[#This Row],[PID]],Batters[[#All],[PID]],0)),INDEX(Table3[[#All],[STU P]],MATCH(Table5[[#This Row],[PID]],Table3[[#All],[PID]],0)))</f>
        <v>3</v>
      </c>
      <c r="M705" s="56">
        <f>IF($C705="B",INDEX(Batters[[#All],[GAP P]],MATCH(Table5[[#This Row],[PID]],Batters[[#All],[PID]],0)),INDEX(Table3[[#All],[MOV P]],MATCH(Table5[[#This Row],[PID]],Table3[[#All],[PID]],0)))</f>
        <v>4</v>
      </c>
      <c r="N705" s="56">
        <f>IF($C705="B",INDEX(Batters[[#All],[POW P]],MATCH(Table5[[#This Row],[PID]],Batters[[#All],[PID]],0)),INDEX(Table3[[#All],[CON P]],MATCH(Table5[[#This Row],[PID]],Table3[[#All],[PID]],0)))</f>
        <v>3</v>
      </c>
      <c r="O705" s="56">
        <f>IF($C705="B",INDEX(Batters[[#All],[EYE P]],MATCH(Table5[[#This Row],[PID]],Batters[[#All],[PID]],0)),INDEX(Table3[[#All],[VELO]],MATCH(Table5[[#This Row],[PID]],Table3[[#All],[PID]],0)))</f>
        <v>5</v>
      </c>
      <c r="P705" s="56">
        <f>IF($C705="B",INDEX(Batters[[#All],[K P]],MATCH(Table5[[#This Row],[PID]],Batters[[#All],[PID]],0)),INDEX(Table3[[#All],[STM]],MATCH(Table5[[#This Row],[PID]],Table3[[#All],[PID]],0)))</f>
        <v>3</v>
      </c>
      <c r="Q705" s="61">
        <f>IF($C705="B",INDEX(Batters[[#All],[Tot]],MATCH(Table5[[#This Row],[PID]],Batters[[#All],[PID]],0)),INDEX(Table3[[#All],[Tot]],MATCH(Table5[[#This Row],[PID]],Table3[[#All],[PID]],0)))</f>
        <v>37.501660176778572</v>
      </c>
      <c r="R705" s="52">
        <f>IF($C705="B",INDEX(Batters[[#All],[zScore]],MATCH(Table5[[#This Row],[PID]],Batters[[#All],[PID]],0)),INDEX(Table3[[#All],[zScore]],MATCH(Table5[[#This Row],[PID]],Table3[[#All],[PID]],0)))</f>
        <v>-0.83447492398598366</v>
      </c>
      <c r="S705" s="58" t="str">
        <f>IF($C705="B",INDEX(Batters[[#All],[DEM]],MATCH(Table5[[#This Row],[PID]],Batters[[#All],[PID]],0)),INDEX(Table3[[#All],[DEM]],MATCH(Table5[[#This Row],[PID]],Table3[[#All],[PID]],0)))</f>
        <v>$100k</v>
      </c>
      <c r="T705" s="62">
        <f>IF($C705="B",INDEX(Batters[[#All],[Rnk]],MATCH(Table5[[#This Row],[PID]],Batters[[#All],[PID]],0)),INDEX(Table3[[#All],[Rnk]],MATCH(Table5[[#This Row],[PID]],Table3[[#All],[PID]],0)))</f>
        <v>930</v>
      </c>
      <c r="U705" s="67">
        <f>IF($C705="B",VLOOKUP($A705,Bat!$A$4:$BA$1314,47,FALSE),VLOOKUP($A705,Pit!$A$4:$BF$1214,56,FALSE))</f>
        <v>366</v>
      </c>
      <c r="V705" s="50">
        <f>IF($C705="B",VLOOKUP($A705,Bat!$A$4:$BA$1314,48,FALSE),VLOOKUP($A705,Pit!$A$4:$BF$1214,57,FALSE))</f>
        <v>0</v>
      </c>
      <c r="W705" s="68">
        <f>IF(Table5[[#This Row],[posRnk]]=999,9999,Table5[[#This Row],[posRnk]]+Table5[[#This Row],[zRnk]]+IF($W$3&lt;&gt;Table5[[#This Row],[Type]],50,0))</f>
        <v>1684</v>
      </c>
      <c r="X705" s="51">
        <f>RANK(Table5[[#This Row],[zScore]],Table5[[#All],[zScore]])</f>
        <v>704</v>
      </c>
      <c r="Y705" s="50" t="str">
        <f>IFERROR(INDEX(DraftResults[[#All],[OVR]],MATCH(Table5[[#This Row],[PID]],DraftResults[[#All],[Player ID]],0)),"")</f>
        <v/>
      </c>
      <c r="Z705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/>
      </c>
      <c r="AA705" s="50" t="str">
        <f>IFERROR(INDEX(DraftResults[[#All],[Pick in Round]],MATCH(Table5[[#This Row],[PID]],DraftResults[[#All],[Player ID]],0)),"")</f>
        <v/>
      </c>
      <c r="AB705" s="50" t="str">
        <f>IFERROR(INDEX(DraftResults[[#All],[Team Name]],MATCH(Table5[[#This Row],[PID]],DraftResults[[#All],[Player ID]],0)),"")</f>
        <v/>
      </c>
      <c r="AC705" s="50" t="str">
        <f>IF(Table5[[#This Row],[Ovr]]="","",IF(Table5[[#This Row],[cmbList]]="","",Table5[[#This Row],[cmbList]]-Table5[[#This Row],[Ovr]]))</f>
        <v/>
      </c>
      <c r="AD705" s="54" t="str">
        <f>IF(ISERROR(VLOOKUP($AB705&amp;"-"&amp;$E705&amp;" "&amp;F705,Bonuses!$B$1:$G$1006,4,FALSE)),"",INT(VLOOKUP($AB705&amp;"-"&amp;$E705&amp;" "&amp;$F705,Bonuses!$B$1:$G$1006,4,FALSE)))</f>
        <v/>
      </c>
      <c r="AE705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/>
      </c>
    </row>
    <row r="706" spans="1:31" s="50" customFormat="1" x14ac:dyDescent="0.3">
      <c r="A706" s="50">
        <v>16931</v>
      </c>
      <c r="B706" s="50">
        <f>COUNTIF(Table5[PID],A706)</f>
        <v>1</v>
      </c>
      <c r="C706" s="50" t="str">
        <f>IF(COUNTIF(Table3[[#All],[PID]],A706)&gt;0,"P","B")</f>
        <v>B</v>
      </c>
      <c r="D706" s="59" t="str">
        <f>IF($C706="B",INDEX(Batters[[#All],[POS]],MATCH(Table5[[#This Row],[PID]],Batters[[#All],[PID]],0)),INDEX(Table3[[#All],[POS]],MATCH(Table5[[#This Row],[PID]],Table3[[#All],[PID]],0)))</f>
        <v>C</v>
      </c>
      <c r="E706" s="52" t="str">
        <f>IF($C706="B",INDEX(Batters[[#All],[First]],MATCH(Table5[[#This Row],[PID]],Batters[[#All],[PID]],0)),INDEX(Table3[[#All],[First]],MATCH(Table5[[#This Row],[PID]],Table3[[#All],[PID]],0)))</f>
        <v>Winston</v>
      </c>
      <c r="F706" s="50" t="str">
        <f>IF($C706="B",INDEX(Batters[[#All],[Last]],MATCH(A706,Batters[[#All],[PID]],0)),INDEX(Table3[[#All],[Last]],MATCH(A706,Table3[[#All],[PID]],0)))</f>
        <v>Ross</v>
      </c>
      <c r="G706" s="56">
        <f>IF($C706="B",INDEX(Batters[[#All],[Age]],MATCH(Table5[[#This Row],[PID]],Batters[[#All],[PID]],0)),INDEX(Table3[[#All],[Age]],MATCH(Table5[[#This Row],[PID]],Table3[[#All],[PID]],0)))</f>
        <v>22</v>
      </c>
      <c r="H706" s="52" t="str">
        <f>IF($C706="B",INDEX(Batters[[#All],[B]],MATCH(Table5[[#This Row],[PID]],Batters[[#All],[PID]],0)),INDEX(Table3[[#All],[B]],MATCH(Table5[[#This Row],[PID]],Table3[[#All],[PID]],0)))</f>
        <v>R</v>
      </c>
      <c r="I706" s="52" t="str">
        <f>IF($C706="B",INDEX(Batters[[#All],[T]],MATCH(Table5[[#This Row],[PID]],Batters[[#All],[PID]],0)),INDEX(Table3[[#All],[T]],MATCH(Table5[[#This Row],[PID]],Table3[[#All],[PID]],0)))</f>
        <v>R</v>
      </c>
      <c r="J706" s="52" t="str">
        <f>IF($C706="B",INDEX(Batters[[#All],[WE]],MATCH(Table5[[#This Row],[PID]],Batters[[#All],[PID]],0)),INDEX(Table3[[#All],[WE]],MATCH(Table5[[#This Row],[PID]],Table3[[#All],[PID]],0)))</f>
        <v>Low</v>
      </c>
      <c r="K706" s="52" t="str">
        <f>IF($C706="B",INDEX(Batters[[#All],[INT]],MATCH(Table5[[#This Row],[PID]],Batters[[#All],[PID]],0)),INDEX(Table3[[#All],[INT]],MATCH(Table5[[#This Row],[PID]],Table3[[#All],[PID]],0)))</f>
        <v>Normal</v>
      </c>
      <c r="L706" s="60">
        <f>IF($C706="B",INDEX(Batters[[#All],[CON P]],MATCH(Table5[[#This Row],[PID]],Batters[[#All],[PID]],0)),INDEX(Table3[[#All],[STU P]],MATCH(Table5[[#This Row],[PID]],Table3[[#All],[PID]],0)))</f>
        <v>3</v>
      </c>
      <c r="M706" s="56">
        <f>IF($C706="B",INDEX(Batters[[#All],[GAP P]],MATCH(Table5[[#This Row],[PID]],Batters[[#All],[PID]],0)),INDEX(Table3[[#All],[MOV P]],MATCH(Table5[[#This Row],[PID]],Table3[[#All],[PID]],0)))</f>
        <v>3</v>
      </c>
      <c r="N706" s="56">
        <f>IF($C706="B",INDEX(Batters[[#All],[POW P]],MATCH(Table5[[#This Row],[PID]],Batters[[#All],[PID]],0)),INDEX(Table3[[#All],[CON P]],MATCH(Table5[[#This Row],[PID]],Table3[[#All],[PID]],0)))</f>
        <v>3</v>
      </c>
      <c r="O706" s="56">
        <f>IF($C706="B",INDEX(Batters[[#All],[EYE P]],MATCH(Table5[[#This Row],[PID]],Batters[[#All],[PID]],0)),INDEX(Table3[[#All],[VELO]],MATCH(Table5[[#This Row],[PID]],Table3[[#All],[PID]],0)))</f>
        <v>5</v>
      </c>
      <c r="P706" s="56">
        <f>IF($C706="B",INDEX(Batters[[#All],[K P]],MATCH(Table5[[#This Row],[PID]],Batters[[#All],[PID]],0)),INDEX(Table3[[#All],[STM]],MATCH(Table5[[#This Row],[PID]],Table3[[#All],[PID]],0)))</f>
        <v>3</v>
      </c>
      <c r="Q706" s="61">
        <f>IF($C706="B",INDEX(Batters[[#All],[Tot]],MATCH(Table5[[#This Row],[PID]],Batters[[#All],[PID]],0)),INDEX(Table3[[#All],[Tot]],MATCH(Table5[[#This Row],[PID]],Table3[[#All],[PID]],0)))</f>
        <v>37.495198818474869</v>
      </c>
      <c r="R706" s="52">
        <f>IF($C706="B",INDEX(Batters[[#All],[zScore]],MATCH(Table5[[#This Row],[PID]],Batters[[#All],[PID]],0)),INDEX(Table3[[#All],[zScore]],MATCH(Table5[[#This Row],[PID]],Table3[[#All],[PID]],0)))</f>
        <v>-0.83541807624332809</v>
      </c>
      <c r="S706" s="58" t="str">
        <f>IF($C706="B",INDEX(Batters[[#All],[DEM]],MATCH(Table5[[#This Row],[PID]],Batters[[#All],[PID]],0)),INDEX(Table3[[#All],[DEM]],MATCH(Table5[[#This Row],[PID]],Table3[[#All],[PID]],0)))</f>
        <v>$20k</v>
      </c>
      <c r="T706" s="62">
        <f>IF($C706="B",INDEX(Batters[[#All],[Rnk]],MATCH(Table5[[#This Row],[PID]],Batters[[#All],[PID]],0)),INDEX(Table3[[#All],[Rnk]],MATCH(Table5[[#This Row],[PID]],Table3[[#All],[PID]],0)))</f>
        <v>930</v>
      </c>
      <c r="U706" s="67">
        <f>IF($C706="B",VLOOKUP($A706,Bat!$A$4:$BA$1314,47,FALSE),VLOOKUP($A706,Pit!$A$4:$BF$1214,56,FALSE))</f>
        <v>367</v>
      </c>
      <c r="V706" s="50">
        <f>IF($C706="B",VLOOKUP($A706,Bat!$A$4:$BA$1314,48,FALSE),VLOOKUP($A706,Pit!$A$4:$BF$1214,57,FALSE))</f>
        <v>0</v>
      </c>
      <c r="W706" s="68">
        <f>IF(Table5[[#This Row],[posRnk]]=999,9999,Table5[[#This Row],[posRnk]]+Table5[[#This Row],[zRnk]]+IF($W$3&lt;&gt;Table5[[#This Row],[Type]],50,0))</f>
        <v>1685</v>
      </c>
      <c r="X706" s="51">
        <f>RANK(Table5[[#This Row],[zScore]],Table5[[#All],[zScore]])</f>
        <v>705</v>
      </c>
      <c r="Y706" s="50">
        <f>IFERROR(INDEX(DraftResults[[#All],[OVR]],MATCH(Table5[[#This Row],[PID]],DraftResults[[#All],[Player ID]],0)),"")</f>
        <v>521</v>
      </c>
      <c r="Z706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16</v>
      </c>
      <c r="AA706" s="50">
        <f>IFERROR(INDEX(DraftResults[[#All],[Pick in Round]],MATCH(Table5[[#This Row],[PID]],DraftResults[[#All],[Player ID]],0)),"")</f>
        <v>20</v>
      </c>
      <c r="AB706" s="50" t="str">
        <f>IFERROR(INDEX(DraftResults[[#All],[Team Name]],MATCH(Table5[[#This Row],[PID]],DraftResults[[#All],[Player ID]],0)),"")</f>
        <v>Crystal Lake Sandgnats</v>
      </c>
      <c r="AC706" s="50">
        <f>IF(Table5[[#This Row],[Ovr]]="","",IF(Table5[[#This Row],[cmbList]]="","",Table5[[#This Row],[cmbList]]-Table5[[#This Row],[Ovr]]))</f>
        <v>1164</v>
      </c>
      <c r="AD706" s="54" t="str">
        <f>IF(ISERROR(VLOOKUP($AB706&amp;"-"&amp;$E706&amp;" "&amp;F706,Bonuses!$B$1:$G$1006,4,FALSE)),"",INT(VLOOKUP($AB706&amp;"-"&amp;$E706&amp;" "&amp;$F706,Bonuses!$B$1:$G$1006,4,FALSE)))</f>
        <v/>
      </c>
      <c r="AE706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16.20 (521) - C Winston Ross</v>
      </c>
    </row>
    <row r="707" spans="1:31" s="50" customFormat="1" x14ac:dyDescent="0.3">
      <c r="A707" s="67">
        <v>6480</v>
      </c>
      <c r="B707" s="68">
        <f>COUNTIF(Table5[PID],A707)</f>
        <v>1</v>
      </c>
      <c r="C707" s="68" t="str">
        <f>IF(COUNTIF(Table3[[#All],[PID]],A707)&gt;0,"P","B")</f>
        <v>P</v>
      </c>
      <c r="D707" s="59" t="str">
        <f>IF($C707="B",INDEX(Batters[[#All],[POS]],MATCH(Table5[[#This Row],[PID]],Batters[[#All],[PID]],0)),INDEX(Table3[[#All],[POS]],MATCH(Table5[[#This Row],[PID]],Table3[[#All],[PID]],0)))</f>
        <v>SP</v>
      </c>
      <c r="E707" s="52" t="str">
        <f>IF($C707="B",INDEX(Batters[[#All],[First]],MATCH(Table5[[#This Row],[PID]],Batters[[#All],[PID]],0)),INDEX(Table3[[#All],[First]],MATCH(Table5[[#This Row],[PID]],Table3[[#All],[PID]],0)))</f>
        <v>Manny</v>
      </c>
      <c r="F707" s="55" t="str">
        <f>IF($C707="B",INDEX(Batters[[#All],[Last]],MATCH(A707,Batters[[#All],[PID]],0)),INDEX(Table3[[#All],[Last]],MATCH(A707,Table3[[#All],[PID]],0)))</f>
        <v>López</v>
      </c>
      <c r="G707" s="56">
        <f>IF($C707="B",INDEX(Batters[[#All],[Age]],MATCH(Table5[[#This Row],[PID]],Batters[[#All],[PID]],0)),INDEX(Table3[[#All],[Age]],MATCH(Table5[[#This Row],[PID]],Table3[[#All],[PID]],0)))</f>
        <v>21</v>
      </c>
      <c r="H707" s="52" t="str">
        <f>IF($C707="B",INDEX(Batters[[#All],[B]],MATCH(Table5[[#This Row],[PID]],Batters[[#All],[PID]],0)),INDEX(Table3[[#All],[B]],MATCH(Table5[[#This Row],[PID]],Table3[[#All],[PID]],0)))</f>
        <v>R</v>
      </c>
      <c r="I707" s="52" t="str">
        <f>IF($C707="B",INDEX(Batters[[#All],[T]],MATCH(Table5[[#This Row],[PID]],Batters[[#All],[PID]],0)),INDEX(Table3[[#All],[T]],MATCH(Table5[[#This Row],[PID]],Table3[[#All],[PID]],0)))</f>
        <v>R</v>
      </c>
      <c r="J707" s="69" t="str">
        <f>IF($C707="B",INDEX(Batters[[#All],[WE]],MATCH(Table5[[#This Row],[PID]],Batters[[#All],[PID]],0)),INDEX(Table3[[#All],[WE]],MATCH(Table5[[#This Row],[PID]],Table3[[#All],[PID]],0)))</f>
        <v>High</v>
      </c>
      <c r="K707" s="52" t="str">
        <f>IF($C707="B",INDEX(Batters[[#All],[INT]],MATCH(Table5[[#This Row],[PID]],Batters[[#All],[PID]],0)),INDEX(Table3[[#All],[INT]],MATCH(Table5[[#This Row],[PID]],Table3[[#All],[PID]],0)))</f>
        <v>Normal</v>
      </c>
      <c r="L707" s="60">
        <f>IF($C707="B",INDEX(Batters[[#All],[CON P]],MATCH(Table5[[#This Row],[PID]],Batters[[#All],[PID]],0)),INDEX(Table3[[#All],[STU P]],MATCH(Table5[[#This Row],[PID]],Table3[[#All],[PID]],0)))</f>
        <v>4</v>
      </c>
      <c r="M707" s="70">
        <f>IF($C707="B",INDEX(Batters[[#All],[GAP P]],MATCH(Table5[[#This Row],[PID]],Batters[[#All],[PID]],0)),INDEX(Table3[[#All],[MOV P]],MATCH(Table5[[#This Row],[PID]],Table3[[#All],[PID]],0)))</f>
        <v>2</v>
      </c>
      <c r="N707" s="70">
        <f>IF($C707="B",INDEX(Batters[[#All],[POW P]],MATCH(Table5[[#This Row],[PID]],Batters[[#All],[PID]],0)),INDEX(Table3[[#All],[CON P]],MATCH(Table5[[#This Row],[PID]],Table3[[#All],[PID]],0)))</f>
        <v>2</v>
      </c>
      <c r="O707" s="70" t="str">
        <f>IF($C707="B",INDEX(Batters[[#All],[EYE P]],MATCH(Table5[[#This Row],[PID]],Batters[[#All],[PID]],0)),INDEX(Table3[[#All],[VELO]],MATCH(Table5[[#This Row],[PID]],Table3[[#All],[PID]],0)))</f>
        <v>89-91 Mph</v>
      </c>
      <c r="P707" s="56">
        <f>IF($C707="B",INDEX(Batters[[#All],[K P]],MATCH(Table5[[#This Row],[PID]],Batters[[#All],[PID]],0)),INDEX(Table3[[#All],[STM]],MATCH(Table5[[#This Row],[PID]],Table3[[#All],[PID]],0)))</f>
        <v>7</v>
      </c>
      <c r="Q707" s="61">
        <f>IF($C707="B",INDEX(Batters[[#All],[Tot]],MATCH(Table5[[#This Row],[PID]],Batters[[#All],[PID]],0)),INDEX(Table3[[#All],[Tot]],MATCH(Table5[[#This Row],[PID]],Table3[[#All],[PID]],0)))</f>
        <v>25.154463136217526</v>
      </c>
      <c r="R707" s="52">
        <f>IF($C707="B",INDEX(Batters[[#All],[zScore]],MATCH(Table5[[#This Row],[PID]],Batters[[#All],[PID]],0)),INDEX(Table3[[#All],[zScore]],MATCH(Table5[[#This Row],[PID]],Table3[[#All],[PID]],0)))</f>
        <v>-0.90063505774697572</v>
      </c>
      <c r="S707" s="75" t="str">
        <f>IF($C707="B",INDEX(Batters[[#All],[DEM]],MATCH(Table5[[#This Row],[PID]],Batters[[#All],[PID]],0)),INDEX(Table3[[#All],[DEM]],MATCH(Table5[[#This Row],[PID]],Table3[[#All],[PID]],0)))</f>
        <v>-</v>
      </c>
      <c r="T707" s="72">
        <f>IF($C707="B",INDEX(Batters[[#All],[Rnk]],MATCH(Table5[[#This Row],[PID]],Batters[[#All],[PID]],0)),INDEX(Table3[[#All],[Rnk]],MATCH(Table5[[#This Row],[PID]],Table3[[#All],[PID]],0)))</f>
        <v>900</v>
      </c>
      <c r="U707" s="67">
        <f>IF($C707="B",VLOOKUP($A707,Bat!$A$4:$BA$1314,47,FALSE),VLOOKUP($A707,Pit!$A$4:$BF$1214,56,FALSE))</f>
        <v>232</v>
      </c>
      <c r="V707" s="50">
        <f>IF($C707="B",VLOOKUP($A707,Bat!$A$4:$BA$1314,48,FALSE),VLOOKUP($A707,Pit!$A$4:$BF$1214,57,FALSE))</f>
        <v>0</v>
      </c>
      <c r="W707" s="68">
        <f>IF(Table5[[#This Row],[posRnk]]=999,9999,Table5[[#This Row],[posRnk]]+Table5[[#This Row],[zRnk]]+IF($W$3&lt;&gt;Table5[[#This Row],[Type]],50,0))</f>
        <v>1636</v>
      </c>
      <c r="X707" s="71">
        <f>RANK(Table5[[#This Row],[zScore]],Table5[[#All],[zScore]])</f>
        <v>736</v>
      </c>
      <c r="Y707" s="68">
        <f>IFERROR(INDEX(DraftResults[[#All],[OVR]],MATCH(Table5[[#This Row],[PID]],DraftResults[[#All],[Player ID]],0)),"")</f>
        <v>345</v>
      </c>
      <c r="Z707" s="7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11</v>
      </c>
      <c r="AA707" s="68">
        <f>IFERROR(INDEX(DraftResults[[#All],[Pick in Round]],MATCH(Table5[[#This Row],[PID]],DraftResults[[#All],[Player ID]],0)),"")</f>
        <v>14</v>
      </c>
      <c r="AB707" s="68" t="str">
        <f>IFERROR(INDEX(DraftResults[[#All],[Team Name]],MATCH(Table5[[#This Row],[PID]],DraftResults[[#All],[Player ID]],0)),"")</f>
        <v>San Antonio Calzones of Laredo</v>
      </c>
      <c r="AC707" s="68">
        <f>IF(Table5[[#This Row],[Ovr]]="","",IF(Table5[[#This Row],[cmbList]]="","",Table5[[#This Row],[cmbList]]-Table5[[#This Row],[Ovr]]))</f>
        <v>1291</v>
      </c>
      <c r="AD707" s="74" t="str">
        <f>IF(ISERROR(VLOOKUP($AB707&amp;"-"&amp;$E707&amp;" "&amp;F707,Bonuses!$B$1:$G$1006,4,FALSE)),"",INT(VLOOKUP($AB707&amp;"-"&amp;$E707&amp;" "&amp;$F707,Bonuses!$B$1:$G$1006,4,FALSE)))</f>
        <v/>
      </c>
      <c r="AE707" s="68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11.14 (345) - SP Manny López</v>
      </c>
    </row>
    <row r="708" spans="1:31" s="50" customFormat="1" x14ac:dyDescent="0.3">
      <c r="A708" s="50">
        <v>10637</v>
      </c>
      <c r="B708" s="50">
        <f>COUNTIF(Table5[PID],A708)</f>
        <v>1</v>
      </c>
      <c r="C708" s="50" t="str">
        <f>IF(COUNTIF(Table3[[#All],[PID]],A708)&gt;0,"P","B")</f>
        <v>P</v>
      </c>
      <c r="D708" s="59" t="str">
        <f>IF($C708="B",INDEX(Batters[[#All],[POS]],MATCH(Table5[[#This Row],[PID]],Batters[[#All],[PID]],0)),INDEX(Table3[[#All],[POS]],MATCH(Table5[[#This Row],[PID]],Table3[[#All],[PID]],0)))</f>
        <v>RP</v>
      </c>
      <c r="E708" s="52" t="str">
        <f>IF($C708="B",INDEX(Batters[[#All],[First]],MATCH(Table5[[#This Row],[PID]],Batters[[#All],[PID]],0)),INDEX(Table3[[#All],[First]],MATCH(Table5[[#This Row],[PID]],Table3[[#All],[PID]],0)))</f>
        <v>Marcos</v>
      </c>
      <c r="F708" s="50" t="str">
        <f>IF($C708="B",INDEX(Batters[[#All],[Last]],MATCH(A708,Batters[[#All],[PID]],0)),INDEX(Table3[[#All],[Last]],MATCH(A708,Table3[[#All],[PID]],0)))</f>
        <v>Avilés</v>
      </c>
      <c r="G708" s="56">
        <f>IF($C708="B",INDEX(Batters[[#All],[Age]],MATCH(Table5[[#This Row],[PID]],Batters[[#All],[PID]],0)),INDEX(Table3[[#All],[Age]],MATCH(Table5[[#This Row],[PID]],Table3[[#All],[PID]],0)))</f>
        <v>21</v>
      </c>
      <c r="H708" s="52" t="str">
        <f>IF($C708="B",INDEX(Batters[[#All],[B]],MATCH(Table5[[#This Row],[PID]],Batters[[#All],[PID]],0)),INDEX(Table3[[#All],[B]],MATCH(Table5[[#This Row],[PID]],Table3[[#All],[PID]],0)))</f>
        <v>R</v>
      </c>
      <c r="I708" s="52" t="str">
        <f>IF($C708="B",INDEX(Batters[[#All],[T]],MATCH(Table5[[#This Row],[PID]],Batters[[#All],[PID]],0)),INDEX(Table3[[#All],[T]],MATCH(Table5[[#This Row],[PID]],Table3[[#All],[PID]],0)))</f>
        <v>R</v>
      </c>
      <c r="J708" s="52" t="str">
        <f>IF($C708="B",INDEX(Batters[[#All],[WE]],MATCH(Table5[[#This Row],[PID]],Batters[[#All],[PID]],0)),INDEX(Table3[[#All],[WE]],MATCH(Table5[[#This Row],[PID]],Table3[[#All],[PID]],0)))</f>
        <v>Normal</v>
      </c>
      <c r="K708" s="52" t="str">
        <f>IF($C708="B",INDEX(Batters[[#All],[INT]],MATCH(Table5[[#This Row],[PID]],Batters[[#All],[PID]],0)),INDEX(Table3[[#All],[INT]],MATCH(Table5[[#This Row],[PID]],Table3[[#All],[PID]],0)))</f>
        <v>Low</v>
      </c>
      <c r="L708" s="60">
        <f>IF($C708="B",INDEX(Batters[[#All],[CON P]],MATCH(Table5[[#This Row],[PID]],Batters[[#All],[PID]],0)),INDEX(Table3[[#All],[STU P]],MATCH(Table5[[#This Row],[PID]],Table3[[#All],[PID]],0)))</f>
        <v>3</v>
      </c>
      <c r="M708" s="56">
        <f>IF($C708="B",INDEX(Batters[[#All],[GAP P]],MATCH(Table5[[#This Row],[PID]],Batters[[#All],[PID]],0)),INDEX(Table3[[#All],[MOV P]],MATCH(Table5[[#This Row],[PID]],Table3[[#All],[PID]],0)))</f>
        <v>1</v>
      </c>
      <c r="N708" s="56">
        <f>IF($C708="B",INDEX(Batters[[#All],[POW P]],MATCH(Table5[[#This Row],[PID]],Batters[[#All],[PID]],0)),INDEX(Table3[[#All],[CON P]],MATCH(Table5[[#This Row],[PID]],Table3[[#All],[PID]],0)))</f>
        <v>4</v>
      </c>
      <c r="O708" s="56" t="str">
        <f>IF($C708="B",INDEX(Batters[[#All],[EYE P]],MATCH(Table5[[#This Row],[PID]],Batters[[#All],[PID]],0)),INDEX(Table3[[#All],[VELO]],MATCH(Table5[[#This Row],[PID]],Table3[[#All],[PID]],0)))</f>
        <v>89-91 Mph</v>
      </c>
      <c r="P708" s="56">
        <f>IF($C708="B",INDEX(Batters[[#All],[K P]],MATCH(Table5[[#This Row],[PID]],Batters[[#All],[PID]],0)),INDEX(Table3[[#All],[STM]],MATCH(Table5[[#This Row],[PID]],Table3[[#All],[PID]],0)))</f>
        <v>9</v>
      </c>
      <c r="Q708" s="61">
        <f>IF($C708="B",INDEX(Batters[[#All],[Tot]],MATCH(Table5[[#This Row],[PID]],Batters[[#All],[PID]],0)),INDEX(Table3[[#All],[Tot]],MATCH(Table5[[#This Row],[PID]],Table3[[#All],[PID]],0)))</f>
        <v>26.40573861631135</v>
      </c>
      <c r="R708" s="52">
        <f>IF($C708="B",INDEX(Batters[[#All],[zScore]],MATCH(Table5[[#This Row],[PID]],Batters[[#All],[PID]],0)),INDEX(Table3[[#All],[zScore]],MATCH(Table5[[#This Row],[PID]],Table3[[#All],[PID]],0)))</f>
        <v>-0.81153544350278661</v>
      </c>
      <c r="S708" s="58" t="str">
        <f>IF($C708="B",INDEX(Batters[[#All],[DEM]],MATCH(Table5[[#This Row],[PID]],Batters[[#All],[PID]],0)),INDEX(Table3[[#All],[DEM]],MATCH(Table5[[#This Row],[PID]],Table3[[#All],[PID]],0)))</f>
        <v>-</v>
      </c>
      <c r="T708" s="62">
        <f>IF($C708="B",INDEX(Batters[[#All],[Rnk]],MATCH(Table5[[#This Row],[PID]],Batters[[#All],[PID]],0)),INDEX(Table3[[#All],[Rnk]],MATCH(Table5[[#This Row],[PID]],Table3[[#All],[PID]],0)))</f>
        <v>940</v>
      </c>
      <c r="U708" s="67">
        <f>IF($C708="B",VLOOKUP($A708,Bat!$A$4:$BA$1314,47,FALSE),VLOOKUP($A708,Pit!$A$4:$BF$1214,56,FALSE))</f>
        <v>401</v>
      </c>
      <c r="V708" s="50">
        <f>IF($C708="B",VLOOKUP($A708,Bat!$A$4:$BA$1314,48,FALSE),VLOOKUP($A708,Pit!$A$4:$BF$1214,57,FALSE))</f>
        <v>0</v>
      </c>
      <c r="W708" s="68">
        <f>IF(Table5[[#This Row],[posRnk]]=999,9999,Table5[[#This Row],[posRnk]]+Table5[[#This Row],[zRnk]]+IF($W$3&lt;&gt;Table5[[#This Row],[Type]],50,0))</f>
        <v>1636</v>
      </c>
      <c r="X708" s="51">
        <f>RANK(Table5[[#This Row],[zScore]],Table5[[#All],[zScore]])</f>
        <v>696</v>
      </c>
      <c r="Y708" s="50">
        <f>IFERROR(INDEX(DraftResults[[#All],[OVR]],MATCH(Table5[[#This Row],[PID]],DraftResults[[#All],[Player ID]],0)),"")</f>
        <v>602</v>
      </c>
      <c r="Z708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18</v>
      </c>
      <c r="AA708" s="50">
        <f>IFERROR(INDEX(DraftResults[[#All],[Pick in Round]],MATCH(Table5[[#This Row],[PID]],DraftResults[[#All],[Player ID]],0)),"")</f>
        <v>33</v>
      </c>
      <c r="AB708" s="50" t="str">
        <f>IFERROR(INDEX(DraftResults[[#All],[Team Name]],MATCH(Table5[[#This Row],[PID]],DraftResults[[#All],[Player ID]],0)),"")</f>
        <v>New Jersey Hitmen</v>
      </c>
      <c r="AC708" s="50">
        <f>IF(Table5[[#This Row],[Ovr]]="","",IF(Table5[[#This Row],[cmbList]]="","",Table5[[#This Row],[cmbList]]-Table5[[#This Row],[Ovr]]))</f>
        <v>1034</v>
      </c>
      <c r="AD708" s="54" t="str">
        <f>IF(ISERROR(VLOOKUP($AB708&amp;"-"&amp;$E708&amp;" "&amp;F708,Bonuses!$B$1:$G$1006,4,FALSE)),"",INT(VLOOKUP($AB708&amp;"-"&amp;$E708&amp;" "&amp;$F708,Bonuses!$B$1:$G$1006,4,FALSE)))</f>
        <v/>
      </c>
      <c r="AE708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18.33 (602) - RP Marcos Avilés</v>
      </c>
    </row>
    <row r="709" spans="1:31" s="50" customFormat="1" x14ac:dyDescent="0.3">
      <c r="A709" s="50">
        <v>20185</v>
      </c>
      <c r="B709" s="50">
        <f>COUNTIF(Table5[PID],A709)</f>
        <v>1</v>
      </c>
      <c r="C709" s="50" t="str">
        <f>IF(COUNTIF(Table3[[#All],[PID]],A709)&gt;0,"P","B")</f>
        <v>B</v>
      </c>
      <c r="D709" s="59" t="str">
        <f>IF($C709="B",INDEX(Batters[[#All],[POS]],MATCH(Table5[[#This Row],[PID]],Batters[[#All],[PID]],0)),INDEX(Table3[[#All],[POS]],MATCH(Table5[[#This Row],[PID]],Table3[[#All],[PID]],0)))</f>
        <v>1B</v>
      </c>
      <c r="E709" s="52" t="str">
        <f>IF($C709="B",INDEX(Batters[[#All],[First]],MATCH(Table5[[#This Row],[PID]],Batters[[#All],[PID]],0)),INDEX(Table3[[#All],[First]],MATCH(Table5[[#This Row],[PID]],Table3[[#All],[PID]],0)))</f>
        <v>Will</v>
      </c>
      <c r="F709" s="50" t="str">
        <f>IF($C709="B",INDEX(Batters[[#All],[Last]],MATCH(A709,Batters[[#All],[PID]],0)),INDEX(Table3[[#All],[Last]],MATCH(A709,Table3[[#All],[PID]],0)))</f>
        <v>Dunne</v>
      </c>
      <c r="G709" s="56">
        <f>IF($C709="B",INDEX(Batters[[#All],[Age]],MATCH(Table5[[#This Row],[PID]],Batters[[#All],[PID]],0)),INDEX(Table3[[#All],[Age]],MATCH(Table5[[#This Row],[PID]],Table3[[#All],[PID]],0)))</f>
        <v>21</v>
      </c>
      <c r="H709" s="52" t="str">
        <f>IF($C709="B",INDEX(Batters[[#All],[B]],MATCH(Table5[[#This Row],[PID]],Batters[[#All],[PID]],0)),INDEX(Table3[[#All],[B]],MATCH(Table5[[#This Row],[PID]],Table3[[#All],[PID]],0)))</f>
        <v>L</v>
      </c>
      <c r="I709" s="52" t="str">
        <f>IF($C709="B",INDEX(Batters[[#All],[T]],MATCH(Table5[[#This Row],[PID]],Batters[[#All],[PID]],0)),INDEX(Table3[[#All],[T]],MATCH(Table5[[#This Row],[PID]],Table3[[#All],[PID]],0)))</f>
        <v>L</v>
      </c>
      <c r="J709" s="52" t="str">
        <f>IF($C709="B",INDEX(Batters[[#All],[WE]],MATCH(Table5[[#This Row],[PID]],Batters[[#All],[PID]],0)),INDEX(Table3[[#All],[WE]],MATCH(Table5[[#This Row],[PID]],Table3[[#All],[PID]],0)))</f>
        <v>Low</v>
      </c>
      <c r="K709" s="52" t="str">
        <f>IF($C709="B",INDEX(Batters[[#All],[INT]],MATCH(Table5[[#This Row],[PID]],Batters[[#All],[PID]],0)),INDEX(Table3[[#All],[INT]],MATCH(Table5[[#This Row],[PID]],Table3[[#All],[PID]],0)))</f>
        <v>Normal</v>
      </c>
      <c r="L709" s="60">
        <f>IF($C709="B",INDEX(Batters[[#All],[CON P]],MATCH(Table5[[#This Row],[PID]],Batters[[#All],[PID]],0)),INDEX(Table3[[#All],[STU P]],MATCH(Table5[[#This Row],[PID]],Table3[[#All],[PID]],0)))</f>
        <v>4</v>
      </c>
      <c r="M709" s="56">
        <f>IF($C709="B",INDEX(Batters[[#All],[GAP P]],MATCH(Table5[[#This Row],[PID]],Batters[[#All],[PID]],0)),INDEX(Table3[[#All],[MOV P]],MATCH(Table5[[#This Row],[PID]],Table3[[#All],[PID]],0)))</f>
        <v>3</v>
      </c>
      <c r="N709" s="56">
        <f>IF($C709="B",INDEX(Batters[[#All],[POW P]],MATCH(Table5[[#This Row],[PID]],Batters[[#All],[PID]],0)),INDEX(Table3[[#All],[CON P]],MATCH(Table5[[#This Row],[PID]],Table3[[#All],[PID]],0)))</f>
        <v>2</v>
      </c>
      <c r="O709" s="56">
        <f>IF($C709="B",INDEX(Batters[[#All],[EYE P]],MATCH(Table5[[#This Row],[PID]],Batters[[#All],[PID]],0)),INDEX(Table3[[#All],[VELO]],MATCH(Table5[[#This Row],[PID]],Table3[[#All],[PID]],0)))</f>
        <v>3</v>
      </c>
      <c r="P709" s="56">
        <f>IF($C709="B",INDEX(Batters[[#All],[K P]],MATCH(Table5[[#This Row],[PID]],Batters[[#All],[PID]],0)),INDEX(Table3[[#All],[STM]],MATCH(Table5[[#This Row],[PID]],Table3[[#All],[PID]],0)))</f>
        <v>5</v>
      </c>
      <c r="Q709" s="61">
        <f>IF($C709="B",INDEX(Batters[[#All],[Tot]],MATCH(Table5[[#This Row],[PID]],Batters[[#All],[PID]],0)),INDEX(Table3[[#All],[Tot]],MATCH(Table5[[#This Row],[PID]],Table3[[#All],[PID]],0)))</f>
        <v>37.455192052879099</v>
      </c>
      <c r="R709" s="52">
        <f>IF($C709="B",INDEX(Batters[[#All],[zScore]],MATCH(Table5[[#This Row],[PID]],Batters[[#All],[PID]],0)),INDEX(Table3[[#All],[zScore]],MATCH(Table5[[#This Row],[PID]],Table3[[#All],[PID]],0)))</f>
        <v>-0.84125778819043928</v>
      </c>
      <c r="S709" s="58" t="str">
        <f>IF($C709="B",INDEX(Batters[[#All],[DEM]],MATCH(Table5[[#This Row],[PID]],Batters[[#All],[PID]],0)),INDEX(Table3[[#All],[DEM]],MATCH(Table5[[#This Row],[PID]],Table3[[#All],[PID]],0)))</f>
        <v>$20k</v>
      </c>
      <c r="T709" s="62">
        <f>IF($C709="B",INDEX(Batters[[#All],[Rnk]],MATCH(Table5[[#This Row],[PID]],Batters[[#All],[PID]],0)),INDEX(Table3[[#All],[Rnk]],MATCH(Table5[[#This Row],[PID]],Table3[[#All],[PID]],0)))</f>
        <v>930</v>
      </c>
      <c r="U709" s="67">
        <f>IF($C709="B",VLOOKUP($A709,Bat!$A$4:$BA$1314,47,FALSE),VLOOKUP($A709,Pit!$A$4:$BF$1214,56,FALSE))</f>
        <v>368</v>
      </c>
      <c r="V709" s="50">
        <f>IF($C709="B",VLOOKUP($A709,Bat!$A$4:$BA$1314,48,FALSE),VLOOKUP($A709,Pit!$A$4:$BF$1214,57,FALSE))</f>
        <v>0</v>
      </c>
      <c r="W709" s="68">
        <f>IF(Table5[[#This Row],[posRnk]]=999,9999,Table5[[#This Row],[posRnk]]+Table5[[#This Row],[zRnk]]+IF($W$3&lt;&gt;Table5[[#This Row],[Type]],50,0))</f>
        <v>1687</v>
      </c>
      <c r="X709" s="51">
        <f>RANK(Table5[[#This Row],[zScore]],Table5[[#All],[zScore]])</f>
        <v>707</v>
      </c>
      <c r="Y709" s="50">
        <f>IFERROR(INDEX(DraftResults[[#All],[OVR]],MATCH(Table5[[#This Row],[PID]],DraftResults[[#All],[Player ID]],0)),"")</f>
        <v>406</v>
      </c>
      <c r="Z709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13</v>
      </c>
      <c r="AA709" s="50">
        <f>IFERROR(INDEX(DraftResults[[#All],[Pick in Round]],MATCH(Table5[[#This Row],[PID]],DraftResults[[#All],[Player ID]],0)),"")</f>
        <v>7</v>
      </c>
      <c r="AB709" s="50" t="str">
        <f>IFERROR(INDEX(DraftResults[[#All],[Team Name]],MATCH(Table5[[#This Row],[PID]],DraftResults[[#All],[Player ID]],0)),"")</f>
        <v>Hartford Harpoon</v>
      </c>
      <c r="AC709" s="50">
        <f>IF(Table5[[#This Row],[Ovr]]="","",IF(Table5[[#This Row],[cmbList]]="","",Table5[[#This Row],[cmbList]]-Table5[[#This Row],[Ovr]]))</f>
        <v>1281</v>
      </c>
      <c r="AD709" s="54" t="str">
        <f>IF(ISERROR(VLOOKUP($AB709&amp;"-"&amp;$E709&amp;" "&amp;F709,Bonuses!$B$1:$G$1006,4,FALSE)),"",INT(VLOOKUP($AB709&amp;"-"&amp;$E709&amp;" "&amp;$F709,Bonuses!$B$1:$G$1006,4,FALSE)))</f>
        <v/>
      </c>
      <c r="AE709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13.7 (406) - 1B Will Dunne</v>
      </c>
    </row>
    <row r="710" spans="1:31" s="50" customFormat="1" x14ac:dyDescent="0.3">
      <c r="A710" s="67">
        <v>12268</v>
      </c>
      <c r="B710" s="68">
        <f>COUNTIF(Table5[PID],A710)</f>
        <v>1</v>
      </c>
      <c r="C710" s="68" t="str">
        <f>IF(COUNTIF(Table3[[#All],[PID]],A710)&gt;0,"P","B")</f>
        <v>B</v>
      </c>
      <c r="D710" s="59" t="str">
        <f>IF($C710="B",INDEX(Batters[[#All],[POS]],MATCH(Table5[[#This Row],[PID]],Batters[[#All],[PID]],0)),INDEX(Table3[[#All],[POS]],MATCH(Table5[[#This Row],[PID]],Table3[[#All],[PID]],0)))</f>
        <v>CF</v>
      </c>
      <c r="E710" s="52" t="str">
        <f>IF($C710="B",INDEX(Batters[[#All],[First]],MATCH(Table5[[#This Row],[PID]],Batters[[#All],[PID]],0)),INDEX(Table3[[#All],[First]],MATCH(Table5[[#This Row],[PID]],Table3[[#All],[PID]],0)))</f>
        <v>Greg</v>
      </c>
      <c r="F710" s="55" t="str">
        <f>IF($C710="B",INDEX(Batters[[#All],[Last]],MATCH(A710,Batters[[#All],[PID]],0)),INDEX(Table3[[#All],[Last]],MATCH(A710,Table3[[#All],[PID]],0)))</f>
        <v>Waters</v>
      </c>
      <c r="G710" s="56">
        <f>IF($C710="B",INDEX(Batters[[#All],[Age]],MATCH(Table5[[#This Row],[PID]],Batters[[#All],[PID]],0)),INDEX(Table3[[#All],[Age]],MATCH(Table5[[#This Row],[PID]],Table3[[#All],[PID]],0)))</f>
        <v>21</v>
      </c>
      <c r="H710" s="52" t="str">
        <f>IF($C710="B",INDEX(Batters[[#All],[B]],MATCH(Table5[[#This Row],[PID]],Batters[[#All],[PID]],0)),INDEX(Table3[[#All],[B]],MATCH(Table5[[#This Row],[PID]],Table3[[#All],[PID]],0)))</f>
        <v>R</v>
      </c>
      <c r="I710" s="52" t="str">
        <f>IF($C710="B",INDEX(Batters[[#All],[T]],MATCH(Table5[[#This Row],[PID]],Batters[[#All],[PID]],0)),INDEX(Table3[[#All],[T]],MATCH(Table5[[#This Row],[PID]],Table3[[#All],[PID]],0)))</f>
        <v>R</v>
      </c>
      <c r="J710" s="69" t="str">
        <f>IF($C710="B",INDEX(Batters[[#All],[WE]],MATCH(Table5[[#This Row],[PID]],Batters[[#All],[PID]],0)),INDEX(Table3[[#All],[WE]],MATCH(Table5[[#This Row],[PID]],Table3[[#All],[PID]],0)))</f>
        <v>High</v>
      </c>
      <c r="K710" s="52" t="str">
        <f>IF($C710="B",INDEX(Batters[[#All],[INT]],MATCH(Table5[[#This Row],[PID]],Batters[[#All],[PID]],0)),INDEX(Table3[[#All],[INT]],MATCH(Table5[[#This Row],[PID]],Table3[[#All],[PID]],0)))</f>
        <v>Normal</v>
      </c>
      <c r="L710" s="60">
        <f>IF($C710="B",INDEX(Batters[[#All],[CON P]],MATCH(Table5[[#This Row],[PID]],Batters[[#All],[PID]],0)),INDEX(Table3[[#All],[STU P]],MATCH(Table5[[#This Row],[PID]],Table3[[#All],[PID]],0)))</f>
        <v>3</v>
      </c>
      <c r="M710" s="70">
        <f>IF($C710="B",INDEX(Batters[[#All],[GAP P]],MATCH(Table5[[#This Row],[PID]],Batters[[#All],[PID]],0)),INDEX(Table3[[#All],[MOV P]],MATCH(Table5[[#This Row],[PID]],Table3[[#All],[PID]],0)))</f>
        <v>3</v>
      </c>
      <c r="N710" s="70">
        <f>IF($C710="B",INDEX(Batters[[#All],[POW P]],MATCH(Table5[[#This Row],[PID]],Batters[[#All],[PID]],0)),INDEX(Table3[[#All],[CON P]],MATCH(Table5[[#This Row],[PID]],Table3[[#All],[PID]],0)))</f>
        <v>2</v>
      </c>
      <c r="O710" s="70">
        <f>IF($C710="B",INDEX(Batters[[#All],[EYE P]],MATCH(Table5[[#This Row],[PID]],Batters[[#All],[PID]],0)),INDEX(Table3[[#All],[VELO]],MATCH(Table5[[#This Row],[PID]],Table3[[#All],[PID]],0)))</f>
        <v>5</v>
      </c>
      <c r="P710" s="56">
        <f>IF($C710="B",INDEX(Batters[[#All],[K P]],MATCH(Table5[[#This Row],[PID]],Batters[[#All],[PID]],0)),INDEX(Table3[[#All],[STM]],MATCH(Table5[[#This Row],[PID]],Table3[[#All],[PID]],0)))</f>
        <v>3</v>
      </c>
      <c r="Q710" s="61">
        <f>IF($C710="B",INDEX(Batters[[#All],[Tot]],MATCH(Table5[[#This Row],[PID]],Batters[[#All],[PID]],0)),INDEX(Table3[[#All],[Tot]],MATCH(Table5[[#This Row],[PID]],Table3[[#All],[PID]],0)))</f>
        <v>37.004612119828153</v>
      </c>
      <c r="R710" s="52">
        <f>IF($C710="B",INDEX(Batters[[#All],[zScore]],MATCH(Table5[[#This Row],[PID]],Batters[[#All],[PID]],0)),INDEX(Table3[[#All],[zScore]],MATCH(Table5[[#This Row],[PID]],Table3[[#All],[PID]],0)))</f>
        <v>-0.90702808926282619</v>
      </c>
      <c r="S710" s="75" t="str">
        <f>IF($C710="B",INDEX(Batters[[#All],[DEM]],MATCH(Table5[[#This Row],[PID]],Batters[[#All],[PID]],0)),INDEX(Table3[[#All],[DEM]],MATCH(Table5[[#This Row],[PID]],Table3[[#All],[PID]],0)))</f>
        <v>$90k</v>
      </c>
      <c r="T710" s="72">
        <f>IF($C710="B",INDEX(Batters[[#All],[Rnk]],MATCH(Table5[[#This Row],[PID]],Batters[[#All],[PID]],0)),INDEX(Table3[[#All],[Rnk]],MATCH(Table5[[#This Row],[PID]],Table3[[#All],[PID]],0)))</f>
        <v>900</v>
      </c>
      <c r="U710" s="67">
        <f>IF($C710="B",VLOOKUP($A710,Bat!$A$4:$BA$1314,47,FALSE),VLOOKUP($A710,Pit!$A$4:$BF$1214,56,FALSE))</f>
        <v>248</v>
      </c>
      <c r="V710" s="50">
        <f>IF($C710="B",VLOOKUP($A710,Bat!$A$4:$BA$1314,48,FALSE),VLOOKUP($A710,Pit!$A$4:$BF$1214,57,FALSE))</f>
        <v>0</v>
      </c>
      <c r="W710" s="68">
        <f>IF(Table5[[#This Row],[posRnk]]=999,9999,Table5[[#This Row],[posRnk]]+Table5[[#This Row],[zRnk]]+IF($W$3&lt;&gt;Table5[[#This Row],[Type]],50,0))</f>
        <v>1688</v>
      </c>
      <c r="X710" s="71">
        <f>RANK(Table5[[#This Row],[zScore]],Table5[[#All],[zScore]])</f>
        <v>738</v>
      </c>
      <c r="Y710" s="68">
        <f>IFERROR(INDEX(DraftResults[[#All],[OVR]],MATCH(Table5[[#This Row],[PID]],DraftResults[[#All],[Player ID]],0)),"")</f>
        <v>175</v>
      </c>
      <c r="Z710" s="7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6</v>
      </c>
      <c r="AA710" s="68">
        <f>IFERROR(INDEX(DraftResults[[#All],[Pick in Round]],MATCH(Table5[[#This Row],[PID]],DraftResults[[#All],[Player ID]],0)),"")</f>
        <v>6</v>
      </c>
      <c r="AB710" s="68" t="str">
        <f>IFERROR(INDEX(DraftResults[[#All],[Team Name]],MATCH(Table5[[#This Row],[PID]],DraftResults[[#All],[Player ID]],0)),"")</f>
        <v>New Orleans Trendsetters</v>
      </c>
      <c r="AC710" s="68">
        <f>IF(Table5[[#This Row],[Ovr]]="","",IF(Table5[[#This Row],[cmbList]]="","",Table5[[#This Row],[cmbList]]-Table5[[#This Row],[Ovr]]))</f>
        <v>1513</v>
      </c>
      <c r="AD710" s="74" t="str">
        <f>IF(ISERROR(VLOOKUP($AB710&amp;"-"&amp;$E710&amp;" "&amp;F710,Bonuses!$B$1:$G$1006,4,FALSE)),"",INT(VLOOKUP($AB710&amp;"-"&amp;$E710&amp;" "&amp;$F710,Bonuses!$B$1:$G$1006,4,FALSE)))</f>
        <v/>
      </c>
      <c r="AE710" s="68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6.6 (175) - CF Greg Waters</v>
      </c>
    </row>
    <row r="711" spans="1:31" s="50" customFormat="1" x14ac:dyDescent="0.3">
      <c r="A711" s="50">
        <v>6921</v>
      </c>
      <c r="B711" s="50">
        <f>COUNTIF(Table5[PID],A711)</f>
        <v>1</v>
      </c>
      <c r="C711" s="50" t="str">
        <f>IF(COUNTIF(Table3[[#All],[PID]],A711)&gt;0,"P","B")</f>
        <v>B</v>
      </c>
      <c r="D711" s="59" t="str">
        <f>IF($C711="B",INDEX(Batters[[#All],[POS]],MATCH(Table5[[#This Row],[PID]],Batters[[#All],[PID]],0)),INDEX(Table3[[#All],[POS]],MATCH(Table5[[#This Row],[PID]],Table3[[#All],[PID]],0)))</f>
        <v>1B</v>
      </c>
      <c r="E711" s="52" t="str">
        <f>IF($C711="B",INDEX(Batters[[#All],[First]],MATCH(Table5[[#This Row],[PID]],Batters[[#All],[PID]],0)),INDEX(Table3[[#All],[First]],MATCH(Table5[[#This Row],[PID]],Table3[[#All],[PID]],0)))</f>
        <v>Ángel</v>
      </c>
      <c r="F711" s="50" t="str">
        <f>IF($C711="B",INDEX(Batters[[#All],[Last]],MATCH(A711,Batters[[#All],[PID]],0)),INDEX(Table3[[#All],[Last]],MATCH(A711,Table3[[#All],[PID]],0)))</f>
        <v>Jiménez</v>
      </c>
      <c r="G711" s="56">
        <f>IF($C711="B",INDEX(Batters[[#All],[Age]],MATCH(Table5[[#This Row],[PID]],Batters[[#All],[PID]],0)),INDEX(Table3[[#All],[Age]],MATCH(Table5[[#This Row],[PID]],Table3[[#All],[PID]],0)))</f>
        <v>21</v>
      </c>
      <c r="H711" s="52" t="str">
        <f>IF($C711="B",INDEX(Batters[[#All],[B]],MATCH(Table5[[#This Row],[PID]],Batters[[#All],[PID]],0)),INDEX(Table3[[#All],[B]],MATCH(Table5[[#This Row],[PID]],Table3[[#All],[PID]],0)))</f>
        <v>L</v>
      </c>
      <c r="I711" s="52" t="str">
        <f>IF($C711="B",INDEX(Batters[[#All],[T]],MATCH(Table5[[#This Row],[PID]],Batters[[#All],[PID]],0)),INDEX(Table3[[#All],[T]],MATCH(Table5[[#This Row],[PID]],Table3[[#All],[PID]],0)))</f>
        <v>R</v>
      </c>
      <c r="J711" s="52" t="str">
        <f>IF($C711="B",INDEX(Batters[[#All],[WE]],MATCH(Table5[[#This Row],[PID]],Batters[[#All],[PID]],0)),INDEX(Table3[[#All],[WE]],MATCH(Table5[[#This Row],[PID]],Table3[[#All],[PID]],0)))</f>
        <v>Low</v>
      </c>
      <c r="K711" s="52" t="str">
        <f>IF($C711="B",INDEX(Batters[[#All],[INT]],MATCH(Table5[[#This Row],[PID]],Batters[[#All],[PID]],0)),INDEX(Table3[[#All],[INT]],MATCH(Table5[[#This Row],[PID]],Table3[[#All],[PID]],0)))</f>
        <v>Normal</v>
      </c>
      <c r="L711" s="60">
        <f>IF($C711="B",INDEX(Batters[[#All],[CON P]],MATCH(Table5[[#This Row],[PID]],Batters[[#All],[PID]],0)),INDEX(Table3[[#All],[STU P]],MATCH(Table5[[#This Row],[PID]],Table3[[#All],[PID]],0)))</f>
        <v>3</v>
      </c>
      <c r="M711" s="56">
        <f>IF($C711="B",INDEX(Batters[[#All],[GAP P]],MATCH(Table5[[#This Row],[PID]],Batters[[#All],[PID]],0)),INDEX(Table3[[#All],[MOV P]],MATCH(Table5[[#This Row],[PID]],Table3[[#All],[PID]],0)))</f>
        <v>4</v>
      </c>
      <c r="N711" s="56">
        <f>IF($C711="B",INDEX(Batters[[#All],[POW P]],MATCH(Table5[[#This Row],[PID]],Batters[[#All],[PID]],0)),INDEX(Table3[[#All],[CON P]],MATCH(Table5[[#This Row],[PID]],Table3[[#All],[PID]],0)))</f>
        <v>5</v>
      </c>
      <c r="O711" s="56">
        <f>IF($C711="B",INDEX(Batters[[#All],[EYE P]],MATCH(Table5[[#This Row],[PID]],Batters[[#All],[PID]],0)),INDEX(Table3[[#All],[VELO]],MATCH(Table5[[#This Row],[PID]],Table3[[#All],[PID]],0)))</f>
        <v>4</v>
      </c>
      <c r="P711" s="56">
        <f>IF($C711="B",INDEX(Batters[[#All],[K P]],MATCH(Table5[[#This Row],[PID]],Batters[[#All],[PID]],0)),INDEX(Table3[[#All],[STM]],MATCH(Table5[[#This Row],[PID]],Table3[[#All],[PID]],0)))</f>
        <v>3</v>
      </c>
      <c r="Q711" s="61">
        <f>IF($C711="B",INDEX(Batters[[#All],[Tot]],MATCH(Table5[[#This Row],[PID]],Batters[[#All],[PID]],0)),INDEX(Table3[[#All],[Tot]],MATCH(Table5[[#This Row],[PID]],Table3[[#All],[PID]],0)))</f>
        <v>37.443396755684105</v>
      </c>
      <c r="R711" s="52">
        <f>IF($C711="B",INDEX(Batters[[#All],[zScore]],MATCH(Table5[[#This Row],[PID]],Batters[[#All],[PID]],0)),INDEX(Table3[[#All],[zScore]],MATCH(Table5[[#This Row],[PID]],Table3[[#All],[PID]],0)))</f>
        <v>-0.84297952542471888</v>
      </c>
      <c r="S711" s="58" t="str">
        <f>IF($C711="B",INDEX(Batters[[#All],[DEM]],MATCH(Table5[[#This Row],[PID]],Batters[[#All],[PID]],0)),INDEX(Table3[[#All],[DEM]],MATCH(Table5[[#This Row],[PID]],Table3[[#All],[PID]],0)))</f>
        <v>$65k</v>
      </c>
      <c r="T711" s="62">
        <f>IF($C711="B",INDEX(Batters[[#All],[Rnk]],MATCH(Table5[[#This Row],[PID]],Batters[[#All],[PID]],0)),INDEX(Table3[[#All],[Rnk]],MATCH(Table5[[#This Row],[PID]],Table3[[#All],[PID]],0)))</f>
        <v>930</v>
      </c>
      <c r="U711" s="67">
        <f>IF($C711="B",VLOOKUP($A711,Bat!$A$4:$BA$1314,47,FALSE),VLOOKUP($A711,Pit!$A$4:$BF$1214,56,FALSE))</f>
        <v>369</v>
      </c>
      <c r="V711" s="50">
        <f>IF($C711="B",VLOOKUP($A711,Bat!$A$4:$BA$1314,48,FALSE),VLOOKUP($A711,Pit!$A$4:$BF$1214,57,FALSE))</f>
        <v>0</v>
      </c>
      <c r="W711" s="68">
        <f>IF(Table5[[#This Row],[posRnk]]=999,9999,Table5[[#This Row],[posRnk]]+Table5[[#This Row],[zRnk]]+IF($W$3&lt;&gt;Table5[[#This Row],[Type]],50,0))</f>
        <v>1688</v>
      </c>
      <c r="X711" s="51">
        <f>RANK(Table5[[#This Row],[zScore]],Table5[[#All],[zScore]])</f>
        <v>708</v>
      </c>
      <c r="Y711" s="50" t="str">
        <f>IFERROR(INDEX(DraftResults[[#All],[OVR]],MATCH(Table5[[#This Row],[PID]],DraftResults[[#All],[Player ID]],0)),"")</f>
        <v/>
      </c>
      <c r="Z711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/>
      </c>
      <c r="AA711" s="50" t="str">
        <f>IFERROR(INDEX(DraftResults[[#All],[Pick in Round]],MATCH(Table5[[#This Row],[PID]],DraftResults[[#All],[Player ID]],0)),"")</f>
        <v/>
      </c>
      <c r="AB711" s="50" t="str">
        <f>IFERROR(INDEX(DraftResults[[#All],[Team Name]],MATCH(Table5[[#This Row],[PID]],DraftResults[[#All],[Player ID]],0)),"")</f>
        <v/>
      </c>
      <c r="AC711" s="50" t="str">
        <f>IF(Table5[[#This Row],[Ovr]]="","",IF(Table5[[#This Row],[cmbList]]="","",Table5[[#This Row],[cmbList]]-Table5[[#This Row],[Ovr]]))</f>
        <v/>
      </c>
      <c r="AD711" s="54" t="str">
        <f>IF(ISERROR(VLOOKUP($AB711&amp;"-"&amp;$E711&amp;" "&amp;F711,Bonuses!$B$1:$G$1006,4,FALSE)),"",INT(VLOOKUP($AB711&amp;"-"&amp;$E711&amp;" "&amp;$F711,Bonuses!$B$1:$G$1006,4,FALSE)))</f>
        <v/>
      </c>
      <c r="AE711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/>
      </c>
    </row>
    <row r="712" spans="1:31" s="50" customFormat="1" x14ac:dyDescent="0.3">
      <c r="A712" s="50">
        <v>12408</v>
      </c>
      <c r="B712" s="50">
        <f>COUNTIF(Table5[PID],A712)</f>
        <v>1</v>
      </c>
      <c r="C712" s="50" t="str">
        <f>IF(COUNTIF(Table3[[#All],[PID]],A712)&gt;0,"P","B")</f>
        <v>B</v>
      </c>
      <c r="D712" s="59" t="str">
        <f>IF($C712="B",INDEX(Batters[[#All],[POS]],MATCH(Table5[[#This Row],[PID]],Batters[[#All],[PID]],0)),INDEX(Table3[[#All],[POS]],MATCH(Table5[[#This Row],[PID]],Table3[[#All],[PID]],0)))</f>
        <v>SS</v>
      </c>
      <c r="E712" s="52" t="str">
        <f>IF($C712="B",INDEX(Batters[[#All],[First]],MATCH(Table5[[#This Row],[PID]],Batters[[#All],[PID]],0)),INDEX(Table3[[#All],[First]],MATCH(Table5[[#This Row],[PID]],Table3[[#All],[PID]],0)))</f>
        <v>Kevin</v>
      </c>
      <c r="F712" s="50" t="str">
        <f>IF($C712="B",INDEX(Batters[[#All],[Last]],MATCH(A712,Batters[[#All],[PID]],0)),INDEX(Table3[[#All],[Last]],MATCH(A712,Table3[[#All],[PID]],0)))</f>
        <v>Ducklow</v>
      </c>
      <c r="G712" s="56">
        <f>IF($C712="B",INDEX(Batters[[#All],[Age]],MATCH(Table5[[#This Row],[PID]],Batters[[#All],[PID]],0)),INDEX(Table3[[#All],[Age]],MATCH(Table5[[#This Row],[PID]],Table3[[#All],[PID]],0)))</f>
        <v>22</v>
      </c>
      <c r="H712" s="52" t="str">
        <f>IF($C712="B",INDEX(Batters[[#All],[B]],MATCH(Table5[[#This Row],[PID]],Batters[[#All],[PID]],0)),INDEX(Table3[[#All],[B]],MATCH(Table5[[#This Row],[PID]],Table3[[#All],[PID]],0)))</f>
        <v>R</v>
      </c>
      <c r="I712" s="52" t="str">
        <f>IF($C712="B",INDEX(Batters[[#All],[T]],MATCH(Table5[[#This Row],[PID]],Batters[[#All],[PID]],0)),INDEX(Table3[[#All],[T]],MATCH(Table5[[#This Row],[PID]],Table3[[#All],[PID]],0)))</f>
        <v>R</v>
      </c>
      <c r="J712" s="52" t="str">
        <f>IF($C712="B",INDEX(Batters[[#All],[WE]],MATCH(Table5[[#This Row],[PID]],Batters[[#All],[PID]],0)),INDEX(Table3[[#All],[WE]],MATCH(Table5[[#This Row],[PID]],Table3[[#All],[PID]],0)))</f>
        <v>Low</v>
      </c>
      <c r="K712" s="52" t="str">
        <f>IF($C712="B",INDEX(Batters[[#All],[INT]],MATCH(Table5[[#This Row],[PID]],Batters[[#All],[PID]],0)),INDEX(Table3[[#All],[INT]],MATCH(Table5[[#This Row],[PID]],Table3[[#All],[PID]],0)))</f>
        <v>Normal</v>
      </c>
      <c r="L712" s="60">
        <f>IF($C712="B",INDEX(Batters[[#All],[CON P]],MATCH(Table5[[#This Row],[PID]],Batters[[#All],[PID]],0)),INDEX(Table3[[#All],[STU P]],MATCH(Table5[[#This Row],[PID]],Table3[[#All],[PID]],0)))</f>
        <v>3</v>
      </c>
      <c r="M712" s="56">
        <f>IF($C712="B",INDEX(Batters[[#All],[GAP P]],MATCH(Table5[[#This Row],[PID]],Batters[[#All],[PID]],0)),INDEX(Table3[[#All],[MOV P]],MATCH(Table5[[#This Row],[PID]],Table3[[#All],[PID]],0)))</f>
        <v>5</v>
      </c>
      <c r="N712" s="56">
        <f>IF($C712="B",INDEX(Batters[[#All],[POW P]],MATCH(Table5[[#This Row],[PID]],Batters[[#All],[PID]],0)),INDEX(Table3[[#All],[CON P]],MATCH(Table5[[#This Row],[PID]],Table3[[#All],[PID]],0)))</f>
        <v>3</v>
      </c>
      <c r="O712" s="56">
        <f>IF($C712="B",INDEX(Batters[[#All],[EYE P]],MATCH(Table5[[#This Row],[PID]],Batters[[#All],[PID]],0)),INDEX(Table3[[#All],[VELO]],MATCH(Table5[[#This Row],[PID]],Table3[[#All],[PID]],0)))</f>
        <v>4</v>
      </c>
      <c r="P712" s="56">
        <f>IF($C712="B",INDEX(Batters[[#All],[K P]],MATCH(Table5[[#This Row],[PID]],Batters[[#All],[PID]],0)),INDEX(Table3[[#All],[STM]],MATCH(Table5[[#This Row],[PID]],Table3[[#All],[PID]],0)))</f>
        <v>3</v>
      </c>
      <c r="Q712" s="61">
        <f>IF($C712="B",INDEX(Batters[[#All],[Tot]],MATCH(Table5[[#This Row],[PID]],Batters[[#All],[PID]],0)),INDEX(Table3[[#All],[Tot]],MATCH(Table5[[#This Row],[PID]],Table3[[#All],[PID]],0)))</f>
        <v>37.439789050193305</v>
      </c>
      <c r="R712" s="52">
        <f>IF($C712="B",INDEX(Batters[[#All],[zScore]],MATCH(Table5[[#This Row],[PID]],Batters[[#All],[PID]],0)),INDEX(Table3[[#All],[zScore]],MATCH(Table5[[#This Row],[PID]],Table3[[#All],[PID]],0)))</f>
        <v>-0.84350613537537467</v>
      </c>
      <c r="S712" s="58" t="str">
        <f>IF($C712="B",INDEX(Batters[[#All],[DEM]],MATCH(Table5[[#This Row],[PID]],Batters[[#All],[PID]],0)),INDEX(Table3[[#All],[DEM]],MATCH(Table5[[#This Row],[PID]],Table3[[#All],[PID]],0)))</f>
        <v>-</v>
      </c>
      <c r="T712" s="62">
        <f>IF($C712="B",INDEX(Batters[[#All],[Rnk]],MATCH(Table5[[#This Row],[PID]],Batters[[#All],[PID]],0)),INDEX(Table3[[#All],[Rnk]],MATCH(Table5[[#This Row],[PID]],Table3[[#All],[PID]],0)))</f>
        <v>930</v>
      </c>
      <c r="U712" s="67">
        <f>IF($C712="B",VLOOKUP($A712,Bat!$A$4:$BA$1314,47,FALSE),VLOOKUP($A712,Pit!$A$4:$BF$1214,56,FALSE))</f>
        <v>370</v>
      </c>
      <c r="V712" s="50">
        <f>IF($C712="B",VLOOKUP($A712,Bat!$A$4:$BA$1314,48,FALSE),VLOOKUP($A712,Pit!$A$4:$BF$1214,57,FALSE))</f>
        <v>0</v>
      </c>
      <c r="W712" s="68">
        <f>IF(Table5[[#This Row],[posRnk]]=999,9999,Table5[[#This Row],[posRnk]]+Table5[[#This Row],[zRnk]]+IF($W$3&lt;&gt;Table5[[#This Row],[Type]],50,0))</f>
        <v>1689</v>
      </c>
      <c r="X712" s="51">
        <f>RANK(Table5[[#This Row],[zScore]],Table5[[#All],[zScore]])</f>
        <v>709</v>
      </c>
      <c r="Y712" s="50">
        <f>IFERROR(INDEX(DraftResults[[#All],[OVR]],MATCH(Table5[[#This Row],[PID]],DraftResults[[#All],[Player ID]],0)),"")</f>
        <v>465</v>
      </c>
      <c r="Z712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14</v>
      </c>
      <c r="AA712" s="50">
        <f>IFERROR(INDEX(DraftResults[[#All],[Pick in Round]],MATCH(Table5[[#This Row],[PID]],DraftResults[[#All],[Player ID]],0)),"")</f>
        <v>32</v>
      </c>
      <c r="AB712" s="50" t="str">
        <f>IFERROR(INDEX(DraftResults[[#All],[Team Name]],MATCH(Table5[[#This Row],[PID]],DraftResults[[#All],[Player ID]],0)),"")</f>
        <v>Florida Farstriders</v>
      </c>
      <c r="AC712" s="50">
        <f>IF(Table5[[#This Row],[Ovr]]="","",IF(Table5[[#This Row],[cmbList]]="","",Table5[[#This Row],[cmbList]]-Table5[[#This Row],[Ovr]]))</f>
        <v>1224</v>
      </c>
      <c r="AD712" s="54" t="str">
        <f>IF(ISERROR(VLOOKUP($AB712&amp;"-"&amp;$E712&amp;" "&amp;F712,Bonuses!$B$1:$G$1006,4,FALSE)),"",INT(VLOOKUP($AB712&amp;"-"&amp;$E712&amp;" "&amp;$F712,Bonuses!$B$1:$G$1006,4,FALSE)))</f>
        <v/>
      </c>
      <c r="AE712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14.32 (465) - SS Kevin Ducklow</v>
      </c>
    </row>
    <row r="713" spans="1:31" s="50" customFormat="1" x14ac:dyDescent="0.3">
      <c r="A713" s="50">
        <v>5422</v>
      </c>
      <c r="B713" s="50">
        <f>COUNTIF(Table5[PID],A713)</f>
        <v>1</v>
      </c>
      <c r="C713" s="50" t="str">
        <f>IF(COUNTIF(Table3[[#All],[PID]],A713)&gt;0,"P","B")</f>
        <v>P</v>
      </c>
      <c r="D713" s="59" t="str">
        <f>IF($C713="B",INDEX(Batters[[#All],[POS]],MATCH(Table5[[#This Row],[PID]],Batters[[#All],[PID]],0)),INDEX(Table3[[#All],[POS]],MATCH(Table5[[#This Row],[PID]],Table3[[#All],[PID]],0)))</f>
        <v>RP</v>
      </c>
      <c r="E713" s="52" t="str">
        <f>IF($C713="B",INDEX(Batters[[#All],[First]],MATCH(Table5[[#This Row],[PID]],Batters[[#All],[PID]],0)),INDEX(Table3[[#All],[First]],MATCH(Table5[[#This Row],[PID]],Table3[[#All],[PID]],0)))</f>
        <v>Matt</v>
      </c>
      <c r="F713" s="50" t="str">
        <f>IF($C713="B",INDEX(Batters[[#All],[Last]],MATCH(A713,Batters[[#All],[PID]],0)),INDEX(Table3[[#All],[Last]],MATCH(A713,Table3[[#All],[PID]],0)))</f>
        <v>Huffman</v>
      </c>
      <c r="G713" s="56">
        <f>IF($C713="B",INDEX(Batters[[#All],[Age]],MATCH(Table5[[#This Row],[PID]],Batters[[#All],[PID]],0)),INDEX(Table3[[#All],[Age]],MATCH(Table5[[#This Row],[PID]],Table3[[#All],[PID]],0)))</f>
        <v>21</v>
      </c>
      <c r="H713" s="52" t="str">
        <f>IF($C713="B",INDEX(Batters[[#All],[B]],MATCH(Table5[[#This Row],[PID]],Batters[[#All],[PID]],0)),INDEX(Table3[[#All],[B]],MATCH(Table5[[#This Row],[PID]],Table3[[#All],[PID]],0)))</f>
        <v>R</v>
      </c>
      <c r="I713" s="52" t="str">
        <f>IF($C713="B",INDEX(Batters[[#All],[T]],MATCH(Table5[[#This Row],[PID]],Batters[[#All],[PID]],0)),INDEX(Table3[[#All],[T]],MATCH(Table5[[#This Row],[PID]],Table3[[#All],[PID]],0)))</f>
        <v>R</v>
      </c>
      <c r="J713" s="52" t="str">
        <f>IF($C713="B",INDEX(Batters[[#All],[WE]],MATCH(Table5[[#This Row],[PID]],Batters[[#All],[PID]],0)),INDEX(Table3[[#All],[WE]],MATCH(Table5[[#This Row],[PID]],Table3[[#All],[PID]],0)))</f>
        <v>Normal</v>
      </c>
      <c r="K713" s="52" t="str">
        <f>IF($C713="B",INDEX(Batters[[#All],[INT]],MATCH(Table5[[#This Row],[PID]],Batters[[#All],[PID]],0)),INDEX(Table3[[#All],[INT]],MATCH(Table5[[#This Row],[PID]],Table3[[#All],[PID]],0)))</f>
        <v>Normal</v>
      </c>
      <c r="L713" s="60">
        <f>IF($C713="B",INDEX(Batters[[#All],[CON P]],MATCH(Table5[[#This Row],[PID]],Batters[[#All],[PID]],0)),INDEX(Table3[[#All],[STU P]],MATCH(Table5[[#This Row],[PID]],Table3[[#All],[PID]],0)))</f>
        <v>4</v>
      </c>
      <c r="M713" s="56">
        <f>IF($C713="B",INDEX(Batters[[#All],[GAP P]],MATCH(Table5[[#This Row],[PID]],Batters[[#All],[PID]],0)),INDEX(Table3[[#All],[MOV P]],MATCH(Table5[[#This Row],[PID]],Table3[[#All],[PID]],0)))</f>
        <v>1</v>
      </c>
      <c r="N713" s="56">
        <f>IF($C713="B",INDEX(Batters[[#All],[POW P]],MATCH(Table5[[#This Row],[PID]],Batters[[#All],[PID]],0)),INDEX(Table3[[#All],[CON P]],MATCH(Table5[[#This Row],[PID]],Table3[[#All],[PID]],0)))</f>
        <v>3</v>
      </c>
      <c r="O713" s="56" t="str">
        <f>IF($C713="B",INDEX(Batters[[#All],[EYE P]],MATCH(Table5[[#This Row],[PID]],Batters[[#All],[PID]],0)),INDEX(Table3[[#All],[VELO]],MATCH(Table5[[#This Row],[PID]],Table3[[#All],[PID]],0)))</f>
        <v>87-89 Mph</v>
      </c>
      <c r="P713" s="56">
        <f>IF($C713="B",INDEX(Batters[[#All],[K P]],MATCH(Table5[[#This Row],[PID]],Batters[[#All],[PID]],0)),INDEX(Table3[[#All],[STM]],MATCH(Table5[[#This Row],[PID]],Table3[[#All],[PID]],0)))</f>
        <v>6</v>
      </c>
      <c r="Q713" s="61">
        <f>IF($C713="B",INDEX(Batters[[#All],[Tot]],MATCH(Table5[[#This Row],[PID]],Batters[[#All],[PID]],0)),INDEX(Table3[[#All],[Tot]],MATCH(Table5[[#This Row],[PID]],Table3[[#All],[PID]],0)))</f>
        <v>25.046824940777292</v>
      </c>
      <c r="R713" s="52">
        <f>IF($C713="B",INDEX(Batters[[#All],[zScore]],MATCH(Table5[[#This Row],[PID]],Batters[[#All],[PID]],0)),INDEX(Table3[[#All],[zScore]],MATCH(Table5[[#This Row],[PID]],Table3[[#All],[PID]],0)))</f>
        <v>-0.90829965426807624</v>
      </c>
      <c r="S713" s="58" t="str">
        <f>IF($C713="B",INDEX(Batters[[#All],[DEM]],MATCH(Table5[[#This Row],[PID]],Batters[[#All],[PID]],0)),INDEX(Table3[[#All],[DEM]],MATCH(Table5[[#This Row],[PID]],Table3[[#All],[PID]],0)))</f>
        <v>-</v>
      </c>
      <c r="T713" s="62">
        <f>IF($C713="B",INDEX(Batters[[#All],[Rnk]],MATCH(Table5[[#This Row],[PID]],Batters[[#All],[PID]],0)),INDEX(Table3[[#All],[Rnk]],MATCH(Table5[[#This Row],[PID]],Table3[[#All],[PID]],0)))</f>
        <v>900</v>
      </c>
      <c r="U713" s="67">
        <f>IF($C713="B",VLOOKUP($A713,Bat!$A$4:$BA$1314,47,FALSE),VLOOKUP($A713,Pit!$A$4:$BF$1214,56,FALSE))</f>
        <v>237</v>
      </c>
      <c r="V713" s="50">
        <f>IF($C713="B",VLOOKUP($A713,Bat!$A$4:$BA$1314,48,FALSE),VLOOKUP($A713,Pit!$A$4:$BF$1214,57,FALSE))</f>
        <v>0</v>
      </c>
      <c r="W713" s="68">
        <f>IF(Table5[[#This Row],[posRnk]]=999,9999,Table5[[#This Row],[posRnk]]+Table5[[#This Row],[zRnk]]+IF($W$3&lt;&gt;Table5[[#This Row],[Type]],50,0))</f>
        <v>1640</v>
      </c>
      <c r="X713" s="51">
        <f>RANK(Table5[[#This Row],[zScore]],Table5[[#All],[zScore]])</f>
        <v>740</v>
      </c>
      <c r="Y713" s="50" t="str">
        <f>IFERROR(INDEX(DraftResults[[#All],[OVR]],MATCH(Table5[[#This Row],[PID]],DraftResults[[#All],[Player ID]],0)),"")</f>
        <v/>
      </c>
      <c r="Z713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/>
      </c>
      <c r="AA713" s="50" t="str">
        <f>IFERROR(INDEX(DraftResults[[#All],[Pick in Round]],MATCH(Table5[[#This Row],[PID]],DraftResults[[#All],[Player ID]],0)),"")</f>
        <v/>
      </c>
      <c r="AB713" s="50" t="str">
        <f>IFERROR(INDEX(DraftResults[[#All],[Team Name]],MATCH(Table5[[#This Row],[PID]],DraftResults[[#All],[Player ID]],0)),"")</f>
        <v/>
      </c>
      <c r="AC713" s="50" t="str">
        <f>IF(Table5[[#This Row],[Ovr]]="","",IF(Table5[[#This Row],[cmbList]]="","",Table5[[#This Row],[cmbList]]-Table5[[#This Row],[Ovr]]))</f>
        <v/>
      </c>
      <c r="AD713" s="54" t="str">
        <f>IF(ISERROR(VLOOKUP($AB713&amp;"-"&amp;$E713&amp;" "&amp;F713,Bonuses!$B$1:$G$1006,4,FALSE)),"",INT(VLOOKUP($AB713&amp;"-"&amp;$E713&amp;" "&amp;$F713,Bonuses!$B$1:$G$1006,4,FALSE)))</f>
        <v/>
      </c>
      <c r="AE713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/>
      </c>
    </row>
    <row r="714" spans="1:31" s="50" customFormat="1" x14ac:dyDescent="0.3">
      <c r="A714" s="50">
        <v>8003</v>
      </c>
      <c r="B714" s="50">
        <f>COUNTIF(Table5[PID],A714)</f>
        <v>1</v>
      </c>
      <c r="C714" s="50" t="str">
        <f>IF(COUNTIF(Table3[[#All],[PID]],A714)&gt;0,"P","B")</f>
        <v>P</v>
      </c>
      <c r="D714" s="59" t="str">
        <f>IF($C714="B",INDEX(Batters[[#All],[POS]],MATCH(Table5[[#This Row],[PID]],Batters[[#All],[PID]],0)),INDEX(Table3[[#All],[POS]],MATCH(Table5[[#This Row],[PID]],Table3[[#All],[PID]],0)))</f>
        <v>RP</v>
      </c>
      <c r="E714" s="52" t="str">
        <f>IF($C714="B",INDEX(Batters[[#All],[First]],MATCH(Table5[[#This Row],[PID]],Batters[[#All],[PID]],0)),INDEX(Table3[[#All],[First]],MATCH(Table5[[#This Row],[PID]],Table3[[#All],[PID]],0)))</f>
        <v>Ralph</v>
      </c>
      <c r="F714" s="50" t="str">
        <f>IF($C714="B",INDEX(Batters[[#All],[Last]],MATCH(A714,Batters[[#All],[PID]],0)),INDEX(Table3[[#All],[Last]],MATCH(A714,Table3[[#All],[PID]],0)))</f>
        <v>Harrison</v>
      </c>
      <c r="G714" s="56">
        <f>IF($C714="B",INDEX(Batters[[#All],[Age]],MATCH(Table5[[#This Row],[PID]],Batters[[#All],[PID]],0)),INDEX(Table3[[#All],[Age]],MATCH(Table5[[#This Row],[PID]],Table3[[#All],[PID]],0)))</f>
        <v>21</v>
      </c>
      <c r="H714" s="52" t="str">
        <f>IF($C714="B",INDEX(Batters[[#All],[B]],MATCH(Table5[[#This Row],[PID]],Batters[[#All],[PID]],0)),INDEX(Table3[[#All],[B]],MATCH(Table5[[#This Row],[PID]],Table3[[#All],[PID]],0)))</f>
        <v>R</v>
      </c>
      <c r="I714" s="52" t="str">
        <f>IF($C714="B",INDEX(Batters[[#All],[T]],MATCH(Table5[[#This Row],[PID]],Batters[[#All],[PID]],0)),INDEX(Table3[[#All],[T]],MATCH(Table5[[#This Row],[PID]],Table3[[#All],[PID]],0)))</f>
        <v>R</v>
      </c>
      <c r="J714" s="52" t="str">
        <f>IF($C714="B",INDEX(Batters[[#All],[WE]],MATCH(Table5[[#This Row],[PID]],Batters[[#All],[PID]],0)),INDEX(Table3[[#All],[WE]],MATCH(Table5[[#This Row],[PID]],Table3[[#All],[PID]],0)))</f>
        <v>Low</v>
      </c>
      <c r="K714" s="52" t="str">
        <f>IF($C714="B",INDEX(Batters[[#All],[INT]],MATCH(Table5[[#This Row],[PID]],Batters[[#All],[PID]],0)),INDEX(Table3[[#All],[INT]],MATCH(Table5[[#This Row],[PID]],Table3[[#All],[PID]],0)))</f>
        <v>Normal</v>
      </c>
      <c r="L714" s="60">
        <f>IF($C714="B",INDEX(Batters[[#All],[CON P]],MATCH(Table5[[#This Row],[PID]],Batters[[#All],[PID]],0)),INDEX(Table3[[#All],[STU P]],MATCH(Table5[[#This Row],[PID]],Table3[[#All],[PID]],0)))</f>
        <v>5</v>
      </c>
      <c r="M714" s="56">
        <f>IF($C714="B",INDEX(Batters[[#All],[GAP P]],MATCH(Table5[[#This Row],[PID]],Batters[[#All],[PID]],0)),INDEX(Table3[[#All],[MOV P]],MATCH(Table5[[#This Row],[PID]],Table3[[#All],[PID]],0)))</f>
        <v>2</v>
      </c>
      <c r="N714" s="56">
        <f>IF($C714="B",INDEX(Batters[[#All],[POW P]],MATCH(Table5[[#This Row],[PID]],Batters[[#All],[PID]],0)),INDEX(Table3[[#All],[CON P]],MATCH(Table5[[#This Row],[PID]],Table3[[#All],[PID]],0)))</f>
        <v>3</v>
      </c>
      <c r="O714" s="56" t="str">
        <f>IF($C714="B",INDEX(Batters[[#All],[EYE P]],MATCH(Table5[[#This Row],[PID]],Batters[[#All],[PID]],0)),INDEX(Table3[[#All],[VELO]],MATCH(Table5[[#This Row],[PID]],Table3[[#All],[PID]],0)))</f>
        <v>91-93 Mph</v>
      </c>
      <c r="P714" s="56">
        <f>IF($C714="B",INDEX(Batters[[#All],[K P]],MATCH(Table5[[#This Row],[PID]],Batters[[#All],[PID]],0)),INDEX(Table3[[#All],[STM]],MATCH(Table5[[#This Row],[PID]],Table3[[#All],[PID]],0)))</f>
        <v>6</v>
      </c>
      <c r="Q714" s="61">
        <f>IF($C714="B",INDEX(Batters[[#All],[Tot]],MATCH(Table5[[#This Row],[PID]],Batters[[#All],[PID]],0)),INDEX(Table3[[#All],[Tot]],MATCH(Table5[[#This Row],[PID]],Table3[[#All],[PID]],0)))</f>
        <v>25.898583423796126</v>
      </c>
      <c r="R714" s="52">
        <f>IF($C714="B",INDEX(Batters[[#All],[zScore]],MATCH(Table5[[#This Row],[PID]],Batters[[#All],[PID]],0)),INDEX(Table3[[#All],[zScore]],MATCH(Table5[[#This Row],[PID]],Table3[[#All],[PID]],0)))</f>
        <v>-0.84764845996791838</v>
      </c>
      <c r="S714" s="58" t="str">
        <f>IF($C714="B",INDEX(Batters[[#All],[DEM]],MATCH(Table5[[#This Row],[PID]],Batters[[#All],[PID]],0)),INDEX(Table3[[#All],[DEM]],MATCH(Table5[[#This Row],[PID]],Table3[[#All],[PID]],0)))</f>
        <v>$43k</v>
      </c>
      <c r="T714" s="62">
        <f>IF($C714="B",INDEX(Batters[[#All],[Rnk]],MATCH(Table5[[#This Row],[PID]],Batters[[#All],[PID]],0)),INDEX(Table3[[#All],[Rnk]],MATCH(Table5[[#This Row],[PID]],Table3[[#All],[PID]],0)))</f>
        <v>930</v>
      </c>
      <c r="U714" s="67">
        <f>IF($C714="B",VLOOKUP($A714,Bat!$A$4:$BA$1314,47,FALSE),VLOOKUP($A714,Pit!$A$4:$BF$1214,56,FALSE))</f>
        <v>354</v>
      </c>
      <c r="V714" s="50">
        <f>IF($C714="B",VLOOKUP($A714,Bat!$A$4:$BA$1314,48,FALSE),VLOOKUP($A714,Pit!$A$4:$BF$1214,57,FALSE))</f>
        <v>0</v>
      </c>
      <c r="W714" s="68">
        <f>IF(Table5[[#This Row],[posRnk]]=999,9999,Table5[[#This Row],[posRnk]]+Table5[[#This Row],[zRnk]]+IF($W$3&lt;&gt;Table5[[#This Row],[Type]],50,0))</f>
        <v>1641</v>
      </c>
      <c r="X714" s="51">
        <f>RANK(Table5[[#This Row],[zScore]],Table5[[#All],[zScore]])</f>
        <v>711</v>
      </c>
      <c r="Y714" s="50">
        <f>IFERROR(INDEX(DraftResults[[#All],[OVR]],MATCH(Table5[[#This Row],[PID]],DraftResults[[#All],[Player ID]],0)),"")</f>
        <v>595</v>
      </c>
      <c r="Z714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18</v>
      </c>
      <c r="AA714" s="50">
        <f>IFERROR(INDEX(DraftResults[[#All],[Pick in Round]],MATCH(Table5[[#This Row],[PID]],DraftResults[[#All],[Player ID]],0)),"")</f>
        <v>26</v>
      </c>
      <c r="AB714" s="50" t="str">
        <f>IFERROR(INDEX(DraftResults[[#All],[Team Name]],MATCH(Table5[[#This Row],[PID]],DraftResults[[#All],[Player ID]],0)),"")</f>
        <v>Aurora Borealis</v>
      </c>
      <c r="AC714" s="50">
        <f>IF(Table5[[#This Row],[Ovr]]="","",IF(Table5[[#This Row],[cmbList]]="","",Table5[[#This Row],[cmbList]]-Table5[[#This Row],[Ovr]]))</f>
        <v>1046</v>
      </c>
      <c r="AD714" s="54" t="str">
        <f>IF(ISERROR(VLOOKUP($AB714&amp;"-"&amp;$E714&amp;" "&amp;F714,Bonuses!$B$1:$G$1006,4,FALSE)),"",INT(VLOOKUP($AB714&amp;"-"&amp;$E714&amp;" "&amp;$F714,Bonuses!$B$1:$G$1006,4,FALSE)))</f>
        <v/>
      </c>
      <c r="AE714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18.26 (595) - RP Ralph Harrison</v>
      </c>
    </row>
    <row r="715" spans="1:31" s="50" customFormat="1" x14ac:dyDescent="0.3">
      <c r="A715" s="50">
        <v>20274</v>
      </c>
      <c r="B715" s="50">
        <f>COUNTIF(Table5[PID],A715)</f>
        <v>1</v>
      </c>
      <c r="C715" s="50" t="str">
        <f>IF(COUNTIF(Table3[[#All],[PID]],A715)&gt;0,"P","B")</f>
        <v>P</v>
      </c>
      <c r="D715" s="59" t="str">
        <f>IF($C715="B",INDEX(Batters[[#All],[POS]],MATCH(Table5[[#This Row],[PID]],Batters[[#All],[PID]],0)),INDEX(Table3[[#All],[POS]],MATCH(Table5[[#This Row],[PID]],Table3[[#All],[PID]],0)))</f>
        <v>RP</v>
      </c>
      <c r="E715" s="52" t="str">
        <f>IF($C715="B",INDEX(Batters[[#All],[First]],MATCH(Table5[[#This Row],[PID]],Batters[[#All],[PID]],0)),INDEX(Table3[[#All],[First]],MATCH(Table5[[#This Row],[PID]],Table3[[#All],[PID]],0)))</f>
        <v>Zhi-bin</v>
      </c>
      <c r="F715" s="50" t="str">
        <f>IF($C715="B",INDEX(Batters[[#All],[Last]],MATCH(A715,Batters[[#All],[PID]],0)),INDEX(Table3[[#All],[Last]],MATCH(A715,Table3[[#All],[PID]],0)))</f>
        <v>Yuan</v>
      </c>
      <c r="G715" s="56">
        <f>IF($C715="B",INDEX(Batters[[#All],[Age]],MATCH(Table5[[#This Row],[PID]],Batters[[#All],[PID]],0)),INDEX(Table3[[#All],[Age]],MATCH(Table5[[#This Row],[PID]],Table3[[#All],[PID]],0)))</f>
        <v>21</v>
      </c>
      <c r="H715" s="52" t="str">
        <f>IF($C715="B",INDEX(Batters[[#All],[B]],MATCH(Table5[[#This Row],[PID]],Batters[[#All],[PID]],0)),INDEX(Table3[[#All],[B]],MATCH(Table5[[#This Row],[PID]],Table3[[#All],[PID]],0)))</f>
        <v>R</v>
      </c>
      <c r="I715" s="52" t="str">
        <f>IF($C715="B",INDEX(Batters[[#All],[T]],MATCH(Table5[[#This Row],[PID]],Batters[[#All],[PID]],0)),INDEX(Table3[[#All],[T]],MATCH(Table5[[#This Row],[PID]],Table3[[#All],[PID]],0)))</f>
        <v>R</v>
      </c>
      <c r="J715" s="52" t="str">
        <f>IF($C715="B",INDEX(Batters[[#All],[WE]],MATCH(Table5[[#This Row],[PID]],Batters[[#All],[PID]],0)),INDEX(Table3[[#All],[WE]],MATCH(Table5[[#This Row],[PID]],Table3[[#All],[PID]],0)))</f>
        <v>High</v>
      </c>
      <c r="K715" s="52" t="str">
        <f>IF($C715="B",INDEX(Batters[[#All],[INT]],MATCH(Table5[[#This Row],[PID]],Batters[[#All],[PID]],0)),INDEX(Table3[[#All],[INT]],MATCH(Table5[[#This Row],[PID]],Table3[[#All],[PID]],0)))</f>
        <v>Normal</v>
      </c>
      <c r="L715" s="60">
        <f>IF($C715="B",INDEX(Batters[[#All],[CON P]],MATCH(Table5[[#This Row],[PID]],Batters[[#All],[PID]],0)),INDEX(Table3[[#All],[STU P]],MATCH(Table5[[#This Row],[PID]],Table3[[#All],[PID]],0)))</f>
        <v>4</v>
      </c>
      <c r="M715" s="56">
        <f>IF($C715="B",INDEX(Batters[[#All],[GAP P]],MATCH(Table5[[#This Row],[PID]],Batters[[#All],[PID]],0)),INDEX(Table3[[#All],[MOV P]],MATCH(Table5[[#This Row],[PID]],Table3[[#All],[PID]],0)))</f>
        <v>1</v>
      </c>
      <c r="N715" s="56">
        <f>IF($C715="B",INDEX(Batters[[#All],[POW P]],MATCH(Table5[[#This Row],[PID]],Batters[[#All],[PID]],0)),INDEX(Table3[[#All],[CON P]],MATCH(Table5[[#This Row],[PID]],Table3[[#All],[PID]],0)))</f>
        <v>3</v>
      </c>
      <c r="O715" s="56" t="str">
        <f>IF($C715="B",INDEX(Batters[[#All],[EYE P]],MATCH(Table5[[#This Row],[PID]],Batters[[#All],[PID]],0)),INDEX(Table3[[#All],[VELO]],MATCH(Table5[[#This Row],[PID]],Table3[[#All],[PID]],0)))</f>
        <v>91-93 Mph</v>
      </c>
      <c r="P715" s="56">
        <f>IF($C715="B",INDEX(Batters[[#All],[K P]],MATCH(Table5[[#This Row],[PID]],Batters[[#All],[PID]],0)),INDEX(Table3[[#All],[STM]],MATCH(Table5[[#This Row],[PID]],Table3[[#All],[PID]],0)))</f>
        <v>4</v>
      </c>
      <c r="Q715" s="61">
        <f>IF($C715="B",INDEX(Batters[[#All],[Tot]],MATCH(Table5[[#This Row],[PID]],Batters[[#All],[PID]],0)),INDEX(Table3[[#All],[Tot]],MATCH(Table5[[#This Row],[PID]],Table3[[#All],[PID]],0)))</f>
        <v>24.914987447798723</v>
      </c>
      <c r="R715" s="52">
        <f>IF($C715="B",INDEX(Batters[[#All],[zScore]],MATCH(Table5[[#This Row],[PID]],Batters[[#All],[PID]],0)),INDEX(Table3[[#All],[zScore]],MATCH(Table5[[#This Row],[PID]],Table3[[#All],[PID]],0)))</f>
        <v>-0.91064074090798475</v>
      </c>
      <c r="S715" s="58" t="str">
        <f>IF($C715="B",INDEX(Batters[[#All],[DEM]],MATCH(Table5[[#This Row],[PID]],Batters[[#All],[PID]],0)),INDEX(Table3[[#All],[DEM]],MATCH(Table5[[#This Row],[PID]],Table3[[#All],[PID]],0)))</f>
        <v>-</v>
      </c>
      <c r="T715" s="62">
        <f>IF($C715="B",INDEX(Batters[[#All],[Rnk]],MATCH(Table5[[#This Row],[PID]],Batters[[#All],[PID]],0)),INDEX(Table3[[#All],[Rnk]],MATCH(Table5[[#This Row],[PID]],Table3[[#All],[PID]],0)))</f>
        <v>900</v>
      </c>
      <c r="U715" s="67">
        <f>IF($C715="B",VLOOKUP($A715,Bat!$A$4:$BA$1314,47,FALSE),VLOOKUP($A715,Pit!$A$4:$BF$1214,56,FALSE))</f>
        <v>233</v>
      </c>
      <c r="V715" s="50">
        <f>IF($C715="B",VLOOKUP($A715,Bat!$A$4:$BA$1314,48,FALSE),VLOOKUP($A715,Pit!$A$4:$BF$1214,57,FALSE))</f>
        <v>0</v>
      </c>
      <c r="W715" s="68">
        <f>IF(Table5[[#This Row],[posRnk]]=999,9999,Table5[[#This Row],[posRnk]]+Table5[[#This Row],[zRnk]]+IF($W$3&lt;&gt;Table5[[#This Row],[Type]],50,0))</f>
        <v>1642</v>
      </c>
      <c r="X715" s="51">
        <f>RANK(Table5[[#This Row],[zScore]],Table5[[#All],[zScore]])</f>
        <v>742</v>
      </c>
      <c r="Y715" s="50" t="str">
        <f>IFERROR(INDEX(DraftResults[[#All],[OVR]],MATCH(Table5[[#This Row],[PID]],DraftResults[[#All],[Player ID]],0)),"")</f>
        <v/>
      </c>
      <c r="Z715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/>
      </c>
      <c r="AA715" s="50" t="str">
        <f>IFERROR(INDEX(DraftResults[[#All],[Pick in Round]],MATCH(Table5[[#This Row],[PID]],DraftResults[[#All],[Player ID]],0)),"")</f>
        <v/>
      </c>
      <c r="AB715" s="50" t="str">
        <f>IFERROR(INDEX(DraftResults[[#All],[Team Name]],MATCH(Table5[[#This Row],[PID]],DraftResults[[#All],[Player ID]],0)),"")</f>
        <v/>
      </c>
      <c r="AC715" s="50" t="str">
        <f>IF(Table5[[#This Row],[Ovr]]="","",IF(Table5[[#This Row],[cmbList]]="","",Table5[[#This Row],[cmbList]]-Table5[[#This Row],[Ovr]]))</f>
        <v/>
      </c>
      <c r="AD715" s="54" t="str">
        <f>IF(ISERROR(VLOOKUP($AB715&amp;"-"&amp;$E715&amp;" "&amp;F715,Bonuses!$B$1:$G$1006,4,FALSE)),"",INT(VLOOKUP($AB715&amp;"-"&amp;$E715&amp;" "&amp;$F715,Bonuses!$B$1:$G$1006,4,FALSE)))</f>
        <v/>
      </c>
      <c r="AE715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/>
      </c>
    </row>
    <row r="716" spans="1:31" s="50" customFormat="1" x14ac:dyDescent="0.3">
      <c r="A716" s="50">
        <v>7978</v>
      </c>
      <c r="B716" s="50">
        <f>COUNTIF(Table5[PID],A716)</f>
        <v>1</v>
      </c>
      <c r="C716" s="50" t="str">
        <f>IF(COUNTIF(Table3[[#All],[PID]],A716)&gt;0,"P","B")</f>
        <v>P</v>
      </c>
      <c r="D716" s="59" t="str">
        <f>IF($C716="B",INDEX(Batters[[#All],[POS]],MATCH(Table5[[#This Row],[PID]],Batters[[#All],[PID]],0)),INDEX(Table3[[#All],[POS]],MATCH(Table5[[#This Row],[PID]],Table3[[#All],[PID]],0)))</f>
        <v>RP</v>
      </c>
      <c r="E716" s="52" t="str">
        <f>IF($C716="B",INDEX(Batters[[#All],[First]],MATCH(Table5[[#This Row],[PID]],Batters[[#All],[PID]],0)),INDEX(Table3[[#All],[First]],MATCH(Table5[[#This Row],[PID]],Table3[[#All],[PID]],0)))</f>
        <v>Naofumi</v>
      </c>
      <c r="F716" s="50" t="str">
        <f>IF($C716="B",INDEX(Batters[[#All],[Last]],MATCH(A716,Batters[[#All],[PID]],0)),INDEX(Table3[[#All],[Last]],MATCH(A716,Table3[[#All],[PID]],0)))</f>
        <v>Okamoto</v>
      </c>
      <c r="G716" s="56">
        <f>IF($C716="B",INDEX(Batters[[#All],[Age]],MATCH(Table5[[#This Row],[PID]],Batters[[#All],[PID]],0)),INDEX(Table3[[#All],[Age]],MATCH(Table5[[#This Row],[PID]],Table3[[#All],[PID]],0)))</f>
        <v>21</v>
      </c>
      <c r="H716" s="52" t="str">
        <f>IF($C716="B",INDEX(Batters[[#All],[B]],MATCH(Table5[[#This Row],[PID]],Batters[[#All],[PID]],0)),INDEX(Table3[[#All],[B]],MATCH(Table5[[#This Row],[PID]],Table3[[#All],[PID]],0)))</f>
        <v>R</v>
      </c>
      <c r="I716" s="52" t="str">
        <f>IF($C716="B",INDEX(Batters[[#All],[T]],MATCH(Table5[[#This Row],[PID]],Batters[[#All],[PID]],0)),INDEX(Table3[[#All],[T]],MATCH(Table5[[#This Row],[PID]],Table3[[#All],[PID]],0)))</f>
        <v>R</v>
      </c>
      <c r="J716" s="52" t="str">
        <f>IF($C716="B",INDEX(Batters[[#All],[WE]],MATCH(Table5[[#This Row],[PID]],Batters[[#All],[PID]],0)),INDEX(Table3[[#All],[WE]],MATCH(Table5[[#This Row],[PID]],Table3[[#All],[PID]],0)))</f>
        <v>Normal</v>
      </c>
      <c r="K716" s="52" t="str">
        <f>IF($C716="B",INDEX(Batters[[#All],[INT]],MATCH(Table5[[#This Row],[PID]],Batters[[#All],[PID]],0)),INDEX(Table3[[#All],[INT]],MATCH(Table5[[#This Row],[PID]],Table3[[#All],[PID]],0)))</f>
        <v>Normal</v>
      </c>
      <c r="L716" s="60">
        <f>IF($C716="B",INDEX(Batters[[#All],[CON P]],MATCH(Table5[[#This Row],[PID]],Batters[[#All],[PID]],0)),INDEX(Table3[[#All],[STU P]],MATCH(Table5[[#This Row],[PID]],Table3[[#All],[PID]],0)))</f>
        <v>3</v>
      </c>
      <c r="M716" s="56">
        <f>IF($C716="B",INDEX(Batters[[#All],[GAP P]],MATCH(Table5[[#This Row],[PID]],Batters[[#All],[PID]],0)),INDEX(Table3[[#All],[MOV P]],MATCH(Table5[[#This Row],[PID]],Table3[[#All],[PID]],0)))</f>
        <v>2</v>
      </c>
      <c r="N716" s="56">
        <f>IF($C716="B",INDEX(Batters[[#All],[POW P]],MATCH(Table5[[#This Row],[PID]],Batters[[#All],[PID]],0)),INDEX(Table3[[#All],[CON P]],MATCH(Table5[[#This Row],[PID]],Table3[[#All],[PID]],0)))</f>
        <v>3</v>
      </c>
      <c r="O716" s="56" t="str">
        <f>IF($C716="B",INDEX(Batters[[#All],[EYE P]],MATCH(Table5[[#This Row],[PID]],Batters[[#All],[PID]],0)),INDEX(Table3[[#All],[VELO]],MATCH(Table5[[#This Row],[PID]],Table3[[#All],[PID]],0)))</f>
        <v>88-90 Mph</v>
      </c>
      <c r="P716" s="56">
        <f>IF($C716="B",INDEX(Batters[[#All],[K P]],MATCH(Table5[[#This Row],[PID]],Batters[[#All],[PID]],0)),INDEX(Table3[[#All],[STM]],MATCH(Table5[[#This Row],[PID]],Table3[[#All],[PID]],0)))</f>
        <v>6</v>
      </c>
      <c r="Q716" s="61">
        <f>IF($C716="B",INDEX(Batters[[#All],[Tot]],MATCH(Table5[[#This Row],[PID]],Batters[[#All],[PID]],0)),INDEX(Table3[[#All],[Tot]],MATCH(Table5[[#This Row],[PID]],Table3[[#All],[PID]],0)))</f>
        <v>25.006841596978752</v>
      </c>
      <c r="R716" s="52">
        <f>IF($C716="B",INDEX(Batters[[#All],[zScore]],MATCH(Table5[[#This Row],[PID]],Batters[[#All],[PID]],0)),INDEX(Table3[[#All],[zScore]],MATCH(Table5[[#This Row],[PID]],Table3[[#All],[PID]],0)))</f>
        <v>-0.9111467495443103</v>
      </c>
      <c r="S716" s="58" t="str">
        <f>IF($C716="B",INDEX(Batters[[#All],[DEM]],MATCH(Table5[[#This Row],[PID]],Batters[[#All],[PID]],0)),INDEX(Table3[[#All],[DEM]],MATCH(Table5[[#This Row],[PID]],Table3[[#All],[PID]],0)))</f>
        <v>-</v>
      </c>
      <c r="T716" s="62">
        <f>IF($C716="B",INDEX(Batters[[#All],[Rnk]],MATCH(Table5[[#This Row],[PID]],Batters[[#All],[PID]],0)),INDEX(Table3[[#All],[Rnk]],MATCH(Table5[[#This Row],[PID]],Table3[[#All],[PID]],0)))</f>
        <v>900</v>
      </c>
      <c r="U716" s="67">
        <f>IF($C716="B",VLOOKUP($A716,Bat!$A$4:$BA$1314,47,FALSE),VLOOKUP($A716,Pit!$A$4:$BF$1214,56,FALSE))</f>
        <v>238</v>
      </c>
      <c r="V716" s="50">
        <f>IF($C716="B",VLOOKUP($A716,Bat!$A$4:$BA$1314,48,FALSE),VLOOKUP($A716,Pit!$A$4:$BF$1214,57,FALSE))</f>
        <v>0</v>
      </c>
      <c r="W716" s="68">
        <f>IF(Table5[[#This Row],[posRnk]]=999,9999,Table5[[#This Row],[posRnk]]+Table5[[#This Row],[zRnk]]+IF($W$3&lt;&gt;Table5[[#This Row],[Type]],50,0))</f>
        <v>1643</v>
      </c>
      <c r="X716" s="51">
        <f>RANK(Table5[[#This Row],[zScore]],Table5[[#All],[zScore]])</f>
        <v>743</v>
      </c>
      <c r="Y716" s="50" t="str">
        <f>IFERROR(INDEX(DraftResults[[#All],[OVR]],MATCH(Table5[[#This Row],[PID]],DraftResults[[#All],[Player ID]],0)),"")</f>
        <v/>
      </c>
      <c r="Z716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/>
      </c>
      <c r="AA716" s="50" t="str">
        <f>IFERROR(INDEX(DraftResults[[#All],[Pick in Round]],MATCH(Table5[[#This Row],[PID]],DraftResults[[#All],[Player ID]],0)),"")</f>
        <v/>
      </c>
      <c r="AB716" s="50" t="str">
        <f>IFERROR(INDEX(DraftResults[[#All],[Team Name]],MATCH(Table5[[#This Row],[PID]],DraftResults[[#All],[Player ID]],0)),"")</f>
        <v/>
      </c>
      <c r="AC716" s="50" t="str">
        <f>IF(Table5[[#This Row],[Ovr]]="","",IF(Table5[[#This Row],[cmbList]]="","",Table5[[#This Row],[cmbList]]-Table5[[#This Row],[Ovr]]))</f>
        <v/>
      </c>
      <c r="AD716" s="54" t="str">
        <f>IF(ISERROR(VLOOKUP($AB716&amp;"-"&amp;$E716&amp;" "&amp;F716,Bonuses!$B$1:$G$1006,4,FALSE)),"",INT(VLOOKUP($AB716&amp;"-"&amp;$E716&amp;" "&amp;$F716,Bonuses!$B$1:$G$1006,4,FALSE)))</f>
        <v/>
      </c>
      <c r="AE716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/>
      </c>
    </row>
    <row r="717" spans="1:31" s="50" customFormat="1" x14ac:dyDescent="0.3">
      <c r="A717" s="50">
        <v>9817</v>
      </c>
      <c r="B717" s="50">
        <f>COUNTIF(Table5[PID],A717)</f>
        <v>1</v>
      </c>
      <c r="C717" s="50" t="str">
        <f>IF(COUNTIF(Table3[[#All],[PID]],A717)&gt;0,"P","B")</f>
        <v>P</v>
      </c>
      <c r="D717" s="59" t="str">
        <f>IF($C717="B",INDEX(Batters[[#All],[POS]],MATCH(Table5[[#This Row],[PID]],Batters[[#All],[PID]],0)),INDEX(Table3[[#All],[POS]],MATCH(Table5[[#This Row],[PID]],Table3[[#All],[PID]],0)))</f>
        <v>RP</v>
      </c>
      <c r="E717" s="52" t="str">
        <f>IF($C717="B",INDEX(Batters[[#All],[First]],MATCH(Table5[[#This Row],[PID]],Batters[[#All],[PID]],0)),INDEX(Table3[[#All],[First]],MATCH(Table5[[#This Row],[PID]],Table3[[#All],[PID]],0)))</f>
        <v>Carlos</v>
      </c>
      <c r="F717" s="50" t="str">
        <f>IF($C717="B",INDEX(Batters[[#All],[Last]],MATCH(A717,Batters[[#All],[PID]],0)),INDEX(Table3[[#All],[Last]],MATCH(A717,Table3[[#All],[PID]],0)))</f>
        <v>Rivera</v>
      </c>
      <c r="G717" s="56">
        <f>IF($C717="B",INDEX(Batters[[#All],[Age]],MATCH(Table5[[#This Row],[PID]],Batters[[#All],[PID]],0)),INDEX(Table3[[#All],[Age]],MATCH(Table5[[#This Row],[PID]],Table3[[#All],[PID]],0)))</f>
        <v>21</v>
      </c>
      <c r="H717" s="52" t="str">
        <f>IF($C717="B",INDEX(Batters[[#All],[B]],MATCH(Table5[[#This Row],[PID]],Batters[[#All],[PID]],0)),INDEX(Table3[[#All],[B]],MATCH(Table5[[#This Row],[PID]],Table3[[#All],[PID]],0)))</f>
        <v>R</v>
      </c>
      <c r="I717" s="52" t="str">
        <f>IF($C717="B",INDEX(Batters[[#All],[T]],MATCH(Table5[[#This Row],[PID]],Batters[[#All],[PID]],0)),INDEX(Table3[[#All],[T]],MATCH(Table5[[#This Row],[PID]],Table3[[#All],[PID]],0)))</f>
        <v>R</v>
      </c>
      <c r="J717" s="52" t="str">
        <f>IF($C717="B",INDEX(Batters[[#All],[WE]],MATCH(Table5[[#This Row],[PID]],Batters[[#All],[PID]],0)),INDEX(Table3[[#All],[WE]],MATCH(Table5[[#This Row],[PID]],Table3[[#All],[PID]],0)))</f>
        <v>Low</v>
      </c>
      <c r="K717" s="52" t="str">
        <f>IF($C717="B",INDEX(Batters[[#All],[INT]],MATCH(Table5[[#This Row],[PID]],Batters[[#All],[PID]],0)),INDEX(Table3[[#All],[INT]],MATCH(Table5[[#This Row],[PID]],Table3[[#All],[PID]],0)))</f>
        <v>Normal</v>
      </c>
      <c r="L717" s="60">
        <f>IF($C717="B",INDEX(Batters[[#All],[CON P]],MATCH(Table5[[#This Row],[PID]],Batters[[#All],[PID]],0)),INDEX(Table3[[#All],[STU P]],MATCH(Table5[[#This Row],[PID]],Table3[[#All],[PID]],0)))</f>
        <v>4</v>
      </c>
      <c r="M717" s="56">
        <f>IF($C717="B",INDEX(Batters[[#All],[GAP P]],MATCH(Table5[[#This Row],[PID]],Batters[[#All],[PID]],0)),INDEX(Table3[[#All],[MOV P]],MATCH(Table5[[#This Row],[PID]],Table3[[#All],[PID]],0)))</f>
        <v>1</v>
      </c>
      <c r="N717" s="56">
        <f>IF($C717="B",INDEX(Batters[[#All],[POW P]],MATCH(Table5[[#This Row],[PID]],Batters[[#All],[PID]],0)),INDEX(Table3[[#All],[CON P]],MATCH(Table5[[#This Row],[PID]],Table3[[#All],[PID]],0)))</f>
        <v>3</v>
      </c>
      <c r="O717" s="56" t="str">
        <f>IF($C717="B",INDEX(Batters[[#All],[EYE P]],MATCH(Table5[[#This Row],[PID]],Batters[[#All],[PID]],0)),INDEX(Table3[[#All],[VELO]],MATCH(Table5[[#This Row],[PID]],Table3[[#All],[PID]],0)))</f>
        <v>88-90 Mph</v>
      </c>
      <c r="P717" s="56">
        <f>IF($C717="B",INDEX(Batters[[#All],[K P]],MATCH(Table5[[#This Row],[PID]],Batters[[#All],[PID]],0)),INDEX(Table3[[#All],[STM]],MATCH(Table5[[#This Row],[PID]],Table3[[#All],[PID]],0)))</f>
        <v>6</v>
      </c>
      <c r="Q717" s="61">
        <f>IF($C717="B",INDEX(Batters[[#All],[Tot]],MATCH(Table5[[#This Row],[PID]],Batters[[#All],[PID]],0)),INDEX(Table3[[#All],[Tot]],MATCH(Table5[[#This Row],[PID]],Table3[[#All],[PID]],0)))</f>
        <v>25.787827451157845</v>
      </c>
      <c r="R717" s="52">
        <f>IF($C717="B",INDEX(Batters[[#All],[zScore]],MATCH(Table5[[#This Row],[PID]],Batters[[#All],[PID]],0)),INDEX(Table3[[#All],[zScore]],MATCH(Table5[[#This Row],[PID]],Table3[[#All],[PID]],0)))</f>
        <v>-0.84854373093810243</v>
      </c>
      <c r="S717" s="58" t="str">
        <f>IF($C717="B",INDEX(Batters[[#All],[DEM]],MATCH(Table5[[#This Row],[PID]],Batters[[#All],[PID]],0)),INDEX(Table3[[#All],[DEM]],MATCH(Table5[[#This Row],[PID]],Table3[[#All],[PID]],0)))</f>
        <v>-</v>
      </c>
      <c r="T717" s="62">
        <f>IF($C717="B",INDEX(Batters[[#All],[Rnk]],MATCH(Table5[[#This Row],[PID]],Batters[[#All],[PID]],0)),INDEX(Table3[[#All],[Rnk]],MATCH(Table5[[#This Row],[PID]],Table3[[#All],[PID]],0)))</f>
        <v>930</v>
      </c>
      <c r="U717" s="67">
        <f>IF($C717="B",VLOOKUP($A717,Bat!$A$4:$BA$1314,47,FALSE),VLOOKUP($A717,Pit!$A$4:$BF$1214,56,FALSE))</f>
        <v>353</v>
      </c>
      <c r="V717" s="50">
        <f>IF($C717="B",VLOOKUP($A717,Bat!$A$4:$BA$1314,48,FALSE),VLOOKUP($A717,Pit!$A$4:$BF$1214,57,FALSE))</f>
        <v>0</v>
      </c>
      <c r="W717" s="68">
        <f>IF(Table5[[#This Row],[posRnk]]=999,9999,Table5[[#This Row],[posRnk]]+Table5[[#This Row],[zRnk]]+IF($W$3&lt;&gt;Table5[[#This Row],[Type]],50,0))</f>
        <v>1643</v>
      </c>
      <c r="X717" s="51">
        <f>RANK(Table5[[#This Row],[zScore]],Table5[[#All],[zScore]])</f>
        <v>713</v>
      </c>
      <c r="Y717" s="50">
        <f>IFERROR(INDEX(DraftResults[[#All],[OVR]],MATCH(Table5[[#This Row],[PID]],DraftResults[[#All],[Player ID]],0)),"")</f>
        <v>492</v>
      </c>
      <c r="Z717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15</v>
      </c>
      <c r="AA717" s="50">
        <f>IFERROR(INDEX(DraftResults[[#All],[Pick in Round]],MATCH(Table5[[#This Row],[PID]],DraftResults[[#All],[Player ID]],0)),"")</f>
        <v>25</v>
      </c>
      <c r="AB717" s="50" t="str">
        <f>IFERROR(INDEX(DraftResults[[#All],[Team Name]],MATCH(Table5[[#This Row],[PID]],DraftResults[[#All],[Player ID]],0)),"")</f>
        <v>Kalamazoo Badgers</v>
      </c>
      <c r="AC717" s="50">
        <f>IF(Table5[[#This Row],[Ovr]]="","",IF(Table5[[#This Row],[cmbList]]="","",Table5[[#This Row],[cmbList]]-Table5[[#This Row],[Ovr]]))</f>
        <v>1151</v>
      </c>
      <c r="AD717" s="54" t="str">
        <f>IF(ISERROR(VLOOKUP($AB717&amp;"-"&amp;$E717&amp;" "&amp;F717,Bonuses!$B$1:$G$1006,4,FALSE)),"",INT(VLOOKUP($AB717&amp;"-"&amp;$E717&amp;" "&amp;$F717,Bonuses!$B$1:$G$1006,4,FALSE)))</f>
        <v/>
      </c>
      <c r="AE717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15.25 (492) - RP Carlos Rivera</v>
      </c>
    </row>
    <row r="718" spans="1:31" s="50" customFormat="1" x14ac:dyDescent="0.3">
      <c r="A718" s="50">
        <v>16427</v>
      </c>
      <c r="B718" s="50">
        <f>COUNTIF(Table5[PID],A718)</f>
        <v>1</v>
      </c>
      <c r="C718" s="50" t="str">
        <f>IF(COUNTIF(Table3[[#All],[PID]],A718)&gt;0,"P","B")</f>
        <v>B</v>
      </c>
      <c r="D718" s="59" t="str">
        <f>IF($C718="B",INDEX(Batters[[#All],[POS]],MATCH(Table5[[#This Row],[PID]],Batters[[#All],[PID]],0)),INDEX(Table3[[#All],[POS]],MATCH(Table5[[#This Row],[PID]],Table3[[#All],[PID]],0)))</f>
        <v>LF</v>
      </c>
      <c r="E718" s="52" t="str">
        <f>IF($C718="B",INDEX(Batters[[#All],[First]],MATCH(Table5[[#This Row],[PID]],Batters[[#All],[PID]],0)),INDEX(Table3[[#All],[First]],MATCH(Table5[[#This Row],[PID]],Table3[[#All],[PID]],0)))</f>
        <v>Anthony</v>
      </c>
      <c r="F718" s="50" t="str">
        <f>IF($C718="B",INDEX(Batters[[#All],[Last]],MATCH(A718,Batters[[#All],[PID]],0)),INDEX(Table3[[#All],[Last]],MATCH(A718,Table3[[#All],[PID]],0)))</f>
        <v>Moggs</v>
      </c>
      <c r="G718" s="56">
        <f>IF($C718="B",INDEX(Batters[[#All],[Age]],MATCH(Table5[[#This Row],[PID]],Batters[[#All],[PID]],0)),INDEX(Table3[[#All],[Age]],MATCH(Table5[[#This Row],[PID]],Table3[[#All],[PID]],0)))</f>
        <v>21</v>
      </c>
      <c r="H718" s="52" t="str">
        <f>IF($C718="B",INDEX(Batters[[#All],[B]],MATCH(Table5[[#This Row],[PID]],Batters[[#All],[PID]],0)),INDEX(Table3[[#All],[B]],MATCH(Table5[[#This Row],[PID]],Table3[[#All],[PID]],0)))</f>
        <v>S</v>
      </c>
      <c r="I718" s="52" t="str">
        <f>IF($C718="B",INDEX(Batters[[#All],[T]],MATCH(Table5[[#This Row],[PID]],Batters[[#All],[PID]],0)),INDEX(Table3[[#All],[T]],MATCH(Table5[[#This Row],[PID]],Table3[[#All],[PID]],0)))</f>
        <v>R</v>
      </c>
      <c r="J718" s="52" t="str">
        <f>IF($C718="B",INDEX(Batters[[#All],[WE]],MATCH(Table5[[#This Row],[PID]],Batters[[#All],[PID]],0)),INDEX(Table3[[#All],[WE]],MATCH(Table5[[#This Row],[PID]],Table3[[#All],[PID]],0)))</f>
        <v>Normal</v>
      </c>
      <c r="K718" s="52" t="str">
        <f>IF($C718="B",INDEX(Batters[[#All],[INT]],MATCH(Table5[[#This Row],[PID]],Batters[[#All],[PID]],0)),INDEX(Table3[[#All],[INT]],MATCH(Table5[[#This Row],[PID]],Table3[[#All],[PID]],0)))</f>
        <v>High</v>
      </c>
      <c r="L718" s="60">
        <f>IF($C718="B",INDEX(Batters[[#All],[CON P]],MATCH(Table5[[#This Row],[PID]],Batters[[#All],[PID]],0)),INDEX(Table3[[#All],[STU P]],MATCH(Table5[[#This Row],[PID]],Table3[[#All],[PID]],0)))</f>
        <v>3</v>
      </c>
      <c r="M718" s="56">
        <f>IF($C718="B",INDEX(Batters[[#All],[GAP P]],MATCH(Table5[[#This Row],[PID]],Batters[[#All],[PID]],0)),INDEX(Table3[[#All],[MOV P]],MATCH(Table5[[#This Row],[PID]],Table3[[#All],[PID]],0)))</f>
        <v>4</v>
      </c>
      <c r="N718" s="56">
        <f>IF($C718="B",INDEX(Batters[[#All],[POW P]],MATCH(Table5[[#This Row],[PID]],Batters[[#All],[PID]],0)),INDEX(Table3[[#All],[CON P]],MATCH(Table5[[#This Row],[PID]],Table3[[#All],[PID]],0)))</f>
        <v>3</v>
      </c>
      <c r="O718" s="56">
        <f>IF($C718="B",INDEX(Batters[[#All],[EYE P]],MATCH(Table5[[#This Row],[PID]],Batters[[#All],[PID]],0)),INDEX(Table3[[#All],[VELO]],MATCH(Table5[[#This Row],[PID]],Table3[[#All],[PID]],0)))</f>
        <v>5</v>
      </c>
      <c r="P718" s="56">
        <f>IF($C718="B",INDEX(Batters[[#All],[K P]],MATCH(Table5[[#This Row],[PID]],Batters[[#All],[PID]],0)),INDEX(Table3[[#All],[STM]],MATCH(Table5[[#This Row],[PID]],Table3[[#All],[PID]],0)))</f>
        <v>3</v>
      </c>
      <c r="Q718" s="61">
        <f>IF($C718="B",INDEX(Batters[[#All],[Tot]],MATCH(Table5[[#This Row],[PID]],Batters[[#All],[PID]],0)),INDEX(Table3[[#All],[Tot]],MATCH(Table5[[#This Row],[PID]],Table3[[#All],[PID]],0)))</f>
        <v>36.955327650195471</v>
      </c>
      <c r="R718" s="52">
        <f>IF($C718="B",INDEX(Batters[[#All],[zScore]],MATCH(Table5[[#This Row],[PID]],Batters[[#All],[PID]],0)),INDEX(Table3[[#All],[zScore]],MATCH(Table5[[#This Row],[PID]],Table3[[#All],[PID]],0)))</f>
        <v>-0.91422205013007118</v>
      </c>
      <c r="S718" s="58" t="str">
        <f>IF($C718="B",INDEX(Batters[[#All],[DEM]],MATCH(Table5[[#This Row],[PID]],Batters[[#All],[PID]],0)),INDEX(Table3[[#All],[DEM]],MATCH(Table5[[#This Row],[PID]],Table3[[#All],[PID]],0)))</f>
        <v>$20k</v>
      </c>
      <c r="T718" s="62">
        <f>IF($C718="B",INDEX(Batters[[#All],[Rnk]],MATCH(Table5[[#This Row],[PID]],Batters[[#All],[PID]],0)),INDEX(Table3[[#All],[Rnk]],MATCH(Table5[[#This Row],[PID]],Table3[[#All],[PID]],0)))</f>
        <v>900</v>
      </c>
      <c r="U718" s="67">
        <f>IF($C718="B",VLOOKUP($A718,Bat!$A$4:$BA$1314,47,FALSE),VLOOKUP($A718,Pit!$A$4:$BF$1214,56,FALSE))</f>
        <v>250</v>
      </c>
      <c r="V718" s="50">
        <f>IF($C718="B",VLOOKUP($A718,Bat!$A$4:$BA$1314,48,FALSE),VLOOKUP($A718,Pit!$A$4:$BF$1214,57,FALSE))</f>
        <v>0</v>
      </c>
      <c r="W718" s="68">
        <f>IF(Table5[[#This Row],[posRnk]]=999,9999,Table5[[#This Row],[posRnk]]+Table5[[#This Row],[zRnk]]+IF($W$3&lt;&gt;Table5[[#This Row],[Type]],50,0))</f>
        <v>1695</v>
      </c>
      <c r="X718" s="51">
        <f>RANK(Table5[[#This Row],[zScore]],Table5[[#All],[zScore]])</f>
        <v>745</v>
      </c>
      <c r="Y718" s="50">
        <f>IFERROR(INDEX(DraftResults[[#All],[OVR]],MATCH(Table5[[#This Row],[PID]],DraftResults[[#All],[Player ID]],0)),"")</f>
        <v>599</v>
      </c>
      <c r="Z718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18</v>
      </c>
      <c r="AA718" s="50">
        <f>IFERROR(INDEX(DraftResults[[#All],[Pick in Round]],MATCH(Table5[[#This Row],[PID]],DraftResults[[#All],[Player ID]],0)),"")</f>
        <v>30</v>
      </c>
      <c r="AB718" s="50" t="str">
        <f>IFERROR(INDEX(DraftResults[[#All],[Team Name]],MATCH(Table5[[#This Row],[PID]],DraftResults[[#All],[Player ID]],0)),"")</f>
        <v>Toyama Wind Dancers</v>
      </c>
      <c r="AC718" s="50">
        <f>IF(Table5[[#This Row],[Ovr]]="","",IF(Table5[[#This Row],[cmbList]]="","",Table5[[#This Row],[cmbList]]-Table5[[#This Row],[Ovr]]))</f>
        <v>1096</v>
      </c>
      <c r="AD718" s="54" t="str">
        <f>IF(ISERROR(VLOOKUP($AB718&amp;"-"&amp;$E718&amp;" "&amp;F718,Bonuses!$B$1:$G$1006,4,FALSE)),"",INT(VLOOKUP($AB718&amp;"-"&amp;$E718&amp;" "&amp;$F718,Bonuses!$B$1:$G$1006,4,FALSE)))</f>
        <v/>
      </c>
      <c r="AE718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18.30 (599) - LF Anthony Moggs</v>
      </c>
    </row>
    <row r="719" spans="1:31" s="50" customFormat="1" x14ac:dyDescent="0.3">
      <c r="A719" s="50">
        <v>10934</v>
      </c>
      <c r="B719" s="50">
        <f>COUNTIF(Table5[PID],A719)</f>
        <v>1</v>
      </c>
      <c r="C719" s="50" t="str">
        <f>IF(COUNTIF(Table3[[#All],[PID]],A719)&gt;0,"P","B")</f>
        <v>P</v>
      </c>
      <c r="D719" s="59" t="str">
        <f>IF($C719="B",INDEX(Batters[[#All],[POS]],MATCH(Table5[[#This Row],[PID]],Batters[[#All],[PID]],0)),INDEX(Table3[[#All],[POS]],MATCH(Table5[[#This Row],[PID]],Table3[[#All],[PID]],0)))</f>
        <v>RP</v>
      </c>
      <c r="E719" s="52" t="str">
        <f>IF($C719="B",INDEX(Batters[[#All],[First]],MATCH(Table5[[#This Row],[PID]],Batters[[#All],[PID]],0)),INDEX(Table3[[#All],[First]],MATCH(Table5[[#This Row],[PID]],Table3[[#All],[PID]],0)))</f>
        <v>William</v>
      </c>
      <c r="F719" s="50" t="str">
        <f>IF($C719="B",INDEX(Batters[[#All],[Last]],MATCH(A719,Batters[[#All],[PID]],0)),INDEX(Table3[[#All],[Last]],MATCH(A719,Table3[[#All],[PID]],0)))</f>
        <v>MacRory</v>
      </c>
      <c r="G719" s="56">
        <f>IF($C719="B",INDEX(Batters[[#All],[Age]],MATCH(Table5[[#This Row],[PID]],Batters[[#All],[PID]],0)),INDEX(Table3[[#All],[Age]],MATCH(Table5[[#This Row],[PID]],Table3[[#All],[PID]],0)))</f>
        <v>21</v>
      </c>
      <c r="H719" s="52" t="str">
        <f>IF($C719="B",INDEX(Batters[[#All],[B]],MATCH(Table5[[#This Row],[PID]],Batters[[#All],[PID]],0)),INDEX(Table3[[#All],[B]],MATCH(Table5[[#This Row],[PID]],Table3[[#All],[PID]],0)))</f>
        <v>L</v>
      </c>
      <c r="I719" s="52" t="str">
        <f>IF($C719="B",INDEX(Batters[[#All],[T]],MATCH(Table5[[#This Row],[PID]],Batters[[#All],[PID]],0)),INDEX(Table3[[#All],[T]],MATCH(Table5[[#This Row],[PID]],Table3[[#All],[PID]],0)))</f>
        <v>R</v>
      </c>
      <c r="J719" s="52" t="str">
        <f>IF($C719="B",INDEX(Batters[[#All],[WE]],MATCH(Table5[[#This Row],[PID]],Batters[[#All],[PID]],0)),INDEX(Table3[[#All],[WE]],MATCH(Table5[[#This Row],[PID]],Table3[[#All],[PID]],0)))</f>
        <v>Low</v>
      </c>
      <c r="K719" s="52" t="str">
        <f>IF($C719="B",INDEX(Batters[[#All],[INT]],MATCH(Table5[[#This Row],[PID]],Batters[[#All],[PID]],0)),INDEX(Table3[[#All],[INT]],MATCH(Table5[[#This Row],[PID]],Table3[[#All],[PID]],0)))</f>
        <v>Normal</v>
      </c>
      <c r="L719" s="60">
        <f>IF($C719="B",INDEX(Batters[[#All],[CON P]],MATCH(Table5[[#This Row],[PID]],Batters[[#All],[PID]],0)),INDEX(Table3[[#All],[STU P]],MATCH(Table5[[#This Row],[PID]],Table3[[#All],[PID]],0)))</f>
        <v>4</v>
      </c>
      <c r="M719" s="56">
        <f>IF($C719="B",INDEX(Batters[[#All],[GAP P]],MATCH(Table5[[#This Row],[PID]],Batters[[#All],[PID]],0)),INDEX(Table3[[#All],[MOV P]],MATCH(Table5[[#This Row],[PID]],Table3[[#All],[PID]],0)))</f>
        <v>1</v>
      </c>
      <c r="N719" s="56">
        <f>IF($C719="B",INDEX(Batters[[#All],[POW P]],MATCH(Table5[[#This Row],[PID]],Batters[[#All],[PID]],0)),INDEX(Table3[[#All],[CON P]],MATCH(Table5[[#This Row],[PID]],Table3[[#All],[PID]],0)))</f>
        <v>3</v>
      </c>
      <c r="O719" s="56" t="str">
        <f>IF($C719="B",INDEX(Batters[[#All],[EYE P]],MATCH(Table5[[#This Row],[PID]],Batters[[#All],[PID]],0)),INDEX(Table3[[#All],[VELO]],MATCH(Table5[[#This Row],[PID]],Table3[[#All],[PID]],0)))</f>
        <v>91-93 Mph</v>
      </c>
      <c r="P719" s="56">
        <f>IF($C719="B",INDEX(Batters[[#All],[K P]],MATCH(Table5[[#This Row],[PID]],Batters[[#All],[PID]],0)),INDEX(Table3[[#All],[STM]],MATCH(Table5[[#This Row],[PID]],Table3[[#All],[PID]],0)))</f>
        <v>6</v>
      </c>
      <c r="Q719" s="61">
        <f>IF($C719="B",INDEX(Batters[[#All],[Tot]],MATCH(Table5[[#This Row],[PID]],Batters[[#All],[PID]],0)),INDEX(Table3[[#All],[Tot]],MATCH(Table5[[#This Row],[PID]],Table3[[#All],[PID]],0)))</f>
        <v>25.787827451157845</v>
      </c>
      <c r="R719" s="52">
        <f>IF($C719="B",INDEX(Batters[[#All],[zScore]],MATCH(Table5[[#This Row],[PID]],Batters[[#All],[PID]],0)),INDEX(Table3[[#All],[zScore]],MATCH(Table5[[#This Row],[PID]],Table3[[#All],[PID]],0)))</f>
        <v>-0.85553506415245084</v>
      </c>
      <c r="S719" s="58" t="str">
        <f>IF($C719="B",INDEX(Batters[[#All],[DEM]],MATCH(Table5[[#This Row],[PID]],Batters[[#All],[PID]],0)),INDEX(Table3[[#All],[DEM]],MATCH(Table5[[#This Row],[PID]],Table3[[#All],[PID]],0)))</f>
        <v>-</v>
      </c>
      <c r="T719" s="62">
        <f>IF($C719="B",INDEX(Batters[[#All],[Rnk]],MATCH(Table5[[#This Row],[PID]],Batters[[#All],[PID]],0)),INDEX(Table3[[#All],[Rnk]],MATCH(Table5[[#This Row],[PID]],Table3[[#All],[PID]],0)))</f>
        <v>930</v>
      </c>
      <c r="U719" s="67">
        <f>IF($C719="B",VLOOKUP($A719,Bat!$A$4:$BA$1314,47,FALSE),VLOOKUP($A719,Pit!$A$4:$BF$1214,56,FALSE))</f>
        <v>355</v>
      </c>
      <c r="V719" s="50">
        <f>IF($C719="B",VLOOKUP($A719,Bat!$A$4:$BA$1314,48,FALSE),VLOOKUP($A719,Pit!$A$4:$BF$1214,57,FALSE))</f>
        <v>0</v>
      </c>
      <c r="W719" s="68">
        <f>IF(Table5[[#This Row],[posRnk]]=999,9999,Table5[[#This Row],[posRnk]]+Table5[[#This Row],[zRnk]]+IF($W$3&lt;&gt;Table5[[#This Row],[Type]],50,0))</f>
        <v>1645</v>
      </c>
      <c r="X719" s="51">
        <f>RANK(Table5[[#This Row],[zScore]],Table5[[#All],[zScore]])</f>
        <v>715</v>
      </c>
      <c r="Y719" s="50" t="str">
        <f>IFERROR(INDEX(DraftResults[[#All],[OVR]],MATCH(Table5[[#This Row],[PID]],DraftResults[[#All],[Player ID]],0)),"")</f>
        <v/>
      </c>
      <c r="Z719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/>
      </c>
      <c r="AA719" s="50" t="str">
        <f>IFERROR(INDEX(DraftResults[[#All],[Pick in Round]],MATCH(Table5[[#This Row],[PID]],DraftResults[[#All],[Player ID]],0)),"")</f>
        <v/>
      </c>
      <c r="AB719" s="50" t="str">
        <f>IFERROR(INDEX(DraftResults[[#All],[Team Name]],MATCH(Table5[[#This Row],[PID]],DraftResults[[#All],[Player ID]],0)),"")</f>
        <v/>
      </c>
      <c r="AC719" s="50" t="str">
        <f>IF(Table5[[#This Row],[Ovr]]="","",IF(Table5[[#This Row],[cmbList]]="","",Table5[[#This Row],[cmbList]]-Table5[[#This Row],[Ovr]]))</f>
        <v/>
      </c>
      <c r="AD719" s="54" t="str">
        <f>IF(ISERROR(VLOOKUP($AB719&amp;"-"&amp;$E719&amp;" "&amp;F719,Bonuses!$B$1:$G$1006,4,FALSE)),"",INT(VLOOKUP($AB719&amp;"-"&amp;$E719&amp;" "&amp;$F719,Bonuses!$B$1:$G$1006,4,FALSE)))</f>
        <v/>
      </c>
      <c r="AE719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/>
      </c>
    </row>
    <row r="720" spans="1:31" s="50" customFormat="1" x14ac:dyDescent="0.3">
      <c r="A720" s="50">
        <v>11046</v>
      </c>
      <c r="B720" s="55">
        <f>COUNTIF(Table5[PID],A720)</f>
        <v>1</v>
      </c>
      <c r="C720" s="55" t="str">
        <f>IF(COUNTIF(Table3[[#All],[PID]],A720)&gt;0,"P","B")</f>
        <v>P</v>
      </c>
      <c r="D720" s="59" t="str">
        <f>IF($C720="B",INDEX(Batters[[#All],[POS]],MATCH(Table5[[#This Row],[PID]],Batters[[#All],[PID]],0)),INDEX(Table3[[#All],[POS]],MATCH(Table5[[#This Row],[PID]],Table3[[#All],[PID]],0)))</f>
        <v>RP</v>
      </c>
      <c r="E720" s="52" t="str">
        <f>IF($C720="B",INDEX(Batters[[#All],[First]],MATCH(Table5[[#This Row],[PID]],Batters[[#All],[PID]],0)),INDEX(Table3[[#All],[First]],MATCH(Table5[[#This Row],[PID]],Table3[[#All],[PID]],0)))</f>
        <v>José</v>
      </c>
      <c r="F720" s="50" t="str">
        <f>IF($C720="B",INDEX(Batters[[#All],[Last]],MATCH(A720,Batters[[#All],[PID]],0)),INDEX(Table3[[#All],[Last]],MATCH(A720,Table3[[#All],[PID]],0)))</f>
        <v>Reyes</v>
      </c>
      <c r="G720" s="56">
        <f>IF($C720="B",INDEX(Batters[[#All],[Age]],MATCH(Table5[[#This Row],[PID]],Batters[[#All],[PID]],0)),INDEX(Table3[[#All],[Age]],MATCH(Table5[[#This Row],[PID]],Table3[[#All],[PID]],0)))</f>
        <v>21</v>
      </c>
      <c r="H720" s="52" t="str">
        <f>IF($C720="B",INDEX(Batters[[#All],[B]],MATCH(Table5[[#This Row],[PID]],Batters[[#All],[PID]],0)),INDEX(Table3[[#All],[B]],MATCH(Table5[[#This Row],[PID]],Table3[[#All],[PID]],0)))</f>
        <v>R</v>
      </c>
      <c r="I720" s="52" t="str">
        <f>IF($C720="B",INDEX(Batters[[#All],[T]],MATCH(Table5[[#This Row],[PID]],Batters[[#All],[PID]],0)),INDEX(Table3[[#All],[T]],MATCH(Table5[[#This Row],[PID]],Table3[[#All],[PID]],0)))</f>
        <v>R</v>
      </c>
      <c r="J720" s="52" t="str">
        <f>IF($C720="B",INDEX(Batters[[#All],[WE]],MATCH(Table5[[#This Row],[PID]],Batters[[#All],[PID]],0)),INDEX(Table3[[#All],[WE]],MATCH(Table5[[#This Row],[PID]],Table3[[#All],[PID]],0)))</f>
        <v>High</v>
      </c>
      <c r="K720" s="52" t="str">
        <f>IF($C720="B",INDEX(Batters[[#All],[INT]],MATCH(Table5[[#This Row],[PID]],Batters[[#All],[PID]],0)),INDEX(Table3[[#All],[INT]],MATCH(Table5[[#This Row],[PID]],Table3[[#All],[PID]],0)))</f>
        <v>Normal</v>
      </c>
      <c r="L720" s="60">
        <f>IF($C720="B",INDEX(Batters[[#All],[CON P]],MATCH(Table5[[#This Row],[PID]],Batters[[#All],[PID]],0)),INDEX(Table3[[#All],[STU P]],MATCH(Table5[[#This Row],[PID]],Table3[[#All],[PID]],0)))</f>
        <v>3</v>
      </c>
      <c r="M720" s="56">
        <f>IF($C720="B",INDEX(Batters[[#All],[GAP P]],MATCH(Table5[[#This Row],[PID]],Batters[[#All],[PID]],0)),INDEX(Table3[[#All],[MOV P]],MATCH(Table5[[#This Row],[PID]],Table3[[#All],[PID]],0)))</f>
        <v>2</v>
      </c>
      <c r="N720" s="56">
        <f>IF($C720="B",INDEX(Batters[[#All],[POW P]],MATCH(Table5[[#This Row],[PID]],Batters[[#All],[PID]],0)),INDEX(Table3[[#All],[CON P]],MATCH(Table5[[#This Row],[PID]],Table3[[#All],[PID]],0)))</f>
        <v>3</v>
      </c>
      <c r="O720" s="56" t="str">
        <f>IF($C720="B",INDEX(Batters[[#All],[EYE P]],MATCH(Table5[[#This Row],[PID]],Batters[[#All],[PID]],0)),INDEX(Table3[[#All],[VELO]],MATCH(Table5[[#This Row],[PID]],Table3[[#All],[PID]],0)))</f>
        <v>85-87 Mph</v>
      </c>
      <c r="P720" s="56">
        <f>IF($C720="B",INDEX(Batters[[#All],[K P]],MATCH(Table5[[#This Row],[PID]],Batters[[#All],[PID]],0)),INDEX(Table3[[#All],[STM]],MATCH(Table5[[#This Row],[PID]],Table3[[#All],[PID]],0)))</f>
        <v>4</v>
      </c>
      <c r="Q720" s="61">
        <f>IF($C720="B",INDEX(Batters[[#All],[Tot]],MATCH(Table5[[#This Row],[PID]],Batters[[#All],[PID]],0)),INDEX(Table3[[#All],[Tot]],MATCH(Table5[[#This Row],[PID]],Table3[[#All],[PID]],0)))</f>
        <v>24.863349652495199</v>
      </c>
      <c r="R720" s="52">
        <f>IF($C720="B",INDEX(Batters[[#All],[zScore]],MATCH(Table5[[#This Row],[PID]],Batters[[#All],[PID]],0)),INDEX(Table3[[#All],[zScore]],MATCH(Table5[[#This Row],[PID]],Table3[[#All],[PID]],0)))</f>
        <v>-0.91431444133125273</v>
      </c>
      <c r="S720" s="58" t="str">
        <f>IF($C720="B",INDEX(Batters[[#All],[DEM]],MATCH(Table5[[#This Row],[PID]],Batters[[#All],[PID]],0)),INDEX(Table3[[#All],[DEM]],MATCH(Table5[[#This Row],[PID]],Table3[[#All],[PID]],0)))</f>
        <v>-</v>
      </c>
      <c r="T720" s="62">
        <f>IF($C720="B",INDEX(Batters[[#All],[Rnk]],MATCH(Table5[[#This Row],[PID]],Batters[[#All],[PID]],0)),INDEX(Table3[[#All],[Rnk]],MATCH(Table5[[#This Row],[PID]],Table3[[#All],[PID]],0)))</f>
        <v>900</v>
      </c>
      <c r="U720" s="67">
        <f>IF($C720="B",VLOOKUP($A720,Bat!$A$4:$BA$1314,47,FALSE),VLOOKUP($A720,Pit!$A$4:$BF$1214,56,FALSE))</f>
        <v>235</v>
      </c>
      <c r="V720" s="50">
        <f>IF($C720="B",VLOOKUP($A720,Bat!$A$4:$BA$1314,48,FALSE),VLOOKUP($A720,Pit!$A$4:$BF$1214,57,FALSE))</f>
        <v>0</v>
      </c>
      <c r="W720" s="68">
        <f>IF(Table5[[#This Row],[posRnk]]=999,9999,Table5[[#This Row],[posRnk]]+Table5[[#This Row],[zRnk]]+IF($W$3&lt;&gt;Table5[[#This Row],[Type]],50,0))</f>
        <v>1646</v>
      </c>
      <c r="X720" s="51">
        <f>RANK(Table5[[#This Row],[zScore]],Table5[[#All],[zScore]])</f>
        <v>746</v>
      </c>
      <c r="Y720" s="50" t="str">
        <f>IFERROR(INDEX(DraftResults[[#All],[OVR]],MATCH(Table5[[#This Row],[PID]],DraftResults[[#All],[Player ID]],0)),"")</f>
        <v/>
      </c>
      <c r="Z720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/>
      </c>
      <c r="AA720" s="50" t="str">
        <f>IFERROR(INDEX(DraftResults[[#All],[Pick in Round]],MATCH(Table5[[#This Row],[PID]],DraftResults[[#All],[Player ID]],0)),"")</f>
        <v/>
      </c>
      <c r="AB720" s="50" t="str">
        <f>IFERROR(INDEX(DraftResults[[#All],[Team Name]],MATCH(Table5[[#This Row],[PID]],DraftResults[[#All],[Player ID]],0)),"")</f>
        <v/>
      </c>
      <c r="AC720" s="50" t="str">
        <f>IF(Table5[[#This Row],[Ovr]]="","",IF(Table5[[#This Row],[cmbList]]="","",Table5[[#This Row],[cmbList]]-Table5[[#This Row],[Ovr]]))</f>
        <v/>
      </c>
      <c r="AD720" s="54" t="str">
        <f>IF(ISERROR(VLOOKUP($AB720&amp;"-"&amp;$E720&amp;" "&amp;F720,Bonuses!$B$1:$G$1006,4,FALSE)),"",INT(VLOOKUP($AB720&amp;"-"&amp;$E720&amp;" "&amp;$F720,Bonuses!$B$1:$G$1006,4,FALSE)))</f>
        <v/>
      </c>
      <c r="AE720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/>
      </c>
    </row>
    <row r="721" spans="1:31" s="50" customFormat="1" x14ac:dyDescent="0.3">
      <c r="A721" s="50">
        <v>5557</v>
      </c>
      <c r="B721" s="55">
        <f>COUNTIF(Table5[PID],A721)</f>
        <v>1</v>
      </c>
      <c r="C721" s="55" t="str">
        <f>IF(COUNTIF(Table3[[#All],[PID]],A721)&gt;0,"P","B")</f>
        <v>P</v>
      </c>
      <c r="D721" s="59" t="str">
        <f>IF($C721="B",INDEX(Batters[[#All],[POS]],MATCH(Table5[[#This Row],[PID]],Batters[[#All],[PID]],0)),INDEX(Table3[[#All],[POS]],MATCH(Table5[[#This Row],[PID]],Table3[[#All],[PID]],0)))</f>
        <v>RP</v>
      </c>
      <c r="E721" s="52" t="str">
        <f>IF($C721="B",INDEX(Batters[[#All],[First]],MATCH(Table5[[#This Row],[PID]],Batters[[#All],[PID]],0)),INDEX(Table3[[#All],[First]],MATCH(Table5[[#This Row],[PID]],Table3[[#All],[PID]],0)))</f>
        <v>Nathan</v>
      </c>
      <c r="F721" s="50" t="str">
        <f>IF($C721="B",INDEX(Batters[[#All],[Last]],MATCH(A721,Batters[[#All],[PID]],0)),INDEX(Table3[[#All],[Last]],MATCH(A721,Table3[[#All],[PID]],0)))</f>
        <v>Cook</v>
      </c>
      <c r="G721" s="56">
        <f>IF($C721="B",INDEX(Batters[[#All],[Age]],MATCH(Table5[[#This Row],[PID]],Batters[[#All],[PID]],0)),INDEX(Table3[[#All],[Age]],MATCH(Table5[[#This Row],[PID]],Table3[[#All],[PID]],0)))</f>
        <v>21</v>
      </c>
      <c r="H721" s="52" t="str">
        <f>IF($C721="B",INDEX(Batters[[#All],[B]],MATCH(Table5[[#This Row],[PID]],Batters[[#All],[PID]],0)),INDEX(Table3[[#All],[B]],MATCH(Table5[[#This Row],[PID]],Table3[[#All],[PID]],0)))</f>
        <v>R</v>
      </c>
      <c r="I721" s="52" t="str">
        <f>IF($C721="B",INDEX(Batters[[#All],[T]],MATCH(Table5[[#This Row],[PID]],Batters[[#All],[PID]],0)),INDEX(Table3[[#All],[T]],MATCH(Table5[[#This Row],[PID]],Table3[[#All],[PID]],0)))</f>
        <v>R</v>
      </c>
      <c r="J721" s="52" t="str">
        <f>IF($C721="B",INDEX(Batters[[#All],[WE]],MATCH(Table5[[#This Row],[PID]],Batters[[#All],[PID]],0)),INDEX(Table3[[#All],[WE]],MATCH(Table5[[#This Row],[PID]],Table3[[#All],[PID]],0)))</f>
        <v>Low</v>
      </c>
      <c r="K721" s="52" t="str">
        <f>IF($C721="B",INDEX(Batters[[#All],[INT]],MATCH(Table5[[#This Row],[PID]],Batters[[#All],[PID]],0)),INDEX(Table3[[#All],[INT]],MATCH(Table5[[#This Row],[PID]],Table3[[#All],[PID]],0)))</f>
        <v>High</v>
      </c>
      <c r="L721" s="60">
        <f>IF($C721="B",INDEX(Batters[[#All],[CON P]],MATCH(Table5[[#This Row],[PID]],Batters[[#All],[PID]],0)),INDEX(Table3[[#All],[STU P]],MATCH(Table5[[#This Row],[PID]],Table3[[#All],[PID]],0)))</f>
        <v>3</v>
      </c>
      <c r="M721" s="56">
        <f>IF($C721="B",INDEX(Batters[[#All],[GAP P]],MATCH(Table5[[#This Row],[PID]],Batters[[#All],[PID]],0)),INDEX(Table3[[#All],[MOV P]],MATCH(Table5[[#This Row],[PID]],Table3[[#All],[PID]],0)))</f>
        <v>2</v>
      </c>
      <c r="N721" s="56">
        <f>IF($C721="B",INDEX(Batters[[#All],[POW P]],MATCH(Table5[[#This Row],[PID]],Batters[[#All],[PID]],0)),INDEX(Table3[[#All],[CON P]],MATCH(Table5[[#This Row],[PID]],Table3[[#All],[PID]],0)))</f>
        <v>3</v>
      </c>
      <c r="O721" s="56" t="str">
        <f>IF($C721="B",INDEX(Batters[[#All],[EYE P]],MATCH(Table5[[#This Row],[PID]],Batters[[#All],[PID]],0)),INDEX(Table3[[#All],[VELO]],MATCH(Table5[[#This Row],[PID]],Table3[[#All],[PID]],0)))</f>
        <v>85-87 Mph</v>
      </c>
      <c r="P721" s="56">
        <f>IF($C721="B",INDEX(Batters[[#All],[K P]],MATCH(Table5[[#This Row],[PID]],Batters[[#All],[PID]],0)),INDEX(Table3[[#All],[STM]],MATCH(Table5[[#This Row],[PID]],Table3[[#All],[PID]],0)))</f>
        <v>7</v>
      </c>
      <c r="Q721" s="61">
        <f>IF($C721="B",INDEX(Batters[[#All],[Tot]],MATCH(Table5[[#This Row],[PID]],Batters[[#All],[PID]],0)),INDEX(Table3[[#All],[Tot]],MATCH(Table5[[#This Row],[PID]],Table3[[#All],[PID]],0)))</f>
        <v>25.775745124653994</v>
      </c>
      <c r="R721" s="52">
        <f>IF($C721="B",INDEX(Batters[[#All],[zScore]],MATCH(Table5[[#This Row],[PID]],Batters[[#All],[PID]],0)),INDEX(Table3[[#All],[zScore]],MATCH(Table5[[#This Row],[PID]],Table3[[#All],[PID]],0)))</f>
        <v>-0.85639541077299253</v>
      </c>
      <c r="S721" s="58" t="str">
        <f>IF($C721="B",INDEX(Batters[[#All],[DEM]],MATCH(Table5[[#This Row],[PID]],Batters[[#All],[PID]],0)),INDEX(Table3[[#All],[DEM]],MATCH(Table5[[#This Row],[PID]],Table3[[#All],[PID]],0)))</f>
        <v>-</v>
      </c>
      <c r="T721" s="62">
        <f>IF($C721="B",INDEX(Batters[[#All],[Rnk]],MATCH(Table5[[#This Row],[PID]],Batters[[#All],[PID]],0)),INDEX(Table3[[#All],[Rnk]],MATCH(Table5[[#This Row],[PID]],Table3[[#All],[PID]],0)))</f>
        <v>930</v>
      </c>
      <c r="U721" s="67">
        <f>IF($C721="B",VLOOKUP($A721,Bat!$A$4:$BA$1314,47,FALSE),VLOOKUP($A721,Pit!$A$4:$BF$1214,56,FALSE))</f>
        <v>350</v>
      </c>
      <c r="V721" s="50">
        <f>IF($C721="B",VLOOKUP($A721,Bat!$A$4:$BA$1314,48,FALSE),VLOOKUP($A721,Pit!$A$4:$BF$1214,57,FALSE))</f>
        <v>0</v>
      </c>
      <c r="W721" s="68">
        <f>IF(Table5[[#This Row],[posRnk]]=999,9999,Table5[[#This Row],[posRnk]]+Table5[[#This Row],[zRnk]]+IF($W$3&lt;&gt;Table5[[#This Row],[Type]],50,0))</f>
        <v>1646</v>
      </c>
      <c r="X721" s="51">
        <f>RANK(Table5[[#This Row],[zScore]],Table5[[#All],[zScore]])</f>
        <v>716</v>
      </c>
      <c r="Y721" s="50" t="str">
        <f>IFERROR(INDEX(DraftResults[[#All],[OVR]],MATCH(Table5[[#This Row],[PID]],DraftResults[[#All],[Player ID]],0)),"")</f>
        <v/>
      </c>
      <c r="Z721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/>
      </c>
      <c r="AA721" s="50" t="str">
        <f>IFERROR(INDEX(DraftResults[[#All],[Pick in Round]],MATCH(Table5[[#This Row],[PID]],DraftResults[[#All],[Player ID]],0)),"")</f>
        <v/>
      </c>
      <c r="AB721" s="50" t="str">
        <f>IFERROR(INDEX(DraftResults[[#All],[Team Name]],MATCH(Table5[[#This Row],[PID]],DraftResults[[#All],[Player ID]],0)),"")</f>
        <v/>
      </c>
      <c r="AC721" s="50" t="str">
        <f>IF(Table5[[#This Row],[Ovr]]="","",IF(Table5[[#This Row],[cmbList]]="","",Table5[[#This Row],[cmbList]]-Table5[[#This Row],[Ovr]]))</f>
        <v/>
      </c>
      <c r="AD721" s="54" t="str">
        <f>IF(ISERROR(VLOOKUP($AB721&amp;"-"&amp;$E721&amp;" "&amp;F721,Bonuses!$B$1:$G$1006,4,FALSE)),"",INT(VLOOKUP($AB721&amp;"-"&amp;$E721&amp;" "&amp;$F721,Bonuses!$B$1:$G$1006,4,FALSE)))</f>
        <v/>
      </c>
      <c r="AE721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/>
      </c>
    </row>
    <row r="722" spans="1:31" s="50" customFormat="1" x14ac:dyDescent="0.3">
      <c r="A722" s="50">
        <v>6152</v>
      </c>
      <c r="B722" s="55">
        <f>COUNTIF(Table5[PID],A722)</f>
        <v>1</v>
      </c>
      <c r="C722" s="55" t="str">
        <f>IF(COUNTIF(Table3[[#All],[PID]],A722)&gt;0,"P","B")</f>
        <v>B</v>
      </c>
      <c r="D722" s="59" t="str">
        <f>IF($C722="B",INDEX(Batters[[#All],[POS]],MATCH(Table5[[#This Row],[PID]],Batters[[#All],[PID]],0)),INDEX(Table3[[#All],[POS]],MATCH(Table5[[#This Row],[PID]],Table3[[#All],[PID]],0)))</f>
        <v>LF</v>
      </c>
      <c r="E722" s="52" t="str">
        <f>IF($C722="B",INDEX(Batters[[#All],[First]],MATCH(Table5[[#This Row],[PID]],Batters[[#All],[PID]],0)),INDEX(Table3[[#All],[First]],MATCH(Table5[[#This Row],[PID]],Table3[[#All],[PID]],0)))</f>
        <v>Daniel</v>
      </c>
      <c r="F722" s="50" t="str">
        <f>IF($C722="B",INDEX(Batters[[#All],[Last]],MATCH(A722,Batters[[#All],[PID]],0)),INDEX(Table3[[#All],[Last]],MATCH(A722,Table3[[#All],[PID]],0)))</f>
        <v>Nuesink</v>
      </c>
      <c r="G722" s="56">
        <f>IF($C722="B",INDEX(Batters[[#All],[Age]],MATCH(Table5[[#This Row],[PID]],Batters[[#All],[PID]],0)),INDEX(Table3[[#All],[Age]],MATCH(Table5[[#This Row],[PID]],Table3[[#All],[PID]],0)))</f>
        <v>21</v>
      </c>
      <c r="H722" s="52" t="str">
        <f>IF($C722="B",INDEX(Batters[[#All],[B]],MATCH(Table5[[#This Row],[PID]],Batters[[#All],[PID]],0)),INDEX(Table3[[#All],[B]],MATCH(Table5[[#This Row],[PID]],Table3[[#All],[PID]],0)))</f>
        <v>R</v>
      </c>
      <c r="I722" s="52" t="str">
        <f>IF($C722="B",INDEX(Batters[[#All],[T]],MATCH(Table5[[#This Row],[PID]],Batters[[#All],[PID]],0)),INDEX(Table3[[#All],[T]],MATCH(Table5[[#This Row],[PID]],Table3[[#All],[PID]],0)))</f>
        <v>R</v>
      </c>
      <c r="J722" s="52" t="str">
        <f>IF($C722="B",INDEX(Batters[[#All],[WE]],MATCH(Table5[[#This Row],[PID]],Batters[[#All],[PID]],0)),INDEX(Table3[[#All],[WE]],MATCH(Table5[[#This Row],[PID]],Table3[[#All],[PID]],0)))</f>
        <v>Normal</v>
      </c>
      <c r="K722" s="52" t="str">
        <f>IF($C722="B",INDEX(Batters[[#All],[INT]],MATCH(Table5[[#This Row],[PID]],Batters[[#All],[PID]],0)),INDEX(Table3[[#All],[INT]],MATCH(Table5[[#This Row],[PID]],Table3[[#All],[PID]],0)))</f>
        <v>Normal</v>
      </c>
      <c r="L722" s="60">
        <f>IF($C722="B",INDEX(Batters[[#All],[CON P]],MATCH(Table5[[#This Row],[PID]],Batters[[#All],[PID]],0)),INDEX(Table3[[#All],[STU P]],MATCH(Table5[[#This Row],[PID]],Table3[[#All],[PID]],0)))</f>
        <v>3</v>
      </c>
      <c r="M722" s="56">
        <f>IF($C722="B",INDEX(Batters[[#All],[GAP P]],MATCH(Table5[[#This Row],[PID]],Batters[[#All],[PID]],0)),INDEX(Table3[[#All],[MOV P]],MATCH(Table5[[#This Row],[PID]],Table3[[#All],[PID]],0)))</f>
        <v>4</v>
      </c>
      <c r="N722" s="56">
        <f>IF($C722="B",INDEX(Batters[[#All],[POW P]],MATCH(Table5[[#This Row],[PID]],Batters[[#All],[PID]],0)),INDEX(Table3[[#All],[CON P]],MATCH(Table5[[#This Row],[PID]],Table3[[#All],[PID]],0)))</f>
        <v>4</v>
      </c>
      <c r="O722" s="56">
        <f>IF($C722="B",INDEX(Batters[[#All],[EYE P]],MATCH(Table5[[#This Row],[PID]],Batters[[#All],[PID]],0)),INDEX(Table3[[#All],[VELO]],MATCH(Table5[[#This Row],[PID]],Table3[[#All],[PID]],0)))</f>
        <v>4</v>
      </c>
      <c r="P722" s="56">
        <f>IF($C722="B",INDEX(Batters[[#All],[K P]],MATCH(Table5[[#This Row],[PID]],Batters[[#All],[PID]],0)),INDEX(Table3[[#All],[STM]],MATCH(Table5[[#This Row],[PID]],Table3[[#All],[PID]],0)))</f>
        <v>3</v>
      </c>
      <c r="Q722" s="61">
        <f>IF($C722="B",INDEX(Batters[[#All],[Tot]],MATCH(Table5[[#This Row],[PID]],Batters[[#All],[PID]],0)),INDEX(Table3[[#All],[Tot]],MATCH(Table5[[#This Row],[PID]],Table3[[#All],[PID]],0)))</f>
        <v>36.945581077684224</v>
      </c>
      <c r="R722" s="52">
        <f>IF($C722="B",INDEX(Batters[[#All],[zScore]],MATCH(Table5[[#This Row],[PID]],Batters[[#All],[PID]],0)),INDEX(Table3[[#All],[zScore]],MATCH(Table5[[#This Row],[PID]],Table3[[#All],[PID]],0)))</f>
        <v>-0.9156447388950768</v>
      </c>
      <c r="S722" s="58" t="str">
        <f>IF($C722="B",INDEX(Batters[[#All],[DEM]],MATCH(Table5[[#This Row],[PID]],Batters[[#All],[PID]],0)),INDEX(Table3[[#All],[DEM]],MATCH(Table5[[#This Row],[PID]],Table3[[#All],[PID]],0)))</f>
        <v>-</v>
      </c>
      <c r="T722" s="62">
        <f>IF($C722="B",INDEX(Batters[[#All],[Rnk]],MATCH(Table5[[#This Row],[PID]],Batters[[#All],[PID]],0)),INDEX(Table3[[#All],[Rnk]],MATCH(Table5[[#This Row],[PID]],Table3[[#All],[PID]],0)))</f>
        <v>900</v>
      </c>
      <c r="U722" s="67">
        <f>IF($C722="B",VLOOKUP($A722,Bat!$A$4:$BA$1314,47,FALSE),VLOOKUP($A722,Pit!$A$4:$BF$1214,56,FALSE))</f>
        <v>261</v>
      </c>
      <c r="V722" s="50">
        <f>IF($C722="B",VLOOKUP($A722,Bat!$A$4:$BA$1314,48,FALSE),VLOOKUP($A722,Pit!$A$4:$BF$1214,57,FALSE))</f>
        <v>0</v>
      </c>
      <c r="W722" s="68">
        <f>IF(Table5[[#This Row],[posRnk]]=999,9999,Table5[[#This Row],[posRnk]]+Table5[[#This Row],[zRnk]]+IF($W$3&lt;&gt;Table5[[#This Row],[Type]],50,0))</f>
        <v>1697</v>
      </c>
      <c r="X722" s="51">
        <f>RANK(Table5[[#This Row],[zScore]],Table5[[#All],[zScore]])</f>
        <v>747</v>
      </c>
      <c r="Y722" s="50">
        <f>IFERROR(INDEX(DraftResults[[#All],[OVR]],MATCH(Table5[[#This Row],[PID]],DraftResults[[#All],[Player ID]],0)),"")</f>
        <v>670</v>
      </c>
      <c r="Z722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20</v>
      </c>
      <c r="AA722" s="50">
        <f>IFERROR(INDEX(DraftResults[[#All],[Pick in Round]],MATCH(Table5[[#This Row],[PID]],DraftResults[[#All],[Player ID]],0)),"")</f>
        <v>33</v>
      </c>
      <c r="AB722" s="50" t="str">
        <f>IFERROR(INDEX(DraftResults[[#All],[Team Name]],MATCH(Table5[[#This Row],[PID]],DraftResults[[#All],[Player ID]],0)),"")</f>
        <v>New Jersey Hitmen</v>
      </c>
      <c r="AC722" s="50">
        <f>IF(Table5[[#This Row],[Ovr]]="","",IF(Table5[[#This Row],[cmbList]]="","",Table5[[#This Row],[cmbList]]-Table5[[#This Row],[Ovr]]))</f>
        <v>1027</v>
      </c>
      <c r="AD722" s="54" t="str">
        <f>IF(ISERROR(VLOOKUP($AB722&amp;"-"&amp;$E722&amp;" "&amp;F722,Bonuses!$B$1:$G$1006,4,FALSE)),"",INT(VLOOKUP($AB722&amp;"-"&amp;$E722&amp;" "&amp;$F722,Bonuses!$B$1:$G$1006,4,FALSE)))</f>
        <v/>
      </c>
      <c r="AE722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20.33 (670) - LF Daniel Nuesink</v>
      </c>
    </row>
    <row r="723" spans="1:31" s="50" customFormat="1" x14ac:dyDescent="0.3">
      <c r="A723" s="50">
        <v>10875</v>
      </c>
      <c r="B723" s="50">
        <f>COUNTIF(Table5[PID],A723)</f>
        <v>1</v>
      </c>
      <c r="C723" s="50" t="str">
        <f>IF(COUNTIF(Table3[[#All],[PID]],A723)&gt;0,"P","B")</f>
        <v>B</v>
      </c>
      <c r="D723" s="59" t="str">
        <f>IF($C723="B",INDEX(Batters[[#All],[POS]],MATCH(Table5[[#This Row],[PID]],Batters[[#All],[PID]],0)),INDEX(Table3[[#All],[POS]],MATCH(Table5[[#This Row],[PID]],Table3[[#All],[PID]],0)))</f>
        <v>CF</v>
      </c>
      <c r="E723" s="52" t="str">
        <f>IF($C723="B",INDEX(Batters[[#All],[First]],MATCH(Table5[[#This Row],[PID]],Batters[[#All],[PID]],0)),INDEX(Table3[[#All],[First]],MATCH(Table5[[#This Row],[PID]],Table3[[#All],[PID]],0)))</f>
        <v>Sumiteru</v>
      </c>
      <c r="F723" s="50" t="str">
        <f>IF($C723="B",INDEX(Batters[[#All],[Last]],MATCH(A723,Batters[[#All],[PID]],0)),INDEX(Table3[[#All],[Last]],MATCH(A723,Table3[[#All],[PID]],0)))</f>
        <v>Kobayashi</v>
      </c>
      <c r="G723" s="56">
        <f>IF($C723="B",INDEX(Batters[[#All],[Age]],MATCH(Table5[[#This Row],[PID]],Batters[[#All],[PID]],0)),INDEX(Table3[[#All],[Age]],MATCH(Table5[[#This Row],[PID]],Table3[[#All],[PID]],0)))</f>
        <v>21</v>
      </c>
      <c r="H723" s="52" t="str">
        <f>IF($C723="B",INDEX(Batters[[#All],[B]],MATCH(Table5[[#This Row],[PID]],Batters[[#All],[PID]],0)),INDEX(Table3[[#All],[B]],MATCH(Table5[[#This Row],[PID]],Table3[[#All],[PID]],0)))</f>
        <v>R</v>
      </c>
      <c r="I723" s="52" t="str">
        <f>IF($C723="B",INDEX(Batters[[#All],[T]],MATCH(Table5[[#This Row],[PID]],Batters[[#All],[PID]],0)),INDEX(Table3[[#All],[T]],MATCH(Table5[[#This Row],[PID]],Table3[[#All],[PID]],0)))</f>
        <v>R</v>
      </c>
      <c r="J723" s="52" t="str">
        <f>IF($C723="B",INDEX(Batters[[#All],[WE]],MATCH(Table5[[#This Row],[PID]],Batters[[#All],[PID]],0)),INDEX(Table3[[#All],[WE]],MATCH(Table5[[#This Row],[PID]],Table3[[#All],[PID]],0)))</f>
        <v>Low</v>
      </c>
      <c r="K723" s="52" t="str">
        <f>IF($C723="B",INDEX(Batters[[#All],[INT]],MATCH(Table5[[#This Row],[PID]],Batters[[#All],[PID]],0)),INDEX(Table3[[#All],[INT]],MATCH(Table5[[#This Row],[PID]],Table3[[#All],[PID]],0)))</f>
        <v>Normal</v>
      </c>
      <c r="L723" s="60">
        <f>IF($C723="B",INDEX(Batters[[#All],[CON P]],MATCH(Table5[[#This Row],[PID]],Batters[[#All],[PID]],0)),INDEX(Table3[[#All],[STU P]],MATCH(Table5[[#This Row],[PID]],Table3[[#All],[PID]],0)))</f>
        <v>3</v>
      </c>
      <c r="M723" s="56">
        <f>IF($C723="B",INDEX(Batters[[#All],[GAP P]],MATCH(Table5[[#This Row],[PID]],Batters[[#All],[PID]],0)),INDEX(Table3[[#All],[MOV P]],MATCH(Table5[[#This Row],[PID]],Table3[[#All],[PID]],0)))</f>
        <v>4</v>
      </c>
      <c r="N723" s="56">
        <f>IF($C723="B",INDEX(Batters[[#All],[POW P]],MATCH(Table5[[#This Row],[PID]],Batters[[#All],[PID]],0)),INDEX(Table3[[#All],[CON P]],MATCH(Table5[[#This Row],[PID]],Table3[[#All],[PID]],0)))</f>
        <v>4</v>
      </c>
      <c r="O723" s="56">
        <f>IF($C723="B",INDEX(Batters[[#All],[EYE P]],MATCH(Table5[[#This Row],[PID]],Batters[[#All],[PID]],0)),INDEX(Table3[[#All],[VELO]],MATCH(Table5[[#This Row],[PID]],Table3[[#All],[PID]],0)))</f>
        <v>4</v>
      </c>
      <c r="P723" s="56">
        <f>IF($C723="B",INDEX(Batters[[#All],[K P]],MATCH(Table5[[#This Row],[PID]],Batters[[#All],[PID]],0)),INDEX(Table3[[#All],[STM]],MATCH(Table5[[#This Row],[PID]],Table3[[#All],[PID]],0)))</f>
        <v>3</v>
      </c>
      <c r="Q723" s="61">
        <f>IF($C723="B",INDEX(Batters[[#All],[Tot]],MATCH(Table5[[#This Row],[PID]],Batters[[#All],[PID]],0)),INDEX(Table3[[#All],[Tot]],MATCH(Table5[[#This Row],[PID]],Table3[[#All],[PID]],0)))</f>
        <v>37.316112711389977</v>
      </c>
      <c r="R723" s="52">
        <f>IF($C723="B",INDEX(Batters[[#All],[zScore]],MATCH(Table5[[#This Row],[PID]],Batters[[#All],[PID]],0)),INDEX(Table3[[#All],[zScore]],MATCH(Table5[[#This Row],[PID]],Table3[[#All],[PID]],0)))</f>
        <v>-0.8615589367585772</v>
      </c>
      <c r="S723" s="58" t="str">
        <f>IF($C723="B",INDEX(Batters[[#All],[DEM]],MATCH(Table5[[#This Row],[PID]],Batters[[#All],[PID]],0)),INDEX(Table3[[#All],[DEM]],MATCH(Table5[[#This Row],[PID]],Table3[[#All],[PID]],0)))</f>
        <v>-</v>
      </c>
      <c r="T723" s="62">
        <f>IF($C723="B",INDEX(Batters[[#All],[Rnk]],MATCH(Table5[[#This Row],[PID]],Batters[[#All],[PID]],0)),INDEX(Table3[[#All],[Rnk]],MATCH(Table5[[#This Row],[PID]],Table3[[#All],[PID]],0)))</f>
        <v>930</v>
      </c>
      <c r="U723" s="67">
        <f>IF($C723="B",VLOOKUP($A723,Bat!$A$4:$BA$1314,47,FALSE),VLOOKUP($A723,Pit!$A$4:$BF$1214,56,FALSE))</f>
        <v>371</v>
      </c>
      <c r="V723" s="50">
        <f>IF($C723="B",VLOOKUP($A723,Bat!$A$4:$BA$1314,48,FALSE),VLOOKUP($A723,Pit!$A$4:$BF$1214,57,FALSE))</f>
        <v>0</v>
      </c>
      <c r="W723" s="68">
        <f>IF(Table5[[#This Row],[posRnk]]=999,9999,Table5[[#This Row],[posRnk]]+Table5[[#This Row],[zRnk]]+IF($W$3&lt;&gt;Table5[[#This Row],[Type]],50,0))</f>
        <v>1697</v>
      </c>
      <c r="X723" s="51">
        <f>RANK(Table5[[#This Row],[zScore]],Table5[[#All],[zScore]])</f>
        <v>717</v>
      </c>
      <c r="Y723" s="50">
        <f>IFERROR(INDEX(DraftResults[[#All],[OVR]],MATCH(Table5[[#This Row],[PID]],DraftResults[[#All],[Player ID]],0)),"")</f>
        <v>397</v>
      </c>
      <c r="Z723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12</v>
      </c>
      <c r="AA723" s="50">
        <f>IFERROR(INDEX(DraftResults[[#All],[Pick in Round]],MATCH(Table5[[#This Row],[PID]],DraftResults[[#All],[Player ID]],0)),"")</f>
        <v>32</v>
      </c>
      <c r="AB723" s="50" t="str">
        <f>IFERROR(INDEX(DraftResults[[#All],[Team Name]],MATCH(Table5[[#This Row],[PID]],DraftResults[[#All],[Player ID]],0)),"")</f>
        <v>Florida Farstriders</v>
      </c>
      <c r="AC723" s="50">
        <f>IF(Table5[[#This Row],[Ovr]]="","",IF(Table5[[#This Row],[cmbList]]="","",Table5[[#This Row],[cmbList]]-Table5[[#This Row],[Ovr]]))</f>
        <v>1300</v>
      </c>
      <c r="AD723" s="54" t="str">
        <f>IF(ISERROR(VLOOKUP($AB723&amp;"-"&amp;$E723&amp;" "&amp;F723,Bonuses!$B$1:$G$1006,4,FALSE)),"",INT(VLOOKUP($AB723&amp;"-"&amp;$E723&amp;" "&amp;$F723,Bonuses!$B$1:$G$1006,4,FALSE)))</f>
        <v/>
      </c>
      <c r="AE723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12.32 (397) - CF Sumiteru Kobayashi</v>
      </c>
    </row>
    <row r="724" spans="1:31" s="50" customFormat="1" x14ac:dyDescent="0.3">
      <c r="A724" s="50">
        <v>7608</v>
      </c>
      <c r="B724" s="50">
        <f>COUNTIF(Table5[PID],A724)</f>
        <v>1</v>
      </c>
      <c r="C724" s="50" t="str">
        <f>IF(COUNTIF(Table3[[#All],[PID]],A724)&gt;0,"P","B")</f>
        <v>P</v>
      </c>
      <c r="D724" s="59" t="str">
        <f>IF($C724="B",INDEX(Batters[[#All],[POS]],MATCH(Table5[[#This Row],[PID]],Batters[[#All],[PID]],0)),INDEX(Table3[[#All],[POS]],MATCH(Table5[[#This Row],[PID]],Table3[[#All],[PID]],0)))</f>
        <v>RP</v>
      </c>
      <c r="E724" s="52" t="str">
        <f>IF($C724="B",INDEX(Batters[[#All],[First]],MATCH(Table5[[#This Row],[PID]],Batters[[#All],[PID]],0)),INDEX(Table3[[#All],[First]],MATCH(Table5[[#This Row],[PID]],Table3[[#All],[PID]],0)))</f>
        <v>Manuel</v>
      </c>
      <c r="F724" s="50" t="str">
        <f>IF($C724="B",INDEX(Batters[[#All],[Last]],MATCH(A724,Batters[[#All],[PID]],0)),INDEX(Table3[[#All],[Last]],MATCH(A724,Table3[[#All],[PID]],0)))</f>
        <v>Galván</v>
      </c>
      <c r="G724" s="56">
        <f>IF($C724="B",INDEX(Batters[[#All],[Age]],MATCH(Table5[[#This Row],[PID]],Batters[[#All],[PID]],0)),INDEX(Table3[[#All],[Age]],MATCH(Table5[[#This Row],[PID]],Table3[[#All],[PID]],0)))</f>
        <v>21</v>
      </c>
      <c r="H724" s="52" t="str">
        <f>IF($C724="B",INDEX(Batters[[#All],[B]],MATCH(Table5[[#This Row],[PID]],Batters[[#All],[PID]],0)),INDEX(Table3[[#All],[B]],MATCH(Table5[[#This Row],[PID]],Table3[[#All],[PID]],0)))</f>
        <v>R</v>
      </c>
      <c r="I724" s="52" t="str">
        <f>IF($C724="B",INDEX(Batters[[#All],[T]],MATCH(Table5[[#This Row],[PID]],Batters[[#All],[PID]],0)),INDEX(Table3[[#All],[T]],MATCH(Table5[[#This Row],[PID]],Table3[[#All],[PID]],0)))</f>
        <v>R</v>
      </c>
      <c r="J724" s="52" t="str">
        <f>IF($C724="B",INDEX(Batters[[#All],[WE]],MATCH(Table5[[#This Row],[PID]],Batters[[#All],[PID]],0)),INDEX(Table3[[#All],[WE]],MATCH(Table5[[#This Row],[PID]],Table3[[#All],[PID]],0)))</f>
        <v>Normal</v>
      </c>
      <c r="K724" s="52" t="str">
        <f>IF($C724="B",INDEX(Batters[[#All],[INT]],MATCH(Table5[[#This Row],[PID]],Batters[[#All],[PID]],0)),INDEX(Table3[[#All],[INT]],MATCH(Table5[[#This Row],[PID]],Table3[[#All],[PID]],0)))</f>
        <v>Normal</v>
      </c>
      <c r="L724" s="60">
        <f>IF($C724="B",INDEX(Batters[[#All],[CON P]],MATCH(Table5[[#This Row],[PID]],Batters[[#All],[PID]],0)),INDEX(Table3[[#All],[STU P]],MATCH(Table5[[#This Row],[PID]],Table3[[#All],[PID]],0)))</f>
        <v>3</v>
      </c>
      <c r="M724" s="56">
        <f>IF($C724="B",INDEX(Batters[[#All],[GAP P]],MATCH(Table5[[#This Row],[PID]],Batters[[#All],[PID]],0)),INDEX(Table3[[#All],[MOV P]],MATCH(Table5[[#This Row],[PID]],Table3[[#All],[PID]],0)))</f>
        <v>2</v>
      </c>
      <c r="N724" s="56">
        <f>IF($C724="B",INDEX(Batters[[#All],[POW P]],MATCH(Table5[[#This Row],[PID]],Batters[[#All],[PID]],0)),INDEX(Table3[[#All],[CON P]],MATCH(Table5[[#This Row],[PID]],Table3[[#All],[PID]],0)))</f>
        <v>3</v>
      </c>
      <c r="O724" s="56" t="str">
        <f>IF($C724="B",INDEX(Batters[[#All],[EYE P]],MATCH(Table5[[#This Row],[PID]],Batters[[#All],[PID]],0)),INDEX(Table3[[#All],[VELO]],MATCH(Table5[[#This Row],[PID]],Table3[[#All],[PID]],0)))</f>
        <v>88-90 Mph</v>
      </c>
      <c r="P724" s="56">
        <f>IF($C724="B",INDEX(Batters[[#All],[K P]],MATCH(Table5[[#This Row],[PID]],Batters[[#All],[PID]],0)),INDEX(Table3[[#All],[STM]],MATCH(Table5[[#This Row],[PID]],Table3[[#All],[PID]],0)))</f>
        <v>6</v>
      </c>
      <c r="Q724" s="61">
        <f>IF($C724="B",INDEX(Batters[[#All],[Tot]],MATCH(Table5[[#This Row],[PID]],Batters[[#All],[PID]],0)),INDEX(Table3[[#All],[Tot]],MATCH(Table5[[#This Row],[PID]],Table3[[#All],[PID]],0)))</f>
        <v>24.87437176793836</v>
      </c>
      <c r="R724" s="52">
        <f>IF($C724="B",INDEX(Batters[[#All],[zScore]],MATCH(Table5[[#This Row],[PID]],Batters[[#All],[PID]],0)),INDEX(Table3[[#All],[zScore]],MATCH(Table5[[#This Row],[PID]],Table3[[#All],[PID]],0)))</f>
        <v>-0.92057953301546702</v>
      </c>
      <c r="S724" s="58" t="str">
        <f>IF($C724="B",INDEX(Batters[[#All],[DEM]],MATCH(Table5[[#This Row],[PID]],Batters[[#All],[PID]],0)),INDEX(Table3[[#All],[DEM]],MATCH(Table5[[#This Row],[PID]],Table3[[#All],[PID]],0)))</f>
        <v>-</v>
      </c>
      <c r="T724" s="62">
        <f>IF($C724="B",INDEX(Batters[[#All],[Rnk]],MATCH(Table5[[#This Row],[PID]],Batters[[#All],[PID]],0)),INDEX(Table3[[#All],[Rnk]],MATCH(Table5[[#This Row],[PID]],Table3[[#All],[PID]],0)))</f>
        <v>900</v>
      </c>
      <c r="U724" s="67">
        <f>IF($C724="B",VLOOKUP($A724,Bat!$A$4:$BA$1314,47,FALSE),VLOOKUP($A724,Pit!$A$4:$BF$1214,56,FALSE))</f>
        <v>239</v>
      </c>
      <c r="V724" s="50">
        <f>IF($C724="B",VLOOKUP($A724,Bat!$A$4:$BA$1314,48,FALSE),VLOOKUP($A724,Pit!$A$4:$BF$1214,57,FALSE))</f>
        <v>0</v>
      </c>
      <c r="W724" s="68">
        <f>IF(Table5[[#This Row],[posRnk]]=999,9999,Table5[[#This Row],[posRnk]]+Table5[[#This Row],[zRnk]]+IF($W$3&lt;&gt;Table5[[#This Row],[Type]],50,0))</f>
        <v>1648</v>
      </c>
      <c r="X724" s="51">
        <f>RANK(Table5[[#This Row],[zScore]],Table5[[#All],[zScore]])</f>
        <v>748</v>
      </c>
      <c r="Y724" s="50" t="str">
        <f>IFERROR(INDEX(DraftResults[[#All],[OVR]],MATCH(Table5[[#This Row],[PID]],DraftResults[[#All],[Player ID]],0)),"")</f>
        <v/>
      </c>
      <c r="Z724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/>
      </c>
      <c r="AA724" s="50" t="str">
        <f>IFERROR(INDEX(DraftResults[[#All],[Pick in Round]],MATCH(Table5[[#This Row],[PID]],DraftResults[[#All],[Player ID]],0)),"")</f>
        <v/>
      </c>
      <c r="AB724" s="50" t="str">
        <f>IFERROR(INDEX(DraftResults[[#All],[Team Name]],MATCH(Table5[[#This Row],[PID]],DraftResults[[#All],[Player ID]],0)),"")</f>
        <v/>
      </c>
      <c r="AC724" s="50" t="str">
        <f>IF(Table5[[#This Row],[Ovr]]="","",IF(Table5[[#This Row],[cmbList]]="","",Table5[[#This Row],[cmbList]]-Table5[[#This Row],[Ovr]]))</f>
        <v/>
      </c>
      <c r="AD724" s="54" t="str">
        <f>IF(ISERROR(VLOOKUP($AB724&amp;"-"&amp;$E724&amp;" "&amp;F724,Bonuses!$B$1:$G$1006,4,FALSE)),"",INT(VLOOKUP($AB724&amp;"-"&amp;$E724&amp;" "&amp;$F724,Bonuses!$B$1:$G$1006,4,FALSE)))</f>
        <v/>
      </c>
      <c r="AE724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/>
      </c>
    </row>
    <row r="725" spans="1:31" s="50" customFormat="1" x14ac:dyDescent="0.3">
      <c r="A725" s="50">
        <v>20266</v>
      </c>
      <c r="B725" s="50">
        <f>COUNTIF(Table5[PID],A725)</f>
        <v>1</v>
      </c>
      <c r="C725" s="50" t="str">
        <f>IF(COUNTIF(Table3[[#All],[PID]],A725)&gt;0,"P","B")</f>
        <v>P</v>
      </c>
      <c r="D725" s="59" t="str">
        <f>IF($C725="B",INDEX(Batters[[#All],[POS]],MATCH(Table5[[#This Row],[PID]],Batters[[#All],[PID]],0)),INDEX(Table3[[#All],[POS]],MATCH(Table5[[#This Row],[PID]],Table3[[#All],[PID]],0)))</f>
        <v>SP</v>
      </c>
      <c r="E725" s="52" t="str">
        <f>IF($C725="B",INDEX(Batters[[#All],[First]],MATCH(Table5[[#This Row],[PID]],Batters[[#All],[PID]],0)),INDEX(Table3[[#All],[First]],MATCH(Table5[[#This Row],[PID]],Table3[[#All],[PID]],0)))</f>
        <v>Hsuang-tsung</v>
      </c>
      <c r="F725" s="50" t="str">
        <f>IF($C725="B",INDEX(Batters[[#All],[Last]],MATCH(A725,Batters[[#All],[PID]],0)),INDEX(Table3[[#All],[Last]],MATCH(A725,Table3[[#All],[PID]],0)))</f>
        <v>Men</v>
      </c>
      <c r="G725" s="56">
        <f>IF($C725="B",INDEX(Batters[[#All],[Age]],MATCH(Table5[[#This Row],[PID]],Batters[[#All],[PID]],0)),INDEX(Table3[[#All],[Age]],MATCH(Table5[[#This Row],[PID]],Table3[[#All],[PID]],0)))</f>
        <v>22</v>
      </c>
      <c r="H725" s="52" t="str">
        <f>IF($C725="B",INDEX(Batters[[#All],[B]],MATCH(Table5[[#This Row],[PID]],Batters[[#All],[PID]],0)),INDEX(Table3[[#All],[B]],MATCH(Table5[[#This Row],[PID]],Table3[[#All],[PID]],0)))</f>
        <v>S</v>
      </c>
      <c r="I725" s="52" t="str">
        <f>IF($C725="B",INDEX(Batters[[#All],[T]],MATCH(Table5[[#This Row],[PID]],Batters[[#All],[PID]],0)),INDEX(Table3[[#All],[T]],MATCH(Table5[[#This Row],[PID]],Table3[[#All],[PID]],0)))</f>
        <v>R</v>
      </c>
      <c r="J725" s="52" t="str">
        <f>IF($C725="B",INDEX(Batters[[#All],[WE]],MATCH(Table5[[#This Row],[PID]],Batters[[#All],[PID]],0)),INDEX(Table3[[#All],[WE]],MATCH(Table5[[#This Row],[PID]],Table3[[#All],[PID]],0)))</f>
        <v>Normal</v>
      </c>
      <c r="K725" s="52" t="str">
        <f>IF($C725="B",INDEX(Batters[[#All],[INT]],MATCH(Table5[[#This Row],[PID]],Batters[[#All],[PID]],0)),INDEX(Table3[[#All],[INT]],MATCH(Table5[[#This Row],[PID]],Table3[[#All],[PID]],0)))</f>
        <v>Normal</v>
      </c>
      <c r="L725" s="60">
        <f>IF($C725="B",INDEX(Batters[[#All],[CON P]],MATCH(Table5[[#This Row],[PID]],Batters[[#All],[PID]],0)),INDEX(Table3[[#All],[STU P]],MATCH(Table5[[#This Row],[PID]],Table3[[#All],[PID]],0)))</f>
        <v>4</v>
      </c>
      <c r="M725" s="56">
        <f>IF($C725="B",INDEX(Batters[[#All],[GAP P]],MATCH(Table5[[#This Row],[PID]],Batters[[#All],[PID]],0)),INDEX(Table3[[#All],[MOV P]],MATCH(Table5[[#This Row],[PID]],Table3[[#All],[PID]],0)))</f>
        <v>1</v>
      </c>
      <c r="N725" s="56">
        <f>IF($C725="B",INDEX(Batters[[#All],[POW P]],MATCH(Table5[[#This Row],[PID]],Batters[[#All],[PID]],0)),INDEX(Table3[[#All],[CON P]],MATCH(Table5[[#This Row],[PID]],Table3[[#All],[PID]],0)))</f>
        <v>3</v>
      </c>
      <c r="O725" s="56" t="str">
        <f>IF($C725="B",INDEX(Batters[[#All],[EYE P]],MATCH(Table5[[#This Row],[PID]],Batters[[#All],[PID]],0)),INDEX(Table3[[#All],[VELO]],MATCH(Table5[[#This Row],[PID]],Table3[[#All],[PID]],0)))</f>
        <v>89-91 Mph</v>
      </c>
      <c r="P725" s="56">
        <f>IF($C725="B",INDEX(Batters[[#All],[K P]],MATCH(Table5[[#This Row],[PID]],Batters[[#All],[PID]],0)),INDEX(Table3[[#All],[STM]],MATCH(Table5[[#This Row],[PID]],Table3[[#All],[PID]],0)))</f>
        <v>8</v>
      </c>
      <c r="Q725" s="61">
        <f>IF($C725="B",INDEX(Batters[[#All],[Tot]],MATCH(Table5[[#This Row],[PID]],Batters[[#All],[PID]],0)),INDEX(Table3[[#All],[Tot]],MATCH(Table5[[#This Row],[PID]],Table3[[#All],[PID]],0)))</f>
        <v>24.840556163525264</v>
      </c>
      <c r="R725" s="52">
        <f>IF($C725="B",INDEX(Batters[[#All],[zScore]],MATCH(Table5[[#This Row],[PID]],Batters[[#All],[PID]],0)),INDEX(Table3[[#All],[zScore]],MATCH(Table5[[#This Row],[PID]],Table3[[#All],[PID]],0)))</f>
        <v>-0.92298744187052983</v>
      </c>
      <c r="S725" s="58" t="str">
        <f>IF($C725="B",INDEX(Batters[[#All],[DEM]],MATCH(Table5[[#This Row],[PID]],Batters[[#All],[PID]],0)),INDEX(Table3[[#All],[DEM]],MATCH(Table5[[#This Row],[PID]],Table3[[#All],[PID]],0)))</f>
        <v>$20k</v>
      </c>
      <c r="T725" s="62">
        <f>IF($C725="B",INDEX(Batters[[#All],[Rnk]],MATCH(Table5[[#This Row],[PID]],Batters[[#All],[PID]],0)),INDEX(Table3[[#All],[Rnk]],MATCH(Table5[[#This Row],[PID]],Table3[[#All],[PID]],0)))</f>
        <v>900</v>
      </c>
      <c r="U725" s="67">
        <f>IF($C725="B",VLOOKUP($A725,Bat!$A$4:$BA$1314,47,FALSE),VLOOKUP($A725,Pit!$A$4:$BF$1214,56,FALSE))</f>
        <v>240</v>
      </c>
      <c r="V725" s="50">
        <f>IF($C725="B",VLOOKUP($A725,Bat!$A$4:$BA$1314,48,FALSE),VLOOKUP($A725,Pit!$A$4:$BF$1214,57,FALSE))</f>
        <v>0</v>
      </c>
      <c r="W725" s="68">
        <f>IF(Table5[[#This Row],[posRnk]]=999,9999,Table5[[#This Row],[posRnk]]+Table5[[#This Row],[zRnk]]+IF($W$3&lt;&gt;Table5[[#This Row],[Type]],50,0))</f>
        <v>1649</v>
      </c>
      <c r="X725" s="51">
        <f>RANK(Table5[[#This Row],[zScore]],Table5[[#All],[zScore]])</f>
        <v>749</v>
      </c>
      <c r="Y725" s="50">
        <f>IFERROR(INDEX(DraftResults[[#All],[OVR]],MATCH(Table5[[#This Row],[PID]],DraftResults[[#All],[Player ID]],0)),"")</f>
        <v>518</v>
      </c>
      <c r="Z725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16</v>
      </c>
      <c r="AA725" s="50">
        <f>IFERROR(INDEX(DraftResults[[#All],[Pick in Round]],MATCH(Table5[[#This Row],[PID]],DraftResults[[#All],[Player ID]],0)),"")</f>
        <v>17</v>
      </c>
      <c r="AB725" s="50" t="str">
        <f>IFERROR(INDEX(DraftResults[[#All],[Team Name]],MATCH(Table5[[#This Row],[PID]],DraftResults[[#All],[Player ID]],0)),"")</f>
        <v>Duluth Warriors</v>
      </c>
      <c r="AC725" s="50">
        <f>IF(Table5[[#This Row],[Ovr]]="","",IF(Table5[[#This Row],[cmbList]]="","",Table5[[#This Row],[cmbList]]-Table5[[#This Row],[Ovr]]))</f>
        <v>1131</v>
      </c>
      <c r="AD725" s="54" t="str">
        <f>IF(ISERROR(VLOOKUP($AB725&amp;"-"&amp;$E725&amp;" "&amp;F725,Bonuses!$B$1:$G$1006,4,FALSE)),"",INT(VLOOKUP($AB725&amp;"-"&amp;$E725&amp;" "&amp;$F725,Bonuses!$B$1:$G$1006,4,FALSE)))</f>
        <v/>
      </c>
      <c r="AE725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16.17 (518) - SP Hsuang-tsung Men</v>
      </c>
    </row>
    <row r="726" spans="1:31" s="50" customFormat="1" x14ac:dyDescent="0.3">
      <c r="A726" s="50">
        <v>12585</v>
      </c>
      <c r="B726" s="50">
        <f>COUNTIF(Table5[PID],A726)</f>
        <v>1</v>
      </c>
      <c r="C726" s="50" t="str">
        <f>IF(COUNTIF(Table3[[#All],[PID]],A726)&gt;0,"P","B")</f>
        <v>P</v>
      </c>
      <c r="D726" s="59" t="str">
        <f>IF($C726="B",INDEX(Batters[[#All],[POS]],MATCH(Table5[[#This Row],[PID]],Batters[[#All],[PID]],0)),INDEX(Table3[[#All],[POS]],MATCH(Table5[[#This Row],[PID]],Table3[[#All],[PID]],0)))</f>
        <v>RP</v>
      </c>
      <c r="E726" s="52" t="str">
        <f>IF($C726="B",INDEX(Batters[[#All],[First]],MATCH(Table5[[#This Row],[PID]],Batters[[#All],[PID]],0)),INDEX(Table3[[#All],[First]],MATCH(Table5[[#This Row],[PID]],Table3[[#All],[PID]],0)))</f>
        <v>Luke</v>
      </c>
      <c r="F726" s="50" t="str">
        <f>IF($C726="B",INDEX(Batters[[#All],[Last]],MATCH(A726,Batters[[#All],[PID]],0)),INDEX(Table3[[#All],[Last]],MATCH(A726,Table3[[#All],[PID]],0)))</f>
        <v>Auchnie</v>
      </c>
      <c r="G726" s="56">
        <f>IF($C726="B",INDEX(Batters[[#All],[Age]],MATCH(Table5[[#This Row],[PID]],Batters[[#All],[PID]],0)),INDEX(Table3[[#All],[Age]],MATCH(Table5[[#This Row],[PID]],Table3[[#All],[PID]],0)))</f>
        <v>22</v>
      </c>
      <c r="H726" s="52" t="str">
        <f>IF($C726="B",INDEX(Batters[[#All],[B]],MATCH(Table5[[#This Row],[PID]],Batters[[#All],[PID]],0)),INDEX(Table3[[#All],[B]],MATCH(Table5[[#This Row],[PID]],Table3[[#All],[PID]],0)))</f>
        <v>R</v>
      </c>
      <c r="I726" s="52" t="str">
        <f>IF($C726="B",INDEX(Batters[[#All],[T]],MATCH(Table5[[#This Row],[PID]],Batters[[#All],[PID]],0)),INDEX(Table3[[#All],[T]],MATCH(Table5[[#This Row],[PID]],Table3[[#All],[PID]],0)))</f>
        <v>R</v>
      </c>
      <c r="J726" s="52" t="str">
        <f>IF($C726="B",INDEX(Batters[[#All],[WE]],MATCH(Table5[[#This Row],[PID]],Batters[[#All],[PID]],0)),INDEX(Table3[[#All],[WE]],MATCH(Table5[[#This Row],[PID]],Table3[[#All],[PID]],0)))</f>
        <v>Low</v>
      </c>
      <c r="K726" s="52" t="str">
        <f>IF($C726="B",INDEX(Batters[[#All],[INT]],MATCH(Table5[[#This Row],[PID]],Batters[[#All],[PID]],0)),INDEX(Table3[[#All],[INT]],MATCH(Table5[[#This Row],[PID]],Table3[[#All],[PID]],0)))</f>
        <v>Normal</v>
      </c>
      <c r="L726" s="60">
        <f>IF($C726="B",INDEX(Batters[[#All],[CON P]],MATCH(Table5[[#This Row],[PID]],Batters[[#All],[PID]],0)),INDEX(Table3[[#All],[STU P]],MATCH(Table5[[#This Row],[PID]],Table3[[#All],[PID]],0)))</f>
        <v>3</v>
      </c>
      <c r="M726" s="56">
        <f>IF($C726="B",INDEX(Batters[[#All],[GAP P]],MATCH(Table5[[#This Row],[PID]],Batters[[#All],[PID]],0)),INDEX(Table3[[#All],[MOV P]],MATCH(Table5[[#This Row],[PID]],Table3[[#All],[PID]],0)))</f>
        <v>2</v>
      </c>
      <c r="N726" s="56">
        <f>IF($C726="B",INDEX(Batters[[#All],[POW P]],MATCH(Table5[[#This Row],[PID]],Batters[[#All],[PID]],0)),INDEX(Table3[[#All],[CON P]],MATCH(Table5[[#This Row],[PID]],Table3[[#All],[PID]],0)))</f>
        <v>3</v>
      </c>
      <c r="O726" s="56" t="str">
        <f>IF($C726="B",INDEX(Batters[[#All],[EYE P]],MATCH(Table5[[#This Row],[PID]],Batters[[#All],[PID]],0)),INDEX(Table3[[#All],[VELO]],MATCH(Table5[[#This Row],[PID]],Table3[[#All],[PID]],0)))</f>
        <v>86-88 Mph</v>
      </c>
      <c r="P726" s="56">
        <f>IF($C726="B",INDEX(Batters[[#All],[K P]],MATCH(Table5[[#This Row],[PID]],Batters[[#All],[PID]],0)),INDEX(Table3[[#All],[STM]],MATCH(Table5[[#This Row],[PID]],Table3[[#All],[PID]],0)))</f>
        <v>5</v>
      </c>
      <c r="Q726" s="61">
        <f>IF($C726="B",INDEX(Batters[[#All],[Tot]],MATCH(Table5[[#This Row],[PID]],Batters[[#All],[PID]],0)),INDEX(Table3[[#All],[Tot]],MATCH(Table5[[#This Row],[PID]],Table3[[#All],[PID]],0)))</f>
        <v>25.680653179541441</v>
      </c>
      <c r="R726" s="52">
        <f>IF($C726="B",INDEX(Batters[[#All],[zScore]],MATCH(Table5[[#This Row],[PID]],Batters[[#All],[PID]],0)),INDEX(Table3[[#All],[zScore]],MATCH(Table5[[#This Row],[PID]],Table3[[#All],[PID]],0)))</f>
        <v>-0.86316662603457728</v>
      </c>
      <c r="S726" s="58" t="str">
        <f>IF($C726="B",INDEX(Batters[[#All],[DEM]],MATCH(Table5[[#This Row],[PID]],Batters[[#All],[PID]],0)),INDEX(Table3[[#All],[DEM]],MATCH(Table5[[#This Row],[PID]],Table3[[#All],[PID]],0)))</f>
        <v>-</v>
      </c>
      <c r="T726" s="62">
        <f>IF($C726="B",INDEX(Batters[[#All],[Rnk]],MATCH(Table5[[#This Row],[PID]],Batters[[#All],[PID]],0)),INDEX(Table3[[#All],[Rnk]],MATCH(Table5[[#This Row],[PID]],Table3[[#All],[PID]],0)))</f>
        <v>930</v>
      </c>
      <c r="U726" s="67">
        <f>IF($C726="B",VLOOKUP($A726,Bat!$A$4:$BA$1314,47,FALSE),VLOOKUP($A726,Pit!$A$4:$BF$1214,56,FALSE))</f>
        <v>356</v>
      </c>
      <c r="V726" s="50">
        <f>IF($C726="B",VLOOKUP($A726,Bat!$A$4:$BA$1314,48,FALSE),VLOOKUP($A726,Pit!$A$4:$BF$1214,57,FALSE))</f>
        <v>0</v>
      </c>
      <c r="W726" s="68">
        <f>IF(Table5[[#This Row],[posRnk]]=999,9999,Table5[[#This Row],[posRnk]]+Table5[[#This Row],[zRnk]]+IF($W$3&lt;&gt;Table5[[#This Row],[Type]],50,0))</f>
        <v>1649</v>
      </c>
      <c r="X726" s="51">
        <f>RANK(Table5[[#This Row],[zScore]],Table5[[#All],[zScore]])</f>
        <v>719</v>
      </c>
      <c r="Y726" s="50" t="str">
        <f>IFERROR(INDEX(DraftResults[[#All],[OVR]],MATCH(Table5[[#This Row],[PID]],DraftResults[[#All],[Player ID]],0)),"")</f>
        <v/>
      </c>
      <c r="Z726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/>
      </c>
      <c r="AA726" s="50" t="str">
        <f>IFERROR(INDEX(DraftResults[[#All],[Pick in Round]],MATCH(Table5[[#This Row],[PID]],DraftResults[[#All],[Player ID]],0)),"")</f>
        <v/>
      </c>
      <c r="AB726" s="50" t="str">
        <f>IFERROR(INDEX(DraftResults[[#All],[Team Name]],MATCH(Table5[[#This Row],[PID]],DraftResults[[#All],[Player ID]],0)),"")</f>
        <v/>
      </c>
      <c r="AC726" s="50" t="str">
        <f>IF(Table5[[#This Row],[Ovr]]="","",IF(Table5[[#This Row],[cmbList]]="","",Table5[[#This Row],[cmbList]]-Table5[[#This Row],[Ovr]]))</f>
        <v/>
      </c>
      <c r="AD726" s="54" t="str">
        <f>IF(ISERROR(VLOOKUP($AB726&amp;"-"&amp;$E726&amp;" "&amp;F726,Bonuses!$B$1:$G$1006,4,FALSE)),"",INT(VLOOKUP($AB726&amp;"-"&amp;$E726&amp;" "&amp;$F726,Bonuses!$B$1:$G$1006,4,FALSE)))</f>
        <v/>
      </c>
      <c r="AE726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/>
      </c>
    </row>
    <row r="727" spans="1:31" s="50" customFormat="1" x14ac:dyDescent="0.3">
      <c r="A727" s="67">
        <v>16126</v>
      </c>
      <c r="B727" s="68">
        <f>COUNTIF(Table5[PID],A727)</f>
        <v>1</v>
      </c>
      <c r="C727" s="68" t="str">
        <f>IF(COUNTIF(Table3[[#All],[PID]],A727)&gt;0,"P","B")</f>
        <v>B</v>
      </c>
      <c r="D727" s="59" t="str">
        <f>IF($C727="B",INDEX(Batters[[#All],[POS]],MATCH(Table5[[#This Row],[PID]],Batters[[#All],[PID]],0)),INDEX(Table3[[#All],[POS]],MATCH(Table5[[#This Row],[PID]],Table3[[#All],[PID]],0)))</f>
        <v>C</v>
      </c>
      <c r="E727" s="52" t="str">
        <f>IF($C727="B",INDEX(Batters[[#All],[First]],MATCH(Table5[[#This Row],[PID]],Batters[[#All],[PID]],0)),INDEX(Table3[[#All],[First]],MATCH(Table5[[#This Row],[PID]],Table3[[#All],[PID]],0)))</f>
        <v>Masayoshi</v>
      </c>
      <c r="F727" s="55" t="str">
        <f>IF($C727="B",INDEX(Batters[[#All],[Last]],MATCH(A727,Batters[[#All],[PID]],0)),INDEX(Table3[[#All],[Last]],MATCH(A727,Table3[[#All],[PID]],0)))</f>
        <v>Shimizu</v>
      </c>
      <c r="G727" s="56">
        <f>IF($C727="B",INDEX(Batters[[#All],[Age]],MATCH(Table5[[#This Row],[PID]],Batters[[#All],[PID]],0)),INDEX(Table3[[#All],[Age]],MATCH(Table5[[#This Row],[PID]],Table3[[#All],[PID]],0)))</f>
        <v>21</v>
      </c>
      <c r="H727" s="52" t="str">
        <f>IF($C727="B",INDEX(Batters[[#All],[B]],MATCH(Table5[[#This Row],[PID]],Batters[[#All],[PID]],0)),INDEX(Table3[[#All],[B]],MATCH(Table5[[#This Row],[PID]],Table3[[#All],[PID]],0)))</f>
        <v>R</v>
      </c>
      <c r="I727" s="52" t="str">
        <f>IF($C727="B",INDEX(Batters[[#All],[T]],MATCH(Table5[[#This Row],[PID]],Batters[[#All],[PID]],0)),INDEX(Table3[[#All],[T]],MATCH(Table5[[#This Row],[PID]],Table3[[#All],[PID]],0)))</f>
        <v>R</v>
      </c>
      <c r="J727" s="69" t="str">
        <f>IF($C727="B",INDEX(Batters[[#All],[WE]],MATCH(Table5[[#This Row],[PID]],Batters[[#All],[PID]],0)),INDEX(Table3[[#All],[WE]],MATCH(Table5[[#This Row],[PID]],Table3[[#All],[PID]],0)))</f>
        <v>Normal</v>
      </c>
      <c r="K727" s="52" t="str">
        <f>IF($C727="B",INDEX(Batters[[#All],[INT]],MATCH(Table5[[#This Row],[PID]],Batters[[#All],[PID]],0)),INDEX(Table3[[#All],[INT]],MATCH(Table5[[#This Row],[PID]],Table3[[#All],[PID]],0)))</f>
        <v>Normal</v>
      </c>
      <c r="L727" s="60">
        <f>IF($C727="B",INDEX(Batters[[#All],[CON P]],MATCH(Table5[[#This Row],[PID]],Batters[[#All],[PID]],0)),INDEX(Table3[[#All],[STU P]],MATCH(Table5[[#This Row],[PID]],Table3[[#All],[PID]],0)))</f>
        <v>3</v>
      </c>
      <c r="M727" s="70">
        <f>IF($C727="B",INDEX(Batters[[#All],[GAP P]],MATCH(Table5[[#This Row],[PID]],Batters[[#All],[PID]],0)),INDEX(Table3[[#All],[MOV P]],MATCH(Table5[[#This Row],[PID]],Table3[[#All],[PID]],0)))</f>
        <v>3</v>
      </c>
      <c r="N727" s="70">
        <f>IF($C727="B",INDEX(Batters[[#All],[POW P]],MATCH(Table5[[#This Row],[PID]],Batters[[#All],[PID]],0)),INDEX(Table3[[#All],[CON P]],MATCH(Table5[[#This Row],[PID]],Table3[[#All],[PID]],0)))</f>
        <v>3</v>
      </c>
      <c r="O727" s="70">
        <f>IF($C727="B",INDEX(Batters[[#All],[EYE P]],MATCH(Table5[[#This Row],[PID]],Batters[[#All],[PID]],0)),INDEX(Table3[[#All],[VELO]],MATCH(Table5[[#This Row],[PID]],Table3[[#All],[PID]],0)))</f>
        <v>6</v>
      </c>
      <c r="P727" s="56">
        <f>IF($C727="B",INDEX(Batters[[#All],[K P]],MATCH(Table5[[#This Row],[PID]],Batters[[#All],[PID]],0)),INDEX(Table3[[#All],[STM]],MATCH(Table5[[#This Row],[PID]],Table3[[#All],[PID]],0)))</f>
        <v>2</v>
      </c>
      <c r="Q727" s="61">
        <f>IF($C727="B",INDEX(Batters[[#All],[Tot]],MATCH(Table5[[#This Row],[PID]],Batters[[#All],[PID]],0)),INDEX(Table3[[#All],[Tot]],MATCH(Table5[[#This Row],[PID]],Table3[[#All],[PID]],0)))</f>
        <v>36.858156823520559</v>
      </c>
      <c r="R727" s="52">
        <f>IF($C727="B",INDEX(Batters[[#All],[zScore]],MATCH(Table5[[#This Row],[PID]],Batters[[#All],[PID]],0)),INDEX(Table3[[#All],[zScore]],MATCH(Table5[[#This Row],[PID]],Table3[[#All],[PID]],0)))</f>
        <v>-0.92840589201265911</v>
      </c>
      <c r="S727" s="75" t="str">
        <f>IF($C727="B",INDEX(Batters[[#All],[DEM]],MATCH(Table5[[#This Row],[PID]],Batters[[#All],[PID]],0)),INDEX(Table3[[#All],[DEM]],MATCH(Table5[[#This Row],[PID]],Table3[[#All],[PID]],0)))</f>
        <v>-</v>
      </c>
      <c r="T727" s="72">
        <f>IF($C727="B",INDEX(Batters[[#All],[Rnk]],MATCH(Table5[[#This Row],[PID]],Batters[[#All],[PID]],0)),INDEX(Table3[[#All],[Rnk]],MATCH(Table5[[#This Row],[PID]],Table3[[#All],[PID]],0)))</f>
        <v>900</v>
      </c>
      <c r="U727" s="67">
        <f>IF($C727="B",VLOOKUP($A727,Bat!$A$4:$BA$1314,47,FALSE),VLOOKUP($A727,Pit!$A$4:$BF$1214,56,FALSE))</f>
        <v>262</v>
      </c>
      <c r="V727" s="50">
        <f>IF($C727="B",VLOOKUP($A727,Bat!$A$4:$BA$1314,48,FALSE),VLOOKUP($A727,Pit!$A$4:$BF$1214,57,FALSE))</f>
        <v>0</v>
      </c>
      <c r="W727" s="68">
        <f>IF(Table5[[#This Row],[posRnk]]=999,9999,Table5[[#This Row],[posRnk]]+Table5[[#This Row],[zRnk]]+IF($W$3&lt;&gt;Table5[[#This Row],[Type]],50,0))</f>
        <v>1701</v>
      </c>
      <c r="X727" s="71">
        <f>RANK(Table5[[#This Row],[zScore]],Table5[[#All],[zScore]])</f>
        <v>751</v>
      </c>
      <c r="Y727" s="68" t="str">
        <f>IFERROR(INDEX(DraftResults[[#All],[OVR]],MATCH(Table5[[#This Row],[PID]],DraftResults[[#All],[Player ID]],0)),"")</f>
        <v/>
      </c>
      <c r="Z727" s="7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/>
      </c>
      <c r="AA727" s="68" t="str">
        <f>IFERROR(INDEX(DraftResults[[#All],[Pick in Round]],MATCH(Table5[[#This Row],[PID]],DraftResults[[#All],[Player ID]],0)),"")</f>
        <v/>
      </c>
      <c r="AB727" s="68" t="str">
        <f>IFERROR(INDEX(DraftResults[[#All],[Team Name]],MATCH(Table5[[#This Row],[PID]],DraftResults[[#All],[Player ID]],0)),"")</f>
        <v/>
      </c>
      <c r="AC727" s="68" t="str">
        <f>IF(Table5[[#This Row],[Ovr]]="","",IF(Table5[[#This Row],[cmbList]]="","",Table5[[#This Row],[cmbList]]-Table5[[#This Row],[Ovr]]))</f>
        <v/>
      </c>
      <c r="AD727" s="74" t="str">
        <f>IF(ISERROR(VLOOKUP($AB727&amp;"-"&amp;$E727&amp;" "&amp;F727,Bonuses!$B$1:$G$1006,4,FALSE)),"",INT(VLOOKUP($AB727&amp;"-"&amp;$E727&amp;" "&amp;$F727,Bonuses!$B$1:$G$1006,4,FALSE)))</f>
        <v/>
      </c>
      <c r="AE727" s="68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/>
      </c>
    </row>
    <row r="728" spans="1:31" s="50" customFormat="1" x14ac:dyDescent="0.3">
      <c r="A728" s="50">
        <v>10820</v>
      </c>
      <c r="B728" s="50">
        <f>COUNTIF(Table5[PID],A728)</f>
        <v>1</v>
      </c>
      <c r="C728" s="50" t="str">
        <f>IF(COUNTIF(Table3[[#All],[PID]],A728)&gt;0,"P","B")</f>
        <v>B</v>
      </c>
      <c r="D728" s="59" t="str">
        <f>IF($C728="B",INDEX(Batters[[#All],[POS]],MATCH(Table5[[#This Row],[PID]],Batters[[#All],[PID]],0)),INDEX(Table3[[#All],[POS]],MATCH(Table5[[#This Row],[PID]],Table3[[#All],[PID]],0)))</f>
        <v>C</v>
      </c>
      <c r="E728" s="52" t="str">
        <f>IF($C728="B",INDEX(Batters[[#All],[First]],MATCH(Table5[[#This Row],[PID]],Batters[[#All],[PID]],0)),INDEX(Table3[[#All],[First]],MATCH(Table5[[#This Row],[PID]],Table3[[#All],[PID]],0)))</f>
        <v>Vaughan</v>
      </c>
      <c r="F728" s="50" t="str">
        <f>IF($C728="B",INDEX(Batters[[#All],[Last]],MATCH(A728,Batters[[#All],[PID]],0)),INDEX(Table3[[#All],[Last]],MATCH(A728,Table3[[#All],[PID]],0)))</f>
        <v>Darcy</v>
      </c>
      <c r="G728" s="56">
        <f>IF($C728="B",INDEX(Batters[[#All],[Age]],MATCH(Table5[[#This Row],[PID]],Batters[[#All],[PID]],0)),INDEX(Table3[[#All],[Age]],MATCH(Table5[[#This Row],[PID]],Table3[[#All],[PID]],0)))</f>
        <v>21</v>
      </c>
      <c r="H728" s="52" t="str">
        <f>IF($C728="B",INDEX(Batters[[#All],[B]],MATCH(Table5[[#This Row],[PID]],Batters[[#All],[PID]],0)),INDEX(Table3[[#All],[B]],MATCH(Table5[[#This Row],[PID]],Table3[[#All],[PID]],0)))</f>
        <v>R</v>
      </c>
      <c r="I728" s="52" t="str">
        <f>IF($C728="B",INDEX(Batters[[#All],[T]],MATCH(Table5[[#This Row],[PID]],Batters[[#All],[PID]],0)),INDEX(Table3[[#All],[T]],MATCH(Table5[[#This Row],[PID]],Table3[[#All],[PID]],0)))</f>
        <v>R</v>
      </c>
      <c r="J728" s="52" t="str">
        <f>IF($C728="B",INDEX(Batters[[#All],[WE]],MATCH(Table5[[#This Row],[PID]],Batters[[#All],[PID]],0)),INDEX(Table3[[#All],[WE]],MATCH(Table5[[#This Row],[PID]],Table3[[#All],[PID]],0)))</f>
        <v>Low</v>
      </c>
      <c r="K728" s="52" t="str">
        <f>IF($C728="B",INDEX(Batters[[#All],[INT]],MATCH(Table5[[#This Row],[PID]],Batters[[#All],[PID]],0)),INDEX(Table3[[#All],[INT]],MATCH(Table5[[#This Row],[PID]],Table3[[#All],[PID]],0)))</f>
        <v>Normal</v>
      </c>
      <c r="L728" s="60">
        <f>IF($C728="B",INDEX(Batters[[#All],[CON P]],MATCH(Table5[[#This Row],[PID]],Batters[[#All],[PID]],0)),INDEX(Table3[[#All],[STU P]],MATCH(Table5[[#This Row],[PID]],Table3[[#All],[PID]],0)))</f>
        <v>3</v>
      </c>
      <c r="M728" s="56">
        <f>IF($C728="B",INDEX(Batters[[#All],[GAP P]],MATCH(Table5[[#This Row],[PID]],Batters[[#All],[PID]],0)),INDEX(Table3[[#All],[MOV P]],MATCH(Table5[[#This Row],[PID]],Table3[[#All],[PID]],0)))</f>
        <v>3</v>
      </c>
      <c r="N728" s="56">
        <f>IF($C728="B",INDEX(Batters[[#All],[POW P]],MATCH(Table5[[#This Row],[PID]],Batters[[#All],[PID]],0)),INDEX(Table3[[#All],[CON P]],MATCH(Table5[[#This Row],[PID]],Table3[[#All],[PID]],0)))</f>
        <v>4</v>
      </c>
      <c r="O728" s="56">
        <f>IF($C728="B",INDEX(Batters[[#All],[EYE P]],MATCH(Table5[[#This Row],[PID]],Batters[[#All],[PID]],0)),INDEX(Table3[[#All],[VELO]],MATCH(Table5[[#This Row],[PID]],Table3[[#All],[PID]],0)))</f>
        <v>5</v>
      </c>
      <c r="P728" s="56">
        <f>IF($C728="B",INDEX(Batters[[#All],[K P]],MATCH(Table5[[#This Row],[PID]],Batters[[#All],[PID]],0)),INDEX(Table3[[#All],[STM]],MATCH(Table5[[#This Row],[PID]],Table3[[#All],[PID]],0)))</f>
        <v>4</v>
      </c>
      <c r="Q728" s="61">
        <f>IF($C728="B",INDEX(Batters[[#All],[Tot]],MATCH(Table5[[#This Row],[PID]],Batters[[#All],[PID]],0)),INDEX(Table3[[#All],[Tot]],MATCH(Table5[[#This Row],[PID]],Table3[[#All],[PID]],0)))</f>
        <v>37.264106467867222</v>
      </c>
      <c r="R728" s="52">
        <f>IF($C728="B",INDEX(Batters[[#All],[zScore]],MATCH(Table5[[#This Row],[PID]],Batters[[#All],[PID]],0)),INDEX(Table3[[#All],[zScore]],MATCH(Table5[[#This Row],[PID]],Table3[[#All],[PID]],0)))</f>
        <v>-0.86915018981544312</v>
      </c>
      <c r="S728" s="58" t="str">
        <f>IF($C728="B",INDEX(Batters[[#All],[DEM]],MATCH(Table5[[#This Row],[PID]],Batters[[#All],[PID]],0)),INDEX(Table3[[#All],[DEM]],MATCH(Table5[[#This Row],[PID]],Table3[[#All],[PID]],0)))</f>
        <v>$20k</v>
      </c>
      <c r="T728" s="62">
        <f>IF($C728="B",INDEX(Batters[[#All],[Rnk]],MATCH(Table5[[#This Row],[PID]],Batters[[#All],[PID]],0)),INDEX(Table3[[#All],[Rnk]],MATCH(Table5[[#This Row],[PID]],Table3[[#All],[PID]],0)))</f>
        <v>930</v>
      </c>
      <c r="U728" s="67">
        <f>IF($C728="B",VLOOKUP($A728,Bat!$A$4:$BA$1314,47,FALSE),VLOOKUP($A728,Pit!$A$4:$BF$1214,56,FALSE))</f>
        <v>372</v>
      </c>
      <c r="V728" s="50">
        <f>IF($C728="B",VLOOKUP($A728,Bat!$A$4:$BA$1314,48,FALSE),VLOOKUP($A728,Pit!$A$4:$BF$1214,57,FALSE))</f>
        <v>0</v>
      </c>
      <c r="W728" s="68">
        <f>IF(Table5[[#This Row],[posRnk]]=999,9999,Table5[[#This Row],[posRnk]]+Table5[[#This Row],[zRnk]]+IF($W$3&lt;&gt;Table5[[#This Row],[Type]],50,0))</f>
        <v>1701</v>
      </c>
      <c r="X728" s="51">
        <f>RANK(Table5[[#This Row],[zScore]],Table5[[#All],[zScore]])</f>
        <v>721</v>
      </c>
      <c r="Y728" s="50">
        <f>IFERROR(INDEX(DraftResults[[#All],[OVR]],MATCH(Table5[[#This Row],[PID]],DraftResults[[#All],[Player ID]],0)),"")</f>
        <v>582</v>
      </c>
      <c r="Z728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18</v>
      </c>
      <c r="AA728" s="50">
        <f>IFERROR(INDEX(DraftResults[[#All],[Pick in Round]],MATCH(Table5[[#This Row],[PID]],DraftResults[[#All],[Player ID]],0)),"")</f>
        <v>13</v>
      </c>
      <c r="AB728" s="50" t="str">
        <f>IFERROR(INDEX(DraftResults[[#All],[Team Name]],MATCH(Table5[[#This Row],[PID]],DraftResults[[#All],[Player ID]],0)),"")</f>
        <v>Scottish Claymores</v>
      </c>
      <c r="AC728" s="50">
        <f>IF(Table5[[#This Row],[Ovr]]="","",IF(Table5[[#This Row],[cmbList]]="","",Table5[[#This Row],[cmbList]]-Table5[[#This Row],[Ovr]]))</f>
        <v>1119</v>
      </c>
      <c r="AD728" s="54" t="str">
        <f>IF(ISERROR(VLOOKUP($AB728&amp;"-"&amp;$E728&amp;" "&amp;F728,Bonuses!$B$1:$G$1006,4,FALSE)),"",INT(VLOOKUP($AB728&amp;"-"&amp;$E728&amp;" "&amp;$F728,Bonuses!$B$1:$G$1006,4,FALSE)))</f>
        <v/>
      </c>
      <c r="AE728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18.13 (582) - C Vaughan Darcy</v>
      </c>
    </row>
    <row r="729" spans="1:31" s="50" customFormat="1" x14ac:dyDescent="0.3">
      <c r="A729" s="67">
        <v>11140</v>
      </c>
      <c r="B729" s="68">
        <f>COUNTIF(Table5[PID],A729)</f>
        <v>1</v>
      </c>
      <c r="C729" s="68" t="str">
        <f>IF(COUNTIF(Table3[[#All],[PID]],A729)&gt;0,"P","B")</f>
        <v>P</v>
      </c>
      <c r="D729" s="59" t="str">
        <f>IF($C729="B",INDEX(Batters[[#All],[POS]],MATCH(Table5[[#This Row],[PID]],Batters[[#All],[PID]],0)),INDEX(Table3[[#All],[POS]],MATCH(Table5[[#This Row],[PID]],Table3[[#All],[PID]],0)))</f>
        <v>RP</v>
      </c>
      <c r="E729" s="52" t="str">
        <f>IF($C729="B",INDEX(Batters[[#All],[First]],MATCH(Table5[[#This Row],[PID]],Batters[[#All],[PID]],0)),INDEX(Table3[[#All],[First]],MATCH(Table5[[#This Row],[PID]],Table3[[#All],[PID]],0)))</f>
        <v>Ichizo</v>
      </c>
      <c r="F729" s="55" t="str">
        <f>IF($C729="B",INDEX(Batters[[#All],[Last]],MATCH(A729,Batters[[#All],[PID]],0)),INDEX(Table3[[#All],[Last]],MATCH(A729,Table3[[#All],[PID]],0)))</f>
        <v>Kobayashi</v>
      </c>
      <c r="G729" s="56">
        <f>IF($C729="B",INDEX(Batters[[#All],[Age]],MATCH(Table5[[#This Row],[PID]],Batters[[#All],[PID]],0)),INDEX(Table3[[#All],[Age]],MATCH(Table5[[#This Row],[PID]],Table3[[#All],[PID]],0)))</f>
        <v>21</v>
      </c>
      <c r="H729" s="52" t="str">
        <f>IF($C729="B",INDEX(Batters[[#All],[B]],MATCH(Table5[[#This Row],[PID]],Batters[[#All],[PID]],0)),INDEX(Table3[[#All],[B]],MATCH(Table5[[#This Row],[PID]],Table3[[#All],[PID]],0)))</f>
        <v>L</v>
      </c>
      <c r="I729" s="52" t="str">
        <f>IF($C729="B",INDEX(Batters[[#All],[T]],MATCH(Table5[[#This Row],[PID]],Batters[[#All],[PID]],0)),INDEX(Table3[[#All],[T]],MATCH(Table5[[#This Row],[PID]],Table3[[#All],[PID]],0)))</f>
        <v>R</v>
      </c>
      <c r="J729" s="69" t="str">
        <f>IF($C729="B",INDEX(Batters[[#All],[WE]],MATCH(Table5[[#This Row],[PID]],Batters[[#All],[PID]],0)),INDEX(Table3[[#All],[WE]],MATCH(Table5[[#This Row],[PID]],Table3[[#All],[PID]],0)))</f>
        <v>Low</v>
      </c>
      <c r="K729" s="52" t="str">
        <f>IF($C729="B",INDEX(Batters[[#All],[INT]],MATCH(Table5[[#This Row],[PID]],Batters[[#All],[PID]],0)),INDEX(Table3[[#All],[INT]],MATCH(Table5[[#This Row],[PID]],Table3[[#All],[PID]],0)))</f>
        <v>High</v>
      </c>
      <c r="L729" s="60">
        <f>IF($C729="B",INDEX(Batters[[#All],[CON P]],MATCH(Table5[[#This Row],[PID]],Batters[[#All],[PID]],0)),INDEX(Table3[[#All],[STU P]],MATCH(Table5[[#This Row],[PID]],Table3[[#All],[PID]],0)))</f>
        <v>3</v>
      </c>
      <c r="M729" s="70">
        <f>IF($C729="B",INDEX(Batters[[#All],[GAP P]],MATCH(Table5[[#This Row],[PID]],Batters[[#All],[PID]],0)),INDEX(Table3[[#All],[MOV P]],MATCH(Table5[[#This Row],[PID]],Table3[[#All],[PID]],0)))</f>
        <v>2</v>
      </c>
      <c r="N729" s="70">
        <f>IF($C729="B",INDEX(Batters[[#All],[POW P]],MATCH(Table5[[#This Row],[PID]],Batters[[#All],[PID]],0)),INDEX(Table3[[#All],[CON P]],MATCH(Table5[[#This Row],[PID]],Table3[[#All],[PID]],0)))</f>
        <v>3</v>
      </c>
      <c r="O729" s="70" t="str">
        <f>IF($C729="B",INDEX(Batters[[#All],[EYE P]],MATCH(Table5[[#This Row],[PID]],Batters[[#All],[PID]],0)),INDEX(Table3[[#All],[VELO]],MATCH(Table5[[#This Row],[PID]],Table3[[#All],[PID]],0)))</f>
        <v>85-87 Mph</v>
      </c>
      <c r="P729" s="56">
        <f>IF($C729="B",INDEX(Batters[[#All],[K P]],MATCH(Table5[[#This Row],[PID]],Batters[[#All],[PID]],0)),INDEX(Table3[[#All],[STM]],MATCH(Table5[[#This Row],[PID]],Table3[[#All],[PID]],0)))</f>
        <v>7</v>
      </c>
      <c r="Q729" s="61">
        <f>IF($C729="B",INDEX(Batters[[#All],[Tot]],MATCH(Table5[[#This Row],[PID]],Batters[[#All],[PID]],0)),INDEX(Table3[[#All],[Tot]],MATCH(Table5[[#This Row],[PID]],Table3[[#All],[PID]],0)))</f>
        <v>25.487736476310733</v>
      </c>
      <c r="R729" s="52">
        <f>IF($C729="B",INDEX(Batters[[#All],[zScore]],MATCH(Table5[[#This Row],[PID]],Batters[[#All],[PID]],0)),INDEX(Table3[[#All],[zScore]],MATCH(Table5[[#This Row],[PID]],Table3[[#All],[PID]],0)))</f>
        <v>-0.8698932934985224</v>
      </c>
      <c r="S729" s="75" t="str">
        <f>IF($C729="B",INDEX(Batters[[#All],[DEM]],MATCH(Table5[[#This Row],[PID]],Batters[[#All],[PID]],0)),INDEX(Table3[[#All],[DEM]],MATCH(Table5[[#This Row],[PID]],Table3[[#All],[PID]],0)))</f>
        <v>$20k</v>
      </c>
      <c r="T729" s="72">
        <f>IF($C729="B",INDEX(Batters[[#All],[Rnk]],MATCH(Table5[[#This Row],[PID]],Batters[[#All],[PID]],0)),INDEX(Table3[[#All],[Rnk]],MATCH(Table5[[#This Row],[PID]],Table3[[#All],[PID]],0)))</f>
        <v>930</v>
      </c>
      <c r="U729" s="67">
        <f>IF($C729="B",VLOOKUP($A729,Bat!$A$4:$BA$1314,47,FALSE),VLOOKUP($A729,Pit!$A$4:$BF$1214,56,FALSE))</f>
        <v>352</v>
      </c>
      <c r="V729" s="50">
        <f>IF($C729="B",VLOOKUP($A729,Bat!$A$4:$BA$1314,48,FALSE),VLOOKUP($A729,Pit!$A$4:$BF$1214,57,FALSE))</f>
        <v>0</v>
      </c>
      <c r="W729" s="68">
        <f>IF(Table5[[#This Row],[posRnk]]=999,9999,Table5[[#This Row],[posRnk]]+Table5[[#This Row],[zRnk]]+IF($W$3&lt;&gt;Table5[[#This Row],[Type]],50,0))</f>
        <v>1652</v>
      </c>
      <c r="X729" s="71">
        <f>RANK(Table5[[#This Row],[zScore]],Table5[[#All],[zScore]])</f>
        <v>722</v>
      </c>
      <c r="Y729" s="68" t="str">
        <f>IFERROR(INDEX(DraftResults[[#All],[OVR]],MATCH(Table5[[#This Row],[PID]],DraftResults[[#All],[Player ID]],0)),"")</f>
        <v/>
      </c>
      <c r="Z729" s="7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/>
      </c>
      <c r="AA729" s="68" t="str">
        <f>IFERROR(INDEX(DraftResults[[#All],[Pick in Round]],MATCH(Table5[[#This Row],[PID]],DraftResults[[#All],[Player ID]],0)),"")</f>
        <v/>
      </c>
      <c r="AB729" s="68" t="str">
        <f>IFERROR(INDEX(DraftResults[[#All],[Team Name]],MATCH(Table5[[#This Row],[PID]],DraftResults[[#All],[Player ID]],0)),"")</f>
        <v/>
      </c>
      <c r="AC729" s="68" t="str">
        <f>IF(Table5[[#This Row],[Ovr]]="","",IF(Table5[[#This Row],[cmbList]]="","",Table5[[#This Row],[cmbList]]-Table5[[#This Row],[Ovr]]))</f>
        <v/>
      </c>
      <c r="AD729" s="74" t="str">
        <f>IF(ISERROR(VLOOKUP($AB729&amp;"-"&amp;$E729&amp;" "&amp;F729,Bonuses!$B$1:$G$1006,4,FALSE)),"",INT(VLOOKUP($AB729&amp;"-"&amp;$E729&amp;" "&amp;$F729,Bonuses!$B$1:$G$1006,4,FALSE)))</f>
        <v/>
      </c>
      <c r="AE729" s="68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/>
      </c>
    </row>
    <row r="730" spans="1:31" s="50" customFormat="1" x14ac:dyDescent="0.3">
      <c r="A730" s="67">
        <v>12401</v>
      </c>
      <c r="B730" s="68">
        <f>COUNTIF(Table5[PID],A730)</f>
        <v>1</v>
      </c>
      <c r="C730" s="68" t="str">
        <f>IF(COUNTIF(Table3[[#All],[PID]],A730)&gt;0,"P","B")</f>
        <v>P</v>
      </c>
      <c r="D730" s="59" t="str">
        <f>IF($C730="B",INDEX(Batters[[#All],[POS]],MATCH(Table5[[#This Row],[PID]],Batters[[#All],[PID]],0)),INDEX(Table3[[#All],[POS]],MATCH(Table5[[#This Row],[PID]],Table3[[#All],[PID]],0)))</f>
        <v>RP</v>
      </c>
      <c r="E730" s="52" t="str">
        <f>IF($C730="B",INDEX(Batters[[#All],[First]],MATCH(Table5[[#This Row],[PID]],Batters[[#All],[PID]],0)),INDEX(Table3[[#All],[First]],MATCH(Table5[[#This Row],[PID]],Table3[[#All],[PID]],0)))</f>
        <v>Dale</v>
      </c>
      <c r="F730" s="55" t="str">
        <f>IF($C730="B",INDEX(Batters[[#All],[Last]],MATCH(A730,Batters[[#All],[PID]],0)),INDEX(Table3[[#All],[Last]],MATCH(A730,Table3[[#All],[PID]],0)))</f>
        <v>Jones</v>
      </c>
      <c r="G730" s="56">
        <f>IF($C730="B",INDEX(Batters[[#All],[Age]],MATCH(Table5[[#This Row],[PID]],Batters[[#All],[PID]],0)),INDEX(Table3[[#All],[Age]],MATCH(Table5[[#This Row],[PID]],Table3[[#All],[PID]],0)))</f>
        <v>21</v>
      </c>
      <c r="H730" s="52" t="str">
        <f>IF($C730="B",INDEX(Batters[[#All],[B]],MATCH(Table5[[#This Row],[PID]],Batters[[#All],[PID]],0)),INDEX(Table3[[#All],[B]],MATCH(Table5[[#This Row],[PID]],Table3[[#All],[PID]],0)))</f>
        <v>R</v>
      </c>
      <c r="I730" s="52" t="str">
        <f>IF($C730="B",INDEX(Batters[[#All],[T]],MATCH(Table5[[#This Row],[PID]],Batters[[#All],[PID]],0)),INDEX(Table3[[#All],[T]],MATCH(Table5[[#This Row],[PID]],Table3[[#All],[PID]],0)))</f>
        <v>R</v>
      </c>
      <c r="J730" s="69" t="str">
        <f>IF($C730="B",INDEX(Batters[[#All],[WE]],MATCH(Table5[[#This Row],[PID]],Batters[[#All],[PID]],0)),INDEX(Table3[[#All],[WE]],MATCH(Table5[[#This Row],[PID]],Table3[[#All],[PID]],0)))</f>
        <v>Normal</v>
      </c>
      <c r="K730" s="52" t="str">
        <f>IF($C730="B",INDEX(Batters[[#All],[INT]],MATCH(Table5[[#This Row],[PID]],Batters[[#All],[PID]],0)),INDEX(Table3[[#All],[INT]],MATCH(Table5[[#This Row],[PID]],Table3[[#All],[PID]],0)))</f>
        <v>Normal</v>
      </c>
      <c r="L730" s="60">
        <f>IF($C730="B",INDEX(Batters[[#All],[CON P]],MATCH(Table5[[#This Row],[PID]],Batters[[#All],[PID]],0)),INDEX(Table3[[#All],[STU P]],MATCH(Table5[[#This Row],[PID]],Table3[[#All],[PID]],0)))</f>
        <v>5</v>
      </c>
      <c r="M730" s="70">
        <f>IF($C730="B",INDEX(Batters[[#All],[GAP P]],MATCH(Table5[[#This Row],[PID]],Batters[[#All],[PID]],0)),INDEX(Table3[[#All],[MOV P]],MATCH(Table5[[#This Row],[PID]],Table3[[#All],[PID]],0)))</f>
        <v>1</v>
      </c>
      <c r="N730" s="70">
        <f>IF($C730="B",INDEX(Batters[[#All],[POW P]],MATCH(Table5[[#This Row],[PID]],Batters[[#All],[PID]],0)),INDEX(Table3[[#All],[CON P]],MATCH(Table5[[#This Row],[PID]],Table3[[#All],[PID]],0)))</f>
        <v>2</v>
      </c>
      <c r="O730" s="70" t="str">
        <f>IF($C730="B",INDEX(Batters[[#All],[EYE P]],MATCH(Table5[[#This Row],[PID]],Batters[[#All],[PID]],0)),INDEX(Table3[[#All],[VELO]],MATCH(Table5[[#This Row],[PID]],Table3[[#All],[PID]],0)))</f>
        <v>92-94 Mph</v>
      </c>
      <c r="P730" s="56">
        <f>IF($C730="B",INDEX(Batters[[#All],[K P]],MATCH(Table5[[#This Row],[PID]],Batters[[#All],[PID]],0)),INDEX(Table3[[#All],[STM]],MATCH(Table5[[#This Row],[PID]],Table3[[#All],[PID]],0)))</f>
        <v>3</v>
      </c>
      <c r="Q730" s="61">
        <f>IF($C730="B",INDEX(Batters[[#All],[Tot]],MATCH(Table5[[#This Row],[PID]],Batters[[#All],[PID]],0)),INDEX(Table3[[#All],[Tot]],MATCH(Table5[[#This Row],[PID]],Table3[[#All],[PID]],0)))</f>
        <v>24.74753185844493</v>
      </c>
      <c r="R730" s="52">
        <f>IF($C730="B",INDEX(Batters[[#All],[zScore]],MATCH(Table5[[#This Row],[PID]],Batters[[#All],[PID]],0)),INDEX(Table3[[#All],[zScore]],MATCH(Table5[[#This Row],[PID]],Table3[[#All],[PID]],0)))</f>
        <v>-0.92961142662037088</v>
      </c>
      <c r="S730" s="75" t="str">
        <f>IF($C730="B",INDEX(Batters[[#All],[DEM]],MATCH(Table5[[#This Row],[PID]],Batters[[#All],[PID]],0)),INDEX(Table3[[#All],[DEM]],MATCH(Table5[[#This Row],[PID]],Table3[[#All],[PID]],0)))</f>
        <v>-</v>
      </c>
      <c r="T730" s="72">
        <f>IF($C730="B",INDEX(Batters[[#All],[Rnk]],MATCH(Table5[[#This Row],[PID]],Batters[[#All],[PID]],0)),INDEX(Table3[[#All],[Rnk]],MATCH(Table5[[#This Row],[PID]],Table3[[#All],[PID]],0)))</f>
        <v>900</v>
      </c>
      <c r="U730" s="67">
        <f>IF($C730="B",VLOOKUP($A730,Bat!$A$4:$BA$1314,47,FALSE),VLOOKUP($A730,Pit!$A$4:$BF$1214,56,FALSE))</f>
        <v>241</v>
      </c>
      <c r="V730" s="50">
        <f>IF($C730="B",VLOOKUP($A730,Bat!$A$4:$BA$1314,48,FALSE),VLOOKUP($A730,Pit!$A$4:$BF$1214,57,FALSE))</f>
        <v>0</v>
      </c>
      <c r="W730" s="68">
        <f>IF(Table5[[#This Row],[posRnk]]=999,9999,Table5[[#This Row],[posRnk]]+Table5[[#This Row],[zRnk]]+IF($W$3&lt;&gt;Table5[[#This Row],[Type]],50,0))</f>
        <v>1653</v>
      </c>
      <c r="X730" s="71">
        <f>RANK(Table5[[#This Row],[zScore]],Table5[[#All],[zScore]])</f>
        <v>753</v>
      </c>
      <c r="Y730" s="68" t="str">
        <f>IFERROR(INDEX(DraftResults[[#All],[OVR]],MATCH(Table5[[#This Row],[PID]],DraftResults[[#All],[Player ID]],0)),"")</f>
        <v/>
      </c>
      <c r="Z730" s="7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/>
      </c>
      <c r="AA730" s="68" t="str">
        <f>IFERROR(INDEX(DraftResults[[#All],[Pick in Round]],MATCH(Table5[[#This Row],[PID]],DraftResults[[#All],[Player ID]],0)),"")</f>
        <v/>
      </c>
      <c r="AB730" s="68" t="str">
        <f>IFERROR(INDEX(DraftResults[[#All],[Team Name]],MATCH(Table5[[#This Row],[PID]],DraftResults[[#All],[Player ID]],0)),"")</f>
        <v/>
      </c>
      <c r="AC730" s="68" t="str">
        <f>IF(Table5[[#This Row],[Ovr]]="","",IF(Table5[[#This Row],[cmbList]]="","",Table5[[#This Row],[cmbList]]-Table5[[#This Row],[Ovr]]))</f>
        <v/>
      </c>
      <c r="AD730" s="74" t="str">
        <f>IF(ISERROR(VLOOKUP($AB730&amp;"-"&amp;$E730&amp;" "&amp;F730,Bonuses!$B$1:$G$1006,4,FALSE)),"",INT(VLOOKUP($AB730&amp;"-"&amp;$E730&amp;" "&amp;$F730,Bonuses!$B$1:$G$1006,4,FALSE)))</f>
        <v/>
      </c>
      <c r="AE730" s="68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/>
      </c>
    </row>
    <row r="731" spans="1:31" s="50" customFormat="1" x14ac:dyDescent="0.3">
      <c r="A731" s="50">
        <v>16136</v>
      </c>
      <c r="B731" s="50">
        <f>COUNTIF(Table5[PID],A731)</f>
        <v>1</v>
      </c>
      <c r="C731" s="50" t="str">
        <f>IF(COUNTIF(Table3[[#All],[PID]],A731)&gt;0,"P","B")</f>
        <v>P</v>
      </c>
      <c r="D731" s="59" t="str">
        <f>IF($C731="B",INDEX(Batters[[#All],[POS]],MATCH(Table5[[#This Row],[PID]],Batters[[#All],[PID]],0)),INDEX(Table3[[#All],[POS]],MATCH(Table5[[#This Row],[PID]],Table3[[#All],[PID]],0)))</f>
        <v>RP</v>
      </c>
      <c r="E731" s="52" t="str">
        <f>IF($C731="B",INDEX(Batters[[#All],[First]],MATCH(Table5[[#This Row],[PID]],Batters[[#All],[PID]],0)),INDEX(Table3[[#All],[First]],MATCH(Table5[[#This Row],[PID]],Table3[[#All],[PID]],0)))</f>
        <v>Hirotaka</v>
      </c>
      <c r="F731" s="50" t="str">
        <f>IF($C731="B",INDEX(Batters[[#All],[Last]],MATCH(A731,Batters[[#All],[PID]],0)),INDEX(Table3[[#All],[Last]],MATCH(A731,Table3[[#All],[PID]],0)))</f>
        <v>Masuda</v>
      </c>
      <c r="G731" s="56">
        <f>IF($C731="B",INDEX(Batters[[#All],[Age]],MATCH(Table5[[#This Row],[PID]],Batters[[#All],[PID]],0)),INDEX(Table3[[#All],[Age]],MATCH(Table5[[#This Row],[PID]],Table3[[#All],[PID]],0)))</f>
        <v>21</v>
      </c>
      <c r="H731" s="52" t="str">
        <f>IF($C731="B",INDEX(Batters[[#All],[B]],MATCH(Table5[[#This Row],[PID]],Batters[[#All],[PID]],0)),INDEX(Table3[[#All],[B]],MATCH(Table5[[#This Row],[PID]],Table3[[#All],[PID]],0)))</f>
        <v>R</v>
      </c>
      <c r="I731" s="52" t="str">
        <f>IF($C731="B",INDEX(Batters[[#All],[T]],MATCH(Table5[[#This Row],[PID]],Batters[[#All],[PID]],0)),INDEX(Table3[[#All],[T]],MATCH(Table5[[#This Row],[PID]],Table3[[#All],[PID]],0)))</f>
        <v>R</v>
      </c>
      <c r="J731" s="52" t="str">
        <f>IF($C731="B",INDEX(Batters[[#All],[WE]],MATCH(Table5[[#This Row],[PID]],Batters[[#All],[PID]],0)),INDEX(Table3[[#All],[WE]],MATCH(Table5[[#This Row],[PID]],Table3[[#All],[PID]],0)))</f>
        <v>Low</v>
      </c>
      <c r="K731" s="52" t="str">
        <f>IF($C731="B",INDEX(Batters[[#All],[INT]],MATCH(Table5[[#This Row],[PID]],Batters[[#All],[PID]],0)),INDEX(Table3[[#All],[INT]],MATCH(Table5[[#This Row],[PID]],Table3[[#All],[PID]],0)))</f>
        <v>Normal</v>
      </c>
      <c r="L731" s="60">
        <f>IF($C731="B",INDEX(Batters[[#All],[CON P]],MATCH(Table5[[#This Row],[PID]],Batters[[#All],[PID]],0)),INDEX(Table3[[#All],[STU P]],MATCH(Table5[[#This Row],[PID]],Table3[[#All],[PID]],0)))</f>
        <v>5</v>
      </c>
      <c r="M731" s="56">
        <f>IF($C731="B",INDEX(Batters[[#All],[GAP P]],MATCH(Table5[[#This Row],[PID]],Batters[[#All],[PID]],0)),INDEX(Table3[[#All],[MOV P]],MATCH(Table5[[#This Row],[PID]],Table3[[#All],[PID]],0)))</f>
        <v>1</v>
      </c>
      <c r="N731" s="56">
        <f>IF($C731="B",INDEX(Batters[[#All],[POW P]],MATCH(Table5[[#This Row],[PID]],Batters[[#All],[PID]],0)),INDEX(Table3[[#All],[CON P]],MATCH(Table5[[#This Row],[PID]],Table3[[#All],[PID]],0)))</f>
        <v>3</v>
      </c>
      <c r="O731" s="56" t="str">
        <f>IF($C731="B",INDEX(Batters[[#All],[EYE P]],MATCH(Table5[[#This Row],[PID]],Batters[[#All],[PID]],0)),INDEX(Table3[[#All],[VELO]],MATCH(Table5[[#This Row],[PID]],Table3[[#All],[PID]],0)))</f>
        <v>86-88 Mph</v>
      </c>
      <c r="P731" s="56">
        <f>IF($C731="B",INDEX(Batters[[#All],[K P]],MATCH(Table5[[#This Row],[PID]],Batters[[#All],[PID]],0)),INDEX(Table3[[#All],[STM]],MATCH(Table5[[#This Row],[PID]],Table3[[#All],[PID]],0)))</f>
        <v>8</v>
      </c>
      <c r="Q731" s="61">
        <f>IF($C731="B",INDEX(Batters[[#All],[Tot]],MATCH(Table5[[#This Row],[PID]],Batters[[#All],[PID]],0)),INDEX(Table3[[#All],[Tot]],MATCH(Table5[[#This Row],[PID]],Table3[[#All],[PID]],0)))</f>
        <v>25.57662261347302</v>
      </c>
      <c r="R731" s="52">
        <f>IF($C731="B",INDEX(Batters[[#All],[zScore]],MATCH(Table5[[#This Row],[PID]],Batters[[#All],[PID]],0)),INDEX(Table3[[#All],[zScore]],MATCH(Table5[[#This Row],[PID]],Table3[[#All],[PID]],0)))</f>
        <v>-0.87057433397240558</v>
      </c>
      <c r="S731" s="58" t="str">
        <f>IF($C731="B",INDEX(Batters[[#All],[DEM]],MATCH(Table5[[#This Row],[PID]],Batters[[#All],[PID]],0)),INDEX(Table3[[#All],[DEM]],MATCH(Table5[[#This Row],[PID]],Table3[[#All],[PID]],0)))</f>
        <v>-</v>
      </c>
      <c r="T731" s="62">
        <f>IF($C731="B",INDEX(Batters[[#All],[Rnk]],MATCH(Table5[[#This Row],[PID]],Batters[[#All],[PID]],0)),INDEX(Table3[[#All],[Rnk]],MATCH(Table5[[#This Row],[PID]],Table3[[#All],[PID]],0)))</f>
        <v>930</v>
      </c>
      <c r="U731" s="67">
        <f>IF($C731="B",VLOOKUP($A731,Bat!$A$4:$BA$1314,47,FALSE),VLOOKUP($A731,Pit!$A$4:$BF$1214,56,FALSE))</f>
        <v>357</v>
      </c>
      <c r="V731" s="50">
        <f>IF($C731="B",VLOOKUP($A731,Bat!$A$4:$BA$1314,48,FALSE),VLOOKUP($A731,Pit!$A$4:$BF$1214,57,FALSE))</f>
        <v>0</v>
      </c>
      <c r="W731" s="68">
        <f>IF(Table5[[#This Row],[posRnk]]=999,9999,Table5[[#This Row],[posRnk]]+Table5[[#This Row],[zRnk]]+IF($W$3&lt;&gt;Table5[[#This Row],[Type]],50,0))</f>
        <v>1653</v>
      </c>
      <c r="X731" s="51">
        <f>RANK(Table5[[#This Row],[zScore]],Table5[[#All],[zScore]])</f>
        <v>723</v>
      </c>
      <c r="Y731" s="50">
        <f>IFERROR(INDEX(DraftResults[[#All],[OVR]],MATCH(Table5[[#This Row],[PID]],DraftResults[[#All],[Player ID]],0)),"")</f>
        <v>594</v>
      </c>
      <c r="Z731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18</v>
      </c>
      <c r="AA731" s="50">
        <f>IFERROR(INDEX(DraftResults[[#All],[Pick in Round]],MATCH(Table5[[#This Row],[PID]],DraftResults[[#All],[Player ID]],0)),"")</f>
        <v>25</v>
      </c>
      <c r="AB731" s="50" t="str">
        <f>IFERROR(INDEX(DraftResults[[#All],[Team Name]],MATCH(Table5[[#This Row],[PID]],DraftResults[[#All],[Player ID]],0)),"")</f>
        <v>Kalamazoo Badgers</v>
      </c>
      <c r="AC731" s="50">
        <f>IF(Table5[[#This Row],[Ovr]]="","",IF(Table5[[#This Row],[cmbList]]="","",Table5[[#This Row],[cmbList]]-Table5[[#This Row],[Ovr]]))</f>
        <v>1059</v>
      </c>
      <c r="AD731" s="54" t="str">
        <f>IF(ISERROR(VLOOKUP($AB731&amp;"-"&amp;$E731&amp;" "&amp;F731,Bonuses!$B$1:$G$1006,4,FALSE)),"",INT(VLOOKUP($AB731&amp;"-"&amp;$E731&amp;" "&amp;$F731,Bonuses!$B$1:$G$1006,4,FALSE)))</f>
        <v/>
      </c>
      <c r="AE731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18.25 (594) - RP Hirotaka Masuda</v>
      </c>
    </row>
    <row r="732" spans="1:31" s="50" customFormat="1" x14ac:dyDescent="0.3">
      <c r="A732" s="67">
        <v>12897</v>
      </c>
      <c r="B732" s="68">
        <f>COUNTIF(Table5[PID],A732)</f>
        <v>1</v>
      </c>
      <c r="C732" s="68" t="str">
        <f>IF(COUNTIF(Table3[[#All],[PID]],A732)&gt;0,"P","B")</f>
        <v>B</v>
      </c>
      <c r="D732" s="59" t="str">
        <f>IF($C732="B",INDEX(Batters[[#All],[POS]],MATCH(Table5[[#This Row],[PID]],Batters[[#All],[PID]],0)),INDEX(Table3[[#All],[POS]],MATCH(Table5[[#This Row],[PID]],Table3[[#All],[PID]],0)))</f>
        <v>LF</v>
      </c>
      <c r="E732" s="52" t="str">
        <f>IF($C732="B",INDEX(Batters[[#All],[First]],MATCH(Table5[[#This Row],[PID]],Batters[[#All],[PID]],0)),INDEX(Table3[[#All],[First]],MATCH(Table5[[#This Row],[PID]],Table3[[#All],[PID]],0)))</f>
        <v>Aidan</v>
      </c>
      <c r="F732" s="55" t="str">
        <f>IF($C732="B",INDEX(Batters[[#All],[Last]],MATCH(A732,Batters[[#All],[PID]],0)),INDEX(Table3[[#All],[Last]],MATCH(A732,Table3[[#All],[PID]],0)))</f>
        <v>Kyle</v>
      </c>
      <c r="G732" s="56">
        <f>IF($C732="B",INDEX(Batters[[#All],[Age]],MATCH(Table5[[#This Row],[PID]],Batters[[#All],[PID]],0)),INDEX(Table3[[#All],[Age]],MATCH(Table5[[#This Row],[PID]],Table3[[#All],[PID]],0)))</f>
        <v>22</v>
      </c>
      <c r="H732" s="52" t="str">
        <f>IF($C732="B",INDEX(Batters[[#All],[B]],MATCH(Table5[[#This Row],[PID]],Batters[[#All],[PID]],0)),INDEX(Table3[[#All],[B]],MATCH(Table5[[#This Row],[PID]],Table3[[#All],[PID]],0)))</f>
        <v>R</v>
      </c>
      <c r="I732" s="52" t="str">
        <f>IF($C732="B",INDEX(Batters[[#All],[T]],MATCH(Table5[[#This Row],[PID]],Batters[[#All],[PID]],0)),INDEX(Table3[[#All],[T]],MATCH(Table5[[#This Row],[PID]],Table3[[#All],[PID]],0)))</f>
        <v>R</v>
      </c>
      <c r="J732" s="69" t="str">
        <f>IF($C732="B",INDEX(Batters[[#All],[WE]],MATCH(Table5[[#This Row],[PID]],Batters[[#All],[PID]],0)),INDEX(Table3[[#All],[WE]],MATCH(Table5[[#This Row],[PID]],Table3[[#All],[PID]],0)))</f>
        <v>High</v>
      </c>
      <c r="K732" s="52" t="str">
        <f>IF($C732="B",INDEX(Batters[[#All],[INT]],MATCH(Table5[[#This Row],[PID]],Batters[[#All],[PID]],0)),INDEX(Table3[[#All],[INT]],MATCH(Table5[[#This Row],[PID]],Table3[[#All],[PID]],0)))</f>
        <v>High</v>
      </c>
      <c r="L732" s="60">
        <f>IF($C732="B",INDEX(Batters[[#All],[CON P]],MATCH(Table5[[#This Row],[PID]],Batters[[#All],[PID]],0)),INDEX(Table3[[#All],[STU P]],MATCH(Table5[[#This Row],[PID]],Table3[[#All],[PID]],0)))</f>
        <v>3</v>
      </c>
      <c r="M732" s="70">
        <f>IF($C732="B",INDEX(Batters[[#All],[GAP P]],MATCH(Table5[[#This Row],[PID]],Batters[[#All],[PID]],0)),INDEX(Table3[[#All],[MOV P]],MATCH(Table5[[#This Row],[PID]],Table3[[#All],[PID]],0)))</f>
        <v>3</v>
      </c>
      <c r="N732" s="70">
        <f>IF($C732="B",INDEX(Batters[[#All],[POW P]],MATCH(Table5[[#This Row],[PID]],Batters[[#All],[PID]],0)),INDEX(Table3[[#All],[CON P]],MATCH(Table5[[#This Row],[PID]],Table3[[#All],[PID]],0)))</f>
        <v>3</v>
      </c>
      <c r="O732" s="70">
        <f>IF($C732="B",INDEX(Batters[[#All],[EYE P]],MATCH(Table5[[#This Row],[PID]],Batters[[#All],[PID]],0)),INDEX(Table3[[#All],[VELO]],MATCH(Table5[[#This Row],[PID]],Table3[[#All],[PID]],0)))</f>
        <v>5</v>
      </c>
      <c r="P732" s="56">
        <f>IF($C732="B",INDEX(Batters[[#All],[K P]],MATCH(Table5[[#This Row],[PID]],Batters[[#All],[PID]],0)),INDEX(Table3[[#All],[STM]],MATCH(Table5[[#This Row],[PID]],Table3[[#All],[PID]],0)))</f>
        <v>3</v>
      </c>
      <c r="Q732" s="61">
        <f>IF($C732="B",INDEX(Batters[[#All],[Tot]],MATCH(Table5[[#This Row],[PID]],Batters[[#All],[PID]],0)),INDEX(Table3[[#All],[Tot]],MATCH(Table5[[#This Row],[PID]],Table3[[#All],[PID]],0)))</f>
        <v>36.84983749446036</v>
      </c>
      <c r="R732" s="52">
        <f>IF($C732="B",INDEX(Batters[[#All],[zScore]],MATCH(Table5[[#This Row],[PID]],Batters[[#All],[PID]],0)),INDEX(Table3[[#All],[zScore]],MATCH(Table5[[#This Row],[PID]],Table3[[#All],[PID]],0)))</f>
        <v>-0.92962024874910909</v>
      </c>
      <c r="S732" s="75" t="str">
        <f>IF($C732="B",INDEX(Batters[[#All],[DEM]],MATCH(Table5[[#This Row],[PID]],Batters[[#All],[PID]],0)),INDEX(Table3[[#All],[DEM]],MATCH(Table5[[#This Row],[PID]],Table3[[#All],[PID]],0)))</f>
        <v>-</v>
      </c>
      <c r="T732" s="72">
        <f>IF($C732="B",INDEX(Batters[[#All],[Rnk]],MATCH(Table5[[#This Row],[PID]],Batters[[#All],[PID]],0)),INDEX(Table3[[#All],[Rnk]],MATCH(Table5[[#This Row],[PID]],Table3[[#All],[PID]],0)))</f>
        <v>900</v>
      </c>
      <c r="U732" s="67">
        <f>IF($C732="B",VLOOKUP($A732,Bat!$A$4:$BA$1314,47,FALSE),VLOOKUP($A732,Pit!$A$4:$BF$1214,56,FALSE))</f>
        <v>237</v>
      </c>
      <c r="V732" s="50">
        <f>IF($C732="B",VLOOKUP($A732,Bat!$A$4:$BA$1314,48,FALSE),VLOOKUP($A732,Pit!$A$4:$BF$1214,57,FALSE))</f>
        <v>0</v>
      </c>
      <c r="W732" s="68">
        <f>IF(Table5[[#This Row],[posRnk]]=999,9999,Table5[[#This Row],[posRnk]]+Table5[[#This Row],[zRnk]]+IF($W$3&lt;&gt;Table5[[#This Row],[Type]],50,0))</f>
        <v>1704</v>
      </c>
      <c r="X732" s="71">
        <f>RANK(Table5[[#This Row],[zScore]],Table5[[#All],[zScore]])</f>
        <v>754</v>
      </c>
      <c r="Y732" s="68">
        <f>IFERROR(INDEX(DraftResults[[#All],[OVR]],MATCH(Table5[[#This Row],[PID]],DraftResults[[#All],[Player ID]],0)),"")</f>
        <v>467</v>
      </c>
      <c r="Z732" s="7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14</v>
      </c>
      <c r="AA732" s="68">
        <f>IFERROR(INDEX(DraftResults[[#All],[Pick in Round]],MATCH(Table5[[#This Row],[PID]],DraftResults[[#All],[Player ID]],0)),"")</f>
        <v>34</v>
      </c>
      <c r="AB732" s="68" t="str">
        <f>IFERROR(INDEX(DraftResults[[#All],[Team Name]],MATCH(Table5[[#This Row],[PID]],DraftResults[[#All],[Player ID]],0)),"")</f>
        <v>Gloucester Fishermen</v>
      </c>
      <c r="AC732" s="68">
        <f>IF(Table5[[#This Row],[Ovr]]="","",IF(Table5[[#This Row],[cmbList]]="","",Table5[[#This Row],[cmbList]]-Table5[[#This Row],[Ovr]]))</f>
        <v>1237</v>
      </c>
      <c r="AD732" s="74" t="str">
        <f>IF(ISERROR(VLOOKUP($AB732&amp;"-"&amp;$E732&amp;" "&amp;F732,Bonuses!$B$1:$G$1006,4,FALSE)),"",INT(VLOOKUP($AB732&amp;"-"&amp;$E732&amp;" "&amp;$F732,Bonuses!$B$1:$G$1006,4,FALSE)))</f>
        <v/>
      </c>
      <c r="AE732" s="68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14.34 (467) - LF Aidan Kyle</v>
      </c>
    </row>
    <row r="733" spans="1:31" s="50" customFormat="1" x14ac:dyDescent="0.3">
      <c r="A733" s="50">
        <v>20310</v>
      </c>
      <c r="B733" s="50">
        <f>COUNTIF(Table5[PID],A733)</f>
        <v>1</v>
      </c>
      <c r="C733" s="50" t="str">
        <f>IF(COUNTIF(Table3[[#All],[PID]],A733)&gt;0,"P","B")</f>
        <v>B</v>
      </c>
      <c r="D733" s="59" t="str">
        <f>IF($C733="B",INDEX(Batters[[#All],[POS]],MATCH(Table5[[#This Row],[PID]],Batters[[#All],[PID]],0)),INDEX(Table3[[#All],[POS]],MATCH(Table5[[#This Row],[PID]],Table3[[#All],[PID]],0)))</f>
        <v>C</v>
      </c>
      <c r="E733" s="52" t="str">
        <f>IF($C733="B",INDEX(Batters[[#All],[First]],MATCH(Table5[[#This Row],[PID]],Batters[[#All],[PID]],0)),INDEX(Table3[[#All],[First]],MATCH(Table5[[#This Row],[PID]],Table3[[#All],[PID]],0)))</f>
        <v>Lewis</v>
      </c>
      <c r="F733" s="50" t="str">
        <f>IF($C733="B",INDEX(Batters[[#All],[Last]],MATCH(A733,Batters[[#All],[PID]],0)),INDEX(Table3[[#All],[Last]],MATCH(A733,Table3[[#All],[PID]],0)))</f>
        <v>McGahey</v>
      </c>
      <c r="G733" s="56">
        <f>IF($C733="B",INDEX(Batters[[#All],[Age]],MATCH(Table5[[#This Row],[PID]],Batters[[#All],[PID]],0)),INDEX(Table3[[#All],[Age]],MATCH(Table5[[#This Row],[PID]],Table3[[#All],[PID]],0)))</f>
        <v>17</v>
      </c>
      <c r="H733" s="52" t="str">
        <f>IF($C733="B",INDEX(Batters[[#All],[B]],MATCH(Table5[[#This Row],[PID]],Batters[[#All],[PID]],0)),INDEX(Table3[[#All],[B]],MATCH(Table5[[#This Row],[PID]],Table3[[#All],[PID]],0)))</f>
        <v>S</v>
      </c>
      <c r="I733" s="52" t="str">
        <f>IF($C733="B",INDEX(Batters[[#All],[T]],MATCH(Table5[[#This Row],[PID]],Batters[[#All],[PID]],0)),INDEX(Table3[[#All],[T]],MATCH(Table5[[#This Row],[PID]],Table3[[#All],[PID]],0)))</f>
        <v>R</v>
      </c>
      <c r="J733" s="52" t="str">
        <f>IF($C733="B",INDEX(Batters[[#All],[WE]],MATCH(Table5[[#This Row],[PID]],Batters[[#All],[PID]],0)),INDEX(Table3[[#All],[WE]],MATCH(Table5[[#This Row],[PID]],Table3[[#All],[PID]],0)))</f>
        <v>Low</v>
      </c>
      <c r="K733" s="52" t="str">
        <f>IF($C733="B",INDEX(Batters[[#All],[INT]],MATCH(Table5[[#This Row],[PID]],Batters[[#All],[PID]],0)),INDEX(Table3[[#All],[INT]],MATCH(Table5[[#This Row],[PID]],Table3[[#All],[PID]],0)))</f>
        <v>Normal</v>
      </c>
      <c r="L733" s="60">
        <f>IF($C733="B",INDEX(Batters[[#All],[CON P]],MATCH(Table5[[#This Row],[PID]],Batters[[#All],[PID]],0)),INDEX(Table3[[#All],[STU P]],MATCH(Table5[[#This Row],[PID]],Table3[[#All],[PID]],0)))</f>
        <v>2</v>
      </c>
      <c r="M733" s="56">
        <f>IF($C733="B",INDEX(Batters[[#All],[GAP P]],MATCH(Table5[[#This Row],[PID]],Batters[[#All],[PID]],0)),INDEX(Table3[[#All],[MOV P]],MATCH(Table5[[#This Row],[PID]],Table3[[#All],[PID]],0)))</f>
        <v>3</v>
      </c>
      <c r="N733" s="56">
        <f>IF($C733="B",INDEX(Batters[[#All],[POW P]],MATCH(Table5[[#This Row],[PID]],Batters[[#All],[PID]],0)),INDEX(Table3[[#All],[CON P]],MATCH(Table5[[#This Row],[PID]],Table3[[#All],[PID]],0)))</f>
        <v>4</v>
      </c>
      <c r="O733" s="56">
        <f>IF($C733="B",INDEX(Batters[[#All],[EYE P]],MATCH(Table5[[#This Row],[PID]],Batters[[#All],[PID]],0)),INDEX(Table3[[#All],[VELO]],MATCH(Table5[[#This Row],[PID]],Table3[[#All],[PID]],0)))</f>
        <v>5</v>
      </c>
      <c r="P733" s="56">
        <f>IF($C733="B",INDEX(Batters[[#All],[K P]],MATCH(Table5[[#This Row],[PID]],Batters[[#All],[PID]],0)),INDEX(Table3[[#All],[STM]],MATCH(Table5[[#This Row],[PID]],Table3[[#All],[PID]],0)))</f>
        <v>2</v>
      </c>
      <c r="Q733" s="61">
        <f>IF($C733="B",INDEX(Batters[[#All],[Tot]],MATCH(Table5[[#This Row],[PID]],Batters[[#All],[PID]],0)),INDEX(Table3[[#All],[Tot]],MATCH(Table5[[#This Row],[PID]],Table3[[#All],[PID]],0)))</f>
        <v>37.227604129298442</v>
      </c>
      <c r="R733" s="52">
        <f>IF($C733="B",INDEX(Batters[[#All],[zScore]],MATCH(Table5[[#This Row],[PID]],Batters[[#All],[PID]],0)),INDEX(Table3[[#All],[zScore]],MATCH(Table5[[#This Row],[PID]],Table3[[#All],[PID]],0)))</f>
        <v>-0.87447836717402827</v>
      </c>
      <c r="S733" s="58" t="str">
        <f>IF($C733="B",INDEX(Batters[[#All],[DEM]],MATCH(Table5[[#This Row],[PID]],Batters[[#All],[PID]],0)),INDEX(Table3[[#All],[DEM]],MATCH(Table5[[#This Row],[PID]],Table3[[#All],[PID]],0)))</f>
        <v>$95k</v>
      </c>
      <c r="T733" s="62">
        <f>IF($C733="B",INDEX(Batters[[#All],[Rnk]],MATCH(Table5[[#This Row],[PID]],Batters[[#All],[PID]],0)),INDEX(Table3[[#All],[Rnk]],MATCH(Table5[[#This Row],[PID]],Table3[[#All],[PID]],0)))</f>
        <v>930</v>
      </c>
      <c r="U733" s="67">
        <f>IF($C733="B",VLOOKUP($A733,Bat!$A$4:$BA$1314,47,FALSE),VLOOKUP($A733,Pit!$A$4:$BF$1214,56,FALSE))</f>
        <v>373</v>
      </c>
      <c r="V733" s="50">
        <f>IF($C733="B",VLOOKUP($A733,Bat!$A$4:$BA$1314,48,FALSE),VLOOKUP($A733,Pit!$A$4:$BF$1214,57,FALSE))</f>
        <v>0</v>
      </c>
      <c r="W733" s="68">
        <f>IF(Table5[[#This Row],[posRnk]]=999,9999,Table5[[#This Row],[posRnk]]+Table5[[#This Row],[zRnk]]+IF($W$3&lt;&gt;Table5[[#This Row],[Type]],50,0))</f>
        <v>1704</v>
      </c>
      <c r="X733" s="51">
        <f>RANK(Table5[[#This Row],[zScore]],Table5[[#All],[zScore]])</f>
        <v>724</v>
      </c>
      <c r="Y733" s="50" t="str">
        <f>IFERROR(INDEX(DraftResults[[#All],[OVR]],MATCH(Table5[[#This Row],[PID]],DraftResults[[#All],[Player ID]],0)),"")</f>
        <v/>
      </c>
      <c r="Z733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/>
      </c>
      <c r="AA733" s="50" t="str">
        <f>IFERROR(INDEX(DraftResults[[#All],[Pick in Round]],MATCH(Table5[[#This Row],[PID]],DraftResults[[#All],[Player ID]],0)),"")</f>
        <v/>
      </c>
      <c r="AB733" s="50" t="str">
        <f>IFERROR(INDEX(DraftResults[[#All],[Team Name]],MATCH(Table5[[#This Row],[PID]],DraftResults[[#All],[Player ID]],0)),"")</f>
        <v/>
      </c>
      <c r="AC733" s="50" t="str">
        <f>IF(Table5[[#This Row],[Ovr]]="","",IF(Table5[[#This Row],[cmbList]]="","",Table5[[#This Row],[cmbList]]-Table5[[#This Row],[Ovr]]))</f>
        <v/>
      </c>
      <c r="AD733" s="54" t="str">
        <f>IF(ISERROR(VLOOKUP($AB733&amp;"-"&amp;$E733&amp;" "&amp;F733,Bonuses!$B$1:$G$1006,4,FALSE)),"",INT(VLOOKUP($AB733&amp;"-"&amp;$E733&amp;" "&amp;$F733,Bonuses!$B$1:$G$1006,4,FALSE)))</f>
        <v/>
      </c>
      <c r="AE733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/>
      </c>
    </row>
    <row r="734" spans="1:31" s="50" customFormat="1" x14ac:dyDescent="0.3">
      <c r="A734" s="50">
        <v>12823</v>
      </c>
      <c r="B734" s="50">
        <f>COUNTIF(Table5[PID],A734)</f>
        <v>1</v>
      </c>
      <c r="C734" s="50" t="str">
        <f>IF(COUNTIF(Table3[[#All],[PID]],A734)&gt;0,"P","B")</f>
        <v>P</v>
      </c>
      <c r="D734" s="59" t="str">
        <f>IF($C734="B",INDEX(Batters[[#All],[POS]],MATCH(Table5[[#This Row],[PID]],Batters[[#All],[PID]],0)),INDEX(Table3[[#All],[POS]],MATCH(Table5[[#This Row],[PID]],Table3[[#All],[PID]],0)))</f>
        <v>RP</v>
      </c>
      <c r="E734" s="52" t="str">
        <f>IF($C734="B",INDEX(Batters[[#All],[First]],MATCH(Table5[[#This Row],[PID]],Batters[[#All],[PID]],0)),INDEX(Table3[[#All],[First]],MATCH(Table5[[#This Row],[PID]],Table3[[#All],[PID]],0)))</f>
        <v>Aki</v>
      </c>
      <c r="F734" s="50" t="str">
        <f>IF($C734="B",INDEX(Batters[[#All],[Last]],MATCH(A734,Batters[[#All],[PID]],0)),INDEX(Table3[[#All],[Last]],MATCH(A734,Table3[[#All],[PID]],0)))</f>
        <v>Gato</v>
      </c>
      <c r="G734" s="56">
        <f>IF($C734="B",INDEX(Batters[[#All],[Age]],MATCH(Table5[[#This Row],[PID]],Batters[[#All],[PID]],0)),INDEX(Table3[[#All],[Age]],MATCH(Table5[[#This Row],[PID]],Table3[[#All],[PID]],0)))</f>
        <v>21</v>
      </c>
      <c r="H734" s="52" t="str">
        <f>IF($C734="B",INDEX(Batters[[#All],[B]],MATCH(Table5[[#This Row],[PID]],Batters[[#All],[PID]],0)),INDEX(Table3[[#All],[B]],MATCH(Table5[[#This Row],[PID]],Table3[[#All],[PID]],0)))</f>
        <v>R</v>
      </c>
      <c r="I734" s="52" t="str">
        <f>IF($C734="B",INDEX(Batters[[#All],[T]],MATCH(Table5[[#This Row],[PID]],Batters[[#All],[PID]],0)),INDEX(Table3[[#All],[T]],MATCH(Table5[[#This Row],[PID]],Table3[[#All],[PID]],0)))</f>
        <v>R</v>
      </c>
      <c r="J734" s="52" t="str">
        <f>IF($C734="B",INDEX(Batters[[#All],[WE]],MATCH(Table5[[#This Row],[PID]],Batters[[#All],[PID]],0)),INDEX(Table3[[#All],[WE]],MATCH(Table5[[#This Row],[PID]],Table3[[#All],[PID]],0)))</f>
        <v>High</v>
      </c>
      <c r="K734" s="52" t="str">
        <f>IF($C734="B",INDEX(Batters[[#All],[INT]],MATCH(Table5[[#This Row],[PID]],Batters[[#All],[PID]],0)),INDEX(Table3[[#All],[INT]],MATCH(Table5[[#This Row],[PID]],Table3[[#All],[PID]],0)))</f>
        <v>High</v>
      </c>
      <c r="L734" s="60">
        <f>IF($C734="B",INDEX(Batters[[#All],[CON P]],MATCH(Table5[[#This Row],[PID]],Batters[[#All],[PID]],0)),INDEX(Table3[[#All],[STU P]],MATCH(Table5[[#This Row],[PID]],Table3[[#All],[PID]],0)))</f>
        <v>4</v>
      </c>
      <c r="M734" s="56">
        <f>IF($C734="B",INDEX(Batters[[#All],[GAP P]],MATCH(Table5[[#This Row],[PID]],Batters[[#All],[PID]],0)),INDEX(Table3[[#All],[MOV P]],MATCH(Table5[[#This Row],[PID]],Table3[[#All],[PID]],0)))</f>
        <v>2</v>
      </c>
      <c r="N734" s="56">
        <f>IF($C734="B",INDEX(Batters[[#All],[POW P]],MATCH(Table5[[#This Row],[PID]],Batters[[#All],[PID]],0)),INDEX(Table3[[#All],[CON P]],MATCH(Table5[[#This Row],[PID]],Table3[[#All],[PID]],0)))</f>
        <v>2</v>
      </c>
      <c r="O734" s="56" t="str">
        <f>IF($C734="B",INDEX(Batters[[#All],[EYE P]],MATCH(Table5[[#This Row],[PID]],Batters[[#All],[PID]],0)),INDEX(Table3[[#All],[VELO]],MATCH(Table5[[#This Row],[PID]],Table3[[#All],[PID]],0)))</f>
        <v>91-93 Mph</v>
      </c>
      <c r="P734" s="56">
        <f>IF($C734="B",INDEX(Batters[[#All],[K P]],MATCH(Table5[[#This Row],[PID]],Batters[[#All],[PID]],0)),INDEX(Table3[[#All],[STM]],MATCH(Table5[[#This Row],[PID]],Table3[[#All],[PID]],0)))</f>
        <v>7</v>
      </c>
      <c r="Q734" s="61">
        <f>IF($C734="B",INDEX(Batters[[#All],[Tot]],MATCH(Table5[[#This Row],[PID]],Batters[[#All],[PID]],0)),INDEX(Table3[[#All],[Tot]],MATCH(Table5[[#This Row],[PID]],Table3[[#All],[PID]],0)))</f>
        <v>24.454463136217527</v>
      </c>
      <c r="R734" s="52">
        <f>IF($C734="B",INDEX(Batters[[#All],[zScore]],MATCH(Table5[[#This Row],[PID]],Batters[[#All],[PID]],0)),INDEX(Table3[[#All],[zScore]],MATCH(Table5[[#This Row],[PID]],Table3[[#All],[PID]],0)))</f>
        <v>-0.95047998075805851</v>
      </c>
      <c r="S734" s="58" t="str">
        <f>IF($C734="B",INDEX(Batters[[#All],[DEM]],MATCH(Table5[[#This Row],[PID]],Batters[[#All],[PID]],0)),INDEX(Table3[[#All],[DEM]],MATCH(Table5[[#This Row],[PID]],Table3[[#All],[PID]],0)))</f>
        <v>$20k</v>
      </c>
      <c r="T734" s="62">
        <f>IF($C734="B",INDEX(Batters[[#All],[Rnk]],MATCH(Table5[[#This Row],[PID]],Batters[[#All],[PID]],0)),INDEX(Table3[[#All],[Rnk]],MATCH(Table5[[#This Row],[PID]],Table3[[#All],[PID]],0)))</f>
        <v>900</v>
      </c>
      <c r="U734" s="67">
        <f>IF($C734="B",VLOOKUP($A734,Bat!$A$4:$BA$1314,47,FALSE),VLOOKUP($A734,Pit!$A$4:$BF$1214,56,FALSE))</f>
        <v>231</v>
      </c>
      <c r="V734" s="50">
        <f>IF($C734="B",VLOOKUP($A734,Bat!$A$4:$BA$1314,48,FALSE),VLOOKUP($A734,Pit!$A$4:$BF$1214,57,FALSE))</f>
        <v>0</v>
      </c>
      <c r="W734" s="68">
        <f>IF(Table5[[#This Row],[posRnk]]=999,9999,Table5[[#This Row],[posRnk]]+Table5[[#This Row],[zRnk]]+IF($W$3&lt;&gt;Table5[[#This Row],[Type]],50,0))</f>
        <v>1660</v>
      </c>
      <c r="X734" s="51">
        <f>RANK(Table5[[#This Row],[zScore]],Table5[[#All],[zScore]])</f>
        <v>760</v>
      </c>
      <c r="Y734" s="50">
        <f>IFERROR(INDEX(DraftResults[[#All],[OVR]],MATCH(Table5[[#This Row],[PID]],DraftResults[[#All],[Player ID]],0)),"")</f>
        <v>441</v>
      </c>
      <c r="Z734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14</v>
      </c>
      <c r="AA734" s="50">
        <f>IFERROR(INDEX(DraftResults[[#All],[Pick in Round]],MATCH(Table5[[#This Row],[PID]],DraftResults[[#All],[Player ID]],0)),"")</f>
        <v>8</v>
      </c>
      <c r="AB734" s="50" t="str">
        <f>IFERROR(INDEX(DraftResults[[#All],[Team Name]],MATCH(Table5[[#This Row],[PID]],DraftResults[[#All],[Player ID]],0)),"")</f>
        <v>Gloucester Fishermen</v>
      </c>
      <c r="AC734" s="50">
        <f>IF(Table5[[#This Row],[Ovr]]="","",IF(Table5[[#This Row],[cmbList]]="","",Table5[[#This Row],[cmbList]]-Table5[[#This Row],[Ovr]]))</f>
        <v>1219</v>
      </c>
      <c r="AD734" s="54" t="str">
        <f>IF(ISERROR(VLOOKUP($AB734&amp;"-"&amp;$E734&amp;" "&amp;F734,Bonuses!$B$1:$G$1006,4,FALSE)),"",INT(VLOOKUP($AB734&amp;"-"&amp;$E734&amp;" "&amp;$F734,Bonuses!$B$1:$G$1006,4,FALSE)))</f>
        <v/>
      </c>
      <c r="AE734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14.8 (441) - RP Aki Gato</v>
      </c>
    </row>
    <row r="735" spans="1:31" s="50" customFormat="1" x14ac:dyDescent="0.3">
      <c r="A735" s="67">
        <v>6194</v>
      </c>
      <c r="B735" s="68">
        <f>COUNTIF(Table5[PID],A735)</f>
        <v>1</v>
      </c>
      <c r="C735" s="68" t="str">
        <f>IF(COUNTIF(Table3[[#All],[PID]],A735)&gt;0,"P","B")</f>
        <v>B</v>
      </c>
      <c r="D735" s="59" t="str">
        <f>IF($C735="B",INDEX(Batters[[#All],[POS]],MATCH(Table5[[#This Row],[PID]],Batters[[#All],[PID]],0)),INDEX(Table3[[#All],[POS]],MATCH(Table5[[#This Row],[PID]],Table3[[#All],[PID]],0)))</f>
        <v>LF</v>
      </c>
      <c r="E735" s="52" t="str">
        <f>IF($C735="B",INDEX(Batters[[#All],[First]],MATCH(Table5[[#This Row],[PID]],Batters[[#All],[PID]],0)),INDEX(Table3[[#All],[First]],MATCH(Table5[[#This Row],[PID]],Table3[[#All],[PID]],0)))</f>
        <v>Isamu</v>
      </c>
      <c r="F735" s="55" t="str">
        <f>IF($C735="B",INDEX(Batters[[#All],[Last]],MATCH(A735,Batters[[#All],[PID]],0)),INDEX(Table3[[#All],[Last]],MATCH(A735,Table3[[#All],[PID]],0)))</f>
        <v>Kimura</v>
      </c>
      <c r="G735" s="56">
        <f>IF($C735="B",INDEX(Batters[[#All],[Age]],MATCH(Table5[[#This Row],[PID]],Batters[[#All],[PID]],0)),INDEX(Table3[[#All],[Age]],MATCH(Table5[[#This Row],[PID]],Table3[[#All],[PID]],0)))</f>
        <v>21</v>
      </c>
      <c r="H735" s="52" t="str">
        <f>IF($C735="B",INDEX(Batters[[#All],[B]],MATCH(Table5[[#This Row],[PID]],Batters[[#All],[PID]],0)),INDEX(Table3[[#All],[B]],MATCH(Table5[[#This Row],[PID]],Table3[[#All],[PID]],0)))</f>
        <v>L</v>
      </c>
      <c r="I735" s="52" t="str">
        <f>IF($C735="B",INDEX(Batters[[#All],[T]],MATCH(Table5[[#This Row],[PID]],Batters[[#All],[PID]],0)),INDEX(Table3[[#All],[T]],MATCH(Table5[[#This Row],[PID]],Table3[[#All],[PID]],0)))</f>
        <v>R</v>
      </c>
      <c r="J735" s="69" t="str">
        <f>IF($C735="B",INDEX(Batters[[#All],[WE]],MATCH(Table5[[#This Row],[PID]],Batters[[#All],[PID]],0)),INDEX(Table3[[#All],[WE]],MATCH(Table5[[#This Row],[PID]],Table3[[#All],[PID]],0)))</f>
        <v>High</v>
      </c>
      <c r="K735" s="52" t="str">
        <f>IF($C735="B",INDEX(Batters[[#All],[INT]],MATCH(Table5[[#This Row],[PID]],Batters[[#All],[PID]],0)),INDEX(Table3[[#All],[INT]],MATCH(Table5[[#This Row],[PID]],Table3[[#All],[PID]],0)))</f>
        <v>High</v>
      </c>
      <c r="L735" s="60">
        <f>IF($C735="B",INDEX(Batters[[#All],[CON P]],MATCH(Table5[[#This Row],[PID]],Batters[[#All],[PID]],0)),INDEX(Table3[[#All],[STU P]],MATCH(Table5[[#This Row],[PID]],Table3[[#All],[PID]],0)))</f>
        <v>3</v>
      </c>
      <c r="M735" s="70">
        <f>IF($C735="B",INDEX(Batters[[#All],[GAP P]],MATCH(Table5[[#This Row],[PID]],Batters[[#All],[PID]],0)),INDEX(Table3[[#All],[MOV P]],MATCH(Table5[[#This Row],[PID]],Table3[[#All],[PID]],0)))</f>
        <v>3</v>
      </c>
      <c r="N735" s="70">
        <f>IF($C735="B",INDEX(Batters[[#All],[POW P]],MATCH(Table5[[#This Row],[PID]],Batters[[#All],[PID]],0)),INDEX(Table3[[#All],[CON P]],MATCH(Table5[[#This Row],[PID]],Table3[[#All],[PID]],0)))</f>
        <v>2</v>
      </c>
      <c r="O735" s="70">
        <f>IF($C735="B",INDEX(Batters[[#All],[EYE P]],MATCH(Table5[[#This Row],[PID]],Batters[[#All],[PID]],0)),INDEX(Table3[[#All],[VELO]],MATCH(Table5[[#This Row],[PID]],Table3[[#All],[PID]],0)))</f>
        <v>5</v>
      </c>
      <c r="P735" s="56">
        <f>IF($C735="B",INDEX(Batters[[#All],[K P]],MATCH(Table5[[#This Row],[PID]],Batters[[#All],[PID]],0)),INDEX(Table3[[#All],[STM]],MATCH(Table5[[#This Row],[PID]],Table3[[#All],[PID]],0)))</f>
        <v>4</v>
      </c>
      <c r="Q735" s="61">
        <f>IF($C735="B",INDEX(Batters[[#All],[Tot]],MATCH(Table5[[#This Row],[PID]],Batters[[#All],[PID]],0)),INDEX(Table3[[#All],[Tot]],MATCH(Table5[[#This Row],[PID]],Table3[[#All],[PID]],0)))</f>
        <v>36.667293782910448</v>
      </c>
      <c r="R735" s="52">
        <f>IF($C735="B",INDEX(Batters[[#All],[zScore]],MATCH(Table5[[#This Row],[PID]],Batters[[#All],[PID]],0)),INDEX(Table3[[#All],[zScore]],MATCH(Table5[[#This Row],[PID]],Table3[[#All],[PID]],0)))</f>
        <v>-0.95626580925202465</v>
      </c>
      <c r="S735" s="75" t="str">
        <f>IF($C735="B",INDEX(Batters[[#All],[DEM]],MATCH(Table5[[#This Row],[PID]],Batters[[#All],[PID]],0)),INDEX(Table3[[#All],[DEM]],MATCH(Table5[[#This Row],[PID]],Table3[[#All],[PID]],0)))</f>
        <v>-</v>
      </c>
      <c r="T735" s="72">
        <f>IF($C735="B",INDEX(Batters[[#All],[Rnk]],MATCH(Table5[[#This Row],[PID]],Batters[[#All],[PID]],0)),INDEX(Table3[[#All],[Rnk]],MATCH(Table5[[#This Row],[PID]],Table3[[#All],[PID]],0)))</f>
        <v>900</v>
      </c>
      <c r="U735" s="67">
        <f>IF($C735="B",VLOOKUP($A735,Bat!$A$4:$BA$1314,47,FALSE),VLOOKUP($A735,Pit!$A$4:$BF$1214,56,FALSE))</f>
        <v>242</v>
      </c>
      <c r="V735" s="50">
        <f>IF($C735="B",VLOOKUP($A735,Bat!$A$4:$BA$1314,48,FALSE),VLOOKUP($A735,Pit!$A$4:$BF$1214,57,FALSE))</f>
        <v>0</v>
      </c>
      <c r="W735" s="68">
        <f>IF(Table5[[#This Row],[posRnk]]=999,9999,Table5[[#This Row],[posRnk]]+Table5[[#This Row],[zRnk]]+IF($W$3&lt;&gt;Table5[[#This Row],[Type]],50,0))</f>
        <v>1711</v>
      </c>
      <c r="X735" s="71">
        <f>RANK(Table5[[#This Row],[zScore]],Table5[[#All],[zScore]])</f>
        <v>761</v>
      </c>
      <c r="Y735" s="68">
        <f>IFERROR(INDEX(DraftResults[[#All],[OVR]],MATCH(Table5[[#This Row],[PID]],DraftResults[[#All],[Player ID]],0)),"")</f>
        <v>609</v>
      </c>
      <c r="Z735" s="7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19</v>
      </c>
      <c r="AA735" s="68">
        <f>IFERROR(INDEX(DraftResults[[#All],[Pick in Round]],MATCH(Table5[[#This Row],[PID]],DraftResults[[#All],[Player ID]],0)),"")</f>
        <v>6</v>
      </c>
      <c r="AB735" s="68" t="str">
        <f>IFERROR(INDEX(DraftResults[[#All],[Team Name]],MATCH(Table5[[#This Row],[PID]],DraftResults[[#All],[Player ID]],0)),"")</f>
        <v>New Orleans Trendsetters</v>
      </c>
      <c r="AC735" s="68">
        <f>IF(Table5[[#This Row],[Ovr]]="","",IF(Table5[[#This Row],[cmbList]]="","",Table5[[#This Row],[cmbList]]-Table5[[#This Row],[Ovr]]))</f>
        <v>1102</v>
      </c>
      <c r="AD735" s="74" t="str">
        <f>IF(ISERROR(VLOOKUP($AB735&amp;"-"&amp;$E735&amp;" "&amp;F735,Bonuses!$B$1:$G$1006,4,FALSE)),"",INT(VLOOKUP($AB735&amp;"-"&amp;$E735&amp;" "&amp;$F735,Bonuses!$B$1:$G$1006,4,FALSE)))</f>
        <v/>
      </c>
      <c r="AE735" s="68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19.6 (609) - LF Isamu Kimura</v>
      </c>
    </row>
    <row r="736" spans="1:31" s="50" customFormat="1" x14ac:dyDescent="0.3">
      <c r="A736" s="50">
        <v>5565</v>
      </c>
      <c r="B736" s="50">
        <f>COUNTIF(Table5[PID],A736)</f>
        <v>1</v>
      </c>
      <c r="C736" s="50" t="str">
        <f>IF(COUNTIF(Table3[[#All],[PID]],A736)&gt;0,"P","B")</f>
        <v>P</v>
      </c>
      <c r="D736" s="59" t="str">
        <f>IF($C736="B",INDEX(Batters[[#All],[POS]],MATCH(Table5[[#This Row],[PID]],Batters[[#All],[PID]],0)),INDEX(Table3[[#All],[POS]],MATCH(Table5[[#This Row],[PID]],Table3[[#All],[PID]],0)))</f>
        <v>RP</v>
      </c>
      <c r="E736" s="52" t="str">
        <f>IF($C736="B",INDEX(Batters[[#All],[First]],MATCH(Table5[[#This Row],[PID]],Batters[[#All],[PID]],0)),INDEX(Table3[[#All],[First]],MATCH(Table5[[#This Row],[PID]],Table3[[#All],[PID]],0)))</f>
        <v>Millard</v>
      </c>
      <c r="F736" s="50" t="str">
        <f>IF($C736="B",INDEX(Batters[[#All],[Last]],MATCH(A736,Batters[[#All],[PID]],0)),INDEX(Table3[[#All],[Last]],MATCH(A736,Table3[[#All],[PID]],0)))</f>
        <v>Dye</v>
      </c>
      <c r="G736" s="56">
        <f>IF($C736="B",INDEX(Batters[[#All],[Age]],MATCH(Table5[[#This Row],[PID]],Batters[[#All],[PID]],0)),INDEX(Table3[[#All],[Age]],MATCH(Table5[[#This Row],[PID]],Table3[[#All],[PID]],0)))</f>
        <v>22</v>
      </c>
      <c r="H736" s="52" t="str">
        <f>IF($C736="B",INDEX(Batters[[#All],[B]],MATCH(Table5[[#This Row],[PID]],Batters[[#All],[PID]],0)),INDEX(Table3[[#All],[B]],MATCH(Table5[[#This Row],[PID]],Table3[[#All],[PID]],0)))</f>
        <v>R</v>
      </c>
      <c r="I736" s="52" t="str">
        <f>IF($C736="B",INDEX(Batters[[#All],[T]],MATCH(Table5[[#This Row],[PID]],Batters[[#All],[PID]],0)),INDEX(Table3[[#All],[T]],MATCH(Table5[[#This Row],[PID]],Table3[[#All],[PID]],0)))</f>
        <v>R</v>
      </c>
      <c r="J736" s="52" t="str">
        <f>IF($C736="B",INDEX(Batters[[#All],[WE]],MATCH(Table5[[#This Row],[PID]],Batters[[#All],[PID]],0)),INDEX(Table3[[#All],[WE]],MATCH(Table5[[#This Row],[PID]],Table3[[#All],[PID]],0)))</f>
        <v>Low</v>
      </c>
      <c r="K736" s="52" t="str">
        <f>IF($C736="B",INDEX(Batters[[#All],[INT]],MATCH(Table5[[#This Row],[PID]],Batters[[#All],[PID]],0)),INDEX(Table3[[#All],[INT]],MATCH(Table5[[#This Row],[PID]],Table3[[#All],[PID]],0)))</f>
        <v>Normal</v>
      </c>
      <c r="L736" s="60">
        <f>IF($C736="B",INDEX(Batters[[#All],[CON P]],MATCH(Table5[[#This Row],[PID]],Batters[[#All],[PID]],0)),INDEX(Table3[[#All],[STU P]],MATCH(Table5[[#This Row],[PID]],Table3[[#All],[PID]],0)))</f>
        <v>4</v>
      </c>
      <c r="M736" s="56">
        <f>IF($C736="B",INDEX(Batters[[#All],[GAP P]],MATCH(Table5[[#This Row],[PID]],Batters[[#All],[PID]],0)),INDEX(Table3[[#All],[MOV P]],MATCH(Table5[[#This Row],[PID]],Table3[[#All],[PID]],0)))</f>
        <v>1</v>
      </c>
      <c r="N736" s="56">
        <f>IF($C736="B",INDEX(Batters[[#All],[POW P]],MATCH(Table5[[#This Row],[PID]],Batters[[#All],[PID]],0)),INDEX(Table3[[#All],[CON P]],MATCH(Table5[[#This Row],[PID]],Table3[[#All],[PID]],0)))</f>
        <v>3</v>
      </c>
      <c r="O736" s="56" t="str">
        <f>IF($C736="B",INDEX(Batters[[#All],[EYE P]],MATCH(Table5[[#This Row],[PID]],Batters[[#All],[PID]],0)),INDEX(Table3[[#All],[VELO]],MATCH(Table5[[#This Row],[PID]],Table3[[#All],[PID]],0)))</f>
        <v>90-92 Mph</v>
      </c>
      <c r="P736" s="56">
        <f>IF($C736="B",INDEX(Batters[[#All],[K P]],MATCH(Table5[[#This Row],[PID]],Batters[[#All],[PID]],0)),INDEX(Table3[[#All],[STM]],MATCH(Table5[[#This Row],[PID]],Table3[[#All],[PID]],0)))</f>
        <v>9</v>
      </c>
      <c r="Q736" s="61">
        <f>IF($C736="B",INDEX(Batters[[#All],[Tot]],MATCH(Table5[[#This Row],[PID]],Batters[[#All],[PID]],0)),INDEX(Table3[[#All],[Tot]],MATCH(Table5[[#This Row],[PID]],Table3[[#All],[PID]],0)))</f>
        <v>25.351617898623431</v>
      </c>
      <c r="R736" s="52">
        <f>IF($C736="B",INDEX(Batters[[#All],[zScore]],MATCH(Table5[[#This Row],[PID]],Batters[[#All],[PID]],0)),INDEX(Table3[[#All],[zScore]],MATCH(Table5[[#This Row],[PID]],Table3[[#All],[PID]],0)))</f>
        <v>-0.88659625209927484</v>
      </c>
      <c r="S736" s="58" t="str">
        <f>IF($C736="B",INDEX(Batters[[#All],[DEM]],MATCH(Table5[[#This Row],[PID]],Batters[[#All],[PID]],0)),INDEX(Table3[[#All],[DEM]],MATCH(Table5[[#This Row],[PID]],Table3[[#All],[PID]],0)))</f>
        <v>-</v>
      </c>
      <c r="T736" s="62">
        <f>IF($C736="B",INDEX(Batters[[#All],[Rnk]],MATCH(Table5[[#This Row],[PID]],Batters[[#All],[PID]],0)),INDEX(Table3[[#All],[Rnk]],MATCH(Table5[[#This Row],[PID]],Table3[[#All],[PID]],0)))</f>
        <v>930</v>
      </c>
      <c r="U736" s="67">
        <f>IF($C736="B",VLOOKUP($A736,Bat!$A$4:$BA$1314,47,FALSE),VLOOKUP($A736,Pit!$A$4:$BF$1214,56,FALSE))</f>
        <v>358</v>
      </c>
      <c r="V736" s="50">
        <f>IF($C736="B",VLOOKUP($A736,Bat!$A$4:$BA$1314,48,FALSE),VLOOKUP($A736,Pit!$A$4:$BF$1214,57,FALSE))</f>
        <v>0</v>
      </c>
      <c r="W736" s="68">
        <f>IF(Table5[[#This Row],[posRnk]]=999,9999,Table5[[#This Row],[posRnk]]+Table5[[#This Row],[zRnk]]+IF($W$3&lt;&gt;Table5[[#This Row],[Type]],50,0))</f>
        <v>1661</v>
      </c>
      <c r="X736" s="51">
        <f>RANK(Table5[[#This Row],[zScore]],Table5[[#All],[zScore]])</f>
        <v>731</v>
      </c>
      <c r="Y736" s="50">
        <f>IFERROR(INDEX(DraftResults[[#All],[OVR]],MATCH(Table5[[#This Row],[PID]],DraftResults[[#All],[Player ID]],0)),"")</f>
        <v>547</v>
      </c>
      <c r="Z736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17</v>
      </c>
      <c r="AA736" s="50">
        <f>IFERROR(INDEX(DraftResults[[#All],[Pick in Round]],MATCH(Table5[[#This Row],[PID]],DraftResults[[#All],[Player ID]],0)),"")</f>
        <v>12</v>
      </c>
      <c r="AB736" s="50" t="str">
        <f>IFERROR(INDEX(DraftResults[[#All],[Team Name]],MATCH(Table5[[#This Row],[PID]],DraftResults[[#All],[Player ID]],0)),"")</f>
        <v>Manchester Maulers</v>
      </c>
      <c r="AC736" s="50">
        <f>IF(Table5[[#This Row],[Ovr]]="","",IF(Table5[[#This Row],[cmbList]]="","",Table5[[#This Row],[cmbList]]-Table5[[#This Row],[Ovr]]))</f>
        <v>1114</v>
      </c>
      <c r="AD736" s="54" t="str">
        <f>IF(ISERROR(VLOOKUP($AB736&amp;"-"&amp;$E736&amp;" "&amp;F736,Bonuses!$B$1:$G$1006,4,FALSE)),"",INT(VLOOKUP($AB736&amp;"-"&amp;$E736&amp;" "&amp;$F736,Bonuses!$B$1:$G$1006,4,FALSE)))</f>
        <v/>
      </c>
      <c r="AE736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17.12 (547) - RP Millard Dye</v>
      </c>
    </row>
    <row r="737" spans="1:31" s="50" customFormat="1" x14ac:dyDescent="0.3">
      <c r="A737" s="50">
        <v>12667</v>
      </c>
      <c r="B737" s="50">
        <f>COUNTIF(Table5[PID],A737)</f>
        <v>1</v>
      </c>
      <c r="C737" s="50" t="str">
        <f>IF(COUNTIF(Table3[[#All],[PID]],A737)&gt;0,"P","B")</f>
        <v>P</v>
      </c>
      <c r="D737" s="59" t="str">
        <f>IF($C737="B",INDEX(Batters[[#All],[POS]],MATCH(Table5[[#This Row],[PID]],Batters[[#All],[PID]],0)),INDEX(Table3[[#All],[POS]],MATCH(Table5[[#This Row],[PID]],Table3[[#All],[PID]],0)))</f>
        <v>RP</v>
      </c>
      <c r="E737" s="52" t="str">
        <f>IF($C737="B",INDEX(Batters[[#All],[First]],MATCH(Table5[[#This Row],[PID]],Batters[[#All],[PID]],0)),INDEX(Table3[[#All],[First]],MATCH(Table5[[#This Row],[PID]],Table3[[#All],[PID]],0)))</f>
        <v>Shuji</v>
      </c>
      <c r="F737" s="50" t="str">
        <f>IF($C737="B",INDEX(Batters[[#All],[Last]],MATCH(A737,Batters[[#All],[PID]],0)),INDEX(Table3[[#All],[Last]],MATCH(A737,Table3[[#All],[PID]],0)))</f>
        <v>Yamasaki</v>
      </c>
      <c r="G737" s="56">
        <f>IF($C737="B",INDEX(Batters[[#All],[Age]],MATCH(Table5[[#This Row],[PID]],Batters[[#All],[PID]],0)),INDEX(Table3[[#All],[Age]],MATCH(Table5[[#This Row],[PID]],Table3[[#All],[PID]],0)))</f>
        <v>21</v>
      </c>
      <c r="H737" s="52" t="str">
        <f>IF($C737="B",INDEX(Batters[[#All],[B]],MATCH(Table5[[#This Row],[PID]],Batters[[#All],[PID]],0)),INDEX(Table3[[#All],[B]],MATCH(Table5[[#This Row],[PID]],Table3[[#All],[PID]],0)))</f>
        <v>R</v>
      </c>
      <c r="I737" s="52" t="str">
        <f>IF($C737="B",INDEX(Batters[[#All],[T]],MATCH(Table5[[#This Row],[PID]],Batters[[#All],[PID]],0)),INDEX(Table3[[#All],[T]],MATCH(Table5[[#This Row],[PID]],Table3[[#All],[PID]],0)))</f>
        <v>R</v>
      </c>
      <c r="J737" s="52" t="str">
        <f>IF($C737="B",INDEX(Batters[[#All],[WE]],MATCH(Table5[[#This Row],[PID]],Batters[[#All],[PID]],0)),INDEX(Table3[[#All],[WE]],MATCH(Table5[[#This Row],[PID]],Table3[[#All],[PID]],0)))</f>
        <v>Normal</v>
      </c>
      <c r="K737" s="52" t="str">
        <f>IF($C737="B",INDEX(Batters[[#All],[INT]],MATCH(Table5[[#This Row],[PID]],Batters[[#All],[PID]],0)),INDEX(Table3[[#All],[INT]],MATCH(Table5[[#This Row],[PID]],Table3[[#All],[PID]],0)))</f>
        <v>Normal</v>
      </c>
      <c r="L737" s="60">
        <f>IF($C737="B",INDEX(Batters[[#All],[CON P]],MATCH(Table5[[#This Row],[PID]],Batters[[#All],[PID]],0)),INDEX(Table3[[#All],[STU P]],MATCH(Table5[[#This Row],[PID]],Table3[[#All],[PID]],0)))</f>
        <v>3</v>
      </c>
      <c r="M737" s="56">
        <f>IF($C737="B",INDEX(Batters[[#All],[GAP P]],MATCH(Table5[[#This Row],[PID]],Batters[[#All],[PID]],0)),INDEX(Table3[[#All],[MOV P]],MATCH(Table5[[#This Row],[PID]],Table3[[#All],[PID]],0)))</f>
        <v>2</v>
      </c>
      <c r="N737" s="56">
        <f>IF($C737="B",INDEX(Batters[[#All],[POW P]],MATCH(Table5[[#This Row],[PID]],Batters[[#All],[PID]],0)),INDEX(Table3[[#All],[CON P]],MATCH(Table5[[#This Row],[PID]],Table3[[#All],[PID]],0)))</f>
        <v>3</v>
      </c>
      <c r="O737" s="56" t="str">
        <f>IF($C737="B",INDEX(Batters[[#All],[EYE P]],MATCH(Table5[[#This Row],[PID]],Batters[[#All],[PID]],0)),INDEX(Table3[[#All],[VELO]],MATCH(Table5[[#This Row],[PID]],Table3[[#All],[PID]],0)))</f>
        <v>89-91 Mph</v>
      </c>
      <c r="P737" s="56">
        <f>IF($C737="B",INDEX(Batters[[#All],[K P]],MATCH(Table5[[#This Row],[PID]],Batters[[#All],[PID]],0)),INDEX(Table3[[#All],[STM]],MATCH(Table5[[#This Row],[PID]],Table3[[#All],[PID]],0)))</f>
        <v>8</v>
      </c>
      <c r="Q737" s="61">
        <f>IF($C737="B",INDEX(Batters[[#All],[Tot]],MATCH(Table5[[#This Row],[PID]],Batters[[#All],[PID]],0)),INDEX(Table3[[#All],[Tot]],MATCH(Table5[[#This Row],[PID]],Table3[[#All],[PID]],0)))</f>
        <v>24.355512080327088</v>
      </c>
      <c r="R737" s="52">
        <f>IF($C737="B",INDEX(Batters[[#All],[zScore]],MATCH(Table5[[#This Row],[PID]],Batters[[#All],[PID]],0)),INDEX(Table3[[#All],[zScore]],MATCH(Table5[[#This Row],[PID]],Table3[[#All],[PID]],0)))</f>
        <v>-0.95752599184766463</v>
      </c>
      <c r="S737" s="58" t="str">
        <f>IF($C737="B",INDEX(Batters[[#All],[DEM]],MATCH(Table5[[#This Row],[PID]],Batters[[#All],[PID]],0)),INDEX(Table3[[#All],[DEM]],MATCH(Table5[[#This Row],[PID]],Table3[[#All],[PID]],0)))</f>
        <v>-</v>
      </c>
      <c r="T737" s="62">
        <f>IF($C737="B",INDEX(Batters[[#All],[Rnk]],MATCH(Table5[[#This Row],[PID]],Batters[[#All],[PID]],0)),INDEX(Table3[[#All],[Rnk]],MATCH(Table5[[#This Row],[PID]],Table3[[#All],[PID]],0)))</f>
        <v>900</v>
      </c>
      <c r="U737" s="67">
        <f>IF($C737="B",VLOOKUP($A737,Bat!$A$4:$BA$1314,47,FALSE),VLOOKUP($A737,Pit!$A$4:$BF$1214,56,FALSE))</f>
        <v>242</v>
      </c>
      <c r="V737" s="50">
        <f>IF($C737="B",VLOOKUP($A737,Bat!$A$4:$BA$1314,48,FALSE),VLOOKUP($A737,Pit!$A$4:$BF$1214,57,FALSE))</f>
        <v>0</v>
      </c>
      <c r="W737" s="68">
        <f>IF(Table5[[#This Row],[posRnk]]=999,9999,Table5[[#This Row],[posRnk]]+Table5[[#This Row],[zRnk]]+IF($W$3&lt;&gt;Table5[[#This Row],[Type]],50,0))</f>
        <v>1663</v>
      </c>
      <c r="X737" s="51">
        <f>RANK(Table5[[#This Row],[zScore]],Table5[[#All],[zScore]])</f>
        <v>763</v>
      </c>
      <c r="Y737" s="50">
        <f>IFERROR(INDEX(DraftResults[[#All],[OVR]],MATCH(Table5[[#This Row],[PID]],DraftResults[[#All],[Player ID]],0)),"")</f>
        <v>666</v>
      </c>
      <c r="Z737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20</v>
      </c>
      <c r="AA737" s="50">
        <f>IFERROR(INDEX(DraftResults[[#All],[Pick in Round]],MATCH(Table5[[#This Row],[PID]],DraftResults[[#All],[Player ID]],0)),"")</f>
        <v>29</v>
      </c>
      <c r="AB737" s="50" t="str">
        <f>IFERROR(INDEX(DraftResults[[#All],[Team Name]],MATCH(Table5[[#This Row],[PID]],DraftResults[[#All],[Player ID]],0)),"")</f>
        <v>Shin Seiki Evas</v>
      </c>
      <c r="AC737" s="50">
        <f>IF(Table5[[#This Row],[Ovr]]="","",IF(Table5[[#This Row],[cmbList]]="","",Table5[[#This Row],[cmbList]]-Table5[[#This Row],[Ovr]]))</f>
        <v>997</v>
      </c>
      <c r="AD737" s="54" t="str">
        <f>IF(ISERROR(VLOOKUP($AB737&amp;"-"&amp;$E737&amp;" "&amp;F737,Bonuses!$B$1:$G$1006,4,FALSE)),"",INT(VLOOKUP($AB737&amp;"-"&amp;$E737&amp;" "&amp;$F737,Bonuses!$B$1:$G$1006,4,FALSE)))</f>
        <v/>
      </c>
      <c r="AE737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20.29 (666) - RP Shuji Yamasaki</v>
      </c>
    </row>
    <row r="738" spans="1:31" s="50" customFormat="1" x14ac:dyDescent="0.3">
      <c r="A738" s="50">
        <v>5541</v>
      </c>
      <c r="B738" s="50">
        <f>COUNTIF(Table5[PID],A738)</f>
        <v>1</v>
      </c>
      <c r="C738" s="50" t="str">
        <f>IF(COUNTIF(Table3[[#All],[PID]],A738)&gt;0,"P","B")</f>
        <v>B</v>
      </c>
      <c r="D738" s="59" t="str">
        <f>IF($C738="B",INDEX(Batters[[#All],[POS]],MATCH(Table5[[#This Row],[PID]],Batters[[#All],[PID]],0)),INDEX(Table3[[#All],[POS]],MATCH(Table5[[#This Row],[PID]],Table3[[#All],[PID]],0)))</f>
        <v>C</v>
      </c>
      <c r="E738" s="52" t="str">
        <f>IF($C738="B",INDEX(Batters[[#All],[First]],MATCH(Table5[[#This Row],[PID]],Batters[[#All],[PID]],0)),INDEX(Table3[[#All],[First]],MATCH(Table5[[#This Row],[PID]],Table3[[#All],[PID]],0)))</f>
        <v>Michael</v>
      </c>
      <c r="F738" s="50" t="str">
        <f>IF($C738="B",INDEX(Batters[[#All],[Last]],MATCH(A738,Batters[[#All],[PID]],0)),INDEX(Table3[[#All],[Last]],MATCH(A738,Table3[[#All],[PID]],0)))</f>
        <v>González</v>
      </c>
      <c r="G738" s="56">
        <f>IF($C738="B",INDEX(Batters[[#All],[Age]],MATCH(Table5[[#This Row],[PID]],Batters[[#All],[PID]],0)),INDEX(Table3[[#All],[Age]],MATCH(Table5[[#This Row],[PID]],Table3[[#All],[PID]],0)))</f>
        <v>21</v>
      </c>
      <c r="H738" s="52" t="str">
        <f>IF($C738="B",INDEX(Batters[[#All],[B]],MATCH(Table5[[#This Row],[PID]],Batters[[#All],[PID]],0)),INDEX(Table3[[#All],[B]],MATCH(Table5[[#This Row],[PID]],Table3[[#All],[PID]],0)))</f>
        <v>R</v>
      </c>
      <c r="I738" s="52" t="str">
        <f>IF($C738="B",INDEX(Batters[[#All],[T]],MATCH(Table5[[#This Row],[PID]],Batters[[#All],[PID]],0)),INDEX(Table3[[#All],[T]],MATCH(Table5[[#This Row],[PID]],Table3[[#All],[PID]],0)))</f>
        <v>R</v>
      </c>
      <c r="J738" s="52" t="str">
        <f>IF($C738="B",INDEX(Batters[[#All],[WE]],MATCH(Table5[[#This Row],[PID]],Batters[[#All],[PID]],0)),INDEX(Table3[[#All],[WE]],MATCH(Table5[[#This Row],[PID]],Table3[[#All],[PID]],0)))</f>
        <v>Low</v>
      </c>
      <c r="K738" s="52" t="str">
        <f>IF($C738="B",INDEX(Batters[[#All],[INT]],MATCH(Table5[[#This Row],[PID]],Batters[[#All],[PID]],0)),INDEX(Table3[[#All],[INT]],MATCH(Table5[[#This Row],[PID]],Table3[[#All],[PID]],0)))</f>
        <v>High</v>
      </c>
      <c r="L738" s="60">
        <f>IF($C738="B",INDEX(Batters[[#All],[CON P]],MATCH(Table5[[#This Row],[PID]],Batters[[#All],[PID]],0)),INDEX(Table3[[#All],[STU P]],MATCH(Table5[[#This Row],[PID]],Table3[[#All],[PID]],0)))</f>
        <v>3</v>
      </c>
      <c r="M738" s="56">
        <f>IF($C738="B",INDEX(Batters[[#All],[GAP P]],MATCH(Table5[[#This Row],[PID]],Batters[[#All],[PID]],0)),INDEX(Table3[[#All],[MOV P]],MATCH(Table5[[#This Row],[PID]],Table3[[#All],[PID]],0)))</f>
        <v>5</v>
      </c>
      <c r="N738" s="56">
        <f>IF($C738="B",INDEX(Batters[[#All],[POW P]],MATCH(Table5[[#This Row],[PID]],Batters[[#All],[PID]],0)),INDEX(Table3[[#All],[CON P]],MATCH(Table5[[#This Row],[PID]],Table3[[#All],[PID]],0)))</f>
        <v>3</v>
      </c>
      <c r="O738" s="56">
        <f>IF($C738="B",INDEX(Batters[[#All],[EYE P]],MATCH(Table5[[#This Row],[PID]],Batters[[#All],[PID]],0)),INDEX(Table3[[#All],[VELO]],MATCH(Table5[[#This Row],[PID]],Table3[[#All],[PID]],0)))</f>
        <v>5</v>
      </c>
      <c r="P738" s="56">
        <f>IF($C738="B",INDEX(Batters[[#All],[K P]],MATCH(Table5[[#This Row],[PID]],Batters[[#All],[PID]],0)),INDEX(Table3[[#All],[STM]],MATCH(Table5[[#This Row],[PID]],Table3[[#All],[PID]],0)))</f>
        <v>3</v>
      </c>
      <c r="Q738" s="61">
        <f>IF($C738="B",INDEX(Batters[[#All],[Tot]],MATCH(Table5[[#This Row],[PID]],Batters[[#All],[PID]],0)),INDEX(Table3[[#All],[Tot]],MATCH(Table5[[#This Row],[PID]],Table3[[#All],[PID]],0)))</f>
        <v>37.118046205619919</v>
      </c>
      <c r="R738" s="52">
        <f>IF($C738="B",INDEX(Batters[[#All],[zScore]],MATCH(Table5[[#This Row],[PID]],Batters[[#All],[PID]],0)),INDEX(Table3[[#All],[zScore]],MATCH(Table5[[#This Row],[PID]],Table3[[#All],[PID]],0)))</f>
        <v>-0.89047033019024924</v>
      </c>
      <c r="S738" s="58" t="str">
        <f>IF($C738="B",INDEX(Batters[[#All],[DEM]],MATCH(Table5[[#This Row],[PID]],Batters[[#All],[PID]],0)),INDEX(Table3[[#All],[DEM]],MATCH(Table5[[#This Row],[PID]],Table3[[#All],[PID]],0)))</f>
        <v>$110k</v>
      </c>
      <c r="T738" s="62">
        <f>IF($C738="B",INDEX(Batters[[#All],[Rnk]],MATCH(Table5[[#This Row],[PID]],Batters[[#All],[PID]],0)),INDEX(Table3[[#All],[Rnk]],MATCH(Table5[[#This Row],[PID]],Table3[[#All],[PID]],0)))</f>
        <v>930</v>
      </c>
      <c r="U738" s="67">
        <f>IF($C738="B",VLOOKUP($A738,Bat!$A$4:$BA$1314,47,FALSE),VLOOKUP($A738,Pit!$A$4:$BF$1214,56,FALSE))</f>
        <v>364</v>
      </c>
      <c r="V738" s="50">
        <f>IF($C738="B",VLOOKUP($A738,Bat!$A$4:$BA$1314,48,FALSE),VLOOKUP($A738,Pit!$A$4:$BF$1214,57,FALSE))</f>
        <v>0</v>
      </c>
      <c r="W738" s="68">
        <f>IF(Table5[[#This Row],[posRnk]]=999,9999,Table5[[#This Row],[posRnk]]+Table5[[#This Row],[zRnk]]+IF($W$3&lt;&gt;Table5[[#This Row],[Type]],50,0))</f>
        <v>1713</v>
      </c>
      <c r="X738" s="51">
        <f>RANK(Table5[[#This Row],[zScore]],Table5[[#All],[zScore]])</f>
        <v>733</v>
      </c>
      <c r="Y738" s="50">
        <f>IFERROR(INDEX(DraftResults[[#All],[OVR]],MATCH(Table5[[#This Row],[PID]],DraftResults[[#All],[Player ID]],0)),"")</f>
        <v>251</v>
      </c>
      <c r="Z738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8</v>
      </c>
      <c r="AA738" s="50">
        <f>IFERROR(INDEX(DraftResults[[#All],[Pick in Round]],MATCH(Table5[[#This Row],[PID]],DraftResults[[#All],[Player ID]],0)),"")</f>
        <v>18</v>
      </c>
      <c r="AB738" s="50" t="str">
        <f>IFERROR(INDEX(DraftResults[[#All],[Team Name]],MATCH(Table5[[#This Row],[PID]],DraftResults[[#All],[Player ID]],0)),"")</f>
        <v>San Juan Coqui</v>
      </c>
      <c r="AC738" s="50">
        <f>IF(Table5[[#This Row],[Ovr]]="","",IF(Table5[[#This Row],[cmbList]]="","",Table5[[#This Row],[cmbList]]-Table5[[#This Row],[Ovr]]))</f>
        <v>1462</v>
      </c>
      <c r="AD738" s="54" t="str">
        <f>IF(ISERROR(VLOOKUP($AB738&amp;"-"&amp;$E738&amp;" "&amp;F738,Bonuses!$B$1:$G$1006,4,FALSE)),"",INT(VLOOKUP($AB738&amp;"-"&amp;$E738&amp;" "&amp;$F738,Bonuses!$B$1:$G$1006,4,FALSE)))</f>
        <v/>
      </c>
      <c r="AE738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8.18 (251) - C Michael González</v>
      </c>
    </row>
    <row r="739" spans="1:31" s="50" customFormat="1" x14ac:dyDescent="0.3">
      <c r="A739" s="50">
        <v>16902</v>
      </c>
      <c r="B739" s="50">
        <f>COUNTIF(Table5[PID],A739)</f>
        <v>1</v>
      </c>
      <c r="C739" s="50" t="str">
        <f>IF(COUNTIF(Table3[[#All],[PID]],A739)&gt;0,"P","B")</f>
        <v>B</v>
      </c>
      <c r="D739" s="59" t="str">
        <f>IF($C739="B",INDEX(Batters[[#All],[POS]],MATCH(Table5[[#This Row],[PID]],Batters[[#All],[PID]],0)),INDEX(Table3[[#All],[POS]],MATCH(Table5[[#This Row],[PID]],Table3[[#All],[PID]],0)))</f>
        <v>C</v>
      </c>
      <c r="E739" s="52" t="str">
        <f>IF($C739="B",INDEX(Batters[[#All],[First]],MATCH(Table5[[#This Row],[PID]],Batters[[#All],[PID]],0)),INDEX(Table3[[#All],[First]],MATCH(Table5[[#This Row],[PID]],Table3[[#All],[PID]],0)))</f>
        <v>Terry</v>
      </c>
      <c r="F739" s="50" t="str">
        <f>IF($C739="B",INDEX(Batters[[#All],[Last]],MATCH(A739,Batters[[#All],[PID]],0)),INDEX(Table3[[#All],[Last]],MATCH(A739,Table3[[#All],[PID]],0)))</f>
        <v>O'Slattery</v>
      </c>
      <c r="G739" s="56">
        <f>IF($C739="B",INDEX(Batters[[#All],[Age]],MATCH(Table5[[#This Row],[PID]],Batters[[#All],[PID]],0)),INDEX(Table3[[#All],[Age]],MATCH(Table5[[#This Row],[PID]],Table3[[#All],[PID]],0)))</f>
        <v>22</v>
      </c>
      <c r="H739" s="52" t="str">
        <f>IF($C739="B",INDEX(Batters[[#All],[B]],MATCH(Table5[[#This Row],[PID]],Batters[[#All],[PID]],0)),INDEX(Table3[[#All],[B]],MATCH(Table5[[#This Row],[PID]],Table3[[#All],[PID]],0)))</f>
        <v>R</v>
      </c>
      <c r="I739" s="52" t="str">
        <f>IF($C739="B",INDEX(Batters[[#All],[T]],MATCH(Table5[[#This Row],[PID]],Batters[[#All],[PID]],0)),INDEX(Table3[[#All],[T]],MATCH(Table5[[#This Row],[PID]],Table3[[#All],[PID]],0)))</f>
        <v>R</v>
      </c>
      <c r="J739" s="52" t="str">
        <f>IF($C739="B",INDEX(Batters[[#All],[WE]],MATCH(Table5[[#This Row],[PID]],Batters[[#All],[PID]],0)),INDEX(Table3[[#All],[WE]],MATCH(Table5[[#This Row],[PID]],Table3[[#All],[PID]],0)))</f>
        <v>Low</v>
      </c>
      <c r="K739" s="52" t="str">
        <f>IF($C739="B",INDEX(Batters[[#All],[INT]],MATCH(Table5[[#This Row],[PID]],Batters[[#All],[PID]],0)),INDEX(Table3[[#All],[INT]],MATCH(Table5[[#This Row],[PID]],Table3[[#All],[PID]],0)))</f>
        <v>Normal</v>
      </c>
      <c r="L739" s="60">
        <f>IF($C739="B",INDEX(Batters[[#All],[CON P]],MATCH(Table5[[#This Row],[PID]],Batters[[#All],[PID]],0)),INDEX(Table3[[#All],[STU P]],MATCH(Table5[[#This Row],[PID]],Table3[[#All],[PID]],0)))</f>
        <v>3</v>
      </c>
      <c r="M739" s="56">
        <f>IF($C739="B",INDEX(Batters[[#All],[GAP P]],MATCH(Table5[[#This Row],[PID]],Batters[[#All],[PID]],0)),INDEX(Table3[[#All],[MOV P]],MATCH(Table5[[#This Row],[PID]],Table3[[#All],[PID]],0)))</f>
        <v>3</v>
      </c>
      <c r="N739" s="56">
        <f>IF($C739="B",INDEX(Batters[[#All],[POW P]],MATCH(Table5[[#This Row],[PID]],Batters[[#All],[PID]],0)),INDEX(Table3[[#All],[CON P]],MATCH(Table5[[#This Row],[PID]],Table3[[#All],[PID]],0)))</f>
        <v>3</v>
      </c>
      <c r="O739" s="56">
        <f>IF($C739="B",INDEX(Batters[[#All],[EYE P]],MATCH(Table5[[#This Row],[PID]],Batters[[#All],[PID]],0)),INDEX(Table3[[#All],[VELO]],MATCH(Table5[[#This Row],[PID]],Table3[[#All],[PID]],0)))</f>
        <v>5</v>
      </c>
      <c r="P739" s="56">
        <f>IF($C739="B",INDEX(Batters[[#All],[K P]],MATCH(Table5[[#This Row],[PID]],Batters[[#All],[PID]],0)),INDEX(Table3[[#All],[STM]],MATCH(Table5[[#This Row],[PID]],Table3[[#All],[PID]],0)))</f>
        <v>2</v>
      </c>
      <c r="Q739" s="61">
        <f>IF($C739="B",INDEX(Batters[[#All],[Tot]],MATCH(Table5[[#This Row],[PID]],Batters[[#All],[PID]],0)),INDEX(Table3[[#All],[Tot]],MATCH(Table5[[#This Row],[PID]],Table3[[#All],[PID]],0)))</f>
        <v>37.107307029004161</v>
      </c>
      <c r="R739" s="52">
        <f>IF($C739="B",INDEX(Batters[[#All],[zScore]],MATCH(Table5[[#This Row],[PID]],Batters[[#All],[PID]],0)),INDEX(Table3[[#All],[zScore]],MATCH(Table5[[#This Row],[PID]],Table3[[#All],[PID]],0)))</f>
        <v>-0.89203790750001821</v>
      </c>
      <c r="S739" s="58" t="str">
        <f>IF($C739="B",INDEX(Batters[[#All],[DEM]],MATCH(Table5[[#This Row],[PID]],Batters[[#All],[PID]],0)),INDEX(Table3[[#All],[DEM]],MATCH(Table5[[#This Row],[PID]],Table3[[#All],[PID]],0)))</f>
        <v>$20k</v>
      </c>
      <c r="T739" s="62">
        <f>IF($C739="B",INDEX(Batters[[#All],[Rnk]],MATCH(Table5[[#This Row],[PID]],Batters[[#All],[PID]],0)),INDEX(Table3[[#All],[Rnk]],MATCH(Table5[[#This Row],[PID]],Table3[[#All],[PID]],0)))</f>
        <v>930</v>
      </c>
      <c r="U739" s="67">
        <f>IF($C739="B",VLOOKUP($A739,Bat!$A$4:$BA$1314,47,FALSE),VLOOKUP($A739,Pit!$A$4:$BF$1214,56,FALSE))</f>
        <v>374</v>
      </c>
      <c r="V739" s="50">
        <f>IF($C739="B",VLOOKUP($A739,Bat!$A$4:$BA$1314,48,FALSE),VLOOKUP($A739,Pit!$A$4:$BF$1214,57,FALSE))</f>
        <v>0</v>
      </c>
      <c r="W739" s="68">
        <f>IF(Table5[[#This Row],[posRnk]]=999,9999,Table5[[#This Row],[posRnk]]+Table5[[#This Row],[zRnk]]+IF($W$3&lt;&gt;Table5[[#This Row],[Type]],50,0))</f>
        <v>1714</v>
      </c>
      <c r="X739" s="51">
        <f>RANK(Table5[[#This Row],[zScore]],Table5[[#All],[zScore]])</f>
        <v>734</v>
      </c>
      <c r="Y739" s="50" t="str">
        <f>IFERROR(INDEX(DraftResults[[#All],[OVR]],MATCH(Table5[[#This Row],[PID]],DraftResults[[#All],[Player ID]],0)),"")</f>
        <v/>
      </c>
      <c r="Z739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/>
      </c>
      <c r="AA739" s="50" t="str">
        <f>IFERROR(INDEX(DraftResults[[#All],[Pick in Round]],MATCH(Table5[[#This Row],[PID]],DraftResults[[#All],[Player ID]],0)),"")</f>
        <v/>
      </c>
      <c r="AB739" s="50" t="str">
        <f>IFERROR(INDEX(DraftResults[[#All],[Team Name]],MATCH(Table5[[#This Row],[PID]],DraftResults[[#All],[Player ID]],0)),"")</f>
        <v/>
      </c>
      <c r="AC739" s="50" t="str">
        <f>IF(Table5[[#This Row],[Ovr]]="","",IF(Table5[[#This Row],[cmbList]]="","",Table5[[#This Row],[cmbList]]-Table5[[#This Row],[Ovr]]))</f>
        <v/>
      </c>
      <c r="AD739" s="54" t="str">
        <f>IF(ISERROR(VLOOKUP($AB739&amp;"-"&amp;$E739&amp;" "&amp;F739,Bonuses!$B$1:$G$1006,4,FALSE)),"",INT(VLOOKUP($AB739&amp;"-"&amp;$E739&amp;" "&amp;$F739,Bonuses!$B$1:$G$1006,4,FALSE)))</f>
        <v/>
      </c>
      <c r="AE739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/>
      </c>
    </row>
    <row r="740" spans="1:31" s="50" customFormat="1" x14ac:dyDescent="0.3">
      <c r="A740" s="50">
        <v>12285</v>
      </c>
      <c r="B740" s="50">
        <f>COUNTIF(Table5[PID],A740)</f>
        <v>1</v>
      </c>
      <c r="C740" s="50" t="str">
        <f>IF(COUNTIF(Table3[[#All],[PID]],A740)&gt;0,"P","B")</f>
        <v>P</v>
      </c>
      <c r="D740" s="59" t="str">
        <f>IF($C740="B",INDEX(Batters[[#All],[POS]],MATCH(Table5[[#This Row],[PID]],Batters[[#All],[PID]],0)),INDEX(Table3[[#All],[POS]],MATCH(Table5[[#This Row],[PID]],Table3[[#All],[PID]],0)))</f>
        <v>RP</v>
      </c>
      <c r="E740" s="52" t="str">
        <f>IF($C740="B",INDEX(Batters[[#All],[First]],MATCH(Table5[[#This Row],[PID]],Batters[[#All],[PID]],0)),INDEX(Table3[[#All],[First]],MATCH(Table5[[#This Row],[PID]],Table3[[#All],[PID]],0)))</f>
        <v>Ángel</v>
      </c>
      <c r="F740" s="50" t="str">
        <f>IF($C740="B",INDEX(Batters[[#All],[Last]],MATCH(A740,Batters[[#All],[PID]],0)),INDEX(Table3[[#All],[Last]],MATCH(A740,Table3[[#All],[PID]],0)))</f>
        <v>García</v>
      </c>
      <c r="G740" s="56">
        <f>IF($C740="B",INDEX(Batters[[#All],[Age]],MATCH(Table5[[#This Row],[PID]],Batters[[#All],[PID]],0)),INDEX(Table3[[#All],[Age]],MATCH(Table5[[#This Row],[PID]],Table3[[#All],[PID]],0)))</f>
        <v>21</v>
      </c>
      <c r="H740" s="52" t="str">
        <f>IF($C740="B",INDEX(Batters[[#All],[B]],MATCH(Table5[[#This Row],[PID]],Batters[[#All],[PID]],0)),INDEX(Table3[[#All],[B]],MATCH(Table5[[#This Row],[PID]],Table3[[#All],[PID]],0)))</f>
        <v>L</v>
      </c>
      <c r="I740" s="52" t="str">
        <f>IF($C740="B",INDEX(Batters[[#All],[T]],MATCH(Table5[[#This Row],[PID]],Batters[[#All],[PID]],0)),INDEX(Table3[[#All],[T]],MATCH(Table5[[#This Row],[PID]],Table3[[#All],[PID]],0)))</f>
        <v>R</v>
      </c>
      <c r="J740" s="52" t="str">
        <f>IF($C740="B",INDEX(Batters[[#All],[WE]],MATCH(Table5[[#This Row],[PID]],Batters[[#All],[PID]],0)),INDEX(Table3[[#All],[WE]],MATCH(Table5[[#This Row],[PID]],Table3[[#All],[PID]],0)))</f>
        <v>Normal</v>
      </c>
      <c r="K740" s="52" t="str">
        <f>IF($C740="B",INDEX(Batters[[#All],[INT]],MATCH(Table5[[#This Row],[PID]],Batters[[#All],[PID]],0)),INDEX(Table3[[#All],[INT]],MATCH(Table5[[#This Row],[PID]],Table3[[#All],[PID]],0)))</f>
        <v>Normal</v>
      </c>
      <c r="L740" s="60">
        <f>IF($C740="B",INDEX(Batters[[#All],[CON P]],MATCH(Table5[[#This Row],[PID]],Batters[[#All],[PID]],0)),INDEX(Table3[[#All],[STU P]],MATCH(Table5[[#This Row],[PID]],Table3[[#All],[PID]],0)))</f>
        <v>3</v>
      </c>
      <c r="M740" s="56">
        <f>IF($C740="B",INDEX(Batters[[#All],[GAP P]],MATCH(Table5[[#This Row],[PID]],Batters[[#All],[PID]],0)),INDEX(Table3[[#All],[MOV P]],MATCH(Table5[[#This Row],[PID]],Table3[[#All],[PID]],0)))</f>
        <v>2</v>
      </c>
      <c r="N740" s="56">
        <f>IF($C740="B",INDEX(Batters[[#All],[POW P]],MATCH(Table5[[#This Row],[PID]],Batters[[#All],[PID]],0)),INDEX(Table3[[#All],[CON P]],MATCH(Table5[[#This Row],[PID]],Table3[[#All],[PID]],0)))</f>
        <v>3</v>
      </c>
      <c r="O740" s="56" t="str">
        <f>IF($C740="B",INDEX(Batters[[#All],[EYE P]],MATCH(Table5[[#This Row],[PID]],Batters[[#All],[PID]],0)),INDEX(Table3[[#All],[VELO]],MATCH(Table5[[#This Row],[PID]],Table3[[#All],[PID]],0)))</f>
        <v>88-90 Mph</v>
      </c>
      <c r="P740" s="56">
        <f>IF($C740="B",INDEX(Batters[[#All],[K P]],MATCH(Table5[[#This Row],[PID]],Batters[[#All],[PID]],0)),INDEX(Table3[[#All],[STM]],MATCH(Table5[[#This Row],[PID]],Table3[[#All],[PID]],0)))</f>
        <v>8</v>
      </c>
      <c r="Q740" s="61">
        <f>IF($C740="B",INDEX(Batters[[#All],[Tot]],MATCH(Table5[[#This Row],[PID]],Batters[[#All],[PID]],0)),INDEX(Table3[[#All],[Tot]],MATCH(Table5[[#This Row],[PID]],Table3[[#All],[PID]],0)))</f>
        <v>24.307047967116265</v>
      </c>
      <c r="R740" s="52">
        <f>IF($C740="B",INDEX(Batters[[#All],[zScore]],MATCH(Table5[[#This Row],[PID]],Batters[[#All],[PID]],0)),INDEX(Table3[[#All],[zScore]],MATCH(Table5[[#This Row],[PID]],Table3[[#All],[PID]],0)))</f>
        <v>-0.96097697755022737</v>
      </c>
      <c r="S740" s="58" t="str">
        <f>IF($C740="B",INDEX(Batters[[#All],[DEM]],MATCH(Table5[[#This Row],[PID]],Batters[[#All],[PID]],0)),INDEX(Table3[[#All],[DEM]],MATCH(Table5[[#This Row],[PID]],Table3[[#All],[PID]],0)))</f>
        <v>$20k</v>
      </c>
      <c r="T740" s="62">
        <f>IF($C740="B",INDEX(Batters[[#All],[Rnk]],MATCH(Table5[[#This Row],[PID]],Batters[[#All],[PID]],0)),INDEX(Table3[[#All],[Rnk]],MATCH(Table5[[#This Row],[PID]],Table3[[#All],[PID]],0)))</f>
        <v>900</v>
      </c>
      <c r="U740" s="67">
        <f>IF($C740="B",VLOOKUP($A740,Bat!$A$4:$BA$1314,47,FALSE),VLOOKUP($A740,Pit!$A$4:$BF$1214,56,FALSE))</f>
        <v>243</v>
      </c>
      <c r="V740" s="50">
        <f>IF($C740="B",VLOOKUP($A740,Bat!$A$4:$BA$1314,48,FALSE),VLOOKUP($A740,Pit!$A$4:$BF$1214,57,FALSE))</f>
        <v>0</v>
      </c>
      <c r="W740" s="68">
        <f>IF(Table5[[#This Row],[posRnk]]=999,9999,Table5[[#This Row],[posRnk]]+Table5[[#This Row],[zRnk]]+IF($W$3&lt;&gt;Table5[[#This Row],[Type]],50,0))</f>
        <v>1665</v>
      </c>
      <c r="X740" s="51">
        <f>RANK(Table5[[#This Row],[zScore]],Table5[[#All],[zScore]])</f>
        <v>765</v>
      </c>
      <c r="Y740" s="50">
        <f>IFERROR(INDEX(DraftResults[[#All],[OVR]],MATCH(Table5[[#This Row],[PID]],DraftResults[[#All],[Player ID]],0)),"")</f>
        <v>407</v>
      </c>
      <c r="Z740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13</v>
      </c>
      <c r="AA740" s="50">
        <f>IFERROR(INDEX(DraftResults[[#All],[Pick in Round]],MATCH(Table5[[#This Row],[PID]],DraftResults[[#All],[Player ID]],0)),"")</f>
        <v>8</v>
      </c>
      <c r="AB740" s="50" t="str">
        <f>IFERROR(INDEX(DraftResults[[#All],[Team Name]],MATCH(Table5[[#This Row],[PID]],DraftResults[[#All],[Player ID]],0)),"")</f>
        <v>Gloucester Fishermen</v>
      </c>
      <c r="AC740" s="50">
        <f>IF(Table5[[#This Row],[Ovr]]="","",IF(Table5[[#This Row],[cmbList]]="","",Table5[[#This Row],[cmbList]]-Table5[[#This Row],[Ovr]]))</f>
        <v>1258</v>
      </c>
      <c r="AD740" s="54" t="str">
        <f>IF(ISERROR(VLOOKUP($AB740&amp;"-"&amp;$E740&amp;" "&amp;F740,Bonuses!$B$1:$G$1006,4,FALSE)),"",INT(VLOOKUP($AB740&amp;"-"&amp;$E740&amp;" "&amp;$F740,Bonuses!$B$1:$G$1006,4,FALSE)))</f>
        <v/>
      </c>
      <c r="AE740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13.8 (407) - RP Ángel García</v>
      </c>
    </row>
    <row r="741" spans="1:31" s="50" customFormat="1" x14ac:dyDescent="0.3">
      <c r="A741" s="50">
        <v>10688</v>
      </c>
      <c r="B741" s="50">
        <f>COUNTIF(Table5[PID],A741)</f>
        <v>1</v>
      </c>
      <c r="C741" s="50" t="str">
        <f>IF(COUNTIF(Table3[[#All],[PID]],A741)&gt;0,"P","B")</f>
        <v>P</v>
      </c>
      <c r="D741" s="59" t="str">
        <f>IF($C741="B",INDEX(Batters[[#All],[POS]],MATCH(Table5[[#This Row],[PID]],Batters[[#All],[PID]],0)),INDEX(Table3[[#All],[POS]],MATCH(Table5[[#This Row],[PID]],Table3[[#All],[PID]],0)))</f>
        <v>RP</v>
      </c>
      <c r="E741" s="52" t="str">
        <f>IF($C741="B",INDEX(Batters[[#All],[First]],MATCH(Table5[[#This Row],[PID]],Batters[[#All],[PID]],0)),INDEX(Table3[[#All],[First]],MATCH(Table5[[#This Row],[PID]],Table3[[#All],[PID]],0)))</f>
        <v>Kuma</v>
      </c>
      <c r="F741" s="50" t="str">
        <f>IF($C741="B",INDEX(Batters[[#All],[Last]],MATCH(A741,Batters[[#All],[PID]],0)),INDEX(Table3[[#All],[Last]],MATCH(A741,Table3[[#All],[PID]],0)))</f>
        <v>Matsubara</v>
      </c>
      <c r="G741" s="56">
        <f>IF($C741="B",INDEX(Batters[[#All],[Age]],MATCH(Table5[[#This Row],[PID]],Batters[[#All],[PID]],0)),INDEX(Table3[[#All],[Age]],MATCH(Table5[[#This Row],[PID]],Table3[[#All],[PID]],0)))</f>
        <v>21</v>
      </c>
      <c r="H741" s="52" t="str">
        <f>IF($C741="B",INDEX(Batters[[#All],[B]],MATCH(Table5[[#This Row],[PID]],Batters[[#All],[PID]],0)),INDEX(Table3[[#All],[B]],MATCH(Table5[[#This Row],[PID]],Table3[[#All],[PID]],0)))</f>
        <v>R</v>
      </c>
      <c r="I741" s="52" t="str">
        <f>IF($C741="B",INDEX(Batters[[#All],[T]],MATCH(Table5[[#This Row],[PID]],Batters[[#All],[PID]],0)),INDEX(Table3[[#All],[T]],MATCH(Table5[[#This Row],[PID]],Table3[[#All],[PID]],0)))</f>
        <v>R</v>
      </c>
      <c r="J741" s="52" t="str">
        <f>IF($C741="B",INDEX(Batters[[#All],[WE]],MATCH(Table5[[#This Row],[PID]],Batters[[#All],[PID]],0)),INDEX(Table3[[#All],[WE]],MATCH(Table5[[#This Row],[PID]],Table3[[#All],[PID]],0)))</f>
        <v>Normal</v>
      </c>
      <c r="K741" s="52" t="str">
        <f>IF($C741="B",INDEX(Batters[[#All],[INT]],MATCH(Table5[[#This Row],[PID]],Batters[[#All],[PID]],0)),INDEX(Table3[[#All],[INT]],MATCH(Table5[[#This Row],[PID]],Table3[[#All],[PID]],0)))</f>
        <v>Normal</v>
      </c>
      <c r="L741" s="60">
        <f>IF($C741="B",INDEX(Batters[[#All],[CON P]],MATCH(Table5[[#This Row],[PID]],Batters[[#All],[PID]],0)),INDEX(Table3[[#All],[STU P]],MATCH(Table5[[#This Row],[PID]],Table3[[#All],[PID]],0)))</f>
        <v>3</v>
      </c>
      <c r="M741" s="56">
        <f>IF($C741="B",INDEX(Batters[[#All],[GAP P]],MATCH(Table5[[#This Row],[PID]],Batters[[#All],[PID]],0)),INDEX(Table3[[#All],[MOV P]],MATCH(Table5[[#This Row],[PID]],Table3[[#All],[PID]],0)))</f>
        <v>2</v>
      </c>
      <c r="N741" s="56">
        <f>IF($C741="B",INDEX(Batters[[#All],[POW P]],MATCH(Table5[[#This Row],[PID]],Batters[[#All],[PID]],0)),INDEX(Table3[[#All],[CON P]],MATCH(Table5[[#This Row],[PID]],Table3[[#All],[PID]],0)))</f>
        <v>3</v>
      </c>
      <c r="O741" s="56" t="str">
        <f>IF($C741="B",INDEX(Batters[[#All],[EYE P]],MATCH(Table5[[#This Row],[PID]],Batters[[#All],[PID]],0)),INDEX(Table3[[#All],[VELO]],MATCH(Table5[[#This Row],[PID]],Table3[[#All],[PID]],0)))</f>
        <v>87-89 Mph</v>
      </c>
      <c r="P741" s="56">
        <f>IF($C741="B",INDEX(Batters[[#All],[K P]],MATCH(Table5[[#This Row],[PID]],Batters[[#All],[PID]],0)),INDEX(Table3[[#All],[STM]],MATCH(Table5[[#This Row],[PID]],Table3[[#All],[PID]],0)))</f>
        <v>7</v>
      </c>
      <c r="Q741" s="61">
        <f>IF($C741="B",INDEX(Batters[[#All],[Tot]],MATCH(Table5[[#This Row],[PID]],Batters[[#All],[PID]],0)),INDEX(Table3[[#All],[Tot]],MATCH(Table5[[#This Row],[PID]],Table3[[#All],[PID]],0)))</f>
        <v>24.307047967116265</v>
      </c>
      <c r="R741" s="52">
        <f>IF($C741="B",INDEX(Batters[[#All],[zScore]],MATCH(Table5[[#This Row],[PID]],Batters[[#All],[PID]],0)),INDEX(Table3[[#All],[zScore]],MATCH(Table5[[#This Row],[PID]],Table3[[#All],[PID]],0)))</f>
        <v>-0.96097697755022737</v>
      </c>
      <c r="S741" s="58" t="str">
        <f>IF($C741="B",INDEX(Batters[[#All],[DEM]],MATCH(Table5[[#This Row],[PID]],Batters[[#All],[PID]],0)),INDEX(Table3[[#All],[DEM]],MATCH(Table5[[#This Row],[PID]],Table3[[#All],[PID]],0)))</f>
        <v>-</v>
      </c>
      <c r="T741" s="62">
        <f>IF($C741="B",INDEX(Batters[[#All],[Rnk]],MATCH(Table5[[#This Row],[PID]],Batters[[#All],[PID]],0)),INDEX(Table3[[#All],[Rnk]],MATCH(Table5[[#This Row],[PID]],Table3[[#All],[PID]],0)))</f>
        <v>900</v>
      </c>
      <c r="U741" s="67">
        <f>IF($C741="B",VLOOKUP($A741,Bat!$A$4:$BA$1314,47,FALSE),VLOOKUP($A741,Pit!$A$4:$BF$1214,56,FALSE))</f>
        <v>244</v>
      </c>
      <c r="V741" s="50">
        <f>IF($C741="B",VLOOKUP($A741,Bat!$A$4:$BA$1314,48,FALSE),VLOOKUP($A741,Pit!$A$4:$BF$1214,57,FALSE))</f>
        <v>0</v>
      </c>
      <c r="W741" s="68">
        <f>IF(Table5[[#This Row],[posRnk]]=999,9999,Table5[[#This Row],[posRnk]]+Table5[[#This Row],[zRnk]]+IF($W$3&lt;&gt;Table5[[#This Row],[Type]],50,0))</f>
        <v>1665</v>
      </c>
      <c r="X741" s="51">
        <f>RANK(Table5[[#This Row],[zScore]],Table5[[#All],[zScore]])</f>
        <v>765</v>
      </c>
      <c r="Y741" s="50" t="str">
        <f>IFERROR(INDEX(DraftResults[[#All],[OVR]],MATCH(Table5[[#This Row],[PID]],DraftResults[[#All],[Player ID]],0)),"")</f>
        <v/>
      </c>
      <c r="Z741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/>
      </c>
      <c r="AA741" s="50" t="str">
        <f>IFERROR(INDEX(DraftResults[[#All],[Pick in Round]],MATCH(Table5[[#This Row],[PID]],DraftResults[[#All],[Player ID]],0)),"")</f>
        <v/>
      </c>
      <c r="AB741" s="50" t="str">
        <f>IFERROR(INDEX(DraftResults[[#All],[Team Name]],MATCH(Table5[[#This Row],[PID]],DraftResults[[#All],[Player ID]],0)),"")</f>
        <v/>
      </c>
      <c r="AC741" s="50" t="str">
        <f>IF(Table5[[#This Row],[Ovr]]="","",IF(Table5[[#This Row],[cmbList]]="","",Table5[[#This Row],[cmbList]]-Table5[[#This Row],[Ovr]]))</f>
        <v/>
      </c>
      <c r="AD741" s="54" t="str">
        <f>IF(ISERROR(VLOOKUP($AB741&amp;"-"&amp;$E741&amp;" "&amp;F741,Bonuses!$B$1:$G$1006,4,FALSE)),"",INT(VLOOKUP($AB741&amp;"-"&amp;$E741&amp;" "&amp;$F741,Bonuses!$B$1:$G$1006,4,FALSE)))</f>
        <v/>
      </c>
      <c r="AE741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/>
      </c>
    </row>
    <row r="742" spans="1:31" s="50" customFormat="1" x14ac:dyDescent="0.3">
      <c r="A742" s="67">
        <v>12976</v>
      </c>
      <c r="B742" s="68">
        <f>COUNTIF(Table5[PID],A742)</f>
        <v>1</v>
      </c>
      <c r="C742" s="68" t="str">
        <f>IF(COUNTIF(Table3[[#All],[PID]],A742)&gt;0,"P","B")</f>
        <v>P</v>
      </c>
      <c r="D742" s="59" t="str">
        <f>IF($C742="B",INDEX(Batters[[#All],[POS]],MATCH(Table5[[#This Row],[PID]],Batters[[#All],[PID]],0)),INDEX(Table3[[#All],[POS]],MATCH(Table5[[#This Row],[PID]],Table3[[#All],[PID]],0)))</f>
        <v>RP</v>
      </c>
      <c r="E742" s="52" t="str">
        <f>IF($C742="B",INDEX(Batters[[#All],[First]],MATCH(Table5[[#This Row],[PID]],Batters[[#All],[PID]],0)),INDEX(Table3[[#All],[First]],MATCH(Table5[[#This Row],[PID]],Table3[[#All],[PID]],0)))</f>
        <v>Naganori</v>
      </c>
      <c r="F742" s="55" t="str">
        <f>IF($C742="B",INDEX(Batters[[#All],[Last]],MATCH(A742,Batters[[#All],[PID]],0)),INDEX(Table3[[#All],[Last]],MATCH(A742,Table3[[#All],[PID]],0)))</f>
        <v>Yamane</v>
      </c>
      <c r="G742" s="56">
        <f>IF($C742="B",INDEX(Batters[[#All],[Age]],MATCH(Table5[[#This Row],[PID]],Batters[[#All],[PID]],0)),INDEX(Table3[[#All],[Age]],MATCH(Table5[[#This Row],[PID]],Table3[[#All],[PID]],0)))</f>
        <v>21</v>
      </c>
      <c r="H742" s="52" t="str">
        <f>IF($C742="B",INDEX(Batters[[#All],[B]],MATCH(Table5[[#This Row],[PID]],Batters[[#All],[PID]],0)),INDEX(Table3[[#All],[B]],MATCH(Table5[[#This Row],[PID]],Table3[[#All],[PID]],0)))</f>
        <v>R</v>
      </c>
      <c r="I742" s="52" t="str">
        <f>IF($C742="B",INDEX(Batters[[#All],[T]],MATCH(Table5[[#This Row],[PID]],Batters[[#All],[PID]],0)),INDEX(Table3[[#All],[T]],MATCH(Table5[[#This Row],[PID]],Table3[[#All],[PID]],0)))</f>
        <v>R</v>
      </c>
      <c r="J742" s="69" t="str">
        <f>IF($C742="B",INDEX(Batters[[#All],[WE]],MATCH(Table5[[#This Row],[PID]],Batters[[#All],[PID]],0)),INDEX(Table3[[#All],[WE]],MATCH(Table5[[#This Row],[PID]],Table3[[#All],[PID]],0)))</f>
        <v>Low</v>
      </c>
      <c r="K742" s="52" t="str">
        <f>IF($C742="B",INDEX(Batters[[#All],[INT]],MATCH(Table5[[#This Row],[PID]],Batters[[#All],[PID]],0)),INDEX(Table3[[#All],[INT]],MATCH(Table5[[#This Row],[PID]],Table3[[#All],[PID]],0)))</f>
        <v>Normal</v>
      </c>
      <c r="L742" s="60">
        <f>IF($C742="B",INDEX(Batters[[#All],[CON P]],MATCH(Table5[[#This Row],[PID]],Batters[[#All],[PID]],0)),INDEX(Table3[[#All],[STU P]],MATCH(Table5[[#This Row],[PID]],Table3[[#All],[PID]],0)))</f>
        <v>4</v>
      </c>
      <c r="M742" s="70">
        <f>IF($C742="B",INDEX(Batters[[#All],[GAP P]],MATCH(Table5[[#This Row],[PID]],Batters[[#All],[PID]],0)),INDEX(Table3[[#All],[MOV P]],MATCH(Table5[[#This Row],[PID]],Table3[[#All],[PID]],0)))</f>
        <v>1</v>
      </c>
      <c r="N742" s="70">
        <f>IF($C742="B",INDEX(Batters[[#All],[POW P]],MATCH(Table5[[#This Row],[PID]],Batters[[#All],[PID]],0)),INDEX(Table3[[#All],[CON P]],MATCH(Table5[[#This Row],[PID]],Table3[[#All],[PID]],0)))</f>
        <v>3</v>
      </c>
      <c r="O742" s="70" t="str">
        <f>IF($C742="B",INDEX(Batters[[#All],[EYE P]],MATCH(Table5[[#This Row],[PID]],Batters[[#All],[PID]],0)),INDEX(Table3[[#All],[VELO]],MATCH(Table5[[#This Row],[PID]],Table3[[#All],[PID]],0)))</f>
        <v>90-92 Mph</v>
      </c>
      <c r="P742" s="56">
        <f>IF($C742="B",INDEX(Batters[[#All],[K P]],MATCH(Table5[[#This Row],[PID]],Batters[[#All],[PID]],0)),INDEX(Table3[[#All],[STM]],MATCH(Table5[[#This Row],[PID]],Table3[[#All],[PID]],0)))</f>
        <v>6</v>
      </c>
      <c r="Q742" s="61">
        <f>IF($C742="B",INDEX(Batters[[#All],[Tot]],MATCH(Table5[[#This Row],[PID]],Batters[[#All],[PID]],0)),INDEX(Table3[[#All],[Tot]],MATCH(Table5[[#This Row],[PID]],Table3[[#All],[PID]],0)))</f>
        <v>25.047289749056581</v>
      </c>
      <c r="R742" s="52">
        <f>IF($C742="B",INDEX(Batters[[#All],[zScore]],MATCH(Table5[[#This Row],[PID]],Batters[[#All],[PID]],0)),INDEX(Table3[[#All],[zScore]],MATCH(Table5[[#This Row],[PID]],Table3[[#All],[PID]],0)))</f>
        <v>-0.90122827437502329</v>
      </c>
      <c r="S742" s="75" t="str">
        <f>IF($C742="B",INDEX(Batters[[#All],[DEM]],MATCH(Table5[[#This Row],[PID]],Batters[[#All],[PID]],0)),INDEX(Table3[[#All],[DEM]],MATCH(Table5[[#This Row],[PID]],Table3[[#All],[PID]],0)))</f>
        <v>$40k</v>
      </c>
      <c r="T742" s="72">
        <f>IF($C742="B",INDEX(Batters[[#All],[Rnk]],MATCH(Table5[[#This Row],[PID]],Batters[[#All],[PID]],0)),INDEX(Table3[[#All],[Rnk]],MATCH(Table5[[#This Row],[PID]],Table3[[#All],[PID]],0)))</f>
        <v>930</v>
      </c>
      <c r="U742" s="67">
        <f>IF($C742="B",VLOOKUP($A742,Bat!$A$4:$BA$1314,47,FALSE),VLOOKUP($A742,Pit!$A$4:$BF$1214,56,FALSE))</f>
        <v>359</v>
      </c>
      <c r="V742" s="50">
        <f>IF($C742="B",VLOOKUP($A742,Bat!$A$4:$BA$1314,48,FALSE),VLOOKUP($A742,Pit!$A$4:$BF$1214,57,FALSE))</f>
        <v>0</v>
      </c>
      <c r="W742" s="68">
        <f>IF(Table5[[#This Row],[posRnk]]=999,9999,Table5[[#This Row],[posRnk]]+Table5[[#This Row],[zRnk]]+IF($W$3&lt;&gt;Table5[[#This Row],[Type]],50,0))</f>
        <v>1667</v>
      </c>
      <c r="X742" s="71">
        <f>RANK(Table5[[#This Row],[zScore]],Table5[[#All],[zScore]])</f>
        <v>737</v>
      </c>
      <c r="Y742" s="68" t="str">
        <f>IFERROR(INDEX(DraftResults[[#All],[OVR]],MATCH(Table5[[#This Row],[PID]],DraftResults[[#All],[Player ID]],0)),"")</f>
        <v/>
      </c>
      <c r="Z742" s="7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/>
      </c>
      <c r="AA742" s="68" t="str">
        <f>IFERROR(INDEX(DraftResults[[#All],[Pick in Round]],MATCH(Table5[[#This Row],[PID]],DraftResults[[#All],[Player ID]],0)),"")</f>
        <v/>
      </c>
      <c r="AB742" s="68" t="str">
        <f>IFERROR(INDEX(DraftResults[[#All],[Team Name]],MATCH(Table5[[#This Row],[PID]],DraftResults[[#All],[Player ID]],0)),"")</f>
        <v/>
      </c>
      <c r="AC742" s="68" t="str">
        <f>IF(Table5[[#This Row],[Ovr]]="","",IF(Table5[[#This Row],[cmbList]]="","",Table5[[#This Row],[cmbList]]-Table5[[#This Row],[Ovr]]))</f>
        <v/>
      </c>
      <c r="AD742" s="74" t="str">
        <f>IF(ISERROR(VLOOKUP($AB742&amp;"-"&amp;$E742&amp;" "&amp;F742,Bonuses!$B$1:$G$1006,4,FALSE)),"",INT(VLOOKUP($AB742&amp;"-"&amp;$E742&amp;" "&amp;$F742,Bonuses!$B$1:$G$1006,4,FALSE)))</f>
        <v/>
      </c>
      <c r="AE742" s="68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/>
      </c>
    </row>
    <row r="743" spans="1:31" s="50" customFormat="1" x14ac:dyDescent="0.3">
      <c r="A743" s="50">
        <v>14413</v>
      </c>
      <c r="B743" s="50">
        <f>COUNTIF(Table5[PID],A743)</f>
        <v>1</v>
      </c>
      <c r="C743" s="50" t="str">
        <f>IF(COUNTIF(Table3[[#All],[PID]],A743)&gt;0,"P","B")</f>
        <v>B</v>
      </c>
      <c r="D743" s="59" t="str">
        <f>IF($C743="B",INDEX(Batters[[#All],[POS]],MATCH(Table5[[#This Row],[PID]],Batters[[#All],[PID]],0)),INDEX(Table3[[#All],[POS]],MATCH(Table5[[#This Row],[PID]],Table3[[#All],[PID]],0)))</f>
        <v>CF</v>
      </c>
      <c r="E743" s="52" t="str">
        <f>IF($C743="B",INDEX(Batters[[#All],[First]],MATCH(Table5[[#This Row],[PID]],Batters[[#All],[PID]],0)),INDEX(Table3[[#All],[First]],MATCH(Table5[[#This Row],[PID]],Table3[[#All],[PID]],0)))</f>
        <v>Jason</v>
      </c>
      <c r="F743" s="50" t="str">
        <f>IF($C743="B",INDEX(Batters[[#All],[Last]],MATCH(A743,Batters[[#All],[PID]],0)),INDEX(Table3[[#All],[Last]],MATCH(A743,Table3[[#All],[PID]],0)))</f>
        <v>Stephens</v>
      </c>
      <c r="G743" s="56">
        <f>IF($C743="B",INDEX(Batters[[#All],[Age]],MATCH(Table5[[#This Row],[PID]],Batters[[#All],[PID]],0)),INDEX(Table3[[#All],[Age]],MATCH(Table5[[#This Row],[PID]],Table3[[#All],[PID]],0)))</f>
        <v>21</v>
      </c>
      <c r="H743" s="52" t="str">
        <f>IF($C743="B",INDEX(Batters[[#All],[B]],MATCH(Table5[[#This Row],[PID]],Batters[[#All],[PID]],0)),INDEX(Table3[[#All],[B]],MATCH(Table5[[#This Row],[PID]],Table3[[#All],[PID]],0)))</f>
        <v>R</v>
      </c>
      <c r="I743" s="52" t="str">
        <f>IF($C743="B",INDEX(Batters[[#All],[T]],MATCH(Table5[[#This Row],[PID]],Batters[[#All],[PID]],0)),INDEX(Table3[[#All],[T]],MATCH(Table5[[#This Row],[PID]],Table3[[#All],[PID]],0)))</f>
        <v>R</v>
      </c>
      <c r="J743" s="52" t="str">
        <f>IF($C743="B",INDEX(Batters[[#All],[WE]],MATCH(Table5[[#This Row],[PID]],Batters[[#All],[PID]],0)),INDEX(Table3[[#All],[WE]],MATCH(Table5[[#This Row],[PID]],Table3[[#All],[PID]],0)))</f>
        <v>Normal</v>
      </c>
      <c r="K743" s="52" t="str">
        <f>IF($C743="B",INDEX(Batters[[#All],[INT]],MATCH(Table5[[#This Row],[PID]],Batters[[#All],[PID]],0)),INDEX(Table3[[#All],[INT]],MATCH(Table5[[#This Row],[PID]],Table3[[#All],[PID]],0)))</f>
        <v>Normal</v>
      </c>
      <c r="L743" s="60">
        <f>IF($C743="B",INDEX(Batters[[#All],[CON P]],MATCH(Table5[[#This Row],[PID]],Batters[[#All],[PID]],0)),INDEX(Table3[[#All],[STU P]],MATCH(Table5[[#This Row],[PID]],Table3[[#All],[PID]],0)))</f>
        <v>2</v>
      </c>
      <c r="M743" s="56">
        <f>IF($C743="B",INDEX(Batters[[#All],[GAP P]],MATCH(Table5[[#This Row],[PID]],Batters[[#All],[PID]],0)),INDEX(Table3[[#All],[MOV P]],MATCH(Table5[[#This Row],[PID]],Table3[[#All],[PID]],0)))</f>
        <v>6</v>
      </c>
      <c r="N743" s="56">
        <f>IF($C743="B",INDEX(Batters[[#All],[POW P]],MATCH(Table5[[#This Row],[PID]],Batters[[#All],[PID]],0)),INDEX(Table3[[#All],[CON P]],MATCH(Table5[[#This Row],[PID]],Table3[[#All],[PID]],0)))</f>
        <v>5</v>
      </c>
      <c r="O743" s="56">
        <f>IF($C743="B",INDEX(Batters[[#All],[EYE P]],MATCH(Table5[[#This Row],[PID]],Batters[[#All],[PID]],0)),INDEX(Table3[[#All],[VELO]],MATCH(Table5[[#This Row],[PID]],Table3[[#All],[PID]],0)))</f>
        <v>5</v>
      </c>
      <c r="P743" s="56">
        <f>IF($C743="B",INDEX(Batters[[#All],[K P]],MATCH(Table5[[#This Row],[PID]],Batters[[#All],[PID]],0)),INDEX(Table3[[#All],[STM]],MATCH(Table5[[#This Row],[PID]],Table3[[#All],[PID]],0)))</f>
        <v>2</v>
      </c>
      <c r="Q743" s="61">
        <f>IF($C743="B",INDEX(Batters[[#All],[Tot]],MATCH(Table5[[#This Row],[PID]],Batters[[#All],[PID]],0)),INDEX(Table3[[#All],[Tot]],MATCH(Table5[[#This Row],[PID]],Table3[[#All],[PID]],0)))</f>
        <v>36.457318276450906</v>
      </c>
      <c r="R743" s="52">
        <f>IF($C743="B",INDEX(Batters[[#All],[zScore]],MATCH(Table5[[#This Row],[PID]],Batters[[#All],[PID]],0)),INDEX(Table3[[#All],[zScore]],MATCH(Table5[[#This Row],[PID]],Table3[[#All],[PID]],0)))</f>
        <v>-0.96676750566594383</v>
      </c>
      <c r="S743" s="58" t="str">
        <f>IF($C743="B",INDEX(Batters[[#All],[DEM]],MATCH(Table5[[#This Row],[PID]],Batters[[#All],[PID]],0)),INDEX(Table3[[#All],[DEM]],MATCH(Table5[[#This Row],[PID]],Table3[[#All],[PID]],0)))</f>
        <v>-</v>
      </c>
      <c r="T743" s="62">
        <f>IF($C743="B",INDEX(Batters[[#All],[Rnk]],MATCH(Table5[[#This Row],[PID]],Batters[[#All],[PID]],0)),INDEX(Table3[[#All],[Rnk]],MATCH(Table5[[#This Row],[PID]],Table3[[#All],[PID]],0)))</f>
        <v>900</v>
      </c>
      <c r="U743" s="67">
        <f>IF($C743="B",VLOOKUP($A743,Bat!$A$4:$BA$1314,47,FALSE),VLOOKUP($A743,Pit!$A$4:$BF$1214,56,FALSE))</f>
        <v>263</v>
      </c>
      <c r="V743" s="50">
        <f>IF($C743="B",VLOOKUP($A743,Bat!$A$4:$BA$1314,48,FALSE),VLOOKUP($A743,Pit!$A$4:$BF$1214,57,FALSE))</f>
        <v>0</v>
      </c>
      <c r="W743" s="68">
        <f>IF(Table5[[#This Row],[posRnk]]=999,9999,Table5[[#This Row],[posRnk]]+Table5[[#This Row],[zRnk]]+IF($W$3&lt;&gt;Table5[[#This Row],[Type]],50,0))</f>
        <v>1718</v>
      </c>
      <c r="X743" s="51">
        <f>RANK(Table5[[#This Row],[zScore]],Table5[[#All],[zScore]])</f>
        <v>768</v>
      </c>
      <c r="Y743" s="50">
        <f>IFERROR(INDEX(DraftResults[[#All],[OVR]],MATCH(Table5[[#This Row],[PID]],DraftResults[[#All],[Player ID]],0)),"")</f>
        <v>304</v>
      </c>
      <c r="Z743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10</v>
      </c>
      <c r="AA743" s="50">
        <f>IFERROR(INDEX(DraftResults[[#All],[Pick in Round]],MATCH(Table5[[#This Row],[PID]],DraftResults[[#All],[Player ID]],0)),"")</f>
        <v>7</v>
      </c>
      <c r="AB743" s="50" t="str">
        <f>IFERROR(INDEX(DraftResults[[#All],[Team Name]],MATCH(Table5[[#This Row],[PID]],DraftResults[[#All],[Player ID]],0)),"")</f>
        <v>Hartford Harpoon</v>
      </c>
      <c r="AC743" s="50">
        <f>IF(Table5[[#This Row],[Ovr]]="","",IF(Table5[[#This Row],[cmbList]]="","",Table5[[#This Row],[cmbList]]-Table5[[#This Row],[Ovr]]))</f>
        <v>1414</v>
      </c>
      <c r="AD743" s="54" t="str">
        <f>IF(ISERROR(VLOOKUP($AB743&amp;"-"&amp;$E743&amp;" "&amp;F743,Bonuses!$B$1:$G$1006,4,FALSE)),"",INT(VLOOKUP($AB743&amp;"-"&amp;$E743&amp;" "&amp;$F743,Bonuses!$B$1:$G$1006,4,FALSE)))</f>
        <v/>
      </c>
      <c r="AE743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10.7 (304) - CF Jason Stephens</v>
      </c>
    </row>
    <row r="744" spans="1:31" s="50" customFormat="1" x14ac:dyDescent="0.3">
      <c r="A744" s="50">
        <v>16917</v>
      </c>
      <c r="B744" s="50">
        <f>COUNTIF(Table5[PID],A744)</f>
        <v>1</v>
      </c>
      <c r="C744" s="50" t="str">
        <f>IF(COUNTIF(Table3[[#All],[PID]],A744)&gt;0,"P","B")</f>
        <v>B</v>
      </c>
      <c r="D744" s="59" t="str">
        <f>IF($C744="B",INDEX(Batters[[#All],[POS]],MATCH(Table5[[#This Row],[PID]],Batters[[#All],[PID]],0)),INDEX(Table3[[#All],[POS]],MATCH(Table5[[#This Row],[PID]],Table3[[#All],[PID]],0)))</f>
        <v>3B</v>
      </c>
      <c r="E744" s="52" t="str">
        <f>IF($C744="B",INDEX(Batters[[#All],[First]],MATCH(Table5[[#This Row],[PID]],Batters[[#All],[PID]],0)),INDEX(Table3[[#All],[First]],MATCH(Table5[[#This Row],[PID]],Table3[[#All],[PID]],0)))</f>
        <v>Miguel</v>
      </c>
      <c r="F744" s="50" t="str">
        <f>IF($C744="B",INDEX(Batters[[#All],[Last]],MATCH(A744,Batters[[#All],[PID]],0)),INDEX(Table3[[#All],[Last]],MATCH(A744,Table3[[#All],[PID]],0)))</f>
        <v>Montáñez</v>
      </c>
      <c r="G744" s="56">
        <f>IF($C744="B",INDEX(Batters[[#All],[Age]],MATCH(Table5[[#This Row],[PID]],Batters[[#All],[PID]],0)),INDEX(Table3[[#All],[Age]],MATCH(Table5[[#This Row],[PID]],Table3[[#All],[PID]],0)))</f>
        <v>22</v>
      </c>
      <c r="H744" s="52" t="str">
        <f>IF($C744="B",INDEX(Batters[[#All],[B]],MATCH(Table5[[#This Row],[PID]],Batters[[#All],[PID]],0)),INDEX(Table3[[#All],[B]],MATCH(Table5[[#This Row],[PID]],Table3[[#All],[PID]],0)))</f>
        <v>R</v>
      </c>
      <c r="I744" s="52" t="str">
        <f>IF($C744="B",INDEX(Batters[[#All],[T]],MATCH(Table5[[#This Row],[PID]],Batters[[#All],[PID]],0)),INDEX(Table3[[#All],[T]],MATCH(Table5[[#This Row],[PID]],Table3[[#All],[PID]],0)))</f>
        <v>R</v>
      </c>
      <c r="J744" s="52" t="str">
        <f>IF($C744="B",INDEX(Batters[[#All],[WE]],MATCH(Table5[[#This Row],[PID]],Batters[[#All],[PID]],0)),INDEX(Table3[[#All],[WE]],MATCH(Table5[[#This Row],[PID]],Table3[[#All],[PID]],0)))</f>
        <v>Normal</v>
      </c>
      <c r="K744" s="52" t="str">
        <f>IF($C744="B",INDEX(Batters[[#All],[INT]],MATCH(Table5[[#This Row],[PID]],Batters[[#All],[PID]],0)),INDEX(Table3[[#All],[INT]],MATCH(Table5[[#This Row],[PID]],Table3[[#All],[PID]],0)))</f>
        <v>Normal</v>
      </c>
      <c r="L744" s="60">
        <f>IF($C744="B",INDEX(Batters[[#All],[CON P]],MATCH(Table5[[#This Row],[PID]],Batters[[#All],[PID]],0)),INDEX(Table3[[#All],[STU P]],MATCH(Table5[[#This Row],[PID]],Table3[[#All],[PID]],0)))</f>
        <v>3</v>
      </c>
      <c r="M744" s="56">
        <f>IF($C744="B",INDEX(Batters[[#All],[GAP P]],MATCH(Table5[[#This Row],[PID]],Batters[[#All],[PID]],0)),INDEX(Table3[[#All],[MOV P]],MATCH(Table5[[#This Row],[PID]],Table3[[#All],[PID]],0)))</f>
        <v>4</v>
      </c>
      <c r="N744" s="56">
        <f>IF($C744="B",INDEX(Batters[[#All],[POW P]],MATCH(Table5[[#This Row],[PID]],Batters[[#All],[PID]],0)),INDEX(Table3[[#All],[CON P]],MATCH(Table5[[#This Row],[PID]],Table3[[#All],[PID]],0)))</f>
        <v>4</v>
      </c>
      <c r="O744" s="56">
        <f>IF($C744="B",INDEX(Batters[[#All],[EYE P]],MATCH(Table5[[#This Row],[PID]],Batters[[#All],[PID]],0)),INDEX(Table3[[#All],[VELO]],MATCH(Table5[[#This Row],[PID]],Table3[[#All],[PID]],0)))</f>
        <v>4</v>
      </c>
      <c r="P744" s="56">
        <f>IF($C744="B",INDEX(Batters[[#All],[K P]],MATCH(Table5[[#This Row],[PID]],Batters[[#All],[PID]],0)),INDEX(Table3[[#All],[STM]],MATCH(Table5[[#This Row],[PID]],Table3[[#All],[PID]],0)))</f>
        <v>3</v>
      </c>
      <c r="Q744" s="61">
        <f>IF($C744="B",INDEX(Batters[[#All],[Tot]],MATCH(Table5[[#This Row],[PID]],Batters[[#All],[PID]],0)),INDEX(Table3[[#All],[Tot]],MATCH(Table5[[#This Row],[PID]],Table3[[#All],[PID]],0)))</f>
        <v>36.589864651985671</v>
      </c>
      <c r="R744" s="52">
        <f>IF($C744="B",INDEX(Batters[[#All],[zScore]],MATCH(Table5[[#This Row],[PID]],Batters[[#All],[PID]],0)),INDEX(Table3[[#All],[zScore]],MATCH(Table5[[#This Row],[PID]],Table3[[#All],[PID]],0)))</f>
        <v>-0.96756799312473618</v>
      </c>
      <c r="S744" s="58" t="str">
        <f>IF($C744="B",INDEX(Batters[[#All],[DEM]],MATCH(Table5[[#This Row],[PID]],Batters[[#All],[PID]],0)),INDEX(Table3[[#All],[DEM]],MATCH(Table5[[#This Row],[PID]],Table3[[#All],[PID]],0)))</f>
        <v>-</v>
      </c>
      <c r="T744" s="62">
        <f>IF($C744="B",INDEX(Batters[[#All],[Rnk]],MATCH(Table5[[#This Row],[PID]],Batters[[#All],[PID]],0)),INDEX(Table3[[#All],[Rnk]],MATCH(Table5[[#This Row],[PID]],Table3[[#All],[PID]],0)))</f>
        <v>900</v>
      </c>
      <c r="U744" s="67">
        <f>IF($C744="B",VLOOKUP($A744,Bat!$A$4:$BA$1314,47,FALSE),VLOOKUP($A744,Pit!$A$4:$BF$1214,56,FALSE))</f>
        <v>264</v>
      </c>
      <c r="V744" s="50">
        <f>IF($C744="B",VLOOKUP($A744,Bat!$A$4:$BA$1314,48,FALSE),VLOOKUP($A744,Pit!$A$4:$BF$1214,57,FALSE))</f>
        <v>0</v>
      </c>
      <c r="W744" s="68">
        <f>IF(Table5[[#This Row],[posRnk]]=999,9999,Table5[[#This Row],[posRnk]]+Table5[[#This Row],[zRnk]]+IF($W$3&lt;&gt;Table5[[#This Row],[Type]],50,0))</f>
        <v>1719</v>
      </c>
      <c r="X744" s="51">
        <f>RANK(Table5[[#This Row],[zScore]],Table5[[#All],[zScore]])</f>
        <v>769</v>
      </c>
      <c r="Y744" s="50">
        <f>IFERROR(INDEX(DraftResults[[#All],[OVR]],MATCH(Table5[[#This Row],[PID]],DraftResults[[#All],[Player ID]],0)),"")</f>
        <v>655</v>
      </c>
      <c r="Z744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20</v>
      </c>
      <c r="AA744" s="50">
        <f>IFERROR(INDEX(DraftResults[[#All],[Pick in Round]],MATCH(Table5[[#This Row],[PID]],DraftResults[[#All],[Player ID]],0)),"")</f>
        <v>18</v>
      </c>
      <c r="AB744" s="50" t="str">
        <f>IFERROR(INDEX(DraftResults[[#All],[Team Name]],MATCH(Table5[[#This Row],[PID]],DraftResults[[#All],[Player ID]],0)),"")</f>
        <v>San Juan Coqui</v>
      </c>
      <c r="AC744" s="50">
        <f>IF(Table5[[#This Row],[Ovr]]="","",IF(Table5[[#This Row],[cmbList]]="","",Table5[[#This Row],[cmbList]]-Table5[[#This Row],[Ovr]]))</f>
        <v>1064</v>
      </c>
      <c r="AD744" s="54" t="str">
        <f>IF(ISERROR(VLOOKUP($AB744&amp;"-"&amp;$E744&amp;" "&amp;F744,Bonuses!$B$1:$G$1006,4,FALSE)),"",INT(VLOOKUP($AB744&amp;"-"&amp;$E744&amp;" "&amp;$F744,Bonuses!$B$1:$G$1006,4,FALSE)))</f>
        <v/>
      </c>
      <c r="AE744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20.18 (655) - 3B Miguel Montáñez</v>
      </c>
    </row>
    <row r="745" spans="1:31" s="50" customFormat="1" x14ac:dyDescent="0.3">
      <c r="A745" s="67">
        <v>11989</v>
      </c>
      <c r="B745" s="68">
        <f>COUNTIF(Table5[PID],A745)</f>
        <v>1</v>
      </c>
      <c r="C745" s="68" t="str">
        <f>IF(COUNTIF(Table3[[#All],[PID]],A745)&gt;0,"P","B")</f>
        <v>B</v>
      </c>
      <c r="D745" s="59" t="str">
        <f>IF($C745="B",INDEX(Batters[[#All],[POS]],MATCH(Table5[[#This Row],[PID]],Batters[[#All],[PID]],0)),INDEX(Table3[[#All],[POS]],MATCH(Table5[[#This Row],[PID]],Table3[[#All],[PID]],0)))</f>
        <v>C</v>
      </c>
      <c r="E745" s="52" t="str">
        <f>IF($C745="B",INDEX(Batters[[#All],[First]],MATCH(Table5[[#This Row],[PID]],Batters[[#All],[PID]],0)),INDEX(Table3[[#All],[First]],MATCH(Table5[[#This Row],[PID]],Table3[[#All],[PID]],0)))</f>
        <v>Rafael</v>
      </c>
      <c r="F745" s="55" t="str">
        <f>IF($C745="B",INDEX(Batters[[#All],[Last]],MATCH(A745,Batters[[#All],[PID]],0)),INDEX(Table3[[#All],[Last]],MATCH(A745,Table3[[#All],[PID]],0)))</f>
        <v>Chávez</v>
      </c>
      <c r="G745" s="56">
        <f>IF($C745="B",INDEX(Batters[[#All],[Age]],MATCH(Table5[[#This Row],[PID]],Batters[[#All],[PID]],0)),INDEX(Table3[[#All],[Age]],MATCH(Table5[[#This Row],[PID]],Table3[[#All],[PID]],0)))</f>
        <v>18</v>
      </c>
      <c r="H745" s="52" t="str">
        <f>IF($C745="B",INDEX(Batters[[#All],[B]],MATCH(Table5[[#This Row],[PID]],Batters[[#All],[PID]],0)),INDEX(Table3[[#All],[B]],MATCH(Table5[[#This Row],[PID]],Table3[[#All],[PID]],0)))</f>
        <v>S</v>
      </c>
      <c r="I745" s="52" t="str">
        <f>IF($C745="B",INDEX(Batters[[#All],[T]],MATCH(Table5[[#This Row],[PID]],Batters[[#All],[PID]],0)),INDEX(Table3[[#All],[T]],MATCH(Table5[[#This Row],[PID]],Table3[[#All],[PID]],0)))</f>
        <v>R</v>
      </c>
      <c r="J745" s="69" t="str">
        <f>IF($C745="B",INDEX(Batters[[#All],[WE]],MATCH(Table5[[#This Row],[PID]],Batters[[#All],[PID]],0)),INDEX(Table3[[#All],[WE]],MATCH(Table5[[#This Row],[PID]],Table3[[#All],[PID]],0)))</f>
        <v>Low</v>
      </c>
      <c r="K745" s="52" t="str">
        <f>IF($C745="B",INDEX(Batters[[#All],[INT]],MATCH(Table5[[#This Row],[PID]],Batters[[#All],[PID]],0)),INDEX(Table3[[#All],[INT]],MATCH(Table5[[#This Row],[PID]],Table3[[#All],[PID]],0)))</f>
        <v>Normal</v>
      </c>
      <c r="L745" s="60">
        <f>IF($C745="B",INDEX(Batters[[#All],[CON P]],MATCH(Table5[[#This Row],[PID]],Batters[[#All],[PID]],0)),INDEX(Table3[[#All],[STU P]],MATCH(Table5[[#This Row],[PID]],Table3[[#All],[PID]],0)))</f>
        <v>2</v>
      </c>
      <c r="M745" s="70">
        <f>IF($C745="B",INDEX(Batters[[#All],[GAP P]],MATCH(Table5[[#This Row],[PID]],Batters[[#All],[PID]],0)),INDEX(Table3[[#All],[MOV P]],MATCH(Table5[[#This Row],[PID]],Table3[[#All],[PID]],0)))</f>
        <v>3</v>
      </c>
      <c r="N745" s="70">
        <f>IF($C745="B",INDEX(Batters[[#All],[POW P]],MATCH(Table5[[#This Row],[PID]],Batters[[#All],[PID]],0)),INDEX(Table3[[#All],[CON P]],MATCH(Table5[[#This Row],[PID]],Table3[[#All],[PID]],0)))</f>
        <v>2</v>
      </c>
      <c r="O745" s="70">
        <f>IF($C745="B",INDEX(Batters[[#All],[EYE P]],MATCH(Table5[[#This Row],[PID]],Batters[[#All],[PID]],0)),INDEX(Table3[[#All],[VELO]],MATCH(Table5[[#This Row],[PID]],Table3[[#All],[PID]],0)))</f>
        <v>5</v>
      </c>
      <c r="P745" s="56">
        <f>IF($C745="B",INDEX(Batters[[#All],[K P]],MATCH(Table5[[#This Row],[PID]],Batters[[#All],[PID]],0)),INDEX(Table3[[#All],[STM]],MATCH(Table5[[#This Row],[PID]],Table3[[#All],[PID]],0)))</f>
        <v>2</v>
      </c>
      <c r="Q745" s="61">
        <f>IF($C745="B",INDEX(Batters[[#All],[Tot]],MATCH(Table5[[#This Row],[PID]],Batters[[#All],[PID]],0)),INDEX(Table3[[#All],[Tot]],MATCH(Table5[[#This Row],[PID]],Table3[[#All],[PID]],0)))</f>
        <v>37.003976009248071</v>
      </c>
      <c r="R745" s="52">
        <f>IF($C745="B",INDEX(Batters[[#All],[zScore]],MATCH(Table5[[#This Row],[PID]],Batters[[#All],[PID]],0)),INDEX(Table3[[#All],[zScore]],MATCH(Table5[[#This Row],[PID]],Table3[[#All],[PID]],0)))</f>
        <v>-0.90712094112172736</v>
      </c>
      <c r="S745" s="75" t="str">
        <f>IF($C745="B",INDEX(Batters[[#All],[DEM]],MATCH(Table5[[#This Row],[PID]],Batters[[#All],[PID]],0)),INDEX(Table3[[#All],[DEM]],MATCH(Table5[[#This Row],[PID]],Table3[[#All],[PID]],0)))</f>
        <v>$65k</v>
      </c>
      <c r="T745" s="72">
        <f>IF($C745="B",INDEX(Batters[[#All],[Rnk]],MATCH(Table5[[#This Row],[PID]],Batters[[#All],[PID]],0)),INDEX(Table3[[#All],[Rnk]],MATCH(Table5[[#This Row],[PID]],Table3[[#All],[PID]],0)))</f>
        <v>930</v>
      </c>
      <c r="U745" s="67">
        <f>IF($C745="B",VLOOKUP($A745,Bat!$A$4:$BA$1314,47,FALSE),VLOOKUP($A745,Pit!$A$4:$BF$1214,56,FALSE))</f>
        <v>375</v>
      </c>
      <c r="V745" s="50">
        <f>IF($C745="B",VLOOKUP($A745,Bat!$A$4:$BA$1314,48,FALSE),VLOOKUP($A745,Pit!$A$4:$BF$1214,57,FALSE))</f>
        <v>0</v>
      </c>
      <c r="W745" s="68">
        <f>IF(Table5[[#This Row],[posRnk]]=999,9999,Table5[[#This Row],[posRnk]]+Table5[[#This Row],[zRnk]]+IF($W$3&lt;&gt;Table5[[#This Row],[Type]],50,0))</f>
        <v>1719</v>
      </c>
      <c r="X745" s="71">
        <f>RANK(Table5[[#This Row],[zScore]],Table5[[#All],[zScore]])</f>
        <v>739</v>
      </c>
      <c r="Y745" s="68">
        <f>IFERROR(INDEX(DraftResults[[#All],[OVR]],MATCH(Table5[[#This Row],[PID]],DraftResults[[#All],[Player ID]],0)),"")</f>
        <v>653</v>
      </c>
      <c r="Z745" s="7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20</v>
      </c>
      <c r="AA745" s="68">
        <f>IFERROR(INDEX(DraftResults[[#All],[Pick in Round]],MATCH(Table5[[#This Row],[PID]],DraftResults[[#All],[Player ID]],0)),"")</f>
        <v>16</v>
      </c>
      <c r="AB745" s="68" t="str">
        <f>IFERROR(INDEX(DraftResults[[#All],[Team Name]],MATCH(Table5[[#This Row],[PID]],DraftResults[[#All],[Player ID]],0)),"")</f>
        <v>Madison Malts</v>
      </c>
      <c r="AC745" s="68">
        <f>IF(Table5[[#This Row],[Ovr]]="","",IF(Table5[[#This Row],[cmbList]]="","",Table5[[#This Row],[cmbList]]-Table5[[#This Row],[Ovr]]))</f>
        <v>1066</v>
      </c>
      <c r="AD745" s="74" t="str">
        <f>IF(ISERROR(VLOOKUP($AB745&amp;"-"&amp;$E745&amp;" "&amp;F745,Bonuses!$B$1:$G$1006,4,FALSE)),"",INT(VLOOKUP($AB745&amp;"-"&amp;$E745&amp;" "&amp;$F745,Bonuses!$B$1:$G$1006,4,FALSE)))</f>
        <v/>
      </c>
      <c r="AE745" s="68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20.16 (653) - C Rafael Chávez</v>
      </c>
    </row>
    <row r="746" spans="1:31" s="50" customFormat="1" x14ac:dyDescent="0.3">
      <c r="A746" s="50">
        <v>6671</v>
      </c>
      <c r="B746" s="50">
        <f>COUNTIF(Table5[PID],A746)</f>
        <v>1</v>
      </c>
      <c r="C746" s="50" t="str">
        <f>IF(COUNTIF(Table3[[#All],[PID]],A746)&gt;0,"P","B")</f>
        <v>P</v>
      </c>
      <c r="D746" s="59" t="str">
        <f>IF($C746="B",INDEX(Batters[[#All],[POS]],MATCH(Table5[[#This Row],[PID]],Batters[[#All],[PID]],0)),INDEX(Table3[[#All],[POS]],MATCH(Table5[[#This Row],[PID]],Table3[[#All],[PID]],0)))</f>
        <v>RP</v>
      </c>
      <c r="E746" s="52" t="str">
        <f>IF($C746="B",INDEX(Batters[[#All],[First]],MATCH(Table5[[#This Row],[PID]],Batters[[#All],[PID]],0)),INDEX(Table3[[#All],[First]],MATCH(Table5[[#This Row],[PID]],Table3[[#All],[PID]],0)))</f>
        <v>Adam</v>
      </c>
      <c r="F746" s="50" t="str">
        <f>IF($C746="B",INDEX(Batters[[#All],[Last]],MATCH(A746,Batters[[#All],[PID]],0)),INDEX(Table3[[#All],[Last]],MATCH(A746,Table3[[#All],[PID]],0)))</f>
        <v>Dotson</v>
      </c>
      <c r="G746" s="56">
        <f>IF($C746="B",INDEX(Batters[[#All],[Age]],MATCH(Table5[[#This Row],[PID]],Batters[[#All],[PID]],0)),INDEX(Table3[[#All],[Age]],MATCH(Table5[[#This Row],[PID]],Table3[[#All],[PID]],0)))</f>
        <v>21</v>
      </c>
      <c r="H746" s="52" t="str">
        <f>IF($C746="B",INDEX(Batters[[#All],[B]],MATCH(Table5[[#This Row],[PID]],Batters[[#All],[PID]],0)),INDEX(Table3[[#All],[B]],MATCH(Table5[[#This Row],[PID]],Table3[[#All],[PID]],0)))</f>
        <v>L</v>
      </c>
      <c r="I746" s="52" t="str">
        <f>IF($C746="B",INDEX(Batters[[#All],[T]],MATCH(Table5[[#This Row],[PID]],Batters[[#All],[PID]],0)),INDEX(Table3[[#All],[T]],MATCH(Table5[[#This Row],[PID]],Table3[[#All],[PID]],0)))</f>
        <v>R</v>
      </c>
      <c r="J746" s="52" t="str">
        <f>IF($C746="B",INDEX(Batters[[#All],[WE]],MATCH(Table5[[#This Row],[PID]],Batters[[#All],[PID]],0)),INDEX(Table3[[#All],[WE]],MATCH(Table5[[#This Row],[PID]],Table3[[#All],[PID]],0)))</f>
        <v>Normal</v>
      </c>
      <c r="K746" s="52" t="str">
        <f>IF($C746="B",INDEX(Batters[[#All],[INT]],MATCH(Table5[[#This Row],[PID]],Batters[[#All],[PID]],0)),INDEX(Table3[[#All],[INT]],MATCH(Table5[[#This Row],[PID]],Table3[[#All],[PID]],0)))</f>
        <v>Normal</v>
      </c>
      <c r="L746" s="60">
        <f>IF($C746="B",INDEX(Batters[[#All],[CON P]],MATCH(Table5[[#This Row],[PID]],Batters[[#All],[PID]],0)),INDEX(Table3[[#All],[STU P]],MATCH(Table5[[#This Row],[PID]],Table3[[#All],[PID]],0)))</f>
        <v>4</v>
      </c>
      <c r="M746" s="56">
        <f>IF($C746="B",INDEX(Batters[[#All],[GAP P]],MATCH(Table5[[#This Row],[PID]],Batters[[#All],[PID]],0)),INDEX(Table3[[#All],[MOV P]],MATCH(Table5[[#This Row],[PID]],Table3[[#All],[PID]],0)))</f>
        <v>1</v>
      </c>
      <c r="N746" s="56">
        <f>IF($C746="B",INDEX(Batters[[#All],[POW P]],MATCH(Table5[[#This Row],[PID]],Batters[[#All],[PID]],0)),INDEX(Table3[[#All],[CON P]],MATCH(Table5[[#This Row],[PID]],Table3[[#All],[PID]],0)))</f>
        <v>3</v>
      </c>
      <c r="O746" s="56" t="str">
        <f>IF($C746="B",INDEX(Batters[[#All],[EYE P]],MATCH(Table5[[#This Row],[PID]],Batters[[#All],[PID]],0)),INDEX(Table3[[#All],[VELO]],MATCH(Table5[[#This Row],[PID]],Table3[[#All],[PID]],0)))</f>
        <v>88-90 Mph</v>
      </c>
      <c r="P746" s="56">
        <f>IF($C746="B",INDEX(Batters[[#All],[K P]],MATCH(Table5[[#This Row],[PID]],Batters[[#All],[PID]],0)),INDEX(Table3[[#All],[STM]],MATCH(Table5[[#This Row],[PID]],Table3[[#All],[PID]],0)))</f>
        <v>9</v>
      </c>
      <c r="Q746" s="61">
        <f>IF($C746="B",INDEX(Batters[[#All],[Tot]],MATCH(Table5[[#This Row],[PID]],Batters[[#All],[PID]],0)),INDEX(Table3[[#All],[Tot]],MATCH(Table5[[#This Row],[PID]],Table3[[#All],[PID]],0)))</f>
        <v>24.151617898623428</v>
      </c>
      <c r="R746" s="52">
        <f>IF($C746="B",INDEX(Batters[[#All],[zScore]],MATCH(Table5[[#This Row],[PID]],Batters[[#All],[PID]],0)),INDEX(Table3[[#All],[zScore]],MATCH(Table5[[#This Row],[PID]],Table3[[#All],[PID]],0)))</f>
        <v>-0.97204469154684559</v>
      </c>
      <c r="S746" s="58" t="str">
        <f>IF($C746="B",INDEX(Batters[[#All],[DEM]],MATCH(Table5[[#This Row],[PID]],Batters[[#All],[PID]],0)),INDEX(Table3[[#All],[DEM]],MATCH(Table5[[#This Row],[PID]],Table3[[#All],[PID]],0)))</f>
        <v>-</v>
      </c>
      <c r="T746" s="62">
        <f>IF($C746="B",INDEX(Batters[[#All],[Rnk]],MATCH(Table5[[#This Row],[PID]],Batters[[#All],[PID]],0)),INDEX(Table3[[#All],[Rnk]],MATCH(Table5[[#This Row],[PID]],Table3[[#All],[PID]],0)))</f>
        <v>900</v>
      </c>
      <c r="U746" s="67">
        <f>IF($C746="B",VLOOKUP($A746,Bat!$A$4:$BA$1314,47,FALSE),VLOOKUP($A746,Pit!$A$4:$BF$1214,56,FALSE))</f>
        <v>245</v>
      </c>
      <c r="V746" s="50">
        <f>IF($C746="B",VLOOKUP($A746,Bat!$A$4:$BA$1314,48,FALSE),VLOOKUP($A746,Pit!$A$4:$BF$1214,57,FALSE))</f>
        <v>0</v>
      </c>
      <c r="W746" s="68">
        <f>IF(Table5[[#This Row],[posRnk]]=999,9999,Table5[[#This Row],[posRnk]]+Table5[[#This Row],[zRnk]]+IF($W$3&lt;&gt;Table5[[#This Row],[Type]],50,0))</f>
        <v>1670</v>
      </c>
      <c r="X746" s="51">
        <f>RANK(Table5[[#This Row],[zScore]],Table5[[#All],[zScore]])</f>
        <v>770</v>
      </c>
      <c r="Y746" s="50">
        <f>IFERROR(INDEX(DraftResults[[#All],[OVR]],MATCH(Table5[[#This Row],[PID]],DraftResults[[#All],[Player ID]],0)),"")</f>
        <v>552</v>
      </c>
      <c r="Z746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17</v>
      </c>
      <c r="AA746" s="50">
        <f>IFERROR(INDEX(DraftResults[[#All],[Pick in Round]],MATCH(Table5[[#This Row],[PID]],DraftResults[[#All],[Player ID]],0)),"")</f>
        <v>17</v>
      </c>
      <c r="AB746" s="50" t="str">
        <f>IFERROR(INDEX(DraftResults[[#All],[Team Name]],MATCH(Table5[[#This Row],[PID]],DraftResults[[#All],[Player ID]],0)),"")</f>
        <v>Duluth Warriors</v>
      </c>
      <c r="AC746" s="50">
        <f>IF(Table5[[#This Row],[Ovr]]="","",IF(Table5[[#This Row],[cmbList]]="","",Table5[[#This Row],[cmbList]]-Table5[[#This Row],[Ovr]]))</f>
        <v>1118</v>
      </c>
      <c r="AD746" s="54" t="str">
        <f>IF(ISERROR(VLOOKUP($AB746&amp;"-"&amp;$E746&amp;" "&amp;F746,Bonuses!$B$1:$G$1006,4,FALSE)),"",INT(VLOOKUP($AB746&amp;"-"&amp;$E746&amp;" "&amp;$F746,Bonuses!$B$1:$G$1006,4,FALSE)))</f>
        <v/>
      </c>
      <c r="AE746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17.17 (552) - RP Adam Dotson</v>
      </c>
    </row>
    <row r="747" spans="1:31" s="50" customFormat="1" x14ac:dyDescent="0.3">
      <c r="A747" s="50">
        <v>5192</v>
      </c>
      <c r="B747" s="50">
        <f>COUNTIF(Table5[PID],A747)</f>
        <v>1</v>
      </c>
      <c r="C747" s="50" t="str">
        <f>IF(COUNTIF(Table3[[#All],[PID]],A747)&gt;0,"P","B")</f>
        <v>B</v>
      </c>
      <c r="D747" s="59" t="str">
        <f>IF($C747="B",INDEX(Batters[[#All],[POS]],MATCH(Table5[[#This Row],[PID]],Batters[[#All],[PID]],0)),INDEX(Table3[[#All],[POS]],MATCH(Table5[[#This Row],[PID]],Table3[[#All],[PID]],0)))</f>
        <v>C</v>
      </c>
      <c r="E747" s="52" t="str">
        <f>IF($C747="B",INDEX(Batters[[#All],[First]],MATCH(Table5[[#This Row],[PID]],Batters[[#All],[PID]],0)),INDEX(Table3[[#All],[First]],MATCH(Table5[[#This Row],[PID]],Table3[[#All],[PID]],0)))</f>
        <v>José</v>
      </c>
      <c r="F747" s="50" t="str">
        <f>IF($C747="B",INDEX(Batters[[#All],[Last]],MATCH(A747,Batters[[#All],[PID]],0)),INDEX(Table3[[#All],[Last]],MATCH(A747,Table3[[#All],[PID]],0)))</f>
        <v>Ramos</v>
      </c>
      <c r="G747" s="56">
        <f>IF($C747="B",INDEX(Batters[[#All],[Age]],MATCH(Table5[[#This Row],[PID]],Batters[[#All],[PID]],0)),INDEX(Table3[[#All],[Age]],MATCH(Table5[[#This Row],[PID]],Table3[[#All],[PID]],0)))</f>
        <v>21</v>
      </c>
      <c r="H747" s="52" t="str">
        <f>IF($C747="B",INDEX(Batters[[#All],[B]],MATCH(Table5[[#This Row],[PID]],Batters[[#All],[PID]],0)),INDEX(Table3[[#All],[B]],MATCH(Table5[[#This Row],[PID]],Table3[[#All],[PID]],0)))</f>
        <v>R</v>
      </c>
      <c r="I747" s="52" t="str">
        <f>IF($C747="B",INDEX(Batters[[#All],[T]],MATCH(Table5[[#This Row],[PID]],Batters[[#All],[PID]],0)),INDEX(Table3[[#All],[T]],MATCH(Table5[[#This Row],[PID]],Table3[[#All],[PID]],0)))</f>
        <v>R</v>
      </c>
      <c r="J747" s="52" t="str">
        <f>IF($C747="B",INDEX(Batters[[#All],[WE]],MATCH(Table5[[#This Row],[PID]],Batters[[#All],[PID]],0)),INDEX(Table3[[#All],[WE]],MATCH(Table5[[#This Row],[PID]],Table3[[#All],[PID]],0)))</f>
        <v>Low</v>
      </c>
      <c r="K747" s="52" t="str">
        <f>IF($C747="B",INDEX(Batters[[#All],[INT]],MATCH(Table5[[#This Row],[PID]],Batters[[#All],[PID]],0)),INDEX(Table3[[#All],[INT]],MATCH(Table5[[#This Row],[PID]],Table3[[#All],[PID]],0)))</f>
        <v>Normal</v>
      </c>
      <c r="L747" s="60">
        <f>IF($C747="B",INDEX(Batters[[#All],[CON P]],MATCH(Table5[[#This Row],[PID]],Batters[[#All],[PID]],0)),INDEX(Table3[[#All],[STU P]],MATCH(Table5[[#This Row],[PID]],Table3[[#All],[PID]],0)))</f>
        <v>3</v>
      </c>
      <c r="M747" s="56">
        <f>IF($C747="B",INDEX(Batters[[#All],[GAP P]],MATCH(Table5[[#This Row],[PID]],Batters[[#All],[PID]],0)),INDEX(Table3[[#All],[MOV P]],MATCH(Table5[[#This Row],[PID]],Table3[[#All],[PID]],0)))</f>
        <v>3</v>
      </c>
      <c r="N747" s="56">
        <f>IF($C747="B",INDEX(Batters[[#All],[POW P]],MATCH(Table5[[#This Row],[PID]],Batters[[#All],[PID]],0)),INDEX(Table3[[#All],[CON P]],MATCH(Table5[[#This Row],[PID]],Table3[[#All],[PID]],0)))</f>
        <v>4</v>
      </c>
      <c r="O747" s="56">
        <f>IF($C747="B",INDEX(Batters[[#All],[EYE P]],MATCH(Table5[[#This Row],[PID]],Batters[[#All],[PID]],0)),INDEX(Table3[[#All],[VELO]],MATCH(Table5[[#This Row],[PID]],Table3[[#All],[PID]],0)))</f>
        <v>4</v>
      </c>
      <c r="P747" s="56">
        <f>IF($C747="B",INDEX(Batters[[#All],[K P]],MATCH(Table5[[#This Row],[PID]],Batters[[#All],[PID]],0)),INDEX(Table3[[#All],[STM]],MATCH(Table5[[#This Row],[PID]],Table3[[#All],[PID]],0)))</f>
        <v>3</v>
      </c>
      <c r="Q747" s="61">
        <f>IF($C747="B",INDEX(Batters[[#All],[Tot]],MATCH(Table5[[#This Row],[PID]],Batters[[#All],[PID]],0)),INDEX(Table3[[#All],[Tot]],MATCH(Table5[[#This Row],[PID]],Table3[[#All],[PID]],0)))</f>
        <v>36.984678537017217</v>
      </c>
      <c r="R747" s="52">
        <f>IF($C747="B",INDEX(Batters[[#All],[zScore]],MATCH(Table5[[#This Row],[PID]],Batters[[#All],[PID]],0)),INDEX(Table3[[#All],[zScore]],MATCH(Table5[[#This Row],[PID]],Table3[[#All],[PID]],0)))</f>
        <v>-0.90993775666423338</v>
      </c>
      <c r="S747" s="58" t="str">
        <f>IF($C747="B",INDEX(Batters[[#All],[DEM]],MATCH(Table5[[#This Row],[PID]],Batters[[#All],[PID]],0)),INDEX(Table3[[#All],[DEM]],MATCH(Table5[[#This Row],[PID]],Table3[[#All],[PID]],0)))</f>
        <v>$110k</v>
      </c>
      <c r="T747" s="62">
        <f>IF($C747="B",INDEX(Batters[[#All],[Rnk]],MATCH(Table5[[#This Row],[PID]],Batters[[#All],[PID]],0)),INDEX(Table3[[#All],[Rnk]],MATCH(Table5[[#This Row],[PID]],Table3[[#All],[PID]],0)))</f>
        <v>930</v>
      </c>
      <c r="U747" s="67">
        <f>IF($C747="B",VLOOKUP($A747,Bat!$A$4:$BA$1314,47,FALSE),VLOOKUP($A747,Pit!$A$4:$BF$1214,56,FALSE))</f>
        <v>376</v>
      </c>
      <c r="V747" s="50">
        <f>IF($C747="B",VLOOKUP($A747,Bat!$A$4:$BA$1314,48,FALSE),VLOOKUP($A747,Pit!$A$4:$BF$1214,57,FALSE))</f>
        <v>0</v>
      </c>
      <c r="W747" s="68">
        <f>IF(Table5[[#This Row],[posRnk]]=999,9999,Table5[[#This Row],[posRnk]]+Table5[[#This Row],[zRnk]]+IF($W$3&lt;&gt;Table5[[#This Row],[Type]],50,0))</f>
        <v>1721</v>
      </c>
      <c r="X747" s="51">
        <f>RANK(Table5[[#This Row],[zScore]],Table5[[#All],[zScore]])</f>
        <v>741</v>
      </c>
      <c r="Y747" s="50" t="str">
        <f>IFERROR(INDEX(DraftResults[[#All],[OVR]],MATCH(Table5[[#This Row],[PID]],DraftResults[[#All],[Player ID]],0)),"")</f>
        <v/>
      </c>
      <c r="Z747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/>
      </c>
      <c r="AA747" s="50" t="str">
        <f>IFERROR(INDEX(DraftResults[[#All],[Pick in Round]],MATCH(Table5[[#This Row],[PID]],DraftResults[[#All],[Player ID]],0)),"")</f>
        <v/>
      </c>
      <c r="AB747" s="50" t="str">
        <f>IFERROR(INDEX(DraftResults[[#All],[Team Name]],MATCH(Table5[[#This Row],[PID]],DraftResults[[#All],[Player ID]],0)),"")</f>
        <v/>
      </c>
      <c r="AC747" s="50" t="str">
        <f>IF(Table5[[#This Row],[Ovr]]="","",IF(Table5[[#This Row],[cmbList]]="","",Table5[[#This Row],[cmbList]]-Table5[[#This Row],[Ovr]]))</f>
        <v/>
      </c>
      <c r="AD747" s="54" t="str">
        <f>IF(ISERROR(VLOOKUP($AB747&amp;"-"&amp;$E747&amp;" "&amp;F747,Bonuses!$B$1:$G$1006,4,FALSE)),"",INT(VLOOKUP($AB747&amp;"-"&amp;$E747&amp;" "&amp;$F747,Bonuses!$B$1:$G$1006,4,FALSE)))</f>
        <v/>
      </c>
      <c r="AE747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/>
      </c>
    </row>
    <row r="748" spans="1:31" s="50" customFormat="1" x14ac:dyDescent="0.3">
      <c r="A748" s="50">
        <v>6459</v>
      </c>
      <c r="B748" s="50">
        <f>COUNTIF(Table5[PID],A748)</f>
        <v>1</v>
      </c>
      <c r="C748" s="50" t="str">
        <f>IF(COUNTIF(Table3[[#All],[PID]],A748)&gt;0,"P","B")</f>
        <v>P</v>
      </c>
      <c r="D748" s="59" t="str">
        <f>IF($C748="B",INDEX(Batters[[#All],[POS]],MATCH(Table5[[#This Row],[PID]],Batters[[#All],[PID]],0)),INDEX(Table3[[#All],[POS]],MATCH(Table5[[#This Row],[PID]],Table3[[#All],[PID]],0)))</f>
        <v>RP</v>
      </c>
      <c r="E748" s="52" t="str">
        <f>IF($C748="B",INDEX(Batters[[#All],[First]],MATCH(Table5[[#This Row],[PID]],Batters[[#All],[PID]],0)),INDEX(Table3[[#All],[First]],MATCH(Table5[[#This Row],[PID]],Table3[[#All],[PID]],0)))</f>
        <v>Mike</v>
      </c>
      <c r="F748" s="50" t="str">
        <f>IF($C748="B",INDEX(Batters[[#All],[Last]],MATCH(A748,Batters[[#All],[PID]],0)),INDEX(Table3[[#All],[Last]],MATCH(A748,Table3[[#All],[PID]],0)))</f>
        <v>Adams</v>
      </c>
      <c r="G748" s="56">
        <f>IF($C748="B",INDEX(Batters[[#All],[Age]],MATCH(Table5[[#This Row],[PID]],Batters[[#All],[PID]],0)),INDEX(Table3[[#All],[Age]],MATCH(Table5[[#This Row],[PID]],Table3[[#All],[PID]],0)))</f>
        <v>21</v>
      </c>
      <c r="H748" s="52" t="str">
        <f>IF($C748="B",INDEX(Batters[[#All],[B]],MATCH(Table5[[#This Row],[PID]],Batters[[#All],[PID]],0)),INDEX(Table3[[#All],[B]],MATCH(Table5[[#This Row],[PID]],Table3[[#All],[PID]],0)))</f>
        <v>L</v>
      </c>
      <c r="I748" s="52" t="str">
        <f>IF($C748="B",INDEX(Batters[[#All],[T]],MATCH(Table5[[#This Row],[PID]],Batters[[#All],[PID]],0)),INDEX(Table3[[#All],[T]],MATCH(Table5[[#This Row],[PID]],Table3[[#All],[PID]],0)))</f>
        <v>R</v>
      </c>
      <c r="J748" s="52" t="str">
        <f>IF($C748="B",INDEX(Batters[[#All],[WE]],MATCH(Table5[[#This Row],[PID]],Batters[[#All],[PID]],0)),INDEX(Table3[[#All],[WE]],MATCH(Table5[[#This Row],[PID]],Table3[[#All],[PID]],0)))</f>
        <v>Normal</v>
      </c>
      <c r="K748" s="52" t="str">
        <f>IF($C748="B",INDEX(Batters[[#All],[INT]],MATCH(Table5[[#This Row],[PID]],Batters[[#All],[PID]],0)),INDEX(Table3[[#All],[INT]],MATCH(Table5[[#This Row],[PID]],Table3[[#All],[PID]],0)))</f>
        <v>Normal</v>
      </c>
      <c r="L748" s="60">
        <f>IF($C748="B",INDEX(Batters[[#All],[CON P]],MATCH(Table5[[#This Row],[PID]],Batters[[#All],[PID]],0)),INDEX(Table3[[#All],[STU P]],MATCH(Table5[[#This Row],[PID]],Table3[[#All],[PID]],0)))</f>
        <v>4</v>
      </c>
      <c r="M748" s="56">
        <f>IF($C748="B",INDEX(Batters[[#All],[GAP P]],MATCH(Table5[[#This Row],[PID]],Batters[[#All],[PID]],0)),INDEX(Table3[[#All],[MOV P]],MATCH(Table5[[#This Row],[PID]],Table3[[#All],[PID]],0)))</f>
        <v>2</v>
      </c>
      <c r="N748" s="56">
        <f>IF($C748="B",INDEX(Batters[[#All],[POW P]],MATCH(Table5[[#This Row],[PID]],Batters[[#All],[PID]],0)),INDEX(Table3[[#All],[CON P]],MATCH(Table5[[#This Row],[PID]],Table3[[#All],[PID]],0)))</f>
        <v>2</v>
      </c>
      <c r="O748" s="56" t="str">
        <f>IF($C748="B",INDEX(Batters[[#All],[EYE P]],MATCH(Table5[[#This Row],[PID]],Batters[[#All],[PID]],0)),INDEX(Table3[[#All],[VELO]],MATCH(Table5[[#This Row],[PID]],Table3[[#All],[PID]],0)))</f>
        <v>91-93 Mph</v>
      </c>
      <c r="P748" s="56">
        <f>IF($C748="B",INDEX(Batters[[#All],[K P]],MATCH(Table5[[#This Row],[PID]],Batters[[#All],[PID]],0)),INDEX(Table3[[#All],[STM]],MATCH(Table5[[#This Row],[PID]],Table3[[#All],[PID]],0)))</f>
        <v>6</v>
      </c>
      <c r="Q748" s="61">
        <f>IF($C748="B",INDEX(Batters[[#All],[Tot]],MATCH(Table5[[#This Row],[PID]],Batters[[#All],[PID]],0)),INDEX(Table3[[#All],[Tot]],MATCH(Table5[[#This Row],[PID]],Table3[[#All],[PID]],0)))</f>
        <v>23.983566366091374</v>
      </c>
      <c r="R748" s="52">
        <f>IF($C748="B",INDEX(Batters[[#All],[zScore]],MATCH(Table5[[#This Row],[PID]],Batters[[#All],[PID]],0)),INDEX(Table3[[#All],[zScore]],MATCH(Table5[[#This Row],[PID]],Table3[[#All],[PID]],0)))</f>
        <v>-0.97690542169065808</v>
      </c>
      <c r="S748" s="58" t="str">
        <f>IF($C748="B",INDEX(Batters[[#All],[DEM]],MATCH(Table5[[#This Row],[PID]],Batters[[#All],[PID]],0)),INDEX(Table3[[#All],[DEM]],MATCH(Table5[[#This Row],[PID]],Table3[[#All],[PID]],0)))</f>
        <v>-</v>
      </c>
      <c r="T748" s="62">
        <f>IF($C748="B",INDEX(Batters[[#All],[Rnk]],MATCH(Table5[[#This Row],[PID]],Batters[[#All],[PID]],0)),INDEX(Table3[[#All],[Rnk]],MATCH(Table5[[#This Row],[PID]],Table3[[#All],[PID]],0)))</f>
        <v>900</v>
      </c>
      <c r="U748" s="67">
        <f>IF($C748="B",VLOOKUP($A748,Bat!$A$4:$BA$1314,47,FALSE),VLOOKUP($A748,Pit!$A$4:$BF$1214,56,FALSE))</f>
        <v>246</v>
      </c>
      <c r="V748" s="50">
        <f>IF($C748="B",VLOOKUP($A748,Bat!$A$4:$BA$1314,48,FALSE),VLOOKUP($A748,Pit!$A$4:$BF$1214,57,FALSE))</f>
        <v>0</v>
      </c>
      <c r="W748" s="68">
        <f>IF(Table5[[#This Row],[posRnk]]=999,9999,Table5[[#This Row],[posRnk]]+Table5[[#This Row],[zRnk]]+IF($W$3&lt;&gt;Table5[[#This Row],[Type]],50,0))</f>
        <v>1672</v>
      </c>
      <c r="X748" s="51">
        <f>RANK(Table5[[#This Row],[zScore]],Table5[[#All],[zScore]])</f>
        <v>772</v>
      </c>
      <c r="Y748" s="50">
        <f>IFERROR(INDEX(DraftResults[[#All],[OVR]],MATCH(Table5[[#This Row],[PID]],DraftResults[[#All],[Player ID]],0)),"")</f>
        <v>618</v>
      </c>
      <c r="Z748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19</v>
      </c>
      <c r="AA748" s="50">
        <f>IFERROR(INDEX(DraftResults[[#All],[Pick in Round]],MATCH(Table5[[#This Row],[PID]],DraftResults[[#All],[Player ID]],0)),"")</f>
        <v>15</v>
      </c>
      <c r="AB748" s="50" t="str">
        <f>IFERROR(INDEX(DraftResults[[#All],[Team Name]],MATCH(Table5[[#This Row],[PID]],DraftResults[[#All],[Player ID]],0)),"")</f>
        <v>Niihama-shi Ghosts</v>
      </c>
      <c r="AC748" s="50">
        <f>IF(Table5[[#This Row],[Ovr]]="","",IF(Table5[[#This Row],[cmbList]]="","",Table5[[#This Row],[cmbList]]-Table5[[#This Row],[Ovr]]))</f>
        <v>1054</v>
      </c>
      <c r="AD748" s="54" t="str">
        <f>IF(ISERROR(VLOOKUP($AB748&amp;"-"&amp;$E748&amp;" "&amp;F748,Bonuses!$B$1:$G$1006,4,FALSE)),"",INT(VLOOKUP($AB748&amp;"-"&amp;$E748&amp;" "&amp;$F748,Bonuses!$B$1:$G$1006,4,FALSE)))</f>
        <v/>
      </c>
      <c r="AE748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19.15 (618) - RP Mike Adams</v>
      </c>
    </row>
    <row r="749" spans="1:31" s="50" customFormat="1" x14ac:dyDescent="0.3">
      <c r="A749" s="67">
        <v>14542</v>
      </c>
      <c r="B749" s="68">
        <f>COUNTIF(Table5[PID],A749)</f>
        <v>1</v>
      </c>
      <c r="C749" s="68" t="str">
        <f>IF(COUNTIF(Table3[[#All],[PID]],A749)&gt;0,"P","B")</f>
        <v>P</v>
      </c>
      <c r="D749" s="59" t="str">
        <f>IF($C749="B",INDEX(Batters[[#All],[POS]],MATCH(Table5[[#This Row],[PID]],Batters[[#All],[PID]],0)),INDEX(Table3[[#All],[POS]],MATCH(Table5[[#This Row],[PID]],Table3[[#All],[PID]],0)))</f>
        <v>RP</v>
      </c>
      <c r="E749" s="52" t="str">
        <f>IF($C749="B",INDEX(Batters[[#All],[First]],MATCH(Table5[[#This Row],[PID]],Batters[[#All],[PID]],0)),INDEX(Table3[[#All],[First]],MATCH(Table5[[#This Row],[PID]],Table3[[#All],[PID]],0)))</f>
        <v>Dennis</v>
      </c>
      <c r="F749" s="55" t="str">
        <f>IF($C749="B",INDEX(Batters[[#All],[Last]],MATCH(A749,Batters[[#All],[PID]],0)),INDEX(Table3[[#All],[Last]],MATCH(A749,Table3[[#All],[PID]],0)))</f>
        <v>Housden</v>
      </c>
      <c r="G749" s="56">
        <f>IF($C749="B",INDEX(Batters[[#All],[Age]],MATCH(Table5[[#This Row],[PID]],Batters[[#All],[PID]],0)),INDEX(Table3[[#All],[Age]],MATCH(Table5[[#This Row],[PID]],Table3[[#All],[PID]],0)))</f>
        <v>21</v>
      </c>
      <c r="H749" s="52" t="str">
        <f>IF($C749="B",INDEX(Batters[[#All],[B]],MATCH(Table5[[#This Row],[PID]],Batters[[#All],[PID]],0)),INDEX(Table3[[#All],[B]],MATCH(Table5[[#This Row],[PID]],Table3[[#All],[PID]],0)))</f>
        <v>R</v>
      </c>
      <c r="I749" s="52" t="str">
        <f>IF($C749="B",INDEX(Batters[[#All],[T]],MATCH(Table5[[#This Row],[PID]],Batters[[#All],[PID]],0)),INDEX(Table3[[#All],[T]],MATCH(Table5[[#This Row],[PID]],Table3[[#All],[PID]],0)))</f>
        <v>R</v>
      </c>
      <c r="J749" s="69" t="str">
        <f>IF($C749="B",INDEX(Batters[[#All],[WE]],MATCH(Table5[[#This Row],[PID]],Batters[[#All],[PID]],0)),INDEX(Table3[[#All],[WE]],MATCH(Table5[[#This Row],[PID]],Table3[[#All],[PID]],0)))</f>
        <v>Normal</v>
      </c>
      <c r="K749" s="52" t="str">
        <f>IF($C749="B",INDEX(Batters[[#All],[INT]],MATCH(Table5[[#This Row],[PID]],Batters[[#All],[PID]],0)),INDEX(Table3[[#All],[INT]],MATCH(Table5[[#This Row],[PID]],Table3[[#All],[PID]],0)))</f>
        <v>Normal</v>
      </c>
      <c r="L749" s="60">
        <f>IF($C749="B",INDEX(Batters[[#All],[CON P]],MATCH(Table5[[#This Row],[PID]],Batters[[#All],[PID]],0)),INDEX(Table3[[#All],[STU P]],MATCH(Table5[[#This Row],[PID]],Table3[[#All],[PID]],0)))</f>
        <v>4</v>
      </c>
      <c r="M749" s="70">
        <f>IF($C749="B",INDEX(Batters[[#All],[GAP P]],MATCH(Table5[[#This Row],[PID]],Batters[[#All],[PID]],0)),INDEX(Table3[[#All],[MOV P]],MATCH(Table5[[#This Row],[PID]],Table3[[#All],[PID]],0)))</f>
        <v>2</v>
      </c>
      <c r="N749" s="70">
        <f>IF($C749="B",INDEX(Batters[[#All],[POW P]],MATCH(Table5[[#This Row],[PID]],Batters[[#All],[PID]],0)),INDEX(Table3[[#All],[CON P]],MATCH(Table5[[#This Row],[PID]],Table3[[#All],[PID]],0)))</f>
        <v>2</v>
      </c>
      <c r="O749" s="70" t="str">
        <f>IF($C749="B",INDEX(Batters[[#All],[EYE P]],MATCH(Table5[[#This Row],[PID]],Batters[[#All],[PID]],0)),INDEX(Table3[[#All],[VELO]],MATCH(Table5[[#This Row],[PID]],Table3[[#All],[PID]],0)))</f>
        <v>88-90 Mph</v>
      </c>
      <c r="P749" s="56">
        <f>IF($C749="B",INDEX(Batters[[#All],[K P]],MATCH(Table5[[#This Row],[PID]],Batters[[#All],[PID]],0)),INDEX(Table3[[#All],[STM]],MATCH(Table5[[#This Row],[PID]],Table3[[#All],[PID]],0)))</f>
        <v>6</v>
      </c>
      <c r="Q749" s="61">
        <f>IF($C749="B",INDEX(Batters[[#All],[Tot]],MATCH(Table5[[#This Row],[PID]],Batters[[#All],[PID]],0)),INDEX(Table3[[#All],[Tot]],MATCH(Table5[[#This Row],[PID]],Table3[[#All],[PID]],0)))</f>
        <v>23.945601557812086</v>
      </c>
      <c r="R749" s="52">
        <f>IF($C749="B",INDEX(Batters[[#All],[zScore]],MATCH(Table5[[#This Row],[PID]],Batters[[#All],[PID]],0)),INDEX(Table3[[#All],[zScore]],MATCH(Table5[[#This Row],[PID]],Table3[[#All],[PID]],0)))</f>
        <v>-0.97960637612577872</v>
      </c>
      <c r="S749" s="75" t="str">
        <f>IF($C749="B",INDEX(Batters[[#All],[DEM]],MATCH(Table5[[#This Row],[PID]],Batters[[#All],[PID]],0)),INDEX(Table3[[#All],[DEM]],MATCH(Table5[[#This Row],[PID]],Table3[[#All],[PID]],0)))</f>
        <v>-</v>
      </c>
      <c r="T749" s="72">
        <f>IF($C749="B",INDEX(Batters[[#All],[Rnk]],MATCH(Table5[[#This Row],[PID]],Batters[[#All],[PID]],0)),INDEX(Table3[[#All],[Rnk]],MATCH(Table5[[#This Row],[PID]],Table3[[#All],[PID]],0)))</f>
        <v>900</v>
      </c>
      <c r="U749" s="67">
        <f>IF($C749="B",VLOOKUP($A749,Bat!$A$4:$BA$1314,47,FALSE),VLOOKUP($A749,Pit!$A$4:$BF$1214,56,FALSE))</f>
        <v>247</v>
      </c>
      <c r="V749" s="50">
        <f>IF($C749="B",VLOOKUP($A749,Bat!$A$4:$BA$1314,48,FALSE),VLOOKUP($A749,Pit!$A$4:$BF$1214,57,FALSE))</f>
        <v>0</v>
      </c>
      <c r="W749" s="68">
        <f>IF(Table5[[#This Row],[posRnk]]=999,9999,Table5[[#This Row],[posRnk]]+Table5[[#This Row],[zRnk]]+IF($W$3&lt;&gt;Table5[[#This Row],[Type]],50,0))</f>
        <v>1673</v>
      </c>
      <c r="X749" s="71">
        <f>RANK(Table5[[#This Row],[zScore]],Table5[[#All],[zScore]])</f>
        <v>773</v>
      </c>
      <c r="Y749" s="68" t="str">
        <f>IFERROR(INDEX(DraftResults[[#All],[OVR]],MATCH(Table5[[#This Row],[PID]],DraftResults[[#All],[Player ID]],0)),"")</f>
        <v/>
      </c>
      <c r="Z749" s="7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/>
      </c>
      <c r="AA749" s="68" t="str">
        <f>IFERROR(INDEX(DraftResults[[#All],[Pick in Round]],MATCH(Table5[[#This Row],[PID]],DraftResults[[#All],[Player ID]],0)),"")</f>
        <v/>
      </c>
      <c r="AB749" s="68" t="str">
        <f>IFERROR(INDEX(DraftResults[[#All],[Team Name]],MATCH(Table5[[#This Row],[PID]],DraftResults[[#All],[Player ID]],0)),"")</f>
        <v/>
      </c>
      <c r="AC749" s="68" t="str">
        <f>IF(Table5[[#This Row],[Ovr]]="","",IF(Table5[[#This Row],[cmbList]]="","",Table5[[#This Row],[cmbList]]-Table5[[#This Row],[Ovr]]))</f>
        <v/>
      </c>
      <c r="AD749" s="74" t="str">
        <f>IF(ISERROR(VLOOKUP($AB749&amp;"-"&amp;$E749&amp;" "&amp;F749,Bonuses!$B$1:$G$1006,4,FALSE)),"",INT(VLOOKUP($AB749&amp;"-"&amp;$E749&amp;" "&amp;$F749,Bonuses!$B$1:$G$1006,4,FALSE)))</f>
        <v/>
      </c>
      <c r="AE749" s="68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/>
      </c>
    </row>
    <row r="750" spans="1:31" s="50" customFormat="1" x14ac:dyDescent="0.3">
      <c r="A750" s="50">
        <v>13808</v>
      </c>
      <c r="B750" s="50">
        <f>COUNTIF(Table5[PID],A750)</f>
        <v>1</v>
      </c>
      <c r="C750" s="50" t="str">
        <f>IF(COUNTIF(Table3[[#All],[PID]],A750)&gt;0,"P","B")</f>
        <v>P</v>
      </c>
      <c r="D750" s="59" t="str">
        <f>IF($C750="B",INDEX(Batters[[#All],[POS]],MATCH(Table5[[#This Row],[PID]],Batters[[#All],[PID]],0)),INDEX(Table3[[#All],[POS]],MATCH(Table5[[#This Row],[PID]],Table3[[#All],[PID]],0)))</f>
        <v>RP</v>
      </c>
      <c r="E750" s="52" t="str">
        <f>IF($C750="B",INDEX(Batters[[#All],[First]],MATCH(Table5[[#This Row],[PID]],Batters[[#All],[PID]],0)),INDEX(Table3[[#All],[First]],MATCH(Table5[[#This Row],[PID]],Table3[[#All],[PID]],0)))</f>
        <v>Connor</v>
      </c>
      <c r="F750" s="50" t="str">
        <f>IF($C750="B",INDEX(Batters[[#All],[Last]],MATCH(A750,Batters[[#All],[PID]],0)),INDEX(Table3[[#All],[Last]],MATCH(A750,Table3[[#All],[PID]],0)))</f>
        <v>Fletcher</v>
      </c>
      <c r="G750" s="56">
        <f>IF($C750="B",INDEX(Batters[[#All],[Age]],MATCH(Table5[[#This Row],[PID]],Batters[[#All],[PID]],0)),INDEX(Table3[[#All],[Age]],MATCH(Table5[[#This Row],[PID]],Table3[[#All],[PID]],0)))</f>
        <v>22</v>
      </c>
      <c r="H750" s="52" t="str">
        <f>IF($C750="B",INDEX(Batters[[#All],[B]],MATCH(Table5[[#This Row],[PID]],Batters[[#All],[PID]],0)),INDEX(Table3[[#All],[B]],MATCH(Table5[[#This Row],[PID]],Table3[[#All],[PID]],0)))</f>
        <v>L</v>
      </c>
      <c r="I750" s="52" t="str">
        <f>IF($C750="B",INDEX(Batters[[#All],[T]],MATCH(Table5[[#This Row],[PID]],Batters[[#All],[PID]],0)),INDEX(Table3[[#All],[T]],MATCH(Table5[[#This Row],[PID]],Table3[[#All],[PID]],0)))</f>
        <v>L</v>
      </c>
      <c r="J750" s="52" t="str">
        <f>IF($C750="B",INDEX(Batters[[#All],[WE]],MATCH(Table5[[#This Row],[PID]],Batters[[#All],[PID]],0)),INDEX(Table3[[#All],[WE]],MATCH(Table5[[#This Row],[PID]],Table3[[#All],[PID]],0)))</f>
        <v>Normal</v>
      </c>
      <c r="K750" s="52" t="str">
        <f>IF($C750="B",INDEX(Batters[[#All],[INT]],MATCH(Table5[[#This Row],[PID]],Batters[[#All],[PID]],0)),INDEX(Table3[[#All],[INT]],MATCH(Table5[[#This Row],[PID]],Table3[[#All],[PID]],0)))</f>
        <v>Normal</v>
      </c>
      <c r="L750" s="60">
        <f>IF($C750="B",INDEX(Batters[[#All],[CON P]],MATCH(Table5[[#This Row],[PID]],Batters[[#All],[PID]],0)),INDEX(Table3[[#All],[STU P]],MATCH(Table5[[#This Row],[PID]],Table3[[#All],[PID]],0)))</f>
        <v>4</v>
      </c>
      <c r="M750" s="56">
        <f>IF($C750="B",INDEX(Batters[[#All],[GAP P]],MATCH(Table5[[#This Row],[PID]],Batters[[#All],[PID]],0)),INDEX(Table3[[#All],[MOV P]],MATCH(Table5[[#This Row],[PID]],Table3[[#All],[PID]],0)))</f>
        <v>1</v>
      </c>
      <c r="N750" s="56">
        <f>IF($C750="B",INDEX(Batters[[#All],[POW P]],MATCH(Table5[[#This Row],[PID]],Batters[[#All],[PID]],0)),INDEX(Table3[[#All],[CON P]],MATCH(Table5[[#This Row],[PID]],Table3[[#All],[PID]],0)))</f>
        <v>4</v>
      </c>
      <c r="O750" s="56" t="str">
        <f>IF($C750="B",INDEX(Batters[[#All],[EYE P]],MATCH(Table5[[#This Row],[PID]],Batters[[#All],[PID]],0)),INDEX(Table3[[#All],[VELO]],MATCH(Table5[[#This Row],[PID]],Table3[[#All],[PID]],0)))</f>
        <v>88-90 Mph</v>
      </c>
      <c r="P750" s="56">
        <f>IF($C750="B",INDEX(Batters[[#All],[K P]],MATCH(Table5[[#This Row],[PID]],Batters[[#All],[PID]],0)),INDEX(Table3[[#All],[STM]],MATCH(Table5[[#This Row],[PID]],Table3[[#All],[PID]],0)))</f>
        <v>1</v>
      </c>
      <c r="Q750" s="61">
        <f>IF($C750="B",INDEX(Batters[[#All],[Tot]],MATCH(Table5[[#This Row],[PID]],Batters[[#All],[PID]],0)),INDEX(Table3[[#All],[Tot]],MATCH(Table5[[#This Row],[PID]],Table3[[#All],[PID]],0)))</f>
        <v>23.978127758720358</v>
      </c>
      <c r="R750" s="52">
        <f>IF($C750="B",INDEX(Batters[[#All],[zScore]],MATCH(Table5[[#This Row],[PID]],Batters[[#All],[PID]],0)),INDEX(Table3[[#All],[zScore]],MATCH(Table5[[#This Row],[PID]],Table3[[#All],[PID]],0)))</f>
        <v>-0.9843984096420606</v>
      </c>
      <c r="S750" s="58" t="str">
        <f>IF($C750="B",INDEX(Batters[[#All],[DEM]],MATCH(Table5[[#This Row],[PID]],Batters[[#All],[PID]],0)),INDEX(Table3[[#All],[DEM]],MATCH(Table5[[#This Row],[PID]],Table3[[#All],[PID]],0)))</f>
        <v>-</v>
      </c>
      <c r="T750" s="62">
        <f>IF($C750="B",INDEX(Batters[[#All],[Rnk]],MATCH(Table5[[#This Row],[PID]],Batters[[#All],[PID]],0)),INDEX(Table3[[#All],[Rnk]],MATCH(Table5[[#This Row],[PID]],Table3[[#All],[PID]],0)))</f>
        <v>900</v>
      </c>
      <c r="U750" s="67">
        <f>IF($C750="B",VLOOKUP($A750,Bat!$A$4:$BA$1314,47,FALSE),VLOOKUP($A750,Pit!$A$4:$BF$1214,56,FALSE))</f>
        <v>248</v>
      </c>
      <c r="V750" s="50">
        <f>IF($C750="B",VLOOKUP($A750,Bat!$A$4:$BA$1314,48,FALSE),VLOOKUP($A750,Pit!$A$4:$BF$1214,57,FALSE))</f>
        <v>0</v>
      </c>
      <c r="W750" s="68">
        <f>IF(Table5[[#This Row],[posRnk]]=999,9999,Table5[[#This Row],[posRnk]]+Table5[[#This Row],[zRnk]]+IF($W$3&lt;&gt;Table5[[#This Row],[Type]],50,0))</f>
        <v>1674</v>
      </c>
      <c r="X750" s="51">
        <f>RANK(Table5[[#This Row],[zScore]],Table5[[#All],[zScore]])</f>
        <v>774</v>
      </c>
      <c r="Y750" s="50">
        <f>IFERROR(INDEX(DraftResults[[#All],[OVR]],MATCH(Table5[[#This Row],[PID]],DraftResults[[#All],[Player ID]],0)),"")</f>
        <v>648</v>
      </c>
      <c r="Z750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20</v>
      </c>
      <c r="AA750" s="50">
        <f>IFERROR(INDEX(DraftResults[[#All],[Pick in Round]],MATCH(Table5[[#This Row],[PID]],DraftResults[[#All],[Player ID]],0)),"")</f>
        <v>11</v>
      </c>
      <c r="AB750" s="50" t="str">
        <f>IFERROR(INDEX(DraftResults[[#All],[Team Name]],MATCH(Table5[[#This Row],[PID]],DraftResults[[#All],[Player ID]],0)),"")</f>
        <v>Arlington Bureaucrats</v>
      </c>
      <c r="AC750" s="50">
        <f>IF(Table5[[#This Row],[Ovr]]="","",IF(Table5[[#This Row],[cmbList]]="","",Table5[[#This Row],[cmbList]]-Table5[[#This Row],[Ovr]]))</f>
        <v>1026</v>
      </c>
      <c r="AD750" s="54" t="str">
        <f>IF(ISERROR(VLOOKUP($AB750&amp;"-"&amp;$E750&amp;" "&amp;F750,Bonuses!$B$1:$G$1006,4,FALSE)),"",INT(VLOOKUP($AB750&amp;"-"&amp;$E750&amp;" "&amp;$F750,Bonuses!$B$1:$G$1006,4,FALSE)))</f>
        <v/>
      </c>
      <c r="AE750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20.11 (648) - RP Connor Fletcher</v>
      </c>
    </row>
    <row r="751" spans="1:31" s="50" customFormat="1" x14ac:dyDescent="0.3">
      <c r="A751" s="67">
        <v>16489</v>
      </c>
      <c r="B751" s="68">
        <f>COUNTIF(Table5[PID],A751)</f>
        <v>1</v>
      </c>
      <c r="C751" s="68" t="str">
        <f>IF(COUNTIF(Table3[[#All],[PID]],A751)&gt;0,"P","B")</f>
        <v>B</v>
      </c>
      <c r="D751" s="59" t="str">
        <f>IF($C751="B",INDEX(Batters[[#All],[POS]],MATCH(Table5[[#This Row],[PID]],Batters[[#All],[PID]],0)),INDEX(Table3[[#All],[POS]],MATCH(Table5[[#This Row],[PID]],Table3[[#All],[PID]],0)))</f>
        <v>SS</v>
      </c>
      <c r="E751" s="52" t="str">
        <f>IF($C751="B",INDEX(Batters[[#All],[First]],MATCH(Table5[[#This Row],[PID]],Batters[[#All],[PID]],0)),INDEX(Table3[[#All],[First]],MATCH(Table5[[#This Row],[PID]],Table3[[#All],[PID]],0)))</f>
        <v>Tony</v>
      </c>
      <c r="F751" s="55" t="str">
        <f>IF($C751="B",INDEX(Batters[[#All],[Last]],MATCH(A751,Batters[[#All],[PID]],0)),INDEX(Table3[[#All],[Last]],MATCH(A751,Table3[[#All],[PID]],0)))</f>
        <v>Guardado</v>
      </c>
      <c r="G751" s="56">
        <f>IF($C751="B",INDEX(Batters[[#All],[Age]],MATCH(Table5[[#This Row],[PID]],Batters[[#All],[PID]],0)),INDEX(Table3[[#All],[Age]],MATCH(Table5[[#This Row],[PID]],Table3[[#All],[PID]],0)))</f>
        <v>22</v>
      </c>
      <c r="H751" s="52" t="str">
        <f>IF($C751="B",INDEX(Batters[[#All],[B]],MATCH(Table5[[#This Row],[PID]],Batters[[#All],[PID]],0)),INDEX(Table3[[#All],[B]],MATCH(Table5[[#This Row],[PID]],Table3[[#All],[PID]],0)))</f>
        <v>R</v>
      </c>
      <c r="I751" s="52" t="str">
        <f>IF($C751="B",INDEX(Batters[[#All],[T]],MATCH(Table5[[#This Row],[PID]],Batters[[#All],[PID]],0)),INDEX(Table3[[#All],[T]],MATCH(Table5[[#This Row],[PID]],Table3[[#All],[PID]],0)))</f>
        <v>R</v>
      </c>
      <c r="J751" s="69" t="str">
        <f>IF($C751="B",INDEX(Batters[[#All],[WE]],MATCH(Table5[[#This Row],[PID]],Batters[[#All],[PID]],0)),INDEX(Table3[[#All],[WE]],MATCH(Table5[[#This Row],[PID]],Table3[[#All],[PID]],0)))</f>
        <v>High</v>
      </c>
      <c r="K751" s="52" t="str">
        <f>IF($C751="B",INDEX(Batters[[#All],[INT]],MATCH(Table5[[#This Row],[PID]],Batters[[#All],[PID]],0)),INDEX(Table3[[#All],[INT]],MATCH(Table5[[#This Row],[PID]],Table3[[#All],[PID]],0)))</f>
        <v>Normal</v>
      </c>
      <c r="L751" s="60">
        <f>IF($C751="B",INDEX(Batters[[#All],[CON P]],MATCH(Table5[[#This Row],[PID]],Batters[[#All],[PID]],0)),INDEX(Table3[[#All],[STU P]],MATCH(Table5[[#This Row],[PID]],Table3[[#All],[PID]],0)))</f>
        <v>3</v>
      </c>
      <c r="M751" s="70">
        <f>IF($C751="B",INDEX(Batters[[#All],[GAP P]],MATCH(Table5[[#This Row],[PID]],Batters[[#All],[PID]],0)),INDEX(Table3[[#All],[MOV P]],MATCH(Table5[[#This Row],[PID]],Table3[[#All],[PID]],0)))</f>
        <v>3</v>
      </c>
      <c r="N751" s="70">
        <f>IF($C751="B",INDEX(Batters[[#All],[POW P]],MATCH(Table5[[#This Row],[PID]],Batters[[#All],[PID]],0)),INDEX(Table3[[#All],[CON P]],MATCH(Table5[[#This Row],[PID]],Table3[[#All],[PID]],0)))</f>
        <v>3</v>
      </c>
      <c r="O751" s="70">
        <f>IF($C751="B",INDEX(Batters[[#All],[EYE P]],MATCH(Table5[[#This Row],[PID]],Batters[[#All],[PID]],0)),INDEX(Table3[[#All],[VELO]],MATCH(Table5[[#This Row],[PID]],Table3[[#All],[PID]],0)))</f>
        <v>4</v>
      </c>
      <c r="P751" s="56">
        <f>IF($C751="B",INDEX(Batters[[#All],[K P]],MATCH(Table5[[#This Row],[PID]],Batters[[#All],[PID]],0)),INDEX(Table3[[#All],[STM]],MATCH(Table5[[#This Row],[PID]],Table3[[#All],[PID]],0)))</f>
        <v>3</v>
      </c>
      <c r="Q751" s="61">
        <f>IF($C751="B",INDEX(Batters[[#All],[Tot]],MATCH(Table5[[#This Row],[PID]],Batters[[#All],[PID]],0)),INDEX(Table3[[#All],[Tot]],MATCH(Table5[[#This Row],[PID]],Table3[[#All],[PID]],0)))</f>
        <v>36.432096355724156</v>
      </c>
      <c r="R751" s="52">
        <f>IF($C751="B",INDEX(Batters[[#All],[zScore]],MATCH(Table5[[#This Row],[PID]],Batters[[#All],[PID]],0)),INDEX(Table3[[#All],[zScore]],MATCH(Table5[[#This Row],[PID]],Table3[[#All],[PID]],0)))</f>
        <v>-0.99059713309228148</v>
      </c>
      <c r="S751" s="75" t="str">
        <f>IF($C751="B",INDEX(Batters[[#All],[DEM]],MATCH(Table5[[#This Row],[PID]],Batters[[#All],[PID]],0)),INDEX(Table3[[#All],[DEM]],MATCH(Table5[[#This Row],[PID]],Table3[[#All],[PID]],0)))</f>
        <v>-</v>
      </c>
      <c r="T751" s="72">
        <f>IF($C751="B",INDEX(Batters[[#All],[Rnk]],MATCH(Table5[[#This Row],[PID]],Batters[[#All],[PID]],0)),INDEX(Table3[[#All],[Rnk]],MATCH(Table5[[#This Row],[PID]],Table3[[#All],[PID]],0)))</f>
        <v>900</v>
      </c>
      <c r="U751" s="67">
        <f>IF($C751="B",VLOOKUP($A751,Bat!$A$4:$BA$1314,47,FALSE),VLOOKUP($A751,Pit!$A$4:$BF$1214,56,FALSE))</f>
        <v>258</v>
      </c>
      <c r="V751" s="50">
        <f>IF($C751="B",VLOOKUP($A751,Bat!$A$4:$BA$1314,48,FALSE),VLOOKUP($A751,Pit!$A$4:$BF$1214,57,FALSE))</f>
        <v>0</v>
      </c>
      <c r="W751" s="68">
        <f>IF(Table5[[#This Row],[posRnk]]=999,9999,Table5[[#This Row],[posRnk]]+Table5[[#This Row],[zRnk]]+IF($W$3&lt;&gt;Table5[[#This Row],[Type]],50,0))</f>
        <v>1725</v>
      </c>
      <c r="X751" s="71">
        <f>RANK(Table5[[#This Row],[zScore]],Table5[[#All],[zScore]])</f>
        <v>775</v>
      </c>
      <c r="Y751" s="68">
        <f>IFERROR(INDEX(DraftResults[[#All],[OVR]],MATCH(Table5[[#This Row],[PID]],DraftResults[[#All],[Player ID]],0)),"")</f>
        <v>364</v>
      </c>
      <c r="Z751" s="7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11</v>
      </c>
      <c r="AA751" s="68">
        <f>IFERROR(INDEX(DraftResults[[#All],[Pick in Round]],MATCH(Table5[[#This Row],[PID]],DraftResults[[#All],[Player ID]],0)),"")</f>
        <v>33</v>
      </c>
      <c r="AB751" s="68" t="str">
        <f>IFERROR(INDEX(DraftResults[[#All],[Team Name]],MATCH(Table5[[#This Row],[PID]],DraftResults[[#All],[Player ID]],0)),"")</f>
        <v>Gloucester Fishermen</v>
      </c>
      <c r="AC751" s="68">
        <f>IF(Table5[[#This Row],[Ovr]]="","",IF(Table5[[#This Row],[cmbList]]="","",Table5[[#This Row],[cmbList]]-Table5[[#This Row],[Ovr]]))</f>
        <v>1361</v>
      </c>
      <c r="AD751" s="74" t="str">
        <f>IF(ISERROR(VLOOKUP($AB751&amp;"-"&amp;$E751&amp;" "&amp;F751,Bonuses!$B$1:$G$1006,4,FALSE)),"",INT(VLOOKUP($AB751&amp;"-"&amp;$E751&amp;" "&amp;$F751,Bonuses!$B$1:$G$1006,4,FALSE)))</f>
        <v/>
      </c>
      <c r="AE751" s="68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11.33 (364) - SS Tony Guardado</v>
      </c>
    </row>
    <row r="752" spans="1:31" s="50" customFormat="1" x14ac:dyDescent="0.3">
      <c r="A752" s="67">
        <v>6207</v>
      </c>
      <c r="B752" s="68">
        <f>COUNTIF(Table5[PID],A752)</f>
        <v>1</v>
      </c>
      <c r="C752" s="68" t="str">
        <f>IF(COUNTIF(Table3[[#All],[PID]],A752)&gt;0,"P","B")</f>
        <v>P</v>
      </c>
      <c r="D752" s="59" t="str">
        <f>IF($C752="B",INDEX(Batters[[#All],[POS]],MATCH(Table5[[#This Row],[PID]],Batters[[#All],[PID]],0)),INDEX(Table3[[#All],[POS]],MATCH(Table5[[#This Row],[PID]],Table3[[#All],[PID]],0)))</f>
        <v>RP</v>
      </c>
      <c r="E752" s="52" t="str">
        <f>IF($C752="B",INDEX(Batters[[#All],[First]],MATCH(Table5[[#This Row],[PID]],Batters[[#All],[PID]],0)),INDEX(Table3[[#All],[First]],MATCH(Table5[[#This Row],[PID]],Table3[[#All],[PID]],0)))</f>
        <v>Maresuke</v>
      </c>
      <c r="F752" s="55" t="str">
        <f>IF($C752="B",INDEX(Batters[[#All],[Last]],MATCH(A752,Batters[[#All],[PID]],0)),INDEX(Table3[[#All],[Last]],MATCH(A752,Table3[[#All],[PID]],0)))</f>
        <v>Shirai</v>
      </c>
      <c r="G752" s="56">
        <f>IF($C752="B",INDEX(Batters[[#All],[Age]],MATCH(Table5[[#This Row],[PID]],Batters[[#All],[PID]],0)),INDEX(Table3[[#All],[Age]],MATCH(Table5[[#This Row],[PID]],Table3[[#All],[PID]],0)))</f>
        <v>21</v>
      </c>
      <c r="H752" s="52" t="str">
        <f>IF($C752="B",INDEX(Batters[[#All],[B]],MATCH(Table5[[#This Row],[PID]],Batters[[#All],[PID]],0)),INDEX(Table3[[#All],[B]],MATCH(Table5[[#This Row],[PID]],Table3[[#All],[PID]],0)))</f>
        <v>L</v>
      </c>
      <c r="I752" s="52" t="str">
        <f>IF($C752="B",INDEX(Batters[[#All],[T]],MATCH(Table5[[#This Row],[PID]],Batters[[#All],[PID]],0)),INDEX(Table3[[#All],[T]],MATCH(Table5[[#This Row],[PID]],Table3[[#All],[PID]],0)))</f>
        <v>R</v>
      </c>
      <c r="J752" s="69" t="str">
        <f>IF($C752="B",INDEX(Batters[[#All],[WE]],MATCH(Table5[[#This Row],[PID]],Batters[[#All],[PID]],0)),INDEX(Table3[[#All],[WE]],MATCH(Table5[[#This Row],[PID]],Table3[[#All],[PID]],0)))</f>
        <v>Low</v>
      </c>
      <c r="K752" s="52" t="str">
        <f>IF($C752="B",INDEX(Batters[[#All],[INT]],MATCH(Table5[[#This Row],[PID]],Batters[[#All],[PID]],0)),INDEX(Table3[[#All],[INT]],MATCH(Table5[[#This Row],[PID]],Table3[[#All],[PID]],0)))</f>
        <v>Low</v>
      </c>
      <c r="L752" s="60">
        <f>IF($C752="B",INDEX(Batters[[#All],[CON P]],MATCH(Table5[[#This Row],[PID]],Batters[[#All],[PID]],0)),INDEX(Table3[[#All],[STU P]],MATCH(Table5[[#This Row],[PID]],Table3[[#All],[PID]],0)))</f>
        <v>4</v>
      </c>
      <c r="M752" s="70">
        <f>IF($C752="B",INDEX(Batters[[#All],[GAP P]],MATCH(Table5[[#This Row],[PID]],Batters[[#All],[PID]],0)),INDEX(Table3[[#All],[MOV P]],MATCH(Table5[[#This Row],[PID]],Table3[[#All],[PID]],0)))</f>
        <v>2</v>
      </c>
      <c r="N752" s="70">
        <f>IF($C752="B",INDEX(Batters[[#All],[POW P]],MATCH(Table5[[#This Row],[PID]],Batters[[#All],[PID]],0)),INDEX(Table3[[#All],[CON P]],MATCH(Table5[[#This Row],[PID]],Table3[[#All],[PID]],0)))</f>
        <v>2</v>
      </c>
      <c r="O752" s="70" t="str">
        <f>IF($C752="B",INDEX(Batters[[#All],[EYE P]],MATCH(Table5[[#This Row],[PID]],Batters[[#All],[PID]],0)),INDEX(Table3[[#All],[VELO]],MATCH(Table5[[#This Row],[PID]],Table3[[#All],[PID]],0)))</f>
        <v>85-87 Mph</v>
      </c>
      <c r="P752" s="56">
        <f>IF($C752="B",INDEX(Batters[[#All],[K P]],MATCH(Table5[[#This Row],[PID]],Batters[[#All],[PID]],0)),INDEX(Table3[[#All],[STM]],MATCH(Table5[[#This Row],[PID]],Table3[[#All],[PID]],0)))</f>
        <v>5</v>
      </c>
      <c r="Q752" s="61">
        <f>IF($C752="B",INDEX(Batters[[#All],[Tot]],MATCH(Table5[[#This Row],[PID]],Batters[[#All],[PID]],0)),INDEX(Table3[[#All],[Tot]],MATCH(Table5[[#This Row],[PID]],Table3[[#All],[PID]],0)))</f>
        <v>25.506133979921486</v>
      </c>
      <c r="R752" s="52">
        <f>IF($C752="B",INDEX(Batters[[#All],[zScore]],MATCH(Table5[[#This Row],[PID]],Batters[[#All],[PID]],0)),INDEX(Table3[[#All],[zScore]],MATCH(Table5[[#This Row],[PID]],Table3[[#All],[PID]],0)))</f>
        <v>-0.87559362041888078</v>
      </c>
      <c r="S752" s="75" t="str">
        <f>IF($C752="B",INDEX(Batters[[#All],[DEM]],MATCH(Table5[[#This Row],[PID]],Batters[[#All],[PID]],0)),INDEX(Table3[[#All],[DEM]],MATCH(Table5[[#This Row],[PID]],Table3[[#All],[PID]],0)))</f>
        <v>$20k</v>
      </c>
      <c r="T752" s="72">
        <f>IF($C752="B",INDEX(Batters[[#All],[Rnk]],MATCH(Table5[[#This Row],[PID]],Batters[[#All],[PID]],0)),INDEX(Table3[[#All],[Rnk]],MATCH(Table5[[#This Row],[PID]],Table3[[#All],[PID]],0)))</f>
        <v>950</v>
      </c>
      <c r="U752" s="67">
        <f>IF($C752="B",VLOOKUP($A752,Bat!$A$4:$BA$1314,47,FALSE),VLOOKUP($A752,Pit!$A$4:$BF$1214,56,FALSE))</f>
        <v>419</v>
      </c>
      <c r="V752" s="50">
        <f>IF($C752="B",VLOOKUP($A752,Bat!$A$4:$BA$1314,48,FALSE),VLOOKUP($A752,Pit!$A$4:$BF$1214,57,FALSE))</f>
        <v>0</v>
      </c>
      <c r="W752" s="68">
        <f>IF(Table5[[#This Row],[posRnk]]=999,9999,Table5[[#This Row],[posRnk]]+Table5[[#This Row],[zRnk]]+IF($W$3&lt;&gt;Table5[[#This Row],[Type]],50,0))</f>
        <v>1675</v>
      </c>
      <c r="X752" s="71">
        <f>RANK(Table5[[#This Row],[zScore]],Table5[[#All],[zScore]])</f>
        <v>725</v>
      </c>
      <c r="Y752" s="68" t="str">
        <f>IFERROR(INDEX(DraftResults[[#All],[OVR]],MATCH(Table5[[#This Row],[PID]],DraftResults[[#All],[Player ID]],0)),"")</f>
        <v/>
      </c>
      <c r="Z752" s="7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/>
      </c>
      <c r="AA752" s="68" t="str">
        <f>IFERROR(INDEX(DraftResults[[#All],[Pick in Round]],MATCH(Table5[[#This Row],[PID]],DraftResults[[#All],[Player ID]],0)),"")</f>
        <v/>
      </c>
      <c r="AB752" s="68" t="str">
        <f>IFERROR(INDEX(DraftResults[[#All],[Team Name]],MATCH(Table5[[#This Row],[PID]],DraftResults[[#All],[Player ID]],0)),"")</f>
        <v/>
      </c>
      <c r="AC752" s="68" t="str">
        <f>IF(Table5[[#This Row],[Ovr]]="","",IF(Table5[[#This Row],[cmbList]]="","",Table5[[#This Row],[cmbList]]-Table5[[#This Row],[Ovr]]))</f>
        <v/>
      </c>
      <c r="AD752" s="74" t="str">
        <f>IF(ISERROR(VLOOKUP($AB752&amp;"-"&amp;$E752&amp;" "&amp;F752,Bonuses!$B$1:$G$1006,4,FALSE)),"",INT(VLOOKUP($AB752&amp;"-"&amp;$E752&amp;" "&amp;$F752,Bonuses!$B$1:$G$1006,4,FALSE)))</f>
        <v/>
      </c>
      <c r="AE752" s="68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/>
      </c>
    </row>
    <row r="753" spans="1:31" s="50" customFormat="1" x14ac:dyDescent="0.3">
      <c r="A753" s="50">
        <v>10954</v>
      </c>
      <c r="B753" s="55">
        <f>COUNTIF(Table5[PID],A753)</f>
        <v>1</v>
      </c>
      <c r="C753" s="55" t="str">
        <f>IF(COUNTIF(Table3[[#All],[PID]],A753)&gt;0,"P","B")</f>
        <v>B</v>
      </c>
      <c r="D753" s="59" t="str">
        <f>IF($C753="B",INDEX(Batters[[#All],[POS]],MATCH(Table5[[#This Row],[PID]],Batters[[#All],[PID]],0)),INDEX(Table3[[#All],[POS]],MATCH(Table5[[#This Row],[PID]],Table3[[#All],[PID]],0)))</f>
        <v>1B</v>
      </c>
      <c r="E753" s="52" t="str">
        <f>IF($C753="B",INDEX(Batters[[#All],[First]],MATCH(Table5[[#This Row],[PID]],Batters[[#All],[PID]],0)),INDEX(Table3[[#All],[First]],MATCH(Table5[[#This Row],[PID]],Table3[[#All],[PID]],0)))</f>
        <v>Caden</v>
      </c>
      <c r="F753" s="50" t="str">
        <f>IF($C753="B",INDEX(Batters[[#All],[Last]],MATCH(A753,Batters[[#All],[PID]],0)),INDEX(Table3[[#All],[Last]],MATCH(A753,Table3[[#All],[PID]],0)))</f>
        <v>Clark</v>
      </c>
      <c r="G753" s="56">
        <f>IF($C753="B",INDEX(Batters[[#All],[Age]],MATCH(Table5[[#This Row],[PID]],Batters[[#All],[PID]],0)),INDEX(Table3[[#All],[Age]],MATCH(Table5[[#This Row],[PID]],Table3[[#All],[PID]],0)))</f>
        <v>18</v>
      </c>
      <c r="H753" s="52" t="str">
        <f>IF($C753="B",INDEX(Batters[[#All],[B]],MATCH(Table5[[#This Row],[PID]],Batters[[#All],[PID]],0)),INDEX(Table3[[#All],[B]],MATCH(Table5[[#This Row],[PID]],Table3[[#All],[PID]],0)))</f>
        <v>L</v>
      </c>
      <c r="I753" s="52" t="str">
        <f>IF($C753="B",INDEX(Batters[[#All],[T]],MATCH(Table5[[#This Row],[PID]],Batters[[#All],[PID]],0)),INDEX(Table3[[#All],[T]],MATCH(Table5[[#This Row],[PID]],Table3[[#All],[PID]],0)))</f>
        <v>L</v>
      </c>
      <c r="J753" s="52" t="str">
        <f>IF($C753="B",INDEX(Batters[[#All],[WE]],MATCH(Table5[[#This Row],[PID]],Batters[[#All],[PID]],0)),INDEX(Table3[[#All],[WE]],MATCH(Table5[[#This Row],[PID]],Table3[[#All],[PID]],0)))</f>
        <v>Normal</v>
      </c>
      <c r="K753" s="52" t="str">
        <f>IF($C753="B",INDEX(Batters[[#All],[INT]],MATCH(Table5[[#This Row],[PID]],Batters[[#All],[PID]],0)),INDEX(Table3[[#All],[INT]],MATCH(Table5[[#This Row],[PID]],Table3[[#All],[PID]],0)))</f>
        <v>Normal</v>
      </c>
      <c r="L753" s="60">
        <f>IF($C753="B",INDEX(Batters[[#All],[CON P]],MATCH(Table5[[#This Row],[PID]],Batters[[#All],[PID]],0)),INDEX(Table3[[#All],[STU P]],MATCH(Table5[[#This Row],[PID]],Table3[[#All],[PID]],0)))</f>
        <v>2</v>
      </c>
      <c r="M753" s="56">
        <f>IF($C753="B",INDEX(Batters[[#All],[GAP P]],MATCH(Table5[[#This Row],[PID]],Batters[[#All],[PID]],0)),INDEX(Table3[[#All],[MOV P]],MATCH(Table5[[#This Row],[PID]],Table3[[#All],[PID]],0)))</f>
        <v>2</v>
      </c>
      <c r="N753" s="56">
        <f>IF($C753="B",INDEX(Batters[[#All],[POW P]],MATCH(Table5[[#This Row],[PID]],Batters[[#All],[PID]],0)),INDEX(Table3[[#All],[CON P]],MATCH(Table5[[#This Row],[PID]],Table3[[#All],[PID]],0)))</f>
        <v>2</v>
      </c>
      <c r="O753" s="56">
        <f>IF($C753="B",INDEX(Batters[[#All],[EYE P]],MATCH(Table5[[#This Row],[PID]],Batters[[#All],[PID]],0)),INDEX(Table3[[#All],[VELO]],MATCH(Table5[[#This Row],[PID]],Table3[[#All],[PID]],0)))</f>
        <v>5</v>
      </c>
      <c r="P753" s="56">
        <f>IF($C753="B",INDEX(Batters[[#All],[K P]],MATCH(Table5[[#This Row],[PID]],Batters[[#All],[PID]],0)),INDEX(Table3[[#All],[STM]],MATCH(Table5[[#This Row],[PID]],Table3[[#All],[PID]],0)))</f>
        <v>3</v>
      </c>
      <c r="Q753" s="61">
        <f>IF($C753="B",INDEX(Batters[[#All],[Tot]],MATCH(Table5[[#This Row],[PID]],Batters[[#All],[PID]],0)),INDEX(Table3[[#All],[Tot]],MATCH(Table5[[#This Row],[PID]],Table3[[#All],[PID]],0)))</f>
        <v>36.376632979036309</v>
      </c>
      <c r="R753" s="52">
        <f>IF($C753="B",INDEX(Batters[[#All],[zScore]],MATCH(Table5[[#This Row],[PID]],Batters[[#All],[PID]],0)),INDEX(Table3[[#All],[zScore]],MATCH(Table5[[#This Row],[PID]],Table3[[#All],[PID]],0)))</f>
        <v>-0.99869301734205429</v>
      </c>
      <c r="S753" s="58" t="str">
        <f>IF($C753="B",INDEX(Batters[[#All],[DEM]],MATCH(Table5[[#This Row],[PID]],Batters[[#All],[PID]],0)),INDEX(Table3[[#All],[DEM]],MATCH(Table5[[#This Row],[PID]],Table3[[#All],[PID]],0)))</f>
        <v>$130k</v>
      </c>
      <c r="T753" s="62">
        <f>IF($C753="B",INDEX(Batters[[#All],[Rnk]],MATCH(Table5[[#This Row],[PID]],Batters[[#All],[PID]],0)),INDEX(Table3[[#All],[Rnk]],MATCH(Table5[[#This Row],[PID]],Table3[[#All],[PID]],0)))</f>
        <v>900</v>
      </c>
      <c r="U753" s="67">
        <f>IF($C753="B",VLOOKUP($A753,Bat!$A$4:$BA$1314,47,FALSE),VLOOKUP($A753,Pit!$A$4:$BF$1214,56,FALSE))</f>
        <v>266</v>
      </c>
      <c r="V753" s="50">
        <f>IF($C753="B",VLOOKUP($A753,Bat!$A$4:$BA$1314,48,FALSE),VLOOKUP($A753,Pit!$A$4:$BF$1214,57,FALSE))</f>
        <v>0</v>
      </c>
      <c r="W753" s="68">
        <f>IF(Table5[[#This Row],[posRnk]]=999,9999,Table5[[#This Row],[posRnk]]+Table5[[#This Row],[zRnk]]+IF($W$3&lt;&gt;Table5[[#This Row],[Type]],50,0))</f>
        <v>1726</v>
      </c>
      <c r="X753" s="51">
        <f>RANK(Table5[[#This Row],[zScore]],Table5[[#All],[zScore]])</f>
        <v>776</v>
      </c>
      <c r="Y753" s="50">
        <f>IFERROR(INDEX(DraftResults[[#All],[OVR]],MATCH(Table5[[#This Row],[PID]],DraftResults[[#All],[Player ID]],0)),"")</f>
        <v>585</v>
      </c>
      <c r="Z753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18</v>
      </c>
      <c r="AA753" s="50">
        <f>IFERROR(INDEX(DraftResults[[#All],[Pick in Round]],MATCH(Table5[[#This Row],[PID]],DraftResults[[#All],[Player ID]],0)),"")</f>
        <v>16</v>
      </c>
      <c r="AB753" s="50" t="str">
        <f>IFERROR(INDEX(DraftResults[[#All],[Team Name]],MATCH(Table5[[#This Row],[PID]],DraftResults[[#All],[Player ID]],0)),"")</f>
        <v>Madison Malts</v>
      </c>
      <c r="AC753" s="50">
        <f>IF(Table5[[#This Row],[Ovr]]="","",IF(Table5[[#This Row],[cmbList]]="","",Table5[[#This Row],[cmbList]]-Table5[[#This Row],[Ovr]]))</f>
        <v>1141</v>
      </c>
      <c r="AD753" s="54" t="str">
        <f>IF(ISERROR(VLOOKUP($AB753&amp;"-"&amp;$E753&amp;" "&amp;F753,Bonuses!$B$1:$G$1006,4,FALSE)),"",INT(VLOOKUP($AB753&amp;"-"&amp;$E753&amp;" "&amp;$F753,Bonuses!$B$1:$G$1006,4,FALSE)))</f>
        <v/>
      </c>
      <c r="AE753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18.16 (585) - 1B Caden Clark</v>
      </c>
    </row>
    <row r="754" spans="1:31" s="50" customFormat="1" x14ac:dyDescent="0.3">
      <c r="A754" s="50">
        <v>14017</v>
      </c>
      <c r="B754" s="50">
        <f>COUNTIF(Table5[PID],A754)</f>
        <v>1</v>
      </c>
      <c r="C754" s="50" t="str">
        <f>IF(COUNTIF(Table3[[#All],[PID]],A754)&gt;0,"P","B")</f>
        <v>B</v>
      </c>
      <c r="D754" s="59" t="str">
        <f>IF($C754="B",INDEX(Batters[[#All],[POS]],MATCH(Table5[[#This Row],[PID]],Batters[[#All],[PID]],0)),INDEX(Table3[[#All],[POS]],MATCH(Table5[[#This Row],[PID]],Table3[[#All],[PID]],0)))</f>
        <v>1B</v>
      </c>
      <c r="E754" s="52" t="str">
        <f>IF($C754="B",INDEX(Batters[[#All],[First]],MATCH(Table5[[#This Row],[PID]],Batters[[#All],[PID]],0)),INDEX(Table3[[#All],[First]],MATCH(Table5[[#This Row],[PID]],Table3[[#All],[PID]],0)))</f>
        <v>Niek</v>
      </c>
      <c r="F754" s="50" t="str">
        <f>IF($C754="B",INDEX(Batters[[#All],[Last]],MATCH(A754,Batters[[#All],[PID]],0)),INDEX(Table3[[#All],[Last]],MATCH(A754,Table3[[#All],[PID]],0)))</f>
        <v>Vlaminks</v>
      </c>
      <c r="G754" s="56">
        <f>IF($C754="B",INDEX(Batters[[#All],[Age]],MATCH(Table5[[#This Row],[PID]],Batters[[#All],[PID]],0)),INDEX(Table3[[#All],[Age]],MATCH(Table5[[#This Row],[PID]],Table3[[#All],[PID]],0)))</f>
        <v>21</v>
      </c>
      <c r="H754" s="52" t="str">
        <f>IF($C754="B",INDEX(Batters[[#All],[B]],MATCH(Table5[[#This Row],[PID]],Batters[[#All],[PID]],0)),INDEX(Table3[[#All],[B]],MATCH(Table5[[#This Row],[PID]],Table3[[#All],[PID]],0)))</f>
        <v>L</v>
      </c>
      <c r="I754" s="52" t="str">
        <f>IF($C754="B",INDEX(Batters[[#All],[T]],MATCH(Table5[[#This Row],[PID]],Batters[[#All],[PID]],0)),INDEX(Table3[[#All],[T]],MATCH(Table5[[#This Row],[PID]],Table3[[#All],[PID]],0)))</f>
        <v>L</v>
      </c>
      <c r="J754" s="52" t="str">
        <f>IF($C754="B",INDEX(Batters[[#All],[WE]],MATCH(Table5[[#This Row],[PID]],Batters[[#All],[PID]],0)),INDEX(Table3[[#All],[WE]],MATCH(Table5[[#This Row],[PID]],Table3[[#All],[PID]],0)))</f>
        <v>High</v>
      </c>
      <c r="K754" s="52" t="str">
        <f>IF($C754="B",INDEX(Batters[[#All],[INT]],MATCH(Table5[[#This Row],[PID]],Batters[[#All],[PID]],0)),INDEX(Table3[[#All],[INT]],MATCH(Table5[[#This Row],[PID]],Table3[[#All],[PID]],0)))</f>
        <v>Normal</v>
      </c>
      <c r="L754" s="60">
        <f>IF($C754="B",INDEX(Batters[[#All],[CON P]],MATCH(Table5[[#This Row],[PID]],Batters[[#All],[PID]],0)),INDEX(Table3[[#All],[STU P]],MATCH(Table5[[#This Row],[PID]],Table3[[#All],[PID]],0)))</f>
        <v>4</v>
      </c>
      <c r="M754" s="56">
        <f>IF($C754="B",INDEX(Batters[[#All],[GAP P]],MATCH(Table5[[#This Row],[PID]],Batters[[#All],[PID]],0)),INDEX(Table3[[#All],[MOV P]],MATCH(Table5[[#This Row],[PID]],Table3[[#All],[PID]],0)))</f>
        <v>3</v>
      </c>
      <c r="N754" s="56">
        <f>IF($C754="B",INDEX(Batters[[#All],[POW P]],MATCH(Table5[[#This Row],[PID]],Batters[[#All],[PID]],0)),INDEX(Table3[[#All],[CON P]],MATCH(Table5[[#This Row],[PID]],Table3[[#All],[PID]],0)))</f>
        <v>2</v>
      </c>
      <c r="O754" s="56">
        <f>IF($C754="B",INDEX(Batters[[#All],[EYE P]],MATCH(Table5[[#This Row],[PID]],Batters[[#All],[PID]],0)),INDEX(Table3[[#All],[VELO]],MATCH(Table5[[#This Row],[PID]],Table3[[#All],[PID]],0)))</f>
        <v>2</v>
      </c>
      <c r="P754" s="56">
        <f>IF($C754="B",INDEX(Batters[[#All],[K P]],MATCH(Table5[[#This Row],[PID]],Batters[[#All],[PID]],0)),INDEX(Table3[[#All],[STM]],MATCH(Table5[[#This Row],[PID]],Table3[[#All],[PID]],0)))</f>
        <v>4</v>
      </c>
      <c r="Q754" s="61">
        <f>IF($C754="B",INDEX(Batters[[#All],[Tot]],MATCH(Table5[[#This Row],[PID]],Batters[[#All],[PID]],0)),INDEX(Table3[[#All],[Tot]],MATCH(Table5[[#This Row],[PID]],Table3[[#All],[PID]],0)))</f>
        <v>36.371766003578429</v>
      </c>
      <c r="R754" s="52">
        <f>IF($C754="B",INDEX(Batters[[#All],[zScore]],MATCH(Table5[[#This Row],[PID]],Batters[[#All],[PID]],0)),INDEX(Table3[[#All],[zScore]],MATCH(Table5[[#This Row],[PID]],Table3[[#All],[PID]],0)))</f>
        <v>-0.99940344054934016</v>
      </c>
      <c r="S754" s="58" t="str">
        <f>IF($C754="B",INDEX(Batters[[#All],[DEM]],MATCH(Table5[[#This Row],[PID]],Batters[[#All],[PID]],0)),INDEX(Table3[[#All],[DEM]],MATCH(Table5[[#This Row],[PID]],Table3[[#All],[PID]],0)))</f>
        <v>-</v>
      </c>
      <c r="T754" s="62">
        <f>IF($C754="B",INDEX(Batters[[#All],[Rnk]],MATCH(Table5[[#This Row],[PID]],Batters[[#All],[PID]],0)),INDEX(Table3[[#All],[Rnk]],MATCH(Table5[[#This Row],[PID]],Table3[[#All],[PID]],0)))</f>
        <v>900</v>
      </c>
      <c r="U754" s="67">
        <f>IF($C754="B",VLOOKUP($A754,Bat!$A$4:$BA$1314,47,FALSE),VLOOKUP($A754,Pit!$A$4:$BF$1214,56,FALSE))</f>
        <v>259</v>
      </c>
      <c r="V754" s="50">
        <f>IF($C754="B",VLOOKUP($A754,Bat!$A$4:$BA$1314,48,FALSE),VLOOKUP($A754,Pit!$A$4:$BF$1214,57,FALSE))</f>
        <v>0</v>
      </c>
      <c r="W754" s="68">
        <f>IF(Table5[[#This Row],[posRnk]]=999,9999,Table5[[#This Row],[posRnk]]+Table5[[#This Row],[zRnk]]+IF($W$3&lt;&gt;Table5[[#This Row],[Type]],50,0))</f>
        <v>1727</v>
      </c>
      <c r="X754" s="51">
        <f>RANK(Table5[[#This Row],[zScore]],Table5[[#All],[zScore]])</f>
        <v>777</v>
      </c>
      <c r="Y754" s="50" t="str">
        <f>IFERROR(INDEX(DraftResults[[#All],[OVR]],MATCH(Table5[[#This Row],[PID]],DraftResults[[#All],[Player ID]],0)),"")</f>
        <v/>
      </c>
      <c r="Z754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/>
      </c>
      <c r="AA754" s="50" t="str">
        <f>IFERROR(INDEX(DraftResults[[#All],[Pick in Round]],MATCH(Table5[[#This Row],[PID]],DraftResults[[#All],[Player ID]],0)),"")</f>
        <v/>
      </c>
      <c r="AB754" s="50" t="str">
        <f>IFERROR(INDEX(DraftResults[[#All],[Team Name]],MATCH(Table5[[#This Row],[PID]],DraftResults[[#All],[Player ID]],0)),"")</f>
        <v/>
      </c>
      <c r="AC754" s="50" t="str">
        <f>IF(Table5[[#This Row],[Ovr]]="","",IF(Table5[[#This Row],[cmbList]]="","",Table5[[#This Row],[cmbList]]-Table5[[#This Row],[Ovr]]))</f>
        <v/>
      </c>
      <c r="AD754" s="54" t="str">
        <f>IF(ISERROR(VLOOKUP($AB754&amp;"-"&amp;$E754&amp;" "&amp;F754,Bonuses!$B$1:$G$1006,4,FALSE)),"",INT(VLOOKUP($AB754&amp;"-"&amp;$E754&amp;" "&amp;$F754,Bonuses!$B$1:$G$1006,4,FALSE)))</f>
        <v/>
      </c>
      <c r="AE754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/>
      </c>
    </row>
    <row r="755" spans="1:31" s="50" customFormat="1" x14ac:dyDescent="0.3">
      <c r="A755" s="67">
        <v>10812</v>
      </c>
      <c r="B755" s="68">
        <f>COUNTIF(Table5[PID],A755)</f>
        <v>1</v>
      </c>
      <c r="C755" s="68" t="str">
        <f>IF(COUNTIF(Table3[[#All],[PID]],A755)&gt;0,"P","B")</f>
        <v>P</v>
      </c>
      <c r="D755" s="59" t="str">
        <f>IF($C755="B",INDEX(Batters[[#All],[POS]],MATCH(Table5[[#This Row],[PID]],Batters[[#All],[PID]],0)),INDEX(Table3[[#All],[POS]],MATCH(Table5[[#This Row],[PID]],Table3[[#All],[PID]],0)))</f>
        <v>RP</v>
      </c>
      <c r="E755" s="52" t="str">
        <f>IF($C755="B",INDEX(Batters[[#All],[First]],MATCH(Table5[[#This Row],[PID]],Batters[[#All],[PID]],0)),INDEX(Table3[[#All],[First]],MATCH(Table5[[#This Row],[PID]],Table3[[#All],[PID]],0)))</f>
        <v>Naoki</v>
      </c>
      <c r="F755" s="55" t="str">
        <f>IF($C755="B",INDEX(Batters[[#All],[Last]],MATCH(A755,Batters[[#All],[PID]],0)),INDEX(Table3[[#All],[Last]],MATCH(A755,Table3[[#All],[PID]],0)))</f>
        <v>Morita</v>
      </c>
      <c r="G755" s="56">
        <f>IF($C755="B",INDEX(Batters[[#All],[Age]],MATCH(Table5[[#This Row],[PID]],Batters[[#All],[PID]],0)),INDEX(Table3[[#All],[Age]],MATCH(Table5[[#This Row],[PID]],Table3[[#All],[PID]],0)))</f>
        <v>21</v>
      </c>
      <c r="H755" s="52" t="str">
        <f>IF($C755="B",INDEX(Batters[[#All],[B]],MATCH(Table5[[#This Row],[PID]],Batters[[#All],[PID]],0)),INDEX(Table3[[#All],[B]],MATCH(Table5[[#This Row],[PID]],Table3[[#All],[PID]],0)))</f>
        <v>L</v>
      </c>
      <c r="I755" s="52" t="str">
        <f>IF($C755="B",INDEX(Batters[[#All],[T]],MATCH(Table5[[#This Row],[PID]],Batters[[#All],[PID]],0)),INDEX(Table3[[#All],[T]],MATCH(Table5[[#This Row],[PID]],Table3[[#All],[PID]],0)))</f>
        <v>L</v>
      </c>
      <c r="J755" s="69" t="str">
        <f>IF($C755="B",INDEX(Batters[[#All],[WE]],MATCH(Table5[[#This Row],[PID]],Batters[[#All],[PID]],0)),INDEX(Table3[[#All],[WE]],MATCH(Table5[[#This Row],[PID]],Table3[[#All],[PID]],0)))</f>
        <v>Normal</v>
      </c>
      <c r="K755" s="52" t="str">
        <f>IF($C755="B",INDEX(Batters[[#All],[INT]],MATCH(Table5[[#This Row],[PID]],Batters[[#All],[PID]],0)),INDEX(Table3[[#All],[INT]],MATCH(Table5[[#This Row],[PID]],Table3[[#All],[PID]],0)))</f>
        <v>Normal</v>
      </c>
      <c r="L755" s="60">
        <f>IF($C755="B",INDEX(Batters[[#All],[CON P]],MATCH(Table5[[#This Row],[PID]],Batters[[#All],[PID]],0)),INDEX(Table3[[#All],[STU P]],MATCH(Table5[[#This Row],[PID]],Table3[[#All],[PID]],0)))</f>
        <v>4</v>
      </c>
      <c r="M755" s="70">
        <f>IF($C755="B",INDEX(Batters[[#All],[GAP P]],MATCH(Table5[[#This Row],[PID]],Batters[[#All],[PID]],0)),INDEX(Table3[[#All],[MOV P]],MATCH(Table5[[#This Row],[PID]],Table3[[#All],[PID]],0)))</f>
        <v>1</v>
      </c>
      <c r="N755" s="70">
        <f>IF($C755="B",INDEX(Batters[[#All],[POW P]],MATCH(Table5[[#This Row],[PID]],Batters[[#All],[PID]],0)),INDEX(Table3[[#All],[CON P]],MATCH(Table5[[#This Row],[PID]],Table3[[#All],[PID]],0)))</f>
        <v>2</v>
      </c>
      <c r="O755" s="70" t="str">
        <f>IF($C755="B",INDEX(Batters[[#All],[EYE P]],MATCH(Table5[[#This Row],[PID]],Batters[[#All],[PID]],0)),INDEX(Table3[[#All],[VELO]],MATCH(Table5[[#This Row],[PID]],Table3[[#All],[PID]],0)))</f>
        <v>84-86 Mph</v>
      </c>
      <c r="P755" s="56">
        <f>IF($C755="B",INDEX(Batters[[#All],[K P]],MATCH(Table5[[#This Row],[PID]],Batters[[#All],[PID]],0)),INDEX(Table3[[#All],[STM]],MATCH(Table5[[#This Row],[PID]],Table3[[#All],[PID]],0)))</f>
        <v>8</v>
      </c>
      <c r="Q755" s="61">
        <f>IF($C755="B",INDEX(Batters[[#All],[Tot]],MATCH(Table5[[#This Row],[PID]],Batters[[#All],[PID]],0)),INDEX(Table3[[#All],[Tot]],MATCH(Table5[[#This Row],[PID]],Table3[[#All],[PID]],0)))</f>
        <v>23.706023779485708</v>
      </c>
      <c r="R755" s="52">
        <f>IF($C755="B",INDEX(Batters[[#All],[zScore]],MATCH(Table5[[#This Row],[PID]],Batters[[#All],[PID]],0)),INDEX(Table3[[#All],[zScore]],MATCH(Table5[[#This Row],[PID]],Table3[[#All],[PID]],0)))</f>
        <v>-1.0037741266362898</v>
      </c>
      <c r="S755" s="75" t="str">
        <f>IF($C755="B",INDEX(Batters[[#All],[DEM]],MATCH(Table5[[#This Row],[PID]],Batters[[#All],[PID]],0)),INDEX(Table3[[#All],[DEM]],MATCH(Table5[[#This Row],[PID]],Table3[[#All],[PID]],0)))</f>
        <v>-</v>
      </c>
      <c r="T755" s="72">
        <f>IF($C755="B",INDEX(Batters[[#All],[Rnk]],MATCH(Table5[[#This Row],[PID]],Batters[[#All],[PID]],0)),INDEX(Table3[[#All],[Rnk]],MATCH(Table5[[#This Row],[PID]],Table3[[#All],[PID]],0)))</f>
        <v>900</v>
      </c>
      <c r="U755" s="67">
        <f>IF($C755="B",VLOOKUP($A755,Bat!$A$4:$BA$1314,47,FALSE),VLOOKUP($A755,Pit!$A$4:$BF$1214,56,FALSE))</f>
        <v>249</v>
      </c>
      <c r="V755" s="50">
        <f>IF($C755="B",VLOOKUP($A755,Bat!$A$4:$BA$1314,48,FALSE),VLOOKUP($A755,Pit!$A$4:$BF$1214,57,FALSE))</f>
        <v>0</v>
      </c>
      <c r="W755" s="68">
        <f>IF(Table5[[#This Row],[posRnk]]=999,9999,Table5[[#This Row],[posRnk]]+Table5[[#This Row],[zRnk]]+IF($W$3&lt;&gt;Table5[[#This Row],[Type]],50,0))</f>
        <v>1678</v>
      </c>
      <c r="X755" s="71">
        <f>RANK(Table5[[#This Row],[zScore]],Table5[[#All],[zScore]])</f>
        <v>778</v>
      </c>
      <c r="Y755" s="68" t="str">
        <f>IFERROR(INDEX(DraftResults[[#All],[OVR]],MATCH(Table5[[#This Row],[PID]],DraftResults[[#All],[Player ID]],0)),"")</f>
        <v/>
      </c>
      <c r="Z755" s="7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/>
      </c>
      <c r="AA755" s="68" t="str">
        <f>IFERROR(INDEX(DraftResults[[#All],[Pick in Round]],MATCH(Table5[[#This Row],[PID]],DraftResults[[#All],[Player ID]],0)),"")</f>
        <v/>
      </c>
      <c r="AB755" s="68" t="str">
        <f>IFERROR(INDEX(DraftResults[[#All],[Team Name]],MATCH(Table5[[#This Row],[PID]],DraftResults[[#All],[Player ID]],0)),"")</f>
        <v/>
      </c>
      <c r="AC755" s="68" t="str">
        <f>IF(Table5[[#This Row],[Ovr]]="","",IF(Table5[[#This Row],[cmbList]]="","",Table5[[#This Row],[cmbList]]-Table5[[#This Row],[Ovr]]))</f>
        <v/>
      </c>
      <c r="AD755" s="74" t="str">
        <f>IF(ISERROR(VLOOKUP($AB755&amp;"-"&amp;$E755&amp;" "&amp;F755,Bonuses!$B$1:$G$1006,4,FALSE)),"",INT(VLOOKUP($AB755&amp;"-"&amp;$E755&amp;" "&amp;$F755,Bonuses!$B$1:$G$1006,4,FALSE)))</f>
        <v/>
      </c>
      <c r="AE755" s="68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/>
      </c>
    </row>
    <row r="756" spans="1:31" s="50" customFormat="1" x14ac:dyDescent="0.3">
      <c r="A756" s="50">
        <v>7227</v>
      </c>
      <c r="B756" s="50">
        <f>COUNTIF(Table5[PID],A756)</f>
        <v>1</v>
      </c>
      <c r="C756" s="50" t="str">
        <f>IF(COUNTIF(Table3[[#All],[PID]],A756)&gt;0,"P","B")</f>
        <v>B</v>
      </c>
      <c r="D756" s="59" t="str">
        <f>IF($C756="B",INDEX(Batters[[#All],[POS]],MATCH(Table5[[#This Row],[PID]],Batters[[#All],[PID]],0)),INDEX(Table3[[#All],[POS]],MATCH(Table5[[#This Row],[PID]],Table3[[#All],[PID]],0)))</f>
        <v>SS</v>
      </c>
      <c r="E756" s="52" t="str">
        <f>IF($C756="B",INDEX(Batters[[#All],[First]],MATCH(Table5[[#This Row],[PID]],Batters[[#All],[PID]],0)),INDEX(Table3[[#All],[First]],MATCH(Table5[[#This Row],[PID]],Table3[[#All],[PID]],0)))</f>
        <v>Stanley</v>
      </c>
      <c r="F756" s="50" t="str">
        <f>IF($C756="B",INDEX(Batters[[#All],[Last]],MATCH(A756,Batters[[#All],[PID]],0)),INDEX(Table3[[#All],[Last]],MATCH(A756,Table3[[#All],[PID]],0)))</f>
        <v>Jackson</v>
      </c>
      <c r="G756" s="56">
        <f>IF($C756="B",INDEX(Batters[[#All],[Age]],MATCH(Table5[[#This Row],[PID]],Batters[[#All],[PID]],0)),INDEX(Table3[[#All],[Age]],MATCH(Table5[[#This Row],[PID]],Table3[[#All],[PID]],0)))</f>
        <v>22</v>
      </c>
      <c r="H756" s="52" t="str">
        <f>IF($C756="B",INDEX(Batters[[#All],[B]],MATCH(Table5[[#This Row],[PID]],Batters[[#All],[PID]],0)),INDEX(Table3[[#All],[B]],MATCH(Table5[[#This Row],[PID]],Table3[[#All],[PID]],0)))</f>
        <v>R</v>
      </c>
      <c r="I756" s="52" t="str">
        <f>IF($C756="B",INDEX(Batters[[#All],[T]],MATCH(Table5[[#This Row],[PID]],Batters[[#All],[PID]],0)),INDEX(Table3[[#All],[T]],MATCH(Table5[[#This Row],[PID]],Table3[[#All],[PID]],0)))</f>
        <v>R</v>
      </c>
      <c r="J756" s="52" t="str">
        <f>IF($C756="B",INDEX(Batters[[#All],[WE]],MATCH(Table5[[#This Row],[PID]],Batters[[#All],[PID]],0)),INDEX(Table3[[#All],[WE]],MATCH(Table5[[#This Row],[PID]],Table3[[#All],[PID]],0)))</f>
        <v>High</v>
      </c>
      <c r="K756" s="52" t="str">
        <f>IF($C756="B",INDEX(Batters[[#All],[INT]],MATCH(Table5[[#This Row],[PID]],Batters[[#All],[PID]],0)),INDEX(Table3[[#All],[INT]],MATCH(Table5[[#This Row],[PID]],Table3[[#All],[PID]],0)))</f>
        <v>Normal</v>
      </c>
      <c r="L756" s="60">
        <f>IF($C756="B",INDEX(Batters[[#All],[CON P]],MATCH(Table5[[#This Row],[PID]],Batters[[#All],[PID]],0)),INDEX(Table3[[#All],[STU P]],MATCH(Table5[[#This Row],[PID]],Table3[[#All],[PID]],0)))</f>
        <v>3</v>
      </c>
      <c r="M756" s="56">
        <f>IF($C756="B",INDEX(Batters[[#All],[GAP P]],MATCH(Table5[[#This Row],[PID]],Batters[[#All],[PID]],0)),INDEX(Table3[[#All],[MOV P]],MATCH(Table5[[#This Row],[PID]],Table3[[#All],[PID]],0)))</f>
        <v>3</v>
      </c>
      <c r="N756" s="56">
        <f>IF($C756="B",INDEX(Batters[[#All],[POW P]],MATCH(Table5[[#This Row],[PID]],Batters[[#All],[PID]],0)),INDEX(Table3[[#All],[CON P]],MATCH(Table5[[#This Row],[PID]],Table3[[#All],[PID]],0)))</f>
        <v>2</v>
      </c>
      <c r="O756" s="56">
        <f>IF($C756="B",INDEX(Batters[[#All],[EYE P]],MATCH(Table5[[#This Row],[PID]],Batters[[#All],[PID]],0)),INDEX(Table3[[#All],[VELO]],MATCH(Table5[[#This Row],[PID]],Table3[[#All],[PID]],0)))</f>
        <v>5</v>
      </c>
      <c r="P756" s="56">
        <f>IF($C756="B",INDEX(Batters[[#All],[K P]],MATCH(Table5[[#This Row],[PID]],Batters[[#All],[PID]],0)),INDEX(Table3[[#All],[STM]],MATCH(Table5[[#This Row],[PID]],Table3[[#All],[PID]],0)))</f>
        <v>4</v>
      </c>
      <c r="Q756" s="61">
        <f>IF($C756="B",INDEX(Batters[[#All],[Tot]],MATCH(Table5[[#This Row],[PID]],Batters[[#All],[PID]],0)),INDEX(Table3[[#All],[Tot]],MATCH(Table5[[#This Row],[PID]],Table3[[#All],[PID]],0)))</f>
        <v>36.320961256327344</v>
      </c>
      <c r="R756" s="52">
        <f>IF($C756="B",INDEX(Batters[[#All],[zScore]],MATCH(Table5[[#This Row],[PID]],Batters[[#All],[PID]],0)),INDEX(Table3[[#All],[zScore]],MATCH(Table5[[#This Row],[PID]],Table3[[#All],[PID]],0)))</f>
        <v>-1.0068193134666823</v>
      </c>
      <c r="S756" s="58" t="str">
        <f>IF($C756="B",INDEX(Batters[[#All],[DEM]],MATCH(Table5[[#This Row],[PID]],Batters[[#All],[PID]],0)),INDEX(Table3[[#All],[DEM]],MATCH(Table5[[#This Row],[PID]],Table3[[#All],[PID]],0)))</f>
        <v>-</v>
      </c>
      <c r="T756" s="62">
        <f>IF($C756="B",INDEX(Batters[[#All],[Rnk]],MATCH(Table5[[#This Row],[PID]],Batters[[#All],[PID]],0)),INDEX(Table3[[#All],[Rnk]],MATCH(Table5[[#This Row],[PID]],Table3[[#All],[PID]],0)))</f>
        <v>900</v>
      </c>
      <c r="U756" s="67">
        <f>IF($C756="B",VLOOKUP($A756,Bat!$A$4:$BA$1314,47,FALSE),VLOOKUP($A756,Pit!$A$4:$BF$1214,56,FALSE))</f>
        <v>260</v>
      </c>
      <c r="V756" s="50">
        <f>IF($C756="B",VLOOKUP($A756,Bat!$A$4:$BA$1314,48,FALSE),VLOOKUP($A756,Pit!$A$4:$BF$1214,57,FALSE))</f>
        <v>0</v>
      </c>
      <c r="W756" s="68">
        <f>IF(Table5[[#This Row],[posRnk]]=999,9999,Table5[[#This Row],[posRnk]]+Table5[[#This Row],[zRnk]]+IF($W$3&lt;&gt;Table5[[#This Row],[Type]],50,0))</f>
        <v>1730</v>
      </c>
      <c r="X756" s="51">
        <f>RANK(Table5[[#This Row],[zScore]],Table5[[#All],[zScore]])</f>
        <v>780</v>
      </c>
      <c r="Y756" s="50">
        <f>IFERROR(INDEX(DraftResults[[#All],[OVR]],MATCH(Table5[[#This Row],[PID]],DraftResults[[#All],[Player ID]],0)),"")</f>
        <v>285</v>
      </c>
      <c r="Z756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9</v>
      </c>
      <c r="AA756" s="50">
        <f>IFERROR(INDEX(DraftResults[[#All],[Pick in Round]],MATCH(Table5[[#This Row],[PID]],DraftResults[[#All],[Player ID]],0)),"")</f>
        <v>20</v>
      </c>
      <c r="AB756" s="50" t="str">
        <f>IFERROR(INDEX(DraftResults[[#All],[Team Name]],MATCH(Table5[[#This Row],[PID]],DraftResults[[#All],[Player ID]],0)),"")</f>
        <v>Crystal Lake Sandgnats</v>
      </c>
      <c r="AC756" s="50">
        <f>IF(Table5[[#This Row],[Ovr]]="","",IF(Table5[[#This Row],[cmbList]]="","",Table5[[#This Row],[cmbList]]-Table5[[#This Row],[Ovr]]))</f>
        <v>1445</v>
      </c>
      <c r="AD756" s="54" t="str">
        <f>IF(ISERROR(VLOOKUP($AB756&amp;"-"&amp;$E756&amp;" "&amp;F756,Bonuses!$B$1:$G$1006,4,FALSE)),"",INT(VLOOKUP($AB756&amp;"-"&amp;$E756&amp;" "&amp;$F756,Bonuses!$B$1:$G$1006,4,FALSE)))</f>
        <v/>
      </c>
      <c r="AE756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9.20 (285) - SS Stanley Jackson</v>
      </c>
    </row>
    <row r="757" spans="1:31" s="50" customFormat="1" x14ac:dyDescent="0.3">
      <c r="A757" s="50">
        <v>12234</v>
      </c>
      <c r="B757" s="50">
        <f>COUNTIF(Table5[PID],A757)</f>
        <v>1</v>
      </c>
      <c r="C757" s="50" t="str">
        <f>IF(COUNTIF(Table3[[#All],[PID]],A757)&gt;0,"P","B")</f>
        <v>P</v>
      </c>
      <c r="D757" s="59" t="str">
        <f>IF($C757="B",INDEX(Batters[[#All],[POS]],MATCH(Table5[[#This Row],[PID]],Batters[[#All],[PID]],0)),INDEX(Table3[[#All],[POS]],MATCH(Table5[[#This Row],[PID]],Table3[[#All],[PID]],0)))</f>
        <v>RP</v>
      </c>
      <c r="E757" s="52" t="str">
        <f>IF($C757="B",INDEX(Batters[[#All],[First]],MATCH(Table5[[#This Row],[PID]],Batters[[#All],[PID]],0)),INDEX(Table3[[#All],[First]],MATCH(Table5[[#This Row],[PID]],Table3[[#All],[PID]],0)))</f>
        <v>Alberto</v>
      </c>
      <c r="F757" s="50" t="str">
        <f>IF($C757="B",INDEX(Batters[[#All],[Last]],MATCH(A757,Batters[[#All],[PID]],0)),INDEX(Table3[[#All],[Last]],MATCH(A757,Table3[[#All],[PID]],0)))</f>
        <v>Lara</v>
      </c>
      <c r="G757" s="56">
        <f>IF($C757="B",INDEX(Batters[[#All],[Age]],MATCH(Table5[[#This Row],[PID]],Batters[[#All],[PID]],0)),INDEX(Table3[[#All],[Age]],MATCH(Table5[[#This Row],[PID]],Table3[[#All],[PID]],0)))</f>
        <v>21</v>
      </c>
      <c r="H757" s="52" t="str">
        <f>IF($C757="B",INDEX(Batters[[#All],[B]],MATCH(Table5[[#This Row],[PID]],Batters[[#All],[PID]],0)),INDEX(Table3[[#All],[B]],MATCH(Table5[[#This Row],[PID]],Table3[[#All],[PID]],0)))</f>
        <v>R</v>
      </c>
      <c r="I757" s="52" t="str">
        <f>IF($C757="B",INDEX(Batters[[#All],[T]],MATCH(Table5[[#This Row],[PID]],Batters[[#All],[PID]],0)),INDEX(Table3[[#All],[T]],MATCH(Table5[[#This Row],[PID]],Table3[[#All],[PID]],0)))</f>
        <v>R</v>
      </c>
      <c r="J757" s="52" t="str">
        <f>IF($C757="B",INDEX(Batters[[#All],[WE]],MATCH(Table5[[#This Row],[PID]],Batters[[#All],[PID]],0)),INDEX(Table3[[#All],[WE]],MATCH(Table5[[#This Row],[PID]],Table3[[#All],[PID]],0)))</f>
        <v>Low</v>
      </c>
      <c r="K757" s="52" t="str">
        <f>IF($C757="B",INDEX(Batters[[#All],[INT]],MATCH(Table5[[#This Row],[PID]],Batters[[#All],[PID]],0)),INDEX(Table3[[#All],[INT]],MATCH(Table5[[#This Row],[PID]],Table3[[#All],[PID]],0)))</f>
        <v>Normal</v>
      </c>
      <c r="L757" s="60">
        <f>IF($C757="B",INDEX(Batters[[#All],[CON P]],MATCH(Table5[[#This Row],[PID]],Batters[[#All],[PID]],0)),INDEX(Table3[[#All],[STU P]],MATCH(Table5[[#This Row],[PID]],Table3[[#All],[PID]],0)))</f>
        <v>4</v>
      </c>
      <c r="M757" s="56">
        <f>IF($C757="B",INDEX(Batters[[#All],[GAP P]],MATCH(Table5[[#This Row],[PID]],Batters[[#All],[PID]],0)),INDEX(Table3[[#All],[MOV P]],MATCH(Table5[[#This Row],[PID]],Table3[[#All],[PID]],0)))</f>
        <v>2</v>
      </c>
      <c r="N757" s="56">
        <f>IF($C757="B",INDEX(Batters[[#All],[POW P]],MATCH(Table5[[#This Row],[PID]],Batters[[#All],[PID]],0)),INDEX(Table3[[#All],[CON P]],MATCH(Table5[[#This Row],[PID]],Table3[[#All],[PID]],0)))</f>
        <v>2</v>
      </c>
      <c r="O757" s="56" t="str">
        <f>IF($C757="B",INDEX(Batters[[#All],[EYE P]],MATCH(Table5[[#This Row],[PID]],Batters[[#All],[PID]],0)),INDEX(Table3[[#All],[VELO]],MATCH(Table5[[#This Row],[PID]],Table3[[#All],[PID]],0)))</f>
        <v>87-89 Mph</v>
      </c>
      <c r="P757" s="56">
        <f>IF($C757="B",INDEX(Batters[[#All],[K P]],MATCH(Table5[[#This Row],[PID]],Batters[[#All],[PID]],0)),INDEX(Table3[[#All],[STM]],MATCH(Table5[[#This Row],[PID]],Table3[[#All],[PID]],0)))</f>
        <v>6</v>
      </c>
      <c r="Q757" s="61">
        <f>IF($C757="B",INDEX(Batters[[#All],[Tot]],MATCH(Table5[[#This Row],[PID]],Batters[[#All],[PID]],0)),INDEX(Table3[[#All],[Tot]],MATCH(Table5[[#This Row],[PID]],Table3[[#All],[PID]],0)))</f>
        <v>24.826242373108226</v>
      </c>
      <c r="R757" s="52">
        <f>IF($C757="B",INDEX(Batters[[#All],[zScore]],MATCH(Table5[[#This Row],[PID]],Batters[[#All],[PID]],0)),INDEX(Table3[[#All],[zScore]],MATCH(Table5[[#This Row],[PID]],Table3[[#All],[PID]],0)))</f>
        <v>-0.92400668441529277</v>
      </c>
      <c r="S757" s="58" t="str">
        <f>IF($C757="B",INDEX(Batters[[#All],[DEM]],MATCH(Table5[[#This Row],[PID]],Batters[[#All],[PID]],0)),INDEX(Table3[[#All],[DEM]],MATCH(Table5[[#This Row],[PID]],Table3[[#All],[PID]],0)))</f>
        <v>-</v>
      </c>
      <c r="T757" s="62">
        <f>IF($C757="B",INDEX(Batters[[#All],[Rnk]],MATCH(Table5[[#This Row],[PID]],Batters[[#All],[PID]],0)),INDEX(Table3[[#All],[Rnk]],MATCH(Table5[[#This Row],[PID]],Table3[[#All],[PID]],0)))</f>
        <v>930</v>
      </c>
      <c r="U757" s="67">
        <f>IF($C757="B",VLOOKUP($A757,Bat!$A$4:$BA$1314,47,FALSE),VLOOKUP($A757,Pit!$A$4:$BF$1214,56,FALSE))</f>
        <v>360</v>
      </c>
      <c r="V757" s="50">
        <f>IF($C757="B",VLOOKUP($A757,Bat!$A$4:$BA$1314,48,FALSE),VLOOKUP($A757,Pit!$A$4:$BF$1214,57,FALSE))</f>
        <v>0</v>
      </c>
      <c r="W757" s="68">
        <f>IF(Table5[[#This Row],[posRnk]]=999,9999,Table5[[#This Row],[posRnk]]+Table5[[#This Row],[zRnk]]+IF($W$3&lt;&gt;Table5[[#This Row],[Type]],50,0))</f>
        <v>1680</v>
      </c>
      <c r="X757" s="51">
        <f>RANK(Table5[[#This Row],[zScore]],Table5[[#All],[zScore]])</f>
        <v>750</v>
      </c>
      <c r="Y757" s="50" t="str">
        <f>IFERROR(INDEX(DraftResults[[#All],[OVR]],MATCH(Table5[[#This Row],[PID]],DraftResults[[#All],[Player ID]],0)),"")</f>
        <v/>
      </c>
      <c r="Z757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/>
      </c>
      <c r="AA757" s="50" t="str">
        <f>IFERROR(INDEX(DraftResults[[#All],[Pick in Round]],MATCH(Table5[[#This Row],[PID]],DraftResults[[#All],[Player ID]],0)),"")</f>
        <v/>
      </c>
      <c r="AB757" s="50" t="str">
        <f>IFERROR(INDEX(DraftResults[[#All],[Team Name]],MATCH(Table5[[#This Row],[PID]],DraftResults[[#All],[Player ID]],0)),"")</f>
        <v/>
      </c>
      <c r="AC757" s="50" t="str">
        <f>IF(Table5[[#This Row],[Ovr]]="","",IF(Table5[[#This Row],[cmbList]]="","",Table5[[#This Row],[cmbList]]-Table5[[#This Row],[Ovr]]))</f>
        <v/>
      </c>
      <c r="AD757" s="54" t="str">
        <f>IF(ISERROR(VLOOKUP($AB757&amp;"-"&amp;$E757&amp;" "&amp;F757,Bonuses!$B$1:$G$1006,4,FALSE)),"",INT(VLOOKUP($AB757&amp;"-"&amp;$E757&amp;" "&amp;$F757,Bonuses!$B$1:$G$1006,4,FALSE)))</f>
        <v/>
      </c>
      <c r="AE757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/>
      </c>
    </row>
    <row r="758" spans="1:31" s="50" customFormat="1" x14ac:dyDescent="0.3">
      <c r="A758" s="50">
        <v>12240</v>
      </c>
      <c r="B758" s="55">
        <f>COUNTIF(Table5[PID],A758)</f>
        <v>1</v>
      </c>
      <c r="C758" s="55" t="str">
        <f>IF(COUNTIF(Table3[[#All],[PID]],A758)&gt;0,"P","B")</f>
        <v>P</v>
      </c>
      <c r="D758" s="59" t="str">
        <f>IF($C758="B",INDEX(Batters[[#All],[POS]],MATCH(Table5[[#This Row],[PID]],Batters[[#All],[PID]],0)),INDEX(Table3[[#All],[POS]],MATCH(Table5[[#This Row],[PID]],Table3[[#All],[PID]],0)))</f>
        <v>RP</v>
      </c>
      <c r="E758" s="52" t="str">
        <f>IF($C758="B",INDEX(Batters[[#All],[First]],MATCH(Table5[[#This Row],[PID]],Batters[[#All],[PID]],0)),INDEX(Table3[[#All],[First]],MATCH(Table5[[#This Row],[PID]],Table3[[#All],[PID]],0)))</f>
        <v>Jorge</v>
      </c>
      <c r="F758" s="50" t="str">
        <f>IF($C758="B",INDEX(Batters[[#All],[Last]],MATCH(A758,Batters[[#All],[PID]],0)),INDEX(Table3[[#All],[Last]],MATCH(A758,Table3[[#All],[PID]],0)))</f>
        <v>Zarzuela</v>
      </c>
      <c r="G758" s="56">
        <f>IF($C758="B",INDEX(Batters[[#All],[Age]],MATCH(Table5[[#This Row],[PID]],Batters[[#All],[PID]],0)),INDEX(Table3[[#All],[Age]],MATCH(Table5[[#This Row],[PID]],Table3[[#All],[PID]],0)))</f>
        <v>21</v>
      </c>
      <c r="H758" s="52" t="str">
        <f>IF($C758="B",INDEX(Batters[[#All],[B]],MATCH(Table5[[#This Row],[PID]],Batters[[#All],[PID]],0)),INDEX(Table3[[#All],[B]],MATCH(Table5[[#This Row],[PID]],Table3[[#All],[PID]],0)))</f>
        <v>L</v>
      </c>
      <c r="I758" s="52" t="str">
        <f>IF($C758="B",INDEX(Batters[[#All],[T]],MATCH(Table5[[#This Row],[PID]],Batters[[#All],[PID]],0)),INDEX(Table3[[#All],[T]],MATCH(Table5[[#This Row],[PID]],Table3[[#All],[PID]],0)))</f>
        <v>L</v>
      </c>
      <c r="J758" s="52" t="str">
        <f>IF($C758="B",INDEX(Batters[[#All],[WE]],MATCH(Table5[[#This Row],[PID]],Batters[[#All],[PID]],0)),INDEX(Table3[[#All],[WE]],MATCH(Table5[[#This Row],[PID]],Table3[[#All],[PID]],0)))</f>
        <v>Low</v>
      </c>
      <c r="K758" s="52" t="str">
        <f>IF($C758="B",INDEX(Batters[[#All],[INT]],MATCH(Table5[[#This Row],[PID]],Batters[[#All],[PID]],0)),INDEX(Table3[[#All],[INT]],MATCH(Table5[[#This Row],[PID]],Table3[[#All],[PID]],0)))</f>
        <v>Low</v>
      </c>
      <c r="L758" s="60">
        <f>IF($C758="B",INDEX(Batters[[#All],[CON P]],MATCH(Table5[[#This Row],[PID]],Batters[[#All],[PID]],0)),INDEX(Table3[[#All],[STU P]],MATCH(Table5[[#This Row],[PID]],Table3[[#All],[PID]],0)))</f>
        <v>3</v>
      </c>
      <c r="M758" s="56">
        <f>IF($C758="B",INDEX(Batters[[#All],[GAP P]],MATCH(Table5[[#This Row],[PID]],Batters[[#All],[PID]],0)),INDEX(Table3[[#All],[MOV P]],MATCH(Table5[[#This Row],[PID]],Table3[[#All],[PID]],0)))</f>
        <v>2</v>
      </c>
      <c r="N758" s="56">
        <f>IF($C758="B",INDEX(Batters[[#All],[POW P]],MATCH(Table5[[#This Row],[PID]],Batters[[#All],[PID]],0)),INDEX(Table3[[#All],[CON P]],MATCH(Table5[[#This Row],[PID]],Table3[[#All],[PID]],0)))</f>
        <v>3</v>
      </c>
      <c r="O758" s="56" t="str">
        <f>IF($C758="B",INDEX(Batters[[#All],[EYE P]],MATCH(Table5[[#This Row],[PID]],Batters[[#All],[PID]],0)),INDEX(Table3[[#All],[VELO]],MATCH(Table5[[#This Row],[PID]],Table3[[#All],[PID]],0)))</f>
        <v>86-88 Mph</v>
      </c>
      <c r="P758" s="56">
        <f>IF($C758="B",INDEX(Batters[[#All],[K P]],MATCH(Table5[[#This Row],[PID]],Batters[[#All],[PID]],0)),INDEX(Table3[[#All],[STM]],MATCH(Table5[[#This Row],[PID]],Table3[[#All],[PID]],0)))</f>
        <v>7</v>
      </c>
      <c r="Q758" s="61">
        <f>IF($C758="B",INDEX(Batters[[#All],[Tot]],MATCH(Table5[[#This Row],[PID]],Batters[[#All],[PID]],0)),INDEX(Table3[[#All],[Tot]],MATCH(Table5[[#This Row],[PID]],Table3[[#All],[PID]],0)))</f>
        <v>25.27970421710371</v>
      </c>
      <c r="R758" s="52">
        <f>IF($C758="B",INDEX(Batters[[#All],[zScore]],MATCH(Table5[[#This Row],[PID]],Batters[[#All],[PID]],0)),INDEX(Table3[[#All],[zScore]],MATCH(Table5[[#This Row],[PID]],Table3[[#All],[PID]],0)))</f>
        <v>-0.88469346446263963</v>
      </c>
      <c r="S758" s="58" t="str">
        <f>IF($C758="B",INDEX(Batters[[#All],[DEM]],MATCH(Table5[[#This Row],[PID]],Batters[[#All],[PID]],0)),INDEX(Table3[[#All],[DEM]],MATCH(Table5[[#This Row],[PID]],Table3[[#All],[PID]],0)))</f>
        <v>$20k</v>
      </c>
      <c r="T758" s="62">
        <f>IF($C758="B",INDEX(Batters[[#All],[Rnk]],MATCH(Table5[[#This Row],[PID]],Batters[[#All],[PID]],0)),INDEX(Table3[[#All],[Rnk]],MATCH(Table5[[#This Row],[PID]],Table3[[#All],[PID]],0)))</f>
        <v>950</v>
      </c>
      <c r="U758" s="67">
        <f>IF($C758="B",VLOOKUP($A758,Bat!$A$4:$BA$1314,47,FALSE),VLOOKUP($A758,Pit!$A$4:$BF$1214,56,FALSE))</f>
        <v>420</v>
      </c>
      <c r="V758" s="50">
        <f>IF($C758="B",VLOOKUP($A758,Bat!$A$4:$BA$1314,48,FALSE),VLOOKUP($A758,Pit!$A$4:$BF$1214,57,FALSE))</f>
        <v>0</v>
      </c>
      <c r="W758" s="68">
        <f>IF(Table5[[#This Row],[posRnk]]=999,9999,Table5[[#This Row],[posRnk]]+Table5[[#This Row],[zRnk]]+IF($W$3&lt;&gt;Table5[[#This Row],[Type]],50,0))</f>
        <v>1680</v>
      </c>
      <c r="X758" s="51">
        <f>RANK(Table5[[#This Row],[zScore]],Table5[[#All],[zScore]])</f>
        <v>730</v>
      </c>
      <c r="Y758" s="50" t="str">
        <f>IFERROR(INDEX(DraftResults[[#All],[OVR]],MATCH(Table5[[#This Row],[PID]],DraftResults[[#All],[Player ID]],0)),"")</f>
        <v/>
      </c>
      <c r="Z758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/>
      </c>
      <c r="AA758" s="50" t="str">
        <f>IFERROR(INDEX(DraftResults[[#All],[Pick in Round]],MATCH(Table5[[#This Row],[PID]],DraftResults[[#All],[Player ID]],0)),"")</f>
        <v/>
      </c>
      <c r="AB758" s="50" t="str">
        <f>IFERROR(INDEX(DraftResults[[#All],[Team Name]],MATCH(Table5[[#This Row],[PID]],DraftResults[[#All],[Player ID]],0)),"")</f>
        <v/>
      </c>
      <c r="AC758" s="50" t="str">
        <f>IF(Table5[[#This Row],[Ovr]]="","",IF(Table5[[#This Row],[cmbList]]="","",Table5[[#This Row],[cmbList]]-Table5[[#This Row],[Ovr]]))</f>
        <v/>
      </c>
      <c r="AD758" s="54" t="str">
        <f>IF(ISERROR(VLOOKUP($AB758&amp;"-"&amp;$E758&amp;" "&amp;F758,Bonuses!$B$1:$G$1006,4,FALSE)),"",INT(VLOOKUP($AB758&amp;"-"&amp;$E758&amp;" "&amp;$F758,Bonuses!$B$1:$G$1006,4,FALSE)))</f>
        <v/>
      </c>
      <c r="AE758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/>
      </c>
    </row>
    <row r="759" spans="1:31" s="50" customFormat="1" x14ac:dyDescent="0.3">
      <c r="A759" s="50">
        <v>16938</v>
      </c>
      <c r="B759" s="50">
        <f>COUNTIF(Table5[PID],A759)</f>
        <v>1</v>
      </c>
      <c r="C759" s="50" t="str">
        <f>IF(COUNTIF(Table3[[#All],[PID]],A759)&gt;0,"P","B")</f>
        <v>B</v>
      </c>
      <c r="D759" s="59" t="str">
        <f>IF($C759="B",INDEX(Batters[[#All],[POS]],MATCH(Table5[[#This Row],[PID]],Batters[[#All],[PID]],0)),INDEX(Table3[[#All],[POS]],MATCH(Table5[[#This Row],[PID]],Table3[[#All],[PID]],0)))</f>
        <v>1B</v>
      </c>
      <c r="E759" s="52" t="str">
        <f>IF($C759="B",INDEX(Batters[[#All],[First]],MATCH(Table5[[#This Row],[PID]],Batters[[#All],[PID]],0)),INDEX(Table3[[#All],[First]],MATCH(Table5[[#This Row],[PID]],Table3[[#All],[PID]],0)))</f>
        <v>Jim</v>
      </c>
      <c r="F759" s="50" t="str">
        <f>IF($C759="B",INDEX(Batters[[#All],[Last]],MATCH(A759,Batters[[#All],[PID]],0)),INDEX(Table3[[#All],[Last]],MATCH(A759,Table3[[#All],[PID]],0)))</f>
        <v>St. John</v>
      </c>
      <c r="G759" s="56">
        <f>IF($C759="B",INDEX(Batters[[#All],[Age]],MATCH(Table5[[#This Row],[PID]],Batters[[#All],[PID]],0)),INDEX(Table3[[#All],[Age]],MATCH(Table5[[#This Row],[PID]],Table3[[#All],[PID]],0)))</f>
        <v>22</v>
      </c>
      <c r="H759" s="52" t="str">
        <f>IF($C759="B",INDEX(Batters[[#All],[B]],MATCH(Table5[[#This Row],[PID]],Batters[[#All],[PID]],0)),INDEX(Table3[[#All],[B]],MATCH(Table5[[#This Row],[PID]],Table3[[#All],[PID]],0)))</f>
        <v>L</v>
      </c>
      <c r="I759" s="52" t="str">
        <f>IF($C759="B",INDEX(Batters[[#All],[T]],MATCH(Table5[[#This Row],[PID]],Batters[[#All],[PID]],0)),INDEX(Table3[[#All],[T]],MATCH(Table5[[#This Row],[PID]],Table3[[#All],[PID]],0)))</f>
        <v>L</v>
      </c>
      <c r="J759" s="52" t="str">
        <f>IF($C759="B",INDEX(Batters[[#All],[WE]],MATCH(Table5[[#This Row],[PID]],Batters[[#All],[PID]],0)),INDEX(Table3[[#All],[WE]],MATCH(Table5[[#This Row],[PID]],Table3[[#All],[PID]],0)))</f>
        <v>Normal</v>
      </c>
      <c r="K759" s="52" t="str">
        <f>IF($C759="B",INDEX(Batters[[#All],[INT]],MATCH(Table5[[#This Row],[PID]],Batters[[#All],[PID]],0)),INDEX(Table3[[#All],[INT]],MATCH(Table5[[#This Row],[PID]],Table3[[#All],[PID]],0)))</f>
        <v>Normal</v>
      </c>
      <c r="L759" s="60">
        <f>IF($C759="B",INDEX(Batters[[#All],[CON P]],MATCH(Table5[[#This Row],[PID]],Batters[[#All],[PID]],0)),INDEX(Table3[[#All],[STU P]],MATCH(Table5[[#This Row],[PID]],Table3[[#All],[PID]],0)))</f>
        <v>3</v>
      </c>
      <c r="M759" s="56">
        <f>IF($C759="B",INDEX(Batters[[#All],[GAP P]],MATCH(Table5[[#This Row],[PID]],Batters[[#All],[PID]],0)),INDEX(Table3[[#All],[MOV P]],MATCH(Table5[[#This Row],[PID]],Table3[[#All],[PID]],0)))</f>
        <v>4</v>
      </c>
      <c r="N759" s="56">
        <f>IF($C759="B",INDEX(Batters[[#All],[POW P]],MATCH(Table5[[#This Row],[PID]],Batters[[#All],[PID]],0)),INDEX(Table3[[#All],[CON P]],MATCH(Table5[[#This Row],[PID]],Table3[[#All],[PID]],0)))</f>
        <v>2</v>
      </c>
      <c r="O759" s="56">
        <f>IF($C759="B",INDEX(Batters[[#All],[EYE P]],MATCH(Table5[[#This Row],[PID]],Batters[[#All],[PID]],0)),INDEX(Table3[[#All],[VELO]],MATCH(Table5[[#This Row],[PID]],Table3[[#All],[PID]],0)))</f>
        <v>5</v>
      </c>
      <c r="P759" s="56">
        <f>IF($C759="B",INDEX(Batters[[#All],[K P]],MATCH(Table5[[#This Row],[PID]],Batters[[#All],[PID]],0)),INDEX(Table3[[#All],[STM]],MATCH(Table5[[#This Row],[PID]],Table3[[#All],[PID]],0)))</f>
        <v>4</v>
      </c>
      <c r="Q759" s="61">
        <f>IF($C759="B",INDEX(Batters[[#All],[Tot]],MATCH(Table5[[#This Row],[PID]],Batters[[#All],[PID]],0)),INDEX(Table3[[#All],[Tot]],MATCH(Table5[[#This Row],[PID]],Table3[[#All],[PID]],0)))</f>
        <v>36.179044651297346</v>
      </c>
      <c r="R759" s="52">
        <f>IF($C759="B",INDEX(Batters[[#All],[zScore]],MATCH(Table5[[#This Row],[PID]],Batters[[#All],[PID]],0)),INDEX(Table3[[#All],[zScore]],MATCH(Table5[[#This Row],[PID]],Table3[[#All],[PID]],0)))</f>
        <v>-1.0275346120304527</v>
      </c>
      <c r="S759" s="58" t="str">
        <f>IF($C759="B",INDEX(Batters[[#All],[DEM]],MATCH(Table5[[#This Row],[PID]],Batters[[#All],[PID]],0)),INDEX(Table3[[#All],[DEM]],MATCH(Table5[[#This Row],[PID]],Table3[[#All],[PID]],0)))</f>
        <v>-</v>
      </c>
      <c r="T759" s="62">
        <f>IF($C759="B",INDEX(Batters[[#All],[Rnk]],MATCH(Table5[[#This Row],[PID]],Batters[[#All],[PID]],0)),INDEX(Table3[[#All],[Rnk]],MATCH(Table5[[#This Row],[PID]],Table3[[#All],[PID]],0)))</f>
        <v>900</v>
      </c>
      <c r="U759" s="67">
        <f>IF($C759="B",VLOOKUP($A759,Bat!$A$4:$BA$1314,47,FALSE),VLOOKUP($A759,Pit!$A$4:$BF$1214,56,FALSE))</f>
        <v>267</v>
      </c>
      <c r="V759" s="50">
        <f>IF($C759="B",VLOOKUP($A759,Bat!$A$4:$BA$1314,48,FALSE),VLOOKUP($A759,Pit!$A$4:$BF$1214,57,FALSE))</f>
        <v>0</v>
      </c>
      <c r="W759" s="68">
        <f>IF(Table5[[#This Row],[posRnk]]=999,9999,Table5[[#This Row],[posRnk]]+Table5[[#This Row],[zRnk]]+IF($W$3&lt;&gt;Table5[[#This Row],[Type]],50,0))</f>
        <v>1732</v>
      </c>
      <c r="X759" s="51">
        <f>RANK(Table5[[#This Row],[zScore]],Table5[[#All],[zScore]])</f>
        <v>782</v>
      </c>
      <c r="Y759" s="50">
        <f>IFERROR(INDEX(DraftResults[[#All],[OVR]],MATCH(Table5[[#This Row],[PID]],DraftResults[[#All],[Player ID]],0)),"")</f>
        <v>610</v>
      </c>
      <c r="Z759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19</v>
      </c>
      <c r="AA759" s="50">
        <f>IFERROR(INDEX(DraftResults[[#All],[Pick in Round]],MATCH(Table5[[#This Row],[PID]],DraftResults[[#All],[Player ID]],0)),"")</f>
        <v>7</v>
      </c>
      <c r="AB759" s="50" t="str">
        <f>IFERROR(INDEX(DraftResults[[#All],[Team Name]],MATCH(Table5[[#This Row],[PID]],DraftResults[[#All],[Player ID]],0)),"")</f>
        <v>Hartford Harpoon</v>
      </c>
      <c r="AC759" s="50">
        <f>IF(Table5[[#This Row],[Ovr]]="","",IF(Table5[[#This Row],[cmbList]]="","",Table5[[#This Row],[cmbList]]-Table5[[#This Row],[Ovr]]))</f>
        <v>1122</v>
      </c>
      <c r="AD759" s="54" t="str">
        <f>IF(ISERROR(VLOOKUP($AB759&amp;"-"&amp;$E759&amp;" "&amp;F759,Bonuses!$B$1:$G$1006,4,FALSE)),"",INT(VLOOKUP($AB759&amp;"-"&amp;$E759&amp;" "&amp;$F759,Bonuses!$B$1:$G$1006,4,FALSE)))</f>
        <v/>
      </c>
      <c r="AE759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19.7 (610) - 1B Jim St. John</v>
      </c>
    </row>
    <row r="760" spans="1:31" s="50" customFormat="1" x14ac:dyDescent="0.3">
      <c r="A760" s="67">
        <v>14387</v>
      </c>
      <c r="B760" s="68">
        <f>COUNTIF(Table5[PID],A760)</f>
        <v>1</v>
      </c>
      <c r="C760" s="68" t="str">
        <f>IF(COUNTIF(Table3[[#All],[PID]],A760)&gt;0,"P","B")</f>
        <v>B</v>
      </c>
      <c r="D760" s="59" t="str">
        <f>IF($C760="B",INDEX(Batters[[#All],[POS]],MATCH(Table5[[#This Row],[PID]],Batters[[#All],[PID]],0)),INDEX(Table3[[#All],[POS]],MATCH(Table5[[#This Row],[PID]],Table3[[#All],[PID]],0)))</f>
        <v>RF</v>
      </c>
      <c r="E760" s="52" t="str">
        <f>IF($C760="B",INDEX(Batters[[#All],[First]],MATCH(Table5[[#This Row],[PID]],Batters[[#All],[PID]],0)),INDEX(Table3[[#All],[First]],MATCH(Table5[[#This Row],[PID]],Table3[[#All],[PID]],0)))</f>
        <v>Hideyori</v>
      </c>
      <c r="F760" s="55" t="str">
        <f>IF($C760="B",INDEX(Batters[[#All],[Last]],MATCH(A760,Batters[[#All],[PID]],0)),INDEX(Table3[[#All],[Last]],MATCH(A760,Table3[[#All],[PID]],0)))</f>
        <v>Okabe</v>
      </c>
      <c r="G760" s="56">
        <f>IF($C760="B",INDEX(Batters[[#All],[Age]],MATCH(Table5[[#This Row],[PID]],Batters[[#All],[PID]],0)),INDEX(Table3[[#All],[Age]],MATCH(Table5[[#This Row],[PID]],Table3[[#All],[PID]],0)))</f>
        <v>22</v>
      </c>
      <c r="H760" s="52" t="str">
        <f>IF($C760="B",INDEX(Batters[[#All],[B]],MATCH(Table5[[#This Row],[PID]],Batters[[#All],[PID]],0)),INDEX(Table3[[#All],[B]],MATCH(Table5[[#This Row],[PID]],Table3[[#All],[PID]],0)))</f>
        <v>R</v>
      </c>
      <c r="I760" s="52" t="str">
        <f>IF($C760="B",INDEX(Batters[[#All],[T]],MATCH(Table5[[#This Row],[PID]],Batters[[#All],[PID]],0)),INDEX(Table3[[#All],[T]],MATCH(Table5[[#This Row],[PID]],Table3[[#All],[PID]],0)))</f>
        <v>R</v>
      </c>
      <c r="J760" s="69" t="str">
        <f>IF($C760="B",INDEX(Batters[[#All],[WE]],MATCH(Table5[[#This Row],[PID]],Batters[[#All],[PID]],0)),INDEX(Table3[[#All],[WE]],MATCH(Table5[[#This Row],[PID]],Table3[[#All],[PID]],0)))</f>
        <v>Normal</v>
      </c>
      <c r="K760" s="52" t="str">
        <f>IF($C760="B",INDEX(Batters[[#All],[INT]],MATCH(Table5[[#This Row],[PID]],Batters[[#All],[PID]],0)),INDEX(Table3[[#All],[INT]],MATCH(Table5[[#This Row],[PID]],Table3[[#All],[PID]],0)))</f>
        <v>Normal</v>
      </c>
      <c r="L760" s="60">
        <f>IF($C760="B",INDEX(Batters[[#All],[CON P]],MATCH(Table5[[#This Row],[PID]],Batters[[#All],[PID]],0)),INDEX(Table3[[#All],[STU P]],MATCH(Table5[[#This Row],[PID]],Table3[[#All],[PID]],0)))</f>
        <v>3</v>
      </c>
      <c r="M760" s="70">
        <f>IF($C760="B",INDEX(Batters[[#All],[GAP P]],MATCH(Table5[[#This Row],[PID]],Batters[[#All],[PID]],0)),INDEX(Table3[[#All],[MOV P]],MATCH(Table5[[#This Row],[PID]],Table3[[#All],[PID]],0)))</f>
        <v>3</v>
      </c>
      <c r="N760" s="70">
        <f>IF($C760="B",INDEX(Batters[[#All],[POW P]],MATCH(Table5[[#This Row],[PID]],Batters[[#All],[PID]],0)),INDEX(Table3[[#All],[CON P]],MATCH(Table5[[#This Row],[PID]],Table3[[#All],[PID]],0)))</f>
        <v>3</v>
      </c>
      <c r="O760" s="70">
        <f>IF($C760="B",INDEX(Batters[[#All],[EYE P]],MATCH(Table5[[#This Row],[PID]],Batters[[#All],[PID]],0)),INDEX(Table3[[#All],[VELO]],MATCH(Table5[[#This Row],[PID]],Table3[[#All],[PID]],0)))</f>
        <v>5</v>
      </c>
      <c r="P760" s="56">
        <f>IF($C760="B",INDEX(Batters[[#All],[K P]],MATCH(Table5[[#This Row],[PID]],Batters[[#All],[PID]],0)),INDEX(Table3[[#All],[STM]],MATCH(Table5[[#This Row],[PID]],Table3[[#All],[PID]],0)))</f>
        <v>3</v>
      </c>
      <c r="Q760" s="61">
        <f>IF($C760="B",INDEX(Batters[[#All],[Tot]],MATCH(Table5[[#This Row],[PID]],Batters[[#All],[PID]],0)),INDEX(Table3[[#All],[Tot]],MATCH(Table5[[#This Row],[PID]],Table3[[#All],[PID]],0)))</f>
        <v>36.078064839831818</v>
      </c>
      <c r="R760" s="52">
        <f>IF($C760="B",INDEX(Batters[[#All],[zScore]],MATCH(Table5[[#This Row],[PID]],Batters[[#All],[PID]],0)),INDEX(Table3[[#All],[zScore]],MATCH(Table5[[#This Row],[PID]],Table3[[#All],[PID]],0)))</f>
        <v>-1.0422744442226015</v>
      </c>
      <c r="S760" s="75" t="str">
        <f>IF($C760="B",INDEX(Batters[[#All],[DEM]],MATCH(Table5[[#This Row],[PID]],Batters[[#All],[PID]],0)),INDEX(Table3[[#All],[DEM]],MATCH(Table5[[#This Row],[PID]],Table3[[#All],[PID]],0)))</f>
        <v>-</v>
      </c>
      <c r="T760" s="72">
        <f>IF($C760="B",INDEX(Batters[[#All],[Rnk]],MATCH(Table5[[#This Row],[PID]],Batters[[#All],[PID]],0)),INDEX(Table3[[#All],[Rnk]],MATCH(Table5[[#This Row],[PID]],Table3[[#All],[PID]],0)))</f>
        <v>900</v>
      </c>
      <c r="U760" s="67">
        <f>IF($C760="B",VLOOKUP($A760,Bat!$A$4:$BA$1314,47,FALSE),VLOOKUP($A760,Pit!$A$4:$BF$1214,56,FALSE))</f>
        <v>268</v>
      </c>
      <c r="V760" s="50">
        <f>IF($C760="B",VLOOKUP($A760,Bat!$A$4:$BA$1314,48,FALSE),VLOOKUP($A760,Pit!$A$4:$BF$1214,57,FALSE))</f>
        <v>0</v>
      </c>
      <c r="W760" s="68">
        <f>IF(Table5[[#This Row],[posRnk]]=999,9999,Table5[[#This Row],[posRnk]]+Table5[[#This Row],[zRnk]]+IF($W$3&lt;&gt;Table5[[#This Row],[Type]],50,0))</f>
        <v>1735</v>
      </c>
      <c r="X760" s="71">
        <f>RANK(Table5[[#This Row],[zScore]],Table5[[#All],[zScore]])</f>
        <v>785</v>
      </c>
      <c r="Y760" s="68" t="str">
        <f>IFERROR(INDEX(DraftResults[[#All],[OVR]],MATCH(Table5[[#This Row],[PID]],DraftResults[[#All],[Player ID]],0)),"")</f>
        <v/>
      </c>
      <c r="Z760" s="7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/>
      </c>
      <c r="AA760" s="68" t="str">
        <f>IFERROR(INDEX(DraftResults[[#All],[Pick in Round]],MATCH(Table5[[#This Row],[PID]],DraftResults[[#All],[Player ID]],0)),"")</f>
        <v/>
      </c>
      <c r="AB760" s="68" t="str">
        <f>IFERROR(INDEX(DraftResults[[#All],[Team Name]],MATCH(Table5[[#This Row],[PID]],DraftResults[[#All],[Player ID]],0)),"")</f>
        <v/>
      </c>
      <c r="AC760" s="68" t="str">
        <f>IF(Table5[[#This Row],[Ovr]]="","",IF(Table5[[#This Row],[cmbList]]="","",Table5[[#This Row],[cmbList]]-Table5[[#This Row],[Ovr]]))</f>
        <v/>
      </c>
      <c r="AD760" s="74" t="str">
        <f>IF(ISERROR(VLOOKUP($AB760&amp;"-"&amp;$E760&amp;" "&amp;F760,Bonuses!$B$1:$G$1006,4,FALSE)),"",INT(VLOOKUP($AB760&amp;"-"&amp;$E760&amp;" "&amp;$F760,Bonuses!$B$1:$G$1006,4,FALSE)))</f>
        <v/>
      </c>
      <c r="AE760" s="68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/>
      </c>
    </row>
    <row r="761" spans="1:31" s="50" customFormat="1" x14ac:dyDescent="0.3">
      <c r="A761" s="50">
        <v>8073</v>
      </c>
      <c r="B761" s="50">
        <f>COUNTIF(Table5[PID],A761)</f>
        <v>1</v>
      </c>
      <c r="C761" s="50" t="str">
        <f>IF(COUNTIF(Table3[[#All],[PID]],A761)&gt;0,"P","B")</f>
        <v>B</v>
      </c>
      <c r="D761" s="59" t="str">
        <f>IF($C761="B",INDEX(Batters[[#All],[POS]],MATCH(Table5[[#This Row],[PID]],Batters[[#All],[PID]],0)),INDEX(Table3[[#All],[POS]],MATCH(Table5[[#This Row],[PID]],Table3[[#All],[PID]],0)))</f>
        <v>1B</v>
      </c>
      <c r="E761" s="52" t="str">
        <f>IF($C761="B",INDEX(Batters[[#All],[First]],MATCH(Table5[[#This Row],[PID]],Batters[[#All],[PID]],0)),INDEX(Table3[[#All],[First]],MATCH(Table5[[#This Row],[PID]],Table3[[#All],[PID]],0)))</f>
        <v>Nick</v>
      </c>
      <c r="F761" s="50" t="str">
        <f>IF($C761="B",INDEX(Batters[[#All],[Last]],MATCH(A761,Batters[[#All],[PID]],0)),INDEX(Table3[[#All],[Last]],MATCH(A761,Table3[[#All],[PID]],0)))</f>
        <v>Lindsey</v>
      </c>
      <c r="G761" s="56">
        <f>IF($C761="B",INDEX(Batters[[#All],[Age]],MATCH(Table5[[#This Row],[PID]],Batters[[#All],[PID]],0)),INDEX(Table3[[#All],[Age]],MATCH(Table5[[#This Row],[PID]],Table3[[#All],[PID]],0)))</f>
        <v>21</v>
      </c>
      <c r="H761" s="52" t="str">
        <f>IF($C761="B",INDEX(Batters[[#All],[B]],MATCH(Table5[[#This Row],[PID]],Batters[[#All],[PID]],0)),INDEX(Table3[[#All],[B]],MATCH(Table5[[#This Row],[PID]],Table3[[#All],[PID]],0)))</f>
        <v>R</v>
      </c>
      <c r="I761" s="52" t="str">
        <f>IF($C761="B",INDEX(Batters[[#All],[T]],MATCH(Table5[[#This Row],[PID]],Batters[[#All],[PID]],0)),INDEX(Table3[[#All],[T]],MATCH(Table5[[#This Row],[PID]],Table3[[#All],[PID]],0)))</f>
        <v>R</v>
      </c>
      <c r="J761" s="52" t="str">
        <f>IF($C761="B",INDEX(Batters[[#All],[WE]],MATCH(Table5[[#This Row],[PID]],Batters[[#All],[PID]],0)),INDEX(Table3[[#All],[WE]],MATCH(Table5[[#This Row],[PID]],Table3[[#All],[PID]],0)))</f>
        <v>Normal</v>
      </c>
      <c r="K761" s="52" t="str">
        <f>IF($C761="B",INDEX(Batters[[#All],[INT]],MATCH(Table5[[#This Row],[PID]],Batters[[#All],[PID]],0)),INDEX(Table3[[#All],[INT]],MATCH(Table5[[#This Row],[PID]],Table3[[#All],[PID]],0)))</f>
        <v>Normal</v>
      </c>
      <c r="L761" s="60">
        <f>IF($C761="B",INDEX(Batters[[#All],[CON P]],MATCH(Table5[[#This Row],[PID]],Batters[[#All],[PID]],0)),INDEX(Table3[[#All],[STU P]],MATCH(Table5[[#This Row],[PID]],Table3[[#All],[PID]],0)))</f>
        <v>3</v>
      </c>
      <c r="M761" s="56">
        <f>IF($C761="B",INDEX(Batters[[#All],[GAP P]],MATCH(Table5[[#This Row],[PID]],Batters[[#All],[PID]],0)),INDEX(Table3[[#All],[MOV P]],MATCH(Table5[[#This Row],[PID]],Table3[[#All],[PID]],0)))</f>
        <v>3</v>
      </c>
      <c r="N761" s="56">
        <f>IF($C761="B",INDEX(Batters[[#All],[POW P]],MATCH(Table5[[#This Row],[PID]],Batters[[#All],[PID]],0)),INDEX(Table3[[#All],[CON P]],MATCH(Table5[[#This Row],[PID]],Table3[[#All],[PID]],0)))</f>
        <v>3</v>
      </c>
      <c r="O761" s="56">
        <f>IF($C761="B",INDEX(Batters[[#All],[EYE P]],MATCH(Table5[[#This Row],[PID]],Batters[[#All],[PID]],0)),INDEX(Table3[[#All],[VELO]],MATCH(Table5[[#This Row],[PID]],Table3[[#All],[PID]],0)))</f>
        <v>5</v>
      </c>
      <c r="P761" s="56">
        <f>IF($C761="B",INDEX(Batters[[#All],[K P]],MATCH(Table5[[#This Row],[PID]],Batters[[#All],[PID]],0)),INDEX(Table3[[#All],[STM]],MATCH(Table5[[#This Row],[PID]],Table3[[#All],[PID]],0)))</f>
        <v>3</v>
      </c>
      <c r="Q761" s="61">
        <f>IF($C761="B",INDEX(Batters[[#All],[Tot]],MATCH(Table5[[#This Row],[PID]],Batters[[#All],[PID]],0)),INDEX(Table3[[#All],[Tot]],MATCH(Table5[[#This Row],[PID]],Table3[[#All],[PID]],0)))</f>
        <v>36.023426163846331</v>
      </c>
      <c r="R761" s="52">
        <f>IF($C761="B",INDEX(Batters[[#All],[zScore]],MATCH(Table5[[#This Row],[PID]],Batters[[#All],[PID]],0)),INDEX(Table3[[#All],[zScore]],MATCH(Table5[[#This Row],[PID]],Table3[[#All],[PID]],0)))</f>
        <v>-1.0502499484698264</v>
      </c>
      <c r="S761" s="58" t="str">
        <f>IF($C761="B",INDEX(Batters[[#All],[DEM]],MATCH(Table5[[#This Row],[PID]],Batters[[#All],[PID]],0)),INDEX(Table3[[#All],[DEM]],MATCH(Table5[[#This Row],[PID]],Table3[[#All],[PID]],0)))</f>
        <v>-</v>
      </c>
      <c r="T761" s="62">
        <f>IF($C761="B",INDEX(Batters[[#All],[Rnk]],MATCH(Table5[[#This Row],[PID]],Batters[[#All],[PID]],0)),INDEX(Table3[[#All],[Rnk]],MATCH(Table5[[#This Row],[PID]],Table3[[#All],[PID]],0)))</f>
        <v>900</v>
      </c>
      <c r="U761" s="67">
        <f>IF($C761="B",VLOOKUP($A761,Bat!$A$4:$BA$1314,47,FALSE),VLOOKUP($A761,Pit!$A$4:$BF$1214,56,FALSE))</f>
        <v>269</v>
      </c>
      <c r="V761" s="50">
        <f>IF($C761="B",VLOOKUP($A761,Bat!$A$4:$BA$1314,48,FALSE),VLOOKUP($A761,Pit!$A$4:$BF$1214,57,FALSE))</f>
        <v>0</v>
      </c>
      <c r="W761" s="68">
        <f>IF(Table5[[#This Row],[posRnk]]=999,9999,Table5[[#This Row],[posRnk]]+Table5[[#This Row],[zRnk]]+IF($W$3&lt;&gt;Table5[[#This Row],[Type]],50,0))</f>
        <v>1737</v>
      </c>
      <c r="X761" s="51">
        <f>RANK(Table5[[#This Row],[zScore]],Table5[[#All],[zScore]])</f>
        <v>787</v>
      </c>
      <c r="Y761" s="50" t="str">
        <f>IFERROR(INDEX(DraftResults[[#All],[OVR]],MATCH(Table5[[#This Row],[PID]],DraftResults[[#All],[Player ID]],0)),"")</f>
        <v/>
      </c>
      <c r="Z761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/>
      </c>
      <c r="AA761" s="50" t="str">
        <f>IFERROR(INDEX(DraftResults[[#All],[Pick in Round]],MATCH(Table5[[#This Row],[PID]],DraftResults[[#All],[Player ID]],0)),"")</f>
        <v/>
      </c>
      <c r="AB761" s="50" t="str">
        <f>IFERROR(INDEX(DraftResults[[#All],[Team Name]],MATCH(Table5[[#This Row],[PID]],DraftResults[[#All],[Player ID]],0)),"")</f>
        <v/>
      </c>
      <c r="AC761" s="50" t="str">
        <f>IF(Table5[[#This Row],[Ovr]]="","",IF(Table5[[#This Row],[cmbList]]="","",Table5[[#This Row],[cmbList]]-Table5[[#This Row],[Ovr]]))</f>
        <v/>
      </c>
      <c r="AD761" s="54" t="str">
        <f>IF(ISERROR(VLOOKUP($AB761&amp;"-"&amp;$E761&amp;" "&amp;F761,Bonuses!$B$1:$G$1006,4,FALSE)),"",INT(VLOOKUP($AB761&amp;"-"&amp;$E761&amp;" "&amp;$F761,Bonuses!$B$1:$G$1006,4,FALSE)))</f>
        <v/>
      </c>
      <c r="AE761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/>
      </c>
    </row>
    <row r="762" spans="1:31" s="50" customFormat="1" x14ac:dyDescent="0.3">
      <c r="A762" s="50">
        <v>12237</v>
      </c>
      <c r="B762" s="50">
        <f>COUNTIF(Table5[PID],A762)</f>
        <v>1</v>
      </c>
      <c r="C762" s="50" t="str">
        <f>IF(COUNTIF(Table3[[#All],[PID]],A762)&gt;0,"P","B")</f>
        <v>P</v>
      </c>
      <c r="D762" s="59" t="str">
        <f>IF($C762="B",INDEX(Batters[[#All],[POS]],MATCH(Table5[[#This Row],[PID]],Batters[[#All],[PID]],0)),INDEX(Table3[[#All],[POS]],MATCH(Table5[[#This Row],[PID]],Table3[[#All],[PID]],0)))</f>
        <v>RP</v>
      </c>
      <c r="E762" s="52" t="str">
        <f>IF($C762="B",INDEX(Batters[[#All],[First]],MATCH(Table5[[#This Row],[PID]],Batters[[#All],[PID]],0)),INDEX(Table3[[#All],[First]],MATCH(Table5[[#This Row],[PID]],Table3[[#All],[PID]],0)))</f>
        <v>Charlie</v>
      </c>
      <c r="F762" s="50" t="str">
        <f>IF($C762="B",INDEX(Batters[[#All],[Last]],MATCH(A762,Batters[[#All],[PID]],0)),INDEX(Table3[[#All],[Last]],MATCH(A762,Table3[[#All],[PID]],0)))</f>
        <v>Storer</v>
      </c>
      <c r="G762" s="56">
        <f>IF($C762="B",INDEX(Batters[[#All],[Age]],MATCH(Table5[[#This Row],[PID]],Batters[[#All],[PID]],0)),INDEX(Table3[[#All],[Age]],MATCH(Table5[[#This Row],[PID]],Table3[[#All],[PID]],0)))</f>
        <v>21</v>
      </c>
      <c r="H762" s="52" t="str">
        <f>IF($C762="B",INDEX(Batters[[#All],[B]],MATCH(Table5[[#This Row],[PID]],Batters[[#All],[PID]],0)),INDEX(Table3[[#All],[B]],MATCH(Table5[[#This Row],[PID]],Table3[[#All],[PID]],0)))</f>
        <v>R</v>
      </c>
      <c r="I762" s="52" t="str">
        <f>IF($C762="B",INDEX(Batters[[#All],[T]],MATCH(Table5[[#This Row],[PID]],Batters[[#All],[PID]],0)),INDEX(Table3[[#All],[T]],MATCH(Table5[[#This Row],[PID]],Table3[[#All],[PID]],0)))</f>
        <v>R</v>
      </c>
      <c r="J762" s="52" t="str">
        <f>IF($C762="B",INDEX(Batters[[#All],[WE]],MATCH(Table5[[#This Row],[PID]],Batters[[#All],[PID]],0)),INDEX(Table3[[#All],[WE]],MATCH(Table5[[#This Row],[PID]],Table3[[#All],[PID]],0)))</f>
        <v>Low</v>
      </c>
      <c r="K762" s="52" t="str">
        <f>IF($C762="B",INDEX(Batters[[#All],[INT]],MATCH(Table5[[#This Row],[PID]],Batters[[#All],[PID]],0)),INDEX(Table3[[#All],[INT]],MATCH(Table5[[#This Row],[PID]],Table3[[#All],[PID]],0)))</f>
        <v>Normal</v>
      </c>
      <c r="L762" s="60">
        <f>IF($C762="B",INDEX(Batters[[#All],[CON P]],MATCH(Table5[[#This Row],[PID]],Batters[[#All],[PID]],0)),INDEX(Table3[[#All],[STU P]],MATCH(Table5[[#This Row],[PID]],Table3[[#All],[PID]],0)))</f>
        <v>4</v>
      </c>
      <c r="M762" s="56">
        <f>IF($C762="B",INDEX(Batters[[#All],[GAP P]],MATCH(Table5[[#This Row],[PID]],Batters[[#All],[PID]],0)),INDEX(Table3[[#All],[MOV P]],MATCH(Table5[[#This Row],[PID]],Table3[[#All],[PID]],0)))</f>
        <v>2</v>
      </c>
      <c r="N762" s="56">
        <f>IF($C762="B",INDEX(Batters[[#All],[POW P]],MATCH(Table5[[#This Row],[PID]],Batters[[#All],[PID]],0)),INDEX(Table3[[#All],[CON P]],MATCH(Table5[[#This Row],[PID]],Table3[[#All],[PID]],0)))</f>
        <v>2</v>
      </c>
      <c r="O762" s="56" t="str">
        <f>IF($C762="B",INDEX(Batters[[#All],[EYE P]],MATCH(Table5[[#This Row],[PID]],Batters[[#All],[PID]],0)),INDEX(Table3[[#All],[VELO]],MATCH(Table5[[#This Row],[PID]],Table3[[#All],[PID]],0)))</f>
        <v>88-90 Mph</v>
      </c>
      <c r="P762" s="56">
        <f>IF($C762="B",INDEX(Batters[[#All],[K P]],MATCH(Table5[[#This Row],[PID]],Batters[[#All],[PID]],0)),INDEX(Table3[[#All],[STM]],MATCH(Table5[[#This Row],[PID]],Table3[[#All],[PID]],0)))</f>
        <v>8</v>
      </c>
      <c r="Q762" s="61">
        <f>IF($C762="B",INDEX(Batters[[#All],[Tot]],MATCH(Table5[[#This Row],[PID]],Batters[[#All],[PID]],0)),INDEX(Table3[[#All],[Tot]],MATCH(Table5[[#This Row],[PID]],Table3[[#All],[PID]],0)))</f>
        <v>24.654463136217522</v>
      </c>
      <c r="R762" s="52">
        <f>IF($C762="B",INDEX(Batters[[#All],[zScore]],MATCH(Table5[[#This Row],[PID]],Batters[[#All],[PID]],0)),INDEX(Table3[[#All],[zScore]],MATCH(Table5[[#This Row],[PID]],Table3[[#All],[PID]],0)))</f>
        <v>-0.93623857418346379</v>
      </c>
      <c r="S762" s="58" t="str">
        <f>IF($C762="B",INDEX(Batters[[#All],[DEM]],MATCH(Table5[[#This Row],[PID]],Batters[[#All],[PID]],0)),INDEX(Table3[[#All],[DEM]],MATCH(Table5[[#This Row],[PID]],Table3[[#All],[PID]],0)))</f>
        <v>-</v>
      </c>
      <c r="T762" s="62">
        <f>IF($C762="B",INDEX(Batters[[#All],[Rnk]],MATCH(Table5[[#This Row],[PID]],Batters[[#All],[PID]],0)),INDEX(Table3[[#All],[Rnk]],MATCH(Table5[[#This Row],[PID]],Table3[[#All],[PID]],0)))</f>
        <v>930</v>
      </c>
      <c r="U762" s="67">
        <f>IF($C762="B",VLOOKUP($A762,Bat!$A$4:$BA$1314,47,FALSE),VLOOKUP($A762,Pit!$A$4:$BF$1214,56,FALSE))</f>
        <v>361</v>
      </c>
      <c r="V762" s="50">
        <f>IF($C762="B",VLOOKUP($A762,Bat!$A$4:$BA$1314,48,FALSE),VLOOKUP($A762,Pit!$A$4:$BF$1214,57,FALSE))</f>
        <v>0</v>
      </c>
      <c r="W762" s="68">
        <f>IF(Table5[[#This Row],[posRnk]]=999,9999,Table5[[#This Row],[posRnk]]+Table5[[#This Row],[zRnk]]+IF($W$3&lt;&gt;Table5[[#This Row],[Type]],50,0))</f>
        <v>1687</v>
      </c>
      <c r="X762" s="51">
        <f>RANK(Table5[[#This Row],[zScore]],Table5[[#All],[zScore]])</f>
        <v>757</v>
      </c>
      <c r="Y762" s="50">
        <f>IFERROR(INDEX(DraftResults[[#All],[OVR]],MATCH(Table5[[#This Row],[PID]],DraftResults[[#All],[Player ID]],0)),"")</f>
        <v>460</v>
      </c>
      <c r="Z762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14</v>
      </c>
      <c r="AA762" s="50">
        <f>IFERROR(INDEX(DraftResults[[#All],[Pick in Round]],MATCH(Table5[[#This Row],[PID]],DraftResults[[#All],[Player ID]],0)),"")</f>
        <v>27</v>
      </c>
      <c r="AB762" s="50" t="str">
        <f>IFERROR(INDEX(DraftResults[[#All],[Team Name]],MATCH(Table5[[#This Row],[PID]],DraftResults[[#All],[Player ID]],0)),"")</f>
        <v>Havana Leones</v>
      </c>
      <c r="AC762" s="50">
        <f>IF(Table5[[#This Row],[Ovr]]="","",IF(Table5[[#This Row],[cmbList]]="","",Table5[[#This Row],[cmbList]]-Table5[[#This Row],[Ovr]]))</f>
        <v>1227</v>
      </c>
      <c r="AD762" s="54" t="str">
        <f>IF(ISERROR(VLOOKUP($AB762&amp;"-"&amp;$E762&amp;" "&amp;F762,Bonuses!$B$1:$G$1006,4,FALSE)),"",INT(VLOOKUP($AB762&amp;"-"&amp;$E762&amp;" "&amp;$F762,Bonuses!$B$1:$G$1006,4,FALSE)))</f>
        <v/>
      </c>
      <c r="AE762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14.27 (460) - RP Charlie Storer</v>
      </c>
    </row>
    <row r="763" spans="1:31" s="50" customFormat="1" x14ac:dyDescent="0.3">
      <c r="A763" s="50">
        <v>12720</v>
      </c>
      <c r="B763" s="50">
        <f>COUNTIF(Table5[PID],A763)</f>
        <v>1</v>
      </c>
      <c r="C763" s="50" t="str">
        <f>IF(COUNTIF(Table3[[#All],[PID]],A763)&gt;0,"P","B")</f>
        <v>B</v>
      </c>
      <c r="D763" s="59" t="str">
        <f>IF($C763="B",INDEX(Batters[[#All],[POS]],MATCH(Table5[[#This Row],[PID]],Batters[[#All],[PID]],0)),INDEX(Table3[[#All],[POS]],MATCH(Table5[[#This Row],[PID]],Table3[[#All],[PID]],0)))</f>
        <v>C</v>
      </c>
      <c r="E763" s="52" t="str">
        <f>IF($C763="B",INDEX(Batters[[#All],[First]],MATCH(Table5[[#This Row],[PID]],Batters[[#All],[PID]],0)),INDEX(Table3[[#All],[First]],MATCH(Table5[[#This Row],[PID]],Table3[[#All],[PID]],0)))</f>
        <v>Kyle</v>
      </c>
      <c r="F763" s="50" t="str">
        <f>IF($C763="B",INDEX(Batters[[#All],[Last]],MATCH(A763,Batters[[#All],[PID]],0)),INDEX(Table3[[#All],[Last]],MATCH(A763,Table3[[#All],[PID]],0)))</f>
        <v>Jory</v>
      </c>
      <c r="G763" s="56">
        <f>IF($C763="B",INDEX(Batters[[#All],[Age]],MATCH(Table5[[#This Row],[PID]],Batters[[#All],[PID]],0)),INDEX(Table3[[#All],[Age]],MATCH(Table5[[#This Row],[PID]],Table3[[#All],[PID]],0)))</f>
        <v>21</v>
      </c>
      <c r="H763" s="52" t="str">
        <f>IF($C763="B",INDEX(Batters[[#All],[B]],MATCH(Table5[[#This Row],[PID]],Batters[[#All],[PID]],0)),INDEX(Table3[[#All],[B]],MATCH(Table5[[#This Row],[PID]],Table3[[#All],[PID]],0)))</f>
        <v>R</v>
      </c>
      <c r="I763" s="52" t="str">
        <f>IF($C763="B",INDEX(Batters[[#All],[T]],MATCH(Table5[[#This Row],[PID]],Batters[[#All],[PID]],0)),INDEX(Table3[[#All],[T]],MATCH(Table5[[#This Row],[PID]],Table3[[#All],[PID]],0)))</f>
        <v>R</v>
      </c>
      <c r="J763" s="52" t="str">
        <f>IF($C763="B",INDEX(Batters[[#All],[WE]],MATCH(Table5[[#This Row],[PID]],Batters[[#All],[PID]],0)),INDEX(Table3[[#All],[WE]],MATCH(Table5[[#This Row],[PID]],Table3[[#All],[PID]],0)))</f>
        <v>Low</v>
      </c>
      <c r="K763" s="52" t="str">
        <f>IF($C763="B",INDEX(Batters[[#All],[INT]],MATCH(Table5[[#This Row],[PID]],Batters[[#All],[PID]],0)),INDEX(Table3[[#All],[INT]],MATCH(Table5[[#This Row],[PID]],Table3[[#All],[PID]],0)))</f>
        <v>Normal</v>
      </c>
      <c r="L763" s="60">
        <f>IF($C763="B",INDEX(Batters[[#All],[CON P]],MATCH(Table5[[#This Row],[PID]],Batters[[#All],[PID]],0)),INDEX(Table3[[#All],[STU P]],MATCH(Table5[[#This Row],[PID]],Table3[[#All],[PID]],0)))</f>
        <v>3</v>
      </c>
      <c r="M763" s="56">
        <f>IF($C763="B",INDEX(Batters[[#All],[GAP P]],MATCH(Table5[[#This Row],[PID]],Batters[[#All],[PID]],0)),INDEX(Table3[[#All],[MOV P]],MATCH(Table5[[#This Row],[PID]],Table3[[#All],[PID]],0)))</f>
        <v>3</v>
      </c>
      <c r="N763" s="56">
        <f>IF($C763="B",INDEX(Batters[[#All],[POW P]],MATCH(Table5[[#This Row],[PID]],Batters[[#All],[PID]],0)),INDEX(Table3[[#All],[CON P]],MATCH(Table5[[#This Row],[PID]],Table3[[#All],[PID]],0)))</f>
        <v>4</v>
      </c>
      <c r="O763" s="56">
        <f>IF($C763="B",INDEX(Batters[[#All],[EYE P]],MATCH(Table5[[#This Row],[PID]],Batters[[#All],[PID]],0)),INDEX(Table3[[#All],[VELO]],MATCH(Table5[[#This Row],[PID]],Table3[[#All],[PID]],0)))</f>
        <v>5</v>
      </c>
      <c r="P763" s="56">
        <f>IF($C763="B",INDEX(Batters[[#All],[K P]],MATCH(Table5[[#This Row],[PID]],Batters[[#All],[PID]],0)),INDEX(Table3[[#All],[STM]],MATCH(Table5[[#This Row],[PID]],Table3[[#All],[PID]],0)))</f>
        <v>3</v>
      </c>
      <c r="Q763" s="61">
        <f>IF($C763="B",INDEX(Batters[[#All],[Tot]],MATCH(Table5[[#This Row],[PID]],Batters[[#All],[PID]],0)),INDEX(Table3[[#All],[Tot]],MATCH(Table5[[#This Row],[PID]],Table3[[#All],[PID]],0)))</f>
        <v>36.779908756080509</v>
      </c>
      <c r="R763" s="52">
        <f>IF($C763="B",INDEX(Batters[[#All],[zScore]],MATCH(Table5[[#This Row],[PID]],Batters[[#All],[PID]],0)),INDEX(Table3[[#All],[zScore]],MATCH(Table5[[#This Row],[PID]],Table3[[#All],[PID]],0)))</f>
        <v>-0.93982761450042607</v>
      </c>
      <c r="S763" s="58" t="str">
        <f>IF($C763="B",INDEX(Batters[[#All],[DEM]],MATCH(Table5[[#This Row],[PID]],Batters[[#All],[PID]],0)),INDEX(Table3[[#All],[DEM]],MATCH(Table5[[#This Row],[PID]],Table3[[#All],[PID]],0)))</f>
        <v>$100k</v>
      </c>
      <c r="T763" s="62">
        <f>IF($C763="B",INDEX(Batters[[#All],[Rnk]],MATCH(Table5[[#This Row],[PID]],Batters[[#All],[PID]],0)),INDEX(Table3[[#All],[Rnk]],MATCH(Table5[[#This Row],[PID]],Table3[[#All],[PID]],0)))</f>
        <v>930</v>
      </c>
      <c r="U763" s="67">
        <f>IF($C763="B",VLOOKUP($A763,Bat!$A$4:$BA$1314,47,FALSE),VLOOKUP($A763,Pit!$A$4:$BF$1214,56,FALSE))</f>
        <v>377</v>
      </c>
      <c r="V763" s="50">
        <f>IF($C763="B",VLOOKUP($A763,Bat!$A$4:$BA$1314,48,FALSE),VLOOKUP($A763,Pit!$A$4:$BF$1214,57,FALSE))</f>
        <v>0</v>
      </c>
      <c r="W763" s="68">
        <f>IF(Table5[[#This Row],[posRnk]]=999,9999,Table5[[#This Row],[posRnk]]+Table5[[#This Row],[zRnk]]+IF($W$3&lt;&gt;Table5[[#This Row],[Type]],50,0))</f>
        <v>1738</v>
      </c>
      <c r="X763" s="51">
        <f>RANK(Table5[[#This Row],[zScore]],Table5[[#All],[zScore]])</f>
        <v>758</v>
      </c>
      <c r="Y763" s="50" t="str">
        <f>IFERROR(INDEX(DraftResults[[#All],[OVR]],MATCH(Table5[[#This Row],[PID]],DraftResults[[#All],[Player ID]],0)),"")</f>
        <v/>
      </c>
      <c r="Z763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/>
      </c>
      <c r="AA763" s="50" t="str">
        <f>IFERROR(INDEX(DraftResults[[#All],[Pick in Round]],MATCH(Table5[[#This Row],[PID]],DraftResults[[#All],[Player ID]],0)),"")</f>
        <v/>
      </c>
      <c r="AB763" s="50" t="str">
        <f>IFERROR(INDEX(DraftResults[[#All],[Team Name]],MATCH(Table5[[#This Row],[PID]],DraftResults[[#All],[Player ID]],0)),"")</f>
        <v/>
      </c>
      <c r="AC763" s="50" t="str">
        <f>IF(Table5[[#This Row],[Ovr]]="","",IF(Table5[[#This Row],[cmbList]]="","",Table5[[#This Row],[cmbList]]-Table5[[#This Row],[Ovr]]))</f>
        <v/>
      </c>
      <c r="AD763" s="54" t="str">
        <f>IF(ISERROR(VLOOKUP($AB763&amp;"-"&amp;$E763&amp;" "&amp;F763,Bonuses!$B$1:$G$1006,4,FALSE)),"",INT(VLOOKUP($AB763&amp;"-"&amp;$E763&amp;" "&amp;$F763,Bonuses!$B$1:$G$1006,4,FALSE)))</f>
        <v/>
      </c>
      <c r="AE763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/>
      </c>
    </row>
    <row r="764" spans="1:31" s="50" customFormat="1" x14ac:dyDescent="0.3">
      <c r="A764" s="50">
        <v>9551</v>
      </c>
      <c r="B764" s="50">
        <f>COUNTIF(Table5[PID],A764)</f>
        <v>1</v>
      </c>
      <c r="C764" s="50" t="str">
        <f>IF(COUNTIF(Table3[[#All],[PID]],A764)&gt;0,"P","B")</f>
        <v>B</v>
      </c>
      <c r="D764" s="59" t="str">
        <f>IF($C764="B",INDEX(Batters[[#All],[POS]],MATCH(Table5[[#This Row],[PID]],Batters[[#All],[PID]],0)),INDEX(Table3[[#All],[POS]],MATCH(Table5[[#This Row],[PID]],Table3[[#All],[PID]],0)))</f>
        <v>RF</v>
      </c>
      <c r="E764" s="52" t="str">
        <f>IF($C764="B",INDEX(Batters[[#All],[First]],MATCH(Table5[[#This Row],[PID]],Batters[[#All],[PID]],0)),INDEX(Table3[[#All],[First]],MATCH(Table5[[#This Row],[PID]],Table3[[#All],[PID]],0)))</f>
        <v>Takeru</v>
      </c>
      <c r="F764" s="50" t="str">
        <f>IF($C764="B",INDEX(Batters[[#All],[Last]],MATCH(A764,Batters[[#All],[PID]],0)),INDEX(Table3[[#All],[Last]],MATCH(A764,Table3[[#All],[PID]],0)))</f>
        <v>Seki</v>
      </c>
      <c r="G764" s="56">
        <f>IF($C764="B",INDEX(Batters[[#All],[Age]],MATCH(Table5[[#This Row],[PID]],Batters[[#All],[PID]],0)),INDEX(Table3[[#All],[Age]],MATCH(Table5[[#This Row],[PID]],Table3[[#All],[PID]],0)))</f>
        <v>22</v>
      </c>
      <c r="H764" s="52" t="str">
        <f>IF($C764="B",INDEX(Batters[[#All],[B]],MATCH(Table5[[#This Row],[PID]],Batters[[#All],[PID]],0)),INDEX(Table3[[#All],[B]],MATCH(Table5[[#This Row],[PID]],Table3[[#All],[PID]],0)))</f>
        <v>R</v>
      </c>
      <c r="I764" s="52" t="str">
        <f>IF($C764="B",INDEX(Batters[[#All],[T]],MATCH(Table5[[#This Row],[PID]],Batters[[#All],[PID]],0)),INDEX(Table3[[#All],[T]],MATCH(Table5[[#This Row],[PID]],Table3[[#All],[PID]],0)))</f>
        <v>R</v>
      </c>
      <c r="J764" s="52" t="str">
        <f>IF($C764="B",INDEX(Batters[[#All],[WE]],MATCH(Table5[[#This Row],[PID]],Batters[[#All],[PID]],0)),INDEX(Table3[[#All],[WE]],MATCH(Table5[[#This Row],[PID]],Table3[[#All],[PID]],0)))</f>
        <v>Normal</v>
      </c>
      <c r="K764" s="52" t="str">
        <f>IF($C764="B",INDEX(Batters[[#All],[INT]],MATCH(Table5[[#This Row],[PID]],Batters[[#All],[PID]],0)),INDEX(Table3[[#All],[INT]],MATCH(Table5[[#This Row],[PID]],Table3[[#All],[PID]],0)))</f>
        <v>Normal</v>
      </c>
      <c r="L764" s="60">
        <f>IF($C764="B",INDEX(Batters[[#All],[CON P]],MATCH(Table5[[#This Row],[PID]],Batters[[#All],[PID]],0)),INDEX(Table3[[#All],[STU P]],MATCH(Table5[[#This Row],[PID]],Table3[[#All],[PID]],0)))</f>
        <v>3</v>
      </c>
      <c r="M764" s="56">
        <f>IF($C764="B",INDEX(Batters[[#All],[GAP P]],MATCH(Table5[[#This Row],[PID]],Batters[[#All],[PID]],0)),INDEX(Table3[[#All],[MOV P]],MATCH(Table5[[#This Row],[PID]],Table3[[#All],[PID]],0)))</f>
        <v>3</v>
      </c>
      <c r="N764" s="56">
        <f>IF($C764="B",INDEX(Batters[[#All],[POW P]],MATCH(Table5[[#This Row],[PID]],Batters[[#All],[PID]],0)),INDEX(Table3[[#All],[CON P]],MATCH(Table5[[#This Row],[PID]],Table3[[#All],[PID]],0)))</f>
        <v>4</v>
      </c>
      <c r="O764" s="56">
        <f>IF($C764="B",INDEX(Batters[[#All],[EYE P]],MATCH(Table5[[#This Row],[PID]],Batters[[#All],[PID]],0)),INDEX(Table3[[#All],[VELO]],MATCH(Table5[[#This Row],[PID]],Table3[[#All],[PID]],0)))</f>
        <v>4</v>
      </c>
      <c r="P764" s="56">
        <f>IF($C764="B",INDEX(Batters[[#All],[K P]],MATCH(Table5[[#This Row],[PID]],Batters[[#All],[PID]],0)),INDEX(Table3[[#All],[STM]],MATCH(Table5[[#This Row],[PID]],Table3[[#All],[PID]],0)))</f>
        <v>3</v>
      </c>
      <c r="Q764" s="61">
        <f>IF($C764="B",INDEX(Batters[[#All],[Tot]],MATCH(Table5[[#This Row],[PID]],Batters[[#All],[PID]],0)),INDEX(Table3[[#All],[Tot]],MATCH(Table5[[#This Row],[PID]],Table3[[#All],[PID]],0)))</f>
        <v>35.985012697582022</v>
      </c>
      <c r="R764" s="52">
        <f>IF($C764="B",INDEX(Batters[[#All],[zScore]],MATCH(Table5[[#This Row],[PID]],Batters[[#All],[PID]],0)),INDEX(Table3[[#All],[zScore]],MATCH(Table5[[#This Row],[PID]],Table3[[#All],[PID]],0)))</f>
        <v>-1.0558570895254222</v>
      </c>
      <c r="S764" s="58" t="str">
        <f>IF($C764="B",INDEX(Batters[[#All],[DEM]],MATCH(Table5[[#This Row],[PID]],Batters[[#All],[PID]],0)),INDEX(Table3[[#All],[DEM]],MATCH(Table5[[#This Row],[PID]],Table3[[#All],[PID]],0)))</f>
        <v>-</v>
      </c>
      <c r="T764" s="62">
        <f>IF($C764="B",INDEX(Batters[[#All],[Rnk]],MATCH(Table5[[#This Row],[PID]],Batters[[#All],[PID]],0)),INDEX(Table3[[#All],[Rnk]],MATCH(Table5[[#This Row],[PID]],Table3[[#All],[PID]],0)))</f>
        <v>900</v>
      </c>
      <c r="U764" s="67">
        <f>IF($C764="B",VLOOKUP($A764,Bat!$A$4:$BA$1314,47,FALSE),VLOOKUP($A764,Pit!$A$4:$BF$1214,56,FALSE))</f>
        <v>270</v>
      </c>
      <c r="V764" s="50">
        <f>IF($C764="B",VLOOKUP($A764,Bat!$A$4:$BA$1314,48,FALSE),VLOOKUP($A764,Pit!$A$4:$BF$1214,57,FALSE))</f>
        <v>0</v>
      </c>
      <c r="W764" s="68">
        <f>IF(Table5[[#This Row],[posRnk]]=999,9999,Table5[[#This Row],[posRnk]]+Table5[[#This Row],[zRnk]]+IF($W$3&lt;&gt;Table5[[#This Row],[Type]],50,0))</f>
        <v>1739</v>
      </c>
      <c r="X764" s="51">
        <f>RANK(Table5[[#This Row],[zScore]],Table5[[#All],[zScore]])</f>
        <v>789</v>
      </c>
      <c r="Y764" s="50" t="str">
        <f>IFERROR(INDEX(DraftResults[[#All],[OVR]],MATCH(Table5[[#This Row],[PID]],DraftResults[[#All],[Player ID]],0)),"")</f>
        <v/>
      </c>
      <c r="Z764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/>
      </c>
      <c r="AA764" s="50" t="str">
        <f>IFERROR(INDEX(DraftResults[[#All],[Pick in Round]],MATCH(Table5[[#This Row],[PID]],DraftResults[[#All],[Player ID]],0)),"")</f>
        <v/>
      </c>
      <c r="AB764" s="50" t="str">
        <f>IFERROR(INDEX(DraftResults[[#All],[Team Name]],MATCH(Table5[[#This Row],[PID]],DraftResults[[#All],[Player ID]],0)),"")</f>
        <v/>
      </c>
      <c r="AC764" s="50" t="str">
        <f>IF(Table5[[#This Row],[Ovr]]="","",IF(Table5[[#This Row],[cmbList]]="","",Table5[[#This Row],[cmbList]]-Table5[[#This Row],[Ovr]]))</f>
        <v/>
      </c>
      <c r="AD764" s="54" t="str">
        <f>IF(ISERROR(VLOOKUP($AB764&amp;"-"&amp;$E764&amp;" "&amp;F764,Bonuses!$B$1:$G$1006,4,FALSE)),"",INT(VLOOKUP($AB764&amp;"-"&amp;$E764&amp;" "&amp;$F764,Bonuses!$B$1:$G$1006,4,FALSE)))</f>
        <v/>
      </c>
      <c r="AE764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/>
      </c>
    </row>
    <row r="765" spans="1:31" s="50" customFormat="1" x14ac:dyDescent="0.3">
      <c r="A765" s="67">
        <v>10782</v>
      </c>
      <c r="B765" s="68">
        <f>COUNTIF(Table5[PID],A765)</f>
        <v>1</v>
      </c>
      <c r="C765" s="68" t="str">
        <f>IF(COUNTIF(Table3[[#All],[PID]],A765)&gt;0,"P","B")</f>
        <v>P</v>
      </c>
      <c r="D765" s="59" t="str">
        <f>IF($C765="B",INDEX(Batters[[#All],[POS]],MATCH(Table5[[#This Row],[PID]],Batters[[#All],[PID]],0)),INDEX(Table3[[#All],[POS]],MATCH(Table5[[#This Row],[PID]],Table3[[#All],[PID]],0)))</f>
        <v>SP</v>
      </c>
      <c r="E765" s="52" t="str">
        <f>IF($C765="B",INDEX(Batters[[#All],[First]],MATCH(Table5[[#This Row],[PID]],Batters[[#All],[PID]],0)),INDEX(Table3[[#All],[First]],MATCH(Table5[[#This Row],[PID]],Table3[[#All],[PID]],0)))</f>
        <v>Erjan</v>
      </c>
      <c r="F765" s="55" t="str">
        <f>IF($C765="B",INDEX(Batters[[#All],[Last]],MATCH(A765,Batters[[#All],[PID]],0)),INDEX(Table3[[#All],[Last]],MATCH(A765,Table3[[#All],[PID]],0)))</f>
        <v>Roocke</v>
      </c>
      <c r="G765" s="56">
        <f>IF($C765="B",INDEX(Batters[[#All],[Age]],MATCH(Table5[[#This Row],[PID]],Batters[[#All],[PID]],0)),INDEX(Table3[[#All],[Age]],MATCH(Table5[[#This Row],[PID]],Table3[[#All],[PID]],0)))</f>
        <v>21</v>
      </c>
      <c r="H765" s="52" t="str">
        <f>IF($C765="B",INDEX(Batters[[#All],[B]],MATCH(Table5[[#This Row],[PID]],Batters[[#All],[PID]],0)),INDEX(Table3[[#All],[B]],MATCH(Table5[[#This Row],[PID]],Table3[[#All],[PID]],0)))</f>
        <v>R</v>
      </c>
      <c r="I765" s="52" t="str">
        <f>IF($C765="B",INDEX(Batters[[#All],[T]],MATCH(Table5[[#This Row],[PID]],Batters[[#All],[PID]],0)),INDEX(Table3[[#All],[T]],MATCH(Table5[[#This Row],[PID]],Table3[[#All],[PID]],0)))</f>
        <v>R</v>
      </c>
      <c r="J765" s="69" t="str">
        <f>IF($C765="B",INDEX(Batters[[#All],[WE]],MATCH(Table5[[#This Row],[PID]],Batters[[#All],[PID]],0)),INDEX(Table3[[#All],[WE]],MATCH(Table5[[#This Row],[PID]],Table3[[#All],[PID]],0)))</f>
        <v>Low</v>
      </c>
      <c r="K765" s="52" t="str">
        <f>IF($C765="B",INDEX(Batters[[#All],[INT]],MATCH(Table5[[#This Row],[PID]],Batters[[#All],[PID]],0)),INDEX(Table3[[#All],[INT]],MATCH(Table5[[#This Row],[PID]],Table3[[#All],[PID]],0)))</f>
        <v>Normal</v>
      </c>
      <c r="L765" s="60">
        <f>IF($C765="B",INDEX(Batters[[#All],[CON P]],MATCH(Table5[[#This Row],[PID]],Batters[[#All],[PID]],0)),INDEX(Table3[[#All],[STU P]],MATCH(Table5[[#This Row],[PID]],Table3[[#All],[PID]],0)))</f>
        <v>4</v>
      </c>
      <c r="M765" s="70">
        <f>IF($C765="B",INDEX(Batters[[#All],[GAP P]],MATCH(Table5[[#This Row],[PID]],Batters[[#All],[PID]],0)),INDEX(Table3[[#All],[MOV P]],MATCH(Table5[[#This Row],[PID]],Table3[[#All],[PID]],0)))</f>
        <v>1</v>
      </c>
      <c r="N765" s="70">
        <f>IF($C765="B",INDEX(Batters[[#All],[POW P]],MATCH(Table5[[#This Row],[PID]],Batters[[#All],[PID]],0)),INDEX(Table3[[#All],[CON P]],MATCH(Table5[[#This Row],[PID]],Table3[[#All],[PID]],0)))</f>
        <v>3</v>
      </c>
      <c r="O765" s="70" t="str">
        <f>IF($C765="B",INDEX(Batters[[#All],[EYE P]],MATCH(Table5[[#This Row],[PID]],Batters[[#All],[PID]],0)),INDEX(Table3[[#All],[VELO]],MATCH(Table5[[#This Row],[PID]],Table3[[#All],[PID]],0)))</f>
        <v>91-93 Mph</v>
      </c>
      <c r="P765" s="56">
        <f>IF($C765="B",INDEX(Batters[[#All],[K P]],MATCH(Table5[[#This Row],[PID]],Batters[[#All],[PID]],0)),INDEX(Table3[[#All],[STM]],MATCH(Table5[[#This Row],[PID]],Table3[[#All],[PID]],0)))</f>
        <v>9</v>
      </c>
      <c r="Q765" s="61">
        <f>IF($C765="B",INDEX(Batters[[#All],[Tot]],MATCH(Table5[[#This Row],[PID]],Batters[[#All],[PID]],0)),INDEX(Table3[[#All],[Tot]],MATCH(Table5[[#This Row],[PID]],Table3[[#All],[PID]],0)))</f>
        <v>24.453153785412606</v>
      </c>
      <c r="R765" s="52">
        <f>IF($C765="B",INDEX(Batters[[#All],[zScore]],MATCH(Table5[[#This Row],[PID]],Batters[[#All],[PID]],0)),INDEX(Table3[[#All],[zScore]],MATCH(Table5[[#This Row],[PID]],Table3[[#All],[PID]],0)))</f>
        <v>-0.94349726607553985</v>
      </c>
      <c r="S765" s="75" t="str">
        <f>IF($C765="B",INDEX(Batters[[#All],[DEM]],MATCH(Table5[[#This Row],[PID]],Batters[[#All],[PID]],0)),INDEX(Table3[[#All],[DEM]],MATCH(Table5[[#This Row],[PID]],Table3[[#All],[PID]],0)))</f>
        <v>-</v>
      </c>
      <c r="T765" s="72">
        <f>IF($C765="B",INDEX(Batters[[#All],[Rnk]],MATCH(Table5[[#This Row],[PID]],Batters[[#All],[PID]],0)),INDEX(Table3[[#All],[Rnk]],MATCH(Table5[[#This Row],[PID]],Table3[[#All],[PID]],0)))</f>
        <v>930</v>
      </c>
      <c r="U765" s="67">
        <f>IF($C765="B",VLOOKUP($A765,Bat!$A$4:$BA$1314,47,FALSE),VLOOKUP($A765,Pit!$A$4:$BF$1214,56,FALSE))</f>
        <v>362</v>
      </c>
      <c r="V765" s="50">
        <f>IF($C765="B",VLOOKUP($A765,Bat!$A$4:$BA$1314,48,FALSE),VLOOKUP($A765,Pit!$A$4:$BF$1214,57,FALSE))</f>
        <v>0</v>
      </c>
      <c r="W765" s="68">
        <f>IF(Table5[[#This Row],[posRnk]]=999,9999,Table5[[#This Row],[posRnk]]+Table5[[#This Row],[zRnk]]+IF($W$3&lt;&gt;Table5[[#This Row],[Type]],50,0))</f>
        <v>1689</v>
      </c>
      <c r="X765" s="71">
        <f>RANK(Table5[[#This Row],[zScore]],Table5[[#All],[zScore]])</f>
        <v>759</v>
      </c>
      <c r="Y765" s="68">
        <f>IFERROR(INDEX(DraftResults[[#All],[OVR]],MATCH(Table5[[#This Row],[PID]],DraftResults[[#All],[Player ID]],0)),"")</f>
        <v>540</v>
      </c>
      <c r="Z765" s="7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17</v>
      </c>
      <c r="AA765" s="68">
        <f>IFERROR(INDEX(DraftResults[[#All],[Pick in Round]],MATCH(Table5[[#This Row],[PID]],DraftResults[[#All],[Player ID]],0)),"")</f>
        <v>5</v>
      </c>
      <c r="AB765" s="68" t="str">
        <f>IFERROR(INDEX(DraftResults[[#All],[Team Name]],MATCH(Table5[[#This Row],[PID]],DraftResults[[#All],[Player ID]],0)),"")</f>
        <v>Tempe Knights</v>
      </c>
      <c r="AC765" s="68">
        <f>IF(Table5[[#This Row],[Ovr]]="","",IF(Table5[[#This Row],[cmbList]]="","",Table5[[#This Row],[cmbList]]-Table5[[#This Row],[Ovr]]))</f>
        <v>1149</v>
      </c>
      <c r="AD765" s="74" t="str">
        <f>IF(ISERROR(VLOOKUP($AB765&amp;"-"&amp;$E765&amp;" "&amp;F765,Bonuses!$B$1:$G$1006,4,FALSE)),"",INT(VLOOKUP($AB765&amp;"-"&amp;$E765&amp;" "&amp;$F765,Bonuses!$B$1:$G$1006,4,FALSE)))</f>
        <v/>
      </c>
      <c r="AE765" s="68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17.5 (540) - SP Erjan Roocke</v>
      </c>
    </row>
    <row r="766" spans="1:31" s="50" customFormat="1" x14ac:dyDescent="0.3">
      <c r="A766" s="50">
        <v>5804</v>
      </c>
      <c r="B766" s="50">
        <f>COUNTIF(Table5[PID],A766)</f>
        <v>1</v>
      </c>
      <c r="C766" s="50" t="str">
        <f>IF(COUNTIF(Table3[[#All],[PID]],A766)&gt;0,"P","B")</f>
        <v>P</v>
      </c>
      <c r="D766" s="59" t="str">
        <f>IF($C766="B",INDEX(Batters[[#All],[POS]],MATCH(Table5[[#This Row],[PID]],Batters[[#All],[PID]],0)),INDEX(Table3[[#All],[POS]],MATCH(Table5[[#This Row],[PID]],Table3[[#All],[PID]],0)))</f>
        <v>RP</v>
      </c>
      <c r="E766" s="52" t="str">
        <f>IF($C766="B",INDEX(Batters[[#All],[First]],MATCH(Table5[[#This Row],[PID]],Batters[[#All],[PID]],0)),INDEX(Table3[[#All],[First]],MATCH(Table5[[#This Row],[PID]],Table3[[#All],[PID]],0)))</f>
        <v>Ken</v>
      </c>
      <c r="F766" s="50" t="str">
        <f>IF($C766="B",INDEX(Batters[[#All],[Last]],MATCH(A766,Batters[[#All],[PID]],0)),INDEX(Table3[[#All],[Last]],MATCH(A766,Table3[[#All],[PID]],0)))</f>
        <v>Mijnheer</v>
      </c>
      <c r="G766" s="56">
        <f>IF($C766="B",INDEX(Batters[[#All],[Age]],MATCH(Table5[[#This Row],[PID]],Batters[[#All],[PID]],0)),INDEX(Table3[[#All],[Age]],MATCH(Table5[[#This Row],[PID]],Table3[[#All],[PID]],0)))</f>
        <v>21</v>
      </c>
      <c r="H766" s="52" t="str">
        <f>IF($C766="B",INDEX(Batters[[#All],[B]],MATCH(Table5[[#This Row],[PID]],Batters[[#All],[PID]],0)),INDEX(Table3[[#All],[B]],MATCH(Table5[[#This Row],[PID]],Table3[[#All],[PID]],0)))</f>
        <v>R</v>
      </c>
      <c r="I766" s="52" t="str">
        <f>IF($C766="B",INDEX(Batters[[#All],[T]],MATCH(Table5[[#This Row],[PID]],Batters[[#All],[PID]],0)),INDEX(Table3[[#All],[T]],MATCH(Table5[[#This Row],[PID]],Table3[[#All],[PID]],0)))</f>
        <v>R</v>
      </c>
      <c r="J766" s="52" t="str">
        <f>IF($C766="B",INDEX(Batters[[#All],[WE]],MATCH(Table5[[#This Row],[PID]],Batters[[#All],[PID]],0)),INDEX(Table3[[#All],[WE]],MATCH(Table5[[#This Row],[PID]],Table3[[#All],[PID]],0)))</f>
        <v>Normal</v>
      </c>
      <c r="K766" s="52" t="str">
        <f>IF($C766="B",INDEX(Batters[[#All],[INT]],MATCH(Table5[[#This Row],[PID]],Batters[[#All],[PID]],0)),INDEX(Table3[[#All],[INT]],MATCH(Table5[[#This Row],[PID]],Table3[[#All],[PID]],0)))</f>
        <v>Normal</v>
      </c>
      <c r="L766" s="60">
        <f>IF($C766="B",INDEX(Batters[[#All],[CON P]],MATCH(Table5[[#This Row],[PID]],Batters[[#All],[PID]],0)),INDEX(Table3[[#All],[STU P]],MATCH(Table5[[#This Row],[PID]],Table3[[#All],[PID]],0)))</f>
        <v>4</v>
      </c>
      <c r="M766" s="56">
        <f>IF($C766="B",INDEX(Batters[[#All],[GAP P]],MATCH(Table5[[#This Row],[PID]],Batters[[#All],[PID]],0)),INDEX(Table3[[#All],[MOV P]],MATCH(Table5[[#This Row],[PID]],Table3[[#All],[PID]],0)))</f>
        <v>2</v>
      </c>
      <c r="N766" s="56">
        <f>IF($C766="B",INDEX(Batters[[#All],[POW P]],MATCH(Table5[[#This Row],[PID]],Batters[[#All],[PID]],0)),INDEX(Table3[[#All],[CON P]],MATCH(Table5[[#This Row],[PID]],Table3[[#All],[PID]],0)))</f>
        <v>3</v>
      </c>
      <c r="O766" s="56" t="str">
        <f>IF($C766="B",INDEX(Batters[[#All],[EYE P]],MATCH(Table5[[#This Row],[PID]],Batters[[#All],[PID]],0)),INDEX(Table3[[#All],[VELO]],MATCH(Table5[[#This Row],[PID]],Table3[[#All],[PID]],0)))</f>
        <v>88-90 Mph</v>
      </c>
      <c r="P766" s="56">
        <f>IF($C766="B",INDEX(Batters[[#All],[K P]],MATCH(Table5[[#This Row],[PID]],Batters[[#All],[PID]],0)),INDEX(Table3[[#All],[STM]],MATCH(Table5[[#This Row],[PID]],Table3[[#All],[PID]],0)))</f>
        <v>2</v>
      </c>
      <c r="Q766" s="61">
        <f>IF($C766="B",INDEX(Batters[[#All],[Tot]],MATCH(Table5[[#This Row],[PID]],Batters[[#All],[PID]],0)),INDEX(Table3[[#All],[Tot]],MATCH(Table5[[#This Row],[PID]],Table3[[#All],[PID]],0)))</f>
        <v>22.853330734434742</v>
      </c>
      <c r="R766" s="52">
        <f>IF($C766="B",INDEX(Batters[[#All],[zScore]],MATCH(Table5[[#This Row],[PID]],Batters[[#All],[PID]],0)),INDEX(Table3[[#All],[zScore]],MATCH(Table5[[#This Row],[PID]],Table3[[#All],[PID]],0)))</f>
        <v>-1.0644918683257916</v>
      </c>
      <c r="S766" s="58" t="str">
        <f>IF($C766="B",INDEX(Batters[[#All],[DEM]],MATCH(Table5[[#This Row],[PID]],Batters[[#All],[PID]],0)),INDEX(Table3[[#All],[DEM]],MATCH(Table5[[#This Row],[PID]],Table3[[#All],[PID]],0)))</f>
        <v>-</v>
      </c>
      <c r="T766" s="62">
        <f>IF($C766="B",INDEX(Batters[[#All],[Rnk]],MATCH(Table5[[#This Row],[PID]],Batters[[#All],[PID]],0)),INDEX(Table3[[#All],[Rnk]],MATCH(Table5[[#This Row],[PID]],Table3[[#All],[PID]],0)))</f>
        <v>900</v>
      </c>
      <c r="U766" s="67">
        <f>IF($C766="B",VLOOKUP($A766,Bat!$A$4:$BA$1314,47,FALSE),VLOOKUP($A766,Pit!$A$4:$BF$1214,56,FALSE))</f>
        <v>250</v>
      </c>
      <c r="V766" s="50">
        <f>IF($C766="B",VLOOKUP($A766,Bat!$A$4:$BA$1314,48,FALSE),VLOOKUP($A766,Pit!$A$4:$BF$1214,57,FALSE))</f>
        <v>0</v>
      </c>
      <c r="W766" s="68">
        <f>IF(Table5[[#This Row],[posRnk]]=999,9999,Table5[[#This Row],[posRnk]]+Table5[[#This Row],[zRnk]]+IF($W$3&lt;&gt;Table5[[#This Row],[Type]],50,0))</f>
        <v>1690</v>
      </c>
      <c r="X766" s="51">
        <f>RANK(Table5[[#This Row],[zScore]],Table5[[#All],[zScore]])</f>
        <v>790</v>
      </c>
      <c r="Y766" s="50" t="str">
        <f>IFERROR(INDEX(DraftResults[[#All],[OVR]],MATCH(Table5[[#This Row],[PID]],DraftResults[[#All],[Player ID]],0)),"")</f>
        <v/>
      </c>
      <c r="Z766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/>
      </c>
      <c r="AA766" s="50" t="str">
        <f>IFERROR(INDEX(DraftResults[[#All],[Pick in Round]],MATCH(Table5[[#This Row],[PID]],DraftResults[[#All],[Player ID]],0)),"")</f>
        <v/>
      </c>
      <c r="AB766" s="50" t="str">
        <f>IFERROR(INDEX(DraftResults[[#All],[Team Name]],MATCH(Table5[[#This Row],[PID]],DraftResults[[#All],[Player ID]],0)),"")</f>
        <v/>
      </c>
      <c r="AC766" s="50" t="str">
        <f>IF(Table5[[#This Row],[Ovr]]="","",IF(Table5[[#This Row],[cmbList]]="","",Table5[[#This Row],[cmbList]]-Table5[[#This Row],[Ovr]]))</f>
        <v/>
      </c>
      <c r="AD766" s="54" t="str">
        <f>IF(ISERROR(VLOOKUP($AB766&amp;"-"&amp;$E766&amp;" "&amp;F766,Bonuses!$B$1:$G$1006,4,FALSE)),"",INT(VLOOKUP($AB766&amp;"-"&amp;$E766&amp;" "&amp;$F766,Bonuses!$B$1:$G$1006,4,FALSE)))</f>
        <v/>
      </c>
      <c r="AE766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/>
      </c>
    </row>
    <row r="767" spans="1:31" s="50" customFormat="1" x14ac:dyDescent="0.3">
      <c r="A767" s="67">
        <v>12224</v>
      </c>
      <c r="B767" s="68">
        <f>COUNTIF(Table5[PID],A767)</f>
        <v>1</v>
      </c>
      <c r="C767" s="68" t="str">
        <f>IF(COUNTIF(Table3[[#All],[PID]],A767)&gt;0,"P","B")</f>
        <v>B</v>
      </c>
      <c r="D767" s="59" t="str">
        <f>IF($C767="B",INDEX(Batters[[#All],[POS]],MATCH(Table5[[#This Row],[PID]],Batters[[#All],[PID]],0)),INDEX(Table3[[#All],[POS]],MATCH(Table5[[#This Row],[PID]],Table3[[#All],[PID]],0)))</f>
        <v>C</v>
      </c>
      <c r="E767" s="52" t="str">
        <f>IF($C767="B",INDEX(Batters[[#All],[First]],MATCH(Table5[[#This Row],[PID]],Batters[[#All],[PID]],0)),INDEX(Table3[[#All],[First]],MATCH(Table5[[#This Row],[PID]],Table3[[#All],[PID]],0)))</f>
        <v>Roy</v>
      </c>
      <c r="F767" s="55" t="str">
        <f>IF($C767="B",INDEX(Batters[[#All],[Last]],MATCH(A767,Batters[[#All],[PID]],0)),INDEX(Table3[[#All],[Last]],MATCH(A767,Table3[[#All],[PID]],0)))</f>
        <v>Harley</v>
      </c>
      <c r="G767" s="56">
        <f>IF($C767="B",INDEX(Batters[[#All],[Age]],MATCH(Table5[[#This Row],[PID]],Batters[[#All],[PID]],0)),INDEX(Table3[[#All],[Age]],MATCH(Table5[[#This Row],[PID]],Table3[[#All],[PID]],0)))</f>
        <v>17</v>
      </c>
      <c r="H767" s="52" t="str">
        <f>IF($C767="B",INDEX(Batters[[#All],[B]],MATCH(Table5[[#This Row],[PID]],Batters[[#All],[PID]],0)),INDEX(Table3[[#All],[B]],MATCH(Table5[[#This Row],[PID]],Table3[[#All],[PID]],0)))</f>
        <v>R</v>
      </c>
      <c r="I767" s="52" t="str">
        <f>IF($C767="B",INDEX(Batters[[#All],[T]],MATCH(Table5[[#This Row],[PID]],Batters[[#All],[PID]],0)),INDEX(Table3[[#All],[T]],MATCH(Table5[[#This Row],[PID]],Table3[[#All],[PID]],0)))</f>
        <v>R</v>
      </c>
      <c r="J767" s="69" t="str">
        <f>IF($C767="B",INDEX(Batters[[#All],[WE]],MATCH(Table5[[#This Row],[PID]],Batters[[#All],[PID]],0)),INDEX(Table3[[#All],[WE]],MATCH(Table5[[#This Row],[PID]],Table3[[#All],[PID]],0)))</f>
        <v>Normal</v>
      </c>
      <c r="K767" s="52" t="str">
        <f>IF($C767="B",INDEX(Batters[[#All],[INT]],MATCH(Table5[[#This Row],[PID]],Batters[[#All],[PID]],0)),INDEX(Table3[[#All],[INT]],MATCH(Table5[[#This Row],[PID]],Table3[[#All],[PID]],0)))</f>
        <v>Normal</v>
      </c>
      <c r="L767" s="60">
        <f>IF($C767="B",INDEX(Batters[[#All],[CON P]],MATCH(Table5[[#This Row],[PID]],Batters[[#All],[PID]],0)),INDEX(Table3[[#All],[STU P]],MATCH(Table5[[#This Row],[PID]],Table3[[#All],[PID]],0)))</f>
        <v>2</v>
      </c>
      <c r="M767" s="70">
        <f>IF($C767="B",INDEX(Batters[[#All],[GAP P]],MATCH(Table5[[#This Row],[PID]],Batters[[#All],[PID]],0)),INDEX(Table3[[#All],[MOV P]],MATCH(Table5[[#This Row],[PID]],Table3[[#All],[PID]],0)))</f>
        <v>3</v>
      </c>
      <c r="N767" s="70">
        <f>IF($C767="B",INDEX(Batters[[#All],[POW P]],MATCH(Table5[[#This Row],[PID]],Batters[[#All],[PID]],0)),INDEX(Table3[[#All],[CON P]],MATCH(Table5[[#This Row],[PID]],Table3[[#All],[PID]],0)))</f>
        <v>2</v>
      </c>
      <c r="O767" s="70">
        <f>IF($C767="B",INDEX(Batters[[#All],[EYE P]],MATCH(Table5[[#This Row],[PID]],Batters[[#All],[PID]],0)),INDEX(Table3[[#All],[VELO]],MATCH(Table5[[#This Row],[PID]],Table3[[#All],[PID]],0)))</f>
        <v>4</v>
      </c>
      <c r="P767" s="56">
        <f>IF($C767="B",INDEX(Batters[[#All],[K P]],MATCH(Table5[[#This Row],[PID]],Batters[[#All],[PID]],0)),INDEX(Table3[[#All],[STM]],MATCH(Table5[[#This Row],[PID]],Table3[[#All],[PID]],0)))</f>
        <v>5</v>
      </c>
      <c r="Q767" s="61">
        <f>IF($C767="B",INDEX(Batters[[#All],[Tot]],MATCH(Table5[[#This Row],[PID]],Batters[[#All],[PID]],0)),INDEX(Table3[[#All],[Tot]],MATCH(Table5[[#This Row],[PID]],Table3[[#All],[PID]],0)))</f>
        <v>35.903005012547737</v>
      </c>
      <c r="R767" s="52">
        <f>IF($C767="B",INDEX(Batters[[#All],[zScore]],MATCH(Table5[[#This Row],[PID]],Batters[[#All],[PID]],0)),INDEX(Table3[[#All],[zScore]],MATCH(Table5[[#This Row],[PID]],Table3[[#All],[PID]],0)))</f>
        <v>-1.0678275962864157</v>
      </c>
      <c r="S767" s="75" t="str">
        <f>IF($C767="B",INDEX(Batters[[#All],[DEM]],MATCH(Table5[[#This Row],[PID]],Batters[[#All],[PID]],0)),INDEX(Table3[[#All],[DEM]],MATCH(Table5[[#This Row],[PID]],Table3[[#All],[PID]],0)))</f>
        <v>$70k</v>
      </c>
      <c r="T767" s="72">
        <f>IF($C767="B",INDEX(Batters[[#All],[Rnk]],MATCH(Table5[[#This Row],[PID]],Batters[[#All],[PID]],0)),INDEX(Table3[[#All],[Rnk]],MATCH(Table5[[#This Row],[PID]],Table3[[#All],[PID]],0)))</f>
        <v>900</v>
      </c>
      <c r="U767" s="67">
        <f>IF($C767="B",VLOOKUP($A767,Bat!$A$4:$BA$1314,47,FALSE),VLOOKUP($A767,Pit!$A$4:$BF$1214,56,FALSE))</f>
        <v>271</v>
      </c>
      <c r="V767" s="50">
        <f>IF($C767="B",VLOOKUP($A767,Bat!$A$4:$BA$1314,48,FALSE),VLOOKUP($A767,Pit!$A$4:$BF$1214,57,FALSE))</f>
        <v>0</v>
      </c>
      <c r="W767" s="68">
        <f>IF(Table5[[#This Row],[posRnk]]=999,9999,Table5[[#This Row],[posRnk]]+Table5[[#This Row],[zRnk]]+IF($W$3&lt;&gt;Table5[[#This Row],[Type]],50,0))</f>
        <v>1741</v>
      </c>
      <c r="X767" s="71">
        <f>RANK(Table5[[#This Row],[zScore]],Table5[[#All],[zScore]])</f>
        <v>791</v>
      </c>
      <c r="Y767" s="68" t="str">
        <f>IFERROR(INDEX(DraftResults[[#All],[OVR]],MATCH(Table5[[#This Row],[PID]],DraftResults[[#All],[Player ID]],0)),"")</f>
        <v/>
      </c>
      <c r="Z767" s="7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/>
      </c>
      <c r="AA767" s="68" t="str">
        <f>IFERROR(INDEX(DraftResults[[#All],[Pick in Round]],MATCH(Table5[[#This Row],[PID]],DraftResults[[#All],[Player ID]],0)),"")</f>
        <v/>
      </c>
      <c r="AB767" s="68" t="str">
        <f>IFERROR(INDEX(DraftResults[[#All],[Team Name]],MATCH(Table5[[#This Row],[PID]],DraftResults[[#All],[Player ID]],0)),"")</f>
        <v/>
      </c>
      <c r="AC767" s="68" t="str">
        <f>IF(Table5[[#This Row],[Ovr]]="","",IF(Table5[[#This Row],[cmbList]]="","",Table5[[#This Row],[cmbList]]-Table5[[#This Row],[Ovr]]))</f>
        <v/>
      </c>
      <c r="AD767" s="74" t="str">
        <f>IF(ISERROR(VLOOKUP($AB767&amp;"-"&amp;$E767&amp;" "&amp;F767,Bonuses!$B$1:$G$1006,4,FALSE)),"",INT(VLOOKUP($AB767&amp;"-"&amp;$E767&amp;" "&amp;$F767,Bonuses!$B$1:$G$1006,4,FALSE)))</f>
        <v/>
      </c>
      <c r="AE767" s="68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/>
      </c>
    </row>
    <row r="768" spans="1:31" s="50" customFormat="1" x14ac:dyDescent="0.3">
      <c r="A768" s="67">
        <v>8112</v>
      </c>
      <c r="B768" s="68">
        <f>COUNTIF(Table5[PID],A768)</f>
        <v>1</v>
      </c>
      <c r="C768" s="68" t="str">
        <f>IF(COUNTIF(Table3[[#All],[PID]],A768)&gt;0,"P","B")</f>
        <v>P</v>
      </c>
      <c r="D768" s="59" t="str">
        <f>IF($C768="B",INDEX(Batters[[#All],[POS]],MATCH(Table5[[#This Row],[PID]],Batters[[#All],[PID]],0)),INDEX(Table3[[#All],[POS]],MATCH(Table5[[#This Row],[PID]],Table3[[#All],[PID]],0)))</f>
        <v>RP</v>
      </c>
      <c r="E768" s="52" t="str">
        <f>IF($C768="B",INDEX(Batters[[#All],[First]],MATCH(Table5[[#This Row],[PID]],Batters[[#All],[PID]],0)),INDEX(Table3[[#All],[First]],MATCH(Table5[[#This Row],[PID]],Table3[[#All],[PID]],0)))</f>
        <v>Andrew</v>
      </c>
      <c r="F768" s="55" t="str">
        <f>IF($C768="B",INDEX(Batters[[#All],[Last]],MATCH(A768,Batters[[#All],[PID]],0)),INDEX(Table3[[#All],[Last]],MATCH(A768,Table3[[#All],[PID]],0)))</f>
        <v>Campbell</v>
      </c>
      <c r="G768" s="56">
        <f>IF($C768="B",INDEX(Batters[[#All],[Age]],MATCH(Table5[[#This Row],[PID]],Batters[[#All],[PID]],0)),INDEX(Table3[[#All],[Age]],MATCH(Table5[[#This Row],[PID]],Table3[[#All],[PID]],0)))</f>
        <v>21</v>
      </c>
      <c r="H768" s="52" t="str">
        <f>IF($C768="B",INDEX(Batters[[#All],[B]],MATCH(Table5[[#This Row],[PID]],Batters[[#All],[PID]],0)),INDEX(Table3[[#All],[B]],MATCH(Table5[[#This Row],[PID]],Table3[[#All],[PID]],0)))</f>
        <v>R</v>
      </c>
      <c r="I768" s="52" t="str">
        <f>IF($C768="B",INDEX(Batters[[#All],[T]],MATCH(Table5[[#This Row],[PID]],Batters[[#All],[PID]],0)),INDEX(Table3[[#All],[T]],MATCH(Table5[[#This Row],[PID]],Table3[[#All],[PID]],0)))</f>
        <v>R</v>
      </c>
      <c r="J768" s="69" t="str">
        <f>IF($C768="B",INDEX(Batters[[#All],[WE]],MATCH(Table5[[#This Row],[PID]],Batters[[#All],[PID]],0)),INDEX(Table3[[#All],[WE]],MATCH(Table5[[#This Row],[PID]],Table3[[#All],[PID]],0)))</f>
        <v>Low</v>
      </c>
      <c r="K768" s="52" t="str">
        <f>IF($C768="B",INDEX(Batters[[#All],[INT]],MATCH(Table5[[#This Row],[PID]],Batters[[#All],[PID]],0)),INDEX(Table3[[#All],[INT]],MATCH(Table5[[#This Row],[PID]],Table3[[#All],[PID]],0)))</f>
        <v>Normal</v>
      </c>
      <c r="L768" s="60">
        <f>IF($C768="B",INDEX(Batters[[#All],[CON P]],MATCH(Table5[[#This Row],[PID]],Batters[[#All],[PID]],0)),INDEX(Table3[[#All],[STU P]],MATCH(Table5[[#This Row],[PID]],Table3[[#All],[PID]],0)))</f>
        <v>3</v>
      </c>
      <c r="M768" s="70">
        <f>IF($C768="B",INDEX(Batters[[#All],[GAP P]],MATCH(Table5[[#This Row],[PID]],Batters[[#All],[PID]],0)),INDEX(Table3[[#All],[MOV P]],MATCH(Table5[[#This Row],[PID]],Table3[[#All],[PID]],0)))</f>
        <v>2</v>
      </c>
      <c r="N768" s="70">
        <f>IF($C768="B",INDEX(Batters[[#All],[POW P]],MATCH(Table5[[#This Row],[PID]],Batters[[#All],[PID]],0)),INDEX(Table3[[#All],[CON P]],MATCH(Table5[[#This Row],[PID]],Table3[[#All],[PID]],0)))</f>
        <v>3</v>
      </c>
      <c r="O768" s="70" t="str">
        <f>IF($C768="B",INDEX(Batters[[#All],[EYE P]],MATCH(Table5[[#This Row],[PID]],Batters[[#All],[PID]],0)),INDEX(Table3[[#All],[VELO]],MATCH(Table5[[#This Row],[PID]],Table3[[#All],[PID]],0)))</f>
        <v>88-90 Mph</v>
      </c>
      <c r="P768" s="56">
        <f>IF($C768="B",INDEX(Batters[[#All],[K P]],MATCH(Table5[[#This Row],[PID]],Batters[[#All],[PID]],0)),INDEX(Table3[[#All],[STM]],MATCH(Table5[[#This Row],[PID]],Table3[[#All],[PID]],0)))</f>
        <v>7</v>
      </c>
      <c r="Q768" s="61">
        <f>IF($C768="B",INDEX(Batters[[#All],[Tot]],MATCH(Table5[[#This Row],[PID]],Batters[[#All],[PID]],0)),INDEX(Table3[[#All],[Tot]],MATCH(Table5[[#This Row],[PID]],Table3[[#All],[PID]],0)))</f>
        <v>24.357047967116266</v>
      </c>
      <c r="R768" s="52">
        <f>IF($C768="B",INDEX(Batters[[#All],[zScore]],MATCH(Table5[[#This Row],[PID]],Batters[[#All],[PID]],0)),INDEX(Table3[[#All],[zScore]],MATCH(Table5[[#This Row],[PID]],Table3[[#All],[PID]],0)))</f>
        <v>-0.9574166259065785</v>
      </c>
      <c r="S768" s="75" t="str">
        <f>IF($C768="B",INDEX(Batters[[#All],[DEM]],MATCH(Table5[[#This Row],[PID]],Batters[[#All],[PID]],0)),INDEX(Table3[[#All],[DEM]],MATCH(Table5[[#This Row],[PID]],Table3[[#All],[PID]],0)))</f>
        <v>-</v>
      </c>
      <c r="T768" s="72">
        <f>IF($C768="B",INDEX(Batters[[#All],[Rnk]],MATCH(Table5[[#This Row],[PID]],Batters[[#All],[PID]],0)),INDEX(Table3[[#All],[Rnk]],MATCH(Table5[[#This Row],[PID]],Table3[[#All],[PID]],0)))</f>
        <v>930</v>
      </c>
      <c r="U768" s="67">
        <f>IF($C768="B",VLOOKUP($A768,Bat!$A$4:$BA$1314,47,FALSE),VLOOKUP($A768,Pit!$A$4:$BF$1214,56,FALSE))</f>
        <v>363</v>
      </c>
      <c r="V768" s="50">
        <f>IF($C768="B",VLOOKUP($A768,Bat!$A$4:$BA$1314,48,FALSE),VLOOKUP($A768,Pit!$A$4:$BF$1214,57,FALSE))</f>
        <v>0</v>
      </c>
      <c r="W768" s="68">
        <f>IF(Table5[[#This Row],[posRnk]]=999,9999,Table5[[#This Row],[posRnk]]+Table5[[#This Row],[zRnk]]+IF($W$3&lt;&gt;Table5[[#This Row],[Type]],50,0))</f>
        <v>1692</v>
      </c>
      <c r="X768" s="71">
        <f>RANK(Table5[[#This Row],[zScore]],Table5[[#All],[zScore]])</f>
        <v>762</v>
      </c>
      <c r="Y768" s="68" t="str">
        <f>IFERROR(INDEX(DraftResults[[#All],[OVR]],MATCH(Table5[[#This Row],[PID]],DraftResults[[#All],[Player ID]],0)),"")</f>
        <v/>
      </c>
      <c r="Z768" s="7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/>
      </c>
      <c r="AA768" s="68" t="str">
        <f>IFERROR(INDEX(DraftResults[[#All],[Pick in Round]],MATCH(Table5[[#This Row],[PID]],DraftResults[[#All],[Player ID]],0)),"")</f>
        <v/>
      </c>
      <c r="AB768" s="68" t="str">
        <f>IFERROR(INDEX(DraftResults[[#All],[Team Name]],MATCH(Table5[[#This Row],[PID]],DraftResults[[#All],[Player ID]],0)),"")</f>
        <v/>
      </c>
      <c r="AC768" s="68" t="str">
        <f>IF(Table5[[#This Row],[Ovr]]="","",IF(Table5[[#This Row],[cmbList]]="","",Table5[[#This Row],[cmbList]]-Table5[[#This Row],[Ovr]]))</f>
        <v/>
      </c>
      <c r="AD768" s="74" t="str">
        <f>IF(ISERROR(VLOOKUP($AB768&amp;"-"&amp;$E768&amp;" "&amp;F768,Bonuses!$B$1:$G$1006,4,FALSE)),"",INT(VLOOKUP($AB768&amp;"-"&amp;$E768&amp;" "&amp;$F768,Bonuses!$B$1:$G$1006,4,FALSE)))</f>
        <v/>
      </c>
      <c r="AE768" s="68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/>
      </c>
    </row>
    <row r="769" spans="1:31" s="50" customFormat="1" x14ac:dyDescent="0.3">
      <c r="A769" s="50">
        <v>10553</v>
      </c>
      <c r="B769" s="50">
        <f>COUNTIF(Table5[PID],A769)</f>
        <v>1</v>
      </c>
      <c r="C769" s="50" t="str">
        <f>IF(COUNTIF(Table3[[#All],[PID]],A769)&gt;0,"P","B")</f>
        <v>B</v>
      </c>
      <c r="D769" s="59" t="str">
        <f>IF($C769="B",INDEX(Batters[[#All],[POS]],MATCH(Table5[[#This Row],[PID]],Batters[[#All],[PID]],0)),INDEX(Table3[[#All],[POS]],MATCH(Table5[[#This Row],[PID]],Table3[[#All],[PID]],0)))</f>
        <v>C</v>
      </c>
      <c r="E769" s="52" t="str">
        <f>IF($C769="B",INDEX(Batters[[#All],[First]],MATCH(Table5[[#This Row],[PID]],Batters[[#All],[PID]],0)),INDEX(Table3[[#All],[First]],MATCH(Table5[[#This Row],[PID]],Table3[[#All],[PID]],0)))</f>
        <v>Toshikuni</v>
      </c>
      <c r="F769" s="50" t="str">
        <f>IF($C769="B",INDEX(Batters[[#All],[Last]],MATCH(A769,Batters[[#All],[PID]],0)),INDEX(Table3[[#All],[Last]],MATCH(A769,Table3[[#All],[PID]],0)))</f>
        <v>Ota</v>
      </c>
      <c r="G769" s="56">
        <f>IF($C769="B",INDEX(Batters[[#All],[Age]],MATCH(Table5[[#This Row],[PID]],Batters[[#All],[PID]],0)),INDEX(Table3[[#All],[Age]],MATCH(Table5[[#This Row],[PID]],Table3[[#All],[PID]],0)))</f>
        <v>21</v>
      </c>
      <c r="H769" s="52" t="str">
        <f>IF($C769="B",INDEX(Batters[[#All],[B]],MATCH(Table5[[#This Row],[PID]],Batters[[#All],[PID]],0)),INDEX(Table3[[#All],[B]],MATCH(Table5[[#This Row],[PID]],Table3[[#All],[PID]],0)))</f>
        <v>R</v>
      </c>
      <c r="I769" s="52" t="str">
        <f>IF($C769="B",INDEX(Batters[[#All],[T]],MATCH(Table5[[#This Row],[PID]],Batters[[#All],[PID]],0)),INDEX(Table3[[#All],[T]],MATCH(Table5[[#This Row],[PID]],Table3[[#All],[PID]],0)))</f>
        <v>R</v>
      </c>
      <c r="J769" s="52" t="str">
        <f>IF($C769="B",INDEX(Batters[[#All],[WE]],MATCH(Table5[[#This Row],[PID]],Batters[[#All],[PID]],0)),INDEX(Table3[[#All],[WE]],MATCH(Table5[[#This Row],[PID]],Table3[[#All],[PID]],0)))</f>
        <v>Normal</v>
      </c>
      <c r="K769" s="52" t="str">
        <f>IF($C769="B",INDEX(Batters[[#All],[INT]],MATCH(Table5[[#This Row],[PID]],Batters[[#All],[PID]],0)),INDEX(Table3[[#All],[INT]],MATCH(Table5[[#This Row],[PID]],Table3[[#All],[PID]],0)))</f>
        <v>Low</v>
      </c>
      <c r="L769" s="60">
        <f>IF($C769="B",INDEX(Batters[[#All],[CON P]],MATCH(Table5[[#This Row],[PID]],Batters[[#All],[PID]],0)),INDEX(Table3[[#All],[STU P]],MATCH(Table5[[#This Row],[PID]],Table3[[#All],[PID]],0)))</f>
        <v>3</v>
      </c>
      <c r="M769" s="56">
        <f>IF($C769="B",INDEX(Batters[[#All],[GAP P]],MATCH(Table5[[#This Row],[PID]],Batters[[#All],[PID]],0)),INDEX(Table3[[#All],[MOV P]],MATCH(Table5[[#This Row],[PID]],Table3[[#All],[PID]],0)))</f>
        <v>3</v>
      </c>
      <c r="N769" s="56">
        <f>IF($C769="B",INDEX(Batters[[#All],[POW P]],MATCH(Table5[[#This Row],[PID]],Batters[[#All],[PID]],0)),INDEX(Table3[[#All],[CON P]],MATCH(Table5[[#This Row],[PID]],Table3[[#All],[PID]],0)))</f>
        <v>3</v>
      </c>
      <c r="O769" s="56">
        <f>IF($C769="B",INDEX(Batters[[#All],[EYE P]],MATCH(Table5[[#This Row],[PID]],Batters[[#All],[PID]],0)),INDEX(Table3[[#All],[VELO]],MATCH(Table5[[#This Row],[PID]],Table3[[#All],[PID]],0)))</f>
        <v>6</v>
      </c>
      <c r="P769" s="56">
        <f>IF($C769="B",INDEX(Batters[[#All],[K P]],MATCH(Table5[[#This Row],[PID]],Batters[[#All],[PID]],0)),INDEX(Table3[[#All],[STM]],MATCH(Table5[[#This Row],[PID]],Table3[[#All],[PID]],0)))</f>
        <v>3</v>
      </c>
      <c r="Q769" s="61">
        <f>IF($C769="B",INDEX(Batters[[#All],[Tot]],MATCH(Table5[[#This Row],[PID]],Batters[[#All],[PID]],0)),INDEX(Table3[[#All],[Tot]],MATCH(Table5[[#This Row],[PID]],Table3[[#All],[PID]],0)))</f>
        <v>36.855244245545364</v>
      </c>
      <c r="R769" s="52">
        <f>IF($C769="B",INDEX(Batters[[#All],[zScore]],MATCH(Table5[[#This Row],[PID]],Batters[[#All],[PID]],0)),INDEX(Table3[[#All],[zScore]],MATCH(Table5[[#This Row],[PID]],Table3[[#All],[PID]],0)))</f>
        <v>-0.92883103551389823</v>
      </c>
      <c r="S769" s="58" t="str">
        <f>IF($C769="B",INDEX(Batters[[#All],[DEM]],MATCH(Table5[[#This Row],[PID]],Batters[[#All],[PID]],0)),INDEX(Table3[[#All],[DEM]],MATCH(Table5[[#This Row],[PID]],Table3[[#All],[PID]],0)))</f>
        <v>$110k</v>
      </c>
      <c r="T769" s="62">
        <f>IF($C769="B",INDEX(Batters[[#All],[Rnk]],MATCH(Table5[[#This Row],[PID]],Batters[[#All],[PID]],0)),INDEX(Table3[[#All],[Rnk]],MATCH(Table5[[#This Row],[PID]],Table3[[#All],[PID]],0)))</f>
        <v>940</v>
      </c>
      <c r="U769" s="67">
        <f>IF($C769="B",VLOOKUP($A769,Bat!$A$4:$BA$1314,47,FALSE),VLOOKUP($A769,Pit!$A$4:$BF$1214,56,FALSE))</f>
        <v>419</v>
      </c>
      <c r="V769" s="50">
        <f>IF($C769="B",VLOOKUP($A769,Bat!$A$4:$BA$1314,48,FALSE),VLOOKUP($A769,Pit!$A$4:$BF$1214,57,FALSE))</f>
        <v>0</v>
      </c>
      <c r="W769" s="68">
        <f>IF(Table5[[#This Row],[posRnk]]=999,9999,Table5[[#This Row],[posRnk]]+Table5[[#This Row],[zRnk]]+IF($W$3&lt;&gt;Table5[[#This Row],[Type]],50,0))</f>
        <v>1742</v>
      </c>
      <c r="X769" s="51">
        <f>RANK(Table5[[#This Row],[zScore]],Table5[[#All],[zScore]])</f>
        <v>752</v>
      </c>
      <c r="Y769" s="50" t="str">
        <f>IFERROR(INDEX(DraftResults[[#All],[OVR]],MATCH(Table5[[#This Row],[PID]],DraftResults[[#All],[Player ID]],0)),"")</f>
        <v/>
      </c>
      <c r="Z769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/>
      </c>
      <c r="AA769" s="50" t="str">
        <f>IFERROR(INDEX(DraftResults[[#All],[Pick in Round]],MATCH(Table5[[#This Row],[PID]],DraftResults[[#All],[Player ID]],0)),"")</f>
        <v/>
      </c>
      <c r="AB769" s="50" t="str">
        <f>IFERROR(INDEX(DraftResults[[#All],[Team Name]],MATCH(Table5[[#This Row],[PID]],DraftResults[[#All],[Player ID]],0)),"")</f>
        <v/>
      </c>
      <c r="AC769" s="50" t="str">
        <f>IF(Table5[[#This Row],[Ovr]]="","",IF(Table5[[#This Row],[cmbList]]="","",Table5[[#This Row],[cmbList]]-Table5[[#This Row],[Ovr]]))</f>
        <v/>
      </c>
      <c r="AD769" s="54" t="str">
        <f>IF(ISERROR(VLOOKUP($AB769&amp;"-"&amp;$E769&amp;" "&amp;F769,Bonuses!$B$1:$G$1006,4,FALSE)),"",INT(VLOOKUP($AB769&amp;"-"&amp;$E769&amp;" "&amp;$F769,Bonuses!$B$1:$G$1006,4,FALSE)))</f>
        <v/>
      </c>
      <c r="AE769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/>
      </c>
    </row>
    <row r="770" spans="1:31" s="50" customFormat="1" x14ac:dyDescent="0.3">
      <c r="A770" s="50">
        <v>10018</v>
      </c>
      <c r="B770" s="50">
        <f>COUNTIF(Table5[PID],A770)</f>
        <v>1</v>
      </c>
      <c r="C770" s="50" t="str">
        <f>IF(COUNTIF(Table3[[#All],[PID]],A770)&gt;0,"P","B")</f>
        <v>B</v>
      </c>
      <c r="D770" s="59" t="str">
        <f>IF($C770="B",INDEX(Batters[[#All],[POS]],MATCH(Table5[[#This Row],[PID]],Batters[[#All],[PID]],0)),INDEX(Table3[[#All],[POS]],MATCH(Table5[[#This Row],[PID]],Table3[[#All],[PID]],0)))</f>
        <v>C</v>
      </c>
      <c r="E770" s="52" t="str">
        <f>IF($C770="B",INDEX(Batters[[#All],[First]],MATCH(Table5[[#This Row],[PID]],Batters[[#All],[PID]],0)),INDEX(Table3[[#All],[First]],MATCH(Table5[[#This Row],[PID]],Table3[[#All],[PID]],0)))</f>
        <v>Matt</v>
      </c>
      <c r="F770" s="50" t="str">
        <f>IF($C770="B",INDEX(Batters[[#All],[Last]],MATCH(A770,Batters[[#All],[PID]],0)),INDEX(Table3[[#All],[Last]],MATCH(A770,Table3[[#All],[PID]],0)))</f>
        <v>Tufts</v>
      </c>
      <c r="G770" s="56">
        <f>IF($C770="B",INDEX(Batters[[#All],[Age]],MATCH(Table5[[#This Row],[PID]],Batters[[#All],[PID]],0)),INDEX(Table3[[#All],[Age]],MATCH(Table5[[#This Row],[PID]],Table3[[#All],[PID]],0)))</f>
        <v>22</v>
      </c>
      <c r="H770" s="52" t="str">
        <f>IF($C770="B",INDEX(Batters[[#All],[B]],MATCH(Table5[[#This Row],[PID]],Batters[[#All],[PID]],0)),INDEX(Table3[[#All],[B]],MATCH(Table5[[#This Row],[PID]],Table3[[#All],[PID]],0)))</f>
        <v>R</v>
      </c>
      <c r="I770" s="52" t="str">
        <f>IF($C770="B",INDEX(Batters[[#All],[T]],MATCH(Table5[[#This Row],[PID]],Batters[[#All],[PID]],0)),INDEX(Table3[[#All],[T]],MATCH(Table5[[#This Row],[PID]],Table3[[#All],[PID]],0)))</f>
        <v>R</v>
      </c>
      <c r="J770" s="52" t="str">
        <f>IF($C770="B",INDEX(Batters[[#All],[WE]],MATCH(Table5[[#This Row],[PID]],Batters[[#All],[PID]],0)),INDEX(Table3[[#All],[WE]],MATCH(Table5[[#This Row],[PID]],Table3[[#All],[PID]],0)))</f>
        <v>High</v>
      </c>
      <c r="K770" s="52" t="str">
        <f>IF($C770="B",INDEX(Batters[[#All],[INT]],MATCH(Table5[[#This Row],[PID]],Batters[[#All],[PID]],0)),INDEX(Table3[[#All],[INT]],MATCH(Table5[[#This Row],[PID]],Table3[[#All],[PID]],0)))</f>
        <v>Normal</v>
      </c>
      <c r="L770" s="60">
        <f>IF($C770="B",INDEX(Batters[[#All],[CON P]],MATCH(Table5[[#This Row],[PID]],Batters[[#All],[PID]],0)),INDEX(Table3[[#All],[STU P]],MATCH(Table5[[#This Row],[PID]],Table3[[#All],[PID]],0)))</f>
        <v>3</v>
      </c>
      <c r="M770" s="56">
        <f>IF($C770="B",INDEX(Batters[[#All],[GAP P]],MATCH(Table5[[#This Row],[PID]],Batters[[#All],[PID]],0)),INDEX(Table3[[#All],[MOV P]],MATCH(Table5[[#This Row],[PID]],Table3[[#All],[PID]],0)))</f>
        <v>4</v>
      </c>
      <c r="N770" s="56">
        <f>IF($C770="B",INDEX(Batters[[#All],[POW P]],MATCH(Table5[[#This Row],[PID]],Batters[[#All],[PID]],0)),INDEX(Table3[[#All],[CON P]],MATCH(Table5[[#This Row],[PID]],Table3[[#All],[PID]],0)))</f>
        <v>3</v>
      </c>
      <c r="O770" s="56">
        <f>IF($C770="B",INDEX(Batters[[#All],[EYE P]],MATCH(Table5[[#This Row],[PID]],Batters[[#All],[PID]],0)),INDEX(Table3[[#All],[VELO]],MATCH(Table5[[#This Row],[PID]],Table3[[#All],[PID]],0)))</f>
        <v>4</v>
      </c>
      <c r="P770" s="56">
        <f>IF($C770="B",INDEX(Batters[[#All],[K P]],MATCH(Table5[[#This Row],[PID]],Batters[[#All],[PID]],0)),INDEX(Table3[[#All],[STM]],MATCH(Table5[[#This Row],[PID]],Table3[[#All],[PID]],0)))</f>
        <v>3</v>
      </c>
      <c r="Q770" s="61">
        <f>IF($C770="B",INDEX(Batters[[#All],[Tot]],MATCH(Table5[[#This Row],[PID]],Batters[[#All],[PID]],0)),INDEX(Table3[[#All],[Tot]],MATCH(Table5[[#This Row],[PID]],Table3[[#All],[PID]],0)))</f>
        <v>35.855765152116717</v>
      </c>
      <c r="R770" s="52">
        <f>IF($C770="B",INDEX(Batters[[#All],[zScore]],MATCH(Table5[[#This Row],[PID]],Batters[[#All],[PID]],0)),INDEX(Table3[[#All],[zScore]],MATCH(Table5[[#This Row],[PID]],Table3[[#All],[PID]],0)))</f>
        <v>-1.074723109413527</v>
      </c>
      <c r="S770" s="58" t="str">
        <f>IF($C770="B",INDEX(Batters[[#All],[DEM]],MATCH(Table5[[#This Row],[PID]],Batters[[#All],[PID]],0)),INDEX(Table3[[#All],[DEM]],MATCH(Table5[[#This Row],[PID]],Table3[[#All],[PID]],0)))</f>
        <v>-</v>
      </c>
      <c r="T770" s="62">
        <f>IF($C770="B",INDEX(Batters[[#All],[Rnk]],MATCH(Table5[[#This Row],[PID]],Batters[[#All],[PID]],0)),INDEX(Table3[[#All],[Rnk]],MATCH(Table5[[#This Row],[PID]],Table3[[#All],[PID]],0)))</f>
        <v>900</v>
      </c>
      <c r="U770" s="67">
        <f>IF($C770="B",VLOOKUP($A770,Bat!$A$4:$BA$1314,47,FALSE),VLOOKUP($A770,Pit!$A$4:$BF$1214,56,FALSE))</f>
        <v>265</v>
      </c>
      <c r="V770" s="50">
        <f>IF($C770="B",VLOOKUP($A770,Bat!$A$4:$BA$1314,48,FALSE),VLOOKUP($A770,Pit!$A$4:$BF$1214,57,FALSE))</f>
        <v>0</v>
      </c>
      <c r="W770" s="68">
        <f>IF(Table5[[#This Row],[posRnk]]=999,9999,Table5[[#This Row],[posRnk]]+Table5[[#This Row],[zRnk]]+IF($W$3&lt;&gt;Table5[[#This Row],[Type]],50,0))</f>
        <v>1743</v>
      </c>
      <c r="X770" s="51">
        <f>RANK(Table5[[#This Row],[zScore]],Table5[[#All],[zScore]])</f>
        <v>793</v>
      </c>
      <c r="Y770" s="50" t="str">
        <f>IFERROR(INDEX(DraftResults[[#All],[OVR]],MATCH(Table5[[#This Row],[PID]],DraftResults[[#All],[Player ID]],0)),"")</f>
        <v/>
      </c>
      <c r="Z770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/>
      </c>
      <c r="AA770" s="50" t="str">
        <f>IFERROR(INDEX(DraftResults[[#All],[Pick in Round]],MATCH(Table5[[#This Row],[PID]],DraftResults[[#All],[Player ID]],0)),"")</f>
        <v/>
      </c>
      <c r="AB770" s="50" t="str">
        <f>IFERROR(INDEX(DraftResults[[#All],[Team Name]],MATCH(Table5[[#This Row],[PID]],DraftResults[[#All],[Player ID]],0)),"")</f>
        <v/>
      </c>
      <c r="AC770" s="50" t="str">
        <f>IF(Table5[[#This Row],[Ovr]]="","",IF(Table5[[#This Row],[cmbList]]="","",Table5[[#This Row],[cmbList]]-Table5[[#This Row],[Ovr]]))</f>
        <v/>
      </c>
      <c r="AD770" s="54" t="str">
        <f>IF(ISERROR(VLOOKUP($AB770&amp;"-"&amp;$E770&amp;" "&amp;F770,Bonuses!$B$1:$G$1006,4,FALSE)),"",INT(VLOOKUP($AB770&amp;"-"&amp;$E770&amp;" "&amp;$F770,Bonuses!$B$1:$G$1006,4,FALSE)))</f>
        <v/>
      </c>
      <c r="AE770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/>
      </c>
    </row>
    <row r="771" spans="1:31" s="50" customFormat="1" x14ac:dyDescent="0.3">
      <c r="A771" s="50">
        <v>17019</v>
      </c>
      <c r="B771" s="50">
        <f>COUNTIF(Table5[PID],A771)</f>
        <v>1</v>
      </c>
      <c r="C771" s="50" t="str">
        <f>IF(COUNTIF(Table3[[#All],[PID]],A771)&gt;0,"P","B")</f>
        <v>P</v>
      </c>
      <c r="D771" s="59" t="str">
        <f>IF($C771="B",INDEX(Batters[[#All],[POS]],MATCH(Table5[[#This Row],[PID]],Batters[[#All],[PID]],0)),INDEX(Table3[[#All],[POS]],MATCH(Table5[[#This Row],[PID]],Table3[[#All],[PID]],0)))</f>
        <v>RP</v>
      </c>
      <c r="E771" s="52" t="str">
        <f>IF($C771="B",INDEX(Batters[[#All],[First]],MATCH(Table5[[#This Row],[PID]],Batters[[#All],[PID]],0)),INDEX(Table3[[#All],[First]],MATCH(Table5[[#This Row],[PID]],Table3[[#All],[PID]],0)))</f>
        <v>Gareth</v>
      </c>
      <c r="F771" s="50" t="str">
        <f>IF($C771="B",INDEX(Batters[[#All],[Last]],MATCH(A771,Batters[[#All],[PID]],0)),INDEX(Table3[[#All],[Last]],MATCH(A771,Table3[[#All],[PID]],0)))</f>
        <v>Hoadley</v>
      </c>
      <c r="G771" s="56">
        <f>IF($C771="B",INDEX(Batters[[#All],[Age]],MATCH(Table5[[#This Row],[PID]],Batters[[#All],[PID]],0)),INDEX(Table3[[#All],[Age]],MATCH(Table5[[#This Row],[PID]],Table3[[#All],[PID]],0)))</f>
        <v>22</v>
      </c>
      <c r="H771" s="52" t="str">
        <f>IF($C771="B",INDEX(Batters[[#All],[B]],MATCH(Table5[[#This Row],[PID]],Batters[[#All],[PID]],0)),INDEX(Table3[[#All],[B]],MATCH(Table5[[#This Row],[PID]],Table3[[#All],[PID]],0)))</f>
        <v>R</v>
      </c>
      <c r="I771" s="52" t="str">
        <f>IF($C771="B",INDEX(Batters[[#All],[T]],MATCH(Table5[[#This Row],[PID]],Batters[[#All],[PID]],0)),INDEX(Table3[[#All],[T]],MATCH(Table5[[#This Row],[PID]],Table3[[#All],[PID]],0)))</f>
        <v>R</v>
      </c>
      <c r="J771" s="52" t="str">
        <f>IF($C771="B",INDEX(Batters[[#All],[WE]],MATCH(Table5[[#This Row],[PID]],Batters[[#All],[PID]],0)),INDEX(Table3[[#All],[WE]],MATCH(Table5[[#This Row],[PID]],Table3[[#All],[PID]],0)))</f>
        <v>Low</v>
      </c>
      <c r="K771" s="52" t="str">
        <f>IF($C771="B",INDEX(Batters[[#All],[INT]],MATCH(Table5[[#This Row],[PID]],Batters[[#All],[PID]],0)),INDEX(Table3[[#All],[INT]],MATCH(Table5[[#This Row],[PID]],Table3[[#All],[PID]],0)))</f>
        <v>Low</v>
      </c>
      <c r="L771" s="60">
        <f>IF($C771="B",INDEX(Batters[[#All],[CON P]],MATCH(Table5[[#This Row],[PID]],Batters[[#All],[PID]],0)),INDEX(Table3[[#All],[STU P]],MATCH(Table5[[#This Row],[PID]],Table3[[#All],[PID]],0)))</f>
        <v>3</v>
      </c>
      <c r="M771" s="56">
        <f>IF($C771="B",INDEX(Batters[[#All],[GAP P]],MATCH(Table5[[#This Row],[PID]],Batters[[#All],[PID]],0)),INDEX(Table3[[#All],[MOV P]],MATCH(Table5[[#This Row],[PID]],Table3[[#All],[PID]],0)))</f>
        <v>2</v>
      </c>
      <c r="N771" s="56">
        <f>IF($C771="B",INDEX(Batters[[#All],[POW P]],MATCH(Table5[[#This Row],[PID]],Batters[[#All],[PID]],0)),INDEX(Table3[[#All],[CON P]],MATCH(Table5[[#This Row],[PID]],Table3[[#All],[PID]],0)))</f>
        <v>3</v>
      </c>
      <c r="O771" s="56" t="str">
        <f>IF($C771="B",INDEX(Batters[[#All],[EYE P]],MATCH(Table5[[#This Row],[PID]],Batters[[#All],[PID]],0)),INDEX(Table3[[#All],[VELO]],MATCH(Table5[[#This Row],[PID]],Table3[[#All],[PID]],0)))</f>
        <v>83-85 Mph</v>
      </c>
      <c r="P771" s="56">
        <f>IF($C771="B",INDEX(Batters[[#All],[K P]],MATCH(Table5[[#This Row],[PID]],Batters[[#All],[PID]],0)),INDEX(Table3[[#All],[STM]],MATCH(Table5[[#This Row],[PID]],Table3[[#All],[PID]],0)))</f>
        <v>4</v>
      </c>
      <c r="Q771" s="61">
        <f>IF($C771="B",INDEX(Batters[[#All],[Tot]],MATCH(Table5[[#This Row],[PID]],Batters[[#All],[PID]],0)),INDEX(Table3[[#All],[Tot]],MATCH(Table5[[#This Row],[PID]],Table3[[#All],[PID]],0)))</f>
        <v>25.005670612188592</v>
      </c>
      <c r="R771" s="52">
        <f>IF($C771="B",INDEX(Batters[[#All],[zScore]],MATCH(Table5[[#This Row],[PID]],Batters[[#All],[PID]],0)),INDEX(Table3[[#All],[zScore]],MATCH(Table5[[#This Row],[PID]],Table3[[#All],[PID]],0)))</f>
        <v>-0.91123013189675706</v>
      </c>
      <c r="S771" s="58" t="str">
        <f>IF($C771="B",INDEX(Batters[[#All],[DEM]],MATCH(Table5[[#This Row],[PID]],Batters[[#All],[PID]],0)),INDEX(Table3[[#All],[DEM]],MATCH(Table5[[#This Row],[PID]],Table3[[#All],[PID]],0)))</f>
        <v>-</v>
      </c>
      <c r="T771" s="62">
        <f>IF($C771="B",INDEX(Batters[[#All],[Rnk]],MATCH(Table5[[#This Row],[PID]],Batters[[#All],[PID]],0)),INDEX(Table3[[#All],[Rnk]],MATCH(Table5[[#This Row],[PID]],Table3[[#All],[PID]],0)))</f>
        <v>950</v>
      </c>
      <c r="U771" s="67">
        <f>IF($C771="B",VLOOKUP($A771,Bat!$A$4:$BA$1314,47,FALSE),VLOOKUP($A771,Pit!$A$4:$BF$1214,56,FALSE))</f>
        <v>421</v>
      </c>
      <c r="V771" s="50">
        <f>IF($C771="B",VLOOKUP($A771,Bat!$A$4:$BA$1314,48,FALSE),VLOOKUP($A771,Pit!$A$4:$BF$1214,57,FALSE))</f>
        <v>0</v>
      </c>
      <c r="W771" s="68">
        <f>IF(Table5[[#This Row],[posRnk]]=999,9999,Table5[[#This Row],[posRnk]]+Table5[[#This Row],[zRnk]]+IF($W$3&lt;&gt;Table5[[#This Row],[Type]],50,0))</f>
        <v>1694</v>
      </c>
      <c r="X771" s="51">
        <f>RANK(Table5[[#This Row],[zScore]],Table5[[#All],[zScore]])</f>
        <v>744</v>
      </c>
      <c r="Y771" s="50" t="str">
        <f>IFERROR(INDEX(DraftResults[[#All],[OVR]],MATCH(Table5[[#This Row],[PID]],DraftResults[[#All],[Player ID]],0)),"")</f>
        <v/>
      </c>
      <c r="Z771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/>
      </c>
      <c r="AA771" s="50" t="str">
        <f>IFERROR(INDEX(DraftResults[[#All],[Pick in Round]],MATCH(Table5[[#This Row],[PID]],DraftResults[[#All],[Player ID]],0)),"")</f>
        <v/>
      </c>
      <c r="AB771" s="50" t="str">
        <f>IFERROR(INDEX(DraftResults[[#All],[Team Name]],MATCH(Table5[[#This Row],[PID]],DraftResults[[#All],[Player ID]],0)),"")</f>
        <v/>
      </c>
      <c r="AC771" s="50" t="str">
        <f>IF(Table5[[#This Row],[Ovr]]="","",IF(Table5[[#This Row],[cmbList]]="","",Table5[[#This Row],[cmbList]]-Table5[[#This Row],[Ovr]]))</f>
        <v/>
      </c>
      <c r="AD771" s="54" t="str">
        <f>IF(ISERROR(VLOOKUP($AB771&amp;"-"&amp;$E771&amp;" "&amp;F771,Bonuses!$B$1:$G$1006,4,FALSE)),"",INT(VLOOKUP($AB771&amp;"-"&amp;$E771&amp;" "&amp;$F771,Bonuses!$B$1:$G$1006,4,FALSE)))</f>
        <v/>
      </c>
      <c r="AE771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/>
      </c>
    </row>
    <row r="772" spans="1:31" s="50" customFormat="1" x14ac:dyDescent="0.3">
      <c r="A772" s="50">
        <v>8924</v>
      </c>
      <c r="B772" s="50">
        <f>COUNTIF(Table5[PID],A772)</f>
        <v>1</v>
      </c>
      <c r="C772" s="50" t="str">
        <f>IF(COUNTIF(Table3[[#All],[PID]],A772)&gt;0,"P","B")</f>
        <v>B</v>
      </c>
      <c r="D772" s="59" t="str">
        <f>IF($C772="B",INDEX(Batters[[#All],[POS]],MATCH(Table5[[#This Row],[PID]],Batters[[#All],[PID]],0)),INDEX(Table3[[#All],[POS]],MATCH(Table5[[#This Row],[PID]],Table3[[#All],[PID]],0)))</f>
        <v>1B</v>
      </c>
      <c r="E772" s="52" t="str">
        <f>IF($C772="B",INDEX(Batters[[#All],[First]],MATCH(Table5[[#This Row],[PID]],Batters[[#All],[PID]],0)),INDEX(Table3[[#All],[First]],MATCH(Table5[[#This Row],[PID]],Table3[[#All],[PID]],0)))</f>
        <v>Ryuichi</v>
      </c>
      <c r="F772" s="50" t="str">
        <f>IF($C772="B",INDEX(Batters[[#All],[Last]],MATCH(A772,Batters[[#All],[PID]],0)),INDEX(Table3[[#All],[Last]],MATCH(A772,Table3[[#All],[PID]],0)))</f>
        <v>Inagaki</v>
      </c>
      <c r="G772" s="56">
        <f>IF($C772="B",INDEX(Batters[[#All],[Age]],MATCH(Table5[[#This Row],[PID]],Batters[[#All],[PID]],0)),INDEX(Table3[[#All],[Age]],MATCH(Table5[[#This Row],[PID]],Table3[[#All],[PID]],0)))</f>
        <v>21</v>
      </c>
      <c r="H772" s="52" t="str">
        <f>IF($C772="B",INDEX(Batters[[#All],[B]],MATCH(Table5[[#This Row],[PID]],Batters[[#All],[PID]],0)),INDEX(Table3[[#All],[B]],MATCH(Table5[[#This Row],[PID]],Table3[[#All],[PID]],0)))</f>
        <v>R</v>
      </c>
      <c r="I772" s="52" t="str">
        <f>IF($C772="B",INDEX(Batters[[#All],[T]],MATCH(Table5[[#This Row],[PID]],Batters[[#All],[PID]],0)),INDEX(Table3[[#All],[T]],MATCH(Table5[[#This Row],[PID]],Table3[[#All],[PID]],0)))</f>
        <v>R</v>
      </c>
      <c r="J772" s="52" t="str">
        <f>IF($C772="B",INDEX(Batters[[#All],[WE]],MATCH(Table5[[#This Row],[PID]],Batters[[#All],[PID]],0)),INDEX(Table3[[#All],[WE]],MATCH(Table5[[#This Row],[PID]],Table3[[#All],[PID]],0)))</f>
        <v>Normal</v>
      </c>
      <c r="K772" s="52" t="str">
        <f>IF($C772="B",INDEX(Batters[[#All],[INT]],MATCH(Table5[[#This Row],[PID]],Batters[[#All],[PID]],0)),INDEX(Table3[[#All],[INT]],MATCH(Table5[[#This Row],[PID]],Table3[[#All],[PID]],0)))</f>
        <v>Low</v>
      </c>
      <c r="L772" s="60">
        <f>IF($C772="B",INDEX(Batters[[#All],[CON P]],MATCH(Table5[[#This Row],[PID]],Batters[[#All],[PID]],0)),INDEX(Table3[[#All],[STU P]],MATCH(Table5[[#This Row],[PID]],Table3[[#All],[PID]],0)))</f>
        <v>2</v>
      </c>
      <c r="M772" s="56">
        <f>IF($C772="B",INDEX(Batters[[#All],[GAP P]],MATCH(Table5[[#This Row],[PID]],Batters[[#All],[PID]],0)),INDEX(Table3[[#All],[MOV P]],MATCH(Table5[[#This Row],[PID]],Table3[[#All],[PID]],0)))</f>
        <v>5</v>
      </c>
      <c r="N772" s="56">
        <f>IF($C772="B",INDEX(Batters[[#All],[POW P]],MATCH(Table5[[#This Row],[PID]],Batters[[#All],[PID]],0)),INDEX(Table3[[#All],[CON P]],MATCH(Table5[[#This Row],[PID]],Table3[[#All],[PID]],0)))</f>
        <v>5</v>
      </c>
      <c r="O772" s="56">
        <f>IF($C772="B",INDEX(Batters[[#All],[EYE P]],MATCH(Table5[[#This Row],[PID]],Batters[[#All],[PID]],0)),INDEX(Table3[[#All],[VELO]],MATCH(Table5[[#This Row],[PID]],Table3[[#All],[PID]],0)))</f>
        <v>7</v>
      </c>
      <c r="P772" s="56">
        <f>IF($C772="B",INDEX(Batters[[#All],[K P]],MATCH(Table5[[#This Row],[PID]],Batters[[#All],[PID]],0)),INDEX(Table3[[#All],[STM]],MATCH(Table5[[#This Row],[PID]],Table3[[#All],[PID]],0)))</f>
        <v>2</v>
      </c>
      <c r="Q772" s="61">
        <f>IF($C772="B",INDEX(Batters[[#All],[Tot]],MATCH(Table5[[#This Row],[PID]],Batters[[#All],[PID]],0)),INDEX(Table3[[#All],[Tot]],MATCH(Table5[[#This Row],[PID]],Table3[[#All],[PID]],0)))</f>
        <v>36.817422289917786</v>
      </c>
      <c r="R772" s="52">
        <f>IF($C772="B",INDEX(Batters[[#All],[zScore]],MATCH(Table5[[#This Row],[PID]],Batters[[#All],[PID]],0)),INDEX(Table3[[#All],[zScore]],MATCH(Table5[[#This Row],[PID]],Table3[[#All],[PID]],0)))</f>
        <v>-0.93435183488001428</v>
      </c>
      <c r="S772" s="58" t="str">
        <f>IF($C772="B",INDEX(Batters[[#All],[DEM]],MATCH(Table5[[#This Row],[PID]],Batters[[#All],[PID]],0)),INDEX(Table3[[#All],[DEM]],MATCH(Table5[[#This Row],[PID]],Table3[[#All],[PID]],0)))</f>
        <v>-</v>
      </c>
      <c r="T772" s="62">
        <f>IF($C772="B",INDEX(Batters[[#All],[Rnk]],MATCH(Table5[[#This Row],[PID]],Batters[[#All],[PID]],0)),INDEX(Table3[[#All],[Rnk]],MATCH(Table5[[#This Row],[PID]],Table3[[#All],[PID]],0)))</f>
        <v>940</v>
      </c>
      <c r="U772" s="67">
        <f>IF($C772="B",VLOOKUP($A772,Bat!$A$4:$BA$1314,47,FALSE),VLOOKUP($A772,Pit!$A$4:$BF$1214,56,FALSE))</f>
        <v>420</v>
      </c>
      <c r="V772" s="50">
        <f>IF($C772="B",VLOOKUP($A772,Bat!$A$4:$BA$1314,48,FALSE),VLOOKUP($A772,Pit!$A$4:$BF$1214,57,FALSE))</f>
        <v>0</v>
      </c>
      <c r="W772" s="68">
        <f>IF(Table5[[#This Row],[posRnk]]=999,9999,Table5[[#This Row],[posRnk]]+Table5[[#This Row],[zRnk]]+IF($W$3&lt;&gt;Table5[[#This Row],[Type]],50,0))</f>
        <v>1746</v>
      </c>
      <c r="X772" s="51">
        <f>RANK(Table5[[#This Row],[zScore]],Table5[[#All],[zScore]])</f>
        <v>756</v>
      </c>
      <c r="Y772" s="50">
        <f>IFERROR(INDEX(DraftResults[[#All],[OVR]],MATCH(Table5[[#This Row],[PID]],DraftResults[[#All],[Player ID]],0)),"")</f>
        <v>626</v>
      </c>
      <c r="Z772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19</v>
      </c>
      <c r="AA772" s="50">
        <f>IFERROR(INDEX(DraftResults[[#All],[Pick in Round]],MATCH(Table5[[#This Row],[PID]],DraftResults[[#All],[Player ID]],0)),"")</f>
        <v>23</v>
      </c>
      <c r="AB772" s="50" t="str">
        <f>IFERROR(INDEX(DraftResults[[#All],[Team Name]],MATCH(Table5[[#This Row],[PID]],DraftResults[[#All],[Player ID]],0)),"")</f>
        <v>Kentucky Thoroughbreds</v>
      </c>
      <c r="AC772" s="50">
        <f>IF(Table5[[#This Row],[Ovr]]="","",IF(Table5[[#This Row],[cmbList]]="","",Table5[[#This Row],[cmbList]]-Table5[[#This Row],[Ovr]]))</f>
        <v>1120</v>
      </c>
      <c r="AD772" s="54" t="str">
        <f>IF(ISERROR(VLOOKUP($AB772&amp;"-"&amp;$E772&amp;" "&amp;F772,Bonuses!$B$1:$G$1006,4,FALSE)),"",INT(VLOOKUP($AB772&amp;"-"&amp;$E772&amp;" "&amp;$F772,Bonuses!$B$1:$G$1006,4,FALSE)))</f>
        <v/>
      </c>
      <c r="AE772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19.23 (626) - 1B Ryuichi Inagaki</v>
      </c>
    </row>
    <row r="773" spans="1:31" s="50" customFormat="1" x14ac:dyDescent="0.3">
      <c r="A773" s="50">
        <v>21102</v>
      </c>
      <c r="B773" s="50">
        <f>COUNTIF(Table5[PID],A773)</f>
        <v>1</v>
      </c>
      <c r="C773" s="50" t="str">
        <f>IF(COUNTIF(Table3[[#All],[PID]],A773)&gt;0,"P","B")</f>
        <v>P</v>
      </c>
      <c r="D773" s="59" t="str">
        <f>IF($C773="B",INDEX(Batters[[#All],[POS]],MATCH(Table5[[#This Row],[PID]],Batters[[#All],[PID]],0)),INDEX(Table3[[#All],[POS]],MATCH(Table5[[#This Row],[PID]],Table3[[#All],[PID]],0)))</f>
        <v>RP</v>
      </c>
      <c r="E773" s="52" t="str">
        <f>IF($C773="B",INDEX(Batters[[#All],[First]],MATCH(Table5[[#This Row],[PID]],Batters[[#All],[PID]],0)),INDEX(Table3[[#All],[First]],MATCH(Table5[[#This Row],[PID]],Table3[[#All],[PID]],0)))</f>
        <v>Nelson</v>
      </c>
      <c r="F773" s="50" t="str">
        <f>IF($C773="B",INDEX(Batters[[#All],[Last]],MATCH(A773,Batters[[#All],[PID]],0)),INDEX(Table3[[#All],[Last]],MATCH(A773,Table3[[#All],[PID]],0)))</f>
        <v>Hassane</v>
      </c>
      <c r="G773" s="56">
        <f>IF($C773="B",INDEX(Batters[[#All],[Age]],MATCH(Table5[[#This Row],[PID]],Batters[[#All],[PID]],0)),INDEX(Table3[[#All],[Age]],MATCH(Table5[[#This Row],[PID]],Table3[[#All],[PID]],0)))</f>
        <v>17</v>
      </c>
      <c r="H773" s="52" t="str">
        <f>IF($C773="B",INDEX(Batters[[#All],[B]],MATCH(Table5[[#This Row],[PID]],Batters[[#All],[PID]],0)),INDEX(Table3[[#All],[B]],MATCH(Table5[[#This Row],[PID]],Table3[[#All],[PID]],0)))</f>
        <v>L</v>
      </c>
      <c r="I773" s="52" t="str">
        <f>IF($C773="B",INDEX(Batters[[#All],[T]],MATCH(Table5[[#This Row],[PID]],Batters[[#All],[PID]],0)),INDEX(Table3[[#All],[T]],MATCH(Table5[[#This Row],[PID]],Table3[[#All],[PID]],0)))</f>
        <v>L</v>
      </c>
      <c r="J773" s="52" t="str">
        <f>IF($C773="B",INDEX(Batters[[#All],[WE]],MATCH(Table5[[#This Row],[PID]],Batters[[#All],[PID]],0)),INDEX(Table3[[#All],[WE]],MATCH(Table5[[#This Row],[PID]],Table3[[#All],[PID]],0)))</f>
        <v>Low</v>
      </c>
      <c r="K773" s="52" t="str">
        <f>IF($C773="B",INDEX(Batters[[#All],[INT]],MATCH(Table5[[#This Row],[PID]],Batters[[#All],[PID]],0)),INDEX(Table3[[#All],[INT]],MATCH(Table5[[#This Row],[PID]],Table3[[#All],[PID]],0)))</f>
        <v>Normal</v>
      </c>
      <c r="L773" s="60">
        <f>IF($C773="B",INDEX(Batters[[#All],[CON P]],MATCH(Table5[[#This Row],[PID]],Batters[[#All],[PID]],0)),INDEX(Table3[[#All],[STU P]],MATCH(Table5[[#This Row],[PID]],Table3[[#All],[PID]],0)))</f>
        <v>2</v>
      </c>
      <c r="M773" s="56">
        <f>IF($C773="B",INDEX(Batters[[#All],[GAP P]],MATCH(Table5[[#This Row],[PID]],Batters[[#All],[PID]],0)),INDEX(Table3[[#All],[MOV P]],MATCH(Table5[[#This Row],[PID]],Table3[[#All],[PID]],0)))</f>
        <v>1</v>
      </c>
      <c r="N773" s="56">
        <f>IF($C773="B",INDEX(Batters[[#All],[POW P]],MATCH(Table5[[#This Row],[PID]],Batters[[#All],[PID]],0)),INDEX(Table3[[#All],[CON P]],MATCH(Table5[[#This Row],[PID]],Table3[[#All],[PID]],0)))</f>
        <v>3</v>
      </c>
      <c r="O773" s="56" t="str">
        <f>IF($C773="B",INDEX(Batters[[#All],[EYE P]],MATCH(Table5[[#This Row],[PID]],Batters[[#All],[PID]],0)),INDEX(Table3[[#All],[VELO]],MATCH(Table5[[#This Row],[PID]],Table3[[#All],[PID]],0)))</f>
        <v>84-86 Mph</v>
      </c>
      <c r="P773" s="56">
        <f>IF($C773="B",INDEX(Batters[[#All],[K P]],MATCH(Table5[[#This Row],[PID]],Batters[[#All],[PID]],0)),INDEX(Table3[[#All],[STM]],MATCH(Table5[[#This Row],[PID]],Table3[[#All],[PID]],0)))</f>
        <v>8</v>
      </c>
      <c r="Q773" s="61">
        <f>IF($C773="B",INDEX(Batters[[#All],[Tot]],MATCH(Table5[[#This Row],[PID]],Batters[[#All],[PID]],0)),INDEX(Table3[[#All],[Tot]],MATCH(Table5[[#This Row],[PID]],Table3[[#All],[PID]],0)))</f>
        <v>24.183906286129449</v>
      </c>
      <c r="R773" s="52">
        <f>IF($C773="B",INDEX(Batters[[#All],[zScore]],MATCH(Table5[[#This Row],[PID]],Batters[[#All],[PID]],0)),INDEX(Table3[[#All],[zScore]],MATCH(Table5[[#This Row],[PID]],Table3[[#All],[PID]],0)))</f>
        <v>-0.96265251169101029</v>
      </c>
      <c r="S773" s="58" t="str">
        <f>IF($C773="B",INDEX(Batters[[#All],[DEM]],MATCH(Table5[[#This Row],[PID]],Batters[[#All],[PID]],0)),INDEX(Table3[[#All],[DEM]],MATCH(Table5[[#This Row],[PID]],Table3[[#All],[PID]],0)))</f>
        <v>$65k</v>
      </c>
      <c r="T773" s="62">
        <f>IF($C773="B",INDEX(Batters[[#All],[Rnk]],MATCH(Table5[[#This Row],[PID]],Batters[[#All],[PID]],0)),INDEX(Table3[[#All],[Rnk]],MATCH(Table5[[#This Row],[PID]],Table3[[#All],[PID]],0)))</f>
        <v>930</v>
      </c>
      <c r="U773" s="67">
        <f>IF($C773="B",VLOOKUP($A773,Bat!$A$4:$BA$1314,47,FALSE),VLOOKUP($A773,Pit!$A$4:$BF$1214,56,FALSE))</f>
        <v>364</v>
      </c>
      <c r="V773" s="50">
        <f>IF($C773="B",VLOOKUP($A773,Bat!$A$4:$BA$1314,48,FALSE),VLOOKUP($A773,Pit!$A$4:$BF$1214,57,FALSE))</f>
        <v>0</v>
      </c>
      <c r="W773" s="68">
        <f>IF(Table5[[#This Row],[posRnk]]=999,9999,Table5[[#This Row],[posRnk]]+Table5[[#This Row],[zRnk]]+IF($W$3&lt;&gt;Table5[[#This Row],[Type]],50,0))</f>
        <v>1697</v>
      </c>
      <c r="X773" s="51">
        <f>RANK(Table5[[#This Row],[zScore]],Table5[[#All],[zScore]])</f>
        <v>767</v>
      </c>
      <c r="Y773" s="50" t="str">
        <f>IFERROR(INDEX(DraftResults[[#All],[OVR]],MATCH(Table5[[#This Row],[PID]],DraftResults[[#All],[Player ID]],0)),"")</f>
        <v/>
      </c>
      <c r="Z773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/>
      </c>
      <c r="AA773" s="50" t="str">
        <f>IFERROR(INDEX(DraftResults[[#All],[Pick in Round]],MATCH(Table5[[#This Row],[PID]],DraftResults[[#All],[Player ID]],0)),"")</f>
        <v/>
      </c>
      <c r="AB773" s="50" t="str">
        <f>IFERROR(INDEX(DraftResults[[#All],[Team Name]],MATCH(Table5[[#This Row],[PID]],DraftResults[[#All],[Player ID]],0)),"")</f>
        <v/>
      </c>
      <c r="AC773" s="50" t="str">
        <f>IF(Table5[[#This Row],[Ovr]]="","",IF(Table5[[#This Row],[cmbList]]="","",Table5[[#This Row],[cmbList]]-Table5[[#This Row],[Ovr]]))</f>
        <v/>
      </c>
      <c r="AD773" s="54" t="str">
        <f>IF(ISERROR(VLOOKUP($AB773&amp;"-"&amp;$E773&amp;" "&amp;F773,Bonuses!$B$1:$G$1006,4,FALSE)),"",INT(VLOOKUP($AB773&amp;"-"&amp;$E773&amp;" "&amp;$F773,Bonuses!$B$1:$G$1006,4,FALSE)))</f>
        <v/>
      </c>
      <c r="AE773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/>
      </c>
    </row>
    <row r="774" spans="1:31" s="50" customFormat="1" x14ac:dyDescent="0.3">
      <c r="A774" s="50">
        <v>14026</v>
      </c>
      <c r="B774" s="50">
        <f>COUNTIF(Table5[PID],A774)</f>
        <v>1</v>
      </c>
      <c r="C774" s="50" t="str">
        <f>IF(COUNTIF(Table3[[#All],[PID]],A774)&gt;0,"P","B")</f>
        <v>B</v>
      </c>
      <c r="D774" s="59" t="str">
        <f>IF($C774="B",INDEX(Batters[[#All],[POS]],MATCH(Table5[[#This Row],[PID]],Batters[[#All],[PID]],0)),INDEX(Table3[[#All],[POS]],MATCH(Table5[[#This Row],[PID]],Table3[[#All],[PID]],0)))</f>
        <v>2B</v>
      </c>
      <c r="E774" s="52" t="str">
        <f>IF($C774="B",INDEX(Batters[[#All],[First]],MATCH(Table5[[#This Row],[PID]],Batters[[#All],[PID]],0)),INDEX(Table3[[#All],[First]],MATCH(Table5[[#This Row],[PID]],Table3[[#All],[PID]],0)))</f>
        <v>Dan</v>
      </c>
      <c r="F774" s="50" t="str">
        <f>IF($C774="B",INDEX(Batters[[#All],[Last]],MATCH(A774,Batters[[#All],[PID]],0)),INDEX(Table3[[#All],[Last]],MATCH(A774,Table3[[#All],[PID]],0)))</f>
        <v>Duncan</v>
      </c>
      <c r="G774" s="56">
        <f>IF($C774="B",INDEX(Batters[[#All],[Age]],MATCH(Table5[[#This Row],[PID]],Batters[[#All],[PID]],0)),INDEX(Table3[[#All],[Age]],MATCH(Table5[[#This Row],[PID]],Table3[[#All],[PID]],0)))</f>
        <v>21</v>
      </c>
      <c r="H774" s="52" t="str">
        <f>IF($C774="B",INDEX(Batters[[#All],[B]],MATCH(Table5[[#This Row],[PID]],Batters[[#All],[PID]],0)),INDEX(Table3[[#All],[B]],MATCH(Table5[[#This Row],[PID]],Table3[[#All],[PID]],0)))</f>
        <v>R</v>
      </c>
      <c r="I774" s="52" t="str">
        <f>IF($C774="B",INDEX(Batters[[#All],[T]],MATCH(Table5[[#This Row],[PID]],Batters[[#All],[PID]],0)),INDEX(Table3[[#All],[T]],MATCH(Table5[[#This Row],[PID]],Table3[[#All],[PID]],0)))</f>
        <v>R</v>
      </c>
      <c r="J774" s="52" t="str">
        <f>IF($C774="B",INDEX(Batters[[#All],[WE]],MATCH(Table5[[#This Row],[PID]],Batters[[#All],[PID]],0)),INDEX(Table3[[#All],[WE]],MATCH(Table5[[#This Row],[PID]],Table3[[#All],[PID]],0)))</f>
        <v>Normal</v>
      </c>
      <c r="K774" s="52" t="str">
        <f>IF($C774="B",INDEX(Batters[[#All],[INT]],MATCH(Table5[[#This Row],[PID]],Batters[[#All],[PID]],0)),INDEX(Table3[[#All],[INT]],MATCH(Table5[[#This Row],[PID]],Table3[[#All],[PID]],0)))</f>
        <v>Normal</v>
      </c>
      <c r="L774" s="60">
        <f>IF($C774="B",INDEX(Batters[[#All],[CON P]],MATCH(Table5[[#This Row],[PID]],Batters[[#All],[PID]],0)),INDEX(Table3[[#All],[STU P]],MATCH(Table5[[#This Row],[PID]],Table3[[#All],[PID]],0)))</f>
        <v>3</v>
      </c>
      <c r="M774" s="56">
        <f>IF($C774="B",INDEX(Batters[[#All],[GAP P]],MATCH(Table5[[#This Row],[PID]],Batters[[#All],[PID]],0)),INDEX(Table3[[#All],[MOV P]],MATCH(Table5[[#This Row],[PID]],Table3[[#All],[PID]],0)))</f>
        <v>4</v>
      </c>
      <c r="N774" s="56">
        <f>IF($C774="B",INDEX(Batters[[#All],[POW P]],MATCH(Table5[[#This Row],[PID]],Batters[[#All],[PID]],0)),INDEX(Table3[[#All],[CON P]],MATCH(Table5[[#This Row],[PID]],Table3[[#All],[PID]],0)))</f>
        <v>2</v>
      </c>
      <c r="O774" s="56">
        <f>IF($C774="B",INDEX(Batters[[#All],[EYE P]],MATCH(Table5[[#This Row],[PID]],Batters[[#All],[PID]],0)),INDEX(Table3[[#All],[VELO]],MATCH(Table5[[#This Row],[PID]],Table3[[#All],[PID]],0)))</f>
        <v>4</v>
      </c>
      <c r="P774" s="56">
        <f>IF($C774="B",INDEX(Batters[[#All],[K P]],MATCH(Table5[[#This Row],[PID]],Batters[[#All],[PID]],0)),INDEX(Table3[[#All],[STM]],MATCH(Table5[[#This Row],[PID]],Table3[[#All],[PID]],0)))</f>
        <v>5</v>
      </c>
      <c r="Q774" s="61">
        <f>IF($C774="B",INDEX(Batters[[#All],[Tot]],MATCH(Table5[[#This Row],[PID]],Batters[[#All],[PID]],0)),INDEX(Table3[[#All],[Tot]],MATCH(Table5[[#This Row],[PID]],Table3[[#All],[PID]],0)))</f>
        <v>35.537497956384435</v>
      </c>
      <c r="R774" s="52">
        <f>IF($C774="B",INDEX(Batters[[#All],[zScore]],MATCH(Table5[[#This Row],[PID]],Batters[[#All],[PID]],0)),INDEX(Table3[[#All],[zScore]],MATCH(Table5[[#This Row],[PID]],Table3[[#All],[PID]],0)))</f>
        <v>-1.0999379181807178</v>
      </c>
      <c r="S774" s="58" t="str">
        <f>IF($C774="B",INDEX(Batters[[#All],[DEM]],MATCH(Table5[[#This Row],[PID]],Batters[[#All],[PID]],0)),INDEX(Table3[[#All],[DEM]],MATCH(Table5[[#This Row],[PID]],Table3[[#All],[PID]],0)))</f>
        <v>-</v>
      </c>
      <c r="T774" s="62">
        <f>IF($C774="B",INDEX(Batters[[#All],[Rnk]],MATCH(Table5[[#This Row],[PID]],Batters[[#All],[PID]],0)),INDEX(Table3[[#All],[Rnk]],MATCH(Table5[[#This Row],[PID]],Table3[[#All],[PID]],0)))</f>
        <v>900</v>
      </c>
      <c r="U774" s="67">
        <f>IF($C774="B",VLOOKUP($A774,Bat!$A$4:$BA$1314,47,FALSE),VLOOKUP($A774,Pit!$A$4:$BF$1214,56,FALSE))</f>
        <v>273</v>
      </c>
      <c r="V774" s="50">
        <f>IF($C774="B",VLOOKUP($A774,Bat!$A$4:$BA$1314,48,FALSE),VLOOKUP($A774,Pit!$A$4:$BF$1214,57,FALSE))</f>
        <v>0</v>
      </c>
      <c r="W774" s="68">
        <f>IF(Table5[[#This Row],[posRnk]]=999,9999,Table5[[#This Row],[posRnk]]+Table5[[#This Row],[zRnk]]+IF($W$3&lt;&gt;Table5[[#This Row],[Type]],50,0))</f>
        <v>1750</v>
      </c>
      <c r="X774" s="51">
        <f>RANK(Table5[[#This Row],[zScore]],Table5[[#All],[zScore]])</f>
        <v>800</v>
      </c>
      <c r="Y774" s="50" t="str">
        <f>IFERROR(INDEX(DraftResults[[#All],[OVR]],MATCH(Table5[[#This Row],[PID]],DraftResults[[#All],[Player ID]],0)),"")</f>
        <v/>
      </c>
      <c r="Z774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/>
      </c>
      <c r="AA774" s="50" t="str">
        <f>IFERROR(INDEX(DraftResults[[#All],[Pick in Round]],MATCH(Table5[[#This Row],[PID]],DraftResults[[#All],[Player ID]],0)),"")</f>
        <v/>
      </c>
      <c r="AB774" s="50" t="str">
        <f>IFERROR(INDEX(DraftResults[[#All],[Team Name]],MATCH(Table5[[#This Row],[PID]],DraftResults[[#All],[Player ID]],0)),"")</f>
        <v/>
      </c>
      <c r="AC774" s="50" t="str">
        <f>IF(Table5[[#This Row],[Ovr]]="","",IF(Table5[[#This Row],[cmbList]]="","",Table5[[#This Row],[cmbList]]-Table5[[#This Row],[Ovr]]))</f>
        <v/>
      </c>
      <c r="AD774" s="54" t="str">
        <f>IF(ISERROR(VLOOKUP($AB774&amp;"-"&amp;$E774&amp;" "&amp;F774,Bonuses!$B$1:$G$1006,4,FALSE)),"",INT(VLOOKUP($AB774&amp;"-"&amp;$E774&amp;" "&amp;$F774,Bonuses!$B$1:$G$1006,4,FALSE)))</f>
        <v/>
      </c>
      <c r="AE774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/>
      </c>
    </row>
    <row r="775" spans="1:31" s="50" customFormat="1" x14ac:dyDescent="0.3">
      <c r="A775" s="50">
        <v>12758</v>
      </c>
      <c r="B775" s="50">
        <f>COUNTIF(Table5[PID],A775)</f>
        <v>1</v>
      </c>
      <c r="C775" s="50" t="str">
        <f>IF(COUNTIF(Table3[[#All],[PID]],A775)&gt;0,"P","B")</f>
        <v>P</v>
      </c>
      <c r="D775" s="59" t="str">
        <f>IF($C775="B",INDEX(Batters[[#All],[POS]],MATCH(Table5[[#This Row],[PID]],Batters[[#All],[PID]],0)),INDEX(Table3[[#All],[POS]],MATCH(Table5[[#This Row],[PID]],Table3[[#All],[PID]],0)))</f>
        <v>RP</v>
      </c>
      <c r="E775" s="52" t="str">
        <f>IF($C775="B",INDEX(Batters[[#All],[First]],MATCH(Table5[[#This Row],[PID]],Batters[[#All],[PID]],0)),INDEX(Table3[[#All],[First]],MATCH(Table5[[#This Row],[PID]],Table3[[#All],[PID]],0)))</f>
        <v>Togai</v>
      </c>
      <c r="F775" s="50" t="str">
        <f>IF($C775="B",INDEX(Batters[[#All],[Last]],MATCH(A775,Batters[[#All],[PID]],0)),INDEX(Table3[[#All],[Last]],MATCH(A775,Table3[[#All],[PID]],0)))</f>
        <v>Ando</v>
      </c>
      <c r="G775" s="56">
        <f>IF($C775="B",INDEX(Batters[[#All],[Age]],MATCH(Table5[[#This Row],[PID]],Batters[[#All],[PID]],0)),INDEX(Table3[[#All],[Age]],MATCH(Table5[[#This Row],[PID]],Table3[[#All],[PID]],0)))</f>
        <v>21</v>
      </c>
      <c r="H775" s="52" t="str">
        <f>IF($C775="B",INDEX(Batters[[#All],[B]],MATCH(Table5[[#This Row],[PID]],Batters[[#All],[PID]],0)),INDEX(Table3[[#All],[B]],MATCH(Table5[[#This Row],[PID]],Table3[[#All],[PID]],0)))</f>
        <v>R</v>
      </c>
      <c r="I775" s="52" t="str">
        <f>IF($C775="B",INDEX(Batters[[#All],[T]],MATCH(Table5[[#This Row],[PID]],Batters[[#All],[PID]],0)),INDEX(Table3[[#All],[T]],MATCH(Table5[[#This Row],[PID]],Table3[[#All],[PID]],0)))</f>
        <v>R</v>
      </c>
      <c r="J775" s="52" t="str">
        <f>IF($C775="B",INDEX(Batters[[#All],[WE]],MATCH(Table5[[#This Row],[PID]],Batters[[#All],[PID]],0)),INDEX(Table3[[#All],[WE]],MATCH(Table5[[#This Row],[PID]],Table3[[#All],[PID]],0)))</f>
        <v>Low</v>
      </c>
      <c r="K775" s="52" t="str">
        <f>IF($C775="B",INDEX(Batters[[#All],[INT]],MATCH(Table5[[#This Row],[PID]],Batters[[#All],[PID]],0)),INDEX(Table3[[#All],[INT]],MATCH(Table5[[#This Row],[PID]],Table3[[#All],[PID]],0)))</f>
        <v>Normal</v>
      </c>
      <c r="L775" s="60">
        <f>IF($C775="B",INDEX(Batters[[#All],[CON P]],MATCH(Table5[[#This Row],[PID]],Batters[[#All],[PID]],0)),INDEX(Table3[[#All],[STU P]],MATCH(Table5[[#This Row],[PID]],Table3[[#All],[PID]],0)))</f>
        <v>4</v>
      </c>
      <c r="M775" s="56">
        <f>IF($C775="B",INDEX(Batters[[#All],[GAP P]],MATCH(Table5[[#This Row],[PID]],Batters[[#All],[PID]],0)),INDEX(Table3[[#All],[MOV P]],MATCH(Table5[[#This Row],[PID]],Table3[[#All],[PID]],0)))</f>
        <v>2</v>
      </c>
      <c r="N775" s="56">
        <f>IF($C775="B",INDEX(Batters[[#All],[POW P]],MATCH(Table5[[#This Row],[PID]],Batters[[#All],[PID]],0)),INDEX(Table3[[#All],[CON P]],MATCH(Table5[[#This Row],[PID]],Table3[[#All],[PID]],0)))</f>
        <v>2</v>
      </c>
      <c r="O775" s="56" t="str">
        <f>IF($C775="B",INDEX(Batters[[#All],[EYE P]],MATCH(Table5[[#This Row],[PID]],Batters[[#All],[PID]],0)),INDEX(Table3[[#All],[VELO]],MATCH(Table5[[#This Row],[PID]],Table3[[#All],[PID]],0)))</f>
        <v>90-92 Mph</v>
      </c>
      <c r="P775" s="56">
        <f>IF($C775="B",INDEX(Batters[[#All],[K P]],MATCH(Table5[[#This Row],[PID]],Batters[[#All],[PID]],0)),INDEX(Table3[[#All],[STM]],MATCH(Table5[[#This Row],[PID]],Table3[[#All],[PID]],0)))</f>
        <v>6</v>
      </c>
      <c r="Q775" s="61">
        <f>IF($C775="B",INDEX(Batters[[#All],[Tot]],MATCH(Table5[[#This Row],[PID]],Batters[[#All],[PID]],0)),INDEX(Table3[[#All],[Tot]],MATCH(Table5[[#This Row],[PID]],Table3[[#All],[PID]],0)))</f>
        <v>24.133101557812086</v>
      </c>
      <c r="R775" s="52">
        <f>IF($C775="B",INDEX(Batters[[#All],[zScore]],MATCH(Table5[[#This Row],[PID]],Batters[[#All],[PID]],0)),INDEX(Table3[[#All],[zScore]],MATCH(Table5[[#This Row],[PID]],Table3[[#All],[PID]],0)))</f>
        <v>-0.9733631852356861</v>
      </c>
      <c r="S775" s="58" t="str">
        <f>IF($C775="B",INDEX(Batters[[#All],[DEM]],MATCH(Table5[[#This Row],[PID]],Batters[[#All],[PID]],0)),INDEX(Table3[[#All],[DEM]],MATCH(Table5[[#This Row],[PID]],Table3[[#All],[PID]],0)))</f>
        <v>-</v>
      </c>
      <c r="T775" s="62">
        <f>IF($C775="B",INDEX(Batters[[#All],[Rnk]],MATCH(Table5[[#This Row],[PID]],Batters[[#All],[PID]],0)),INDEX(Table3[[#All],[Rnk]],MATCH(Table5[[#This Row],[PID]],Table3[[#All],[PID]],0)))</f>
        <v>930</v>
      </c>
      <c r="U775" s="67">
        <f>IF($C775="B",VLOOKUP($A775,Bat!$A$4:$BA$1314,47,FALSE),VLOOKUP($A775,Pit!$A$4:$BF$1214,56,FALSE))</f>
        <v>365</v>
      </c>
      <c r="V775" s="50">
        <f>IF($C775="B",VLOOKUP($A775,Bat!$A$4:$BA$1314,48,FALSE),VLOOKUP($A775,Pit!$A$4:$BF$1214,57,FALSE))</f>
        <v>0</v>
      </c>
      <c r="W775" s="68">
        <f>IF(Table5[[#This Row],[posRnk]]=999,9999,Table5[[#This Row],[posRnk]]+Table5[[#This Row],[zRnk]]+IF($W$3&lt;&gt;Table5[[#This Row],[Type]],50,0))</f>
        <v>1701</v>
      </c>
      <c r="X775" s="51">
        <f>RANK(Table5[[#This Row],[zScore]],Table5[[#All],[zScore]])</f>
        <v>771</v>
      </c>
      <c r="Y775" s="50" t="str">
        <f>IFERROR(INDEX(DraftResults[[#All],[OVR]],MATCH(Table5[[#This Row],[PID]],DraftResults[[#All],[Player ID]],0)),"")</f>
        <v/>
      </c>
      <c r="Z775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/>
      </c>
      <c r="AA775" s="50" t="str">
        <f>IFERROR(INDEX(DraftResults[[#All],[Pick in Round]],MATCH(Table5[[#This Row],[PID]],DraftResults[[#All],[Player ID]],0)),"")</f>
        <v/>
      </c>
      <c r="AB775" s="50" t="str">
        <f>IFERROR(INDEX(DraftResults[[#All],[Team Name]],MATCH(Table5[[#This Row],[PID]],DraftResults[[#All],[Player ID]],0)),"")</f>
        <v/>
      </c>
      <c r="AC775" s="50" t="str">
        <f>IF(Table5[[#This Row],[Ovr]]="","",IF(Table5[[#This Row],[cmbList]]="","",Table5[[#This Row],[cmbList]]-Table5[[#This Row],[Ovr]]))</f>
        <v/>
      </c>
      <c r="AD775" s="54" t="str">
        <f>IF(ISERROR(VLOOKUP($AB775&amp;"-"&amp;$E775&amp;" "&amp;F775,Bonuses!$B$1:$G$1006,4,FALSE)),"",INT(VLOOKUP($AB775&amp;"-"&amp;$E775&amp;" "&amp;$F775,Bonuses!$B$1:$G$1006,4,FALSE)))</f>
        <v/>
      </c>
      <c r="AE775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/>
      </c>
    </row>
    <row r="776" spans="1:31" s="50" customFormat="1" x14ac:dyDescent="0.3">
      <c r="A776" s="50">
        <v>17022</v>
      </c>
      <c r="B776" s="50">
        <f>COUNTIF(Table5[PID],A776)</f>
        <v>1</v>
      </c>
      <c r="C776" s="50" t="str">
        <f>IF(COUNTIF(Table3[[#All],[PID]],A776)&gt;0,"P","B")</f>
        <v>B</v>
      </c>
      <c r="D776" s="59" t="str">
        <f>IF($C776="B",INDEX(Batters[[#All],[POS]],MATCH(Table5[[#This Row],[PID]],Batters[[#All],[PID]],0)),INDEX(Table3[[#All],[POS]],MATCH(Table5[[#This Row],[PID]],Table3[[#All],[PID]],0)))</f>
        <v>1B</v>
      </c>
      <c r="E776" s="52" t="str">
        <f>IF($C776="B",INDEX(Batters[[#All],[First]],MATCH(Table5[[#This Row],[PID]],Batters[[#All],[PID]],0)),INDEX(Table3[[#All],[First]],MATCH(Table5[[#This Row],[PID]],Table3[[#All],[PID]],0)))</f>
        <v>Shalom</v>
      </c>
      <c r="F776" s="50" t="str">
        <f>IF($C776="B",INDEX(Batters[[#All],[Last]],MATCH(A776,Batters[[#All],[PID]],0)),INDEX(Table3[[#All],[Last]],MATCH(A776,Table3[[#All],[PID]],0)))</f>
        <v>Wierenga</v>
      </c>
      <c r="G776" s="56">
        <f>IF($C776="B",INDEX(Batters[[#All],[Age]],MATCH(Table5[[#This Row],[PID]],Batters[[#All],[PID]],0)),INDEX(Table3[[#All],[Age]],MATCH(Table5[[#This Row],[PID]],Table3[[#All],[PID]],0)))</f>
        <v>22</v>
      </c>
      <c r="H776" s="52" t="str">
        <f>IF($C776="B",INDEX(Batters[[#All],[B]],MATCH(Table5[[#This Row],[PID]],Batters[[#All],[PID]],0)),INDEX(Table3[[#All],[B]],MATCH(Table5[[#This Row],[PID]],Table3[[#All],[PID]],0)))</f>
        <v>L</v>
      </c>
      <c r="I776" s="52" t="str">
        <f>IF($C776="B",INDEX(Batters[[#All],[T]],MATCH(Table5[[#This Row],[PID]],Batters[[#All],[PID]],0)),INDEX(Table3[[#All],[T]],MATCH(Table5[[#This Row],[PID]],Table3[[#All],[PID]],0)))</f>
        <v>L</v>
      </c>
      <c r="J776" s="52" t="str">
        <f>IF($C776="B",INDEX(Batters[[#All],[WE]],MATCH(Table5[[#This Row],[PID]],Batters[[#All],[PID]],0)),INDEX(Table3[[#All],[WE]],MATCH(Table5[[#This Row],[PID]],Table3[[#All],[PID]],0)))</f>
        <v>Normal</v>
      </c>
      <c r="K776" s="52" t="str">
        <f>IF($C776="B",INDEX(Batters[[#All],[INT]],MATCH(Table5[[#This Row],[PID]],Batters[[#All],[PID]],0)),INDEX(Table3[[#All],[INT]],MATCH(Table5[[#This Row],[PID]],Table3[[#All],[PID]],0)))</f>
        <v>Normal</v>
      </c>
      <c r="L776" s="60">
        <f>IF($C776="B",INDEX(Batters[[#All],[CON P]],MATCH(Table5[[#This Row],[PID]],Batters[[#All],[PID]],0)),INDEX(Table3[[#All],[STU P]],MATCH(Table5[[#This Row],[PID]],Table3[[#All],[PID]],0)))</f>
        <v>4</v>
      </c>
      <c r="M776" s="56">
        <f>IF($C776="B",INDEX(Batters[[#All],[GAP P]],MATCH(Table5[[#This Row],[PID]],Batters[[#All],[PID]],0)),INDEX(Table3[[#All],[MOV P]],MATCH(Table5[[#This Row],[PID]],Table3[[#All],[PID]],0)))</f>
        <v>2</v>
      </c>
      <c r="N776" s="56">
        <f>IF($C776="B",INDEX(Batters[[#All],[POW P]],MATCH(Table5[[#This Row],[PID]],Batters[[#All],[PID]],0)),INDEX(Table3[[#All],[CON P]],MATCH(Table5[[#This Row],[PID]],Table3[[#All],[PID]],0)))</f>
        <v>3</v>
      </c>
      <c r="O776" s="56">
        <f>IF($C776="B",INDEX(Batters[[#All],[EYE P]],MATCH(Table5[[#This Row],[PID]],Batters[[#All],[PID]],0)),INDEX(Table3[[#All],[VELO]],MATCH(Table5[[#This Row],[PID]],Table3[[#All],[PID]],0)))</f>
        <v>1</v>
      </c>
      <c r="P776" s="56">
        <f>IF($C776="B",INDEX(Batters[[#All],[K P]],MATCH(Table5[[#This Row],[PID]],Batters[[#All],[PID]],0)),INDEX(Table3[[#All],[STM]],MATCH(Table5[[#This Row],[PID]],Table3[[#All],[PID]],0)))</f>
        <v>4</v>
      </c>
      <c r="Q776" s="61">
        <f>IF($C776="B",INDEX(Batters[[#All],[Tot]],MATCH(Table5[[#This Row],[PID]],Batters[[#All],[PID]],0)),INDEX(Table3[[#All],[Tot]],MATCH(Table5[[#This Row],[PID]],Table3[[#All],[PID]],0)))</f>
        <v>35.524164788363962</v>
      </c>
      <c r="R776" s="52">
        <f>IF($C776="B",INDEX(Batters[[#All],[zScore]],MATCH(Table5[[#This Row],[PID]],Batters[[#All],[PID]],0)),INDEX(Table3[[#All],[zScore]],MATCH(Table5[[#This Row],[PID]],Table3[[#All],[PID]],0)))</f>
        <v>-1.1231261876688248</v>
      </c>
      <c r="S776" s="58" t="str">
        <f>IF($C776="B",INDEX(Batters[[#All],[DEM]],MATCH(Table5[[#This Row],[PID]],Batters[[#All],[PID]],0)),INDEX(Table3[[#All],[DEM]],MATCH(Table5[[#This Row],[PID]],Table3[[#All],[PID]],0)))</f>
        <v>-</v>
      </c>
      <c r="T776" s="62">
        <f>IF($C776="B",INDEX(Batters[[#All],[Rnk]],MATCH(Table5[[#This Row],[PID]],Batters[[#All],[PID]],0)),INDEX(Table3[[#All],[Rnk]],MATCH(Table5[[#This Row],[PID]],Table3[[#All],[PID]],0)))</f>
        <v>900</v>
      </c>
      <c r="U776" s="67">
        <f>IF($C776="B",VLOOKUP($A776,Bat!$A$4:$BA$1314,47,FALSE),VLOOKUP($A776,Pit!$A$4:$BF$1214,56,FALSE))</f>
        <v>274</v>
      </c>
      <c r="V776" s="50">
        <f>IF($C776="B",VLOOKUP($A776,Bat!$A$4:$BA$1314,48,FALSE),VLOOKUP($A776,Pit!$A$4:$BF$1214,57,FALSE))</f>
        <v>0</v>
      </c>
      <c r="W776" s="68">
        <f>IF(Table5[[#This Row],[posRnk]]=999,9999,Table5[[#This Row],[posRnk]]+Table5[[#This Row],[zRnk]]+IF($W$3&lt;&gt;Table5[[#This Row],[Type]],50,0))</f>
        <v>1753</v>
      </c>
      <c r="X776" s="51">
        <f>RANK(Table5[[#This Row],[zScore]],Table5[[#All],[zScore]])</f>
        <v>803</v>
      </c>
      <c r="Y776" s="50" t="str">
        <f>IFERROR(INDEX(DraftResults[[#All],[OVR]],MATCH(Table5[[#This Row],[PID]],DraftResults[[#All],[Player ID]],0)),"")</f>
        <v/>
      </c>
      <c r="Z776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/>
      </c>
      <c r="AA776" s="50" t="str">
        <f>IFERROR(INDEX(DraftResults[[#All],[Pick in Round]],MATCH(Table5[[#This Row],[PID]],DraftResults[[#All],[Player ID]],0)),"")</f>
        <v/>
      </c>
      <c r="AB776" s="50" t="str">
        <f>IFERROR(INDEX(DraftResults[[#All],[Team Name]],MATCH(Table5[[#This Row],[PID]],DraftResults[[#All],[Player ID]],0)),"")</f>
        <v/>
      </c>
      <c r="AC776" s="50" t="str">
        <f>IF(Table5[[#This Row],[Ovr]]="","",IF(Table5[[#This Row],[cmbList]]="","",Table5[[#This Row],[cmbList]]-Table5[[#This Row],[Ovr]]))</f>
        <v/>
      </c>
      <c r="AD776" s="54" t="str">
        <f>IF(ISERROR(VLOOKUP($AB776&amp;"-"&amp;$E776&amp;" "&amp;F776,Bonuses!$B$1:$G$1006,4,FALSE)),"",INT(VLOOKUP($AB776&amp;"-"&amp;$E776&amp;" "&amp;$F776,Bonuses!$B$1:$G$1006,4,FALSE)))</f>
        <v/>
      </c>
      <c r="AE776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/>
      </c>
    </row>
    <row r="777" spans="1:31" s="50" customFormat="1" x14ac:dyDescent="0.3">
      <c r="A777" s="50">
        <v>6150</v>
      </c>
      <c r="B777" s="50">
        <f>COUNTIF(Table5[PID],A777)</f>
        <v>1</v>
      </c>
      <c r="C777" s="50" t="str">
        <f>IF(COUNTIF(Table3[[#All],[PID]],A777)&gt;0,"P","B")</f>
        <v>P</v>
      </c>
      <c r="D777" s="59" t="str">
        <f>IF($C777="B",INDEX(Batters[[#All],[POS]],MATCH(Table5[[#This Row],[PID]],Batters[[#All],[PID]],0)),INDEX(Table3[[#All],[POS]],MATCH(Table5[[#This Row],[PID]],Table3[[#All],[PID]],0)))</f>
        <v>RP</v>
      </c>
      <c r="E777" s="52" t="str">
        <f>IF($C777="B",INDEX(Batters[[#All],[First]],MATCH(Table5[[#This Row],[PID]],Batters[[#All],[PID]],0)),INDEX(Table3[[#All],[First]],MATCH(Table5[[#This Row],[PID]],Table3[[#All],[PID]],0)))</f>
        <v>Salvador</v>
      </c>
      <c r="F777" s="50" t="str">
        <f>IF($C777="B",INDEX(Batters[[#All],[Last]],MATCH(A777,Batters[[#All],[PID]],0)),INDEX(Table3[[#All],[Last]],MATCH(A777,Table3[[#All],[PID]],0)))</f>
        <v>Yánez</v>
      </c>
      <c r="G777" s="56">
        <f>IF($C777="B",INDEX(Batters[[#All],[Age]],MATCH(Table5[[#This Row],[PID]],Batters[[#All],[PID]],0)),INDEX(Table3[[#All],[Age]],MATCH(Table5[[#This Row],[PID]],Table3[[#All],[PID]],0)))</f>
        <v>21</v>
      </c>
      <c r="H777" s="52" t="str">
        <f>IF($C777="B",INDEX(Batters[[#All],[B]],MATCH(Table5[[#This Row],[PID]],Batters[[#All],[PID]],0)),INDEX(Table3[[#All],[B]],MATCH(Table5[[#This Row],[PID]],Table3[[#All],[PID]],0)))</f>
        <v>R</v>
      </c>
      <c r="I777" s="52" t="str">
        <f>IF($C777="B",INDEX(Batters[[#All],[T]],MATCH(Table5[[#This Row],[PID]],Batters[[#All],[PID]],0)),INDEX(Table3[[#All],[T]],MATCH(Table5[[#This Row],[PID]],Table3[[#All],[PID]],0)))</f>
        <v>R</v>
      </c>
      <c r="J777" s="52" t="str">
        <f>IF($C777="B",INDEX(Batters[[#All],[WE]],MATCH(Table5[[#This Row],[PID]],Batters[[#All],[PID]],0)),INDEX(Table3[[#All],[WE]],MATCH(Table5[[#This Row],[PID]],Table3[[#All],[PID]],0)))</f>
        <v>Low</v>
      </c>
      <c r="K777" s="52" t="str">
        <f>IF($C777="B",INDEX(Batters[[#All],[INT]],MATCH(Table5[[#This Row],[PID]],Batters[[#All],[PID]],0)),INDEX(Table3[[#All],[INT]],MATCH(Table5[[#This Row],[PID]],Table3[[#All],[PID]],0)))</f>
        <v>Low</v>
      </c>
      <c r="L777" s="60">
        <f>IF($C777="B",INDEX(Batters[[#All],[CON P]],MATCH(Table5[[#This Row],[PID]],Batters[[#All],[PID]],0)),INDEX(Table3[[#All],[STU P]],MATCH(Table5[[#This Row],[PID]],Table3[[#All],[PID]],0)))</f>
        <v>3</v>
      </c>
      <c r="M777" s="56">
        <f>IF($C777="B",INDEX(Batters[[#All],[GAP P]],MATCH(Table5[[#This Row],[PID]],Batters[[#All],[PID]],0)),INDEX(Table3[[#All],[MOV P]],MATCH(Table5[[#This Row],[PID]],Table3[[#All],[PID]],0)))</f>
        <v>1</v>
      </c>
      <c r="N777" s="56">
        <f>IF($C777="B",INDEX(Batters[[#All],[POW P]],MATCH(Table5[[#This Row],[PID]],Batters[[#All],[PID]],0)),INDEX(Table3[[#All],[CON P]],MATCH(Table5[[#This Row],[PID]],Table3[[#All],[PID]],0)))</f>
        <v>4</v>
      </c>
      <c r="O777" s="56" t="str">
        <f>IF($C777="B",INDEX(Batters[[#All],[EYE P]],MATCH(Table5[[#This Row],[PID]],Batters[[#All],[PID]],0)),INDEX(Table3[[#All],[VELO]],MATCH(Table5[[#This Row],[PID]],Table3[[#All],[PID]],0)))</f>
        <v>87-89 Mph</v>
      </c>
      <c r="P777" s="56">
        <f>IF($C777="B",INDEX(Batters[[#All],[K P]],MATCH(Table5[[#This Row],[PID]],Batters[[#All],[PID]],0)),INDEX(Table3[[#All],[STM]],MATCH(Table5[[#This Row],[PID]],Table3[[#All],[PID]],0)))</f>
        <v>8</v>
      </c>
      <c r="Q777" s="61">
        <f>IF($C777="B",INDEX(Batters[[#All],[Tot]],MATCH(Table5[[#This Row],[PID]],Batters[[#All],[PID]],0)),INDEX(Table3[[#All],[Tot]],MATCH(Table5[[#This Row],[PID]],Table3[[#All],[PID]],0)))</f>
        <v>24.605738616311349</v>
      </c>
      <c r="R777" s="52">
        <f>IF($C777="B",INDEX(Batters[[#All],[zScore]],MATCH(Table5[[#This Row],[PID]],Batters[[#All],[PID]],0)),INDEX(Table3[[#All],[zScore]],MATCH(Table5[[#This Row],[PID]],Table3[[#All],[PID]],0)))</f>
        <v>-0.93264182667186069</v>
      </c>
      <c r="S777" s="58" t="str">
        <f>IF($C777="B",INDEX(Batters[[#All],[DEM]],MATCH(Table5[[#This Row],[PID]],Batters[[#All],[PID]],0)),INDEX(Table3[[#All],[DEM]],MATCH(Table5[[#This Row],[PID]],Table3[[#All],[PID]],0)))</f>
        <v>-</v>
      </c>
      <c r="T777" s="62">
        <f>IF($C777="B",INDEX(Batters[[#All],[Rnk]],MATCH(Table5[[#This Row],[PID]],Batters[[#All],[PID]],0)),INDEX(Table3[[#All],[Rnk]],MATCH(Table5[[#This Row],[PID]],Table3[[#All],[PID]],0)))</f>
        <v>950</v>
      </c>
      <c r="U777" s="67">
        <f>IF($C777="B",VLOOKUP($A777,Bat!$A$4:$BA$1314,47,FALSE),VLOOKUP($A777,Pit!$A$4:$BF$1214,56,FALSE))</f>
        <v>422</v>
      </c>
      <c r="V777" s="50">
        <f>IF($C777="B",VLOOKUP($A777,Bat!$A$4:$BA$1314,48,FALSE),VLOOKUP($A777,Pit!$A$4:$BF$1214,57,FALSE))</f>
        <v>0</v>
      </c>
      <c r="W777" s="68">
        <f>IF(Table5[[#This Row],[posRnk]]=999,9999,Table5[[#This Row],[posRnk]]+Table5[[#This Row],[zRnk]]+IF($W$3&lt;&gt;Table5[[#This Row],[Type]],50,0))</f>
        <v>1705</v>
      </c>
      <c r="X777" s="51">
        <f>RANK(Table5[[#This Row],[zScore]],Table5[[#All],[zScore]])</f>
        <v>755</v>
      </c>
      <c r="Y777" s="50" t="str">
        <f>IFERROR(INDEX(DraftResults[[#All],[OVR]],MATCH(Table5[[#This Row],[PID]],DraftResults[[#All],[Player ID]],0)),"")</f>
        <v/>
      </c>
      <c r="Z777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/>
      </c>
      <c r="AA777" s="50" t="str">
        <f>IFERROR(INDEX(DraftResults[[#All],[Pick in Round]],MATCH(Table5[[#This Row],[PID]],DraftResults[[#All],[Player ID]],0)),"")</f>
        <v/>
      </c>
      <c r="AB777" s="50" t="str">
        <f>IFERROR(INDEX(DraftResults[[#All],[Team Name]],MATCH(Table5[[#This Row],[PID]],DraftResults[[#All],[Player ID]],0)),"")</f>
        <v/>
      </c>
      <c r="AC777" s="50" t="str">
        <f>IF(Table5[[#This Row],[Ovr]]="","",IF(Table5[[#This Row],[cmbList]]="","",Table5[[#This Row],[cmbList]]-Table5[[#This Row],[Ovr]]))</f>
        <v/>
      </c>
      <c r="AD777" s="54" t="str">
        <f>IF(ISERROR(VLOOKUP($AB777&amp;"-"&amp;$E777&amp;" "&amp;F777,Bonuses!$B$1:$G$1006,4,FALSE)),"",INT(VLOOKUP($AB777&amp;"-"&amp;$E777&amp;" "&amp;$F777,Bonuses!$B$1:$G$1006,4,FALSE)))</f>
        <v/>
      </c>
      <c r="AE777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/>
      </c>
    </row>
    <row r="778" spans="1:31" s="50" customFormat="1" x14ac:dyDescent="0.3">
      <c r="A778" s="50">
        <v>10964</v>
      </c>
      <c r="B778" s="50">
        <f>COUNTIF(Table5[PID],A778)</f>
        <v>1</v>
      </c>
      <c r="C778" s="50" t="str">
        <f>IF(COUNTIF(Table3[[#All],[PID]],A778)&gt;0,"P","B")</f>
        <v>P</v>
      </c>
      <c r="D778" s="59" t="str">
        <f>IF($C778="B",INDEX(Batters[[#All],[POS]],MATCH(Table5[[#This Row],[PID]],Batters[[#All],[PID]],0)),INDEX(Table3[[#All],[POS]],MATCH(Table5[[#This Row],[PID]],Table3[[#All],[PID]],0)))</f>
        <v>RP</v>
      </c>
      <c r="E778" s="52" t="str">
        <f>IF($C778="B",INDEX(Batters[[#All],[First]],MATCH(Table5[[#This Row],[PID]],Batters[[#All],[PID]],0)),INDEX(Table3[[#All],[First]],MATCH(Table5[[#This Row],[PID]],Table3[[#All],[PID]],0)))</f>
        <v>Servaas</v>
      </c>
      <c r="F778" s="50" t="str">
        <f>IF($C778="B",INDEX(Batters[[#All],[Last]],MATCH(A778,Batters[[#All],[PID]],0)),INDEX(Table3[[#All],[Last]],MATCH(A778,Table3[[#All],[PID]],0)))</f>
        <v>Wulms</v>
      </c>
      <c r="G778" s="56">
        <f>IF($C778="B",INDEX(Batters[[#All],[Age]],MATCH(Table5[[#This Row],[PID]],Batters[[#All],[PID]],0)),INDEX(Table3[[#All],[Age]],MATCH(Table5[[#This Row],[PID]],Table3[[#All],[PID]],0)))</f>
        <v>21</v>
      </c>
      <c r="H778" s="52" t="str">
        <f>IF($C778="B",INDEX(Batters[[#All],[B]],MATCH(Table5[[#This Row],[PID]],Batters[[#All],[PID]],0)),INDEX(Table3[[#All],[B]],MATCH(Table5[[#This Row],[PID]],Table3[[#All],[PID]],0)))</f>
        <v>R</v>
      </c>
      <c r="I778" s="52" t="str">
        <f>IF($C778="B",INDEX(Batters[[#All],[T]],MATCH(Table5[[#This Row],[PID]],Batters[[#All],[PID]],0)),INDEX(Table3[[#All],[T]],MATCH(Table5[[#This Row],[PID]],Table3[[#All],[PID]],0)))</f>
        <v>R</v>
      </c>
      <c r="J778" s="52" t="str">
        <f>IF($C778="B",INDEX(Batters[[#All],[WE]],MATCH(Table5[[#This Row],[PID]],Batters[[#All],[PID]],0)),INDEX(Table3[[#All],[WE]],MATCH(Table5[[#This Row],[PID]],Table3[[#All],[PID]],0)))</f>
        <v>Normal</v>
      </c>
      <c r="K778" s="52" t="str">
        <f>IF($C778="B",INDEX(Batters[[#All],[INT]],MATCH(Table5[[#This Row],[PID]],Batters[[#All],[PID]],0)),INDEX(Table3[[#All],[INT]],MATCH(Table5[[#This Row],[PID]],Table3[[#All],[PID]],0)))</f>
        <v>Normal</v>
      </c>
      <c r="L778" s="60">
        <f>IF($C778="B",INDEX(Batters[[#All],[CON P]],MATCH(Table5[[#This Row],[PID]],Batters[[#All],[PID]],0)),INDEX(Table3[[#All],[STU P]],MATCH(Table5[[#This Row],[PID]],Table3[[#All],[PID]],0)))</f>
        <v>3</v>
      </c>
      <c r="M778" s="56">
        <f>IF($C778="B",INDEX(Batters[[#All],[GAP P]],MATCH(Table5[[#This Row],[PID]],Batters[[#All],[PID]],0)),INDEX(Table3[[#All],[MOV P]],MATCH(Table5[[#This Row],[PID]],Table3[[#All],[PID]],0)))</f>
        <v>1</v>
      </c>
      <c r="N778" s="56">
        <f>IF($C778="B",INDEX(Batters[[#All],[POW P]],MATCH(Table5[[#This Row],[PID]],Batters[[#All],[PID]],0)),INDEX(Table3[[#All],[CON P]],MATCH(Table5[[#This Row],[PID]],Table3[[#All],[PID]],0)))</f>
        <v>3</v>
      </c>
      <c r="O778" s="56" t="str">
        <f>IF($C778="B",INDEX(Batters[[#All],[EYE P]],MATCH(Table5[[#This Row],[PID]],Batters[[#All],[PID]],0)),INDEX(Table3[[#All],[VELO]],MATCH(Table5[[#This Row],[PID]],Table3[[#All],[PID]],0)))</f>
        <v>88-90 Mph</v>
      </c>
      <c r="P778" s="56">
        <f>IF($C778="B",INDEX(Batters[[#All],[K P]],MATCH(Table5[[#This Row],[PID]],Batters[[#All],[PID]],0)),INDEX(Table3[[#All],[STM]],MATCH(Table5[[#This Row],[PID]],Table3[[#All],[PID]],0)))</f>
        <v>6</v>
      </c>
      <c r="Q778" s="61">
        <f>IF($C778="B",INDEX(Batters[[#All],[Tot]],MATCH(Table5[[#This Row],[PID]],Batters[[#All],[PID]],0)),INDEX(Table3[[#All],[Tot]],MATCH(Table5[[#This Row],[PID]],Table3[[#All],[PID]],0)))</f>
        <v>21.410096623228966</v>
      </c>
      <c r="R778" s="52">
        <f>IF($C778="B",INDEX(Batters[[#All],[zScore]],MATCH(Table5[[#This Row],[PID]],Batters[[#All],[PID]],0)),INDEX(Table3[[#All],[zScore]],MATCH(Table5[[#This Row],[PID]],Table3[[#All],[PID]],0)))</f>
        <v>-1.1599914118660728</v>
      </c>
      <c r="S778" s="58" t="str">
        <f>IF($C778="B",INDEX(Batters[[#All],[DEM]],MATCH(Table5[[#This Row],[PID]],Batters[[#All],[PID]],0)),INDEX(Table3[[#All],[DEM]],MATCH(Table5[[#This Row],[PID]],Table3[[#All],[PID]],0)))</f>
        <v>-</v>
      </c>
      <c r="T778" s="62">
        <f>IF($C778="B",INDEX(Batters[[#All],[Rnk]],MATCH(Table5[[#This Row],[PID]],Batters[[#All],[PID]],0)),INDEX(Table3[[#All],[Rnk]],MATCH(Table5[[#This Row],[PID]],Table3[[#All],[PID]],0)))</f>
        <v>900</v>
      </c>
      <c r="U778" s="67">
        <f>IF($C778="B",VLOOKUP($A778,Bat!$A$4:$BA$1314,47,FALSE),VLOOKUP($A778,Pit!$A$4:$BF$1214,56,FALSE))</f>
        <v>251</v>
      </c>
      <c r="V778" s="50">
        <f>IF($C778="B",VLOOKUP($A778,Bat!$A$4:$BA$1314,48,FALSE),VLOOKUP($A778,Pit!$A$4:$BF$1214,57,FALSE))</f>
        <v>0</v>
      </c>
      <c r="W778" s="68">
        <f>IF(Table5[[#This Row],[posRnk]]=999,9999,Table5[[#This Row],[posRnk]]+Table5[[#This Row],[zRnk]]+IF($W$3&lt;&gt;Table5[[#This Row],[Type]],50,0))</f>
        <v>1710</v>
      </c>
      <c r="X778" s="51">
        <f>RANK(Table5[[#This Row],[zScore]],Table5[[#All],[zScore]])</f>
        <v>810</v>
      </c>
      <c r="Y778" s="50">
        <f>IFERROR(INDEX(DraftResults[[#All],[OVR]],MATCH(Table5[[#This Row],[PID]],DraftResults[[#All],[Player ID]],0)),"")</f>
        <v>635</v>
      </c>
      <c r="Z778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19</v>
      </c>
      <c r="AA778" s="50">
        <f>IFERROR(INDEX(DraftResults[[#All],[Pick in Round]],MATCH(Table5[[#This Row],[PID]],DraftResults[[#All],[Player ID]],0)),"")</f>
        <v>32</v>
      </c>
      <c r="AB778" s="50" t="str">
        <f>IFERROR(INDEX(DraftResults[[#All],[Team Name]],MATCH(Table5[[#This Row],[PID]],DraftResults[[#All],[Player ID]],0)),"")</f>
        <v>Florida Farstriders</v>
      </c>
      <c r="AC778" s="50">
        <f>IF(Table5[[#This Row],[Ovr]]="","",IF(Table5[[#This Row],[cmbList]]="","",Table5[[#This Row],[cmbList]]-Table5[[#This Row],[Ovr]]))</f>
        <v>1075</v>
      </c>
      <c r="AD778" s="54" t="str">
        <f>IF(ISERROR(VLOOKUP($AB778&amp;"-"&amp;$E778&amp;" "&amp;F778,Bonuses!$B$1:$G$1006,4,FALSE)),"",INT(VLOOKUP($AB778&amp;"-"&amp;$E778&amp;" "&amp;$F778,Bonuses!$B$1:$G$1006,4,FALSE)))</f>
        <v/>
      </c>
      <c r="AE778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19.32 (635) - RP Servaas Wulms</v>
      </c>
    </row>
    <row r="779" spans="1:31" s="50" customFormat="1" x14ac:dyDescent="0.3">
      <c r="A779" s="50">
        <v>8237</v>
      </c>
      <c r="B779" s="50">
        <f>COUNTIF(Table5[PID],A779)</f>
        <v>1</v>
      </c>
      <c r="C779" s="50" t="str">
        <f>IF(COUNTIF(Table3[[#All],[PID]],A779)&gt;0,"P","B")</f>
        <v>P</v>
      </c>
      <c r="D779" s="59" t="str">
        <f>IF($C779="B",INDEX(Batters[[#All],[POS]],MATCH(Table5[[#This Row],[PID]],Batters[[#All],[PID]],0)),INDEX(Table3[[#All],[POS]],MATCH(Table5[[#This Row],[PID]],Table3[[#All],[PID]],0)))</f>
        <v>RP</v>
      </c>
      <c r="E779" s="52" t="str">
        <f>IF($C779="B",INDEX(Batters[[#All],[First]],MATCH(Table5[[#This Row],[PID]],Batters[[#All],[PID]],0)),INDEX(Table3[[#All],[First]],MATCH(Table5[[#This Row],[PID]],Table3[[#All],[PID]],0)))</f>
        <v>Tim</v>
      </c>
      <c r="F779" s="50" t="str">
        <f>IF($C779="B",INDEX(Batters[[#All],[Last]],MATCH(A779,Batters[[#All],[PID]],0)),INDEX(Table3[[#All],[Last]],MATCH(A779,Table3[[#All],[PID]],0)))</f>
        <v>Harrison</v>
      </c>
      <c r="G779" s="56">
        <f>IF($C779="B",INDEX(Batters[[#All],[Age]],MATCH(Table5[[#This Row],[PID]],Batters[[#All],[PID]],0)),INDEX(Table3[[#All],[Age]],MATCH(Table5[[#This Row],[PID]],Table3[[#All],[PID]],0)))</f>
        <v>21</v>
      </c>
      <c r="H779" s="52" t="str">
        <f>IF($C779="B",INDEX(Batters[[#All],[B]],MATCH(Table5[[#This Row],[PID]],Batters[[#All],[PID]],0)),INDEX(Table3[[#All],[B]],MATCH(Table5[[#This Row],[PID]],Table3[[#All],[PID]],0)))</f>
        <v>R</v>
      </c>
      <c r="I779" s="52" t="str">
        <f>IF($C779="B",INDEX(Batters[[#All],[T]],MATCH(Table5[[#This Row],[PID]],Batters[[#All],[PID]],0)),INDEX(Table3[[#All],[T]],MATCH(Table5[[#This Row],[PID]],Table3[[#All],[PID]],0)))</f>
        <v>R</v>
      </c>
      <c r="J779" s="52" t="str">
        <f>IF($C779="B",INDEX(Batters[[#All],[WE]],MATCH(Table5[[#This Row],[PID]],Batters[[#All],[PID]],0)),INDEX(Table3[[#All],[WE]],MATCH(Table5[[#This Row],[PID]],Table3[[#All],[PID]],0)))</f>
        <v>Normal</v>
      </c>
      <c r="K779" s="52" t="str">
        <f>IF($C779="B",INDEX(Batters[[#All],[INT]],MATCH(Table5[[#This Row],[PID]],Batters[[#All],[PID]],0)),INDEX(Table3[[#All],[INT]],MATCH(Table5[[#This Row],[PID]],Table3[[#All],[PID]],0)))</f>
        <v>Normal</v>
      </c>
      <c r="L779" s="60">
        <f>IF($C779="B",INDEX(Batters[[#All],[CON P]],MATCH(Table5[[#This Row],[PID]],Batters[[#All],[PID]],0)),INDEX(Table3[[#All],[STU P]],MATCH(Table5[[#This Row],[PID]],Table3[[#All],[PID]],0)))</f>
        <v>3</v>
      </c>
      <c r="M779" s="56">
        <f>IF($C779="B",INDEX(Batters[[#All],[GAP P]],MATCH(Table5[[#This Row],[PID]],Batters[[#All],[PID]],0)),INDEX(Table3[[#All],[MOV P]],MATCH(Table5[[#This Row],[PID]],Table3[[#All],[PID]],0)))</f>
        <v>2</v>
      </c>
      <c r="N779" s="56">
        <f>IF($C779="B",INDEX(Batters[[#All],[POW P]],MATCH(Table5[[#This Row],[PID]],Batters[[#All],[PID]],0)),INDEX(Table3[[#All],[CON P]],MATCH(Table5[[#This Row],[PID]],Table3[[#All],[PID]],0)))</f>
        <v>2</v>
      </c>
      <c r="O779" s="56" t="str">
        <f>IF($C779="B",INDEX(Batters[[#All],[EYE P]],MATCH(Table5[[#This Row],[PID]],Batters[[#All],[PID]],0)),INDEX(Table3[[#All],[VELO]],MATCH(Table5[[#This Row],[PID]],Table3[[#All],[PID]],0)))</f>
        <v>85-87 Mph</v>
      </c>
      <c r="P779" s="56">
        <f>IF($C779="B",INDEX(Batters[[#All],[K P]],MATCH(Table5[[#This Row],[PID]],Batters[[#All],[PID]],0)),INDEX(Table3[[#All],[STM]],MATCH(Table5[[#This Row],[PID]],Table3[[#All],[PID]],0)))</f>
        <v>6</v>
      </c>
      <c r="Q779" s="61">
        <f>IF($C779="B",INDEX(Batters[[#All],[Tot]],MATCH(Table5[[#This Row],[PID]],Batters[[#All],[PID]],0)),INDEX(Table3[[#All],[Tot]],MATCH(Table5[[#This Row],[PID]],Table3[[#All],[PID]],0)))</f>
        <v>21.455598125523725</v>
      </c>
      <c r="R779" s="52">
        <f>IF($C779="B",INDEX(Batters[[#All],[zScore]],MATCH(Table5[[#This Row],[PID]],Batters[[#All],[PID]],0)),INDEX(Table3[[#All],[zScore]],MATCH(Table5[[#This Row],[PID]],Table3[[#All],[PID]],0)))</f>
        <v>-1.1640202601561482</v>
      </c>
      <c r="S779" s="58" t="str">
        <f>IF($C779="B",INDEX(Batters[[#All],[DEM]],MATCH(Table5[[#This Row],[PID]],Batters[[#All],[PID]],0)),INDEX(Table3[[#All],[DEM]],MATCH(Table5[[#This Row],[PID]],Table3[[#All],[PID]],0)))</f>
        <v>-</v>
      </c>
      <c r="T779" s="62">
        <f>IF($C779="B",INDEX(Batters[[#All],[Rnk]],MATCH(Table5[[#This Row],[PID]],Batters[[#All],[PID]],0)),INDEX(Table3[[#All],[Rnk]],MATCH(Table5[[#This Row],[PID]],Table3[[#All],[PID]],0)))</f>
        <v>900</v>
      </c>
      <c r="U779" s="67">
        <f>IF($C779="B",VLOOKUP($A779,Bat!$A$4:$BA$1314,47,FALSE),VLOOKUP($A779,Pit!$A$4:$BF$1214,56,FALSE))</f>
        <v>252</v>
      </c>
      <c r="V779" s="50">
        <f>IF($C779="B",VLOOKUP($A779,Bat!$A$4:$BA$1314,48,FALSE),VLOOKUP($A779,Pit!$A$4:$BF$1214,57,FALSE))</f>
        <v>0</v>
      </c>
      <c r="W779" s="68">
        <f>IF(Table5[[#This Row],[posRnk]]=999,9999,Table5[[#This Row],[posRnk]]+Table5[[#This Row],[zRnk]]+IF($W$3&lt;&gt;Table5[[#This Row],[Type]],50,0))</f>
        <v>1711</v>
      </c>
      <c r="X779" s="51">
        <f>RANK(Table5[[#This Row],[zScore]],Table5[[#All],[zScore]])</f>
        <v>811</v>
      </c>
      <c r="Y779" s="50" t="str">
        <f>IFERROR(INDEX(DraftResults[[#All],[OVR]],MATCH(Table5[[#This Row],[PID]],DraftResults[[#All],[Player ID]],0)),"")</f>
        <v/>
      </c>
      <c r="Z779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/>
      </c>
      <c r="AA779" s="50" t="str">
        <f>IFERROR(INDEX(DraftResults[[#All],[Pick in Round]],MATCH(Table5[[#This Row],[PID]],DraftResults[[#All],[Player ID]],0)),"")</f>
        <v/>
      </c>
      <c r="AB779" s="50" t="str">
        <f>IFERROR(INDEX(DraftResults[[#All],[Team Name]],MATCH(Table5[[#This Row],[PID]],DraftResults[[#All],[Player ID]],0)),"")</f>
        <v/>
      </c>
      <c r="AC779" s="50" t="str">
        <f>IF(Table5[[#This Row],[Ovr]]="","",IF(Table5[[#This Row],[cmbList]]="","",Table5[[#This Row],[cmbList]]-Table5[[#This Row],[Ovr]]))</f>
        <v/>
      </c>
      <c r="AD779" s="54" t="str">
        <f>IF(ISERROR(VLOOKUP($AB779&amp;"-"&amp;$E779&amp;" "&amp;F779,Bonuses!$B$1:$G$1006,4,FALSE)),"",INT(VLOOKUP($AB779&amp;"-"&amp;$E779&amp;" "&amp;$F779,Bonuses!$B$1:$G$1006,4,FALSE)))</f>
        <v/>
      </c>
      <c r="AE779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/>
      </c>
    </row>
    <row r="780" spans="1:31" s="50" customFormat="1" x14ac:dyDescent="0.3">
      <c r="A780" s="50">
        <v>8456</v>
      </c>
      <c r="B780" s="50">
        <f>COUNTIF(Table5[PID],A780)</f>
        <v>1</v>
      </c>
      <c r="C780" s="50" t="str">
        <f>IF(COUNTIF(Table3[[#All],[PID]],A780)&gt;0,"P","B")</f>
        <v>P</v>
      </c>
      <c r="D780" s="59" t="str">
        <f>IF($C780="B",INDEX(Batters[[#All],[POS]],MATCH(Table5[[#This Row],[PID]],Batters[[#All],[PID]],0)),INDEX(Table3[[#All],[POS]],MATCH(Table5[[#This Row],[PID]],Table3[[#All],[PID]],0)))</f>
        <v>RP</v>
      </c>
      <c r="E780" s="52" t="str">
        <f>IF($C780="B",INDEX(Batters[[#All],[First]],MATCH(Table5[[#This Row],[PID]],Batters[[#All],[PID]],0)),INDEX(Table3[[#All],[First]],MATCH(Table5[[#This Row],[PID]],Table3[[#All],[PID]],0)))</f>
        <v>Mike</v>
      </c>
      <c r="F780" s="50" t="str">
        <f>IF($C780="B",INDEX(Batters[[#All],[Last]],MATCH(A780,Batters[[#All],[PID]],0)),INDEX(Table3[[#All],[Last]],MATCH(A780,Table3[[#All],[PID]],0)))</f>
        <v>Wooten</v>
      </c>
      <c r="G780" s="56">
        <f>IF($C780="B",INDEX(Batters[[#All],[Age]],MATCH(Table5[[#This Row],[PID]],Batters[[#All],[PID]],0)),INDEX(Table3[[#All],[Age]],MATCH(Table5[[#This Row],[PID]],Table3[[#All],[PID]],0)))</f>
        <v>21</v>
      </c>
      <c r="H780" s="52" t="str">
        <f>IF($C780="B",INDEX(Batters[[#All],[B]],MATCH(Table5[[#This Row],[PID]],Batters[[#All],[PID]],0)),INDEX(Table3[[#All],[B]],MATCH(Table5[[#This Row],[PID]],Table3[[#All],[PID]],0)))</f>
        <v>R</v>
      </c>
      <c r="I780" s="52" t="str">
        <f>IF($C780="B",INDEX(Batters[[#All],[T]],MATCH(Table5[[#This Row],[PID]],Batters[[#All],[PID]],0)),INDEX(Table3[[#All],[T]],MATCH(Table5[[#This Row],[PID]],Table3[[#All],[PID]],0)))</f>
        <v>R</v>
      </c>
      <c r="J780" s="52" t="str">
        <f>IF($C780="B",INDEX(Batters[[#All],[WE]],MATCH(Table5[[#This Row],[PID]],Batters[[#All],[PID]],0)),INDEX(Table3[[#All],[WE]],MATCH(Table5[[#This Row],[PID]],Table3[[#All],[PID]],0)))</f>
        <v>Low</v>
      </c>
      <c r="K780" s="52" t="str">
        <f>IF($C780="B",INDEX(Batters[[#All],[INT]],MATCH(Table5[[#This Row],[PID]],Batters[[#All],[PID]],0)),INDEX(Table3[[#All],[INT]],MATCH(Table5[[#This Row],[PID]],Table3[[#All],[PID]],0)))</f>
        <v>Normal</v>
      </c>
      <c r="L780" s="60">
        <f>IF($C780="B",INDEX(Batters[[#All],[CON P]],MATCH(Table5[[#This Row],[PID]],Batters[[#All],[PID]],0)),INDEX(Table3[[#All],[STU P]],MATCH(Table5[[#This Row],[PID]],Table3[[#All],[PID]],0)))</f>
        <v>5</v>
      </c>
      <c r="M780" s="56">
        <f>IF($C780="B",INDEX(Batters[[#All],[GAP P]],MATCH(Table5[[#This Row],[PID]],Batters[[#All],[PID]],0)),INDEX(Table3[[#All],[MOV P]],MATCH(Table5[[#This Row],[PID]],Table3[[#All],[PID]],0)))</f>
        <v>1</v>
      </c>
      <c r="N780" s="56">
        <f>IF($C780="B",INDEX(Batters[[#All],[POW P]],MATCH(Table5[[#This Row],[PID]],Batters[[#All],[PID]],0)),INDEX(Table3[[#All],[CON P]],MATCH(Table5[[#This Row],[PID]],Table3[[#All],[PID]],0)))</f>
        <v>2</v>
      </c>
      <c r="O780" s="56" t="str">
        <f>IF($C780="B",INDEX(Batters[[#All],[EYE P]],MATCH(Table5[[#This Row],[PID]],Batters[[#All],[PID]],0)),INDEX(Table3[[#All],[VELO]],MATCH(Table5[[#This Row],[PID]],Table3[[#All],[PID]],0)))</f>
        <v>89-91 Mph</v>
      </c>
      <c r="P780" s="56">
        <f>IF($C780="B",INDEX(Batters[[#All],[K P]],MATCH(Table5[[#This Row],[PID]],Batters[[#All],[PID]],0)),INDEX(Table3[[#All],[STM]],MATCH(Table5[[#This Row],[PID]],Table3[[#All],[PID]],0)))</f>
        <v>8</v>
      </c>
      <c r="Q780" s="61">
        <f>IF($C780="B",INDEX(Batters[[#All],[Tot]],MATCH(Table5[[#This Row],[PID]],Batters[[#All],[PID]],0)),INDEX(Table3[[#All],[Tot]],MATCH(Table5[[#This Row],[PID]],Table3[[#All],[PID]],0)))</f>
        <v>23.389507219415712</v>
      </c>
      <c r="R780" s="52">
        <f>IF($C780="B",INDEX(Batters[[#All],[zScore]],MATCH(Table5[[#This Row],[PID]],Batters[[#All],[PID]],0)),INDEX(Table3[[#All],[zScore]],MATCH(Table5[[#This Row],[PID]],Table3[[#All],[PID]],0)))</f>
        <v>-1.0191689483528756</v>
      </c>
      <c r="S780" s="58" t="str">
        <f>IF($C780="B",INDEX(Batters[[#All],[DEM]],MATCH(Table5[[#This Row],[PID]],Batters[[#All],[PID]],0)),INDEX(Table3[[#All],[DEM]],MATCH(Table5[[#This Row],[PID]],Table3[[#All],[PID]],0)))</f>
        <v>-</v>
      </c>
      <c r="T780" s="62">
        <f>IF($C780="B",INDEX(Batters[[#All],[Rnk]],MATCH(Table5[[#This Row],[PID]],Batters[[#All],[PID]],0)),INDEX(Table3[[#All],[Rnk]],MATCH(Table5[[#This Row],[PID]],Table3[[#All],[PID]],0)))</f>
        <v>930</v>
      </c>
      <c r="U780" s="67">
        <f>IF($C780="B",VLOOKUP($A780,Bat!$A$4:$BA$1314,47,FALSE),VLOOKUP($A780,Pit!$A$4:$BF$1214,56,FALSE))</f>
        <v>366</v>
      </c>
      <c r="V780" s="50">
        <f>IF($C780="B",VLOOKUP($A780,Bat!$A$4:$BA$1314,48,FALSE),VLOOKUP($A780,Pit!$A$4:$BF$1214,57,FALSE))</f>
        <v>0</v>
      </c>
      <c r="W780" s="68">
        <f>IF(Table5[[#This Row],[posRnk]]=999,9999,Table5[[#This Row],[posRnk]]+Table5[[#This Row],[zRnk]]+IF($W$3&lt;&gt;Table5[[#This Row],[Type]],50,0))</f>
        <v>1711</v>
      </c>
      <c r="X780" s="51">
        <f>RANK(Table5[[#This Row],[zScore]],Table5[[#All],[zScore]])</f>
        <v>781</v>
      </c>
      <c r="Y780" s="50">
        <f>IFERROR(INDEX(DraftResults[[#All],[OVR]],MATCH(Table5[[#This Row],[PID]],DraftResults[[#All],[Player ID]],0)),"")</f>
        <v>637</v>
      </c>
      <c r="Z780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19</v>
      </c>
      <c r="AA780" s="50">
        <f>IFERROR(INDEX(DraftResults[[#All],[Pick in Round]],MATCH(Table5[[#This Row],[PID]],DraftResults[[#All],[Player ID]],0)),"")</f>
        <v>34</v>
      </c>
      <c r="AB780" s="50" t="str">
        <f>IFERROR(INDEX(DraftResults[[#All],[Team Name]],MATCH(Table5[[#This Row],[PID]],DraftResults[[#All],[Player ID]],0)),"")</f>
        <v>New Jersey Hitmen</v>
      </c>
      <c r="AC780" s="50">
        <f>IF(Table5[[#This Row],[Ovr]]="","",IF(Table5[[#This Row],[cmbList]]="","",Table5[[#This Row],[cmbList]]-Table5[[#This Row],[Ovr]]))</f>
        <v>1074</v>
      </c>
      <c r="AD780" s="54" t="str">
        <f>IF(ISERROR(VLOOKUP($AB780&amp;"-"&amp;$E780&amp;" "&amp;F780,Bonuses!$B$1:$G$1006,4,FALSE)),"",INT(VLOOKUP($AB780&amp;"-"&amp;$E780&amp;" "&amp;$F780,Bonuses!$B$1:$G$1006,4,FALSE)))</f>
        <v/>
      </c>
      <c r="AE780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19.34 (637) - RP Mike Wooten</v>
      </c>
    </row>
    <row r="781" spans="1:31" s="50" customFormat="1" x14ac:dyDescent="0.3">
      <c r="A781" s="50">
        <v>20634</v>
      </c>
      <c r="B781" s="55">
        <f>COUNTIF(Table5[PID],A781)</f>
        <v>1</v>
      </c>
      <c r="C781" s="55" t="str">
        <f>IF(COUNTIF(Table3[[#All],[PID]],A781)&gt;0,"P","B")</f>
        <v>P</v>
      </c>
      <c r="D781" s="59" t="str">
        <f>IF($C781="B",INDEX(Batters[[#All],[POS]],MATCH(Table5[[#This Row],[PID]],Batters[[#All],[PID]],0)),INDEX(Table3[[#All],[POS]],MATCH(Table5[[#This Row],[PID]],Table3[[#All],[PID]],0)))</f>
        <v>RP</v>
      </c>
      <c r="E781" s="52" t="str">
        <f>IF($C781="B",INDEX(Batters[[#All],[First]],MATCH(Table5[[#This Row],[PID]],Batters[[#All],[PID]],0)),INDEX(Table3[[#All],[First]],MATCH(Table5[[#This Row],[PID]],Table3[[#All],[PID]],0)))</f>
        <v>Myung-bak</v>
      </c>
      <c r="F781" s="50" t="str">
        <f>IF($C781="B",INDEX(Batters[[#All],[Last]],MATCH(A781,Batters[[#All],[PID]],0)),INDEX(Table3[[#All],[Last]],MATCH(A781,Table3[[#All],[PID]],0)))</f>
        <v>Ch'oe</v>
      </c>
      <c r="G781" s="56">
        <f>IF($C781="B",INDEX(Batters[[#All],[Age]],MATCH(Table5[[#This Row],[PID]],Batters[[#All],[PID]],0)),INDEX(Table3[[#All],[Age]],MATCH(Table5[[#This Row],[PID]],Table3[[#All],[PID]],0)))</f>
        <v>17</v>
      </c>
      <c r="H781" s="52" t="str">
        <f>IF($C781="B",INDEX(Batters[[#All],[B]],MATCH(Table5[[#This Row],[PID]],Batters[[#All],[PID]],0)),INDEX(Table3[[#All],[B]],MATCH(Table5[[#This Row],[PID]],Table3[[#All],[PID]],0)))</f>
        <v>R</v>
      </c>
      <c r="I781" s="52" t="str">
        <f>IF($C781="B",INDEX(Batters[[#All],[T]],MATCH(Table5[[#This Row],[PID]],Batters[[#All],[PID]],0)),INDEX(Table3[[#All],[T]],MATCH(Table5[[#This Row],[PID]],Table3[[#All],[PID]],0)))</f>
        <v>R</v>
      </c>
      <c r="J781" s="52" t="str">
        <f>IF($C781="B",INDEX(Batters[[#All],[WE]],MATCH(Table5[[#This Row],[PID]],Batters[[#All],[PID]],0)),INDEX(Table3[[#All],[WE]],MATCH(Table5[[#This Row],[PID]],Table3[[#All],[PID]],0)))</f>
        <v>Low</v>
      </c>
      <c r="K781" s="52" t="str">
        <f>IF($C781="B",INDEX(Batters[[#All],[INT]],MATCH(Table5[[#This Row],[PID]],Batters[[#All],[PID]],0)),INDEX(Table3[[#All],[INT]],MATCH(Table5[[#This Row],[PID]],Table3[[#All],[PID]],0)))</f>
        <v>Low</v>
      </c>
      <c r="L781" s="60">
        <f>IF($C781="B",INDEX(Batters[[#All],[CON P]],MATCH(Table5[[#This Row],[PID]],Batters[[#All],[PID]],0)),INDEX(Table3[[#All],[STU P]],MATCH(Table5[[#This Row],[PID]],Table3[[#All],[PID]],0)))</f>
        <v>4</v>
      </c>
      <c r="M781" s="56">
        <f>IF($C781="B",INDEX(Batters[[#All],[GAP P]],MATCH(Table5[[#This Row],[PID]],Batters[[#All],[PID]],0)),INDEX(Table3[[#All],[MOV P]],MATCH(Table5[[#This Row],[PID]],Table3[[#All],[PID]],0)))</f>
        <v>2</v>
      </c>
      <c r="N781" s="56">
        <f>IF($C781="B",INDEX(Batters[[#All],[POW P]],MATCH(Table5[[#This Row],[PID]],Batters[[#All],[PID]],0)),INDEX(Table3[[#All],[CON P]],MATCH(Table5[[#This Row],[PID]],Table3[[#All],[PID]],0)))</f>
        <v>2</v>
      </c>
      <c r="O781" s="56" t="str">
        <f>IF($C781="B",INDEX(Batters[[#All],[EYE P]],MATCH(Table5[[#This Row],[PID]],Batters[[#All],[PID]],0)),INDEX(Table3[[#All],[VELO]],MATCH(Table5[[#This Row],[PID]],Table3[[#All],[PID]],0)))</f>
        <v>84-86 Mph</v>
      </c>
      <c r="P781" s="56">
        <f>IF($C781="B",INDEX(Batters[[#All],[K P]],MATCH(Table5[[#This Row],[PID]],Batters[[#All],[PID]],0)),INDEX(Table3[[#All],[STM]],MATCH(Table5[[#This Row],[PID]],Table3[[#All],[PID]],0)))</f>
        <v>5</v>
      </c>
      <c r="Q781" s="61">
        <f>IF($C781="B",INDEX(Batters[[#All],[Tot]],MATCH(Table5[[#This Row],[PID]],Batters[[#All],[PID]],0)),INDEX(Table3[[#All],[Tot]],MATCH(Table5[[#This Row],[PID]],Table3[[#All],[PID]],0)))</f>
        <v>24.309166402030879</v>
      </c>
      <c r="R781" s="52">
        <f>IF($C781="B",INDEX(Batters[[#All],[zScore]],MATCH(Table5[[#This Row],[PID]],Batters[[#All],[PID]],0)),INDEX(Table3[[#All],[zScore]],MATCH(Table5[[#This Row],[PID]],Table3[[#All],[PID]],0)))</f>
        <v>-0.96082613008562312</v>
      </c>
      <c r="S781" s="58" t="str">
        <f>IF($C781="B",INDEX(Batters[[#All],[DEM]],MATCH(Table5[[#This Row],[PID]],Batters[[#All],[PID]],0)),INDEX(Table3[[#All],[DEM]],MATCH(Table5[[#This Row],[PID]],Table3[[#All],[PID]],0)))</f>
        <v>$75k</v>
      </c>
      <c r="T781" s="62">
        <f>IF($C781="B",INDEX(Batters[[#All],[Rnk]],MATCH(Table5[[#This Row],[PID]],Batters[[#All],[PID]],0)),INDEX(Table3[[#All],[Rnk]],MATCH(Table5[[#This Row],[PID]],Table3[[#All],[PID]],0)))</f>
        <v>950</v>
      </c>
      <c r="U781" s="67">
        <f>IF($C781="B",VLOOKUP($A781,Bat!$A$4:$BA$1314,47,FALSE),VLOOKUP($A781,Pit!$A$4:$BF$1214,56,FALSE))</f>
        <v>423</v>
      </c>
      <c r="V781" s="50">
        <f>IF($C781="B",VLOOKUP($A781,Bat!$A$4:$BA$1314,48,FALSE),VLOOKUP($A781,Pit!$A$4:$BF$1214,57,FALSE))</f>
        <v>0</v>
      </c>
      <c r="W781" s="68">
        <f>IF(Table5[[#This Row],[posRnk]]=999,9999,Table5[[#This Row],[posRnk]]+Table5[[#This Row],[zRnk]]+IF($W$3&lt;&gt;Table5[[#This Row],[Type]],50,0))</f>
        <v>1714</v>
      </c>
      <c r="X781" s="51">
        <f>RANK(Table5[[#This Row],[zScore]],Table5[[#All],[zScore]])</f>
        <v>764</v>
      </c>
      <c r="Y781" s="50" t="str">
        <f>IFERROR(INDEX(DraftResults[[#All],[OVR]],MATCH(Table5[[#This Row],[PID]],DraftResults[[#All],[Player ID]],0)),"")</f>
        <v/>
      </c>
      <c r="Z781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/>
      </c>
      <c r="AA781" s="50" t="str">
        <f>IFERROR(INDEX(DraftResults[[#All],[Pick in Round]],MATCH(Table5[[#This Row],[PID]],DraftResults[[#All],[Player ID]],0)),"")</f>
        <v/>
      </c>
      <c r="AB781" s="50" t="str">
        <f>IFERROR(INDEX(DraftResults[[#All],[Team Name]],MATCH(Table5[[#This Row],[PID]],DraftResults[[#All],[Player ID]],0)),"")</f>
        <v/>
      </c>
      <c r="AC781" s="50" t="str">
        <f>IF(Table5[[#This Row],[Ovr]]="","",IF(Table5[[#This Row],[cmbList]]="","",Table5[[#This Row],[cmbList]]-Table5[[#This Row],[Ovr]]))</f>
        <v/>
      </c>
      <c r="AD781" s="54" t="str">
        <f>IF(ISERROR(VLOOKUP($AB781&amp;"-"&amp;$E781&amp;" "&amp;F781,Bonuses!$B$1:$G$1006,4,FALSE)),"",INT(VLOOKUP($AB781&amp;"-"&amp;$E781&amp;" "&amp;$F781,Bonuses!$B$1:$G$1006,4,FALSE)))</f>
        <v/>
      </c>
      <c r="AE781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/>
      </c>
    </row>
    <row r="782" spans="1:31" s="50" customFormat="1" x14ac:dyDescent="0.3">
      <c r="A782" s="50">
        <v>8832</v>
      </c>
      <c r="B782" s="50">
        <f>COUNTIF(Table5[PID],A782)</f>
        <v>1</v>
      </c>
      <c r="C782" s="50" t="str">
        <f>IF(COUNTIF(Table3[[#All],[PID]],A782)&gt;0,"P","B")</f>
        <v>P</v>
      </c>
      <c r="D782" s="59" t="str">
        <f>IF($C782="B",INDEX(Batters[[#All],[POS]],MATCH(Table5[[#This Row],[PID]],Batters[[#All],[PID]],0)),INDEX(Table3[[#All],[POS]],MATCH(Table5[[#This Row],[PID]],Table3[[#All],[PID]],0)))</f>
        <v>RP</v>
      </c>
      <c r="E782" s="52" t="str">
        <f>IF($C782="B",INDEX(Batters[[#All],[First]],MATCH(Table5[[#This Row],[PID]],Batters[[#All],[PID]],0)),INDEX(Table3[[#All],[First]],MATCH(Table5[[#This Row],[PID]],Table3[[#All],[PID]],0)))</f>
        <v>Nick</v>
      </c>
      <c r="F782" s="50" t="str">
        <f>IF($C782="B",INDEX(Batters[[#All],[Last]],MATCH(A782,Batters[[#All],[PID]],0)),INDEX(Table3[[#All],[Last]],MATCH(A782,Table3[[#All],[PID]],0)))</f>
        <v>Amador</v>
      </c>
      <c r="G782" s="56">
        <f>IF($C782="B",INDEX(Batters[[#All],[Age]],MATCH(Table5[[#This Row],[PID]],Batters[[#All],[PID]],0)),INDEX(Table3[[#All],[Age]],MATCH(Table5[[#This Row],[PID]],Table3[[#All],[PID]],0)))</f>
        <v>21</v>
      </c>
      <c r="H782" s="52" t="str">
        <f>IF($C782="B",INDEX(Batters[[#All],[B]],MATCH(Table5[[#This Row],[PID]],Batters[[#All],[PID]],0)),INDEX(Table3[[#All],[B]],MATCH(Table5[[#This Row],[PID]],Table3[[#All],[PID]],0)))</f>
        <v>R</v>
      </c>
      <c r="I782" s="52" t="str">
        <f>IF($C782="B",INDEX(Batters[[#All],[T]],MATCH(Table5[[#This Row],[PID]],Batters[[#All],[PID]],0)),INDEX(Table3[[#All],[T]],MATCH(Table5[[#This Row],[PID]],Table3[[#All],[PID]],0)))</f>
        <v>R</v>
      </c>
      <c r="J782" s="52" t="str">
        <f>IF($C782="B",INDEX(Batters[[#All],[WE]],MATCH(Table5[[#This Row],[PID]],Batters[[#All],[PID]],0)),INDEX(Table3[[#All],[WE]],MATCH(Table5[[#This Row],[PID]],Table3[[#All],[PID]],0)))</f>
        <v>Normal</v>
      </c>
      <c r="K782" s="52" t="str">
        <f>IF($C782="B",INDEX(Batters[[#All],[INT]],MATCH(Table5[[#This Row],[PID]],Batters[[#All],[PID]],0)),INDEX(Table3[[#All],[INT]],MATCH(Table5[[#This Row],[PID]],Table3[[#All],[PID]],0)))</f>
        <v>Normal</v>
      </c>
      <c r="L782" s="60">
        <f>IF($C782="B",INDEX(Batters[[#All],[CON P]],MATCH(Table5[[#This Row],[PID]],Batters[[#All],[PID]],0)),INDEX(Table3[[#All],[STU P]],MATCH(Table5[[#This Row],[PID]],Table3[[#All],[PID]],0)))</f>
        <v>4</v>
      </c>
      <c r="M782" s="56">
        <f>IF($C782="B",INDEX(Batters[[#All],[GAP P]],MATCH(Table5[[#This Row],[PID]],Batters[[#All],[PID]],0)),INDEX(Table3[[#All],[MOV P]],MATCH(Table5[[#This Row],[PID]],Table3[[#All],[PID]],0)))</f>
        <v>2</v>
      </c>
      <c r="N782" s="56">
        <f>IF($C782="B",INDEX(Batters[[#All],[POW P]],MATCH(Table5[[#This Row],[PID]],Batters[[#All],[PID]],0)),INDEX(Table3[[#All],[CON P]],MATCH(Table5[[#This Row],[PID]],Table3[[#All],[PID]],0)))</f>
        <v>3</v>
      </c>
      <c r="O782" s="56" t="str">
        <f>IF($C782="B",INDEX(Batters[[#All],[EYE P]],MATCH(Table5[[#This Row],[PID]],Batters[[#All],[PID]],0)),INDEX(Table3[[#All],[VELO]],MATCH(Table5[[#This Row],[PID]],Table3[[#All],[PID]],0)))</f>
        <v>87-89 Mph</v>
      </c>
      <c r="P782" s="56">
        <f>IF($C782="B",INDEX(Batters[[#All],[K P]],MATCH(Table5[[#This Row],[PID]],Batters[[#All],[PID]],0)),INDEX(Table3[[#All],[STM]],MATCH(Table5[[#This Row],[PID]],Table3[[#All],[PID]],0)))</f>
        <v>6</v>
      </c>
      <c r="Q782" s="61">
        <f>IF($C782="B",INDEX(Batters[[#All],[Tot]],MATCH(Table5[[#This Row],[PID]],Batters[[#All],[PID]],0)),INDEX(Table3[[#All],[Tot]],MATCH(Table5[[#This Row],[PID]],Table3[[#All],[PID]],0)))</f>
        <v>21.183352595867238</v>
      </c>
      <c r="R782" s="52">
        <f>IF($C782="B",INDEX(Batters[[#All],[zScore]],MATCH(Table5[[#This Row],[PID]],Batters[[#All],[PID]],0)),INDEX(Table3[[#All],[zScore]],MATCH(Table5[[#This Row],[PID]],Table3[[#All],[PID]],0)))</f>
        <v>-1.1834060565359183</v>
      </c>
      <c r="S782" s="58" t="str">
        <f>IF($C782="B",INDEX(Batters[[#All],[DEM]],MATCH(Table5[[#This Row],[PID]],Batters[[#All],[PID]],0)),INDEX(Table3[[#All],[DEM]],MATCH(Table5[[#This Row],[PID]],Table3[[#All],[PID]],0)))</f>
        <v>$20k</v>
      </c>
      <c r="T782" s="62">
        <f>IF($C782="B",INDEX(Batters[[#All],[Rnk]],MATCH(Table5[[#This Row],[PID]],Batters[[#All],[PID]],0)),INDEX(Table3[[#All],[Rnk]],MATCH(Table5[[#This Row],[PID]],Table3[[#All],[PID]],0)))</f>
        <v>900</v>
      </c>
      <c r="U782" s="67">
        <f>IF($C782="B",VLOOKUP($A782,Bat!$A$4:$BA$1314,47,FALSE),VLOOKUP($A782,Pit!$A$4:$BF$1214,56,FALSE))</f>
        <v>253</v>
      </c>
      <c r="V782" s="50">
        <f>IF($C782="B",VLOOKUP($A782,Bat!$A$4:$BA$1314,48,FALSE),VLOOKUP($A782,Pit!$A$4:$BF$1214,57,FALSE))</f>
        <v>0</v>
      </c>
      <c r="W782" s="68">
        <f>IF(Table5[[#This Row],[posRnk]]=999,9999,Table5[[#This Row],[posRnk]]+Table5[[#This Row],[zRnk]]+IF($W$3&lt;&gt;Table5[[#This Row],[Type]],50,0))</f>
        <v>1715</v>
      </c>
      <c r="X782" s="51">
        <f>RANK(Table5[[#This Row],[zScore]],Table5[[#All],[zScore]])</f>
        <v>815</v>
      </c>
      <c r="Y782" s="50">
        <f>IFERROR(INDEX(DraftResults[[#All],[OVR]],MATCH(Table5[[#This Row],[PID]],DraftResults[[#All],[Player ID]],0)),"")</f>
        <v>662</v>
      </c>
      <c r="Z782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20</v>
      </c>
      <c r="AA782" s="50">
        <f>IFERROR(INDEX(DraftResults[[#All],[Pick in Round]],MATCH(Table5[[#This Row],[PID]],DraftResults[[#All],[Player ID]],0)),"")</f>
        <v>25</v>
      </c>
      <c r="AB782" s="50" t="str">
        <f>IFERROR(INDEX(DraftResults[[#All],[Team Name]],MATCH(Table5[[#This Row],[PID]],DraftResults[[#All],[Player ID]],0)),"")</f>
        <v>Kalamazoo Badgers</v>
      </c>
      <c r="AC782" s="50">
        <f>IF(Table5[[#This Row],[Ovr]]="","",IF(Table5[[#This Row],[cmbList]]="","",Table5[[#This Row],[cmbList]]-Table5[[#This Row],[Ovr]]))</f>
        <v>1053</v>
      </c>
      <c r="AD782" s="54" t="str">
        <f>IF(ISERROR(VLOOKUP($AB782&amp;"-"&amp;$E782&amp;" "&amp;F782,Bonuses!$B$1:$G$1006,4,FALSE)),"",INT(VLOOKUP($AB782&amp;"-"&amp;$E782&amp;" "&amp;$F782,Bonuses!$B$1:$G$1006,4,FALSE)))</f>
        <v/>
      </c>
      <c r="AE782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20.25 (662) - RP Nick Amador</v>
      </c>
    </row>
    <row r="783" spans="1:31" s="50" customFormat="1" x14ac:dyDescent="0.3">
      <c r="A783" s="50">
        <v>20578</v>
      </c>
      <c r="B783" s="50">
        <f>COUNTIF(Table5[PID],A783)</f>
        <v>1</v>
      </c>
      <c r="C783" s="50" t="str">
        <f>IF(COUNTIF(Table3[[#All],[PID]],A783)&gt;0,"P","B")</f>
        <v>B</v>
      </c>
      <c r="D783" s="59" t="str">
        <f>IF($C783="B",INDEX(Batters[[#All],[POS]],MATCH(Table5[[#This Row],[PID]],Batters[[#All],[PID]],0)),INDEX(Table3[[#All],[POS]],MATCH(Table5[[#This Row],[PID]],Table3[[#All],[PID]],0)))</f>
        <v>1B</v>
      </c>
      <c r="E783" s="52" t="str">
        <f>IF($C783="B",INDEX(Batters[[#All],[First]],MATCH(Table5[[#This Row],[PID]],Batters[[#All],[PID]],0)),INDEX(Table3[[#All],[First]],MATCH(Table5[[#This Row],[PID]],Table3[[#All],[PID]],0)))</f>
        <v>Lian-wei</v>
      </c>
      <c r="F783" s="50" t="str">
        <f>IF($C783="B",INDEX(Batters[[#All],[Last]],MATCH(A783,Batters[[#All],[PID]],0)),INDEX(Table3[[#All],[Last]],MATCH(A783,Table3[[#All],[PID]],0)))</f>
        <v>Li</v>
      </c>
      <c r="G783" s="56">
        <f>IF($C783="B",INDEX(Batters[[#All],[Age]],MATCH(Table5[[#This Row],[PID]],Batters[[#All],[PID]],0)),INDEX(Table3[[#All],[Age]],MATCH(Table5[[#This Row],[PID]],Table3[[#All],[PID]],0)))</f>
        <v>17</v>
      </c>
      <c r="H783" s="52" t="str">
        <f>IF($C783="B",INDEX(Batters[[#All],[B]],MATCH(Table5[[#This Row],[PID]],Batters[[#All],[PID]],0)),INDEX(Table3[[#All],[B]],MATCH(Table5[[#This Row],[PID]],Table3[[#All],[PID]],0)))</f>
        <v>R</v>
      </c>
      <c r="I783" s="52" t="str">
        <f>IF($C783="B",INDEX(Batters[[#All],[T]],MATCH(Table5[[#This Row],[PID]],Batters[[#All],[PID]],0)),INDEX(Table3[[#All],[T]],MATCH(Table5[[#This Row],[PID]],Table3[[#All],[PID]],0)))</f>
        <v>R</v>
      </c>
      <c r="J783" s="52" t="str">
        <f>IF($C783="B",INDEX(Batters[[#All],[WE]],MATCH(Table5[[#This Row],[PID]],Batters[[#All],[PID]],0)),INDEX(Table3[[#All],[WE]],MATCH(Table5[[#This Row],[PID]],Table3[[#All],[PID]],0)))</f>
        <v>Normal</v>
      </c>
      <c r="K783" s="52" t="str">
        <f>IF($C783="B",INDEX(Batters[[#All],[INT]],MATCH(Table5[[#This Row],[PID]],Batters[[#All],[PID]],0)),INDEX(Table3[[#All],[INT]],MATCH(Table5[[#This Row],[PID]],Table3[[#All],[PID]],0)))</f>
        <v>Normal</v>
      </c>
      <c r="L783" s="60">
        <f>IF($C783="B",INDEX(Batters[[#All],[CON P]],MATCH(Table5[[#This Row],[PID]],Batters[[#All],[PID]],0)),INDEX(Table3[[#All],[STU P]],MATCH(Table5[[#This Row],[PID]],Table3[[#All],[PID]],0)))</f>
        <v>2</v>
      </c>
      <c r="M783" s="56">
        <f>IF($C783="B",INDEX(Batters[[#All],[GAP P]],MATCH(Table5[[#This Row],[PID]],Batters[[#All],[PID]],0)),INDEX(Table3[[#All],[MOV P]],MATCH(Table5[[#This Row],[PID]],Table3[[#All],[PID]],0)))</f>
        <v>3</v>
      </c>
      <c r="N783" s="56">
        <f>IF($C783="B",INDEX(Batters[[#All],[POW P]],MATCH(Table5[[#This Row],[PID]],Batters[[#All],[PID]],0)),INDEX(Table3[[#All],[CON P]],MATCH(Table5[[#This Row],[PID]],Table3[[#All],[PID]],0)))</f>
        <v>2</v>
      </c>
      <c r="O783" s="56">
        <f>IF($C783="B",INDEX(Batters[[#All],[EYE P]],MATCH(Table5[[#This Row],[PID]],Batters[[#All],[PID]],0)),INDEX(Table3[[#All],[VELO]],MATCH(Table5[[#This Row],[PID]],Table3[[#All],[PID]],0)))</f>
        <v>4</v>
      </c>
      <c r="P783" s="56">
        <f>IF($C783="B",INDEX(Batters[[#All],[K P]],MATCH(Table5[[#This Row],[PID]],Batters[[#All],[PID]],0)),INDEX(Table3[[#All],[STM]],MATCH(Table5[[#This Row],[PID]],Table3[[#All],[PID]],0)))</f>
        <v>3</v>
      </c>
      <c r="Q783" s="61">
        <f>IF($C783="B",INDEX(Batters[[#All],[Tot]],MATCH(Table5[[#This Row],[PID]],Batters[[#All],[PID]],0)),INDEX(Table3[[#All],[Tot]],MATCH(Table5[[#This Row],[PID]],Table3[[#All],[PID]],0)))</f>
        <v>35.093580543975271</v>
      </c>
      <c r="R783" s="52">
        <f>IF($C783="B",INDEX(Batters[[#All],[zScore]],MATCH(Table5[[#This Row],[PID]],Batters[[#All],[PID]],0)),INDEX(Table3[[#All],[zScore]],MATCH(Table5[[#This Row],[PID]],Table3[[#All],[PID]],0)))</f>
        <v>-1.1859777558660891</v>
      </c>
      <c r="S783" s="58" t="str">
        <f>IF($C783="B",INDEX(Batters[[#All],[DEM]],MATCH(Table5[[#This Row],[PID]],Batters[[#All],[PID]],0)),INDEX(Table3[[#All],[DEM]],MATCH(Table5[[#This Row],[PID]],Table3[[#All],[PID]],0)))</f>
        <v>$38k</v>
      </c>
      <c r="T783" s="62">
        <f>IF($C783="B",INDEX(Batters[[#All],[Rnk]],MATCH(Table5[[#This Row],[PID]],Batters[[#All],[PID]],0)),INDEX(Table3[[#All],[Rnk]],MATCH(Table5[[#This Row],[PID]],Table3[[#All],[PID]],0)))</f>
        <v>900</v>
      </c>
      <c r="U783" s="67">
        <f>IF($C783="B",VLOOKUP($A783,Bat!$A$4:$BA$1314,47,FALSE),VLOOKUP($A783,Pit!$A$4:$BF$1214,56,FALSE))</f>
        <v>275</v>
      </c>
      <c r="V783" s="50">
        <f>IF($C783="B",VLOOKUP($A783,Bat!$A$4:$BA$1314,48,FALSE),VLOOKUP($A783,Pit!$A$4:$BF$1214,57,FALSE))</f>
        <v>0</v>
      </c>
      <c r="W783" s="68">
        <f>IF(Table5[[#This Row],[posRnk]]=999,9999,Table5[[#This Row],[posRnk]]+Table5[[#This Row],[zRnk]]+IF($W$3&lt;&gt;Table5[[#This Row],[Type]],50,0))</f>
        <v>1767</v>
      </c>
      <c r="X783" s="51">
        <f>RANK(Table5[[#This Row],[zScore]],Table5[[#All],[zScore]])</f>
        <v>817</v>
      </c>
      <c r="Y783" s="50" t="str">
        <f>IFERROR(INDEX(DraftResults[[#All],[OVR]],MATCH(Table5[[#This Row],[PID]],DraftResults[[#All],[Player ID]],0)),"")</f>
        <v/>
      </c>
      <c r="Z783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/>
      </c>
      <c r="AA783" s="50" t="str">
        <f>IFERROR(INDEX(DraftResults[[#All],[Pick in Round]],MATCH(Table5[[#This Row],[PID]],DraftResults[[#All],[Player ID]],0)),"")</f>
        <v/>
      </c>
      <c r="AB783" s="50" t="str">
        <f>IFERROR(INDEX(DraftResults[[#All],[Team Name]],MATCH(Table5[[#This Row],[PID]],DraftResults[[#All],[Player ID]],0)),"")</f>
        <v/>
      </c>
      <c r="AC783" s="50" t="str">
        <f>IF(Table5[[#This Row],[Ovr]]="","",IF(Table5[[#This Row],[cmbList]]="","",Table5[[#This Row],[cmbList]]-Table5[[#This Row],[Ovr]]))</f>
        <v/>
      </c>
      <c r="AD783" s="54" t="str">
        <f>IF(ISERROR(VLOOKUP($AB783&amp;"-"&amp;$E783&amp;" "&amp;F783,Bonuses!$B$1:$G$1006,4,FALSE)),"",INT(VLOOKUP($AB783&amp;"-"&amp;$E783&amp;" "&amp;$F783,Bonuses!$B$1:$G$1006,4,FALSE)))</f>
        <v/>
      </c>
      <c r="AE783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/>
      </c>
    </row>
    <row r="784" spans="1:31" s="50" customFormat="1" x14ac:dyDescent="0.3">
      <c r="A784" s="50">
        <v>6993</v>
      </c>
      <c r="B784" s="50">
        <f>COUNTIF(Table5[PID],A784)</f>
        <v>1</v>
      </c>
      <c r="C784" s="50" t="str">
        <f>IF(COUNTIF(Table3[[#All],[PID]],A784)&gt;0,"P","B")</f>
        <v>B</v>
      </c>
      <c r="D784" s="59" t="str">
        <f>IF($C784="B",INDEX(Batters[[#All],[POS]],MATCH(Table5[[#This Row],[PID]],Batters[[#All],[PID]],0)),INDEX(Table3[[#All],[POS]],MATCH(Table5[[#This Row],[PID]],Table3[[#All],[PID]],0)))</f>
        <v>1B</v>
      </c>
      <c r="E784" s="52" t="str">
        <f>IF($C784="B",INDEX(Batters[[#All],[First]],MATCH(Table5[[#This Row],[PID]],Batters[[#All],[PID]],0)),INDEX(Table3[[#All],[First]],MATCH(Table5[[#This Row],[PID]],Table3[[#All],[PID]],0)))</f>
        <v>Mal</v>
      </c>
      <c r="F784" s="50" t="str">
        <f>IF($C784="B",INDEX(Batters[[#All],[Last]],MATCH(A784,Batters[[#All],[PID]],0)),INDEX(Table3[[#All],[Last]],MATCH(A784,Table3[[#All],[PID]],0)))</f>
        <v>Delgado</v>
      </c>
      <c r="G784" s="56">
        <f>IF($C784="B",INDEX(Batters[[#All],[Age]],MATCH(Table5[[#This Row],[PID]],Batters[[#All],[PID]],0)),INDEX(Table3[[#All],[Age]],MATCH(Table5[[#This Row],[PID]],Table3[[#All],[PID]],0)))</f>
        <v>21</v>
      </c>
      <c r="H784" s="52" t="str">
        <f>IF($C784="B",INDEX(Batters[[#All],[B]],MATCH(Table5[[#This Row],[PID]],Batters[[#All],[PID]],0)),INDEX(Table3[[#All],[B]],MATCH(Table5[[#This Row],[PID]],Table3[[#All],[PID]],0)))</f>
        <v>R</v>
      </c>
      <c r="I784" s="52" t="str">
        <f>IF($C784="B",INDEX(Batters[[#All],[T]],MATCH(Table5[[#This Row],[PID]],Batters[[#All],[PID]],0)),INDEX(Table3[[#All],[T]],MATCH(Table5[[#This Row],[PID]],Table3[[#All],[PID]],0)))</f>
        <v>R</v>
      </c>
      <c r="J784" s="52" t="str">
        <f>IF($C784="B",INDEX(Batters[[#All],[WE]],MATCH(Table5[[#This Row],[PID]],Batters[[#All],[PID]],0)),INDEX(Table3[[#All],[WE]],MATCH(Table5[[#This Row],[PID]],Table3[[#All],[PID]],0)))</f>
        <v>Normal</v>
      </c>
      <c r="K784" s="52" t="str">
        <f>IF($C784="B",INDEX(Batters[[#All],[INT]],MATCH(Table5[[#This Row],[PID]],Batters[[#All],[PID]],0)),INDEX(Table3[[#All],[INT]],MATCH(Table5[[#This Row],[PID]],Table3[[#All],[PID]],0)))</f>
        <v>Normal</v>
      </c>
      <c r="L784" s="60">
        <f>IF($C784="B",INDEX(Batters[[#All],[CON P]],MATCH(Table5[[#This Row],[PID]],Batters[[#All],[PID]],0)),INDEX(Table3[[#All],[STU P]],MATCH(Table5[[#This Row],[PID]],Table3[[#All],[PID]],0)))</f>
        <v>3</v>
      </c>
      <c r="M784" s="56">
        <f>IF($C784="B",INDEX(Batters[[#All],[GAP P]],MATCH(Table5[[#This Row],[PID]],Batters[[#All],[PID]],0)),INDEX(Table3[[#All],[MOV P]],MATCH(Table5[[#This Row],[PID]],Table3[[#All],[PID]],0)))</f>
        <v>4</v>
      </c>
      <c r="N784" s="56">
        <f>IF($C784="B",INDEX(Batters[[#All],[POW P]],MATCH(Table5[[#This Row],[PID]],Batters[[#All],[PID]],0)),INDEX(Table3[[#All],[CON P]],MATCH(Table5[[#This Row],[PID]],Table3[[#All],[PID]],0)))</f>
        <v>2</v>
      </c>
      <c r="O784" s="56">
        <f>IF($C784="B",INDEX(Batters[[#All],[EYE P]],MATCH(Table5[[#This Row],[PID]],Batters[[#All],[PID]],0)),INDEX(Table3[[#All],[VELO]],MATCH(Table5[[#This Row],[PID]],Table3[[#All],[PID]],0)))</f>
        <v>4</v>
      </c>
      <c r="P784" s="56">
        <f>IF($C784="B",INDEX(Batters[[#All],[K P]],MATCH(Table5[[#This Row],[PID]],Batters[[#All],[PID]],0)),INDEX(Table3[[#All],[STM]],MATCH(Table5[[#This Row],[PID]],Table3[[#All],[PID]],0)))</f>
        <v>4</v>
      </c>
      <c r="Q784" s="61">
        <f>IF($C784="B",INDEX(Batters[[#All],[Tot]],MATCH(Table5[[#This Row],[PID]],Batters[[#All],[PID]],0)),INDEX(Table3[[#All],[Tot]],MATCH(Table5[[#This Row],[PID]],Table3[[#All],[PID]],0)))</f>
        <v>35.084451474237831</v>
      </c>
      <c r="R784" s="52">
        <f>IF($C784="B",INDEX(Batters[[#All],[zScore]],MATCH(Table5[[#This Row],[PID]],Batters[[#All],[PID]],0)),INDEX(Table3[[#All],[zScore]],MATCH(Table5[[#This Row],[PID]],Table3[[#All],[PID]],0)))</f>
        <v>-1.1873103089185004</v>
      </c>
      <c r="S784" s="58" t="str">
        <f>IF($C784="B",INDEX(Batters[[#All],[DEM]],MATCH(Table5[[#This Row],[PID]],Batters[[#All],[PID]],0)),INDEX(Table3[[#All],[DEM]],MATCH(Table5[[#This Row],[PID]],Table3[[#All],[PID]],0)))</f>
        <v>-</v>
      </c>
      <c r="T784" s="62">
        <f>IF($C784="B",INDEX(Batters[[#All],[Rnk]],MATCH(Table5[[#This Row],[PID]],Batters[[#All],[PID]],0)),INDEX(Table3[[#All],[Rnk]],MATCH(Table5[[#This Row],[PID]],Table3[[#All],[PID]],0)))</f>
        <v>900</v>
      </c>
      <c r="U784" s="67">
        <f>IF($C784="B",VLOOKUP($A784,Bat!$A$4:$BA$1314,47,FALSE),VLOOKUP($A784,Pit!$A$4:$BF$1214,56,FALSE))</f>
        <v>276</v>
      </c>
      <c r="V784" s="50">
        <f>IF($C784="B",VLOOKUP($A784,Bat!$A$4:$BA$1314,48,FALSE),VLOOKUP($A784,Pit!$A$4:$BF$1214,57,FALSE))</f>
        <v>0</v>
      </c>
      <c r="W784" s="68">
        <f>IF(Table5[[#This Row],[posRnk]]=999,9999,Table5[[#This Row],[posRnk]]+Table5[[#This Row],[zRnk]]+IF($W$3&lt;&gt;Table5[[#This Row],[Type]],50,0))</f>
        <v>1768</v>
      </c>
      <c r="X784" s="51">
        <f>RANK(Table5[[#This Row],[zScore]],Table5[[#All],[zScore]])</f>
        <v>818</v>
      </c>
      <c r="Y784" s="50" t="str">
        <f>IFERROR(INDEX(DraftResults[[#All],[OVR]],MATCH(Table5[[#This Row],[PID]],DraftResults[[#All],[Player ID]],0)),"")</f>
        <v/>
      </c>
      <c r="Z784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/>
      </c>
      <c r="AA784" s="50" t="str">
        <f>IFERROR(INDEX(DraftResults[[#All],[Pick in Round]],MATCH(Table5[[#This Row],[PID]],DraftResults[[#All],[Player ID]],0)),"")</f>
        <v/>
      </c>
      <c r="AB784" s="50" t="str">
        <f>IFERROR(INDEX(DraftResults[[#All],[Team Name]],MATCH(Table5[[#This Row],[PID]],DraftResults[[#All],[Player ID]],0)),"")</f>
        <v/>
      </c>
      <c r="AC784" s="50" t="str">
        <f>IF(Table5[[#This Row],[Ovr]]="","",IF(Table5[[#This Row],[cmbList]]="","",Table5[[#This Row],[cmbList]]-Table5[[#This Row],[Ovr]]))</f>
        <v/>
      </c>
      <c r="AD784" s="54" t="str">
        <f>IF(ISERROR(VLOOKUP($AB784&amp;"-"&amp;$E784&amp;" "&amp;F784,Bonuses!$B$1:$G$1006,4,FALSE)),"",INT(VLOOKUP($AB784&amp;"-"&amp;$E784&amp;" "&amp;$F784,Bonuses!$B$1:$G$1006,4,FALSE)))</f>
        <v/>
      </c>
      <c r="AE784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/>
      </c>
    </row>
    <row r="785" spans="1:31" s="50" customFormat="1" x14ac:dyDescent="0.3">
      <c r="A785" s="50">
        <v>13955</v>
      </c>
      <c r="B785" s="50">
        <f>COUNTIF(Table5[PID],A785)</f>
        <v>1</v>
      </c>
      <c r="C785" s="50" t="str">
        <f>IF(COUNTIF(Table3[[#All],[PID]],A785)&gt;0,"P","B")</f>
        <v>P</v>
      </c>
      <c r="D785" s="59" t="str">
        <f>IF($C785="B",INDEX(Batters[[#All],[POS]],MATCH(Table5[[#This Row],[PID]],Batters[[#All],[PID]],0)),INDEX(Table3[[#All],[POS]],MATCH(Table5[[#This Row],[PID]],Table3[[#All],[PID]],0)))</f>
        <v>RP</v>
      </c>
      <c r="E785" s="52" t="str">
        <f>IF($C785="B",INDEX(Batters[[#All],[First]],MATCH(Table5[[#This Row],[PID]],Batters[[#All],[PID]],0)),INDEX(Table3[[#All],[First]],MATCH(Table5[[#This Row],[PID]],Table3[[#All],[PID]],0)))</f>
        <v>Carl</v>
      </c>
      <c r="F785" s="50" t="str">
        <f>IF($C785="B",INDEX(Batters[[#All],[Last]],MATCH(A785,Batters[[#All],[PID]],0)),INDEX(Table3[[#All],[Last]],MATCH(A785,Table3[[#All],[PID]],0)))</f>
        <v>Wingate</v>
      </c>
      <c r="G785" s="56">
        <f>IF($C785="B",INDEX(Batters[[#All],[Age]],MATCH(Table5[[#This Row],[PID]],Batters[[#All],[PID]],0)),INDEX(Table3[[#All],[Age]],MATCH(Table5[[#This Row],[PID]],Table3[[#All],[PID]],0)))</f>
        <v>21</v>
      </c>
      <c r="H785" s="52" t="str">
        <f>IF($C785="B",INDEX(Batters[[#All],[B]],MATCH(Table5[[#This Row],[PID]],Batters[[#All],[PID]],0)),INDEX(Table3[[#All],[B]],MATCH(Table5[[#This Row],[PID]],Table3[[#All],[PID]],0)))</f>
        <v>L</v>
      </c>
      <c r="I785" s="52" t="str">
        <f>IF($C785="B",INDEX(Batters[[#All],[T]],MATCH(Table5[[#This Row],[PID]],Batters[[#All],[PID]],0)),INDEX(Table3[[#All],[T]],MATCH(Table5[[#This Row],[PID]],Table3[[#All],[PID]],0)))</f>
        <v>L</v>
      </c>
      <c r="J785" s="52" t="str">
        <f>IF($C785="B",INDEX(Batters[[#All],[WE]],MATCH(Table5[[#This Row],[PID]],Batters[[#All],[PID]],0)),INDEX(Table3[[#All],[WE]],MATCH(Table5[[#This Row],[PID]],Table3[[#All],[PID]],0)))</f>
        <v>Low</v>
      </c>
      <c r="K785" s="52" t="str">
        <f>IF($C785="B",INDEX(Batters[[#All],[INT]],MATCH(Table5[[#This Row],[PID]],Batters[[#All],[PID]],0)),INDEX(Table3[[#All],[INT]],MATCH(Table5[[#This Row],[PID]],Table3[[#All],[PID]],0)))</f>
        <v>Normal</v>
      </c>
      <c r="L785" s="60">
        <f>IF($C785="B",INDEX(Batters[[#All],[CON P]],MATCH(Table5[[#This Row],[PID]],Batters[[#All],[PID]],0)),INDEX(Table3[[#All],[STU P]],MATCH(Table5[[#This Row],[PID]],Table3[[#All],[PID]],0)))</f>
        <v>3</v>
      </c>
      <c r="M785" s="56">
        <f>IF($C785="B",INDEX(Batters[[#All],[GAP P]],MATCH(Table5[[#This Row],[PID]],Batters[[#All],[PID]],0)),INDEX(Table3[[#All],[MOV P]],MATCH(Table5[[#This Row],[PID]],Table3[[#All],[PID]],0)))</f>
        <v>2</v>
      </c>
      <c r="N785" s="56">
        <f>IF($C785="B",INDEX(Batters[[#All],[POW P]],MATCH(Table5[[#This Row],[PID]],Batters[[#All],[PID]],0)),INDEX(Table3[[#All],[CON P]],MATCH(Table5[[#This Row],[PID]],Table3[[#All],[PID]],0)))</f>
        <v>3</v>
      </c>
      <c r="O785" s="56" t="str">
        <f>IF($C785="B",INDEX(Batters[[#All],[EYE P]],MATCH(Table5[[#This Row],[PID]],Batters[[#All],[PID]],0)),INDEX(Table3[[#All],[VELO]],MATCH(Table5[[#This Row],[PID]],Table3[[#All],[PID]],0)))</f>
        <v>88-90 Mph</v>
      </c>
      <c r="P785" s="56">
        <f>IF($C785="B",INDEX(Batters[[#All],[K P]],MATCH(Table5[[#This Row],[PID]],Batters[[#All],[PID]],0)),INDEX(Table3[[#All],[STM]],MATCH(Table5[[#This Row],[PID]],Table3[[#All],[PID]],0)))</f>
        <v>4</v>
      </c>
      <c r="Q785" s="61">
        <f>IF($C785="B",INDEX(Batters[[#All],[Tot]],MATCH(Table5[[#This Row],[PID]],Batters[[#All],[PID]],0)),INDEX(Table3[[#All],[Tot]],MATCH(Table5[[#This Row],[PID]],Table3[[#All],[PID]],0)))</f>
        <v>23.037736476310734</v>
      </c>
      <c r="R785" s="52">
        <f>IF($C785="B",INDEX(Batters[[#All],[zScore]],MATCH(Table5[[#This Row],[PID]],Batters[[#All],[PID]],0)),INDEX(Table3[[#All],[zScore]],MATCH(Table5[[#This Row],[PID]],Table3[[#All],[PID]],0)))</f>
        <v>-1.0513608826020624</v>
      </c>
      <c r="S785" s="58" t="str">
        <f>IF($C785="B",INDEX(Batters[[#All],[DEM]],MATCH(Table5[[#This Row],[PID]],Batters[[#All],[PID]],0)),INDEX(Table3[[#All],[DEM]],MATCH(Table5[[#This Row],[PID]],Table3[[#All],[PID]],0)))</f>
        <v>-</v>
      </c>
      <c r="T785" s="62">
        <f>IF($C785="B",INDEX(Batters[[#All],[Rnk]],MATCH(Table5[[#This Row],[PID]],Batters[[#All],[PID]],0)),INDEX(Table3[[#All],[Rnk]],MATCH(Table5[[#This Row],[PID]],Table3[[#All],[PID]],0)))</f>
        <v>930</v>
      </c>
      <c r="U785" s="67">
        <f>IF($C785="B",VLOOKUP($A785,Bat!$A$4:$BA$1314,47,FALSE),VLOOKUP($A785,Pit!$A$4:$BF$1214,56,FALSE))</f>
        <v>367</v>
      </c>
      <c r="V785" s="50">
        <f>IF($C785="B",VLOOKUP($A785,Bat!$A$4:$BA$1314,48,FALSE),VLOOKUP($A785,Pit!$A$4:$BF$1214,57,FALSE))</f>
        <v>0</v>
      </c>
      <c r="W785" s="68">
        <f>IF(Table5[[#This Row],[posRnk]]=999,9999,Table5[[#This Row],[posRnk]]+Table5[[#This Row],[zRnk]]+IF($W$3&lt;&gt;Table5[[#This Row],[Type]],50,0))</f>
        <v>1718</v>
      </c>
      <c r="X785" s="51">
        <f>RANK(Table5[[#This Row],[zScore]],Table5[[#All],[zScore]])</f>
        <v>788</v>
      </c>
      <c r="Y785" s="50">
        <f>IFERROR(INDEX(DraftResults[[#All],[OVR]],MATCH(Table5[[#This Row],[PID]],DraftResults[[#All],[Player ID]],0)),"")</f>
        <v>671</v>
      </c>
      <c r="Z785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20</v>
      </c>
      <c r="AA785" s="50">
        <f>IFERROR(INDEX(DraftResults[[#All],[Pick in Round]],MATCH(Table5[[#This Row],[PID]],DraftResults[[#All],[Player ID]],0)),"")</f>
        <v>34</v>
      </c>
      <c r="AB785" s="50" t="str">
        <f>IFERROR(INDEX(DraftResults[[#All],[Team Name]],MATCH(Table5[[#This Row],[PID]],DraftResults[[#All],[Player ID]],0)),"")</f>
        <v>Gloucester Fishermen</v>
      </c>
      <c r="AC785" s="50">
        <f>IF(Table5[[#This Row],[Ovr]]="","",IF(Table5[[#This Row],[cmbList]]="","",Table5[[#This Row],[cmbList]]-Table5[[#This Row],[Ovr]]))</f>
        <v>1047</v>
      </c>
      <c r="AD785" s="54" t="str">
        <f>IF(ISERROR(VLOOKUP($AB785&amp;"-"&amp;$E785&amp;" "&amp;F785,Bonuses!$B$1:$G$1006,4,FALSE)),"",INT(VLOOKUP($AB785&amp;"-"&amp;$E785&amp;" "&amp;$F785,Bonuses!$B$1:$G$1006,4,FALSE)))</f>
        <v/>
      </c>
      <c r="AE785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20.34 (671) - RP Carl Wingate</v>
      </c>
    </row>
    <row r="786" spans="1:31" s="50" customFormat="1" x14ac:dyDescent="0.3">
      <c r="A786" s="50">
        <v>9504</v>
      </c>
      <c r="B786" s="50">
        <f>COUNTIF(Table5[PID],A786)</f>
        <v>1</v>
      </c>
      <c r="C786" s="50" t="str">
        <f>IF(COUNTIF(Table3[[#All],[PID]],A786)&gt;0,"P","B")</f>
        <v>B</v>
      </c>
      <c r="D786" s="59" t="str">
        <f>IF($C786="B",INDEX(Batters[[#All],[POS]],MATCH(Table5[[#This Row],[PID]],Batters[[#All],[PID]],0)),INDEX(Table3[[#All],[POS]],MATCH(Table5[[#This Row],[PID]],Table3[[#All],[PID]],0)))</f>
        <v>RF</v>
      </c>
      <c r="E786" s="52" t="str">
        <f>IF($C786="B",INDEX(Batters[[#All],[First]],MATCH(Table5[[#This Row],[PID]],Batters[[#All],[PID]],0)),INDEX(Table3[[#All],[First]],MATCH(Table5[[#This Row],[PID]],Table3[[#All],[PID]],0)))</f>
        <v>Craig</v>
      </c>
      <c r="F786" s="50" t="str">
        <f>IF($C786="B",INDEX(Batters[[#All],[Last]],MATCH(A786,Batters[[#All],[PID]],0)),INDEX(Table3[[#All],[Last]],MATCH(A786,Table3[[#All],[PID]],0)))</f>
        <v>Ayala</v>
      </c>
      <c r="G786" s="56">
        <f>IF($C786="B",INDEX(Batters[[#All],[Age]],MATCH(Table5[[#This Row],[PID]],Batters[[#All],[PID]],0)),INDEX(Table3[[#All],[Age]],MATCH(Table5[[#This Row],[PID]],Table3[[#All],[PID]],0)))</f>
        <v>22</v>
      </c>
      <c r="H786" s="52" t="str">
        <f>IF($C786="B",INDEX(Batters[[#All],[B]],MATCH(Table5[[#This Row],[PID]],Batters[[#All],[PID]],0)),INDEX(Table3[[#All],[B]],MATCH(Table5[[#This Row],[PID]],Table3[[#All],[PID]],0)))</f>
        <v>R</v>
      </c>
      <c r="I786" s="52" t="str">
        <f>IF($C786="B",INDEX(Batters[[#All],[T]],MATCH(Table5[[#This Row],[PID]],Batters[[#All],[PID]],0)),INDEX(Table3[[#All],[T]],MATCH(Table5[[#This Row],[PID]],Table3[[#All],[PID]],0)))</f>
        <v>R</v>
      </c>
      <c r="J786" s="52" t="str">
        <f>IF($C786="B",INDEX(Batters[[#All],[WE]],MATCH(Table5[[#This Row],[PID]],Batters[[#All],[PID]],0)),INDEX(Table3[[#All],[WE]],MATCH(Table5[[#This Row],[PID]],Table3[[#All],[PID]],0)))</f>
        <v>High</v>
      </c>
      <c r="K786" s="52" t="str">
        <f>IF($C786="B",INDEX(Batters[[#All],[INT]],MATCH(Table5[[#This Row],[PID]],Batters[[#All],[PID]],0)),INDEX(Table3[[#All],[INT]],MATCH(Table5[[#This Row],[PID]],Table3[[#All],[PID]],0)))</f>
        <v>Normal</v>
      </c>
      <c r="L786" s="60">
        <f>IF($C786="B",INDEX(Batters[[#All],[CON P]],MATCH(Table5[[#This Row],[PID]],Batters[[#All],[PID]],0)),INDEX(Table3[[#All],[STU P]],MATCH(Table5[[#This Row],[PID]],Table3[[#All],[PID]],0)))</f>
        <v>3</v>
      </c>
      <c r="M786" s="56">
        <f>IF($C786="B",INDEX(Batters[[#All],[GAP P]],MATCH(Table5[[#This Row],[PID]],Batters[[#All],[PID]],0)),INDEX(Table3[[#All],[MOV P]],MATCH(Table5[[#This Row],[PID]],Table3[[#All],[PID]],0)))</f>
        <v>3</v>
      </c>
      <c r="N786" s="56">
        <f>IF($C786="B",INDEX(Batters[[#All],[POW P]],MATCH(Table5[[#This Row],[PID]],Batters[[#All],[PID]],0)),INDEX(Table3[[#All],[CON P]],MATCH(Table5[[#This Row],[PID]],Table3[[#All],[PID]],0)))</f>
        <v>2</v>
      </c>
      <c r="O786" s="56">
        <f>IF($C786="B",INDEX(Batters[[#All],[EYE P]],MATCH(Table5[[#This Row],[PID]],Batters[[#All],[PID]],0)),INDEX(Table3[[#All],[VELO]],MATCH(Table5[[#This Row],[PID]],Table3[[#All],[PID]],0)))</f>
        <v>4</v>
      </c>
      <c r="P786" s="56">
        <f>IF($C786="B",INDEX(Batters[[#All],[K P]],MATCH(Table5[[#This Row],[PID]],Batters[[#All],[PID]],0)),INDEX(Table3[[#All],[STM]],MATCH(Table5[[#This Row],[PID]],Table3[[#All],[PID]],0)))</f>
        <v>3</v>
      </c>
      <c r="Q786" s="61">
        <f>IF($C786="B",INDEX(Batters[[#All],[Tot]],MATCH(Table5[[#This Row],[PID]],Batters[[#All],[PID]],0)),INDEX(Table3[[#All],[Tot]],MATCH(Table5[[#This Row],[PID]],Table3[[#All],[PID]],0)))</f>
        <v>35.083506968777876</v>
      </c>
      <c r="R786" s="52">
        <f>IF($C786="B",INDEX(Batters[[#All],[zScore]],MATCH(Table5[[#This Row],[PID]],Batters[[#All],[PID]],0)),INDEX(Table3[[#All],[zScore]],MATCH(Table5[[#This Row],[PID]],Table3[[#All],[PID]],0)))</f>
        <v>-1.1874481765950415</v>
      </c>
      <c r="S786" s="58" t="str">
        <f>IF($C786="B",INDEX(Batters[[#All],[DEM]],MATCH(Table5[[#This Row],[PID]],Batters[[#All],[PID]],0)),INDEX(Table3[[#All],[DEM]],MATCH(Table5[[#This Row],[PID]],Table3[[#All],[PID]],0)))</f>
        <v>-</v>
      </c>
      <c r="T786" s="62">
        <f>IF($C786="B",INDEX(Batters[[#All],[Rnk]],MATCH(Table5[[#This Row],[PID]],Batters[[#All],[PID]],0)),INDEX(Table3[[#All],[Rnk]],MATCH(Table5[[#This Row],[PID]],Table3[[#All],[PID]],0)))</f>
        <v>900</v>
      </c>
      <c r="U786" s="67">
        <f>IF($C786="B",VLOOKUP($A786,Bat!$A$4:$BA$1314,47,FALSE),VLOOKUP($A786,Pit!$A$4:$BF$1214,56,FALSE))</f>
        <v>272</v>
      </c>
      <c r="V786" s="50">
        <f>IF($C786="B",VLOOKUP($A786,Bat!$A$4:$BA$1314,48,FALSE),VLOOKUP($A786,Pit!$A$4:$BF$1214,57,FALSE))</f>
        <v>0</v>
      </c>
      <c r="W786" s="68">
        <f>IF(Table5[[#This Row],[posRnk]]=999,9999,Table5[[#This Row],[posRnk]]+Table5[[#This Row],[zRnk]]+IF($W$3&lt;&gt;Table5[[#This Row],[Type]],50,0))</f>
        <v>1769</v>
      </c>
      <c r="X786" s="51">
        <f>RANK(Table5[[#This Row],[zScore]],Table5[[#All],[zScore]])</f>
        <v>819</v>
      </c>
      <c r="Y786" s="50">
        <f>IFERROR(INDEX(DraftResults[[#All],[OVR]],MATCH(Table5[[#This Row],[PID]],DraftResults[[#All],[Player ID]],0)),"")</f>
        <v>497</v>
      </c>
      <c r="Z786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15</v>
      </c>
      <c r="AA786" s="50">
        <f>IFERROR(INDEX(DraftResults[[#All],[Pick in Round]],MATCH(Table5[[#This Row],[PID]],DraftResults[[#All],[Player ID]],0)),"")</f>
        <v>30</v>
      </c>
      <c r="AB786" s="50" t="str">
        <f>IFERROR(INDEX(DraftResults[[#All],[Team Name]],MATCH(Table5[[#This Row],[PID]],DraftResults[[#All],[Player ID]],0)),"")</f>
        <v>Toyama Wind Dancers</v>
      </c>
      <c r="AC786" s="50">
        <f>IF(Table5[[#This Row],[Ovr]]="","",IF(Table5[[#This Row],[cmbList]]="","",Table5[[#This Row],[cmbList]]-Table5[[#This Row],[Ovr]]))</f>
        <v>1272</v>
      </c>
      <c r="AD786" s="54" t="str">
        <f>IF(ISERROR(VLOOKUP($AB786&amp;"-"&amp;$E786&amp;" "&amp;F786,Bonuses!$B$1:$G$1006,4,FALSE)),"",INT(VLOOKUP($AB786&amp;"-"&amp;$E786&amp;" "&amp;$F786,Bonuses!$B$1:$G$1006,4,FALSE)))</f>
        <v/>
      </c>
      <c r="AE786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15.30 (497) - RF Craig Ayala</v>
      </c>
    </row>
    <row r="787" spans="1:31" s="50" customFormat="1" x14ac:dyDescent="0.3">
      <c r="A787" s="50">
        <v>15696</v>
      </c>
      <c r="B787" s="50">
        <f>COUNTIF(Table5[PID],A787)</f>
        <v>1</v>
      </c>
      <c r="C787" s="50" t="str">
        <f>IF(COUNTIF(Table3[[#All],[PID]],A787)&gt;0,"P","B")</f>
        <v>P</v>
      </c>
      <c r="D787" s="59" t="str">
        <f>IF($C787="B",INDEX(Batters[[#All],[POS]],MATCH(Table5[[#This Row],[PID]],Batters[[#All],[PID]],0)),INDEX(Table3[[#All],[POS]],MATCH(Table5[[#This Row],[PID]],Table3[[#All],[PID]],0)))</f>
        <v>RP</v>
      </c>
      <c r="E787" s="52" t="str">
        <f>IF($C787="B",INDEX(Batters[[#All],[First]],MATCH(Table5[[#This Row],[PID]],Batters[[#All],[PID]],0)),INDEX(Table3[[#All],[First]],MATCH(Table5[[#This Row],[PID]],Table3[[#All],[PID]],0)))</f>
        <v>Shigenobu</v>
      </c>
      <c r="F787" s="50" t="str">
        <f>IF($C787="B",INDEX(Batters[[#All],[Last]],MATCH(A787,Batters[[#All],[PID]],0)),INDEX(Table3[[#All],[Last]],MATCH(A787,Table3[[#All],[PID]],0)))</f>
        <v>Takahashi</v>
      </c>
      <c r="G787" s="56">
        <f>IF($C787="B",INDEX(Batters[[#All],[Age]],MATCH(Table5[[#This Row],[PID]],Batters[[#All],[PID]],0)),INDEX(Table3[[#All],[Age]],MATCH(Table5[[#This Row],[PID]],Table3[[#All],[PID]],0)))</f>
        <v>21</v>
      </c>
      <c r="H787" s="52" t="str">
        <f>IF($C787="B",INDEX(Batters[[#All],[B]],MATCH(Table5[[#This Row],[PID]],Batters[[#All],[PID]],0)),INDEX(Table3[[#All],[B]],MATCH(Table5[[#This Row],[PID]],Table3[[#All],[PID]],0)))</f>
        <v>R</v>
      </c>
      <c r="I787" s="52" t="str">
        <f>IF($C787="B",INDEX(Batters[[#All],[T]],MATCH(Table5[[#This Row],[PID]],Batters[[#All],[PID]],0)),INDEX(Table3[[#All],[T]],MATCH(Table5[[#This Row],[PID]],Table3[[#All],[PID]],0)))</f>
        <v>R</v>
      </c>
      <c r="J787" s="52" t="str">
        <f>IF($C787="B",INDEX(Batters[[#All],[WE]],MATCH(Table5[[#This Row],[PID]],Batters[[#All],[PID]],0)),INDEX(Table3[[#All],[WE]],MATCH(Table5[[#This Row],[PID]],Table3[[#All],[PID]],0)))</f>
        <v>Normal</v>
      </c>
      <c r="K787" s="52" t="str">
        <f>IF($C787="B",INDEX(Batters[[#All],[INT]],MATCH(Table5[[#This Row],[PID]],Batters[[#All],[PID]],0)),INDEX(Table3[[#All],[INT]],MATCH(Table5[[#This Row],[PID]],Table3[[#All],[PID]],0)))</f>
        <v>Low</v>
      </c>
      <c r="L787" s="60">
        <f>IF($C787="B",INDEX(Batters[[#All],[CON P]],MATCH(Table5[[#This Row],[PID]],Batters[[#All],[PID]],0)),INDEX(Table3[[#All],[STU P]],MATCH(Table5[[#This Row],[PID]],Table3[[#All],[PID]],0)))</f>
        <v>5</v>
      </c>
      <c r="M787" s="56">
        <f>IF($C787="B",INDEX(Batters[[#All],[GAP P]],MATCH(Table5[[#This Row],[PID]],Batters[[#All],[PID]],0)),INDEX(Table3[[#All],[MOV P]],MATCH(Table5[[#This Row],[PID]],Table3[[#All],[PID]],0)))</f>
        <v>1</v>
      </c>
      <c r="N787" s="56">
        <f>IF($C787="B",INDEX(Batters[[#All],[POW P]],MATCH(Table5[[#This Row],[PID]],Batters[[#All],[PID]],0)),INDEX(Table3[[#All],[CON P]],MATCH(Table5[[#This Row],[PID]],Table3[[#All],[PID]],0)))</f>
        <v>3</v>
      </c>
      <c r="O787" s="56" t="str">
        <f>IF($C787="B",INDEX(Batters[[#All],[EYE P]],MATCH(Table5[[#This Row],[PID]],Batters[[#All],[PID]],0)),INDEX(Table3[[#All],[VELO]],MATCH(Table5[[#This Row],[PID]],Table3[[#All],[PID]],0)))</f>
        <v>90-92 Mph</v>
      </c>
      <c r="P787" s="56">
        <f>IF($C787="B",INDEX(Batters[[#All],[K P]],MATCH(Table5[[#This Row],[PID]],Batters[[#All],[PID]],0)),INDEX(Table3[[#All],[STM]],MATCH(Table5[[#This Row],[PID]],Table3[[#All],[PID]],0)))</f>
        <v>2</v>
      </c>
      <c r="Q787" s="61">
        <f>IF($C787="B",INDEX(Batters[[#All],[Tot]],MATCH(Table5[[#This Row],[PID]],Batters[[#All],[PID]],0)),INDEX(Table3[[#All],[Tot]],MATCH(Table5[[#This Row],[PID]],Table3[[#All],[PID]],0)))</f>
        <v>23.689631261816274</v>
      </c>
      <c r="R787" s="52">
        <f>IF($C787="B",INDEX(Batters[[#All],[zScore]],MATCH(Table5[[#This Row],[PID]],Batters[[#All],[PID]],0)),INDEX(Table3[[#All],[zScore]],MATCH(Table5[[#This Row],[PID]],Table3[[#All],[PID]],0)))</f>
        <v>-1.0049413891808481</v>
      </c>
      <c r="S787" s="58" t="str">
        <f>IF($C787="B",INDEX(Batters[[#All],[DEM]],MATCH(Table5[[#This Row],[PID]],Batters[[#All],[PID]],0)),INDEX(Table3[[#All],[DEM]],MATCH(Table5[[#This Row],[PID]],Table3[[#All],[PID]],0)))</f>
        <v>$20k</v>
      </c>
      <c r="T787" s="62">
        <f>IF($C787="B",INDEX(Batters[[#All],[Rnk]],MATCH(Table5[[#This Row],[PID]],Batters[[#All],[PID]],0)),INDEX(Table3[[#All],[Rnk]],MATCH(Table5[[#This Row],[PID]],Table3[[#All],[PID]],0)))</f>
        <v>940</v>
      </c>
      <c r="U787" s="67">
        <f>IF($C787="B",VLOOKUP($A787,Bat!$A$4:$BA$1314,47,FALSE),VLOOKUP($A787,Pit!$A$4:$BF$1214,56,FALSE))</f>
        <v>402</v>
      </c>
      <c r="V787" s="50">
        <f>IF($C787="B",VLOOKUP($A787,Bat!$A$4:$BA$1314,48,FALSE),VLOOKUP($A787,Pit!$A$4:$BF$1214,57,FALSE))</f>
        <v>0</v>
      </c>
      <c r="W787" s="68">
        <f>IF(Table5[[#This Row],[posRnk]]=999,9999,Table5[[#This Row],[posRnk]]+Table5[[#This Row],[zRnk]]+IF($W$3&lt;&gt;Table5[[#This Row],[Type]],50,0))</f>
        <v>1719</v>
      </c>
      <c r="X787" s="51">
        <f>RANK(Table5[[#This Row],[zScore]],Table5[[#All],[zScore]])</f>
        <v>779</v>
      </c>
      <c r="Y787" s="50">
        <f>IFERROR(INDEX(DraftResults[[#All],[OVR]],MATCH(Table5[[#This Row],[PID]],DraftResults[[#All],[Player ID]],0)),"")</f>
        <v>580</v>
      </c>
      <c r="Z787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18</v>
      </c>
      <c r="AA787" s="50">
        <f>IFERROR(INDEX(DraftResults[[#All],[Pick in Round]],MATCH(Table5[[#This Row],[PID]],DraftResults[[#All],[Player ID]],0)),"")</f>
        <v>11</v>
      </c>
      <c r="AB787" s="50" t="str">
        <f>IFERROR(INDEX(DraftResults[[#All],[Team Name]],MATCH(Table5[[#This Row],[PID]],DraftResults[[#All],[Player ID]],0)),"")</f>
        <v>Arlington Bureaucrats</v>
      </c>
      <c r="AC787" s="50">
        <f>IF(Table5[[#This Row],[Ovr]]="","",IF(Table5[[#This Row],[cmbList]]="","",Table5[[#This Row],[cmbList]]-Table5[[#This Row],[Ovr]]))</f>
        <v>1139</v>
      </c>
      <c r="AD787" s="54" t="str">
        <f>IF(ISERROR(VLOOKUP($AB787&amp;"-"&amp;$E787&amp;" "&amp;F787,Bonuses!$B$1:$G$1006,4,FALSE)),"",INT(VLOOKUP($AB787&amp;"-"&amp;$E787&amp;" "&amp;$F787,Bonuses!$B$1:$G$1006,4,FALSE)))</f>
        <v/>
      </c>
      <c r="AE787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18.11 (580) - RP Shigenobu Takahashi</v>
      </c>
    </row>
    <row r="788" spans="1:31" s="50" customFormat="1" x14ac:dyDescent="0.3">
      <c r="A788" s="50">
        <v>7942</v>
      </c>
      <c r="B788" s="50">
        <f>COUNTIF(Table5[PID],A788)</f>
        <v>1</v>
      </c>
      <c r="C788" s="50" t="str">
        <f>IF(COUNTIF(Table3[[#All],[PID]],A788)&gt;0,"P","B")</f>
        <v>P</v>
      </c>
      <c r="D788" s="59" t="str">
        <f>IF($C788="B",INDEX(Batters[[#All],[POS]],MATCH(Table5[[#This Row],[PID]],Batters[[#All],[PID]],0)),INDEX(Table3[[#All],[POS]],MATCH(Table5[[#This Row],[PID]],Table3[[#All],[PID]],0)))</f>
        <v>RP</v>
      </c>
      <c r="E788" s="52" t="str">
        <f>IF($C788="B",INDEX(Batters[[#All],[First]],MATCH(Table5[[#This Row],[PID]],Batters[[#All],[PID]],0)),INDEX(Table3[[#All],[First]],MATCH(Table5[[#This Row],[PID]],Table3[[#All],[PID]],0)))</f>
        <v>Mark</v>
      </c>
      <c r="F788" s="50" t="str">
        <f>IF($C788="B",INDEX(Batters[[#All],[Last]],MATCH(A788,Batters[[#All],[PID]],0)),INDEX(Table3[[#All],[Last]],MATCH(A788,Table3[[#All],[PID]],0)))</f>
        <v>Douglas</v>
      </c>
      <c r="G788" s="56">
        <f>IF($C788="B",INDEX(Batters[[#All],[Age]],MATCH(Table5[[#This Row],[PID]],Batters[[#All],[PID]],0)),INDEX(Table3[[#All],[Age]],MATCH(Table5[[#This Row],[PID]],Table3[[#All],[PID]],0)))</f>
        <v>21</v>
      </c>
      <c r="H788" s="52" t="str">
        <f>IF($C788="B",INDEX(Batters[[#All],[B]],MATCH(Table5[[#This Row],[PID]],Batters[[#All],[PID]],0)),INDEX(Table3[[#All],[B]],MATCH(Table5[[#This Row],[PID]],Table3[[#All],[PID]],0)))</f>
        <v>L</v>
      </c>
      <c r="I788" s="52" t="str">
        <f>IF($C788="B",INDEX(Batters[[#All],[T]],MATCH(Table5[[#This Row],[PID]],Batters[[#All],[PID]],0)),INDEX(Table3[[#All],[T]],MATCH(Table5[[#This Row],[PID]],Table3[[#All],[PID]],0)))</f>
        <v>L</v>
      </c>
      <c r="J788" s="52" t="str">
        <f>IF($C788="B",INDEX(Batters[[#All],[WE]],MATCH(Table5[[#This Row],[PID]],Batters[[#All],[PID]],0)),INDEX(Table3[[#All],[WE]],MATCH(Table5[[#This Row],[PID]],Table3[[#All],[PID]],0)))</f>
        <v>Normal</v>
      </c>
      <c r="K788" s="52" t="str">
        <f>IF($C788="B",INDEX(Batters[[#All],[INT]],MATCH(Table5[[#This Row],[PID]],Batters[[#All],[PID]],0)),INDEX(Table3[[#All],[INT]],MATCH(Table5[[#This Row],[PID]],Table3[[#All],[PID]],0)))</f>
        <v>Normal</v>
      </c>
      <c r="L788" s="60">
        <f>IF($C788="B",INDEX(Batters[[#All],[CON P]],MATCH(Table5[[#This Row],[PID]],Batters[[#All],[PID]],0)),INDEX(Table3[[#All],[STU P]],MATCH(Table5[[#This Row],[PID]],Table3[[#All],[PID]],0)))</f>
        <v>5</v>
      </c>
      <c r="M788" s="56">
        <f>IF($C788="B",INDEX(Batters[[#All],[GAP P]],MATCH(Table5[[#This Row],[PID]],Batters[[#All],[PID]],0)),INDEX(Table3[[#All],[MOV P]],MATCH(Table5[[#This Row],[PID]],Table3[[#All],[PID]],0)))</f>
        <v>1</v>
      </c>
      <c r="N788" s="56">
        <f>IF($C788="B",INDEX(Batters[[#All],[POW P]],MATCH(Table5[[#This Row],[PID]],Batters[[#All],[PID]],0)),INDEX(Table3[[#All],[CON P]],MATCH(Table5[[#This Row],[PID]],Table3[[#All],[PID]],0)))</f>
        <v>1</v>
      </c>
      <c r="O788" s="56" t="str">
        <f>IF($C788="B",INDEX(Batters[[#All],[EYE P]],MATCH(Table5[[#This Row],[PID]],Batters[[#All],[PID]],0)),INDEX(Table3[[#All],[VELO]],MATCH(Table5[[#This Row],[PID]],Table3[[#All],[PID]],0)))</f>
        <v>89-91 Mph</v>
      </c>
      <c r="P788" s="56">
        <f>IF($C788="B",INDEX(Batters[[#All],[K P]],MATCH(Table5[[#This Row],[PID]],Batters[[#All],[PID]],0)),INDEX(Table3[[#All],[STM]],MATCH(Table5[[#This Row],[PID]],Table3[[#All],[PID]],0)))</f>
        <v>7</v>
      </c>
      <c r="Q788" s="61">
        <f>IF($C788="B",INDEX(Batters[[#All],[Tot]],MATCH(Table5[[#This Row],[PID]],Batters[[#All],[PID]],0)),INDEX(Table3[[#All],[Tot]],MATCH(Table5[[#This Row],[PID]],Table3[[#All],[PID]],0)))</f>
        <v>20.95415763343167</v>
      </c>
      <c r="R788" s="52">
        <f>IF($C788="B",INDEX(Batters[[#All],[zScore]],MATCH(Table5[[#This Row],[PID]],Batters[[#All],[PID]],0)),INDEX(Table3[[#All],[zScore]],MATCH(Table5[[#This Row],[PID]],Table3[[#All],[PID]],0)))</f>
        <v>-1.1924285686028635</v>
      </c>
      <c r="S788" s="58" t="str">
        <f>IF($C788="B",INDEX(Batters[[#All],[DEM]],MATCH(Table5[[#This Row],[PID]],Batters[[#All],[PID]],0)),INDEX(Table3[[#All],[DEM]],MATCH(Table5[[#This Row],[PID]],Table3[[#All],[PID]],0)))</f>
        <v>-</v>
      </c>
      <c r="T788" s="62">
        <f>IF($C788="B",INDEX(Batters[[#All],[Rnk]],MATCH(Table5[[#This Row],[PID]],Batters[[#All],[PID]],0)),INDEX(Table3[[#All],[Rnk]],MATCH(Table5[[#This Row],[PID]],Table3[[#All],[PID]],0)))</f>
        <v>900</v>
      </c>
      <c r="U788" s="67">
        <f>IF($C788="B",VLOOKUP($A788,Bat!$A$4:$BA$1314,47,FALSE),VLOOKUP($A788,Pit!$A$4:$BF$1214,56,FALSE))</f>
        <v>254</v>
      </c>
      <c r="V788" s="50">
        <f>IF($C788="B",VLOOKUP($A788,Bat!$A$4:$BA$1314,48,FALSE),VLOOKUP($A788,Pit!$A$4:$BF$1214,57,FALSE))</f>
        <v>0</v>
      </c>
      <c r="W788" s="68">
        <f>IF(Table5[[#This Row],[posRnk]]=999,9999,Table5[[#This Row],[posRnk]]+Table5[[#This Row],[zRnk]]+IF($W$3&lt;&gt;Table5[[#This Row],[Type]],50,0))</f>
        <v>1720</v>
      </c>
      <c r="X788" s="51">
        <f>RANK(Table5[[#This Row],[zScore]],Table5[[#All],[zScore]])</f>
        <v>820</v>
      </c>
      <c r="Y788" s="50">
        <f>IFERROR(INDEX(DraftResults[[#All],[OVR]],MATCH(Table5[[#This Row],[PID]],DraftResults[[#All],[Player ID]],0)),"")</f>
        <v>657</v>
      </c>
      <c r="Z788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20</v>
      </c>
      <c r="AA788" s="50">
        <f>IFERROR(INDEX(DraftResults[[#All],[Pick in Round]],MATCH(Table5[[#This Row],[PID]],DraftResults[[#All],[Player ID]],0)),"")</f>
        <v>20</v>
      </c>
      <c r="AB788" s="50" t="str">
        <f>IFERROR(INDEX(DraftResults[[#All],[Team Name]],MATCH(Table5[[#This Row],[PID]],DraftResults[[#All],[Player ID]],0)),"")</f>
        <v>Crystal Lake Sandgnats</v>
      </c>
      <c r="AC788" s="50">
        <f>IF(Table5[[#This Row],[Ovr]]="","",IF(Table5[[#This Row],[cmbList]]="","",Table5[[#This Row],[cmbList]]-Table5[[#This Row],[Ovr]]))</f>
        <v>1063</v>
      </c>
      <c r="AD788" s="54" t="str">
        <f>IF(ISERROR(VLOOKUP($AB788&amp;"-"&amp;$E788&amp;" "&amp;F788,Bonuses!$B$1:$G$1006,4,FALSE)),"",INT(VLOOKUP($AB788&amp;"-"&amp;$E788&amp;" "&amp;$F788,Bonuses!$B$1:$G$1006,4,FALSE)))</f>
        <v/>
      </c>
      <c r="AE788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20.20 (657) - RP Mark Douglas</v>
      </c>
    </row>
    <row r="789" spans="1:31" s="50" customFormat="1" x14ac:dyDescent="0.3">
      <c r="A789" s="50">
        <v>14797</v>
      </c>
      <c r="B789" s="50">
        <f>COUNTIF(Table5[PID],A789)</f>
        <v>1</v>
      </c>
      <c r="C789" s="50" t="str">
        <f>IF(COUNTIF(Table3[[#All],[PID]],A789)&gt;0,"P","B")</f>
        <v>B</v>
      </c>
      <c r="D789" s="59" t="str">
        <f>IF($C789="B",INDEX(Batters[[#All],[POS]],MATCH(Table5[[#This Row],[PID]],Batters[[#All],[PID]],0)),INDEX(Table3[[#All],[POS]],MATCH(Table5[[#This Row],[PID]],Table3[[#All],[PID]],0)))</f>
        <v>RF</v>
      </c>
      <c r="E789" s="52" t="str">
        <f>IF($C789="B",INDEX(Batters[[#All],[First]],MATCH(Table5[[#This Row],[PID]],Batters[[#All],[PID]],0)),INDEX(Table3[[#All],[First]],MATCH(Table5[[#This Row],[PID]],Table3[[#All],[PID]],0)))</f>
        <v>Howard</v>
      </c>
      <c r="F789" s="50" t="str">
        <f>IF($C789="B",INDEX(Batters[[#All],[Last]],MATCH(A789,Batters[[#All],[PID]],0)),INDEX(Table3[[#All],[Last]],MATCH(A789,Table3[[#All],[PID]],0)))</f>
        <v>Gregory</v>
      </c>
      <c r="G789" s="56">
        <f>IF($C789="B",INDEX(Batters[[#All],[Age]],MATCH(Table5[[#This Row],[PID]],Batters[[#All],[PID]],0)),INDEX(Table3[[#All],[Age]],MATCH(Table5[[#This Row],[PID]],Table3[[#All],[PID]],0)))</f>
        <v>21</v>
      </c>
      <c r="H789" s="52" t="str">
        <f>IF($C789="B",INDEX(Batters[[#All],[B]],MATCH(Table5[[#This Row],[PID]],Batters[[#All],[PID]],0)),INDEX(Table3[[#All],[B]],MATCH(Table5[[#This Row],[PID]],Table3[[#All],[PID]],0)))</f>
        <v>R</v>
      </c>
      <c r="I789" s="52" t="str">
        <f>IF($C789="B",INDEX(Batters[[#All],[T]],MATCH(Table5[[#This Row],[PID]],Batters[[#All],[PID]],0)),INDEX(Table3[[#All],[T]],MATCH(Table5[[#This Row],[PID]],Table3[[#All],[PID]],0)))</f>
        <v>R</v>
      </c>
      <c r="J789" s="52" t="str">
        <f>IF($C789="B",INDEX(Batters[[#All],[WE]],MATCH(Table5[[#This Row],[PID]],Batters[[#All],[PID]],0)),INDEX(Table3[[#All],[WE]],MATCH(Table5[[#This Row],[PID]],Table3[[#All],[PID]],0)))</f>
        <v>Normal</v>
      </c>
      <c r="K789" s="52" t="str">
        <f>IF($C789="B",INDEX(Batters[[#All],[INT]],MATCH(Table5[[#This Row],[PID]],Batters[[#All],[PID]],0)),INDEX(Table3[[#All],[INT]],MATCH(Table5[[#This Row],[PID]],Table3[[#All],[PID]],0)))</f>
        <v>Normal</v>
      </c>
      <c r="L789" s="60">
        <f>IF($C789="B",INDEX(Batters[[#All],[CON P]],MATCH(Table5[[#This Row],[PID]],Batters[[#All],[PID]],0)),INDEX(Table3[[#All],[STU P]],MATCH(Table5[[#This Row],[PID]],Table3[[#All],[PID]],0)))</f>
        <v>3</v>
      </c>
      <c r="M789" s="56">
        <f>IF($C789="B",INDEX(Batters[[#All],[GAP P]],MATCH(Table5[[#This Row],[PID]],Batters[[#All],[PID]],0)),INDEX(Table3[[#All],[MOV P]],MATCH(Table5[[#This Row],[PID]],Table3[[#All],[PID]],0)))</f>
        <v>4</v>
      </c>
      <c r="N789" s="56">
        <f>IF($C789="B",INDEX(Batters[[#All],[POW P]],MATCH(Table5[[#This Row],[PID]],Batters[[#All],[PID]],0)),INDEX(Table3[[#All],[CON P]],MATCH(Table5[[#This Row],[PID]],Table3[[#All],[PID]],0)))</f>
        <v>2</v>
      </c>
      <c r="O789" s="56">
        <f>IF($C789="B",INDEX(Batters[[#All],[EYE P]],MATCH(Table5[[#This Row],[PID]],Batters[[#All],[PID]],0)),INDEX(Table3[[#All],[VELO]],MATCH(Table5[[#This Row],[PID]],Table3[[#All],[PID]],0)))</f>
        <v>4</v>
      </c>
      <c r="P789" s="56">
        <f>IF($C789="B",INDEX(Batters[[#All],[K P]],MATCH(Table5[[#This Row],[PID]],Batters[[#All],[PID]],0)),INDEX(Table3[[#All],[STM]],MATCH(Table5[[#This Row],[PID]],Table3[[#All],[PID]],0)))</f>
        <v>4</v>
      </c>
      <c r="Q789" s="61">
        <f>IF($C789="B",INDEX(Batters[[#All],[Tot]],MATCH(Table5[[#This Row],[PID]],Batters[[#All],[PID]],0)),INDEX(Table3[[#All],[Tot]],MATCH(Table5[[#This Row],[PID]],Table3[[#All],[PID]],0)))</f>
        <v>35.048194256635853</v>
      </c>
      <c r="R789" s="52">
        <f>IF($C789="B",INDEX(Batters[[#All],[zScore]],MATCH(Table5[[#This Row],[PID]],Batters[[#All],[PID]],0)),INDEX(Table3[[#All],[zScore]],MATCH(Table5[[#This Row],[PID]],Table3[[#All],[PID]],0)))</f>
        <v>-1.1926027064329265</v>
      </c>
      <c r="S789" s="58" t="str">
        <f>IF($C789="B",INDEX(Batters[[#All],[DEM]],MATCH(Table5[[#This Row],[PID]],Batters[[#All],[PID]],0)),INDEX(Table3[[#All],[DEM]],MATCH(Table5[[#This Row],[PID]],Table3[[#All],[PID]],0)))</f>
        <v>-</v>
      </c>
      <c r="T789" s="62">
        <f>IF($C789="B",INDEX(Batters[[#All],[Rnk]],MATCH(Table5[[#This Row],[PID]],Batters[[#All],[PID]],0)),INDEX(Table3[[#All],[Rnk]],MATCH(Table5[[#This Row],[PID]],Table3[[#All],[PID]],0)))</f>
        <v>900</v>
      </c>
      <c r="U789" s="67">
        <f>IF($C789="B",VLOOKUP($A789,Bat!$A$4:$BA$1314,47,FALSE),VLOOKUP($A789,Pit!$A$4:$BF$1214,56,FALSE))</f>
        <v>277</v>
      </c>
      <c r="V789" s="50">
        <f>IF($C789="B",VLOOKUP($A789,Bat!$A$4:$BA$1314,48,FALSE),VLOOKUP($A789,Pit!$A$4:$BF$1214,57,FALSE))</f>
        <v>0</v>
      </c>
      <c r="W789" s="68">
        <f>IF(Table5[[#This Row],[posRnk]]=999,9999,Table5[[#This Row],[posRnk]]+Table5[[#This Row],[zRnk]]+IF($W$3&lt;&gt;Table5[[#This Row],[Type]],50,0))</f>
        <v>1771</v>
      </c>
      <c r="X789" s="51">
        <f>RANK(Table5[[#This Row],[zScore]],Table5[[#All],[zScore]])</f>
        <v>821</v>
      </c>
      <c r="Y789" s="50" t="str">
        <f>IFERROR(INDEX(DraftResults[[#All],[OVR]],MATCH(Table5[[#This Row],[PID]],DraftResults[[#All],[Player ID]],0)),"")</f>
        <v/>
      </c>
      <c r="Z789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/>
      </c>
      <c r="AA789" s="50" t="str">
        <f>IFERROR(INDEX(DraftResults[[#All],[Pick in Round]],MATCH(Table5[[#This Row],[PID]],DraftResults[[#All],[Player ID]],0)),"")</f>
        <v/>
      </c>
      <c r="AB789" s="50" t="str">
        <f>IFERROR(INDEX(DraftResults[[#All],[Team Name]],MATCH(Table5[[#This Row],[PID]],DraftResults[[#All],[Player ID]],0)),"")</f>
        <v/>
      </c>
      <c r="AC789" s="50" t="str">
        <f>IF(Table5[[#This Row],[Ovr]]="","",IF(Table5[[#This Row],[cmbList]]="","",Table5[[#This Row],[cmbList]]-Table5[[#This Row],[Ovr]]))</f>
        <v/>
      </c>
      <c r="AD789" s="54" t="str">
        <f>IF(ISERROR(VLOOKUP($AB789&amp;"-"&amp;$E789&amp;" "&amp;F789,Bonuses!$B$1:$G$1006,4,FALSE)),"",INT(VLOOKUP($AB789&amp;"-"&amp;$E789&amp;" "&amp;$F789,Bonuses!$B$1:$G$1006,4,FALSE)))</f>
        <v/>
      </c>
      <c r="AE789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/>
      </c>
    </row>
    <row r="790" spans="1:31" s="50" customFormat="1" x14ac:dyDescent="0.3">
      <c r="A790" s="50">
        <v>20220</v>
      </c>
      <c r="B790" s="50">
        <f>COUNTIF(Table5[PID],A790)</f>
        <v>1</v>
      </c>
      <c r="C790" s="50" t="str">
        <f>IF(COUNTIF(Table3[[#All],[PID]],A790)&gt;0,"P","B")</f>
        <v>P</v>
      </c>
      <c r="D790" s="59" t="str">
        <f>IF($C790="B",INDEX(Batters[[#All],[POS]],MATCH(Table5[[#This Row],[PID]],Batters[[#All],[PID]],0)),INDEX(Table3[[#All],[POS]],MATCH(Table5[[#This Row],[PID]],Table3[[#All],[PID]],0)))</f>
        <v>RP</v>
      </c>
      <c r="E790" s="52" t="str">
        <f>IF($C790="B",INDEX(Batters[[#All],[First]],MATCH(Table5[[#This Row],[PID]],Batters[[#All],[PID]],0)),INDEX(Table3[[#All],[First]],MATCH(Table5[[#This Row],[PID]],Table3[[#All],[PID]],0)))</f>
        <v>Sean</v>
      </c>
      <c r="F790" s="50" t="str">
        <f>IF($C790="B",INDEX(Batters[[#All],[Last]],MATCH(A790,Batters[[#All],[PID]],0)),INDEX(Table3[[#All],[Last]],MATCH(A790,Table3[[#All],[PID]],0)))</f>
        <v>MacDonald</v>
      </c>
      <c r="G790" s="56">
        <f>IF($C790="B",INDEX(Batters[[#All],[Age]],MATCH(Table5[[#This Row],[PID]],Batters[[#All],[PID]],0)),INDEX(Table3[[#All],[Age]],MATCH(Table5[[#This Row],[PID]],Table3[[#All],[PID]],0)))</f>
        <v>21</v>
      </c>
      <c r="H790" s="52" t="str">
        <f>IF($C790="B",INDEX(Batters[[#All],[B]],MATCH(Table5[[#This Row],[PID]],Batters[[#All],[PID]],0)),INDEX(Table3[[#All],[B]],MATCH(Table5[[#This Row],[PID]],Table3[[#All],[PID]],0)))</f>
        <v>S</v>
      </c>
      <c r="I790" s="52" t="str">
        <f>IF($C790="B",INDEX(Batters[[#All],[T]],MATCH(Table5[[#This Row],[PID]],Batters[[#All],[PID]],0)),INDEX(Table3[[#All],[T]],MATCH(Table5[[#This Row],[PID]],Table3[[#All],[PID]],0)))</f>
        <v>R</v>
      </c>
      <c r="J790" s="52" t="str">
        <f>IF($C790="B",INDEX(Batters[[#All],[WE]],MATCH(Table5[[#This Row],[PID]],Batters[[#All],[PID]],0)),INDEX(Table3[[#All],[WE]],MATCH(Table5[[#This Row],[PID]],Table3[[#All],[PID]],0)))</f>
        <v>Low</v>
      </c>
      <c r="K790" s="52" t="str">
        <f>IF($C790="B",INDEX(Batters[[#All],[INT]],MATCH(Table5[[#This Row],[PID]],Batters[[#All],[PID]],0)),INDEX(Table3[[#All],[INT]],MATCH(Table5[[#This Row],[PID]],Table3[[#All],[PID]],0)))</f>
        <v>Normal</v>
      </c>
      <c r="L790" s="60">
        <f>IF($C790="B",INDEX(Batters[[#All],[CON P]],MATCH(Table5[[#This Row],[PID]],Batters[[#All],[PID]],0)),INDEX(Table3[[#All],[STU P]],MATCH(Table5[[#This Row],[PID]],Table3[[#All],[PID]],0)))</f>
        <v>4</v>
      </c>
      <c r="M790" s="56">
        <f>IF($C790="B",INDEX(Batters[[#All],[GAP P]],MATCH(Table5[[#This Row],[PID]],Batters[[#All],[PID]],0)),INDEX(Table3[[#All],[MOV P]],MATCH(Table5[[#This Row],[PID]],Table3[[#All],[PID]],0)))</f>
        <v>2</v>
      </c>
      <c r="N790" s="56">
        <f>IF($C790="B",INDEX(Batters[[#All],[POW P]],MATCH(Table5[[#This Row],[PID]],Batters[[#All],[PID]],0)),INDEX(Table3[[#All],[CON P]],MATCH(Table5[[#This Row],[PID]],Table3[[#All],[PID]],0)))</f>
        <v>2</v>
      </c>
      <c r="O790" s="56" t="str">
        <f>IF($C790="B",INDEX(Batters[[#All],[EYE P]],MATCH(Table5[[#This Row],[PID]],Batters[[#All],[PID]],0)),INDEX(Table3[[#All],[VELO]],MATCH(Table5[[#This Row],[PID]],Table3[[#All],[PID]],0)))</f>
        <v>90-92 Mph</v>
      </c>
      <c r="P790" s="56">
        <f>IF($C790="B",INDEX(Batters[[#All],[K P]],MATCH(Table5[[#This Row],[PID]],Batters[[#All],[PID]],0)),INDEX(Table3[[#All],[STM]],MATCH(Table5[[#This Row],[PID]],Table3[[#All],[PID]],0)))</f>
        <v>1</v>
      </c>
      <c r="Q790" s="61">
        <f>IF($C790="B",INDEX(Batters[[#All],[Tot]],MATCH(Table5[[#This Row],[PID]],Batters[[#All],[PID]],0)),INDEX(Table3[[#All],[Tot]],MATCH(Table5[[#This Row],[PID]],Table3[[#All],[PID]],0)))</f>
        <v>22.748731331063393</v>
      </c>
      <c r="R790" s="52">
        <f>IF($C790="B",INDEX(Batters[[#All],[zScore]],MATCH(Table5[[#This Row],[PID]],Batters[[#All],[PID]],0)),INDEX(Table3[[#All],[zScore]],MATCH(Table5[[#This Row],[PID]],Table3[[#All],[PID]],0)))</f>
        <v>-1.0719400814801487</v>
      </c>
      <c r="S790" s="58" t="str">
        <f>IF($C790="B",INDEX(Batters[[#All],[DEM]],MATCH(Table5[[#This Row],[PID]],Batters[[#All],[PID]],0)),INDEX(Table3[[#All],[DEM]],MATCH(Table5[[#This Row],[PID]],Table3[[#All],[PID]],0)))</f>
        <v>-</v>
      </c>
      <c r="T790" s="62">
        <f>IF($C790="B",INDEX(Batters[[#All],[Rnk]],MATCH(Table5[[#This Row],[PID]],Batters[[#All],[PID]],0)),INDEX(Table3[[#All],[Rnk]],MATCH(Table5[[#This Row],[PID]],Table3[[#All],[PID]],0)))</f>
        <v>930</v>
      </c>
      <c r="U790" s="67">
        <f>IF($C790="B",VLOOKUP($A790,Bat!$A$4:$BA$1314,47,FALSE),VLOOKUP($A790,Pit!$A$4:$BF$1214,56,FALSE))</f>
        <v>368</v>
      </c>
      <c r="V790" s="50">
        <f>IF($C790="B",VLOOKUP($A790,Bat!$A$4:$BA$1314,48,FALSE),VLOOKUP($A790,Pit!$A$4:$BF$1214,57,FALSE))</f>
        <v>0</v>
      </c>
      <c r="W790" s="68">
        <f>IF(Table5[[#This Row],[posRnk]]=999,9999,Table5[[#This Row],[posRnk]]+Table5[[#This Row],[zRnk]]+IF($W$3&lt;&gt;Table5[[#This Row],[Type]],50,0))</f>
        <v>1722</v>
      </c>
      <c r="X790" s="51">
        <f>RANK(Table5[[#This Row],[zScore]],Table5[[#All],[zScore]])</f>
        <v>792</v>
      </c>
      <c r="Y790" s="50" t="str">
        <f>IFERROR(INDEX(DraftResults[[#All],[OVR]],MATCH(Table5[[#This Row],[PID]],DraftResults[[#All],[Player ID]],0)),"")</f>
        <v/>
      </c>
      <c r="Z790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/>
      </c>
      <c r="AA790" s="50" t="str">
        <f>IFERROR(INDEX(DraftResults[[#All],[Pick in Round]],MATCH(Table5[[#This Row],[PID]],DraftResults[[#All],[Player ID]],0)),"")</f>
        <v/>
      </c>
      <c r="AB790" s="50" t="str">
        <f>IFERROR(INDEX(DraftResults[[#All],[Team Name]],MATCH(Table5[[#This Row],[PID]],DraftResults[[#All],[Player ID]],0)),"")</f>
        <v/>
      </c>
      <c r="AC790" s="50" t="str">
        <f>IF(Table5[[#This Row],[Ovr]]="","",IF(Table5[[#This Row],[cmbList]]="","",Table5[[#This Row],[cmbList]]-Table5[[#This Row],[Ovr]]))</f>
        <v/>
      </c>
      <c r="AD790" s="54" t="str">
        <f>IF(ISERROR(VLOOKUP($AB790&amp;"-"&amp;$E790&amp;" "&amp;F790,Bonuses!$B$1:$G$1006,4,FALSE)),"",INT(VLOOKUP($AB790&amp;"-"&amp;$E790&amp;" "&amp;$F790,Bonuses!$B$1:$G$1006,4,FALSE)))</f>
        <v/>
      </c>
      <c r="AE790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/>
      </c>
    </row>
    <row r="791" spans="1:31" s="50" customFormat="1" x14ac:dyDescent="0.3">
      <c r="A791" s="67">
        <v>14169</v>
      </c>
      <c r="B791" s="68">
        <f>COUNTIF(Table5[PID],A791)</f>
        <v>1</v>
      </c>
      <c r="C791" s="68" t="str">
        <f>IF(COUNTIF(Table3[[#All],[PID]],A791)&gt;0,"P","B")</f>
        <v>B</v>
      </c>
      <c r="D791" s="59" t="str">
        <f>IF($C791="B",INDEX(Batters[[#All],[POS]],MATCH(Table5[[#This Row],[PID]],Batters[[#All],[PID]],0)),INDEX(Table3[[#All],[POS]],MATCH(Table5[[#This Row],[PID]],Table3[[#All],[PID]],0)))</f>
        <v>C</v>
      </c>
      <c r="E791" s="52" t="str">
        <f>IF($C791="B",INDEX(Batters[[#All],[First]],MATCH(Table5[[#This Row],[PID]],Batters[[#All],[PID]],0)),INDEX(Table3[[#All],[First]],MATCH(Table5[[#This Row],[PID]],Table3[[#All],[PID]],0)))</f>
        <v>Mitsukuni</v>
      </c>
      <c r="F791" s="55" t="str">
        <f>IF($C791="B",INDEX(Batters[[#All],[Last]],MATCH(A791,Batters[[#All],[PID]],0)),INDEX(Table3[[#All],[Last]],MATCH(A791,Table3[[#All],[PID]],0)))</f>
        <v>Yamamoto</v>
      </c>
      <c r="G791" s="56">
        <f>IF($C791="B",INDEX(Batters[[#All],[Age]],MATCH(Table5[[#This Row],[PID]],Batters[[#All],[PID]],0)),INDEX(Table3[[#All],[Age]],MATCH(Table5[[#This Row],[PID]],Table3[[#All],[PID]],0)))</f>
        <v>21</v>
      </c>
      <c r="H791" s="52" t="str">
        <f>IF($C791="B",INDEX(Batters[[#All],[B]],MATCH(Table5[[#This Row],[PID]],Batters[[#All],[PID]],0)),INDEX(Table3[[#All],[B]],MATCH(Table5[[#This Row],[PID]],Table3[[#All],[PID]],0)))</f>
        <v>R</v>
      </c>
      <c r="I791" s="52" t="str">
        <f>IF($C791="B",INDEX(Batters[[#All],[T]],MATCH(Table5[[#This Row],[PID]],Batters[[#All],[PID]],0)),INDEX(Table3[[#All],[T]],MATCH(Table5[[#This Row],[PID]],Table3[[#All],[PID]],0)))</f>
        <v>R</v>
      </c>
      <c r="J791" s="69" t="str">
        <f>IF($C791="B",INDEX(Batters[[#All],[WE]],MATCH(Table5[[#This Row],[PID]],Batters[[#All],[PID]],0)),INDEX(Table3[[#All],[WE]],MATCH(Table5[[#This Row],[PID]],Table3[[#All],[PID]],0)))</f>
        <v>Low</v>
      </c>
      <c r="K791" s="52" t="str">
        <f>IF($C791="B",INDEX(Batters[[#All],[INT]],MATCH(Table5[[#This Row],[PID]],Batters[[#All],[PID]],0)),INDEX(Table3[[#All],[INT]],MATCH(Table5[[#This Row],[PID]],Table3[[#All],[PID]],0)))</f>
        <v>Normal</v>
      </c>
      <c r="L791" s="60">
        <f>IF($C791="B",INDEX(Batters[[#All],[CON P]],MATCH(Table5[[#This Row],[PID]],Batters[[#All],[PID]],0)),INDEX(Table3[[#All],[STU P]],MATCH(Table5[[#This Row],[PID]],Table3[[#All],[PID]],0)))</f>
        <v>2</v>
      </c>
      <c r="M791" s="70">
        <f>IF($C791="B",INDEX(Batters[[#All],[GAP P]],MATCH(Table5[[#This Row],[PID]],Batters[[#All],[PID]],0)),INDEX(Table3[[#All],[MOV P]],MATCH(Table5[[#This Row],[PID]],Table3[[#All],[PID]],0)))</f>
        <v>4</v>
      </c>
      <c r="N791" s="70">
        <f>IF($C791="B",INDEX(Batters[[#All],[POW P]],MATCH(Table5[[#This Row],[PID]],Batters[[#All],[PID]],0)),INDEX(Table3[[#All],[CON P]],MATCH(Table5[[#This Row],[PID]],Table3[[#All],[PID]],0)))</f>
        <v>4</v>
      </c>
      <c r="O791" s="70">
        <f>IF($C791="B",INDEX(Batters[[#All],[EYE P]],MATCH(Table5[[#This Row],[PID]],Batters[[#All],[PID]],0)),INDEX(Table3[[#All],[VELO]],MATCH(Table5[[#This Row],[PID]],Table3[[#All],[PID]],0)))</f>
        <v>6</v>
      </c>
      <c r="P791" s="56">
        <f>IF($C791="B",INDEX(Batters[[#All],[K P]],MATCH(Table5[[#This Row],[PID]],Batters[[#All],[PID]],0)),INDEX(Table3[[#All],[STM]],MATCH(Table5[[#This Row],[PID]],Table3[[#All],[PID]],0)))</f>
        <v>3</v>
      </c>
      <c r="Q791" s="61">
        <f>IF($C791="B",INDEX(Batters[[#All],[Tot]],MATCH(Table5[[#This Row],[PID]],Batters[[#All],[PID]],0)),INDEX(Table3[[#All],[Tot]],MATCH(Table5[[#This Row],[PID]],Table3[[#All],[PID]],0)))</f>
        <v>35.698471877187828</v>
      </c>
      <c r="R791" s="52">
        <f>IF($C791="B",INDEX(Batters[[#All],[zScore]],MATCH(Table5[[#This Row],[PID]],Batters[[#All],[PID]],0)),INDEX(Table3[[#All],[zScore]],MATCH(Table5[[#This Row],[PID]],Table3[[#All],[PID]],0)))</f>
        <v>-1.0766323192829252</v>
      </c>
      <c r="S791" s="75" t="str">
        <f>IF($C791="B",INDEX(Batters[[#All],[DEM]],MATCH(Table5[[#This Row],[PID]],Batters[[#All],[PID]],0)),INDEX(Table3[[#All],[DEM]],MATCH(Table5[[#This Row],[PID]],Table3[[#All],[PID]],0)))</f>
        <v>$20k</v>
      </c>
      <c r="T791" s="72">
        <f>IF($C791="B",INDEX(Batters[[#All],[Rnk]],MATCH(Table5[[#This Row],[PID]],Batters[[#All],[PID]],0)),INDEX(Table3[[#All],[Rnk]],MATCH(Table5[[#This Row],[PID]],Table3[[#All],[PID]],0)))</f>
        <v>930</v>
      </c>
      <c r="U791" s="67">
        <f>IF($C791="B",VLOOKUP($A791,Bat!$A$4:$BA$1314,47,FALSE),VLOOKUP($A791,Pit!$A$4:$BF$1214,56,FALSE))</f>
        <v>379</v>
      </c>
      <c r="V791" s="50">
        <f>IF($C791="B",VLOOKUP($A791,Bat!$A$4:$BA$1314,48,FALSE),VLOOKUP($A791,Pit!$A$4:$BF$1214,57,FALSE))</f>
        <v>0</v>
      </c>
      <c r="W791" s="68">
        <f>IF(Table5[[#This Row],[posRnk]]=999,9999,Table5[[#This Row],[posRnk]]+Table5[[#This Row],[zRnk]]+IF($W$3&lt;&gt;Table5[[#This Row],[Type]],50,0))</f>
        <v>1774</v>
      </c>
      <c r="X791" s="71">
        <f>RANK(Table5[[#This Row],[zScore]],Table5[[#All],[zScore]])</f>
        <v>794</v>
      </c>
      <c r="Y791" s="68" t="str">
        <f>IFERROR(INDEX(DraftResults[[#All],[OVR]],MATCH(Table5[[#This Row],[PID]],DraftResults[[#All],[Player ID]],0)),"")</f>
        <v/>
      </c>
      <c r="Z791" s="7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/>
      </c>
      <c r="AA791" s="68" t="str">
        <f>IFERROR(INDEX(DraftResults[[#All],[Pick in Round]],MATCH(Table5[[#This Row],[PID]],DraftResults[[#All],[Player ID]],0)),"")</f>
        <v/>
      </c>
      <c r="AB791" s="68" t="str">
        <f>IFERROR(INDEX(DraftResults[[#All],[Team Name]],MATCH(Table5[[#This Row],[PID]],DraftResults[[#All],[Player ID]],0)),"")</f>
        <v/>
      </c>
      <c r="AC791" s="68" t="str">
        <f>IF(Table5[[#This Row],[Ovr]]="","",IF(Table5[[#This Row],[cmbList]]="","",Table5[[#This Row],[cmbList]]-Table5[[#This Row],[Ovr]]))</f>
        <v/>
      </c>
      <c r="AD791" s="74" t="str">
        <f>IF(ISERROR(VLOOKUP($AB791&amp;"-"&amp;$E791&amp;" "&amp;F791,Bonuses!$B$1:$G$1006,4,FALSE)),"",INT(VLOOKUP($AB791&amp;"-"&amp;$E791&amp;" "&amp;$F791,Bonuses!$B$1:$G$1006,4,FALSE)))</f>
        <v/>
      </c>
      <c r="AE791" s="68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/>
      </c>
    </row>
    <row r="792" spans="1:31" s="50" customFormat="1" x14ac:dyDescent="0.3">
      <c r="A792" s="50">
        <v>12322</v>
      </c>
      <c r="B792" s="50">
        <f>COUNTIF(Table5[PID],A792)</f>
        <v>1</v>
      </c>
      <c r="C792" s="50" t="str">
        <f>IF(COUNTIF(Table3[[#All],[PID]],A792)&gt;0,"P","B")</f>
        <v>B</v>
      </c>
      <c r="D792" s="59" t="str">
        <f>IF($C792="B",INDEX(Batters[[#All],[POS]],MATCH(Table5[[#This Row],[PID]],Batters[[#All],[PID]],0)),INDEX(Table3[[#All],[POS]],MATCH(Table5[[#This Row],[PID]],Table3[[#All],[PID]],0)))</f>
        <v>SS</v>
      </c>
      <c r="E792" s="52" t="str">
        <f>IF($C792="B",INDEX(Batters[[#All],[First]],MATCH(Table5[[#This Row],[PID]],Batters[[#All],[PID]],0)),INDEX(Table3[[#All],[First]],MATCH(Table5[[#This Row],[PID]],Table3[[#All],[PID]],0)))</f>
        <v>Franky</v>
      </c>
      <c r="F792" s="50" t="str">
        <f>IF($C792="B",INDEX(Batters[[#All],[Last]],MATCH(A792,Batters[[#All],[PID]],0)),INDEX(Table3[[#All],[Last]],MATCH(A792,Table3[[#All],[PID]],0)))</f>
        <v>de Jonge</v>
      </c>
      <c r="G792" s="56">
        <f>IF($C792="B",INDEX(Batters[[#All],[Age]],MATCH(Table5[[#This Row],[PID]],Batters[[#All],[PID]],0)),INDEX(Table3[[#All],[Age]],MATCH(Table5[[#This Row],[PID]],Table3[[#All],[PID]],0)))</f>
        <v>21</v>
      </c>
      <c r="H792" s="52" t="str">
        <f>IF($C792="B",INDEX(Batters[[#All],[B]],MATCH(Table5[[#This Row],[PID]],Batters[[#All],[PID]],0)),INDEX(Table3[[#All],[B]],MATCH(Table5[[#This Row],[PID]],Table3[[#All],[PID]],0)))</f>
        <v>L</v>
      </c>
      <c r="I792" s="52" t="str">
        <f>IF($C792="B",INDEX(Batters[[#All],[T]],MATCH(Table5[[#This Row],[PID]],Batters[[#All],[PID]],0)),INDEX(Table3[[#All],[T]],MATCH(Table5[[#This Row],[PID]],Table3[[#All],[PID]],0)))</f>
        <v>R</v>
      </c>
      <c r="J792" s="52" t="str">
        <f>IF($C792="B",INDEX(Batters[[#All],[WE]],MATCH(Table5[[#This Row],[PID]],Batters[[#All],[PID]],0)),INDEX(Table3[[#All],[WE]],MATCH(Table5[[#This Row],[PID]],Table3[[#All],[PID]],0)))</f>
        <v>Low</v>
      </c>
      <c r="K792" s="52" t="str">
        <f>IF($C792="B",INDEX(Batters[[#All],[INT]],MATCH(Table5[[#This Row],[PID]],Batters[[#All],[PID]],0)),INDEX(Table3[[#All],[INT]],MATCH(Table5[[#This Row],[PID]],Table3[[#All],[PID]],0)))</f>
        <v>Normal</v>
      </c>
      <c r="L792" s="60">
        <f>IF($C792="B",INDEX(Batters[[#All],[CON P]],MATCH(Table5[[#This Row],[PID]],Batters[[#All],[PID]],0)),INDEX(Table3[[#All],[STU P]],MATCH(Table5[[#This Row],[PID]],Table3[[#All],[PID]],0)))</f>
        <v>3</v>
      </c>
      <c r="M792" s="56">
        <f>IF($C792="B",INDEX(Batters[[#All],[GAP P]],MATCH(Table5[[#This Row],[PID]],Batters[[#All],[PID]],0)),INDEX(Table3[[#All],[MOV P]],MATCH(Table5[[#This Row],[PID]],Table3[[#All],[PID]],0)))</f>
        <v>4</v>
      </c>
      <c r="N792" s="56">
        <f>IF($C792="B",INDEX(Batters[[#All],[POW P]],MATCH(Table5[[#This Row],[PID]],Batters[[#All],[PID]],0)),INDEX(Table3[[#All],[CON P]],MATCH(Table5[[#This Row],[PID]],Table3[[#All],[PID]],0)))</f>
        <v>2</v>
      </c>
      <c r="O792" s="56">
        <f>IF($C792="B",INDEX(Batters[[#All],[EYE P]],MATCH(Table5[[#This Row],[PID]],Batters[[#All],[PID]],0)),INDEX(Table3[[#All],[VELO]],MATCH(Table5[[#This Row],[PID]],Table3[[#All],[PID]],0)))</f>
        <v>3</v>
      </c>
      <c r="P792" s="56">
        <f>IF($C792="B",INDEX(Batters[[#All],[K P]],MATCH(Table5[[#This Row],[PID]],Batters[[#All],[PID]],0)),INDEX(Table3[[#All],[STM]],MATCH(Table5[[#This Row],[PID]],Table3[[#All],[PID]],0)))</f>
        <v>6</v>
      </c>
      <c r="Q792" s="61">
        <f>IF($C792="B",INDEX(Batters[[#All],[Tot]],MATCH(Table5[[#This Row],[PID]],Batters[[#All],[PID]],0)),INDEX(Table3[[#All],[Tot]],MATCH(Table5[[#This Row],[PID]],Table3[[#All],[PID]],0)))</f>
        <v>35.81954344638855</v>
      </c>
      <c r="R792" s="52">
        <f>IF($C792="B",INDEX(Batters[[#All],[zScore]],MATCH(Table5[[#This Row],[PID]],Batters[[#All],[PID]],0)),INDEX(Table3[[#All],[zScore]],MATCH(Table5[[#This Row],[PID]],Table3[[#All],[PID]],0)))</f>
        <v>-1.080010323326863</v>
      </c>
      <c r="S792" s="58" t="str">
        <f>IF($C792="B",INDEX(Batters[[#All],[DEM]],MATCH(Table5[[#This Row],[PID]],Batters[[#All],[PID]],0)),INDEX(Table3[[#All],[DEM]],MATCH(Table5[[#This Row],[PID]],Table3[[#All],[PID]],0)))</f>
        <v>$20k</v>
      </c>
      <c r="T792" s="62">
        <f>IF($C792="B",INDEX(Batters[[#All],[Rnk]],MATCH(Table5[[#This Row],[PID]],Batters[[#All],[PID]],0)),INDEX(Table3[[#All],[Rnk]],MATCH(Table5[[#This Row],[PID]],Table3[[#All],[PID]],0)))</f>
        <v>930</v>
      </c>
      <c r="U792" s="67">
        <f>IF($C792="B",VLOOKUP($A792,Bat!$A$4:$BA$1314,47,FALSE),VLOOKUP($A792,Pit!$A$4:$BF$1214,56,FALSE))</f>
        <v>380</v>
      </c>
      <c r="V792" s="50">
        <f>IF($C792="B",VLOOKUP($A792,Bat!$A$4:$BA$1314,48,FALSE),VLOOKUP($A792,Pit!$A$4:$BF$1214,57,FALSE))</f>
        <v>0</v>
      </c>
      <c r="W792" s="68">
        <f>IF(Table5[[#This Row],[posRnk]]=999,9999,Table5[[#This Row],[posRnk]]+Table5[[#This Row],[zRnk]]+IF($W$3&lt;&gt;Table5[[#This Row],[Type]],50,0))</f>
        <v>1775</v>
      </c>
      <c r="X792" s="51">
        <f>RANK(Table5[[#This Row],[zScore]],Table5[[#All],[zScore]])</f>
        <v>795</v>
      </c>
      <c r="Y792" s="50" t="str">
        <f>IFERROR(INDEX(DraftResults[[#All],[OVR]],MATCH(Table5[[#This Row],[PID]],DraftResults[[#All],[Player ID]],0)),"")</f>
        <v/>
      </c>
      <c r="Z792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/>
      </c>
      <c r="AA792" s="50" t="str">
        <f>IFERROR(INDEX(DraftResults[[#All],[Pick in Round]],MATCH(Table5[[#This Row],[PID]],DraftResults[[#All],[Player ID]],0)),"")</f>
        <v/>
      </c>
      <c r="AB792" s="50" t="str">
        <f>IFERROR(INDEX(DraftResults[[#All],[Team Name]],MATCH(Table5[[#This Row],[PID]],DraftResults[[#All],[Player ID]],0)),"")</f>
        <v/>
      </c>
      <c r="AC792" s="50" t="str">
        <f>IF(Table5[[#This Row],[Ovr]]="","",IF(Table5[[#This Row],[cmbList]]="","",Table5[[#This Row],[cmbList]]-Table5[[#This Row],[Ovr]]))</f>
        <v/>
      </c>
      <c r="AD792" s="54" t="str">
        <f>IF(ISERROR(VLOOKUP($AB792&amp;"-"&amp;$E792&amp;" "&amp;F792,Bonuses!$B$1:$G$1006,4,FALSE)),"",INT(VLOOKUP($AB792&amp;"-"&amp;$E792&amp;" "&amp;$F792,Bonuses!$B$1:$G$1006,4,FALSE)))</f>
        <v/>
      </c>
      <c r="AE792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/>
      </c>
    </row>
    <row r="793" spans="1:31" s="50" customFormat="1" x14ac:dyDescent="0.3">
      <c r="A793" s="50">
        <v>14750</v>
      </c>
      <c r="B793" s="50">
        <f>COUNTIF(Table5[PID],A793)</f>
        <v>1</v>
      </c>
      <c r="C793" s="50" t="str">
        <f>IF(COUNTIF(Table3[[#All],[PID]],A793)&gt;0,"P","B")</f>
        <v>P</v>
      </c>
      <c r="D793" s="59" t="str">
        <f>IF($C793="B",INDEX(Batters[[#All],[POS]],MATCH(Table5[[#This Row],[PID]],Batters[[#All],[PID]],0)),INDEX(Table3[[#All],[POS]],MATCH(Table5[[#This Row],[PID]],Table3[[#All],[PID]],0)))</f>
        <v>RP</v>
      </c>
      <c r="E793" s="52" t="str">
        <f>IF($C793="B",INDEX(Batters[[#All],[First]],MATCH(Table5[[#This Row],[PID]],Batters[[#All],[PID]],0)),INDEX(Table3[[#All],[First]],MATCH(Table5[[#This Row],[PID]],Table3[[#All],[PID]],0)))</f>
        <v>Jaime</v>
      </c>
      <c r="F793" s="50" t="str">
        <f>IF($C793="B",INDEX(Batters[[#All],[Last]],MATCH(A793,Batters[[#All],[PID]],0)),INDEX(Table3[[#All],[Last]],MATCH(A793,Table3[[#All],[PID]],0)))</f>
        <v>Egued</v>
      </c>
      <c r="G793" s="56">
        <f>IF($C793="B",INDEX(Batters[[#All],[Age]],MATCH(Table5[[#This Row],[PID]],Batters[[#All],[PID]],0)),INDEX(Table3[[#All],[Age]],MATCH(Table5[[#This Row],[PID]],Table3[[#All],[PID]],0)))</f>
        <v>21</v>
      </c>
      <c r="H793" s="52" t="str">
        <f>IF($C793="B",INDEX(Batters[[#All],[B]],MATCH(Table5[[#This Row],[PID]],Batters[[#All],[PID]],0)),INDEX(Table3[[#All],[B]],MATCH(Table5[[#This Row],[PID]],Table3[[#All],[PID]],0)))</f>
        <v>R</v>
      </c>
      <c r="I793" s="52" t="str">
        <f>IF($C793="B",INDEX(Batters[[#All],[T]],MATCH(Table5[[#This Row],[PID]],Batters[[#All],[PID]],0)),INDEX(Table3[[#All],[T]],MATCH(Table5[[#This Row],[PID]],Table3[[#All],[PID]],0)))</f>
        <v>R</v>
      </c>
      <c r="J793" s="52" t="str">
        <f>IF($C793="B",INDEX(Batters[[#All],[WE]],MATCH(Table5[[#This Row],[PID]],Batters[[#All],[PID]],0)),INDEX(Table3[[#All],[WE]],MATCH(Table5[[#This Row],[PID]],Table3[[#All],[PID]],0)))</f>
        <v>Normal</v>
      </c>
      <c r="K793" s="52" t="str">
        <f>IF($C793="B",INDEX(Batters[[#All],[INT]],MATCH(Table5[[#This Row],[PID]],Batters[[#All],[PID]],0)),INDEX(Table3[[#All],[INT]],MATCH(Table5[[#This Row],[PID]],Table3[[#All],[PID]],0)))</f>
        <v>Low</v>
      </c>
      <c r="L793" s="60">
        <f>IF($C793="B",INDEX(Batters[[#All],[CON P]],MATCH(Table5[[#This Row],[PID]],Batters[[#All],[PID]],0)),INDEX(Table3[[#All],[STU P]],MATCH(Table5[[#This Row],[PID]],Table3[[#All],[PID]],0)))</f>
        <v>4</v>
      </c>
      <c r="M793" s="56">
        <f>IF($C793="B",INDEX(Batters[[#All],[GAP P]],MATCH(Table5[[#This Row],[PID]],Batters[[#All],[PID]],0)),INDEX(Table3[[#All],[MOV P]],MATCH(Table5[[#This Row],[PID]],Table3[[#All],[PID]],0)))</f>
        <v>2</v>
      </c>
      <c r="N793" s="56">
        <f>IF($C793="B",INDEX(Batters[[#All],[POW P]],MATCH(Table5[[#This Row],[PID]],Batters[[#All],[PID]],0)),INDEX(Table3[[#All],[CON P]],MATCH(Table5[[#This Row],[PID]],Table3[[#All],[PID]],0)))</f>
        <v>2</v>
      </c>
      <c r="O793" s="56" t="str">
        <f>IF($C793="B",INDEX(Batters[[#All],[EYE P]],MATCH(Table5[[#This Row],[PID]],Batters[[#All],[PID]],0)),INDEX(Table3[[#All],[VELO]],MATCH(Table5[[#This Row],[PID]],Table3[[#All],[PID]],0)))</f>
        <v>89-91 Mph</v>
      </c>
      <c r="P793" s="56">
        <f>IF($C793="B",INDEX(Batters[[#All],[K P]],MATCH(Table5[[#This Row],[PID]],Batters[[#All],[PID]],0)),INDEX(Table3[[#All],[STM]],MATCH(Table5[[#This Row],[PID]],Table3[[#All],[PID]],0)))</f>
        <v>10</v>
      </c>
      <c r="Q793" s="61">
        <f>IF($C793="B",INDEX(Batters[[#All],[Tot]],MATCH(Table5[[#This Row],[PID]],Batters[[#All],[PID]],0)),INDEX(Table3[[#All],[Tot]],MATCH(Table5[[#This Row],[PID]],Table3[[#All],[PID]],0)))</f>
        <v>23.054463136217525</v>
      </c>
      <c r="R793" s="52">
        <f>IF($C793="B",INDEX(Batters[[#All],[zScore]],MATCH(Table5[[#This Row],[PID]],Batters[[#All],[PID]],0)),INDEX(Table3[[#All],[zScore]],MATCH(Table5[[#This Row],[PID]],Table3[[#All],[PID]],0)))</f>
        <v>-1.0501698267802244</v>
      </c>
      <c r="S793" s="58" t="str">
        <f>IF($C793="B",INDEX(Batters[[#All],[DEM]],MATCH(Table5[[#This Row],[PID]],Batters[[#All],[PID]],0)),INDEX(Table3[[#All],[DEM]],MATCH(Table5[[#This Row],[PID]],Table3[[#All],[PID]],0)))</f>
        <v>-</v>
      </c>
      <c r="T793" s="62">
        <f>IF($C793="B",INDEX(Batters[[#All],[Rnk]],MATCH(Table5[[#This Row],[PID]],Batters[[#All],[PID]],0)),INDEX(Table3[[#All],[Rnk]],MATCH(Table5[[#This Row],[PID]],Table3[[#All],[PID]],0)))</f>
        <v>940</v>
      </c>
      <c r="U793" s="67">
        <f>IF($C793="B",VLOOKUP($A793,Bat!$A$4:$BA$1314,47,FALSE),VLOOKUP($A793,Pit!$A$4:$BF$1214,56,FALSE))</f>
        <v>403</v>
      </c>
      <c r="V793" s="50">
        <f>IF($C793="B",VLOOKUP($A793,Bat!$A$4:$BA$1314,48,FALSE),VLOOKUP($A793,Pit!$A$4:$BF$1214,57,FALSE))</f>
        <v>0</v>
      </c>
      <c r="W793" s="68">
        <f>IF(Table5[[#This Row],[posRnk]]=999,9999,Table5[[#This Row],[posRnk]]+Table5[[#This Row],[zRnk]]+IF($W$3&lt;&gt;Table5[[#This Row],[Type]],50,0))</f>
        <v>1726</v>
      </c>
      <c r="X793" s="51">
        <f>RANK(Table5[[#This Row],[zScore]],Table5[[#All],[zScore]])</f>
        <v>786</v>
      </c>
      <c r="Y793" s="50">
        <f>IFERROR(INDEX(DraftResults[[#All],[OVR]],MATCH(Table5[[#This Row],[PID]],DraftResults[[#All],[Player ID]],0)),"")</f>
        <v>353</v>
      </c>
      <c r="Z793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11</v>
      </c>
      <c r="AA793" s="50">
        <f>IFERROR(INDEX(DraftResults[[#All],[Pick in Round]],MATCH(Table5[[#This Row],[PID]],DraftResults[[#All],[Player ID]],0)),"")</f>
        <v>22</v>
      </c>
      <c r="AB793" s="50" t="str">
        <f>IFERROR(INDEX(DraftResults[[#All],[Team Name]],MATCH(Table5[[#This Row],[PID]],DraftResults[[#All],[Player ID]],0)),"")</f>
        <v>Bakersfield Bears</v>
      </c>
      <c r="AC793" s="50">
        <f>IF(Table5[[#This Row],[Ovr]]="","",IF(Table5[[#This Row],[cmbList]]="","",Table5[[#This Row],[cmbList]]-Table5[[#This Row],[Ovr]]))</f>
        <v>1373</v>
      </c>
      <c r="AD793" s="54" t="str">
        <f>IF(ISERROR(VLOOKUP($AB793&amp;"-"&amp;$E793&amp;" "&amp;F793,Bonuses!$B$1:$G$1006,4,FALSE)),"",INT(VLOOKUP($AB793&amp;"-"&amp;$E793&amp;" "&amp;$F793,Bonuses!$B$1:$G$1006,4,FALSE)))</f>
        <v/>
      </c>
      <c r="AE793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11.22 (353) - RP Jaime Egued</v>
      </c>
    </row>
    <row r="794" spans="1:31" s="50" customFormat="1" x14ac:dyDescent="0.3">
      <c r="A794" s="50">
        <v>12835</v>
      </c>
      <c r="B794" s="50">
        <f>COUNTIF(Table5[PID],A794)</f>
        <v>1</v>
      </c>
      <c r="C794" s="50" t="str">
        <f>IF(COUNTIF(Table3[[#All],[PID]],A794)&gt;0,"P","B")</f>
        <v>B</v>
      </c>
      <c r="D794" s="59" t="str">
        <f>IF($C794="B",INDEX(Batters[[#All],[POS]],MATCH(Table5[[#This Row],[PID]],Batters[[#All],[PID]],0)),INDEX(Table3[[#All],[POS]],MATCH(Table5[[#This Row],[PID]],Table3[[#All],[PID]],0)))</f>
        <v>3B</v>
      </c>
      <c r="E794" s="52" t="str">
        <f>IF($C794="B",INDEX(Batters[[#All],[First]],MATCH(Table5[[#This Row],[PID]],Batters[[#All],[PID]],0)),INDEX(Table3[[#All],[First]],MATCH(Table5[[#This Row],[PID]],Table3[[#All],[PID]],0)))</f>
        <v>Joe</v>
      </c>
      <c r="F794" s="50" t="str">
        <f>IF($C794="B",INDEX(Batters[[#All],[Last]],MATCH(A794,Batters[[#All],[PID]],0)),INDEX(Table3[[#All],[Last]],MATCH(A794,Table3[[#All],[PID]],0)))</f>
        <v>Davis</v>
      </c>
      <c r="G794" s="56">
        <f>IF($C794="B",INDEX(Batters[[#All],[Age]],MATCH(Table5[[#This Row],[PID]],Batters[[#All],[PID]],0)),INDEX(Table3[[#All],[Age]],MATCH(Table5[[#This Row],[PID]],Table3[[#All],[PID]],0)))</f>
        <v>22</v>
      </c>
      <c r="H794" s="52" t="str">
        <f>IF($C794="B",INDEX(Batters[[#All],[B]],MATCH(Table5[[#This Row],[PID]],Batters[[#All],[PID]],0)),INDEX(Table3[[#All],[B]],MATCH(Table5[[#This Row],[PID]],Table3[[#All],[PID]],0)))</f>
        <v>S</v>
      </c>
      <c r="I794" s="52" t="str">
        <f>IF($C794="B",INDEX(Batters[[#All],[T]],MATCH(Table5[[#This Row],[PID]],Batters[[#All],[PID]],0)),INDEX(Table3[[#All],[T]],MATCH(Table5[[#This Row],[PID]],Table3[[#All],[PID]],0)))</f>
        <v>R</v>
      </c>
      <c r="J794" s="52" t="str">
        <f>IF($C794="B",INDEX(Batters[[#All],[WE]],MATCH(Table5[[#This Row],[PID]],Batters[[#All],[PID]],0)),INDEX(Table3[[#All],[WE]],MATCH(Table5[[#This Row],[PID]],Table3[[#All],[PID]],0)))</f>
        <v>Low</v>
      </c>
      <c r="K794" s="52" t="str">
        <f>IF($C794="B",INDEX(Batters[[#All],[INT]],MATCH(Table5[[#This Row],[PID]],Batters[[#All],[PID]],0)),INDEX(Table3[[#All],[INT]],MATCH(Table5[[#This Row],[PID]],Table3[[#All],[PID]],0)))</f>
        <v>Normal</v>
      </c>
      <c r="L794" s="60">
        <f>IF($C794="B",INDEX(Batters[[#All],[CON P]],MATCH(Table5[[#This Row],[PID]],Batters[[#All],[PID]],0)),INDEX(Table3[[#All],[STU P]],MATCH(Table5[[#This Row],[PID]],Table3[[#All],[PID]],0)))</f>
        <v>3</v>
      </c>
      <c r="M794" s="56">
        <f>IF($C794="B",INDEX(Batters[[#All],[GAP P]],MATCH(Table5[[#This Row],[PID]],Batters[[#All],[PID]],0)),INDEX(Table3[[#All],[MOV P]],MATCH(Table5[[#This Row],[PID]],Table3[[#All],[PID]],0)))</f>
        <v>4</v>
      </c>
      <c r="N794" s="56">
        <f>IF($C794="B",INDEX(Batters[[#All],[POW P]],MATCH(Table5[[#This Row],[PID]],Batters[[#All],[PID]],0)),INDEX(Table3[[#All],[CON P]],MATCH(Table5[[#This Row],[PID]],Table3[[#All],[PID]],0)))</f>
        <v>3</v>
      </c>
      <c r="O794" s="56">
        <f>IF($C794="B",INDEX(Batters[[#All],[EYE P]],MATCH(Table5[[#This Row],[PID]],Batters[[#All],[PID]],0)),INDEX(Table3[[#All],[VELO]],MATCH(Table5[[#This Row],[PID]],Table3[[#All],[PID]],0)))</f>
        <v>4</v>
      </c>
      <c r="P794" s="56">
        <f>IF($C794="B",INDEX(Batters[[#All],[K P]],MATCH(Table5[[#This Row],[PID]],Batters[[#All],[PID]],0)),INDEX(Table3[[#All],[STM]],MATCH(Table5[[#This Row],[PID]],Table3[[#All],[PID]],0)))</f>
        <v>4</v>
      </c>
      <c r="Q794" s="61">
        <f>IF($C794="B",INDEX(Batters[[#All],[Tot]],MATCH(Table5[[#This Row],[PID]],Batters[[#All],[PID]],0)),INDEX(Table3[[#All],[Tot]],MATCH(Table5[[#This Row],[PID]],Table3[[#All],[PID]],0)))</f>
        <v>35.782293756504814</v>
      </c>
      <c r="R794" s="52">
        <f>IF($C794="B",INDEX(Batters[[#All],[zScore]],MATCH(Table5[[#This Row],[PID]],Batters[[#All],[PID]],0)),INDEX(Table3[[#All],[zScore]],MATCH(Table5[[#This Row],[PID]],Table3[[#All],[PID]],0)))</f>
        <v>-1.0854475901441347</v>
      </c>
      <c r="S794" s="58" t="str">
        <f>IF($C794="B",INDEX(Batters[[#All],[DEM]],MATCH(Table5[[#This Row],[PID]],Batters[[#All],[PID]],0)),INDEX(Table3[[#All],[DEM]],MATCH(Table5[[#This Row],[PID]],Table3[[#All],[PID]],0)))</f>
        <v>-</v>
      </c>
      <c r="T794" s="62">
        <f>IF($C794="B",INDEX(Batters[[#All],[Rnk]],MATCH(Table5[[#This Row],[PID]],Batters[[#All],[PID]],0)),INDEX(Table3[[#All],[Rnk]],MATCH(Table5[[#This Row],[PID]],Table3[[#All],[PID]],0)))</f>
        <v>930</v>
      </c>
      <c r="U794" s="67">
        <f>IF($C794="B",VLOOKUP($A794,Bat!$A$4:$BA$1314,47,FALSE),VLOOKUP($A794,Pit!$A$4:$BF$1214,56,FALSE))</f>
        <v>381</v>
      </c>
      <c r="V794" s="50">
        <f>IF($C794="B",VLOOKUP($A794,Bat!$A$4:$BA$1314,48,FALSE),VLOOKUP($A794,Pit!$A$4:$BF$1214,57,FALSE))</f>
        <v>0</v>
      </c>
      <c r="W794" s="68">
        <f>IF(Table5[[#This Row],[posRnk]]=999,9999,Table5[[#This Row],[posRnk]]+Table5[[#This Row],[zRnk]]+IF($W$3&lt;&gt;Table5[[#This Row],[Type]],50,0))</f>
        <v>1777</v>
      </c>
      <c r="X794" s="51">
        <f>RANK(Table5[[#This Row],[zScore]],Table5[[#All],[zScore]])</f>
        <v>797</v>
      </c>
      <c r="Y794" s="50" t="str">
        <f>IFERROR(INDEX(DraftResults[[#All],[OVR]],MATCH(Table5[[#This Row],[PID]],DraftResults[[#All],[Player ID]],0)),"")</f>
        <v/>
      </c>
      <c r="Z794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/>
      </c>
      <c r="AA794" s="50" t="str">
        <f>IFERROR(INDEX(DraftResults[[#All],[Pick in Round]],MATCH(Table5[[#This Row],[PID]],DraftResults[[#All],[Player ID]],0)),"")</f>
        <v/>
      </c>
      <c r="AB794" s="50" t="str">
        <f>IFERROR(INDEX(DraftResults[[#All],[Team Name]],MATCH(Table5[[#This Row],[PID]],DraftResults[[#All],[Player ID]],0)),"")</f>
        <v/>
      </c>
      <c r="AC794" s="50" t="str">
        <f>IF(Table5[[#This Row],[Ovr]]="","",IF(Table5[[#This Row],[cmbList]]="","",Table5[[#This Row],[cmbList]]-Table5[[#This Row],[Ovr]]))</f>
        <v/>
      </c>
      <c r="AD794" s="54" t="str">
        <f>IF(ISERROR(VLOOKUP($AB794&amp;"-"&amp;$E794&amp;" "&amp;F794,Bonuses!$B$1:$G$1006,4,FALSE)),"",INT(VLOOKUP($AB794&amp;"-"&amp;$E794&amp;" "&amp;$F794,Bonuses!$B$1:$G$1006,4,FALSE)))</f>
        <v/>
      </c>
      <c r="AE794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/>
      </c>
    </row>
    <row r="795" spans="1:31" s="50" customFormat="1" x14ac:dyDescent="0.3">
      <c r="A795" s="50">
        <v>10865</v>
      </c>
      <c r="B795" s="50">
        <f>COUNTIF(Table5[PID],A795)</f>
        <v>1</v>
      </c>
      <c r="C795" s="50" t="str">
        <f>IF(COUNTIF(Table3[[#All],[PID]],A795)&gt;0,"P","B")</f>
        <v>B</v>
      </c>
      <c r="D795" s="59" t="str">
        <f>IF($C795="B",INDEX(Batters[[#All],[POS]],MATCH(Table5[[#This Row],[PID]],Batters[[#All],[PID]],0)),INDEX(Table3[[#All],[POS]],MATCH(Table5[[#This Row],[PID]],Table3[[#All],[PID]],0)))</f>
        <v>C</v>
      </c>
      <c r="E795" s="52" t="str">
        <f>IF($C795="B",INDEX(Batters[[#All],[First]],MATCH(Table5[[#This Row],[PID]],Batters[[#All],[PID]],0)),INDEX(Table3[[#All],[First]],MATCH(Table5[[#This Row],[PID]],Table3[[#All],[PID]],0)))</f>
        <v>Shinobu</v>
      </c>
      <c r="F795" s="50" t="str">
        <f>IF($C795="B",INDEX(Batters[[#All],[Last]],MATCH(A795,Batters[[#All],[PID]],0)),INDEX(Table3[[#All],[Last]],MATCH(A795,Table3[[#All],[PID]],0)))</f>
        <v>Yasuda</v>
      </c>
      <c r="G795" s="56">
        <f>IF($C795="B",INDEX(Batters[[#All],[Age]],MATCH(Table5[[#This Row],[PID]],Batters[[#All],[PID]],0)),INDEX(Table3[[#All],[Age]],MATCH(Table5[[#This Row],[PID]],Table3[[#All],[PID]],0)))</f>
        <v>21</v>
      </c>
      <c r="H795" s="52" t="str">
        <f>IF($C795="B",INDEX(Batters[[#All],[B]],MATCH(Table5[[#This Row],[PID]],Batters[[#All],[PID]],0)),INDEX(Table3[[#All],[B]],MATCH(Table5[[#This Row],[PID]],Table3[[#All],[PID]],0)))</f>
        <v>R</v>
      </c>
      <c r="I795" s="52" t="str">
        <f>IF($C795="B",INDEX(Batters[[#All],[T]],MATCH(Table5[[#This Row],[PID]],Batters[[#All],[PID]],0)),INDEX(Table3[[#All],[T]],MATCH(Table5[[#This Row],[PID]],Table3[[#All],[PID]],0)))</f>
        <v>R</v>
      </c>
      <c r="J795" s="52" t="str">
        <f>IF($C795="B",INDEX(Batters[[#All],[WE]],MATCH(Table5[[#This Row],[PID]],Batters[[#All],[PID]],0)),INDEX(Table3[[#All],[WE]],MATCH(Table5[[#This Row],[PID]],Table3[[#All],[PID]],0)))</f>
        <v>Low</v>
      </c>
      <c r="K795" s="52" t="str">
        <f>IF($C795="B",INDEX(Batters[[#All],[INT]],MATCH(Table5[[#This Row],[PID]],Batters[[#All],[PID]],0)),INDEX(Table3[[#All],[INT]],MATCH(Table5[[#This Row],[PID]],Table3[[#All],[PID]],0)))</f>
        <v>Normal</v>
      </c>
      <c r="L795" s="60">
        <f>IF($C795="B",INDEX(Batters[[#All],[CON P]],MATCH(Table5[[#This Row],[PID]],Batters[[#All],[PID]],0)),INDEX(Table3[[#All],[STU P]],MATCH(Table5[[#This Row],[PID]],Table3[[#All],[PID]],0)))</f>
        <v>3</v>
      </c>
      <c r="M795" s="56">
        <f>IF($C795="B",INDEX(Batters[[#All],[GAP P]],MATCH(Table5[[#This Row],[PID]],Batters[[#All],[PID]],0)),INDEX(Table3[[#All],[MOV P]],MATCH(Table5[[#This Row],[PID]],Table3[[#All],[PID]],0)))</f>
        <v>4</v>
      </c>
      <c r="N795" s="56">
        <f>IF($C795="B",INDEX(Batters[[#All],[POW P]],MATCH(Table5[[#This Row],[PID]],Batters[[#All],[PID]],0)),INDEX(Table3[[#All],[CON P]],MATCH(Table5[[#This Row],[PID]],Table3[[#All],[PID]],0)))</f>
        <v>3</v>
      </c>
      <c r="O795" s="56">
        <f>IF($C795="B",INDEX(Batters[[#All],[EYE P]],MATCH(Table5[[#This Row],[PID]],Batters[[#All],[PID]],0)),INDEX(Table3[[#All],[VELO]],MATCH(Table5[[#This Row],[PID]],Table3[[#All],[PID]],0)))</f>
        <v>5</v>
      </c>
      <c r="P795" s="56">
        <f>IF($C795="B",INDEX(Batters[[#All],[K P]],MATCH(Table5[[#This Row],[PID]],Batters[[#All],[PID]],0)),INDEX(Table3[[#All],[STM]],MATCH(Table5[[#This Row],[PID]],Table3[[#All],[PID]],0)))</f>
        <v>2</v>
      </c>
      <c r="Q795" s="61">
        <f>IF($C795="B",INDEX(Batters[[#All],[Tot]],MATCH(Table5[[#This Row],[PID]],Batters[[#All],[PID]],0)),INDEX(Table3[[#All],[Tot]],MATCH(Table5[[#This Row],[PID]],Table3[[#All],[PID]],0)))</f>
        <v>35.76569330541313</v>
      </c>
      <c r="R795" s="52">
        <f>IF($C795="B",INDEX(Batters[[#All],[zScore]],MATCH(Table5[[#This Row],[PID]],Batters[[#All],[PID]],0)),INDEX(Table3[[#All],[zScore]],MATCH(Table5[[#This Row],[PID]],Table3[[#All],[PID]],0)))</f>
        <v>-1.0878707266092777</v>
      </c>
      <c r="S795" s="58" t="str">
        <f>IF($C795="B",INDEX(Batters[[#All],[DEM]],MATCH(Table5[[#This Row],[PID]],Batters[[#All],[PID]],0)),INDEX(Table3[[#All],[DEM]],MATCH(Table5[[#This Row],[PID]],Table3[[#All],[PID]],0)))</f>
        <v>$80k</v>
      </c>
      <c r="T795" s="62">
        <f>IF($C795="B",INDEX(Batters[[#All],[Rnk]],MATCH(Table5[[#This Row],[PID]],Batters[[#All],[PID]],0)),INDEX(Table3[[#All],[Rnk]],MATCH(Table5[[#This Row],[PID]],Table3[[#All],[PID]],0)))</f>
        <v>930</v>
      </c>
      <c r="U795" s="67">
        <f>IF($C795="B",VLOOKUP($A795,Bat!$A$4:$BA$1314,47,FALSE),VLOOKUP($A795,Pit!$A$4:$BF$1214,56,FALSE))</f>
        <v>382</v>
      </c>
      <c r="V795" s="50">
        <f>IF($C795="B",VLOOKUP($A795,Bat!$A$4:$BA$1314,48,FALSE),VLOOKUP($A795,Pit!$A$4:$BF$1214,57,FALSE))</f>
        <v>0</v>
      </c>
      <c r="W795" s="68">
        <f>IF(Table5[[#This Row],[posRnk]]=999,9999,Table5[[#This Row],[posRnk]]+Table5[[#This Row],[zRnk]]+IF($W$3&lt;&gt;Table5[[#This Row],[Type]],50,0))</f>
        <v>1778</v>
      </c>
      <c r="X795" s="51">
        <f>RANK(Table5[[#This Row],[zScore]],Table5[[#All],[zScore]])</f>
        <v>798</v>
      </c>
      <c r="Y795" s="50" t="str">
        <f>IFERROR(INDEX(DraftResults[[#All],[OVR]],MATCH(Table5[[#This Row],[PID]],DraftResults[[#All],[Player ID]],0)),"")</f>
        <v/>
      </c>
      <c r="Z795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/>
      </c>
      <c r="AA795" s="50" t="str">
        <f>IFERROR(INDEX(DraftResults[[#All],[Pick in Round]],MATCH(Table5[[#This Row],[PID]],DraftResults[[#All],[Player ID]],0)),"")</f>
        <v/>
      </c>
      <c r="AB795" s="50" t="str">
        <f>IFERROR(INDEX(DraftResults[[#All],[Team Name]],MATCH(Table5[[#This Row],[PID]],DraftResults[[#All],[Player ID]],0)),"")</f>
        <v/>
      </c>
      <c r="AC795" s="50" t="str">
        <f>IF(Table5[[#This Row],[Ovr]]="","",IF(Table5[[#This Row],[cmbList]]="","",Table5[[#This Row],[cmbList]]-Table5[[#This Row],[Ovr]]))</f>
        <v/>
      </c>
      <c r="AD795" s="54" t="str">
        <f>IF(ISERROR(VLOOKUP($AB795&amp;"-"&amp;$E795&amp;" "&amp;F795,Bonuses!$B$1:$G$1006,4,FALSE)),"",INT(VLOOKUP($AB795&amp;"-"&amp;$E795&amp;" "&amp;$F795,Bonuses!$B$1:$G$1006,4,FALSE)))</f>
        <v/>
      </c>
      <c r="AE795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/>
      </c>
    </row>
    <row r="796" spans="1:31" s="50" customFormat="1" x14ac:dyDescent="0.3">
      <c r="A796" s="50">
        <v>16907</v>
      </c>
      <c r="B796" s="50">
        <f>COUNTIF(Table5[PID],A796)</f>
        <v>1</v>
      </c>
      <c r="C796" s="50" t="str">
        <f>IF(COUNTIF(Table3[[#All],[PID]],A796)&gt;0,"P","B")</f>
        <v>B</v>
      </c>
      <c r="D796" s="59" t="str">
        <f>IF($C796="B",INDEX(Batters[[#All],[POS]],MATCH(Table5[[#This Row],[PID]],Batters[[#All],[PID]],0)),INDEX(Table3[[#All],[POS]],MATCH(Table5[[#This Row],[PID]],Table3[[#All],[PID]],0)))</f>
        <v>C</v>
      </c>
      <c r="E796" s="52" t="str">
        <f>IF($C796="B",INDEX(Batters[[#All],[First]],MATCH(Table5[[#This Row],[PID]],Batters[[#All],[PID]],0)),INDEX(Table3[[#All],[First]],MATCH(Table5[[#This Row],[PID]],Table3[[#All],[PID]],0)))</f>
        <v>Eric</v>
      </c>
      <c r="F796" s="50" t="str">
        <f>IF($C796="B",INDEX(Batters[[#All],[Last]],MATCH(A796,Batters[[#All],[PID]],0)),INDEX(Table3[[#All],[Last]],MATCH(A796,Table3[[#All],[PID]],0)))</f>
        <v>Parke</v>
      </c>
      <c r="G796" s="56">
        <f>IF($C796="B",INDEX(Batters[[#All],[Age]],MATCH(Table5[[#This Row],[PID]],Batters[[#All],[PID]],0)),INDEX(Table3[[#All],[Age]],MATCH(Table5[[#This Row],[PID]],Table3[[#All],[PID]],0)))</f>
        <v>22</v>
      </c>
      <c r="H796" s="52" t="str">
        <f>IF($C796="B",INDEX(Batters[[#All],[B]],MATCH(Table5[[#This Row],[PID]],Batters[[#All],[PID]],0)),INDEX(Table3[[#All],[B]],MATCH(Table5[[#This Row],[PID]],Table3[[#All],[PID]],0)))</f>
        <v>L</v>
      </c>
      <c r="I796" s="52" t="str">
        <f>IF($C796="B",INDEX(Batters[[#All],[T]],MATCH(Table5[[#This Row],[PID]],Batters[[#All],[PID]],0)),INDEX(Table3[[#All],[T]],MATCH(Table5[[#This Row],[PID]],Table3[[#All],[PID]],0)))</f>
        <v>R</v>
      </c>
      <c r="J796" s="52" t="str">
        <f>IF($C796="B",INDEX(Batters[[#All],[WE]],MATCH(Table5[[#This Row],[PID]],Batters[[#All],[PID]],0)),INDEX(Table3[[#All],[WE]],MATCH(Table5[[#This Row],[PID]],Table3[[#All],[PID]],0)))</f>
        <v>Low</v>
      </c>
      <c r="K796" s="52" t="str">
        <f>IF($C796="B",INDEX(Batters[[#All],[INT]],MATCH(Table5[[#This Row],[PID]],Batters[[#All],[PID]],0)),INDEX(Table3[[#All],[INT]],MATCH(Table5[[#This Row],[PID]],Table3[[#All],[PID]],0)))</f>
        <v>Normal</v>
      </c>
      <c r="L796" s="60">
        <f>IF($C796="B",INDEX(Batters[[#All],[CON P]],MATCH(Table5[[#This Row],[PID]],Batters[[#All],[PID]],0)),INDEX(Table3[[#All],[STU P]],MATCH(Table5[[#This Row],[PID]],Table3[[#All],[PID]],0)))</f>
        <v>3</v>
      </c>
      <c r="M796" s="56">
        <f>IF($C796="B",INDEX(Batters[[#All],[GAP P]],MATCH(Table5[[#This Row],[PID]],Batters[[#All],[PID]],0)),INDEX(Table3[[#All],[MOV P]],MATCH(Table5[[#This Row],[PID]],Table3[[#All],[PID]],0)))</f>
        <v>3</v>
      </c>
      <c r="N796" s="56">
        <f>IF($C796="B",INDEX(Batters[[#All],[POW P]],MATCH(Table5[[#This Row],[PID]],Batters[[#All],[PID]],0)),INDEX(Table3[[#All],[CON P]],MATCH(Table5[[#This Row],[PID]],Table3[[#All],[PID]],0)))</f>
        <v>3</v>
      </c>
      <c r="O796" s="56">
        <f>IF($C796="B",INDEX(Batters[[#All],[EYE P]],MATCH(Table5[[#This Row],[PID]],Batters[[#All],[PID]],0)),INDEX(Table3[[#All],[VELO]],MATCH(Table5[[#This Row],[PID]],Table3[[#All],[PID]],0)))</f>
        <v>5</v>
      </c>
      <c r="P796" s="56">
        <f>IF($C796="B",INDEX(Batters[[#All],[K P]],MATCH(Table5[[#This Row],[PID]],Batters[[#All],[PID]],0)),INDEX(Table3[[#All],[STM]],MATCH(Table5[[#This Row],[PID]],Table3[[#All],[PID]],0)))</f>
        <v>3</v>
      </c>
      <c r="Q796" s="61">
        <f>IF($C796="B",INDEX(Batters[[#All],[Tot]],MATCH(Table5[[#This Row],[PID]],Batters[[#All],[PID]],0)),INDEX(Table3[[#All],[Tot]],MATCH(Table5[[#This Row],[PID]],Table3[[#All],[PID]],0)))</f>
        <v>35.740703268249682</v>
      </c>
      <c r="R796" s="52">
        <f>IF($C796="B",INDEX(Batters[[#All],[zScore]],MATCH(Table5[[#This Row],[PID]],Batters[[#All],[PID]],0)),INDEX(Table3[[#All],[zScore]],MATCH(Table5[[#This Row],[PID]],Table3[[#All],[PID]],0)))</f>
        <v>-1.0915184750940383</v>
      </c>
      <c r="S796" s="58" t="str">
        <f>IF($C796="B",INDEX(Batters[[#All],[DEM]],MATCH(Table5[[#This Row],[PID]],Batters[[#All],[PID]],0)),INDEX(Table3[[#All],[DEM]],MATCH(Table5[[#This Row],[PID]],Table3[[#All],[PID]],0)))</f>
        <v>-</v>
      </c>
      <c r="T796" s="62">
        <f>IF($C796="B",INDEX(Batters[[#All],[Rnk]],MATCH(Table5[[#This Row],[PID]],Batters[[#All],[PID]],0)),INDEX(Table3[[#All],[Rnk]],MATCH(Table5[[#This Row],[PID]],Table3[[#All],[PID]],0)))</f>
        <v>930</v>
      </c>
      <c r="U796" s="67">
        <f>IF($C796="B",VLOOKUP($A796,Bat!$A$4:$BA$1314,47,FALSE),VLOOKUP($A796,Pit!$A$4:$BF$1214,56,FALSE))</f>
        <v>383</v>
      </c>
      <c r="V796" s="50">
        <f>IF($C796="B",VLOOKUP($A796,Bat!$A$4:$BA$1314,48,FALSE),VLOOKUP($A796,Pit!$A$4:$BF$1214,57,FALSE))</f>
        <v>0</v>
      </c>
      <c r="W796" s="68">
        <f>IF(Table5[[#This Row],[posRnk]]=999,9999,Table5[[#This Row],[posRnk]]+Table5[[#This Row],[zRnk]]+IF($W$3&lt;&gt;Table5[[#This Row],[Type]],50,0))</f>
        <v>1779</v>
      </c>
      <c r="X796" s="51">
        <f>RANK(Table5[[#This Row],[zScore]],Table5[[#All],[zScore]])</f>
        <v>799</v>
      </c>
      <c r="Y796" s="50" t="str">
        <f>IFERROR(INDEX(DraftResults[[#All],[OVR]],MATCH(Table5[[#This Row],[PID]],DraftResults[[#All],[Player ID]],0)),"")</f>
        <v/>
      </c>
      <c r="Z796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/>
      </c>
      <c r="AA796" s="50" t="str">
        <f>IFERROR(INDEX(DraftResults[[#All],[Pick in Round]],MATCH(Table5[[#This Row],[PID]],DraftResults[[#All],[Player ID]],0)),"")</f>
        <v/>
      </c>
      <c r="AB796" s="50" t="str">
        <f>IFERROR(INDEX(DraftResults[[#All],[Team Name]],MATCH(Table5[[#This Row],[PID]],DraftResults[[#All],[Player ID]],0)),"")</f>
        <v/>
      </c>
      <c r="AC796" s="50" t="str">
        <f>IF(Table5[[#This Row],[Ovr]]="","",IF(Table5[[#This Row],[cmbList]]="","",Table5[[#This Row],[cmbList]]-Table5[[#This Row],[Ovr]]))</f>
        <v/>
      </c>
      <c r="AD796" s="54" t="str">
        <f>IF(ISERROR(VLOOKUP($AB796&amp;"-"&amp;$E796&amp;" "&amp;F796,Bonuses!$B$1:$G$1006,4,FALSE)),"",INT(VLOOKUP($AB796&amp;"-"&amp;$E796&amp;" "&amp;$F796,Bonuses!$B$1:$G$1006,4,FALSE)))</f>
        <v/>
      </c>
      <c r="AE796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/>
      </c>
    </row>
    <row r="797" spans="1:31" s="50" customFormat="1" x14ac:dyDescent="0.3">
      <c r="A797" s="50">
        <v>10662</v>
      </c>
      <c r="B797" s="50">
        <f>COUNTIF(Table5[PID],A797)</f>
        <v>1</v>
      </c>
      <c r="C797" s="50" t="str">
        <f>IF(COUNTIF(Table3[[#All],[PID]],A797)&gt;0,"P","B")</f>
        <v>P</v>
      </c>
      <c r="D797" s="59" t="str">
        <f>IF($C797="B",INDEX(Batters[[#All],[POS]],MATCH(Table5[[#This Row],[PID]],Batters[[#All],[PID]],0)),INDEX(Table3[[#All],[POS]],MATCH(Table5[[#This Row],[PID]],Table3[[#All],[PID]],0)))</f>
        <v>RP</v>
      </c>
      <c r="E797" s="52" t="str">
        <f>IF($C797="B",INDEX(Batters[[#All],[First]],MATCH(Table5[[#This Row],[PID]],Batters[[#All],[PID]],0)),INDEX(Table3[[#All],[First]],MATCH(Table5[[#This Row],[PID]],Table3[[#All],[PID]],0)))</f>
        <v>Edgardo</v>
      </c>
      <c r="F797" s="50" t="str">
        <f>IF($C797="B",INDEX(Batters[[#All],[Last]],MATCH(A797,Batters[[#All],[PID]],0)),INDEX(Table3[[#All],[Last]],MATCH(A797,Table3[[#All],[PID]],0)))</f>
        <v>Gabriel</v>
      </c>
      <c r="G797" s="56">
        <f>IF($C797="B",INDEX(Batters[[#All],[Age]],MATCH(Table5[[#This Row],[PID]],Batters[[#All],[PID]],0)),INDEX(Table3[[#All],[Age]],MATCH(Table5[[#This Row],[PID]],Table3[[#All],[PID]],0)))</f>
        <v>21</v>
      </c>
      <c r="H797" s="52" t="str">
        <f>IF($C797="B",INDEX(Batters[[#All],[B]],MATCH(Table5[[#This Row],[PID]],Batters[[#All],[PID]],0)),INDEX(Table3[[#All],[B]],MATCH(Table5[[#This Row],[PID]],Table3[[#All],[PID]],0)))</f>
        <v>L</v>
      </c>
      <c r="I797" s="52" t="str">
        <f>IF($C797="B",INDEX(Batters[[#All],[T]],MATCH(Table5[[#This Row],[PID]],Batters[[#All],[PID]],0)),INDEX(Table3[[#All],[T]],MATCH(Table5[[#This Row],[PID]],Table3[[#All],[PID]],0)))</f>
        <v>L</v>
      </c>
      <c r="J797" s="52" t="str">
        <f>IF($C797="B",INDEX(Batters[[#All],[WE]],MATCH(Table5[[#This Row],[PID]],Batters[[#All],[PID]],0)),INDEX(Table3[[#All],[WE]],MATCH(Table5[[#This Row],[PID]],Table3[[#All],[PID]],0)))</f>
        <v>Normal</v>
      </c>
      <c r="K797" s="52" t="str">
        <f>IF($C797="B",INDEX(Batters[[#All],[INT]],MATCH(Table5[[#This Row],[PID]],Batters[[#All],[PID]],0)),INDEX(Table3[[#All],[INT]],MATCH(Table5[[#This Row],[PID]],Table3[[#All],[PID]],0)))</f>
        <v>High</v>
      </c>
      <c r="L797" s="60">
        <f>IF($C797="B",INDEX(Batters[[#All],[CON P]],MATCH(Table5[[#This Row],[PID]],Batters[[#All],[PID]],0)),INDEX(Table3[[#All],[STU P]],MATCH(Table5[[#This Row],[PID]],Table3[[#All],[PID]],0)))</f>
        <v>5</v>
      </c>
      <c r="M797" s="56">
        <f>IF($C797="B",INDEX(Batters[[#All],[GAP P]],MATCH(Table5[[#This Row],[PID]],Batters[[#All],[PID]],0)),INDEX(Table3[[#All],[MOV P]],MATCH(Table5[[#This Row],[PID]],Table3[[#All],[PID]],0)))</f>
        <v>1</v>
      </c>
      <c r="N797" s="56">
        <f>IF($C797="B",INDEX(Batters[[#All],[POW P]],MATCH(Table5[[#This Row],[PID]],Batters[[#All],[PID]],0)),INDEX(Table3[[#All],[CON P]],MATCH(Table5[[#This Row],[PID]],Table3[[#All],[PID]],0)))</f>
        <v>2</v>
      </c>
      <c r="O797" s="56" t="str">
        <f>IF($C797="B",INDEX(Batters[[#All],[EYE P]],MATCH(Table5[[#This Row],[PID]],Batters[[#All],[PID]],0)),INDEX(Table3[[#All],[VELO]],MATCH(Table5[[#This Row],[PID]],Table3[[#All],[PID]],0)))</f>
        <v>90-92 Mph</v>
      </c>
      <c r="P797" s="56">
        <f>IF($C797="B",INDEX(Batters[[#All],[K P]],MATCH(Table5[[#This Row],[PID]],Batters[[#All],[PID]],0)),INDEX(Table3[[#All],[STM]],MATCH(Table5[[#This Row],[PID]],Table3[[#All],[PID]],0)))</f>
        <v>2</v>
      </c>
      <c r="Q797" s="61">
        <f>IF($C797="B",INDEX(Batters[[#All],[Tot]],MATCH(Table5[[#This Row],[PID]],Batters[[#All],[PID]],0)),INDEX(Table3[[#All],[Tot]],MATCH(Table5[[#This Row],[PID]],Table3[[#All],[PID]],0)))</f>
        <v>19.722531858444928</v>
      </c>
      <c r="R797" s="52">
        <f>IF($C797="B",INDEX(Batters[[#All],[zScore]],MATCH(Table5[[#This Row],[PID]],Batters[[#All],[PID]],0)),INDEX(Table3[[#All],[zScore]],MATCH(Table5[[#This Row],[PID]],Table3[[#All],[PID]],0)))</f>
        <v>-1.2800509022885123</v>
      </c>
      <c r="S797" s="58" t="str">
        <f>IF($C797="B",INDEX(Batters[[#All],[DEM]],MATCH(Table5[[#This Row],[PID]],Batters[[#All],[PID]],0)),INDEX(Table3[[#All],[DEM]],MATCH(Table5[[#This Row],[PID]],Table3[[#All],[PID]],0)))</f>
        <v>-</v>
      </c>
      <c r="T797" s="62">
        <f>IF($C797="B",INDEX(Batters[[#All],[Rnk]],MATCH(Table5[[#This Row],[PID]],Batters[[#All],[PID]],0)),INDEX(Table3[[#All],[Rnk]],MATCH(Table5[[#This Row],[PID]],Table3[[#All],[PID]],0)))</f>
        <v>900</v>
      </c>
      <c r="U797" s="67">
        <f>IF($C797="B",VLOOKUP($A797,Bat!$A$4:$BA$1314,47,FALSE),VLOOKUP($A797,Pit!$A$4:$BF$1214,56,FALSE))</f>
        <v>256</v>
      </c>
      <c r="V797" s="50">
        <f>IF($C797="B",VLOOKUP($A797,Bat!$A$4:$BA$1314,48,FALSE),VLOOKUP($A797,Pit!$A$4:$BF$1214,57,FALSE))</f>
        <v>0</v>
      </c>
      <c r="W797" s="68">
        <f>IF(Table5[[#This Row],[posRnk]]=999,9999,Table5[[#This Row],[posRnk]]+Table5[[#This Row],[zRnk]]+IF($W$3&lt;&gt;Table5[[#This Row],[Type]],50,0))</f>
        <v>1731</v>
      </c>
      <c r="X797" s="51">
        <f>RANK(Table5[[#This Row],[zScore]],Table5[[#All],[zScore]])</f>
        <v>831</v>
      </c>
      <c r="Y797" s="50">
        <f>IFERROR(INDEX(DraftResults[[#All],[OVR]],MATCH(Table5[[#This Row],[PID]],DraftResults[[#All],[Player ID]],0)),"")</f>
        <v>577</v>
      </c>
      <c r="Z797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18</v>
      </c>
      <c r="AA797" s="50">
        <f>IFERROR(INDEX(DraftResults[[#All],[Pick in Round]],MATCH(Table5[[#This Row],[PID]],DraftResults[[#All],[Player ID]],0)),"")</f>
        <v>8</v>
      </c>
      <c r="AB797" s="50" t="str">
        <f>IFERROR(INDEX(DraftResults[[#All],[Team Name]],MATCH(Table5[[#This Row],[PID]],DraftResults[[#All],[Player ID]],0)),"")</f>
        <v>Gloucester Fishermen</v>
      </c>
      <c r="AC797" s="50">
        <f>IF(Table5[[#This Row],[Ovr]]="","",IF(Table5[[#This Row],[cmbList]]="","",Table5[[#This Row],[cmbList]]-Table5[[#This Row],[Ovr]]))</f>
        <v>1154</v>
      </c>
      <c r="AD797" s="54" t="str">
        <f>IF(ISERROR(VLOOKUP($AB797&amp;"-"&amp;$E797&amp;" "&amp;F797,Bonuses!$B$1:$G$1006,4,FALSE)),"",INT(VLOOKUP($AB797&amp;"-"&amp;$E797&amp;" "&amp;$F797,Bonuses!$B$1:$G$1006,4,FALSE)))</f>
        <v/>
      </c>
      <c r="AE797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18.8 (577) - RP Edgardo Gabriel</v>
      </c>
    </row>
    <row r="798" spans="1:31" s="50" customFormat="1" x14ac:dyDescent="0.3">
      <c r="A798" s="67">
        <v>10321</v>
      </c>
      <c r="B798" s="68">
        <f>COUNTIF(Table5[PID],A798)</f>
        <v>1</v>
      </c>
      <c r="C798" s="68" t="str">
        <f>IF(COUNTIF(Table3[[#All],[PID]],A798)&gt;0,"P","B")</f>
        <v>P</v>
      </c>
      <c r="D798" s="59" t="str">
        <f>IF($C798="B",INDEX(Batters[[#All],[POS]],MATCH(Table5[[#This Row],[PID]],Batters[[#All],[PID]],0)),INDEX(Table3[[#All],[POS]],MATCH(Table5[[#This Row],[PID]],Table3[[#All],[PID]],0)))</f>
        <v>SP</v>
      </c>
      <c r="E798" s="52" t="str">
        <f>IF($C798="B",INDEX(Batters[[#All],[First]],MATCH(Table5[[#This Row],[PID]],Batters[[#All],[PID]],0)),INDEX(Table3[[#All],[First]],MATCH(Table5[[#This Row],[PID]],Table3[[#All],[PID]],0)))</f>
        <v>Logan</v>
      </c>
      <c r="F798" s="55" t="str">
        <f>IF($C798="B",INDEX(Batters[[#All],[Last]],MATCH(A798,Batters[[#All],[PID]],0)),INDEX(Table3[[#All],[Last]],MATCH(A798,Table3[[#All],[PID]],0)))</f>
        <v>MacCrum</v>
      </c>
      <c r="G798" s="56">
        <f>IF($C798="B",INDEX(Batters[[#All],[Age]],MATCH(Table5[[#This Row],[PID]],Batters[[#All],[PID]],0)),INDEX(Table3[[#All],[Age]],MATCH(Table5[[#This Row],[PID]],Table3[[#All],[PID]],0)))</f>
        <v>22</v>
      </c>
      <c r="H798" s="52" t="str">
        <f>IF($C798="B",INDEX(Batters[[#All],[B]],MATCH(Table5[[#This Row],[PID]],Batters[[#All],[PID]],0)),INDEX(Table3[[#All],[B]],MATCH(Table5[[#This Row],[PID]],Table3[[#All],[PID]],0)))</f>
        <v>S</v>
      </c>
      <c r="I798" s="52" t="str">
        <f>IF($C798="B",INDEX(Batters[[#All],[T]],MATCH(Table5[[#This Row],[PID]],Batters[[#All],[PID]],0)),INDEX(Table3[[#All],[T]],MATCH(Table5[[#This Row],[PID]],Table3[[#All],[PID]],0)))</f>
        <v>R</v>
      </c>
      <c r="J798" s="69" t="str">
        <f>IF($C798="B",INDEX(Batters[[#All],[WE]],MATCH(Table5[[#This Row],[PID]],Batters[[#All],[PID]],0)),INDEX(Table3[[#All],[WE]],MATCH(Table5[[#This Row],[PID]],Table3[[#All],[PID]],0)))</f>
        <v>Low</v>
      </c>
      <c r="K798" s="52" t="str">
        <f>IF($C798="B",INDEX(Batters[[#All],[INT]],MATCH(Table5[[#This Row],[PID]],Batters[[#All],[PID]],0)),INDEX(Table3[[#All],[INT]],MATCH(Table5[[#This Row],[PID]],Table3[[#All],[PID]],0)))</f>
        <v>Normal</v>
      </c>
      <c r="L798" s="60">
        <f>IF($C798="B",INDEX(Batters[[#All],[CON P]],MATCH(Table5[[#This Row],[PID]],Batters[[#All],[PID]],0)),INDEX(Table3[[#All],[STU P]],MATCH(Table5[[#This Row],[PID]],Table3[[#All],[PID]],0)))</f>
        <v>4</v>
      </c>
      <c r="M798" s="70">
        <f>IF($C798="B",INDEX(Batters[[#All],[GAP P]],MATCH(Table5[[#This Row],[PID]],Batters[[#All],[PID]],0)),INDEX(Table3[[#All],[MOV P]],MATCH(Table5[[#This Row],[PID]],Table3[[#All],[PID]],0)))</f>
        <v>3</v>
      </c>
      <c r="N798" s="70">
        <f>IF($C798="B",INDEX(Batters[[#All],[POW P]],MATCH(Table5[[#This Row],[PID]],Batters[[#All],[PID]],0)),INDEX(Table3[[#All],[CON P]],MATCH(Table5[[#This Row],[PID]],Table3[[#All],[PID]],0)))</f>
        <v>1</v>
      </c>
      <c r="O798" s="70" t="str">
        <f>IF($C798="B",INDEX(Batters[[#All],[EYE P]],MATCH(Table5[[#This Row],[PID]],Batters[[#All],[PID]],0)),INDEX(Table3[[#All],[VELO]],MATCH(Table5[[#This Row],[PID]],Table3[[#All],[PID]],0)))</f>
        <v>88-90 Mph</v>
      </c>
      <c r="P798" s="56">
        <f>IF($C798="B",INDEX(Batters[[#All],[K P]],MATCH(Table5[[#This Row],[PID]],Batters[[#All],[PID]],0)),INDEX(Table3[[#All],[STM]],MATCH(Table5[[#This Row],[PID]],Table3[[#All],[PID]],0)))</f>
        <v>8</v>
      </c>
      <c r="Q798" s="61">
        <f>IF($C798="B",INDEX(Batters[[#All],[Tot]],MATCH(Table5[[#This Row],[PID]],Batters[[#All],[PID]],0)),INDEX(Table3[[#All],[Tot]],MATCH(Table5[[#This Row],[PID]],Table3[[#All],[PID]],0)))</f>
        <v>22.116834222120605</v>
      </c>
      <c r="R798" s="52">
        <f>IF($C798="B",INDEX(Batters[[#All],[zScore]],MATCH(Table5[[#This Row],[PID]],Batters[[#All],[PID]],0)),INDEX(Table3[[#All],[zScore]],MATCH(Table5[[#This Row],[PID]],Table3[[#All],[PID]],0)))</f>
        <v>-1.116935599688976</v>
      </c>
      <c r="S798" s="75" t="str">
        <f>IF($C798="B",INDEX(Batters[[#All],[DEM]],MATCH(Table5[[#This Row],[PID]],Batters[[#All],[PID]],0)),INDEX(Table3[[#All],[DEM]],MATCH(Table5[[#This Row],[PID]],Table3[[#All],[PID]],0)))</f>
        <v>-</v>
      </c>
      <c r="T798" s="72">
        <f>IF($C798="B",INDEX(Batters[[#All],[Rnk]],MATCH(Table5[[#This Row],[PID]],Batters[[#All],[PID]],0)),INDEX(Table3[[#All],[Rnk]],MATCH(Table5[[#This Row],[PID]],Table3[[#All],[PID]],0)))</f>
        <v>930</v>
      </c>
      <c r="U798" s="67">
        <f>IF($C798="B",VLOOKUP($A798,Bat!$A$4:$BA$1314,47,FALSE),VLOOKUP($A798,Pit!$A$4:$BF$1214,56,FALSE))</f>
        <v>369</v>
      </c>
      <c r="V798" s="50">
        <f>IF($C798="B",VLOOKUP($A798,Bat!$A$4:$BA$1314,48,FALSE),VLOOKUP($A798,Pit!$A$4:$BF$1214,57,FALSE))</f>
        <v>0</v>
      </c>
      <c r="W798" s="68">
        <f>IF(Table5[[#This Row],[posRnk]]=999,9999,Table5[[#This Row],[posRnk]]+Table5[[#This Row],[zRnk]]+IF($W$3&lt;&gt;Table5[[#This Row],[Type]],50,0))</f>
        <v>1732</v>
      </c>
      <c r="X798" s="71">
        <f>RANK(Table5[[#This Row],[zScore]],Table5[[#All],[zScore]])</f>
        <v>802</v>
      </c>
      <c r="Y798" s="68">
        <f>IFERROR(INDEX(DraftResults[[#All],[OVR]],MATCH(Table5[[#This Row],[PID]],DraftResults[[#All],[Player ID]],0)),"")</f>
        <v>619</v>
      </c>
      <c r="Z798" s="7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19</v>
      </c>
      <c r="AA798" s="68">
        <f>IFERROR(INDEX(DraftResults[[#All],[Pick in Round]],MATCH(Table5[[#This Row],[PID]],DraftResults[[#All],[Player ID]],0)),"")</f>
        <v>16</v>
      </c>
      <c r="AB798" s="68" t="str">
        <f>IFERROR(INDEX(DraftResults[[#All],[Team Name]],MATCH(Table5[[#This Row],[PID]],DraftResults[[#All],[Player ID]],0)),"")</f>
        <v>Madison Malts</v>
      </c>
      <c r="AC798" s="68">
        <f>IF(Table5[[#This Row],[Ovr]]="","",IF(Table5[[#This Row],[cmbList]]="","",Table5[[#This Row],[cmbList]]-Table5[[#This Row],[Ovr]]))</f>
        <v>1113</v>
      </c>
      <c r="AD798" s="74" t="str">
        <f>IF(ISERROR(VLOOKUP($AB798&amp;"-"&amp;$E798&amp;" "&amp;F798,Bonuses!$B$1:$G$1006,4,FALSE)),"",INT(VLOOKUP($AB798&amp;"-"&amp;$E798&amp;" "&amp;$F798,Bonuses!$B$1:$G$1006,4,FALSE)))</f>
        <v/>
      </c>
      <c r="AE798" s="68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19.16 (619) - SP Logan MacCrum</v>
      </c>
    </row>
    <row r="799" spans="1:31" s="50" customFormat="1" x14ac:dyDescent="0.3">
      <c r="A799" s="50">
        <v>16194</v>
      </c>
      <c r="B799" s="50">
        <f>COUNTIF(Table5[PID],A799)</f>
        <v>1</v>
      </c>
      <c r="C799" s="50" t="str">
        <f>IF(COUNTIF(Table3[[#All],[PID]],A799)&gt;0,"P","B")</f>
        <v>P</v>
      </c>
      <c r="D799" s="59" t="str">
        <f>IF($C799="B",INDEX(Batters[[#All],[POS]],MATCH(Table5[[#This Row],[PID]],Batters[[#All],[PID]],0)),INDEX(Table3[[#All],[POS]],MATCH(Table5[[#This Row],[PID]],Table3[[#All],[PID]],0)))</f>
        <v>RP</v>
      </c>
      <c r="E799" s="52" t="str">
        <f>IF($C799="B",INDEX(Batters[[#All],[First]],MATCH(Table5[[#This Row],[PID]],Batters[[#All],[PID]],0)),INDEX(Table3[[#All],[First]],MATCH(Table5[[#This Row],[PID]],Table3[[#All],[PID]],0)))</f>
        <v>Masami</v>
      </c>
      <c r="F799" s="50" t="str">
        <f>IF($C799="B",INDEX(Batters[[#All],[Last]],MATCH(A799,Batters[[#All],[PID]],0)),INDEX(Table3[[#All],[Last]],MATCH(A799,Table3[[#All],[PID]],0)))</f>
        <v>Taniguchi</v>
      </c>
      <c r="G799" s="56">
        <f>IF($C799="B",INDEX(Batters[[#All],[Age]],MATCH(Table5[[#This Row],[PID]],Batters[[#All],[PID]],0)),INDEX(Table3[[#All],[Age]],MATCH(Table5[[#This Row],[PID]],Table3[[#All],[PID]],0)))</f>
        <v>22</v>
      </c>
      <c r="H799" s="52" t="str">
        <f>IF($C799="B",INDEX(Batters[[#All],[B]],MATCH(Table5[[#This Row],[PID]],Batters[[#All],[PID]],0)),INDEX(Table3[[#All],[B]],MATCH(Table5[[#This Row],[PID]],Table3[[#All],[PID]],0)))</f>
        <v>L</v>
      </c>
      <c r="I799" s="52" t="str">
        <f>IF($C799="B",INDEX(Batters[[#All],[T]],MATCH(Table5[[#This Row],[PID]],Batters[[#All],[PID]],0)),INDEX(Table3[[#All],[T]],MATCH(Table5[[#This Row],[PID]],Table3[[#All],[PID]],0)))</f>
        <v>L</v>
      </c>
      <c r="J799" s="52" t="str">
        <f>IF($C799="B",INDEX(Batters[[#All],[WE]],MATCH(Table5[[#This Row],[PID]],Batters[[#All],[PID]],0)),INDEX(Table3[[#All],[WE]],MATCH(Table5[[#This Row],[PID]],Table3[[#All],[PID]],0)))</f>
        <v>High</v>
      </c>
      <c r="K799" s="52" t="str">
        <f>IF($C799="B",INDEX(Batters[[#All],[INT]],MATCH(Table5[[#This Row],[PID]],Batters[[#All],[PID]],0)),INDEX(Table3[[#All],[INT]],MATCH(Table5[[#This Row],[PID]],Table3[[#All],[PID]],0)))</f>
        <v>High</v>
      </c>
      <c r="L799" s="60">
        <f>IF($C799="B",INDEX(Batters[[#All],[CON P]],MATCH(Table5[[#This Row],[PID]],Batters[[#All],[PID]],0)),INDEX(Table3[[#All],[STU P]],MATCH(Table5[[#This Row],[PID]],Table3[[#All],[PID]],0)))</f>
        <v>3</v>
      </c>
      <c r="M799" s="56">
        <f>IF($C799="B",INDEX(Batters[[#All],[GAP P]],MATCH(Table5[[#This Row],[PID]],Batters[[#All],[PID]],0)),INDEX(Table3[[#All],[MOV P]],MATCH(Table5[[#This Row],[PID]],Table3[[#All],[PID]],0)))</f>
        <v>2</v>
      </c>
      <c r="N799" s="56">
        <f>IF($C799="B",INDEX(Batters[[#All],[POW P]],MATCH(Table5[[#This Row],[PID]],Batters[[#All],[PID]],0)),INDEX(Table3[[#All],[CON P]],MATCH(Table5[[#This Row],[PID]],Table3[[#All],[PID]],0)))</f>
        <v>2</v>
      </c>
      <c r="O799" s="56" t="str">
        <f>IF($C799="B",INDEX(Batters[[#All],[EYE P]],MATCH(Table5[[#This Row],[PID]],Batters[[#All],[PID]],0)),INDEX(Table3[[#All],[VELO]],MATCH(Table5[[#This Row],[PID]],Table3[[#All],[PID]],0)))</f>
        <v>87-89 Mph</v>
      </c>
      <c r="P799" s="56">
        <f>IF($C799="B",INDEX(Batters[[#All],[K P]],MATCH(Table5[[#This Row],[PID]],Batters[[#All],[PID]],0)),INDEX(Table3[[#All],[STM]],MATCH(Table5[[#This Row],[PID]],Table3[[#All],[PID]],0)))</f>
        <v>4</v>
      </c>
      <c r="Q799" s="61">
        <f>IF($C799="B",INDEX(Batters[[#All],[Tot]],MATCH(Table5[[#This Row],[PID]],Batters[[#All],[PID]],0)),INDEX(Table3[[#All],[Tot]],MATCH(Table5[[#This Row],[PID]],Table3[[#All],[PID]],0)))</f>
        <v>19.483645721282638</v>
      </c>
      <c r="R799" s="52">
        <f>IF($C799="B",INDEX(Batters[[#All],[zScore]],MATCH(Table5[[#This Row],[PID]],Batters[[#All],[PID]],0)),INDEX(Table3[[#All],[zScore]],MATCH(Table5[[#This Row],[PID]],Table3[[#All],[PID]],0)))</f>
        <v>-1.297046130261502</v>
      </c>
      <c r="S799" s="58" t="str">
        <f>IF($C799="B",INDEX(Batters[[#All],[DEM]],MATCH(Table5[[#This Row],[PID]],Batters[[#All],[PID]],0)),INDEX(Table3[[#All],[DEM]],MATCH(Table5[[#This Row],[PID]],Table3[[#All],[PID]],0)))</f>
        <v>-</v>
      </c>
      <c r="T799" s="62">
        <f>IF($C799="B",INDEX(Batters[[#All],[Rnk]],MATCH(Table5[[#This Row],[PID]],Batters[[#All],[PID]],0)),INDEX(Table3[[#All],[Rnk]],MATCH(Table5[[#This Row],[PID]],Table3[[#All],[PID]],0)))</f>
        <v>900</v>
      </c>
      <c r="U799" s="67">
        <f>IF($C799="B",VLOOKUP($A799,Bat!$A$4:$BA$1314,47,FALSE),VLOOKUP($A799,Pit!$A$4:$BF$1214,56,FALSE))</f>
        <v>255</v>
      </c>
      <c r="V799" s="50">
        <f>IF($C799="B",VLOOKUP($A799,Bat!$A$4:$BA$1314,48,FALSE),VLOOKUP($A799,Pit!$A$4:$BF$1214,57,FALSE))</f>
        <v>0</v>
      </c>
      <c r="W799" s="68">
        <f>IF(Table5[[#This Row],[posRnk]]=999,9999,Table5[[#This Row],[posRnk]]+Table5[[#This Row],[zRnk]]+IF($W$3&lt;&gt;Table5[[#This Row],[Type]],50,0))</f>
        <v>1733</v>
      </c>
      <c r="X799" s="51">
        <f>RANK(Table5[[#This Row],[zScore]],Table5[[#All],[zScore]])</f>
        <v>833</v>
      </c>
      <c r="Y799" s="50" t="str">
        <f>IFERROR(INDEX(DraftResults[[#All],[OVR]],MATCH(Table5[[#This Row],[PID]],DraftResults[[#All],[Player ID]],0)),"")</f>
        <v/>
      </c>
      <c r="Z799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/>
      </c>
      <c r="AA799" s="50" t="str">
        <f>IFERROR(INDEX(DraftResults[[#All],[Pick in Round]],MATCH(Table5[[#This Row],[PID]],DraftResults[[#All],[Player ID]],0)),"")</f>
        <v/>
      </c>
      <c r="AB799" s="50" t="str">
        <f>IFERROR(INDEX(DraftResults[[#All],[Team Name]],MATCH(Table5[[#This Row],[PID]],DraftResults[[#All],[Player ID]],0)),"")</f>
        <v/>
      </c>
      <c r="AC799" s="50" t="str">
        <f>IF(Table5[[#This Row],[Ovr]]="","",IF(Table5[[#This Row],[cmbList]]="","",Table5[[#This Row],[cmbList]]-Table5[[#This Row],[Ovr]]))</f>
        <v/>
      </c>
      <c r="AD799" s="54" t="str">
        <f>IF(ISERROR(VLOOKUP($AB799&amp;"-"&amp;$E799&amp;" "&amp;F799,Bonuses!$B$1:$G$1006,4,FALSE)),"",INT(VLOOKUP($AB799&amp;"-"&amp;$E799&amp;" "&amp;$F799,Bonuses!$B$1:$G$1006,4,FALSE)))</f>
        <v/>
      </c>
      <c r="AE799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/>
      </c>
    </row>
    <row r="800" spans="1:31" s="50" customFormat="1" x14ac:dyDescent="0.3">
      <c r="A800" s="50">
        <v>5828</v>
      </c>
      <c r="B800" s="50">
        <f>COUNTIF(Table5[PID],A800)</f>
        <v>1</v>
      </c>
      <c r="C800" s="50" t="str">
        <f>IF(COUNTIF(Table3[[#All],[PID]],A800)&gt;0,"P","B")</f>
        <v>P</v>
      </c>
      <c r="D800" s="59" t="str">
        <f>IF($C800="B",INDEX(Batters[[#All],[POS]],MATCH(Table5[[#This Row],[PID]],Batters[[#All],[PID]],0)),INDEX(Table3[[#All],[POS]],MATCH(Table5[[#This Row],[PID]],Table3[[#All],[PID]],0)))</f>
        <v>RP</v>
      </c>
      <c r="E800" s="52" t="str">
        <f>IF($C800="B",INDEX(Batters[[#All],[First]],MATCH(Table5[[#This Row],[PID]],Batters[[#All],[PID]],0)),INDEX(Table3[[#All],[First]],MATCH(Table5[[#This Row],[PID]],Table3[[#All],[PID]],0)))</f>
        <v>Thomas</v>
      </c>
      <c r="F800" s="50" t="str">
        <f>IF($C800="B",INDEX(Batters[[#All],[Last]],MATCH(A800,Batters[[#All],[PID]],0)),INDEX(Table3[[#All],[Last]],MATCH(A800,Table3[[#All],[PID]],0)))</f>
        <v>Mclatchie</v>
      </c>
      <c r="G800" s="56">
        <f>IF($C800="B",INDEX(Batters[[#All],[Age]],MATCH(Table5[[#This Row],[PID]],Batters[[#All],[PID]],0)),INDEX(Table3[[#All],[Age]],MATCH(Table5[[#This Row],[PID]],Table3[[#All],[PID]],0)))</f>
        <v>21</v>
      </c>
      <c r="H800" s="52" t="str">
        <f>IF($C800="B",INDEX(Batters[[#All],[B]],MATCH(Table5[[#This Row],[PID]],Batters[[#All],[PID]],0)),INDEX(Table3[[#All],[B]],MATCH(Table5[[#This Row],[PID]],Table3[[#All],[PID]],0)))</f>
        <v>R</v>
      </c>
      <c r="I800" s="52" t="str">
        <f>IF($C800="B",INDEX(Batters[[#All],[T]],MATCH(Table5[[#This Row],[PID]],Batters[[#All],[PID]],0)),INDEX(Table3[[#All],[T]],MATCH(Table5[[#This Row],[PID]],Table3[[#All],[PID]],0)))</f>
        <v>R</v>
      </c>
      <c r="J800" s="52" t="str">
        <f>IF($C800="B",INDEX(Batters[[#All],[WE]],MATCH(Table5[[#This Row],[PID]],Batters[[#All],[PID]],0)),INDEX(Table3[[#All],[WE]],MATCH(Table5[[#This Row],[PID]],Table3[[#All],[PID]],0)))</f>
        <v>Low</v>
      </c>
      <c r="K800" s="52" t="str">
        <f>IF($C800="B",INDEX(Batters[[#All],[INT]],MATCH(Table5[[#This Row],[PID]],Batters[[#All],[PID]],0)),INDEX(Table3[[#All],[INT]],MATCH(Table5[[#This Row],[PID]],Table3[[#All],[PID]],0)))</f>
        <v>Low</v>
      </c>
      <c r="L800" s="60">
        <f>IF($C800="B",INDEX(Batters[[#All],[CON P]],MATCH(Table5[[#This Row],[PID]],Batters[[#All],[PID]],0)),INDEX(Table3[[#All],[STU P]],MATCH(Table5[[#This Row],[PID]],Table3[[#All],[PID]],0)))</f>
        <v>4</v>
      </c>
      <c r="M800" s="56">
        <f>IF($C800="B",INDEX(Batters[[#All],[GAP P]],MATCH(Table5[[#This Row],[PID]],Batters[[#All],[PID]],0)),INDEX(Table3[[#All],[MOV P]],MATCH(Table5[[#This Row],[PID]],Table3[[#All],[PID]],0)))</f>
        <v>1</v>
      </c>
      <c r="N800" s="56">
        <f>IF($C800="B",INDEX(Batters[[#All],[POW P]],MATCH(Table5[[#This Row],[PID]],Batters[[#All],[PID]],0)),INDEX(Table3[[#All],[CON P]],MATCH(Table5[[#This Row],[PID]],Table3[[#All],[PID]],0)))</f>
        <v>3</v>
      </c>
      <c r="O800" s="56" t="str">
        <f>IF($C800="B",INDEX(Batters[[#All],[EYE P]],MATCH(Table5[[#This Row],[PID]],Batters[[#All],[PID]],0)),INDEX(Table3[[#All],[VELO]],MATCH(Table5[[#This Row],[PID]],Table3[[#All],[PID]],0)))</f>
        <v>89-91 Mph</v>
      </c>
      <c r="P800" s="56">
        <f>IF($C800="B",INDEX(Batters[[#All],[K P]],MATCH(Table5[[#This Row],[PID]],Batters[[#All],[PID]],0)),INDEX(Table3[[#All],[STM]],MATCH(Table5[[#This Row],[PID]],Table3[[#All],[PID]],0)))</f>
        <v>4</v>
      </c>
      <c r="Q800" s="61">
        <f>IF($C800="B",INDEX(Batters[[#All],[Tot]],MATCH(Table5[[#This Row],[PID]],Batters[[#All],[PID]],0)),INDEX(Table3[[#All],[Tot]],MATCH(Table5[[#This Row],[PID]],Table3[[#All],[PID]],0)))</f>
        <v>23.311537003692258</v>
      </c>
      <c r="R800" s="52">
        <f>IF($C800="B",INDEX(Batters[[#All],[zScore]],MATCH(Table5[[#This Row],[PID]],Batters[[#All],[PID]],0)),INDEX(Table3[[#All],[zScore]],MATCH(Table5[[#This Row],[PID]],Table3[[#All],[PID]],0)))</f>
        <v>-1.031864359448168</v>
      </c>
      <c r="S800" s="58" t="str">
        <f>IF($C800="B",INDEX(Batters[[#All],[DEM]],MATCH(Table5[[#This Row],[PID]],Batters[[#All],[PID]],0)),INDEX(Table3[[#All],[DEM]],MATCH(Table5[[#This Row],[PID]],Table3[[#All],[PID]],0)))</f>
        <v>$20k</v>
      </c>
      <c r="T800" s="62">
        <f>IF($C800="B",INDEX(Batters[[#All],[Rnk]],MATCH(Table5[[#This Row],[PID]],Batters[[#All],[PID]],0)),INDEX(Table3[[#All],[Rnk]],MATCH(Table5[[#This Row],[PID]],Table3[[#All],[PID]],0)))</f>
        <v>950</v>
      </c>
      <c r="U800" s="67">
        <f>IF($C800="B",VLOOKUP($A800,Bat!$A$4:$BA$1314,47,FALSE),VLOOKUP($A800,Pit!$A$4:$BF$1214,56,FALSE))</f>
        <v>424</v>
      </c>
      <c r="V800" s="50">
        <f>IF($C800="B",VLOOKUP($A800,Bat!$A$4:$BA$1314,48,FALSE),VLOOKUP($A800,Pit!$A$4:$BF$1214,57,FALSE))</f>
        <v>0</v>
      </c>
      <c r="W800" s="68">
        <f>IF(Table5[[#This Row],[posRnk]]=999,9999,Table5[[#This Row],[posRnk]]+Table5[[#This Row],[zRnk]]+IF($W$3&lt;&gt;Table5[[#This Row],[Type]],50,0))</f>
        <v>1733</v>
      </c>
      <c r="X800" s="51">
        <f>RANK(Table5[[#This Row],[zScore]],Table5[[#All],[zScore]])</f>
        <v>783</v>
      </c>
      <c r="Y800" s="50" t="str">
        <f>IFERROR(INDEX(DraftResults[[#All],[OVR]],MATCH(Table5[[#This Row],[PID]],DraftResults[[#All],[Player ID]],0)),"")</f>
        <v/>
      </c>
      <c r="Z800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/>
      </c>
      <c r="AA800" s="50" t="str">
        <f>IFERROR(INDEX(DraftResults[[#All],[Pick in Round]],MATCH(Table5[[#This Row],[PID]],DraftResults[[#All],[Player ID]],0)),"")</f>
        <v/>
      </c>
      <c r="AB800" s="50" t="str">
        <f>IFERROR(INDEX(DraftResults[[#All],[Team Name]],MATCH(Table5[[#This Row],[PID]],DraftResults[[#All],[Player ID]],0)),"")</f>
        <v/>
      </c>
      <c r="AC800" s="50" t="str">
        <f>IF(Table5[[#This Row],[Ovr]]="","",IF(Table5[[#This Row],[cmbList]]="","",Table5[[#This Row],[cmbList]]-Table5[[#This Row],[Ovr]]))</f>
        <v/>
      </c>
      <c r="AD800" s="54" t="str">
        <f>IF(ISERROR(VLOOKUP($AB800&amp;"-"&amp;$E800&amp;" "&amp;F800,Bonuses!$B$1:$G$1006,4,FALSE)),"",INT(VLOOKUP($AB800&amp;"-"&amp;$E800&amp;" "&amp;$F800,Bonuses!$B$1:$G$1006,4,FALSE)))</f>
        <v/>
      </c>
      <c r="AE800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/>
      </c>
    </row>
    <row r="801" spans="1:31" s="50" customFormat="1" x14ac:dyDescent="0.3">
      <c r="A801" s="50">
        <v>13198</v>
      </c>
      <c r="B801" s="50">
        <f>COUNTIF(Table5[PID],A801)</f>
        <v>1</v>
      </c>
      <c r="C801" s="50" t="str">
        <f>IF(COUNTIF(Table3[[#All],[PID]],A801)&gt;0,"P","B")</f>
        <v>P</v>
      </c>
      <c r="D801" s="59" t="str">
        <f>IF($C801="B",INDEX(Batters[[#All],[POS]],MATCH(Table5[[#This Row],[PID]],Batters[[#All],[PID]],0)),INDEX(Table3[[#All],[POS]],MATCH(Table5[[#This Row],[PID]],Table3[[#All],[PID]],0)))</f>
        <v>RP</v>
      </c>
      <c r="E801" s="52" t="str">
        <f>IF($C801="B",INDEX(Batters[[#All],[First]],MATCH(Table5[[#This Row],[PID]],Batters[[#All],[PID]],0)),INDEX(Table3[[#All],[First]],MATCH(Table5[[#This Row],[PID]],Table3[[#All],[PID]],0)))</f>
        <v>Tamasaburo</v>
      </c>
      <c r="F801" s="50" t="str">
        <f>IF($C801="B",INDEX(Batters[[#All],[Last]],MATCH(A801,Batters[[#All],[PID]],0)),INDEX(Table3[[#All],[Last]],MATCH(A801,Table3[[#All],[PID]],0)))</f>
        <v>Jouda</v>
      </c>
      <c r="G801" s="56">
        <f>IF($C801="B",INDEX(Batters[[#All],[Age]],MATCH(Table5[[#This Row],[PID]],Batters[[#All],[PID]],0)),INDEX(Table3[[#All],[Age]],MATCH(Table5[[#This Row],[PID]],Table3[[#All],[PID]],0)))</f>
        <v>17</v>
      </c>
      <c r="H801" s="52" t="str">
        <f>IF($C801="B",INDEX(Batters[[#All],[B]],MATCH(Table5[[#This Row],[PID]],Batters[[#All],[PID]],0)),INDEX(Table3[[#All],[B]],MATCH(Table5[[#This Row],[PID]],Table3[[#All],[PID]],0)))</f>
        <v>R</v>
      </c>
      <c r="I801" s="52" t="str">
        <f>IF($C801="B",INDEX(Batters[[#All],[T]],MATCH(Table5[[#This Row],[PID]],Batters[[#All],[PID]],0)),INDEX(Table3[[#All],[T]],MATCH(Table5[[#This Row],[PID]],Table3[[#All],[PID]],0)))</f>
        <v>R</v>
      </c>
      <c r="J801" s="52" t="str">
        <f>IF($C801="B",INDEX(Batters[[#All],[WE]],MATCH(Table5[[#This Row],[PID]],Batters[[#All],[PID]],0)),INDEX(Table3[[#All],[WE]],MATCH(Table5[[#This Row],[PID]],Table3[[#All],[PID]],0)))</f>
        <v>Low</v>
      </c>
      <c r="K801" s="52" t="str">
        <f>IF($C801="B",INDEX(Batters[[#All],[INT]],MATCH(Table5[[#This Row],[PID]],Batters[[#All],[PID]],0)),INDEX(Table3[[#All],[INT]],MATCH(Table5[[#This Row],[PID]],Table3[[#All],[PID]],0)))</f>
        <v>Low</v>
      </c>
      <c r="L801" s="60">
        <f>IF($C801="B",INDEX(Batters[[#All],[CON P]],MATCH(Table5[[#This Row],[PID]],Batters[[#All],[PID]],0)),INDEX(Table3[[#All],[STU P]],MATCH(Table5[[#This Row],[PID]],Table3[[#All],[PID]],0)))</f>
        <v>3</v>
      </c>
      <c r="M801" s="56">
        <f>IF($C801="B",INDEX(Batters[[#All],[GAP P]],MATCH(Table5[[#This Row],[PID]],Batters[[#All],[PID]],0)),INDEX(Table3[[#All],[MOV P]],MATCH(Table5[[#This Row],[PID]],Table3[[#All],[PID]],0)))</f>
        <v>2</v>
      </c>
      <c r="N801" s="56">
        <f>IF($C801="B",INDEX(Batters[[#All],[POW P]],MATCH(Table5[[#This Row],[PID]],Batters[[#All],[PID]],0)),INDEX(Table3[[#All],[CON P]],MATCH(Table5[[#This Row],[PID]],Table3[[#All],[PID]],0)))</f>
        <v>2</v>
      </c>
      <c r="O801" s="56" t="str">
        <f>IF($C801="B",INDEX(Batters[[#All],[EYE P]],MATCH(Table5[[#This Row],[PID]],Batters[[#All],[PID]],0)),INDEX(Table3[[#All],[VELO]],MATCH(Table5[[#This Row],[PID]],Table3[[#All],[PID]],0)))</f>
        <v>88-90 Mph</v>
      </c>
      <c r="P801" s="56">
        <f>IF($C801="B",INDEX(Batters[[#All],[K P]],MATCH(Table5[[#This Row],[PID]],Batters[[#All],[PID]],0)),INDEX(Table3[[#All],[STM]],MATCH(Table5[[#This Row],[PID]],Table3[[#All],[PID]],0)))</f>
        <v>4</v>
      </c>
      <c r="Q801" s="61">
        <f>IF($C801="B",INDEX(Batters[[#All],[Tot]],MATCH(Table5[[#This Row],[PID]],Batters[[#All],[PID]],0)),INDEX(Table3[[#All],[Tot]],MATCH(Table5[[#This Row],[PID]],Table3[[#All],[PID]],0)))</f>
        <v>23.087604813732355</v>
      </c>
      <c r="R801" s="52">
        <f>IF($C801="B",INDEX(Batters[[#All],[zScore]],MATCH(Table5[[#This Row],[PID]],Batters[[#All],[PID]],0)),INDEX(Table3[[#All],[zScore]],MATCH(Table5[[#This Row],[PID]],Table3[[#All],[PID]],0)))</f>
        <v>-1.0406473826862037</v>
      </c>
      <c r="S801" s="58" t="str">
        <f>IF($C801="B",INDEX(Batters[[#All],[DEM]],MATCH(Table5[[#This Row],[PID]],Batters[[#All],[PID]],0)),INDEX(Table3[[#All],[DEM]],MATCH(Table5[[#This Row],[PID]],Table3[[#All],[PID]],0)))</f>
        <v>$65k</v>
      </c>
      <c r="T801" s="62">
        <f>IF($C801="B",INDEX(Batters[[#All],[Rnk]],MATCH(Table5[[#This Row],[PID]],Batters[[#All],[PID]],0)),INDEX(Table3[[#All],[Rnk]],MATCH(Table5[[#This Row],[PID]],Table3[[#All],[PID]],0)))</f>
        <v>950</v>
      </c>
      <c r="U801" s="67">
        <f>IF($C801="B",VLOOKUP($A801,Bat!$A$4:$BA$1314,47,FALSE),VLOOKUP($A801,Pit!$A$4:$BF$1214,56,FALSE))</f>
        <v>425</v>
      </c>
      <c r="V801" s="50">
        <f>IF($C801="B",VLOOKUP($A801,Bat!$A$4:$BA$1314,48,FALSE),VLOOKUP($A801,Pit!$A$4:$BF$1214,57,FALSE))</f>
        <v>0</v>
      </c>
      <c r="W801" s="68">
        <f>IF(Table5[[#This Row],[posRnk]]=999,9999,Table5[[#This Row],[posRnk]]+Table5[[#This Row],[zRnk]]+IF($W$3&lt;&gt;Table5[[#This Row],[Type]],50,0))</f>
        <v>1734</v>
      </c>
      <c r="X801" s="51">
        <f>RANK(Table5[[#This Row],[zScore]],Table5[[#All],[zScore]])</f>
        <v>784</v>
      </c>
      <c r="Y801" s="50" t="str">
        <f>IFERROR(INDEX(DraftResults[[#All],[OVR]],MATCH(Table5[[#This Row],[PID]],DraftResults[[#All],[Player ID]],0)),"")</f>
        <v/>
      </c>
      <c r="Z801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/>
      </c>
      <c r="AA801" s="50" t="str">
        <f>IFERROR(INDEX(DraftResults[[#All],[Pick in Round]],MATCH(Table5[[#This Row],[PID]],DraftResults[[#All],[Player ID]],0)),"")</f>
        <v/>
      </c>
      <c r="AB801" s="50" t="str">
        <f>IFERROR(INDEX(DraftResults[[#All],[Team Name]],MATCH(Table5[[#This Row],[PID]],DraftResults[[#All],[Player ID]],0)),"")</f>
        <v/>
      </c>
      <c r="AC801" s="50" t="str">
        <f>IF(Table5[[#This Row],[Ovr]]="","",IF(Table5[[#This Row],[cmbList]]="","",Table5[[#This Row],[cmbList]]-Table5[[#This Row],[Ovr]]))</f>
        <v/>
      </c>
      <c r="AD801" s="54" t="str">
        <f>IF(ISERROR(VLOOKUP($AB801&amp;"-"&amp;$E801&amp;" "&amp;F801,Bonuses!$B$1:$G$1006,4,FALSE)),"",INT(VLOOKUP($AB801&amp;"-"&amp;$E801&amp;" "&amp;$F801,Bonuses!$B$1:$G$1006,4,FALSE)))</f>
        <v/>
      </c>
      <c r="AE801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/>
      </c>
    </row>
    <row r="802" spans="1:31" s="50" customFormat="1" x14ac:dyDescent="0.3">
      <c r="A802" s="50">
        <v>16893</v>
      </c>
      <c r="B802" s="50">
        <f>COUNTIF(Table5[PID],A802)</f>
        <v>1</v>
      </c>
      <c r="C802" s="50" t="str">
        <f>IF(COUNTIF(Table3[[#All],[PID]],A802)&gt;0,"P","B")</f>
        <v>B</v>
      </c>
      <c r="D802" s="59" t="str">
        <f>IF($C802="B",INDEX(Batters[[#All],[POS]],MATCH(Table5[[#This Row],[PID]],Batters[[#All],[PID]],0)),INDEX(Table3[[#All],[POS]],MATCH(Table5[[#This Row],[PID]],Table3[[#All],[PID]],0)))</f>
        <v>C</v>
      </c>
      <c r="E802" s="52" t="str">
        <f>IF($C802="B",INDEX(Batters[[#All],[First]],MATCH(Table5[[#This Row],[PID]],Batters[[#All],[PID]],0)),INDEX(Table3[[#All],[First]],MATCH(Table5[[#This Row],[PID]],Table3[[#All],[PID]],0)))</f>
        <v>Ricardo</v>
      </c>
      <c r="F802" s="50" t="str">
        <f>IF($C802="B",INDEX(Batters[[#All],[Last]],MATCH(A802,Batters[[#All],[PID]],0)),INDEX(Table3[[#All],[Last]],MATCH(A802,Table3[[#All],[PID]],0)))</f>
        <v>Benítez</v>
      </c>
      <c r="G802" s="56">
        <f>IF($C802="B",INDEX(Batters[[#All],[Age]],MATCH(Table5[[#This Row],[PID]],Batters[[#All],[PID]],0)),INDEX(Table3[[#All],[Age]],MATCH(Table5[[#This Row],[PID]],Table3[[#All],[PID]],0)))</f>
        <v>22</v>
      </c>
      <c r="H802" s="52" t="str">
        <f>IF($C802="B",INDEX(Batters[[#All],[B]],MATCH(Table5[[#This Row],[PID]],Batters[[#All],[PID]],0)),INDEX(Table3[[#All],[B]],MATCH(Table5[[#This Row],[PID]],Table3[[#All],[PID]],0)))</f>
        <v>R</v>
      </c>
      <c r="I802" s="52" t="str">
        <f>IF($C802="B",INDEX(Batters[[#All],[T]],MATCH(Table5[[#This Row],[PID]],Batters[[#All],[PID]],0)),INDEX(Table3[[#All],[T]],MATCH(Table5[[#This Row],[PID]],Table3[[#All],[PID]],0)))</f>
        <v>R</v>
      </c>
      <c r="J802" s="52" t="str">
        <f>IF($C802="B",INDEX(Batters[[#All],[WE]],MATCH(Table5[[#This Row],[PID]],Batters[[#All],[PID]],0)),INDEX(Table3[[#All],[WE]],MATCH(Table5[[#This Row],[PID]],Table3[[#All],[PID]],0)))</f>
        <v>Low</v>
      </c>
      <c r="K802" s="52" t="str">
        <f>IF($C802="B",INDEX(Batters[[#All],[INT]],MATCH(Table5[[#This Row],[PID]],Batters[[#All],[PID]],0)),INDEX(Table3[[#All],[INT]],MATCH(Table5[[#This Row],[PID]],Table3[[#All],[PID]],0)))</f>
        <v>High</v>
      </c>
      <c r="L802" s="60">
        <f>IF($C802="B",INDEX(Batters[[#All],[CON P]],MATCH(Table5[[#This Row],[PID]],Batters[[#All],[PID]],0)),INDEX(Table3[[#All],[STU P]],MATCH(Table5[[#This Row],[PID]],Table3[[#All],[PID]],0)))</f>
        <v>3</v>
      </c>
      <c r="M802" s="56">
        <f>IF($C802="B",INDEX(Batters[[#All],[GAP P]],MATCH(Table5[[#This Row],[PID]],Batters[[#All],[PID]],0)),INDEX(Table3[[#All],[MOV P]],MATCH(Table5[[#This Row],[PID]],Table3[[#All],[PID]],0)))</f>
        <v>2</v>
      </c>
      <c r="N802" s="56">
        <f>IF($C802="B",INDEX(Batters[[#All],[POW P]],MATCH(Table5[[#This Row],[PID]],Batters[[#All],[PID]],0)),INDEX(Table3[[#All],[CON P]],MATCH(Table5[[#This Row],[PID]],Table3[[#All],[PID]],0)))</f>
        <v>4</v>
      </c>
      <c r="O802" s="56">
        <f>IF($C802="B",INDEX(Batters[[#All],[EYE P]],MATCH(Table5[[#This Row],[PID]],Batters[[#All],[PID]],0)),INDEX(Table3[[#All],[VELO]],MATCH(Table5[[#This Row],[PID]],Table3[[#All],[PID]],0)))</f>
        <v>4</v>
      </c>
      <c r="P802" s="56">
        <f>IF($C802="B",INDEX(Batters[[#All],[K P]],MATCH(Table5[[#This Row],[PID]],Batters[[#All],[PID]],0)),INDEX(Table3[[#All],[STM]],MATCH(Table5[[#This Row],[PID]],Table3[[#All],[PID]],0)))</f>
        <v>3</v>
      </c>
      <c r="Q802" s="61">
        <f>IF($C802="B",INDEX(Batters[[#All],[Tot]],MATCH(Table5[[#This Row],[PID]],Batters[[#All],[PID]],0)),INDEX(Table3[[#All],[Tot]],MATCH(Table5[[#This Row],[PID]],Table3[[#All],[PID]],0)))</f>
        <v>35.339237085996132</v>
      </c>
      <c r="R802" s="52">
        <f>IF($C802="B",INDEX(Batters[[#All],[zScore]],MATCH(Table5[[#This Row],[PID]],Batters[[#All],[PID]],0)),INDEX(Table3[[#All],[zScore]],MATCH(Table5[[#This Row],[PID]],Table3[[#All],[PID]],0)))</f>
        <v>-1.150119734804848</v>
      </c>
      <c r="S802" s="58" t="str">
        <f>IF($C802="B",INDEX(Batters[[#All],[DEM]],MATCH(Table5[[#This Row],[PID]],Batters[[#All],[PID]],0)),INDEX(Table3[[#All],[DEM]],MATCH(Table5[[#This Row],[PID]],Table3[[#All],[PID]],0)))</f>
        <v>$20k</v>
      </c>
      <c r="T802" s="62">
        <f>IF($C802="B",INDEX(Batters[[#All],[Rnk]],MATCH(Table5[[#This Row],[PID]],Batters[[#All],[PID]],0)),INDEX(Table3[[#All],[Rnk]],MATCH(Table5[[#This Row],[PID]],Table3[[#All],[PID]],0)))</f>
        <v>930</v>
      </c>
      <c r="U802" s="67">
        <f>IF($C802="B",VLOOKUP($A802,Bat!$A$4:$BA$1314,47,FALSE),VLOOKUP($A802,Pit!$A$4:$BF$1214,56,FALSE))</f>
        <v>378</v>
      </c>
      <c r="V802" s="50">
        <f>IF($C802="B",VLOOKUP($A802,Bat!$A$4:$BA$1314,48,FALSE),VLOOKUP($A802,Pit!$A$4:$BF$1214,57,FALSE))</f>
        <v>0</v>
      </c>
      <c r="W802" s="68">
        <f>IF(Table5[[#This Row],[posRnk]]=999,9999,Table5[[#This Row],[posRnk]]+Table5[[#This Row],[zRnk]]+IF($W$3&lt;&gt;Table5[[#This Row],[Type]],50,0))</f>
        <v>1786</v>
      </c>
      <c r="X802" s="51">
        <f>RANK(Table5[[#This Row],[zScore]],Table5[[#All],[zScore]])</f>
        <v>806</v>
      </c>
      <c r="Y802" s="50" t="str">
        <f>IFERROR(INDEX(DraftResults[[#All],[OVR]],MATCH(Table5[[#This Row],[PID]],DraftResults[[#All],[Player ID]],0)),"")</f>
        <v/>
      </c>
      <c r="Z802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/>
      </c>
      <c r="AA802" s="50" t="str">
        <f>IFERROR(INDEX(DraftResults[[#All],[Pick in Round]],MATCH(Table5[[#This Row],[PID]],DraftResults[[#All],[Player ID]],0)),"")</f>
        <v/>
      </c>
      <c r="AB802" s="50" t="str">
        <f>IFERROR(INDEX(DraftResults[[#All],[Team Name]],MATCH(Table5[[#This Row],[PID]],DraftResults[[#All],[Player ID]],0)),"")</f>
        <v/>
      </c>
      <c r="AC802" s="50" t="str">
        <f>IF(Table5[[#This Row],[Ovr]]="","",IF(Table5[[#This Row],[cmbList]]="","",Table5[[#This Row],[cmbList]]-Table5[[#This Row],[Ovr]]))</f>
        <v/>
      </c>
      <c r="AD802" s="54" t="str">
        <f>IF(ISERROR(VLOOKUP($AB802&amp;"-"&amp;$E802&amp;" "&amp;F802,Bonuses!$B$1:$G$1006,4,FALSE)),"",INT(VLOOKUP($AB802&amp;"-"&amp;$E802&amp;" "&amp;$F802,Bonuses!$B$1:$G$1006,4,FALSE)))</f>
        <v/>
      </c>
      <c r="AE802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/>
      </c>
    </row>
    <row r="803" spans="1:31" s="50" customFormat="1" x14ac:dyDescent="0.3">
      <c r="A803" s="67">
        <v>8193</v>
      </c>
      <c r="B803" s="68">
        <f>COUNTIF(Table5[PID],A803)</f>
        <v>1</v>
      </c>
      <c r="C803" s="68" t="str">
        <f>IF(COUNTIF(Table3[[#All],[PID]],A803)&gt;0,"P","B")</f>
        <v>B</v>
      </c>
      <c r="D803" s="59" t="str">
        <f>IF($C803="B",INDEX(Batters[[#All],[POS]],MATCH(Table5[[#This Row],[PID]],Batters[[#All],[PID]],0)),INDEX(Table3[[#All],[POS]],MATCH(Table5[[#This Row],[PID]],Table3[[#All],[PID]],0)))</f>
        <v>1B</v>
      </c>
      <c r="E803" s="52" t="str">
        <f>IF($C803="B",INDEX(Batters[[#All],[First]],MATCH(Table5[[#This Row],[PID]],Batters[[#All],[PID]],0)),INDEX(Table3[[#All],[First]],MATCH(Table5[[#This Row],[PID]],Table3[[#All],[PID]],0)))</f>
        <v>Simon</v>
      </c>
      <c r="F803" s="55" t="str">
        <f>IF($C803="B",INDEX(Batters[[#All],[Last]],MATCH(A803,Batters[[#All],[PID]],0)),INDEX(Table3[[#All],[Last]],MATCH(A803,Table3[[#All],[PID]],0)))</f>
        <v>Ahernfeld</v>
      </c>
      <c r="G803" s="56">
        <f>IF($C803="B",INDEX(Batters[[#All],[Age]],MATCH(Table5[[#This Row],[PID]],Batters[[#All],[PID]],0)),INDEX(Table3[[#All],[Age]],MATCH(Table5[[#This Row],[PID]],Table3[[#All],[PID]],0)))</f>
        <v>21</v>
      </c>
      <c r="H803" s="52" t="str">
        <f>IF($C803="B",INDEX(Batters[[#All],[B]],MATCH(Table5[[#This Row],[PID]],Batters[[#All],[PID]],0)),INDEX(Table3[[#All],[B]],MATCH(Table5[[#This Row],[PID]],Table3[[#All],[PID]],0)))</f>
        <v>L</v>
      </c>
      <c r="I803" s="52" t="str">
        <f>IF($C803="B",INDEX(Batters[[#All],[T]],MATCH(Table5[[#This Row],[PID]],Batters[[#All],[PID]],0)),INDEX(Table3[[#All],[T]],MATCH(Table5[[#This Row],[PID]],Table3[[#All],[PID]],0)))</f>
        <v>L</v>
      </c>
      <c r="J803" s="69" t="str">
        <f>IF($C803="B",INDEX(Batters[[#All],[WE]],MATCH(Table5[[#This Row],[PID]],Batters[[#All],[PID]],0)),INDEX(Table3[[#All],[WE]],MATCH(Table5[[#This Row],[PID]],Table3[[#All],[PID]],0)))</f>
        <v>Low</v>
      </c>
      <c r="K803" s="52" t="str">
        <f>IF($C803="B",INDEX(Batters[[#All],[INT]],MATCH(Table5[[#This Row],[PID]],Batters[[#All],[PID]],0)),INDEX(Table3[[#All],[INT]],MATCH(Table5[[#This Row],[PID]],Table3[[#All],[PID]],0)))</f>
        <v>Normal</v>
      </c>
      <c r="L803" s="60">
        <f>IF($C803="B",INDEX(Batters[[#All],[CON P]],MATCH(Table5[[#This Row],[PID]],Batters[[#All],[PID]],0)),INDEX(Table3[[#All],[STU P]],MATCH(Table5[[#This Row],[PID]],Table3[[#All],[PID]],0)))</f>
        <v>4</v>
      </c>
      <c r="M803" s="70">
        <f>IF($C803="B",INDEX(Batters[[#All],[GAP P]],MATCH(Table5[[#This Row],[PID]],Batters[[#All],[PID]],0)),INDEX(Table3[[#All],[MOV P]],MATCH(Table5[[#This Row],[PID]],Table3[[#All],[PID]],0)))</f>
        <v>3</v>
      </c>
      <c r="N803" s="70">
        <f>IF($C803="B",INDEX(Batters[[#All],[POW P]],MATCH(Table5[[#This Row],[PID]],Batters[[#All],[PID]],0)),INDEX(Table3[[#All],[CON P]],MATCH(Table5[[#This Row],[PID]],Table3[[#All],[PID]],0)))</f>
        <v>2</v>
      </c>
      <c r="O803" s="70">
        <f>IF($C803="B",INDEX(Batters[[#All],[EYE P]],MATCH(Table5[[#This Row],[PID]],Batters[[#All],[PID]],0)),INDEX(Table3[[#All],[VELO]],MATCH(Table5[[#This Row],[PID]],Table3[[#All],[PID]],0)))</f>
        <v>1</v>
      </c>
      <c r="P803" s="56">
        <f>IF($C803="B",INDEX(Batters[[#All],[K P]],MATCH(Table5[[#This Row],[PID]],Batters[[#All],[PID]],0)),INDEX(Table3[[#All],[STM]],MATCH(Table5[[#This Row],[PID]],Table3[[#All],[PID]],0)))</f>
        <v>5</v>
      </c>
      <c r="Q803" s="61">
        <f>IF($C803="B",INDEX(Batters[[#All],[Tot]],MATCH(Table5[[#This Row],[PID]],Batters[[#All],[PID]],0)),INDEX(Table3[[#All],[Tot]],MATCH(Table5[[#This Row],[PID]],Table3[[#All],[PID]],0)))</f>
        <v>35.333450749231872</v>
      </c>
      <c r="R803" s="52">
        <f>IF($C803="B",INDEX(Batters[[#All],[zScore]],MATCH(Table5[[#This Row],[PID]],Batters[[#All],[PID]],0)),INDEX(Table3[[#All],[zScore]],MATCH(Table5[[#This Row],[PID]],Table3[[#All],[PID]],0)))</f>
        <v>-1.1509643554441089</v>
      </c>
      <c r="S803" s="75" t="str">
        <f>IF($C803="B",INDEX(Batters[[#All],[DEM]],MATCH(Table5[[#This Row],[PID]],Batters[[#All],[PID]],0)),INDEX(Table3[[#All],[DEM]],MATCH(Table5[[#This Row],[PID]],Table3[[#All],[PID]],0)))</f>
        <v>-</v>
      </c>
      <c r="T803" s="72">
        <f>IF($C803="B",INDEX(Batters[[#All],[Rnk]],MATCH(Table5[[#This Row],[PID]],Batters[[#All],[PID]],0)),INDEX(Table3[[#All],[Rnk]],MATCH(Table5[[#This Row],[PID]],Table3[[#All],[PID]],0)))</f>
        <v>930</v>
      </c>
      <c r="U803" s="67">
        <f>IF($C803="B",VLOOKUP($A803,Bat!$A$4:$BA$1314,47,FALSE),VLOOKUP($A803,Pit!$A$4:$BF$1214,56,FALSE))</f>
        <v>384</v>
      </c>
      <c r="V803" s="50">
        <f>IF($C803="B",VLOOKUP($A803,Bat!$A$4:$BA$1314,48,FALSE),VLOOKUP($A803,Pit!$A$4:$BF$1214,57,FALSE))</f>
        <v>0</v>
      </c>
      <c r="W803" s="68">
        <f>IF(Table5[[#This Row],[posRnk]]=999,9999,Table5[[#This Row],[posRnk]]+Table5[[#This Row],[zRnk]]+IF($W$3&lt;&gt;Table5[[#This Row],[Type]],50,0))</f>
        <v>1787</v>
      </c>
      <c r="X803" s="71">
        <f>RANK(Table5[[#This Row],[zScore]],Table5[[#All],[zScore]])</f>
        <v>807</v>
      </c>
      <c r="Y803" s="68">
        <f>IFERROR(INDEX(DraftResults[[#All],[OVR]],MATCH(Table5[[#This Row],[PID]],DraftResults[[#All],[Player ID]],0)),"")</f>
        <v>344</v>
      </c>
      <c r="Z803" s="7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11</v>
      </c>
      <c r="AA803" s="68">
        <f>IFERROR(INDEX(DraftResults[[#All],[Pick in Round]],MATCH(Table5[[#This Row],[PID]],DraftResults[[#All],[Player ID]],0)),"")</f>
        <v>13</v>
      </c>
      <c r="AB803" s="68" t="str">
        <f>IFERROR(INDEX(DraftResults[[#All],[Team Name]],MATCH(Table5[[#This Row],[PID]],DraftResults[[#All],[Player ID]],0)),"")</f>
        <v>Scottish Claymores</v>
      </c>
      <c r="AC803" s="68">
        <f>IF(Table5[[#This Row],[Ovr]]="","",IF(Table5[[#This Row],[cmbList]]="","",Table5[[#This Row],[cmbList]]-Table5[[#This Row],[Ovr]]))</f>
        <v>1443</v>
      </c>
      <c r="AD803" s="74" t="str">
        <f>IF(ISERROR(VLOOKUP($AB803&amp;"-"&amp;$E803&amp;" "&amp;F803,Bonuses!$B$1:$G$1006,4,FALSE)),"",INT(VLOOKUP($AB803&amp;"-"&amp;$E803&amp;" "&amp;$F803,Bonuses!$B$1:$G$1006,4,FALSE)))</f>
        <v/>
      </c>
      <c r="AE803" s="68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11.13 (344) - 1B Simon Ahernfeld</v>
      </c>
    </row>
    <row r="804" spans="1:31" s="50" customFormat="1" x14ac:dyDescent="0.3">
      <c r="A804" s="50">
        <v>12297</v>
      </c>
      <c r="B804" s="50">
        <f>COUNTIF(Table5[PID],A804)</f>
        <v>1</v>
      </c>
      <c r="C804" s="50" t="str">
        <f>IF(COUNTIF(Table3[[#All],[PID]],A804)&gt;0,"P","B")</f>
        <v>P</v>
      </c>
      <c r="D804" s="59" t="str">
        <f>IF($C804="B",INDEX(Batters[[#All],[POS]],MATCH(Table5[[#This Row],[PID]],Batters[[#All],[PID]],0)),INDEX(Table3[[#All],[POS]],MATCH(Table5[[#This Row],[PID]],Table3[[#All],[PID]],0)))</f>
        <v>RP</v>
      </c>
      <c r="E804" s="52" t="str">
        <f>IF($C804="B",INDEX(Batters[[#All],[First]],MATCH(Table5[[#This Row],[PID]],Batters[[#All],[PID]],0)),INDEX(Table3[[#All],[First]],MATCH(Table5[[#This Row],[PID]],Table3[[#All],[PID]],0)))</f>
        <v>Fernando</v>
      </c>
      <c r="F804" s="50" t="str">
        <f>IF($C804="B",INDEX(Batters[[#All],[Last]],MATCH(A804,Batters[[#All],[PID]],0)),INDEX(Table3[[#All],[Last]],MATCH(A804,Table3[[#All],[PID]],0)))</f>
        <v>Barrón</v>
      </c>
      <c r="G804" s="56">
        <f>IF($C804="B",INDEX(Batters[[#All],[Age]],MATCH(Table5[[#This Row],[PID]],Batters[[#All],[PID]],0)),INDEX(Table3[[#All],[Age]],MATCH(Table5[[#This Row],[PID]],Table3[[#All],[PID]],0)))</f>
        <v>21</v>
      </c>
      <c r="H804" s="52" t="str">
        <f>IF($C804="B",INDEX(Batters[[#All],[B]],MATCH(Table5[[#This Row],[PID]],Batters[[#All],[PID]],0)),INDEX(Table3[[#All],[B]],MATCH(Table5[[#This Row],[PID]],Table3[[#All],[PID]],0)))</f>
        <v>R</v>
      </c>
      <c r="I804" s="52" t="str">
        <f>IF($C804="B",INDEX(Batters[[#All],[T]],MATCH(Table5[[#This Row],[PID]],Batters[[#All],[PID]],0)),INDEX(Table3[[#All],[T]],MATCH(Table5[[#This Row],[PID]],Table3[[#All],[PID]],0)))</f>
        <v>R</v>
      </c>
      <c r="J804" s="52" t="str">
        <f>IF($C804="B",INDEX(Batters[[#All],[WE]],MATCH(Table5[[#This Row],[PID]],Batters[[#All],[PID]],0)),INDEX(Table3[[#All],[WE]],MATCH(Table5[[#This Row],[PID]],Table3[[#All],[PID]],0)))</f>
        <v>Normal</v>
      </c>
      <c r="K804" s="52" t="str">
        <f>IF($C804="B",INDEX(Batters[[#All],[INT]],MATCH(Table5[[#This Row],[PID]],Batters[[#All],[PID]],0)),INDEX(Table3[[#All],[INT]],MATCH(Table5[[#This Row],[PID]],Table3[[#All],[PID]],0)))</f>
        <v>Normal</v>
      </c>
      <c r="L804" s="60">
        <f>IF($C804="B",INDEX(Batters[[#All],[CON P]],MATCH(Table5[[#This Row],[PID]],Batters[[#All],[PID]],0)),INDEX(Table3[[#All],[STU P]],MATCH(Table5[[#This Row],[PID]],Table3[[#All],[PID]],0)))</f>
        <v>4</v>
      </c>
      <c r="M804" s="56">
        <f>IF($C804="B",INDEX(Batters[[#All],[GAP P]],MATCH(Table5[[#This Row],[PID]],Batters[[#All],[PID]],0)),INDEX(Table3[[#All],[MOV P]],MATCH(Table5[[#This Row],[PID]],Table3[[#All],[PID]],0)))</f>
        <v>1</v>
      </c>
      <c r="N804" s="56">
        <f>IF($C804="B",INDEX(Batters[[#All],[POW P]],MATCH(Table5[[#This Row],[PID]],Batters[[#All],[PID]],0)),INDEX(Table3[[#All],[CON P]],MATCH(Table5[[#This Row],[PID]],Table3[[#All],[PID]],0)))</f>
        <v>3</v>
      </c>
      <c r="O804" s="56" t="str">
        <f>IF($C804="B",INDEX(Batters[[#All],[EYE P]],MATCH(Table5[[#This Row],[PID]],Batters[[#All],[PID]],0)),INDEX(Table3[[#All],[VELO]],MATCH(Table5[[#This Row],[PID]],Table3[[#All],[PID]],0)))</f>
        <v>88-90 Mph</v>
      </c>
      <c r="P804" s="56">
        <f>IF($C804="B",INDEX(Batters[[#All],[K P]],MATCH(Table5[[#This Row],[PID]],Batters[[#All],[PID]],0)),INDEX(Table3[[#All],[STM]],MATCH(Table5[[#This Row],[PID]],Table3[[#All],[PID]],0)))</f>
        <v>2</v>
      </c>
      <c r="Q804" s="61">
        <f>IF($C804="B",INDEX(Batters[[#All],[Tot]],MATCH(Table5[[#This Row],[PID]],Batters[[#All],[PID]],0)),INDEX(Table3[[#All],[Tot]],MATCH(Table5[[#This Row],[PID]],Table3[[#All],[PID]],0)))</f>
        <v>19.102996096141979</v>
      </c>
      <c r="R804" s="52">
        <f>IF($C804="B",INDEX(Batters[[#All],[zScore]],MATCH(Table5[[#This Row],[PID]],Batters[[#All],[PID]],0)),INDEX(Table3[[#All],[zScore]],MATCH(Table5[[#This Row],[PID]],Table3[[#All],[PID]],0)))</f>
        <v>-1.331542070199363</v>
      </c>
      <c r="S804" s="58" t="str">
        <f>IF($C804="B",INDEX(Batters[[#All],[DEM]],MATCH(Table5[[#This Row],[PID]],Batters[[#All],[PID]],0)),INDEX(Table3[[#All],[DEM]],MATCH(Table5[[#This Row],[PID]],Table3[[#All],[PID]],0)))</f>
        <v>$20k</v>
      </c>
      <c r="T804" s="62">
        <f>IF($C804="B",INDEX(Batters[[#All],[Rnk]],MATCH(Table5[[#This Row],[PID]],Batters[[#All],[PID]],0)),INDEX(Table3[[#All],[Rnk]],MATCH(Table5[[#This Row],[PID]],Table3[[#All],[PID]],0)))</f>
        <v>900</v>
      </c>
      <c r="U804" s="67">
        <f>IF($C804="B",VLOOKUP($A804,Bat!$A$4:$BA$1314,47,FALSE),VLOOKUP($A804,Pit!$A$4:$BF$1214,56,FALSE))</f>
        <v>257</v>
      </c>
      <c r="V804" s="50">
        <f>IF($C804="B",VLOOKUP($A804,Bat!$A$4:$BA$1314,48,FALSE),VLOOKUP($A804,Pit!$A$4:$BF$1214,57,FALSE))</f>
        <v>0</v>
      </c>
      <c r="W804" s="68">
        <f>IF(Table5[[#This Row],[posRnk]]=999,9999,Table5[[#This Row],[posRnk]]+Table5[[#This Row],[zRnk]]+IF($W$3&lt;&gt;Table5[[#This Row],[Type]],50,0))</f>
        <v>1738</v>
      </c>
      <c r="X804" s="51">
        <f>RANK(Table5[[#This Row],[zScore]],Table5[[#All],[zScore]])</f>
        <v>838</v>
      </c>
      <c r="Y804" s="50" t="str">
        <f>IFERROR(INDEX(DraftResults[[#All],[OVR]],MATCH(Table5[[#This Row],[PID]],DraftResults[[#All],[Player ID]],0)),"")</f>
        <v/>
      </c>
      <c r="Z804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/>
      </c>
      <c r="AA804" s="50" t="str">
        <f>IFERROR(INDEX(DraftResults[[#All],[Pick in Round]],MATCH(Table5[[#This Row],[PID]],DraftResults[[#All],[Player ID]],0)),"")</f>
        <v/>
      </c>
      <c r="AB804" s="50" t="str">
        <f>IFERROR(INDEX(DraftResults[[#All],[Team Name]],MATCH(Table5[[#This Row],[PID]],DraftResults[[#All],[Player ID]],0)),"")</f>
        <v/>
      </c>
      <c r="AC804" s="50" t="str">
        <f>IF(Table5[[#This Row],[Ovr]]="","",IF(Table5[[#This Row],[cmbList]]="","",Table5[[#This Row],[cmbList]]-Table5[[#This Row],[Ovr]]))</f>
        <v/>
      </c>
      <c r="AD804" s="54" t="str">
        <f>IF(ISERROR(VLOOKUP($AB804&amp;"-"&amp;$E804&amp;" "&amp;F804,Bonuses!$B$1:$G$1006,4,FALSE)),"",INT(VLOOKUP($AB804&amp;"-"&amp;$E804&amp;" "&amp;$F804,Bonuses!$B$1:$G$1006,4,FALSE)))</f>
        <v/>
      </c>
      <c r="AE804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/>
      </c>
    </row>
    <row r="805" spans="1:31" s="50" customFormat="1" x14ac:dyDescent="0.3">
      <c r="A805" s="50">
        <v>5816</v>
      </c>
      <c r="B805" s="50">
        <f>COUNTIF(Table5[PID],A805)</f>
        <v>1</v>
      </c>
      <c r="C805" s="50" t="str">
        <f>IF(COUNTIF(Table3[[#All],[PID]],A805)&gt;0,"P","B")</f>
        <v>B</v>
      </c>
      <c r="D805" s="59" t="str">
        <f>IF($C805="B",INDEX(Batters[[#All],[POS]],MATCH(Table5[[#This Row],[PID]],Batters[[#All],[PID]],0)),INDEX(Table3[[#All],[POS]],MATCH(Table5[[#This Row],[PID]],Table3[[#All],[PID]],0)))</f>
        <v>1B</v>
      </c>
      <c r="E805" s="52" t="str">
        <f>IF($C805="B",INDEX(Batters[[#All],[First]],MATCH(Table5[[#This Row],[PID]],Batters[[#All],[PID]],0)),INDEX(Table3[[#All],[First]],MATCH(Table5[[#This Row],[PID]],Table3[[#All],[PID]],0)))</f>
        <v>Katsunan</v>
      </c>
      <c r="F805" s="50" t="str">
        <f>IF($C805="B",INDEX(Batters[[#All],[Last]],MATCH(A805,Batters[[#All],[PID]],0)),INDEX(Table3[[#All],[Last]],MATCH(A805,Table3[[#All],[PID]],0)))</f>
        <v>Hayashi</v>
      </c>
      <c r="G805" s="56">
        <f>IF($C805="B",INDEX(Batters[[#All],[Age]],MATCH(Table5[[#This Row],[PID]],Batters[[#All],[PID]],0)),INDEX(Table3[[#All],[Age]],MATCH(Table5[[#This Row],[PID]],Table3[[#All],[PID]],0)))</f>
        <v>21</v>
      </c>
      <c r="H805" s="52" t="str">
        <f>IF($C805="B",INDEX(Batters[[#All],[B]],MATCH(Table5[[#This Row],[PID]],Batters[[#All],[PID]],0)),INDEX(Table3[[#All],[B]],MATCH(Table5[[#This Row],[PID]],Table3[[#All],[PID]],0)))</f>
        <v>R</v>
      </c>
      <c r="I805" s="52" t="str">
        <f>IF($C805="B",INDEX(Batters[[#All],[T]],MATCH(Table5[[#This Row],[PID]],Batters[[#All],[PID]],0)),INDEX(Table3[[#All],[T]],MATCH(Table5[[#This Row],[PID]],Table3[[#All],[PID]],0)))</f>
        <v>R</v>
      </c>
      <c r="J805" s="52" t="str">
        <f>IF($C805="B",INDEX(Batters[[#All],[WE]],MATCH(Table5[[#This Row],[PID]],Batters[[#All],[PID]],0)),INDEX(Table3[[#All],[WE]],MATCH(Table5[[#This Row],[PID]],Table3[[#All],[PID]],0)))</f>
        <v>Low</v>
      </c>
      <c r="K805" s="52" t="str">
        <f>IF($C805="B",INDEX(Batters[[#All],[INT]],MATCH(Table5[[#This Row],[PID]],Batters[[#All],[PID]],0)),INDEX(Table3[[#All],[INT]],MATCH(Table5[[#This Row],[PID]],Table3[[#All],[PID]],0)))</f>
        <v>Normal</v>
      </c>
      <c r="L805" s="60">
        <f>IF($C805="B",INDEX(Batters[[#All],[CON P]],MATCH(Table5[[#This Row],[PID]],Batters[[#All],[PID]],0)),INDEX(Table3[[#All],[STU P]],MATCH(Table5[[#This Row],[PID]],Table3[[#All],[PID]],0)))</f>
        <v>4</v>
      </c>
      <c r="M805" s="56">
        <f>IF($C805="B",INDEX(Batters[[#All],[GAP P]],MATCH(Table5[[#This Row],[PID]],Batters[[#All],[PID]],0)),INDEX(Table3[[#All],[MOV P]],MATCH(Table5[[#This Row],[PID]],Table3[[#All],[PID]],0)))</f>
        <v>3</v>
      </c>
      <c r="N805" s="56">
        <f>IF($C805="B",INDEX(Batters[[#All],[POW P]],MATCH(Table5[[#This Row],[PID]],Batters[[#All],[PID]],0)),INDEX(Table3[[#All],[CON P]],MATCH(Table5[[#This Row],[PID]],Table3[[#All],[PID]],0)))</f>
        <v>2</v>
      </c>
      <c r="O805" s="56">
        <f>IF($C805="B",INDEX(Batters[[#All],[EYE P]],MATCH(Table5[[#This Row],[PID]],Batters[[#All],[PID]],0)),INDEX(Table3[[#All],[VELO]],MATCH(Table5[[#This Row],[PID]],Table3[[#All],[PID]],0)))</f>
        <v>1</v>
      </c>
      <c r="P805" s="56">
        <f>IF($C805="B",INDEX(Batters[[#All],[K P]],MATCH(Table5[[#This Row],[PID]],Batters[[#All],[PID]],0)),INDEX(Table3[[#All],[STM]],MATCH(Table5[[#This Row],[PID]],Table3[[#All],[PID]],0)))</f>
        <v>5</v>
      </c>
      <c r="Q805" s="61">
        <f>IF($C805="B",INDEX(Batters[[#All],[Tot]],MATCH(Table5[[#This Row],[PID]],Batters[[#All],[PID]],0)),INDEX(Table3[[#All],[Tot]],MATCH(Table5[[#This Row],[PID]],Table3[[#All],[PID]],0)))</f>
        <v>35.324343127288302</v>
      </c>
      <c r="R805" s="52">
        <f>IF($C805="B",INDEX(Batters[[#All],[zScore]],MATCH(Table5[[#This Row],[PID]],Batters[[#All],[PID]],0)),INDEX(Table3[[#All],[zScore]],MATCH(Table5[[#This Row],[PID]],Table3[[#All],[PID]],0)))</f>
        <v>-1.1522937778025928</v>
      </c>
      <c r="S805" s="58" t="str">
        <f>IF($C805="B",INDEX(Batters[[#All],[DEM]],MATCH(Table5[[#This Row],[PID]],Batters[[#All],[PID]],0)),INDEX(Table3[[#All],[DEM]],MATCH(Table5[[#This Row],[PID]],Table3[[#All],[PID]],0)))</f>
        <v>$20k</v>
      </c>
      <c r="T805" s="62">
        <f>IF($C805="B",INDEX(Batters[[#All],[Rnk]],MATCH(Table5[[#This Row],[PID]],Batters[[#All],[PID]],0)),INDEX(Table3[[#All],[Rnk]],MATCH(Table5[[#This Row],[PID]],Table3[[#All],[PID]],0)))</f>
        <v>930</v>
      </c>
      <c r="U805" s="67">
        <f>IF($C805="B",VLOOKUP($A805,Bat!$A$4:$BA$1314,47,FALSE),VLOOKUP($A805,Pit!$A$4:$BF$1214,56,FALSE))</f>
        <v>385</v>
      </c>
      <c r="V805" s="50">
        <f>IF($C805="B",VLOOKUP($A805,Bat!$A$4:$BA$1314,48,FALSE),VLOOKUP($A805,Pit!$A$4:$BF$1214,57,FALSE))</f>
        <v>0</v>
      </c>
      <c r="W805" s="68">
        <f>IF(Table5[[#This Row],[posRnk]]=999,9999,Table5[[#This Row],[posRnk]]+Table5[[#This Row],[zRnk]]+IF($W$3&lt;&gt;Table5[[#This Row],[Type]],50,0))</f>
        <v>1788</v>
      </c>
      <c r="X805" s="51">
        <f>RANK(Table5[[#This Row],[zScore]],Table5[[#All],[zScore]])</f>
        <v>808</v>
      </c>
      <c r="Y805" s="50">
        <f>IFERROR(INDEX(DraftResults[[#All],[OVR]],MATCH(Table5[[#This Row],[PID]],DraftResults[[#All],[Player ID]],0)),"")</f>
        <v>615</v>
      </c>
      <c r="Z805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19</v>
      </c>
      <c r="AA805" s="50">
        <f>IFERROR(INDEX(DraftResults[[#All],[Pick in Round]],MATCH(Table5[[#This Row],[PID]],DraftResults[[#All],[Player ID]],0)),"")</f>
        <v>12</v>
      </c>
      <c r="AB805" s="50" t="str">
        <f>IFERROR(INDEX(DraftResults[[#All],[Team Name]],MATCH(Table5[[#This Row],[PID]],DraftResults[[#All],[Player ID]],0)),"")</f>
        <v>Manchester Maulers</v>
      </c>
      <c r="AC805" s="50">
        <f>IF(Table5[[#This Row],[Ovr]]="","",IF(Table5[[#This Row],[cmbList]]="","",Table5[[#This Row],[cmbList]]-Table5[[#This Row],[Ovr]]))</f>
        <v>1173</v>
      </c>
      <c r="AD805" s="54" t="str">
        <f>IF(ISERROR(VLOOKUP($AB805&amp;"-"&amp;$E805&amp;" "&amp;F805,Bonuses!$B$1:$G$1006,4,FALSE)),"",INT(VLOOKUP($AB805&amp;"-"&amp;$E805&amp;" "&amp;$F805,Bonuses!$B$1:$G$1006,4,FALSE)))</f>
        <v/>
      </c>
      <c r="AE805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19.12 (615) - 1B Katsunan Hayashi</v>
      </c>
    </row>
    <row r="806" spans="1:31" s="50" customFormat="1" x14ac:dyDescent="0.3">
      <c r="A806" s="50">
        <v>7465</v>
      </c>
      <c r="B806" s="50">
        <f>COUNTIF(Table5[PID],A806)</f>
        <v>1</v>
      </c>
      <c r="C806" s="50" t="str">
        <f>IF(COUNTIF(Table3[[#All],[PID]],A806)&gt;0,"P","B")</f>
        <v>P</v>
      </c>
      <c r="D806" s="59" t="str">
        <f>IF($C806="B",INDEX(Batters[[#All],[POS]],MATCH(Table5[[#This Row],[PID]],Batters[[#All],[PID]],0)),INDEX(Table3[[#All],[POS]],MATCH(Table5[[#This Row],[PID]],Table3[[#All],[PID]],0)))</f>
        <v>SP</v>
      </c>
      <c r="E806" s="52" t="str">
        <f>IF($C806="B",INDEX(Batters[[#All],[First]],MATCH(Table5[[#This Row],[PID]],Batters[[#All],[PID]],0)),INDEX(Table3[[#All],[First]],MATCH(Table5[[#This Row],[PID]],Table3[[#All],[PID]],0)))</f>
        <v>Bob</v>
      </c>
      <c r="F806" s="50" t="str">
        <f>IF($C806="B",INDEX(Batters[[#All],[Last]],MATCH(A806,Batters[[#All],[PID]],0)),INDEX(Table3[[#All],[Last]],MATCH(A806,Table3[[#All],[PID]],0)))</f>
        <v>Peters</v>
      </c>
      <c r="G806" s="56">
        <f>IF($C806="B",INDEX(Batters[[#All],[Age]],MATCH(Table5[[#This Row],[PID]],Batters[[#All],[PID]],0)),INDEX(Table3[[#All],[Age]],MATCH(Table5[[#This Row],[PID]],Table3[[#All],[PID]],0)))</f>
        <v>21</v>
      </c>
      <c r="H806" s="52" t="str">
        <f>IF($C806="B",INDEX(Batters[[#All],[B]],MATCH(Table5[[#This Row],[PID]],Batters[[#All],[PID]],0)),INDEX(Table3[[#All],[B]],MATCH(Table5[[#This Row],[PID]],Table3[[#All],[PID]],0)))</f>
        <v>S</v>
      </c>
      <c r="I806" s="52" t="str">
        <f>IF($C806="B",INDEX(Batters[[#All],[T]],MATCH(Table5[[#This Row],[PID]],Batters[[#All],[PID]],0)),INDEX(Table3[[#All],[T]],MATCH(Table5[[#This Row],[PID]],Table3[[#All],[PID]],0)))</f>
        <v>R</v>
      </c>
      <c r="J806" s="52" t="str">
        <f>IF($C806="B",INDEX(Batters[[#All],[WE]],MATCH(Table5[[#This Row],[PID]],Batters[[#All],[PID]],0)),INDEX(Table3[[#All],[WE]],MATCH(Table5[[#This Row],[PID]],Table3[[#All],[PID]],0)))</f>
        <v>Low</v>
      </c>
      <c r="K806" s="52" t="str">
        <f>IF($C806="B",INDEX(Batters[[#All],[INT]],MATCH(Table5[[#This Row],[PID]],Batters[[#All],[PID]],0)),INDEX(Table3[[#All],[INT]],MATCH(Table5[[#This Row],[PID]],Table3[[#All],[PID]],0)))</f>
        <v>Normal</v>
      </c>
      <c r="L806" s="60">
        <f>IF($C806="B",INDEX(Batters[[#All],[CON P]],MATCH(Table5[[#This Row],[PID]],Batters[[#All],[PID]],0)),INDEX(Table3[[#All],[STU P]],MATCH(Table5[[#This Row],[PID]],Table3[[#All],[PID]],0)))</f>
        <v>4</v>
      </c>
      <c r="M806" s="56">
        <f>IF($C806="B",INDEX(Batters[[#All],[GAP P]],MATCH(Table5[[#This Row],[PID]],Batters[[#All],[PID]],0)),INDEX(Table3[[#All],[MOV P]],MATCH(Table5[[#This Row],[PID]],Table3[[#All],[PID]],0)))</f>
        <v>1</v>
      </c>
      <c r="N806" s="56">
        <f>IF($C806="B",INDEX(Batters[[#All],[POW P]],MATCH(Table5[[#This Row],[PID]],Batters[[#All],[PID]],0)),INDEX(Table3[[#All],[CON P]],MATCH(Table5[[#This Row],[PID]],Table3[[#All],[PID]],0)))</f>
        <v>2</v>
      </c>
      <c r="O806" s="56" t="str">
        <f>IF($C806="B",INDEX(Batters[[#All],[EYE P]],MATCH(Table5[[#This Row],[PID]],Batters[[#All],[PID]],0)),INDEX(Table3[[#All],[VELO]],MATCH(Table5[[#This Row],[PID]],Table3[[#All],[PID]],0)))</f>
        <v>90-92 Mph</v>
      </c>
      <c r="P806" s="56">
        <f>IF($C806="B",INDEX(Batters[[#All],[K P]],MATCH(Table5[[#This Row],[PID]],Batters[[#All],[PID]],0)),INDEX(Table3[[#All],[STM]],MATCH(Table5[[#This Row],[PID]],Table3[[#All],[PID]],0)))</f>
        <v>7</v>
      </c>
      <c r="Q806" s="61">
        <f>IF($C806="B",INDEX(Batters[[#All],[Tot]],MATCH(Table5[[#This Row],[PID]],Batters[[#All],[PID]],0)),INDEX(Table3[[#All],[Tot]],MATCH(Table5[[#This Row],[PID]],Table3[[#All],[PID]],0)))</f>
        <v>21.606742464330399</v>
      </c>
      <c r="R806" s="52">
        <f>IF($C806="B",INDEX(Batters[[#All],[zScore]],MATCH(Table5[[#This Row],[PID]],Batters[[#All],[PID]],0)),INDEX(Table3[[#All],[zScore]],MATCH(Table5[[#This Row],[PID]],Table3[[#All],[PID]],0)))</f>
        <v>-1.1532577202541772</v>
      </c>
      <c r="S806" s="58" t="str">
        <f>IF($C806="B",INDEX(Batters[[#All],[DEM]],MATCH(Table5[[#This Row],[PID]],Batters[[#All],[PID]],0)),INDEX(Table3[[#All],[DEM]],MATCH(Table5[[#This Row],[PID]],Table3[[#All],[PID]],0)))</f>
        <v>-</v>
      </c>
      <c r="T806" s="62">
        <f>IF($C806="B",INDEX(Batters[[#All],[Rnk]],MATCH(Table5[[#This Row],[PID]],Batters[[#All],[PID]],0)),INDEX(Table3[[#All],[Rnk]],MATCH(Table5[[#This Row],[PID]],Table3[[#All],[PID]],0)))</f>
        <v>930</v>
      </c>
      <c r="U806" s="67">
        <f>IF($C806="B",VLOOKUP($A806,Bat!$A$4:$BA$1314,47,FALSE),VLOOKUP($A806,Pit!$A$4:$BF$1214,56,FALSE))</f>
        <v>370</v>
      </c>
      <c r="V806" s="50">
        <f>IF($C806="B",VLOOKUP($A806,Bat!$A$4:$BA$1314,48,FALSE),VLOOKUP($A806,Pit!$A$4:$BF$1214,57,FALSE))</f>
        <v>0</v>
      </c>
      <c r="W806" s="68">
        <f>IF(Table5[[#This Row],[posRnk]]=999,9999,Table5[[#This Row],[posRnk]]+Table5[[#This Row],[zRnk]]+IF($W$3&lt;&gt;Table5[[#This Row],[Type]],50,0))</f>
        <v>1739</v>
      </c>
      <c r="X806" s="51">
        <f>RANK(Table5[[#This Row],[zScore]],Table5[[#All],[zScore]])</f>
        <v>809</v>
      </c>
      <c r="Y806" s="50">
        <f>IFERROR(INDEX(DraftResults[[#All],[OVR]],MATCH(Table5[[#This Row],[PID]],DraftResults[[#All],[Player ID]],0)),"")</f>
        <v>551</v>
      </c>
      <c r="Z806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17</v>
      </c>
      <c r="AA806" s="50">
        <f>IFERROR(INDEX(DraftResults[[#All],[Pick in Round]],MATCH(Table5[[#This Row],[PID]],DraftResults[[#All],[Player ID]],0)),"")</f>
        <v>16</v>
      </c>
      <c r="AB806" s="50" t="str">
        <f>IFERROR(INDEX(DraftResults[[#All],[Team Name]],MATCH(Table5[[#This Row],[PID]],DraftResults[[#All],[Player ID]],0)),"")</f>
        <v>Madison Malts</v>
      </c>
      <c r="AC806" s="50">
        <f>IF(Table5[[#This Row],[Ovr]]="","",IF(Table5[[#This Row],[cmbList]]="","",Table5[[#This Row],[cmbList]]-Table5[[#This Row],[Ovr]]))</f>
        <v>1188</v>
      </c>
      <c r="AD806" s="54" t="str">
        <f>IF(ISERROR(VLOOKUP($AB806&amp;"-"&amp;$E806&amp;" "&amp;F806,Bonuses!$B$1:$G$1006,4,FALSE)),"",INT(VLOOKUP($AB806&amp;"-"&amp;$E806&amp;" "&amp;$F806,Bonuses!$B$1:$G$1006,4,FALSE)))</f>
        <v/>
      </c>
      <c r="AE806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17.16 (551) - SP Bob Peters</v>
      </c>
    </row>
    <row r="807" spans="1:31" s="50" customFormat="1" x14ac:dyDescent="0.3">
      <c r="A807" s="50">
        <v>15682</v>
      </c>
      <c r="B807" s="50">
        <f>COUNTIF(Table5[PID],A807)</f>
        <v>1</v>
      </c>
      <c r="C807" s="50" t="str">
        <f>IF(COUNTIF(Table3[[#All],[PID]],A807)&gt;0,"P","B")</f>
        <v>P</v>
      </c>
      <c r="D807" s="59" t="str">
        <f>IF($C807="B",INDEX(Batters[[#All],[POS]],MATCH(Table5[[#This Row],[PID]],Batters[[#All],[PID]],0)),INDEX(Table3[[#All],[POS]],MATCH(Table5[[#This Row],[PID]],Table3[[#All],[PID]],0)))</f>
        <v>RP</v>
      </c>
      <c r="E807" s="52" t="str">
        <f>IF($C807="B",INDEX(Batters[[#All],[First]],MATCH(Table5[[#This Row],[PID]],Batters[[#All],[PID]],0)),INDEX(Table3[[#All],[First]],MATCH(Table5[[#This Row],[PID]],Table3[[#All],[PID]],0)))</f>
        <v>Ingo</v>
      </c>
      <c r="F807" s="50" t="str">
        <f>IF($C807="B",INDEX(Batters[[#All],[Last]],MATCH(A807,Batters[[#All],[PID]],0)),INDEX(Table3[[#All],[Last]],MATCH(A807,Table3[[#All],[PID]],0)))</f>
        <v>Pels</v>
      </c>
      <c r="G807" s="56">
        <f>IF($C807="B",INDEX(Batters[[#All],[Age]],MATCH(Table5[[#This Row],[PID]],Batters[[#All],[PID]],0)),INDEX(Table3[[#All],[Age]],MATCH(Table5[[#This Row],[PID]],Table3[[#All],[PID]],0)))</f>
        <v>21</v>
      </c>
      <c r="H807" s="52" t="str">
        <f>IF($C807="B",INDEX(Batters[[#All],[B]],MATCH(Table5[[#This Row],[PID]],Batters[[#All],[PID]],0)),INDEX(Table3[[#All],[B]],MATCH(Table5[[#This Row],[PID]],Table3[[#All],[PID]],0)))</f>
        <v>R</v>
      </c>
      <c r="I807" s="52" t="str">
        <f>IF($C807="B",INDEX(Batters[[#All],[T]],MATCH(Table5[[#This Row],[PID]],Batters[[#All],[PID]],0)),INDEX(Table3[[#All],[T]],MATCH(Table5[[#This Row],[PID]],Table3[[#All],[PID]],0)))</f>
        <v>R</v>
      </c>
      <c r="J807" s="52" t="str">
        <f>IF($C807="B",INDEX(Batters[[#All],[WE]],MATCH(Table5[[#This Row],[PID]],Batters[[#All],[PID]],0)),INDEX(Table3[[#All],[WE]],MATCH(Table5[[#This Row],[PID]],Table3[[#All],[PID]],0)))</f>
        <v>Normal</v>
      </c>
      <c r="K807" s="52" t="str">
        <f>IF($C807="B",INDEX(Batters[[#All],[INT]],MATCH(Table5[[#This Row],[PID]],Batters[[#All],[PID]],0)),INDEX(Table3[[#All],[INT]],MATCH(Table5[[#This Row],[PID]],Table3[[#All],[PID]],0)))</f>
        <v>Normal</v>
      </c>
      <c r="L807" s="60">
        <f>IF($C807="B",INDEX(Batters[[#All],[CON P]],MATCH(Table5[[#This Row],[PID]],Batters[[#All],[PID]],0)),INDEX(Table3[[#All],[STU P]],MATCH(Table5[[#This Row],[PID]],Table3[[#All],[PID]],0)))</f>
        <v>4</v>
      </c>
      <c r="M807" s="56">
        <f>IF($C807="B",INDEX(Batters[[#All],[GAP P]],MATCH(Table5[[#This Row],[PID]],Batters[[#All],[PID]],0)),INDEX(Table3[[#All],[MOV P]],MATCH(Table5[[#This Row],[PID]],Table3[[#All],[PID]],0)))</f>
        <v>1</v>
      </c>
      <c r="N807" s="56">
        <f>IF($C807="B",INDEX(Batters[[#All],[POW P]],MATCH(Table5[[#This Row],[PID]],Batters[[#All],[PID]],0)),INDEX(Table3[[#All],[CON P]],MATCH(Table5[[#This Row],[PID]],Table3[[#All],[PID]],0)))</f>
        <v>2</v>
      </c>
      <c r="O807" s="56" t="str">
        <f>IF($C807="B",INDEX(Batters[[#All],[EYE P]],MATCH(Table5[[#This Row],[PID]],Batters[[#All],[PID]],0)),INDEX(Table3[[#All],[VELO]],MATCH(Table5[[#This Row],[PID]],Table3[[#All],[PID]],0)))</f>
        <v>88-90 Mph</v>
      </c>
      <c r="P807" s="56">
        <f>IF($C807="B",INDEX(Batters[[#All],[K P]],MATCH(Table5[[#This Row],[PID]],Batters[[#All],[PID]],0)),INDEX(Table3[[#All],[STM]],MATCH(Table5[[#This Row],[PID]],Table3[[#All],[PID]],0)))</f>
        <v>3</v>
      </c>
      <c r="Q807" s="61">
        <f>IF($C807="B",INDEX(Batters[[#All],[Tot]],MATCH(Table5[[#This Row],[PID]],Batters[[#All],[PID]],0)),INDEX(Table3[[#All],[Tot]],MATCH(Table5[[#This Row],[PID]],Table3[[#All],[PID]],0)))</f>
        <v>18.832446248664162</v>
      </c>
      <c r="R807" s="52">
        <f>IF($C807="B",INDEX(Batters[[#All],[zScore]],MATCH(Table5[[#This Row],[PID]],Batters[[#All],[PID]],0)),INDEX(Table3[[#All],[zScore]],MATCH(Table5[[#This Row],[PID]],Table3[[#All],[PID]],0)))</f>
        <v>-1.3508071220824944</v>
      </c>
      <c r="S807" s="58" t="str">
        <f>IF($C807="B",INDEX(Batters[[#All],[DEM]],MATCH(Table5[[#This Row],[PID]],Batters[[#All],[PID]],0)),INDEX(Table3[[#All],[DEM]],MATCH(Table5[[#This Row],[PID]],Table3[[#All],[PID]],0)))</f>
        <v>-</v>
      </c>
      <c r="T807" s="62">
        <f>IF($C807="B",INDEX(Batters[[#All],[Rnk]],MATCH(Table5[[#This Row],[PID]],Batters[[#All],[PID]],0)),INDEX(Table3[[#All],[Rnk]],MATCH(Table5[[#This Row],[PID]],Table3[[#All],[PID]],0)))</f>
        <v>900</v>
      </c>
      <c r="U807" s="67">
        <f>IF($C807="B",VLOOKUP($A807,Bat!$A$4:$BA$1314,47,FALSE),VLOOKUP($A807,Pit!$A$4:$BF$1214,56,FALSE))</f>
        <v>258</v>
      </c>
      <c r="V807" s="50">
        <f>IF($C807="B",VLOOKUP($A807,Bat!$A$4:$BA$1314,48,FALSE),VLOOKUP($A807,Pit!$A$4:$BF$1214,57,FALSE))</f>
        <v>0</v>
      </c>
      <c r="W807" s="68">
        <f>IF(Table5[[#This Row],[posRnk]]=999,9999,Table5[[#This Row],[posRnk]]+Table5[[#This Row],[zRnk]]+IF($W$3&lt;&gt;Table5[[#This Row],[Type]],50,0))</f>
        <v>1740</v>
      </c>
      <c r="X807" s="51">
        <f>RANK(Table5[[#This Row],[zScore]],Table5[[#All],[zScore]])</f>
        <v>840</v>
      </c>
      <c r="Y807" s="50" t="str">
        <f>IFERROR(INDEX(DraftResults[[#All],[OVR]],MATCH(Table5[[#This Row],[PID]],DraftResults[[#All],[Player ID]],0)),"")</f>
        <v/>
      </c>
      <c r="Z807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/>
      </c>
      <c r="AA807" s="50" t="str">
        <f>IFERROR(INDEX(DraftResults[[#All],[Pick in Round]],MATCH(Table5[[#This Row],[PID]],DraftResults[[#All],[Player ID]],0)),"")</f>
        <v/>
      </c>
      <c r="AB807" s="50" t="str">
        <f>IFERROR(INDEX(DraftResults[[#All],[Team Name]],MATCH(Table5[[#This Row],[PID]],DraftResults[[#All],[Player ID]],0)),"")</f>
        <v/>
      </c>
      <c r="AC807" s="50" t="str">
        <f>IF(Table5[[#This Row],[Ovr]]="","",IF(Table5[[#This Row],[cmbList]]="","",Table5[[#This Row],[cmbList]]-Table5[[#This Row],[Ovr]]))</f>
        <v/>
      </c>
      <c r="AD807" s="54" t="str">
        <f>IF(ISERROR(VLOOKUP($AB807&amp;"-"&amp;$E807&amp;" "&amp;F807,Bonuses!$B$1:$G$1006,4,FALSE)),"",INT(VLOOKUP($AB807&amp;"-"&amp;$E807&amp;" "&amp;$F807,Bonuses!$B$1:$G$1006,4,FALSE)))</f>
        <v/>
      </c>
      <c r="AE807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/>
      </c>
    </row>
    <row r="808" spans="1:31" s="50" customFormat="1" x14ac:dyDescent="0.3">
      <c r="A808" s="67">
        <v>20263</v>
      </c>
      <c r="B808" s="68">
        <f>COUNTIF(Table5[PID],A808)</f>
        <v>1</v>
      </c>
      <c r="C808" s="68" t="str">
        <f>IF(COUNTIF(Table3[[#All],[PID]],A808)&gt;0,"P","B")</f>
        <v>B</v>
      </c>
      <c r="D808" s="59" t="str">
        <f>IF($C808="B",INDEX(Batters[[#All],[POS]],MATCH(Table5[[#This Row],[PID]],Batters[[#All],[PID]],0)),INDEX(Table3[[#All],[POS]],MATCH(Table5[[#This Row],[PID]],Table3[[#All],[PID]],0)))</f>
        <v>1B</v>
      </c>
      <c r="E808" s="52" t="str">
        <f>IF($C808="B",INDEX(Batters[[#All],[First]],MATCH(Table5[[#This Row],[PID]],Batters[[#All],[PID]],0)),INDEX(Table3[[#All],[First]],MATCH(Table5[[#This Row],[PID]],Table3[[#All],[PID]],0)))</f>
        <v>Chris</v>
      </c>
      <c r="F808" s="55" t="str">
        <f>IF($C808="B",INDEX(Batters[[#All],[Last]],MATCH(A808,Batters[[#All],[PID]],0)),INDEX(Table3[[#All],[Last]],MATCH(A808,Table3[[#All],[PID]],0)))</f>
        <v>Kean</v>
      </c>
      <c r="G808" s="56">
        <f>IF($C808="B",INDEX(Batters[[#All],[Age]],MATCH(Table5[[#This Row],[PID]],Batters[[#All],[PID]],0)),INDEX(Table3[[#All],[Age]],MATCH(Table5[[#This Row],[PID]],Table3[[#All],[PID]],0)))</f>
        <v>21</v>
      </c>
      <c r="H808" s="52" t="str">
        <f>IF($C808="B",INDEX(Batters[[#All],[B]],MATCH(Table5[[#This Row],[PID]],Batters[[#All],[PID]],0)),INDEX(Table3[[#All],[B]],MATCH(Table5[[#This Row],[PID]],Table3[[#All],[PID]],0)))</f>
        <v>R</v>
      </c>
      <c r="I808" s="52" t="str">
        <f>IF($C808="B",INDEX(Batters[[#All],[T]],MATCH(Table5[[#This Row],[PID]],Batters[[#All],[PID]],0)),INDEX(Table3[[#All],[T]],MATCH(Table5[[#This Row],[PID]],Table3[[#All],[PID]],0)))</f>
        <v>R</v>
      </c>
      <c r="J808" s="69" t="str">
        <f>IF($C808="B",INDEX(Batters[[#All],[WE]],MATCH(Table5[[#This Row],[PID]],Batters[[#All],[PID]],0)),INDEX(Table3[[#All],[WE]],MATCH(Table5[[#This Row],[PID]],Table3[[#All],[PID]],0)))</f>
        <v>Low</v>
      </c>
      <c r="K808" s="52" t="str">
        <f>IF($C808="B",INDEX(Batters[[#All],[INT]],MATCH(Table5[[#This Row],[PID]],Batters[[#All],[PID]],0)),INDEX(Table3[[#All],[INT]],MATCH(Table5[[#This Row],[PID]],Table3[[#All],[PID]],0)))</f>
        <v>Normal</v>
      </c>
      <c r="L808" s="60">
        <f>IF($C808="B",INDEX(Batters[[#All],[CON P]],MATCH(Table5[[#This Row],[PID]],Batters[[#All],[PID]],0)),INDEX(Table3[[#All],[STU P]],MATCH(Table5[[#This Row],[PID]],Table3[[#All],[PID]],0)))</f>
        <v>4</v>
      </c>
      <c r="M808" s="70">
        <f>IF($C808="B",INDEX(Batters[[#All],[GAP P]],MATCH(Table5[[#This Row],[PID]],Batters[[#All],[PID]],0)),INDEX(Table3[[#All],[MOV P]],MATCH(Table5[[#This Row],[PID]],Table3[[#All],[PID]],0)))</f>
        <v>2</v>
      </c>
      <c r="N808" s="70">
        <f>IF($C808="B",INDEX(Batters[[#All],[POW P]],MATCH(Table5[[#This Row],[PID]],Batters[[#All],[PID]],0)),INDEX(Table3[[#All],[CON P]],MATCH(Table5[[#This Row],[PID]],Table3[[#All],[PID]],0)))</f>
        <v>2</v>
      </c>
      <c r="O808" s="70">
        <f>IF($C808="B",INDEX(Batters[[#All],[EYE P]],MATCH(Table5[[#This Row],[PID]],Batters[[#All],[PID]],0)),INDEX(Table3[[#All],[VELO]],MATCH(Table5[[#This Row],[PID]],Table3[[#All],[PID]],0)))</f>
        <v>1</v>
      </c>
      <c r="P808" s="56">
        <f>IF($C808="B",INDEX(Batters[[#All],[K P]],MATCH(Table5[[#This Row],[PID]],Batters[[#All],[PID]],0)),INDEX(Table3[[#All],[STM]],MATCH(Table5[[#This Row],[PID]],Table3[[#All],[PID]],0)))</f>
        <v>6</v>
      </c>
      <c r="Q808" s="61">
        <f>IF($C808="B",INDEX(Batters[[#All],[Tot]],MATCH(Table5[[#This Row],[PID]],Batters[[#All],[PID]],0)),INDEX(Table3[[#All],[Tot]],MATCH(Table5[[#This Row],[PID]],Table3[[#All],[PID]],0)))</f>
        <v>35.163566700030302</v>
      </c>
      <c r="R808" s="52">
        <f>IF($C808="B",INDEX(Batters[[#All],[zScore]],MATCH(Table5[[#This Row],[PID]],Batters[[#All],[PID]],0)),INDEX(Table3[[#All],[zScore]],MATCH(Table5[[#This Row],[PID]],Table3[[#All],[PID]],0)))</f>
        <v>-1.1757620089652658</v>
      </c>
      <c r="S808" s="75" t="str">
        <f>IF($C808="B",INDEX(Batters[[#All],[DEM]],MATCH(Table5[[#This Row],[PID]],Batters[[#All],[PID]],0)),INDEX(Table3[[#All],[DEM]],MATCH(Table5[[#This Row],[PID]],Table3[[#All],[PID]],0)))</f>
        <v>$20k</v>
      </c>
      <c r="T808" s="72">
        <f>IF($C808="B",INDEX(Batters[[#All],[Rnk]],MATCH(Table5[[#This Row],[PID]],Batters[[#All],[PID]],0)),INDEX(Table3[[#All],[Rnk]],MATCH(Table5[[#This Row],[PID]],Table3[[#All],[PID]],0)))</f>
        <v>930</v>
      </c>
      <c r="U808" s="67">
        <f>IF($C808="B",VLOOKUP($A808,Bat!$A$4:$BA$1314,47,FALSE),VLOOKUP($A808,Pit!$A$4:$BF$1214,56,FALSE))</f>
        <v>386</v>
      </c>
      <c r="V808" s="50">
        <f>IF($C808="B",VLOOKUP($A808,Bat!$A$4:$BA$1314,48,FALSE),VLOOKUP($A808,Pit!$A$4:$BF$1214,57,FALSE))</f>
        <v>0</v>
      </c>
      <c r="W808" s="68">
        <f>IF(Table5[[#This Row],[posRnk]]=999,9999,Table5[[#This Row],[posRnk]]+Table5[[#This Row],[zRnk]]+IF($W$3&lt;&gt;Table5[[#This Row],[Type]],50,0))</f>
        <v>1792</v>
      </c>
      <c r="X808" s="71">
        <f>RANK(Table5[[#This Row],[zScore]],Table5[[#All],[zScore]])</f>
        <v>812</v>
      </c>
      <c r="Y808" s="68">
        <f>IFERROR(INDEX(DraftResults[[#All],[OVR]],MATCH(Table5[[#This Row],[PID]],DraftResults[[#All],[Player ID]],0)),"")</f>
        <v>508</v>
      </c>
      <c r="Z808" s="7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16</v>
      </c>
      <c r="AA808" s="68">
        <f>IFERROR(INDEX(DraftResults[[#All],[Pick in Round]],MATCH(Table5[[#This Row],[PID]],DraftResults[[#All],[Player ID]],0)),"")</f>
        <v>7</v>
      </c>
      <c r="AB808" s="68" t="str">
        <f>IFERROR(INDEX(DraftResults[[#All],[Team Name]],MATCH(Table5[[#This Row],[PID]],DraftResults[[#All],[Player ID]],0)),"")</f>
        <v>Hartford Harpoon</v>
      </c>
      <c r="AC808" s="68">
        <f>IF(Table5[[#This Row],[Ovr]]="","",IF(Table5[[#This Row],[cmbList]]="","",Table5[[#This Row],[cmbList]]-Table5[[#This Row],[Ovr]]))</f>
        <v>1284</v>
      </c>
      <c r="AD808" s="74" t="str">
        <f>IF(ISERROR(VLOOKUP($AB808&amp;"-"&amp;$E808&amp;" "&amp;F808,Bonuses!$B$1:$G$1006,4,FALSE)),"",INT(VLOOKUP($AB808&amp;"-"&amp;$E808&amp;" "&amp;$F808,Bonuses!$B$1:$G$1006,4,FALSE)))</f>
        <v/>
      </c>
      <c r="AE808" s="68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16.7 (508) - 1B Chris Kean</v>
      </c>
    </row>
    <row r="809" spans="1:31" s="50" customFormat="1" x14ac:dyDescent="0.3">
      <c r="A809" s="50">
        <v>12553</v>
      </c>
      <c r="B809" s="50">
        <f>COUNTIF(Table5[PID],A809)</f>
        <v>1</v>
      </c>
      <c r="C809" s="50" t="str">
        <f>IF(COUNTIF(Table3[[#All],[PID]],A809)&gt;0,"P","B")</f>
        <v>B</v>
      </c>
      <c r="D809" s="59" t="str">
        <f>IF($C809="B",INDEX(Batters[[#All],[POS]],MATCH(Table5[[#This Row],[PID]],Batters[[#All],[PID]],0)),INDEX(Table3[[#All],[POS]],MATCH(Table5[[#This Row],[PID]],Table3[[#All],[PID]],0)))</f>
        <v>2B</v>
      </c>
      <c r="E809" s="52" t="str">
        <f>IF($C809="B",INDEX(Batters[[#All],[First]],MATCH(Table5[[#This Row],[PID]],Batters[[#All],[PID]],0)),INDEX(Table3[[#All],[First]],MATCH(Table5[[#This Row],[PID]],Table3[[#All],[PID]],0)))</f>
        <v>Carl</v>
      </c>
      <c r="F809" s="50" t="str">
        <f>IF($C809="B",INDEX(Batters[[#All],[Last]],MATCH(A809,Batters[[#All],[PID]],0)),INDEX(Table3[[#All],[Last]],MATCH(A809,Table3[[#All],[PID]],0)))</f>
        <v>Fowler</v>
      </c>
      <c r="G809" s="56">
        <f>IF($C809="B",INDEX(Batters[[#All],[Age]],MATCH(Table5[[#This Row],[PID]],Batters[[#All],[PID]],0)),INDEX(Table3[[#All],[Age]],MATCH(Table5[[#This Row],[PID]],Table3[[#All],[PID]],0)))</f>
        <v>21</v>
      </c>
      <c r="H809" s="52" t="str">
        <f>IF($C809="B",INDEX(Batters[[#All],[B]],MATCH(Table5[[#This Row],[PID]],Batters[[#All],[PID]],0)),INDEX(Table3[[#All],[B]],MATCH(Table5[[#This Row],[PID]],Table3[[#All],[PID]],0)))</f>
        <v>R</v>
      </c>
      <c r="I809" s="52" t="str">
        <f>IF($C809="B",INDEX(Batters[[#All],[T]],MATCH(Table5[[#This Row],[PID]],Batters[[#All],[PID]],0)),INDEX(Table3[[#All],[T]],MATCH(Table5[[#This Row],[PID]],Table3[[#All],[PID]],0)))</f>
        <v>R</v>
      </c>
      <c r="J809" s="52" t="str">
        <f>IF($C809="B",INDEX(Batters[[#All],[WE]],MATCH(Table5[[#This Row],[PID]],Batters[[#All],[PID]],0)),INDEX(Table3[[#All],[WE]],MATCH(Table5[[#This Row],[PID]],Table3[[#All],[PID]],0)))</f>
        <v>High</v>
      </c>
      <c r="K809" s="52" t="str">
        <f>IF($C809="B",INDEX(Batters[[#All],[INT]],MATCH(Table5[[#This Row],[PID]],Batters[[#All],[PID]],0)),INDEX(Table3[[#All],[INT]],MATCH(Table5[[#This Row],[PID]],Table3[[#All],[PID]],0)))</f>
        <v>Normal</v>
      </c>
      <c r="L809" s="60">
        <f>IF($C809="B",INDEX(Batters[[#All],[CON P]],MATCH(Table5[[#This Row],[PID]],Batters[[#All],[PID]],0)),INDEX(Table3[[#All],[STU P]],MATCH(Table5[[#This Row],[PID]],Table3[[#All],[PID]],0)))</f>
        <v>2</v>
      </c>
      <c r="M809" s="56">
        <f>IF($C809="B",INDEX(Batters[[#All],[GAP P]],MATCH(Table5[[#This Row],[PID]],Batters[[#All],[PID]],0)),INDEX(Table3[[#All],[MOV P]],MATCH(Table5[[#This Row],[PID]],Table3[[#All],[PID]],0)))</f>
        <v>5</v>
      </c>
      <c r="N809" s="56">
        <f>IF($C809="B",INDEX(Batters[[#All],[POW P]],MATCH(Table5[[#This Row],[PID]],Batters[[#All],[PID]],0)),INDEX(Table3[[#All],[CON P]],MATCH(Table5[[#This Row],[PID]],Table3[[#All],[PID]],0)))</f>
        <v>3</v>
      </c>
      <c r="O809" s="56">
        <f>IF($C809="B",INDEX(Batters[[#All],[EYE P]],MATCH(Table5[[#This Row],[PID]],Batters[[#All],[PID]],0)),INDEX(Table3[[#All],[VELO]],MATCH(Table5[[#This Row],[PID]],Table3[[#All],[PID]],0)))</f>
        <v>5</v>
      </c>
      <c r="P809" s="56">
        <f>IF($C809="B",INDEX(Batters[[#All],[K P]],MATCH(Table5[[#This Row],[PID]],Batters[[#All],[PID]],0)),INDEX(Table3[[#All],[STM]],MATCH(Table5[[#This Row],[PID]],Table3[[#All],[PID]],0)))</f>
        <v>3</v>
      </c>
      <c r="Q809" s="61">
        <f>IF($C809="B",INDEX(Batters[[#All],[Tot]],MATCH(Table5[[#This Row],[PID]],Batters[[#All],[PID]],0)),INDEX(Table3[[#All],[Tot]],MATCH(Table5[[#This Row],[PID]],Table3[[#All],[PID]],0)))</f>
        <v>33.692406850168567</v>
      </c>
      <c r="R809" s="52">
        <f>IF($C809="B",INDEX(Batters[[#All],[zScore]],MATCH(Table5[[#This Row],[PID]],Batters[[#All],[PID]],0)),INDEX(Table3[[#All],[zScore]],MATCH(Table5[[#This Row],[PID]],Table3[[#All],[PID]],0)))</f>
        <v>-1.3905044312383712</v>
      </c>
      <c r="S809" s="58" t="str">
        <f>IF($C809="B",INDEX(Batters[[#All],[DEM]],MATCH(Table5[[#This Row],[PID]],Batters[[#All],[PID]],0)),INDEX(Table3[[#All],[DEM]],MATCH(Table5[[#This Row],[PID]],Table3[[#All],[PID]],0)))</f>
        <v>-</v>
      </c>
      <c r="T809" s="62">
        <f>IF($C809="B",INDEX(Batters[[#All],[Rnk]],MATCH(Table5[[#This Row],[PID]],Batters[[#All],[PID]],0)),INDEX(Table3[[#All],[Rnk]],MATCH(Table5[[#This Row],[PID]],Table3[[#All],[PID]],0)))</f>
        <v>900</v>
      </c>
      <c r="U809" s="67">
        <f>IF($C809="B",VLOOKUP($A809,Bat!$A$4:$BA$1314,47,FALSE),VLOOKUP($A809,Pit!$A$4:$BF$1214,56,FALSE))</f>
        <v>278</v>
      </c>
      <c r="V809" s="50">
        <f>IF($C809="B",VLOOKUP($A809,Bat!$A$4:$BA$1314,48,FALSE),VLOOKUP($A809,Pit!$A$4:$BF$1214,57,FALSE))</f>
        <v>0</v>
      </c>
      <c r="W809" s="68">
        <f>IF(Table5[[#This Row],[posRnk]]=999,9999,Table5[[#This Row],[posRnk]]+Table5[[#This Row],[zRnk]]+IF($W$3&lt;&gt;Table5[[#This Row],[Type]],50,0))</f>
        <v>1793</v>
      </c>
      <c r="X809" s="51">
        <f>RANK(Table5[[#This Row],[zScore]],Table5[[#All],[zScore]])</f>
        <v>843</v>
      </c>
      <c r="Y809" s="50" t="str">
        <f>IFERROR(INDEX(DraftResults[[#All],[OVR]],MATCH(Table5[[#This Row],[PID]],DraftResults[[#All],[Player ID]],0)),"")</f>
        <v/>
      </c>
      <c r="Z809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/>
      </c>
      <c r="AA809" s="50" t="str">
        <f>IFERROR(INDEX(DraftResults[[#All],[Pick in Round]],MATCH(Table5[[#This Row],[PID]],DraftResults[[#All],[Player ID]],0)),"")</f>
        <v/>
      </c>
      <c r="AB809" s="50" t="str">
        <f>IFERROR(INDEX(DraftResults[[#All],[Team Name]],MATCH(Table5[[#This Row],[PID]],DraftResults[[#All],[Player ID]],0)),"")</f>
        <v/>
      </c>
      <c r="AC809" s="50" t="str">
        <f>IF(Table5[[#This Row],[Ovr]]="","",IF(Table5[[#This Row],[cmbList]]="","",Table5[[#This Row],[cmbList]]-Table5[[#This Row],[Ovr]]))</f>
        <v/>
      </c>
      <c r="AD809" s="54" t="str">
        <f>IF(ISERROR(VLOOKUP($AB809&amp;"-"&amp;$E809&amp;" "&amp;F809,Bonuses!$B$1:$G$1006,4,FALSE)),"",INT(VLOOKUP($AB809&amp;"-"&amp;$E809&amp;" "&amp;$F809,Bonuses!$B$1:$G$1006,4,FALSE)))</f>
        <v/>
      </c>
      <c r="AE809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/>
      </c>
    </row>
    <row r="810" spans="1:31" s="50" customFormat="1" x14ac:dyDescent="0.3">
      <c r="A810" s="50">
        <v>12174</v>
      </c>
      <c r="B810" s="50">
        <f>COUNTIF(Table5[PID],A810)</f>
        <v>1</v>
      </c>
      <c r="C810" s="50" t="str">
        <f>IF(COUNTIF(Table3[[#All],[PID]],A810)&gt;0,"P","B")</f>
        <v>P</v>
      </c>
      <c r="D810" s="59" t="str">
        <f>IF($C810="B",INDEX(Batters[[#All],[POS]],MATCH(Table5[[#This Row],[PID]],Batters[[#All],[PID]],0)),INDEX(Table3[[#All],[POS]],MATCH(Table5[[#This Row],[PID]],Table3[[#All],[PID]],0)))</f>
        <v>RP</v>
      </c>
      <c r="E810" s="52" t="str">
        <f>IF($C810="B",INDEX(Batters[[#All],[First]],MATCH(Table5[[#This Row],[PID]],Batters[[#All],[PID]],0)),INDEX(Table3[[#All],[First]],MATCH(Table5[[#This Row],[PID]],Table3[[#All],[PID]],0)))</f>
        <v>Lowie</v>
      </c>
      <c r="F810" s="50" t="str">
        <f>IF($C810="B",INDEX(Batters[[#All],[Last]],MATCH(A810,Batters[[#All],[PID]],0)),INDEX(Table3[[#All],[Last]],MATCH(A810,Table3[[#All],[PID]],0)))</f>
        <v>Leers</v>
      </c>
      <c r="G810" s="56">
        <f>IF($C810="B",INDEX(Batters[[#All],[Age]],MATCH(Table5[[#This Row],[PID]],Batters[[#All],[PID]],0)),INDEX(Table3[[#All],[Age]],MATCH(Table5[[#This Row],[PID]],Table3[[#All],[PID]],0)))</f>
        <v>21</v>
      </c>
      <c r="H810" s="52" t="str">
        <f>IF($C810="B",INDEX(Batters[[#All],[B]],MATCH(Table5[[#This Row],[PID]],Batters[[#All],[PID]],0)),INDEX(Table3[[#All],[B]],MATCH(Table5[[#This Row],[PID]],Table3[[#All],[PID]],0)))</f>
        <v>R</v>
      </c>
      <c r="I810" s="52" t="str">
        <f>IF($C810="B",INDEX(Batters[[#All],[T]],MATCH(Table5[[#This Row],[PID]],Batters[[#All],[PID]],0)),INDEX(Table3[[#All],[T]],MATCH(Table5[[#This Row],[PID]],Table3[[#All],[PID]],0)))</f>
        <v>L</v>
      </c>
      <c r="J810" s="52" t="str">
        <f>IF($C810="B",INDEX(Batters[[#All],[WE]],MATCH(Table5[[#This Row],[PID]],Batters[[#All],[PID]],0)),INDEX(Table3[[#All],[WE]],MATCH(Table5[[#This Row],[PID]],Table3[[#All],[PID]],0)))</f>
        <v>Low</v>
      </c>
      <c r="K810" s="52" t="str">
        <f>IF($C810="B",INDEX(Batters[[#All],[INT]],MATCH(Table5[[#This Row],[PID]],Batters[[#All],[PID]],0)),INDEX(Table3[[#All],[INT]],MATCH(Table5[[#This Row],[PID]],Table3[[#All],[PID]],0)))</f>
        <v>Normal</v>
      </c>
      <c r="L810" s="60">
        <f>IF($C810="B",INDEX(Batters[[#All],[CON P]],MATCH(Table5[[#This Row],[PID]],Batters[[#All],[PID]],0)),INDEX(Table3[[#All],[STU P]],MATCH(Table5[[#This Row],[PID]],Table3[[#All],[PID]],0)))</f>
        <v>3</v>
      </c>
      <c r="M810" s="56">
        <f>IF($C810="B",INDEX(Batters[[#All],[GAP P]],MATCH(Table5[[#This Row],[PID]],Batters[[#All],[PID]],0)),INDEX(Table3[[#All],[MOV P]],MATCH(Table5[[#This Row],[PID]],Table3[[#All],[PID]],0)))</f>
        <v>1</v>
      </c>
      <c r="N810" s="56">
        <f>IF($C810="B",INDEX(Batters[[#All],[POW P]],MATCH(Table5[[#This Row],[PID]],Batters[[#All],[PID]],0)),INDEX(Table3[[#All],[CON P]],MATCH(Table5[[#This Row],[PID]],Table3[[#All],[PID]],0)))</f>
        <v>3</v>
      </c>
      <c r="O810" s="56" t="str">
        <f>IF($C810="B",INDEX(Batters[[#All],[EYE P]],MATCH(Table5[[#This Row],[PID]],Batters[[#All],[PID]],0)),INDEX(Table3[[#All],[VELO]],MATCH(Table5[[#This Row],[PID]],Table3[[#All],[PID]],0)))</f>
        <v>88-90 Mph</v>
      </c>
      <c r="P810" s="56">
        <f>IF($C810="B",INDEX(Batters[[#All],[K P]],MATCH(Table5[[#This Row],[PID]],Batters[[#All],[PID]],0)),INDEX(Table3[[#All],[STM]],MATCH(Table5[[#This Row],[PID]],Table3[[#All],[PID]],0)))</f>
        <v>6</v>
      </c>
      <c r="Q810" s="61">
        <f>IF($C810="B",INDEX(Batters[[#All],[Tot]],MATCH(Table5[[#This Row],[PID]],Batters[[#All],[PID]],0)),INDEX(Table3[[#All],[Tot]],MATCH(Table5[[#This Row],[PID]],Table3[[#All],[PID]],0)))</f>
        <v>21.212844112848416</v>
      </c>
      <c r="R810" s="52">
        <f>IF($C810="B",INDEX(Batters[[#All],[zScore]],MATCH(Table5[[#This Row],[PID]],Batters[[#All],[PID]],0)),INDEX(Table3[[#All],[zScore]],MATCH(Table5[[#This Row],[PID]],Table3[[#All],[PID]],0)))</f>
        <v>-1.1813060531167656</v>
      </c>
      <c r="S810" s="58" t="str">
        <f>IF($C810="B",INDEX(Batters[[#All],[DEM]],MATCH(Table5[[#This Row],[PID]],Batters[[#All],[PID]],0)),INDEX(Table3[[#All],[DEM]],MATCH(Table5[[#This Row],[PID]],Table3[[#All],[PID]],0)))</f>
        <v>-</v>
      </c>
      <c r="T810" s="62">
        <f>IF($C810="B",INDEX(Batters[[#All],[Rnk]],MATCH(Table5[[#This Row],[PID]],Batters[[#All],[PID]],0)),INDEX(Table3[[#All],[Rnk]],MATCH(Table5[[#This Row],[PID]],Table3[[#All],[PID]],0)))</f>
        <v>930</v>
      </c>
      <c r="U810" s="67">
        <f>IF($C810="B",VLOOKUP($A810,Bat!$A$4:$BA$1314,47,FALSE),VLOOKUP($A810,Pit!$A$4:$BF$1214,56,FALSE))</f>
        <v>371</v>
      </c>
      <c r="V810" s="50">
        <f>IF($C810="B",VLOOKUP($A810,Bat!$A$4:$BA$1314,48,FALSE),VLOOKUP($A810,Pit!$A$4:$BF$1214,57,FALSE))</f>
        <v>0</v>
      </c>
      <c r="W810" s="68">
        <f>IF(Table5[[#This Row],[posRnk]]=999,9999,Table5[[#This Row],[posRnk]]+Table5[[#This Row],[zRnk]]+IF($W$3&lt;&gt;Table5[[#This Row],[Type]],50,0))</f>
        <v>1743</v>
      </c>
      <c r="X810" s="51">
        <f>RANK(Table5[[#This Row],[zScore]],Table5[[#All],[zScore]])</f>
        <v>813</v>
      </c>
      <c r="Y810" s="50" t="str">
        <f>IFERROR(INDEX(DraftResults[[#All],[OVR]],MATCH(Table5[[#This Row],[PID]],DraftResults[[#All],[Player ID]],0)),"")</f>
        <v/>
      </c>
      <c r="Z810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/>
      </c>
      <c r="AA810" s="50" t="str">
        <f>IFERROR(INDEX(DraftResults[[#All],[Pick in Round]],MATCH(Table5[[#This Row],[PID]],DraftResults[[#All],[Player ID]],0)),"")</f>
        <v/>
      </c>
      <c r="AB810" s="50" t="str">
        <f>IFERROR(INDEX(DraftResults[[#All],[Team Name]],MATCH(Table5[[#This Row],[PID]],DraftResults[[#All],[Player ID]],0)),"")</f>
        <v/>
      </c>
      <c r="AC810" s="50" t="str">
        <f>IF(Table5[[#This Row],[Ovr]]="","",IF(Table5[[#This Row],[cmbList]]="","",Table5[[#This Row],[cmbList]]-Table5[[#This Row],[Ovr]]))</f>
        <v/>
      </c>
      <c r="AD810" s="54" t="str">
        <f>IF(ISERROR(VLOOKUP($AB810&amp;"-"&amp;$E810&amp;" "&amp;F810,Bonuses!$B$1:$G$1006,4,FALSE)),"",INT(VLOOKUP($AB810&amp;"-"&amp;$E810&amp;" "&amp;$F810,Bonuses!$B$1:$G$1006,4,FALSE)))</f>
        <v/>
      </c>
      <c r="AE810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/>
      </c>
    </row>
    <row r="811" spans="1:31" s="50" customFormat="1" x14ac:dyDescent="0.3">
      <c r="A811" s="50">
        <v>9555</v>
      </c>
      <c r="B811" s="55">
        <f>COUNTIF(Table5[PID],A811)</f>
        <v>1</v>
      </c>
      <c r="C811" s="55" t="str">
        <f>IF(COUNTIF(Table3[[#All],[PID]],A811)&gt;0,"P","B")</f>
        <v>B</v>
      </c>
      <c r="D811" s="59" t="str">
        <f>IF($C811="B",INDEX(Batters[[#All],[POS]],MATCH(Table5[[#This Row],[PID]],Batters[[#All],[PID]],0)),INDEX(Table3[[#All],[POS]],MATCH(Table5[[#This Row],[PID]],Table3[[#All],[PID]],0)))</f>
        <v>2B</v>
      </c>
      <c r="E811" s="52" t="str">
        <f>IF($C811="B",INDEX(Batters[[#All],[First]],MATCH(Table5[[#This Row],[PID]],Batters[[#All],[PID]],0)),INDEX(Table3[[#All],[First]],MATCH(Table5[[#This Row],[PID]],Table3[[#All],[PID]],0)))</f>
        <v>Alfred</v>
      </c>
      <c r="F811" s="50" t="str">
        <f>IF($C811="B",INDEX(Batters[[#All],[Last]],MATCH(A811,Batters[[#All],[PID]],0)),INDEX(Table3[[#All],[Last]],MATCH(A811,Table3[[#All],[PID]],0)))</f>
        <v>Sandoval</v>
      </c>
      <c r="G811" s="56">
        <f>IF($C811="B",INDEX(Batters[[#All],[Age]],MATCH(Table5[[#This Row],[PID]],Batters[[#All],[PID]],0)),INDEX(Table3[[#All],[Age]],MATCH(Table5[[#This Row],[PID]],Table3[[#All],[PID]],0)))</f>
        <v>21</v>
      </c>
      <c r="H811" s="52" t="str">
        <f>IF($C811="B",INDEX(Batters[[#All],[B]],MATCH(Table5[[#This Row],[PID]],Batters[[#All],[PID]],0)),INDEX(Table3[[#All],[B]],MATCH(Table5[[#This Row],[PID]],Table3[[#All],[PID]],0)))</f>
        <v>R</v>
      </c>
      <c r="I811" s="52" t="str">
        <f>IF($C811="B",INDEX(Batters[[#All],[T]],MATCH(Table5[[#This Row],[PID]],Batters[[#All],[PID]],0)),INDEX(Table3[[#All],[T]],MATCH(Table5[[#This Row],[PID]],Table3[[#All],[PID]],0)))</f>
        <v>R</v>
      </c>
      <c r="J811" s="52" t="str">
        <f>IF($C811="B",INDEX(Batters[[#All],[WE]],MATCH(Table5[[#This Row],[PID]],Batters[[#All],[PID]],0)),INDEX(Table3[[#All],[WE]],MATCH(Table5[[#This Row],[PID]],Table3[[#All],[PID]],0)))</f>
        <v>High</v>
      </c>
      <c r="K811" s="52" t="str">
        <f>IF($C811="B",INDEX(Batters[[#All],[INT]],MATCH(Table5[[#This Row],[PID]],Batters[[#All],[PID]],0)),INDEX(Table3[[#All],[INT]],MATCH(Table5[[#This Row],[PID]],Table3[[#All],[PID]],0)))</f>
        <v>Normal</v>
      </c>
      <c r="L811" s="60">
        <f>IF($C811="B",INDEX(Batters[[#All],[CON P]],MATCH(Table5[[#This Row],[PID]],Batters[[#All],[PID]],0)),INDEX(Table3[[#All],[STU P]],MATCH(Table5[[#This Row],[PID]],Table3[[#All],[PID]],0)))</f>
        <v>2</v>
      </c>
      <c r="M811" s="56">
        <f>IF($C811="B",INDEX(Batters[[#All],[GAP P]],MATCH(Table5[[#This Row],[PID]],Batters[[#All],[PID]],0)),INDEX(Table3[[#All],[MOV P]],MATCH(Table5[[#This Row],[PID]],Table3[[#All],[PID]],0)))</f>
        <v>3</v>
      </c>
      <c r="N811" s="56">
        <f>IF($C811="B",INDEX(Batters[[#All],[POW P]],MATCH(Table5[[#This Row],[PID]],Batters[[#All],[PID]],0)),INDEX(Table3[[#All],[CON P]],MATCH(Table5[[#This Row],[PID]],Table3[[#All],[PID]],0)))</f>
        <v>3</v>
      </c>
      <c r="O811" s="56">
        <f>IF($C811="B",INDEX(Batters[[#All],[EYE P]],MATCH(Table5[[#This Row],[PID]],Batters[[#All],[PID]],0)),INDEX(Table3[[#All],[VELO]],MATCH(Table5[[#This Row],[PID]],Table3[[#All],[PID]],0)))</f>
        <v>6</v>
      </c>
      <c r="P811" s="56">
        <f>IF($C811="B",INDEX(Batters[[#All],[K P]],MATCH(Table5[[#This Row],[PID]],Batters[[#All],[PID]],0)),INDEX(Table3[[#All],[STM]],MATCH(Table5[[#This Row],[PID]],Table3[[#All],[PID]],0)))</f>
        <v>2</v>
      </c>
      <c r="Q811" s="61">
        <f>IF($C811="B",INDEX(Batters[[#All],[Tot]],MATCH(Table5[[#This Row],[PID]],Batters[[#All],[PID]],0)),INDEX(Table3[[#All],[Tot]],MATCH(Table5[[#This Row],[PID]],Table3[[#All],[PID]],0)))</f>
        <v>33.454818261353701</v>
      </c>
      <c r="R811" s="52">
        <f>IF($C811="B",INDEX(Batters[[#All],[zScore]],MATCH(Table5[[#This Row],[PID]],Batters[[#All],[PID]],0)),INDEX(Table3[[#All],[zScore]],MATCH(Table5[[#This Row],[PID]],Table3[[#All],[PID]],0)))</f>
        <v>-1.4014656275308917</v>
      </c>
      <c r="S811" s="58" t="str">
        <f>IF($C811="B",INDEX(Batters[[#All],[DEM]],MATCH(Table5[[#This Row],[PID]],Batters[[#All],[PID]],0)),INDEX(Table3[[#All],[DEM]],MATCH(Table5[[#This Row],[PID]],Table3[[#All],[PID]],0)))</f>
        <v>-</v>
      </c>
      <c r="T811" s="62">
        <f>IF($C811="B",INDEX(Batters[[#All],[Rnk]],MATCH(Table5[[#This Row],[PID]],Batters[[#All],[PID]],0)),INDEX(Table3[[#All],[Rnk]],MATCH(Table5[[#This Row],[PID]],Table3[[#All],[PID]],0)))</f>
        <v>900</v>
      </c>
      <c r="U811" s="67">
        <f>IF($C811="B",VLOOKUP($A811,Bat!$A$4:$BA$1314,47,FALSE),VLOOKUP($A811,Pit!$A$4:$BF$1214,56,FALSE))</f>
        <v>279</v>
      </c>
      <c r="V811" s="50">
        <f>IF($C811="B",VLOOKUP($A811,Bat!$A$4:$BA$1314,48,FALSE),VLOOKUP($A811,Pit!$A$4:$BF$1214,57,FALSE))</f>
        <v>0</v>
      </c>
      <c r="W811" s="68">
        <f>IF(Table5[[#This Row],[posRnk]]=999,9999,Table5[[#This Row],[posRnk]]+Table5[[#This Row],[zRnk]]+IF($W$3&lt;&gt;Table5[[#This Row],[Type]],50,0))</f>
        <v>1794</v>
      </c>
      <c r="X811" s="51">
        <f>RANK(Table5[[#This Row],[zScore]],Table5[[#All],[zScore]])</f>
        <v>844</v>
      </c>
      <c r="Y811" s="50" t="str">
        <f>IFERROR(INDEX(DraftResults[[#All],[OVR]],MATCH(Table5[[#This Row],[PID]],DraftResults[[#All],[Player ID]],0)),"")</f>
        <v/>
      </c>
      <c r="Z811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/>
      </c>
      <c r="AA811" s="50" t="str">
        <f>IFERROR(INDEX(DraftResults[[#All],[Pick in Round]],MATCH(Table5[[#This Row],[PID]],DraftResults[[#All],[Player ID]],0)),"")</f>
        <v/>
      </c>
      <c r="AB811" s="50" t="str">
        <f>IFERROR(INDEX(DraftResults[[#All],[Team Name]],MATCH(Table5[[#This Row],[PID]],DraftResults[[#All],[Player ID]],0)),"")</f>
        <v/>
      </c>
      <c r="AC811" s="50" t="str">
        <f>IF(Table5[[#This Row],[Ovr]]="","",IF(Table5[[#This Row],[cmbList]]="","",Table5[[#This Row],[cmbList]]-Table5[[#This Row],[Ovr]]))</f>
        <v/>
      </c>
      <c r="AD811" s="54" t="str">
        <f>IF(ISERROR(VLOOKUP($AB811&amp;"-"&amp;$E811&amp;" "&amp;F811,Bonuses!$B$1:$G$1006,4,FALSE)),"",INT(VLOOKUP($AB811&amp;"-"&amp;$E811&amp;" "&amp;$F811,Bonuses!$B$1:$G$1006,4,FALSE)))</f>
        <v/>
      </c>
      <c r="AE811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/>
      </c>
    </row>
    <row r="812" spans="1:31" s="50" customFormat="1" x14ac:dyDescent="0.3">
      <c r="A812" s="50">
        <v>8776</v>
      </c>
      <c r="B812" s="50">
        <f>COUNTIF(Table5[PID],A812)</f>
        <v>1</v>
      </c>
      <c r="C812" s="50" t="str">
        <f>IF(COUNTIF(Table3[[#All],[PID]],A812)&gt;0,"P","B")</f>
        <v>P</v>
      </c>
      <c r="D812" s="59" t="str">
        <f>IF($C812="B",INDEX(Batters[[#All],[POS]],MATCH(Table5[[#This Row],[PID]],Batters[[#All],[PID]],0)),INDEX(Table3[[#All],[POS]],MATCH(Table5[[#This Row],[PID]],Table3[[#All],[PID]],0)))</f>
        <v>RP</v>
      </c>
      <c r="E812" s="52" t="str">
        <f>IF($C812="B",INDEX(Batters[[#All],[First]],MATCH(Table5[[#This Row],[PID]],Batters[[#All],[PID]],0)),INDEX(Table3[[#All],[First]],MATCH(Table5[[#This Row],[PID]],Table3[[#All],[PID]],0)))</f>
        <v>Ryuichi</v>
      </c>
      <c r="F812" s="50" t="str">
        <f>IF($C812="B",INDEX(Batters[[#All],[Last]],MATCH(A812,Batters[[#All],[PID]],0)),INDEX(Table3[[#All],[Last]],MATCH(A812,Table3[[#All],[PID]],0)))</f>
        <v>Ito</v>
      </c>
      <c r="G812" s="56">
        <f>IF($C812="B",INDEX(Batters[[#All],[Age]],MATCH(Table5[[#This Row],[PID]],Batters[[#All],[PID]],0)),INDEX(Table3[[#All],[Age]],MATCH(Table5[[#This Row],[PID]],Table3[[#All],[PID]],0)))</f>
        <v>21</v>
      </c>
      <c r="H812" s="52" t="str">
        <f>IF($C812="B",INDEX(Batters[[#All],[B]],MATCH(Table5[[#This Row],[PID]],Batters[[#All],[PID]],0)),INDEX(Table3[[#All],[B]],MATCH(Table5[[#This Row],[PID]],Table3[[#All],[PID]],0)))</f>
        <v>R</v>
      </c>
      <c r="I812" s="52" t="str">
        <f>IF($C812="B",INDEX(Batters[[#All],[T]],MATCH(Table5[[#This Row],[PID]],Batters[[#All],[PID]],0)),INDEX(Table3[[#All],[T]],MATCH(Table5[[#This Row],[PID]],Table3[[#All],[PID]],0)))</f>
        <v>R</v>
      </c>
      <c r="J812" s="52" t="str">
        <f>IF($C812="B",INDEX(Batters[[#All],[WE]],MATCH(Table5[[#This Row],[PID]],Batters[[#All],[PID]],0)),INDEX(Table3[[#All],[WE]],MATCH(Table5[[#This Row],[PID]],Table3[[#All],[PID]],0)))</f>
        <v>Low</v>
      </c>
      <c r="K812" s="52" t="str">
        <f>IF($C812="B",INDEX(Batters[[#All],[INT]],MATCH(Table5[[#This Row],[PID]],Batters[[#All],[PID]],0)),INDEX(Table3[[#All],[INT]],MATCH(Table5[[#This Row],[PID]],Table3[[#All],[PID]],0)))</f>
        <v>Normal</v>
      </c>
      <c r="L812" s="60">
        <f>IF($C812="B",INDEX(Batters[[#All],[CON P]],MATCH(Table5[[#This Row],[PID]],Batters[[#All],[PID]],0)),INDEX(Table3[[#All],[STU P]],MATCH(Table5[[#This Row],[PID]],Table3[[#All],[PID]],0)))</f>
        <v>3</v>
      </c>
      <c r="M812" s="56">
        <f>IF($C812="B",INDEX(Batters[[#All],[GAP P]],MATCH(Table5[[#This Row],[PID]],Batters[[#All],[PID]],0)),INDEX(Table3[[#All],[MOV P]],MATCH(Table5[[#This Row],[PID]],Table3[[#All],[PID]],0)))</f>
        <v>1</v>
      </c>
      <c r="N812" s="56">
        <f>IF($C812="B",INDEX(Batters[[#All],[POW P]],MATCH(Table5[[#This Row],[PID]],Batters[[#All],[PID]],0)),INDEX(Table3[[#All],[CON P]],MATCH(Table5[[#This Row],[PID]],Table3[[#All],[PID]],0)))</f>
        <v>3</v>
      </c>
      <c r="O812" s="56" t="str">
        <f>IF($C812="B",INDEX(Batters[[#All],[EYE P]],MATCH(Table5[[#This Row],[PID]],Batters[[#All],[PID]],0)),INDEX(Table3[[#All],[VELO]],MATCH(Table5[[#This Row],[PID]],Table3[[#All],[PID]],0)))</f>
        <v>90-92 Mph</v>
      </c>
      <c r="P812" s="56">
        <f>IF($C812="B",INDEX(Batters[[#All],[K P]],MATCH(Table5[[#This Row],[PID]],Batters[[#All],[PID]],0)),INDEX(Table3[[#All],[STM]],MATCH(Table5[[#This Row],[PID]],Table3[[#All],[PID]],0)))</f>
        <v>6</v>
      </c>
      <c r="Q812" s="61">
        <f>IF($C812="B",INDEX(Batters[[#All],[Tot]],MATCH(Table5[[#This Row],[PID]],Batters[[#All],[PID]],0)),INDEX(Table3[[#All],[Tot]],MATCH(Table5[[#This Row],[PID]],Table3[[#All],[PID]],0)))</f>
        <v>21.195313941888806</v>
      </c>
      <c r="R812" s="52">
        <f>IF($C812="B",INDEX(Batters[[#All],[zScore]],MATCH(Table5[[#This Row],[PID]],Batters[[#All],[PID]],0)),INDEX(Table3[[#All],[zScore]],MATCH(Table5[[#This Row],[PID]],Table3[[#All],[PID]],0)))</f>
        <v>-1.1825543245765555</v>
      </c>
      <c r="S812" s="58" t="str">
        <f>IF($C812="B",INDEX(Batters[[#All],[DEM]],MATCH(Table5[[#This Row],[PID]],Batters[[#All],[PID]],0)),INDEX(Table3[[#All],[DEM]],MATCH(Table5[[#This Row],[PID]],Table3[[#All],[PID]],0)))</f>
        <v>-</v>
      </c>
      <c r="T812" s="62">
        <f>IF($C812="B",INDEX(Batters[[#All],[Rnk]],MATCH(Table5[[#This Row],[PID]],Batters[[#All],[PID]],0)),INDEX(Table3[[#All],[Rnk]],MATCH(Table5[[#This Row],[PID]],Table3[[#All],[PID]],0)))</f>
        <v>930</v>
      </c>
      <c r="U812" s="67">
        <f>IF($C812="B",VLOOKUP($A812,Bat!$A$4:$BA$1314,47,FALSE),VLOOKUP($A812,Pit!$A$4:$BF$1214,56,FALSE))</f>
        <v>372</v>
      </c>
      <c r="V812" s="50">
        <f>IF($C812="B",VLOOKUP($A812,Bat!$A$4:$BA$1314,48,FALSE),VLOOKUP($A812,Pit!$A$4:$BF$1214,57,FALSE))</f>
        <v>0</v>
      </c>
      <c r="W812" s="68">
        <f>IF(Table5[[#This Row],[posRnk]]=999,9999,Table5[[#This Row],[posRnk]]+Table5[[#This Row],[zRnk]]+IF($W$3&lt;&gt;Table5[[#This Row],[Type]],50,0))</f>
        <v>1744</v>
      </c>
      <c r="X812" s="51">
        <f>RANK(Table5[[#This Row],[zScore]],Table5[[#All],[zScore]])</f>
        <v>814</v>
      </c>
      <c r="Y812" s="50" t="str">
        <f>IFERROR(INDEX(DraftResults[[#All],[OVR]],MATCH(Table5[[#This Row],[PID]],DraftResults[[#All],[Player ID]],0)),"")</f>
        <v/>
      </c>
      <c r="Z812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/>
      </c>
      <c r="AA812" s="50" t="str">
        <f>IFERROR(INDEX(DraftResults[[#All],[Pick in Round]],MATCH(Table5[[#This Row],[PID]],DraftResults[[#All],[Player ID]],0)),"")</f>
        <v/>
      </c>
      <c r="AB812" s="50" t="str">
        <f>IFERROR(INDEX(DraftResults[[#All],[Team Name]],MATCH(Table5[[#This Row],[PID]],DraftResults[[#All],[Player ID]],0)),"")</f>
        <v/>
      </c>
      <c r="AC812" s="50" t="str">
        <f>IF(Table5[[#This Row],[Ovr]]="","",IF(Table5[[#This Row],[cmbList]]="","",Table5[[#This Row],[cmbList]]-Table5[[#This Row],[Ovr]]))</f>
        <v/>
      </c>
      <c r="AD812" s="54" t="str">
        <f>IF(ISERROR(VLOOKUP($AB812&amp;"-"&amp;$E812&amp;" "&amp;F812,Bonuses!$B$1:$G$1006,4,FALSE)),"",INT(VLOOKUP($AB812&amp;"-"&amp;$E812&amp;" "&amp;$F812,Bonuses!$B$1:$G$1006,4,FALSE)))</f>
        <v/>
      </c>
      <c r="AE812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/>
      </c>
    </row>
    <row r="813" spans="1:31" s="50" customFormat="1" x14ac:dyDescent="0.3">
      <c r="A813" s="50">
        <v>20255</v>
      </c>
      <c r="B813" s="50">
        <f>COUNTIF(Table5[PID],A813)</f>
        <v>1</v>
      </c>
      <c r="C813" s="50" t="str">
        <f>IF(COUNTIF(Table3[[#All],[PID]],A813)&gt;0,"P","B")</f>
        <v>B</v>
      </c>
      <c r="D813" s="59" t="str">
        <f>IF($C813="B",INDEX(Batters[[#All],[POS]],MATCH(Table5[[#This Row],[PID]],Batters[[#All],[PID]],0)),INDEX(Table3[[#All],[POS]],MATCH(Table5[[#This Row],[PID]],Table3[[#All],[PID]],0)))</f>
        <v>SS</v>
      </c>
      <c r="E813" s="52" t="str">
        <f>IF($C813="B",INDEX(Batters[[#All],[First]],MATCH(Table5[[#This Row],[PID]],Batters[[#All],[PID]],0)),INDEX(Table3[[#All],[First]],MATCH(Table5[[#This Row],[PID]],Table3[[#All],[PID]],0)))</f>
        <v>John</v>
      </c>
      <c r="F813" s="50" t="str">
        <f>IF($C813="B",INDEX(Batters[[#All],[Last]],MATCH(A813,Batters[[#All],[PID]],0)),INDEX(Table3[[#All],[Last]],MATCH(A813,Table3[[#All],[PID]],0)))</f>
        <v>Reed</v>
      </c>
      <c r="G813" s="56">
        <f>IF($C813="B",INDEX(Batters[[#All],[Age]],MATCH(Table5[[#This Row],[PID]],Batters[[#All],[PID]],0)),INDEX(Table3[[#All],[Age]],MATCH(Table5[[#This Row],[PID]],Table3[[#All],[PID]],0)))</f>
        <v>21</v>
      </c>
      <c r="H813" s="52" t="str">
        <f>IF($C813="B",INDEX(Batters[[#All],[B]],MATCH(Table5[[#This Row],[PID]],Batters[[#All],[PID]],0)),INDEX(Table3[[#All],[B]],MATCH(Table5[[#This Row],[PID]],Table3[[#All],[PID]],0)))</f>
        <v>R</v>
      </c>
      <c r="I813" s="52" t="str">
        <f>IF($C813="B",INDEX(Batters[[#All],[T]],MATCH(Table5[[#This Row],[PID]],Batters[[#All],[PID]],0)),INDEX(Table3[[#All],[T]],MATCH(Table5[[#This Row],[PID]],Table3[[#All],[PID]],0)))</f>
        <v>R</v>
      </c>
      <c r="J813" s="52" t="str">
        <f>IF($C813="B",INDEX(Batters[[#All],[WE]],MATCH(Table5[[#This Row],[PID]],Batters[[#All],[PID]],0)),INDEX(Table3[[#All],[WE]],MATCH(Table5[[#This Row],[PID]],Table3[[#All],[PID]],0)))</f>
        <v>Normal</v>
      </c>
      <c r="K813" s="52" t="str">
        <f>IF($C813="B",INDEX(Batters[[#All],[INT]],MATCH(Table5[[#This Row],[PID]],Batters[[#All],[PID]],0)),INDEX(Table3[[#All],[INT]],MATCH(Table5[[#This Row],[PID]],Table3[[#All],[PID]],0)))</f>
        <v>Low</v>
      </c>
      <c r="L813" s="60">
        <f>IF($C813="B",INDEX(Batters[[#All],[CON P]],MATCH(Table5[[#This Row],[PID]],Batters[[#All],[PID]],0)),INDEX(Table3[[#All],[STU P]],MATCH(Table5[[#This Row],[PID]],Table3[[#All],[PID]],0)))</f>
        <v>3</v>
      </c>
      <c r="M813" s="56">
        <f>IF($C813="B",INDEX(Batters[[#All],[GAP P]],MATCH(Table5[[#This Row],[PID]],Batters[[#All],[PID]],0)),INDEX(Table3[[#All],[MOV P]],MATCH(Table5[[#This Row],[PID]],Table3[[#All],[PID]],0)))</f>
        <v>4</v>
      </c>
      <c r="N813" s="56">
        <f>IF($C813="B",INDEX(Batters[[#All],[POW P]],MATCH(Table5[[#This Row],[PID]],Batters[[#All],[PID]],0)),INDEX(Table3[[#All],[CON P]],MATCH(Table5[[#This Row],[PID]],Table3[[#All],[PID]],0)))</f>
        <v>2</v>
      </c>
      <c r="O813" s="56">
        <f>IF($C813="B",INDEX(Batters[[#All],[EYE P]],MATCH(Table5[[#This Row],[PID]],Batters[[#All],[PID]],0)),INDEX(Table3[[#All],[VELO]],MATCH(Table5[[#This Row],[PID]],Table3[[#All],[PID]],0)))</f>
        <v>5</v>
      </c>
      <c r="P813" s="56">
        <f>IF($C813="B",INDEX(Batters[[#All],[K P]],MATCH(Table5[[#This Row],[PID]],Batters[[#All],[PID]],0)),INDEX(Table3[[#All],[STM]],MATCH(Table5[[#This Row],[PID]],Table3[[#All],[PID]],0)))</f>
        <v>3</v>
      </c>
      <c r="Q813" s="61">
        <f>IF($C813="B",INDEX(Batters[[#All],[Tot]],MATCH(Table5[[#This Row],[PID]],Batters[[#All],[PID]],0)),INDEX(Table3[[#All],[Tot]],MATCH(Table5[[#This Row],[PID]],Table3[[#All],[PID]],0)))</f>
        <v>35.407819528493292</v>
      </c>
      <c r="R813" s="52">
        <f>IF($C813="B",INDEX(Batters[[#All],[zScore]],MATCH(Table5[[#This Row],[PID]],Batters[[#All],[PID]],0)),INDEX(Table3[[#All],[zScore]],MATCH(Table5[[#This Row],[PID]],Table3[[#All],[PID]],0)))</f>
        <v>-1.140108885318553</v>
      </c>
      <c r="S813" s="58" t="str">
        <f>IF($C813="B",INDEX(Batters[[#All],[DEM]],MATCH(Table5[[#This Row],[PID]],Batters[[#All],[PID]],0)),INDEX(Table3[[#All],[DEM]],MATCH(Table5[[#This Row],[PID]],Table3[[#All],[PID]],0)))</f>
        <v>$20k</v>
      </c>
      <c r="T813" s="62">
        <f>IF($C813="B",INDEX(Batters[[#All],[Rnk]],MATCH(Table5[[#This Row],[PID]],Batters[[#All],[PID]],0)),INDEX(Table3[[#All],[Rnk]],MATCH(Table5[[#This Row],[PID]],Table3[[#All],[PID]],0)))</f>
        <v>940</v>
      </c>
      <c r="U813" s="67">
        <f>IF($C813="B",VLOOKUP($A813,Bat!$A$4:$BA$1314,47,FALSE),VLOOKUP($A813,Pit!$A$4:$BF$1214,56,FALSE))</f>
        <v>421</v>
      </c>
      <c r="V813" s="50">
        <f>IF($C813="B",VLOOKUP($A813,Bat!$A$4:$BA$1314,48,FALSE),VLOOKUP($A813,Pit!$A$4:$BF$1214,57,FALSE))</f>
        <v>0</v>
      </c>
      <c r="W813" s="68">
        <f>IF(Table5[[#This Row],[posRnk]]=999,9999,Table5[[#This Row],[posRnk]]+Table5[[#This Row],[zRnk]]+IF($W$3&lt;&gt;Table5[[#This Row],[Type]],50,0))</f>
        <v>1794</v>
      </c>
      <c r="X813" s="51">
        <f>RANK(Table5[[#This Row],[zScore]],Table5[[#All],[zScore]])</f>
        <v>804</v>
      </c>
      <c r="Y813" s="50" t="str">
        <f>IFERROR(INDEX(DraftResults[[#All],[OVR]],MATCH(Table5[[#This Row],[PID]],DraftResults[[#All],[Player ID]],0)),"")</f>
        <v/>
      </c>
      <c r="Z813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/>
      </c>
      <c r="AA813" s="50" t="str">
        <f>IFERROR(INDEX(DraftResults[[#All],[Pick in Round]],MATCH(Table5[[#This Row],[PID]],DraftResults[[#All],[Player ID]],0)),"")</f>
        <v/>
      </c>
      <c r="AB813" s="50" t="str">
        <f>IFERROR(INDEX(DraftResults[[#All],[Team Name]],MATCH(Table5[[#This Row],[PID]],DraftResults[[#All],[Player ID]],0)),"")</f>
        <v/>
      </c>
      <c r="AC813" s="50" t="str">
        <f>IF(Table5[[#This Row],[Ovr]]="","",IF(Table5[[#This Row],[cmbList]]="","",Table5[[#This Row],[cmbList]]-Table5[[#This Row],[Ovr]]))</f>
        <v/>
      </c>
      <c r="AD813" s="54" t="str">
        <f>IF(ISERROR(VLOOKUP($AB813&amp;"-"&amp;$E813&amp;" "&amp;F813,Bonuses!$B$1:$G$1006,4,FALSE)),"",INT(VLOOKUP($AB813&amp;"-"&amp;$E813&amp;" "&amp;$F813,Bonuses!$B$1:$G$1006,4,FALSE)))</f>
        <v/>
      </c>
      <c r="AE813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/>
      </c>
    </row>
    <row r="814" spans="1:31" s="50" customFormat="1" x14ac:dyDescent="0.3">
      <c r="A814" s="50">
        <v>8006</v>
      </c>
      <c r="B814" s="50">
        <f>COUNTIF(Table5[PID],A814)</f>
        <v>1</v>
      </c>
      <c r="C814" s="50" t="str">
        <f>IF(COUNTIF(Table3[[#All],[PID]],A814)&gt;0,"P","B")</f>
        <v>P</v>
      </c>
      <c r="D814" s="59" t="str">
        <f>IF($C814="B",INDEX(Batters[[#All],[POS]],MATCH(Table5[[#This Row],[PID]],Batters[[#All],[PID]],0)),INDEX(Table3[[#All],[POS]],MATCH(Table5[[#This Row],[PID]],Table3[[#All],[PID]],0)))</f>
        <v>RP</v>
      </c>
      <c r="E814" s="52" t="str">
        <f>IF($C814="B",INDEX(Batters[[#All],[First]],MATCH(Table5[[#This Row],[PID]],Batters[[#All],[PID]],0)),INDEX(Table3[[#All],[First]],MATCH(Table5[[#This Row],[PID]],Table3[[#All],[PID]],0)))</f>
        <v>Darby</v>
      </c>
      <c r="F814" s="50" t="str">
        <f>IF($C814="B",INDEX(Batters[[#All],[Last]],MATCH(A814,Batters[[#All],[PID]],0)),INDEX(Table3[[#All],[Last]],MATCH(A814,Table3[[#All],[PID]],0)))</f>
        <v>Mack</v>
      </c>
      <c r="G814" s="56">
        <f>IF($C814="B",INDEX(Batters[[#All],[Age]],MATCH(Table5[[#This Row],[PID]],Batters[[#All],[PID]],0)),INDEX(Table3[[#All],[Age]],MATCH(Table5[[#This Row],[PID]],Table3[[#All],[PID]],0)))</f>
        <v>21</v>
      </c>
      <c r="H814" s="52" t="str">
        <f>IF($C814="B",INDEX(Batters[[#All],[B]],MATCH(Table5[[#This Row],[PID]],Batters[[#All],[PID]],0)),INDEX(Table3[[#All],[B]],MATCH(Table5[[#This Row],[PID]],Table3[[#All],[PID]],0)))</f>
        <v>L</v>
      </c>
      <c r="I814" s="52" t="str">
        <f>IF($C814="B",INDEX(Batters[[#All],[T]],MATCH(Table5[[#This Row],[PID]],Batters[[#All],[PID]],0)),INDEX(Table3[[#All],[T]],MATCH(Table5[[#This Row],[PID]],Table3[[#All],[PID]],0)))</f>
        <v>R</v>
      </c>
      <c r="J814" s="52" t="str">
        <f>IF($C814="B",INDEX(Batters[[#All],[WE]],MATCH(Table5[[#This Row],[PID]],Batters[[#All],[PID]],0)),INDEX(Table3[[#All],[WE]],MATCH(Table5[[#This Row],[PID]],Table3[[#All],[PID]],0)))</f>
        <v>Normal</v>
      </c>
      <c r="K814" s="52" t="str">
        <f>IF($C814="B",INDEX(Batters[[#All],[INT]],MATCH(Table5[[#This Row],[PID]],Batters[[#All],[PID]],0)),INDEX(Table3[[#All],[INT]],MATCH(Table5[[#This Row],[PID]],Table3[[#All],[PID]],0)))</f>
        <v>Normal</v>
      </c>
      <c r="L814" s="60">
        <f>IF($C814="B",INDEX(Batters[[#All],[CON P]],MATCH(Table5[[#This Row],[PID]],Batters[[#All],[PID]],0)),INDEX(Table3[[#All],[STU P]],MATCH(Table5[[#This Row],[PID]],Table3[[#All],[PID]],0)))</f>
        <v>4</v>
      </c>
      <c r="M814" s="56">
        <f>IF($C814="B",INDEX(Batters[[#All],[GAP P]],MATCH(Table5[[#This Row],[PID]],Batters[[#All],[PID]],0)),INDEX(Table3[[#All],[MOV P]],MATCH(Table5[[#This Row],[PID]],Table3[[#All],[PID]],0)))</f>
        <v>1</v>
      </c>
      <c r="N814" s="56">
        <f>IF($C814="B",INDEX(Batters[[#All],[POW P]],MATCH(Table5[[#This Row],[PID]],Batters[[#All],[PID]],0)),INDEX(Table3[[#All],[CON P]],MATCH(Table5[[#This Row],[PID]],Table3[[#All],[PID]],0)))</f>
        <v>3</v>
      </c>
      <c r="O814" s="56" t="str">
        <f>IF($C814="B",INDEX(Batters[[#All],[EYE P]],MATCH(Table5[[#This Row],[PID]],Batters[[#All],[PID]],0)),INDEX(Table3[[#All],[VELO]],MATCH(Table5[[#This Row],[PID]],Table3[[#All],[PID]],0)))</f>
        <v>88-90 Mph</v>
      </c>
      <c r="P814" s="56">
        <f>IF($C814="B",INDEX(Batters[[#All],[K P]],MATCH(Table5[[#This Row],[PID]],Batters[[#All],[PID]],0)),INDEX(Table3[[#All],[STM]],MATCH(Table5[[#This Row],[PID]],Table3[[#All],[PID]],0)))</f>
        <v>7</v>
      </c>
      <c r="Q814" s="61">
        <f>IF($C814="B",INDEX(Batters[[#All],[Tot]],MATCH(Table5[[#This Row],[PID]],Batters[[#All],[PID]],0)),INDEX(Table3[[#All],[Tot]],MATCH(Table5[[#This Row],[PID]],Table3[[#All],[PID]],0)))</f>
        <v>17.964215520510773</v>
      </c>
      <c r="R814" s="52">
        <f>IF($C814="B",INDEX(Batters[[#All],[zScore]],MATCH(Table5[[#This Row],[PID]],Batters[[#All],[PID]],0)),INDEX(Table3[[#All],[zScore]],MATCH(Table5[[#This Row],[PID]],Table3[[#All],[PID]],0)))</f>
        <v>-1.4126312560834404</v>
      </c>
      <c r="S814" s="58" t="str">
        <f>IF($C814="B",INDEX(Batters[[#All],[DEM]],MATCH(Table5[[#This Row],[PID]],Batters[[#All],[PID]],0)),INDEX(Table3[[#All],[DEM]],MATCH(Table5[[#This Row],[PID]],Table3[[#All],[PID]],0)))</f>
        <v>-</v>
      </c>
      <c r="T814" s="62">
        <f>IF($C814="B",INDEX(Batters[[#All],[Rnk]],MATCH(Table5[[#This Row],[PID]],Batters[[#All],[PID]],0)),INDEX(Table3[[#All],[Rnk]],MATCH(Table5[[#This Row],[PID]],Table3[[#All],[PID]],0)))</f>
        <v>900</v>
      </c>
      <c r="U814" s="67">
        <f>IF($C814="B",VLOOKUP($A814,Bat!$A$4:$BA$1314,47,FALSE),VLOOKUP($A814,Pit!$A$4:$BF$1214,56,FALSE))</f>
        <v>259</v>
      </c>
      <c r="V814" s="50">
        <f>IF($C814="B",VLOOKUP($A814,Bat!$A$4:$BA$1314,48,FALSE),VLOOKUP($A814,Pit!$A$4:$BF$1214,57,FALSE))</f>
        <v>0</v>
      </c>
      <c r="W814" s="68">
        <f>IF(Table5[[#This Row],[posRnk]]=999,9999,Table5[[#This Row],[posRnk]]+Table5[[#This Row],[zRnk]]+IF($W$3&lt;&gt;Table5[[#This Row],[Type]],50,0))</f>
        <v>1746</v>
      </c>
      <c r="X814" s="51">
        <f>RANK(Table5[[#This Row],[zScore]],Table5[[#All],[zScore]])</f>
        <v>846</v>
      </c>
      <c r="Y814" s="50" t="str">
        <f>IFERROR(INDEX(DraftResults[[#All],[OVR]],MATCH(Table5[[#This Row],[PID]],DraftResults[[#All],[Player ID]],0)),"")</f>
        <v/>
      </c>
      <c r="Z814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/>
      </c>
      <c r="AA814" s="50" t="str">
        <f>IFERROR(INDEX(DraftResults[[#All],[Pick in Round]],MATCH(Table5[[#This Row],[PID]],DraftResults[[#All],[Player ID]],0)),"")</f>
        <v/>
      </c>
      <c r="AB814" s="50" t="str">
        <f>IFERROR(INDEX(DraftResults[[#All],[Team Name]],MATCH(Table5[[#This Row],[PID]],DraftResults[[#All],[Player ID]],0)),"")</f>
        <v/>
      </c>
      <c r="AC814" s="50" t="str">
        <f>IF(Table5[[#This Row],[Ovr]]="","",IF(Table5[[#This Row],[cmbList]]="","",Table5[[#This Row],[cmbList]]-Table5[[#This Row],[Ovr]]))</f>
        <v/>
      </c>
      <c r="AD814" s="54" t="str">
        <f>IF(ISERROR(VLOOKUP($AB814&amp;"-"&amp;$E814&amp;" "&amp;F814,Bonuses!$B$1:$G$1006,4,FALSE)),"",INT(VLOOKUP($AB814&amp;"-"&amp;$E814&amp;" "&amp;$F814,Bonuses!$B$1:$G$1006,4,FALSE)))</f>
        <v/>
      </c>
      <c r="AE814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/>
      </c>
    </row>
    <row r="815" spans="1:31" s="50" customFormat="1" x14ac:dyDescent="0.3">
      <c r="A815" s="50">
        <v>11038</v>
      </c>
      <c r="B815" s="50">
        <f>COUNTIF(Table5[PID],A815)</f>
        <v>1</v>
      </c>
      <c r="C815" s="50" t="str">
        <f>IF(COUNTIF(Table3[[#All],[PID]],A815)&gt;0,"P","B")</f>
        <v>B</v>
      </c>
      <c r="D815" s="59" t="str">
        <f>IF($C815="B",INDEX(Batters[[#All],[POS]],MATCH(Table5[[#This Row],[PID]],Batters[[#All],[PID]],0)),INDEX(Table3[[#All],[POS]],MATCH(Table5[[#This Row],[PID]],Table3[[#All],[PID]],0)))</f>
        <v>C</v>
      </c>
      <c r="E815" s="52" t="str">
        <f>IF($C815="B",INDEX(Batters[[#All],[First]],MATCH(Table5[[#This Row],[PID]],Batters[[#All],[PID]],0)),INDEX(Table3[[#All],[First]],MATCH(Table5[[#This Row],[PID]],Table3[[#All],[PID]],0)))</f>
        <v>Chris</v>
      </c>
      <c r="F815" s="50" t="str">
        <f>IF($C815="B",INDEX(Batters[[#All],[Last]],MATCH(A815,Batters[[#All],[PID]],0)),INDEX(Table3[[#All],[Last]],MATCH(A815,Table3[[#All],[PID]],0)))</f>
        <v>Buurman</v>
      </c>
      <c r="G815" s="56">
        <f>IF($C815="B",INDEX(Batters[[#All],[Age]],MATCH(Table5[[#This Row],[PID]],Batters[[#All],[PID]],0)),INDEX(Table3[[#All],[Age]],MATCH(Table5[[#This Row],[PID]],Table3[[#All],[PID]],0)))</f>
        <v>21</v>
      </c>
      <c r="H815" s="52" t="str">
        <f>IF($C815="B",INDEX(Batters[[#All],[B]],MATCH(Table5[[#This Row],[PID]],Batters[[#All],[PID]],0)),INDEX(Table3[[#All],[B]],MATCH(Table5[[#This Row],[PID]],Table3[[#All],[PID]],0)))</f>
        <v>R</v>
      </c>
      <c r="I815" s="52" t="str">
        <f>IF($C815="B",INDEX(Batters[[#All],[T]],MATCH(Table5[[#This Row],[PID]],Batters[[#All],[PID]],0)),INDEX(Table3[[#All],[T]],MATCH(Table5[[#This Row],[PID]],Table3[[#All],[PID]],0)))</f>
        <v>R</v>
      </c>
      <c r="J815" s="52" t="str">
        <f>IF($C815="B",INDEX(Batters[[#All],[WE]],MATCH(Table5[[#This Row],[PID]],Batters[[#All],[PID]],0)),INDEX(Table3[[#All],[WE]],MATCH(Table5[[#This Row],[PID]],Table3[[#All],[PID]],0)))</f>
        <v>Low</v>
      </c>
      <c r="K815" s="52" t="str">
        <f>IF($C815="B",INDEX(Batters[[#All],[INT]],MATCH(Table5[[#This Row],[PID]],Batters[[#All],[PID]],0)),INDEX(Table3[[#All],[INT]],MATCH(Table5[[#This Row],[PID]],Table3[[#All],[PID]],0)))</f>
        <v>Normal</v>
      </c>
      <c r="L815" s="60">
        <f>IF($C815="B",INDEX(Batters[[#All],[CON P]],MATCH(Table5[[#This Row],[PID]],Batters[[#All],[PID]],0)),INDEX(Table3[[#All],[STU P]],MATCH(Table5[[#This Row],[PID]],Table3[[#All],[PID]],0)))</f>
        <v>3</v>
      </c>
      <c r="M815" s="56">
        <f>IF($C815="B",INDEX(Batters[[#All],[GAP P]],MATCH(Table5[[#This Row],[PID]],Batters[[#All],[PID]],0)),INDEX(Table3[[#All],[MOV P]],MATCH(Table5[[#This Row],[PID]],Table3[[#All],[PID]],0)))</f>
        <v>2</v>
      </c>
      <c r="N815" s="56">
        <f>IF($C815="B",INDEX(Batters[[#All],[POW P]],MATCH(Table5[[#This Row],[PID]],Batters[[#All],[PID]],0)),INDEX(Table3[[#All],[CON P]],MATCH(Table5[[#This Row],[PID]],Table3[[#All],[PID]],0)))</f>
        <v>3</v>
      </c>
      <c r="O815" s="56">
        <f>IF($C815="B",INDEX(Batters[[#All],[EYE P]],MATCH(Table5[[#This Row],[PID]],Batters[[#All],[PID]],0)),INDEX(Table3[[#All],[VELO]],MATCH(Table5[[#This Row],[PID]],Table3[[#All],[PID]],0)))</f>
        <v>5</v>
      </c>
      <c r="P815" s="56">
        <f>IF($C815="B",INDEX(Batters[[#All],[K P]],MATCH(Table5[[#This Row],[PID]],Batters[[#All],[PID]],0)),INDEX(Table3[[#All],[STM]],MATCH(Table5[[#This Row],[PID]],Table3[[#All],[PID]],0)))</f>
        <v>3</v>
      </c>
      <c r="Q815" s="61">
        <f>IF($C815="B",INDEX(Batters[[#All],[Tot]],MATCH(Table5[[#This Row],[PID]],Batters[[#All],[PID]],0)),INDEX(Table3[[#All],[Tot]],MATCH(Table5[[#This Row],[PID]],Table3[[#All],[PID]],0)))</f>
        <v>35.11070760842189</v>
      </c>
      <c r="R815" s="52">
        <f>IF($C815="B",INDEX(Batters[[#All],[zScore]],MATCH(Table5[[#This Row],[PID]],Batters[[#All],[PID]],0)),INDEX(Table3[[#All],[zScore]],MATCH(Table5[[#This Row],[PID]],Table3[[#All],[PID]],0)))</f>
        <v>-1.1834777506450112</v>
      </c>
      <c r="S815" s="58" t="str">
        <f>IF($C815="B",INDEX(Batters[[#All],[DEM]],MATCH(Table5[[#This Row],[PID]],Batters[[#All],[PID]],0)),INDEX(Table3[[#All],[DEM]],MATCH(Table5[[#This Row],[PID]],Table3[[#All],[PID]],0)))</f>
        <v>$20k</v>
      </c>
      <c r="T815" s="62">
        <f>IF($C815="B",INDEX(Batters[[#All],[Rnk]],MATCH(Table5[[#This Row],[PID]],Batters[[#All],[PID]],0)),INDEX(Table3[[#All],[Rnk]],MATCH(Table5[[#This Row],[PID]],Table3[[#All],[PID]],0)))</f>
        <v>930</v>
      </c>
      <c r="U815" s="67">
        <f>IF($C815="B",VLOOKUP($A815,Bat!$A$4:$BA$1314,47,FALSE),VLOOKUP($A815,Pit!$A$4:$BF$1214,56,FALSE))</f>
        <v>387</v>
      </c>
      <c r="V815" s="50">
        <f>IF($C815="B",VLOOKUP($A815,Bat!$A$4:$BA$1314,48,FALSE),VLOOKUP($A815,Pit!$A$4:$BF$1214,57,FALSE))</f>
        <v>0</v>
      </c>
      <c r="W815" s="68">
        <f>IF(Table5[[#This Row],[posRnk]]=999,9999,Table5[[#This Row],[posRnk]]+Table5[[#This Row],[zRnk]]+IF($W$3&lt;&gt;Table5[[#This Row],[Type]],50,0))</f>
        <v>1796</v>
      </c>
      <c r="X815" s="51">
        <f>RANK(Table5[[#This Row],[zScore]],Table5[[#All],[zScore]])</f>
        <v>816</v>
      </c>
      <c r="Y815" s="50">
        <f>IFERROR(INDEX(DraftResults[[#All],[OVR]],MATCH(Table5[[#This Row],[PID]],DraftResults[[#All],[Player ID]],0)),"")</f>
        <v>349</v>
      </c>
      <c r="Z815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11</v>
      </c>
      <c r="AA815" s="50">
        <f>IFERROR(INDEX(DraftResults[[#All],[Pick in Round]],MATCH(Table5[[#This Row],[PID]],DraftResults[[#All],[Player ID]],0)),"")</f>
        <v>18</v>
      </c>
      <c r="AB815" s="50" t="str">
        <f>IFERROR(INDEX(DraftResults[[#All],[Team Name]],MATCH(Table5[[#This Row],[PID]],DraftResults[[#All],[Player ID]],0)),"")</f>
        <v>San Juan Coqui</v>
      </c>
      <c r="AC815" s="50">
        <f>IF(Table5[[#This Row],[Ovr]]="","",IF(Table5[[#This Row],[cmbList]]="","",Table5[[#This Row],[cmbList]]-Table5[[#This Row],[Ovr]]))</f>
        <v>1447</v>
      </c>
      <c r="AD815" s="54" t="str">
        <f>IF(ISERROR(VLOOKUP($AB815&amp;"-"&amp;$E815&amp;" "&amp;F815,Bonuses!$B$1:$G$1006,4,FALSE)),"",INT(VLOOKUP($AB815&amp;"-"&amp;$E815&amp;" "&amp;$F815,Bonuses!$B$1:$G$1006,4,FALSE)))</f>
        <v/>
      </c>
      <c r="AE815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11.18 (349) - C Chris Buurman</v>
      </c>
    </row>
    <row r="816" spans="1:31" s="50" customFormat="1" x14ac:dyDescent="0.3">
      <c r="A816" s="67">
        <v>13826</v>
      </c>
      <c r="B816" s="68">
        <f>COUNTIF(Table5[PID],A816)</f>
        <v>1</v>
      </c>
      <c r="C816" s="68" t="str">
        <f>IF(COUNTIF(Table3[[#All],[PID]],A816)&gt;0,"P","B")</f>
        <v>P</v>
      </c>
      <c r="D816" s="59" t="str">
        <f>IF($C816="B",INDEX(Batters[[#All],[POS]],MATCH(Table5[[#This Row],[PID]],Batters[[#All],[PID]],0)),INDEX(Table3[[#All],[POS]],MATCH(Table5[[#This Row],[PID]],Table3[[#All],[PID]],0)))</f>
        <v>RP</v>
      </c>
      <c r="E816" s="52" t="str">
        <f>IF($C816="B",INDEX(Batters[[#All],[First]],MATCH(Table5[[#This Row],[PID]],Batters[[#All],[PID]],0)),INDEX(Table3[[#All],[First]],MATCH(Table5[[#This Row],[PID]],Table3[[#All],[PID]],0)))</f>
        <v>Albert</v>
      </c>
      <c r="F816" s="55" t="str">
        <f>IF($C816="B",INDEX(Batters[[#All],[Last]],MATCH(A816,Batters[[#All],[PID]],0)),INDEX(Table3[[#All],[Last]],MATCH(A816,Table3[[#All],[PID]],0)))</f>
        <v>Martínez</v>
      </c>
      <c r="G816" s="56">
        <f>IF($C816="B",INDEX(Batters[[#All],[Age]],MATCH(Table5[[#This Row],[PID]],Batters[[#All],[PID]],0)),INDEX(Table3[[#All],[Age]],MATCH(Table5[[#This Row],[PID]],Table3[[#All],[PID]],0)))</f>
        <v>21</v>
      </c>
      <c r="H816" s="52" t="str">
        <f>IF($C816="B",INDEX(Batters[[#All],[B]],MATCH(Table5[[#This Row],[PID]],Batters[[#All],[PID]],0)),INDEX(Table3[[#All],[B]],MATCH(Table5[[#This Row],[PID]],Table3[[#All],[PID]],0)))</f>
        <v>L</v>
      </c>
      <c r="I816" s="52" t="str">
        <f>IF($C816="B",INDEX(Batters[[#All],[T]],MATCH(Table5[[#This Row],[PID]],Batters[[#All],[PID]],0)),INDEX(Table3[[#All],[T]],MATCH(Table5[[#This Row],[PID]],Table3[[#All],[PID]],0)))</f>
        <v>L</v>
      </c>
      <c r="J816" s="69" t="str">
        <f>IF($C816="B",INDEX(Batters[[#All],[WE]],MATCH(Table5[[#This Row],[PID]],Batters[[#All],[PID]],0)),INDEX(Table3[[#All],[WE]],MATCH(Table5[[#This Row],[PID]],Table3[[#All],[PID]],0)))</f>
        <v>Low</v>
      </c>
      <c r="K816" s="52" t="str">
        <f>IF($C816="B",INDEX(Batters[[#All],[INT]],MATCH(Table5[[#This Row],[PID]],Batters[[#All],[PID]],0)),INDEX(Table3[[#All],[INT]],MATCH(Table5[[#This Row],[PID]],Table3[[#All],[PID]],0)))</f>
        <v>Low</v>
      </c>
      <c r="L816" s="60">
        <f>IF($C816="B",INDEX(Batters[[#All],[CON P]],MATCH(Table5[[#This Row],[PID]],Batters[[#All],[PID]],0)),INDEX(Table3[[#All],[STU P]],MATCH(Table5[[#This Row],[PID]],Table3[[#All],[PID]],0)))</f>
        <v>5</v>
      </c>
      <c r="M816" s="70">
        <f>IF($C816="B",INDEX(Batters[[#All],[GAP P]],MATCH(Table5[[#This Row],[PID]],Batters[[#All],[PID]],0)),INDEX(Table3[[#All],[MOV P]],MATCH(Table5[[#This Row],[PID]],Table3[[#All],[PID]],0)))</f>
        <v>2</v>
      </c>
      <c r="N816" s="70">
        <f>IF($C816="B",INDEX(Batters[[#All],[POW P]],MATCH(Table5[[#This Row],[PID]],Batters[[#All],[PID]],0)),INDEX(Table3[[#All],[CON P]],MATCH(Table5[[#This Row],[PID]],Table3[[#All],[PID]],0)))</f>
        <v>2</v>
      </c>
      <c r="O816" s="70" t="str">
        <f>IF($C816="B",INDEX(Batters[[#All],[EYE P]],MATCH(Table5[[#This Row],[PID]],Batters[[#All],[PID]],0)),INDEX(Table3[[#All],[VELO]],MATCH(Table5[[#This Row],[PID]],Table3[[#All],[PID]],0)))</f>
        <v>89-91 Mph</v>
      </c>
      <c r="P816" s="56">
        <f>IF($C816="B",INDEX(Batters[[#All],[K P]],MATCH(Table5[[#This Row],[PID]],Batters[[#All],[PID]],0)),INDEX(Table3[[#All],[STM]],MATCH(Table5[[#This Row],[PID]],Table3[[#All],[PID]],0)))</f>
        <v>3</v>
      </c>
      <c r="Q816" s="61">
        <f>IF($C816="B",INDEX(Batters[[#All],[Tot]],MATCH(Table5[[#This Row],[PID]],Batters[[#All],[PID]],0)),INDEX(Table3[[#All],[Tot]],MATCH(Table5[[#This Row],[PID]],Table3[[#All],[PID]],0)))</f>
        <v>22.572866496737685</v>
      </c>
      <c r="R816" s="52">
        <f>IF($C816="B",INDEX(Batters[[#All],[zScore]],MATCH(Table5[[#This Row],[PID]],Batters[[#All],[PID]],0)),INDEX(Table3[[#All],[zScore]],MATCH(Table5[[#This Row],[PID]],Table3[[#All],[PID]],0)))</f>
        <v>-1.0844628945191799</v>
      </c>
      <c r="S816" s="75" t="str">
        <f>IF($C816="B",INDEX(Batters[[#All],[DEM]],MATCH(Table5[[#This Row],[PID]],Batters[[#All],[PID]],0)),INDEX(Table3[[#All],[DEM]],MATCH(Table5[[#This Row],[PID]],Table3[[#All],[PID]],0)))</f>
        <v>-</v>
      </c>
      <c r="T816" s="72">
        <f>IF($C816="B",INDEX(Batters[[#All],[Rnk]],MATCH(Table5[[#This Row],[PID]],Batters[[#All],[PID]],0)),INDEX(Table3[[#All],[Rnk]],MATCH(Table5[[#This Row],[PID]],Table3[[#All],[PID]],0)))</f>
        <v>950</v>
      </c>
      <c r="U816" s="67">
        <f>IF($C816="B",VLOOKUP($A816,Bat!$A$4:$BA$1314,47,FALSE),VLOOKUP($A816,Pit!$A$4:$BF$1214,56,FALSE))</f>
        <v>426</v>
      </c>
      <c r="V816" s="50">
        <f>IF($C816="B",VLOOKUP($A816,Bat!$A$4:$BA$1314,48,FALSE),VLOOKUP($A816,Pit!$A$4:$BF$1214,57,FALSE))</f>
        <v>0</v>
      </c>
      <c r="W816" s="68">
        <f>IF(Table5[[#This Row],[posRnk]]=999,9999,Table5[[#This Row],[posRnk]]+Table5[[#This Row],[zRnk]]+IF($W$3&lt;&gt;Table5[[#This Row],[Type]],50,0))</f>
        <v>1746</v>
      </c>
      <c r="X816" s="71">
        <f>RANK(Table5[[#This Row],[zScore]],Table5[[#All],[zScore]])</f>
        <v>796</v>
      </c>
      <c r="Y816" s="68" t="str">
        <f>IFERROR(INDEX(DraftResults[[#All],[OVR]],MATCH(Table5[[#This Row],[PID]],DraftResults[[#All],[Player ID]],0)),"")</f>
        <v/>
      </c>
      <c r="Z816" s="7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/>
      </c>
      <c r="AA816" s="68" t="str">
        <f>IFERROR(INDEX(DraftResults[[#All],[Pick in Round]],MATCH(Table5[[#This Row],[PID]],DraftResults[[#All],[Player ID]],0)),"")</f>
        <v/>
      </c>
      <c r="AB816" s="68" t="str">
        <f>IFERROR(INDEX(DraftResults[[#All],[Team Name]],MATCH(Table5[[#This Row],[PID]],DraftResults[[#All],[Player ID]],0)),"")</f>
        <v/>
      </c>
      <c r="AC816" s="68" t="str">
        <f>IF(Table5[[#This Row],[Ovr]]="","",IF(Table5[[#This Row],[cmbList]]="","",Table5[[#This Row],[cmbList]]-Table5[[#This Row],[Ovr]]))</f>
        <v/>
      </c>
      <c r="AD816" s="74" t="str">
        <f>IF(ISERROR(VLOOKUP($AB816&amp;"-"&amp;$E816&amp;" "&amp;F816,Bonuses!$B$1:$G$1006,4,FALSE)),"",INT(VLOOKUP($AB816&amp;"-"&amp;$E816&amp;" "&amp;$F816,Bonuses!$B$1:$G$1006,4,FALSE)))</f>
        <v/>
      </c>
      <c r="AE816" s="68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/>
      </c>
    </row>
    <row r="817" spans="1:31" s="50" customFormat="1" x14ac:dyDescent="0.3">
      <c r="A817" s="50">
        <v>5505</v>
      </c>
      <c r="B817" s="50">
        <f>COUNTIF(Table5[PID],A817)</f>
        <v>1</v>
      </c>
      <c r="C817" s="50" t="str">
        <f>IF(COUNTIF(Table3[[#All],[PID]],A817)&gt;0,"P","B")</f>
        <v>B</v>
      </c>
      <c r="D817" s="59" t="str">
        <f>IF($C817="B",INDEX(Batters[[#All],[POS]],MATCH(Table5[[#This Row],[PID]],Batters[[#All],[PID]],0)),INDEX(Table3[[#All],[POS]],MATCH(Table5[[#This Row],[PID]],Table3[[#All],[PID]],0)))</f>
        <v>C</v>
      </c>
      <c r="E817" s="52" t="str">
        <f>IF($C817="B",INDEX(Batters[[#All],[First]],MATCH(Table5[[#This Row],[PID]],Batters[[#All],[PID]],0)),INDEX(Table3[[#All],[First]],MATCH(Table5[[#This Row],[PID]],Table3[[#All],[PID]],0)))</f>
        <v>Dani</v>
      </c>
      <c r="F817" s="50" t="str">
        <f>IF($C817="B",INDEX(Batters[[#All],[Last]],MATCH(A817,Batters[[#All],[PID]],0)),INDEX(Table3[[#All],[Last]],MATCH(A817,Table3[[#All],[PID]],0)))</f>
        <v>Fernández</v>
      </c>
      <c r="G817" s="56">
        <f>IF($C817="B",INDEX(Batters[[#All],[Age]],MATCH(Table5[[#This Row],[PID]],Batters[[#All],[PID]],0)),INDEX(Table3[[#All],[Age]],MATCH(Table5[[#This Row],[PID]],Table3[[#All],[PID]],0)))</f>
        <v>22</v>
      </c>
      <c r="H817" s="52" t="str">
        <f>IF($C817="B",INDEX(Batters[[#All],[B]],MATCH(Table5[[#This Row],[PID]],Batters[[#All],[PID]],0)),INDEX(Table3[[#All],[B]],MATCH(Table5[[#This Row],[PID]],Table3[[#All],[PID]],0)))</f>
        <v>S</v>
      </c>
      <c r="I817" s="52" t="str">
        <f>IF($C817="B",INDEX(Batters[[#All],[T]],MATCH(Table5[[#This Row],[PID]],Batters[[#All],[PID]],0)),INDEX(Table3[[#All],[T]],MATCH(Table5[[#This Row],[PID]],Table3[[#All],[PID]],0)))</f>
        <v>R</v>
      </c>
      <c r="J817" s="52" t="str">
        <f>IF($C817="B",INDEX(Batters[[#All],[WE]],MATCH(Table5[[#This Row],[PID]],Batters[[#All],[PID]],0)),INDEX(Table3[[#All],[WE]],MATCH(Table5[[#This Row],[PID]],Table3[[#All],[PID]],0)))</f>
        <v>High</v>
      </c>
      <c r="K817" s="52" t="str">
        <f>IF($C817="B",INDEX(Batters[[#All],[INT]],MATCH(Table5[[#This Row],[PID]],Batters[[#All],[PID]],0)),INDEX(Table3[[#All],[INT]],MATCH(Table5[[#This Row],[PID]],Table3[[#All],[PID]],0)))</f>
        <v>Normal</v>
      </c>
      <c r="L817" s="60">
        <f>IF($C817="B",INDEX(Batters[[#All],[CON P]],MATCH(Table5[[#This Row],[PID]],Batters[[#All],[PID]],0)),INDEX(Table3[[#All],[STU P]],MATCH(Table5[[#This Row],[PID]],Table3[[#All],[PID]],0)))</f>
        <v>2</v>
      </c>
      <c r="M817" s="56">
        <f>IF($C817="B",INDEX(Batters[[#All],[GAP P]],MATCH(Table5[[#This Row],[PID]],Batters[[#All],[PID]],0)),INDEX(Table3[[#All],[MOV P]],MATCH(Table5[[#This Row],[PID]],Table3[[#All],[PID]],0)))</f>
        <v>4</v>
      </c>
      <c r="N817" s="56">
        <f>IF($C817="B",INDEX(Batters[[#All],[POW P]],MATCH(Table5[[#This Row],[PID]],Batters[[#All],[PID]],0)),INDEX(Table3[[#All],[CON P]],MATCH(Table5[[#This Row],[PID]],Table3[[#All],[PID]],0)))</f>
        <v>3</v>
      </c>
      <c r="O817" s="56">
        <f>IF($C817="B",INDEX(Batters[[#All],[EYE P]],MATCH(Table5[[#This Row],[PID]],Batters[[#All],[PID]],0)),INDEX(Table3[[#All],[VELO]],MATCH(Table5[[#This Row],[PID]],Table3[[#All],[PID]],0)))</f>
        <v>4</v>
      </c>
      <c r="P817" s="56">
        <f>IF($C817="B",INDEX(Batters[[#All],[K P]],MATCH(Table5[[#This Row],[PID]],Batters[[#All],[PID]],0)),INDEX(Table3[[#All],[STM]],MATCH(Table5[[#This Row],[PID]],Table3[[#All],[PID]],0)))</f>
        <v>3</v>
      </c>
      <c r="Q817" s="61">
        <f>IF($C817="B",INDEX(Batters[[#All],[Tot]],MATCH(Table5[[#This Row],[PID]],Batters[[#All],[PID]],0)),INDEX(Table3[[#All],[Tot]],MATCH(Table5[[#This Row],[PID]],Table3[[#All],[PID]],0)))</f>
        <v>33.510732739352243</v>
      </c>
      <c r="R817" s="52">
        <f>IF($C817="B",INDEX(Batters[[#All],[zScore]],MATCH(Table5[[#This Row],[PID]],Batters[[#All],[PID]],0)),INDEX(Table3[[#All],[zScore]],MATCH(Table5[[#This Row],[PID]],Table3[[#All],[PID]],0)))</f>
        <v>-1.4170230577660572</v>
      </c>
      <c r="S817" s="58" t="str">
        <f>IF($C817="B",INDEX(Batters[[#All],[DEM]],MATCH(Table5[[#This Row],[PID]],Batters[[#All],[PID]],0)),INDEX(Table3[[#All],[DEM]],MATCH(Table5[[#This Row],[PID]],Table3[[#All],[PID]],0)))</f>
        <v>-</v>
      </c>
      <c r="T817" s="62">
        <f>IF($C817="B",INDEX(Batters[[#All],[Rnk]],MATCH(Table5[[#This Row],[PID]],Batters[[#All],[PID]],0)),INDEX(Table3[[#All],[Rnk]],MATCH(Table5[[#This Row],[PID]],Table3[[#All],[PID]],0)))</f>
        <v>900</v>
      </c>
      <c r="U817" s="67">
        <f>IF($C817="B",VLOOKUP($A817,Bat!$A$4:$BA$1314,47,FALSE),VLOOKUP($A817,Pit!$A$4:$BF$1214,56,FALSE))</f>
        <v>280</v>
      </c>
      <c r="V817" s="50">
        <f>IF($C817="B",VLOOKUP($A817,Bat!$A$4:$BA$1314,48,FALSE),VLOOKUP($A817,Pit!$A$4:$BF$1214,57,FALSE))</f>
        <v>0</v>
      </c>
      <c r="W817" s="68">
        <f>IF(Table5[[#This Row],[posRnk]]=999,9999,Table5[[#This Row],[posRnk]]+Table5[[#This Row],[zRnk]]+IF($W$3&lt;&gt;Table5[[#This Row],[Type]],50,0))</f>
        <v>1797</v>
      </c>
      <c r="X817" s="51">
        <f>RANK(Table5[[#This Row],[zScore]],Table5[[#All],[zScore]])</f>
        <v>847</v>
      </c>
      <c r="Y817" s="50" t="str">
        <f>IFERROR(INDEX(DraftResults[[#All],[OVR]],MATCH(Table5[[#This Row],[PID]],DraftResults[[#All],[Player ID]],0)),"")</f>
        <v/>
      </c>
      <c r="Z817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/>
      </c>
      <c r="AA817" s="50" t="str">
        <f>IFERROR(INDEX(DraftResults[[#All],[Pick in Round]],MATCH(Table5[[#This Row],[PID]],DraftResults[[#All],[Player ID]],0)),"")</f>
        <v/>
      </c>
      <c r="AB817" s="50" t="str">
        <f>IFERROR(INDEX(DraftResults[[#All],[Team Name]],MATCH(Table5[[#This Row],[PID]],DraftResults[[#All],[Player ID]],0)),"")</f>
        <v/>
      </c>
      <c r="AC817" s="50" t="str">
        <f>IF(Table5[[#This Row],[Ovr]]="","",IF(Table5[[#This Row],[cmbList]]="","",Table5[[#This Row],[cmbList]]-Table5[[#This Row],[Ovr]]))</f>
        <v/>
      </c>
      <c r="AD817" s="54" t="str">
        <f>IF(ISERROR(VLOOKUP($AB817&amp;"-"&amp;$E817&amp;" "&amp;F817,Bonuses!$B$1:$G$1006,4,FALSE)),"",INT(VLOOKUP($AB817&amp;"-"&amp;$E817&amp;" "&amp;$F817,Bonuses!$B$1:$G$1006,4,FALSE)))</f>
        <v/>
      </c>
      <c r="AE817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/>
      </c>
    </row>
    <row r="818" spans="1:31" s="50" customFormat="1" x14ac:dyDescent="0.3">
      <c r="A818" s="50">
        <v>15228</v>
      </c>
      <c r="B818" s="50">
        <f>COUNTIF(Table5[PID],A818)</f>
        <v>1</v>
      </c>
      <c r="C818" s="50" t="str">
        <f>IF(COUNTIF(Table3[[#All],[PID]],A818)&gt;0,"P","B")</f>
        <v>B</v>
      </c>
      <c r="D818" s="59" t="str">
        <f>IF($C818="B",INDEX(Batters[[#All],[POS]],MATCH(Table5[[#This Row],[PID]],Batters[[#All],[PID]],0)),INDEX(Table3[[#All],[POS]],MATCH(Table5[[#This Row],[PID]],Table3[[#All],[PID]],0)))</f>
        <v>1B</v>
      </c>
      <c r="E818" s="52" t="str">
        <f>IF($C818="B",INDEX(Batters[[#All],[First]],MATCH(Table5[[#This Row],[PID]],Batters[[#All],[PID]],0)),INDEX(Table3[[#All],[First]],MATCH(Table5[[#This Row],[PID]],Table3[[#All],[PID]],0)))</f>
        <v>Teruo</v>
      </c>
      <c r="F818" s="50" t="str">
        <f>IF($C818="B",INDEX(Batters[[#All],[Last]],MATCH(A818,Batters[[#All],[PID]],0)),INDEX(Table3[[#All],[Last]],MATCH(A818,Table3[[#All],[PID]],0)))</f>
        <v>Kojima</v>
      </c>
      <c r="G818" s="56">
        <f>IF($C818="B",INDEX(Batters[[#All],[Age]],MATCH(Table5[[#This Row],[PID]],Batters[[#All],[PID]],0)),INDEX(Table3[[#All],[Age]],MATCH(Table5[[#This Row],[PID]],Table3[[#All],[PID]],0)))</f>
        <v>21</v>
      </c>
      <c r="H818" s="52" t="str">
        <f>IF($C818="B",INDEX(Batters[[#All],[B]],MATCH(Table5[[#This Row],[PID]],Batters[[#All],[PID]],0)),INDEX(Table3[[#All],[B]],MATCH(Table5[[#This Row],[PID]],Table3[[#All],[PID]],0)))</f>
        <v>R</v>
      </c>
      <c r="I818" s="52" t="str">
        <f>IF($C818="B",INDEX(Batters[[#All],[T]],MATCH(Table5[[#This Row],[PID]],Batters[[#All],[PID]],0)),INDEX(Table3[[#All],[T]],MATCH(Table5[[#This Row],[PID]],Table3[[#All],[PID]],0)))</f>
        <v>R</v>
      </c>
      <c r="J818" s="52" t="str">
        <f>IF($C818="B",INDEX(Batters[[#All],[WE]],MATCH(Table5[[#This Row],[PID]],Batters[[#All],[PID]],0)),INDEX(Table3[[#All],[WE]],MATCH(Table5[[#This Row],[PID]],Table3[[#All],[PID]],0)))</f>
        <v>Normal</v>
      </c>
      <c r="K818" s="52" t="str">
        <f>IF($C818="B",INDEX(Batters[[#All],[INT]],MATCH(Table5[[#This Row],[PID]],Batters[[#All],[PID]],0)),INDEX(Table3[[#All],[INT]],MATCH(Table5[[#This Row],[PID]],Table3[[#All],[PID]],0)))</f>
        <v>Normal</v>
      </c>
      <c r="L818" s="60">
        <f>IF($C818="B",INDEX(Batters[[#All],[CON P]],MATCH(Table5[[#This Row],[PID]],Batters[[#All],[PID]],0)),INDEX(Table3[[#All],[STU P]],MATCH(Table5[[#This Row],[PID]],Table3[[#All],[PID]],0)))</f>
        <v>3</v>
      </c>
      <c r="M818" s="56">
        <f>IF($C818="B",INDEX(Batters[[#All],[GAP P]],MATCH(Table5[[#This Row],[PID]],Batters[[#All],[PID]],0)),INDEX(Table3[[#All],[MOV P]],MATCH(Table5[[#This Row],[PID]],Table3[[#All],[PID]],0)))</f>
        <v>2</v>
      </c>
      <c r="N818" s="56">
        <f>IF($C818="B",INDEX(Batters[[#All],[POW P]],MATCH(Table5[[#This Row],[PID]],Batters[[#All],[PID]],0)),INDEX(Table3[[#All],[CON P]],MATCH(Table5[[#This Row],[PID]],Table3[[#All],[PID]],0)))</f>
        <v>2</v>
      </c>
      <c r="O818" s="56">
        <f>IF($C818="B",INDEX(Batters[[#All],[EYE P]],MATCH(Table5[[#This Row],[PID]],Batters[[#All],[PID]],0)),INDEX(Table3[[#All],[VELO]],MATCH(Table5[[#This Row],[PID]],Table3[[#All],[PID]],0)))</f>
        <v>4</v>
      </c>
      <c r="P818" s="56">
        <f>IF($C818="B",INDEX(Batters[[#All],[K P]],MATCH(Table5[[#This Row],[PID]],Batters[[#All],[PID]],0)),INDEX(Table3[[#All],[STM]],MATCH(Table5[[#This Row],[PID]],Table3[[#All],[PID]],0)))</f>
        <v>3</v>
      </c>
      <c r="Q818" s="61">
        <f>IF($C818="B",INDEX(Batters[[#All],[Tot]],MATCH(Table5[[#This Row],[PID]],Batters[[#All],[PID]],0)),INDEX(Table3[[#All],[Tot]],MATCH(Table5[[#This Row],[PID]],Table3[[#All],[PID]],0)))</f>
        <v>33.342561067981968</v>
      </c>
      <c r="R818" s="52">
        <f>IF($C818="B",INDEX(Batters[[#All],[zScore]],MATCH(Table5[[#This Row],[PID]],Batters[[#All],[PID]],0)),INDEX(Table3[[#All],[zScore]],MATCH(Table5[[#This Row],[PID]],Table3[[#All],[PID]],0)))</f>
        <v>-1.4415707587321782</v>
      </c>
      <c r="S818" s="58" t="str">
        <f>IF($C818="B",INDEX(Batters[[#All],[DEM]],MATCH(Table5[[#This Row],[PID]],Batters[[#All],[PID]],0)),INDEX(Table3[[#All],[DEM]],MATCH(Table5[[#This Row],[PID]],Table3[[#All],[PID]],0)))</f>
        <v>-</v>
      </c>
      <c r="T818" s="62">
        <f>IF($C818="B",INDEX(Batters[[#All],[Rnk]],MATCH(Table5[[#This Row],[PID]],Batters[[#All],[PID]],0)),INDEX(Table3[[#All],[Rnk]],MATCH(Table5[[#This Row],[PID]],Table3[[#All],[PID]],0)))</f>
        <v>900</v>
      </c>
      <c r="U818" s="67">
        <f>IF($C818="B",VLOOKUP($A818,Bat!$A$4:$BA$1314,47,FALSE),VLOOKUP($A818,Pit!$A$4:$BF$1214,56,FALSE))</f>
        <v>282</v>
      </c>
      <c r="V818" s="50">
        <f>IF($C818="B",VLOOKUP($A818,Bat!$A$4:$BA$1314,48,FALSE),VLOOKUP($A818,Pit!$A$4:$BF$1214,57,FALSE))</f>
        <v>0</v>
      </c>
      <c r="W818" s="68">
        <f>IF(Table5[[#This Row],[posRnk]]=999,9999,Table5[[#This Row],[posRnk]]+Table5[[#This Row],[zRnk]]+IF($W$3&lt;&gt;Table5[[#This Row],[Type]],50,0))</f>
        <v>1799</v>
      </c>
      <c r="X818" s="51">
        <f>RANK(Table5[[#This Row],[zScore]],Table5[[#All],[zScore]])</f>
        <v>849</v>
      </c>
      <c r="Y818" s="50" t="str">
        <f>IFERROR(INDEX(DraftResults[[#All],[OVR]],MATCH(Table5[[#This Row],[PID]],DraftResults[[#All],[Player ID]],0)),"")</f>
        <v/>
      </c>
      <c r="Z818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/>
      </c>
      <c r="AA818" s="50" t="str">
        <f>IFERROR(INDEX(DraftResults[[#All],[Pick in Round]],MATCH(Table5[[#This Row],[PID]],DraftResults[[#All],[Player ID]],0)),"")</f>
        <v/>
      </c>
      <c r="AB818" s="50" t="str">
        <f>IFERROR(INDEX(DraftResults[[#All],[Team Name]],MATCH(Table5[[#This Row],[PID]],DraftResults[[#All],[Player ID]],0)),"")</f>
        <v/>
      </c>
      <c r="AC818" s="50" t="str">
        <f>IF(Table5[[#This Row],[Ovr]]="","",IF(Table5[[#This Row],[cmbList]]="","",Table5[[#This Row],[cmbList]]-Table5[[#This Row],[Ovr]]))</f>
        <v/>
      </c>
      <c r="AD818" s="54" t="str">
        <f>IF(ISERROR(VLOOKUP($AB818&amp;"-"&amp;$E818&amp;" "&amp;F818,Bonuses!$B$1:$G$1006,4,FALSE)),"",INT(VLOOKUP($AB818&amp;"-"&amp;$E818&amp;" "&amp;$F818,Bonuses!$B$1:$G$1006,4,FALSE)))</f>
        <v/>
      </c>
      <c r="AE818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/>
      </c>
    </row>
    <row r="819" spans="1:31" s="50" customFormat="1" x14ac:dyDescent="0.3">
      <c r="A819" s="50">
        <v>14367</v>
      </c>
      <c r="B819" s="50">
        <f>COUNTIF(Table5[PID],A819)</f>
        <v>1</v>
      </c>
      <c r="C819" s="50" t="str">
        <f>IF(COUNTIF(Table3[[#All],[PID]],A819)&gt;0,"P","B")</f>
        <v>B</v>
      </c>
      <c r="D819" s="59" t="str">
        <f>IF($C819="B",INDEX(Batters[[#All],[POS]],MATCH(Table5[[#This Row],[PID]],Batters[[#All],[PID]],0)),INDEX(Table3[[#All],[POS]],MATCH(Table5[[#This Row],[PID]],Table3[[#All],[PID]],0)))</f>
        <v>C</v>
      </c>
      <c r="E819" s="52" t="str">
        <f>IF($C819="B",INDEX(Batters[[#All],[First]],MATCH(Table5[[#This Row],[PID]],Batters[[#All],[PID]],0)),INDEX(Table3[[#All],[First]],MATCH(Table5[[#This Row],[PID]],Table3[[#All],[PID]],0)))</f>
        <v>Jeroen</v>
      </c>
      <c r="F819" s="50" t="str">
        <f>IF($C819="B",INDEX(Batters[[#All],[Last]],MATCH(A819,Batters[[#All],[PID]],0)),INDEX(Table3[[#All],[Last]],MATCH(A819,Table3[[#All],[PID]],0)))</f>
        <v>van Heijbeeck</v>
      </c>
      <c r="G819" s="56">
        <f>IF($C819="B",INDEX(Batters[[#All],[Age]],MATCH(Table5[[#This Row],[PID]],Batters[[#All],[PID]],0)),INDEX(Table3[[#All],[Age]],MATCH(Table5[[#This Row],[PID]],Table3[[#All],[PID]],0)))</f>
        <v>22</v>
      </c>
      <c r="H819" s="52" t="str">
        <f>IF($C819="B",INDEX(Batters[[#All],[B]],MATCH(Table5[[#This Row],[PID]],Batters[[#All],[PID]],0)),INDEX(Table3[[#All],[B]],MATCH(Table5[[#This Row],[PID]],Table3[[#All],[PID]],0)))</f>
        <v>S</v>
      </c>
      <c r="I819" s="52" t="str">
        <f>IF($C819="B",INDEX(Batters[[#All],[T]],MATCH(Table5[[#This Row],[PID]],Batters[[#All],[PID]],0)),INDEX(Table3[[#All],[T]],MATCH(Table5[[#This Row],[PID]],Table3[[#All],[PID]],0)))</f>
        <v>R</v>
      </c>
      <c r="J819" s="52" t="str">
        <f>IF($C819="B",INDEX(Batters[[#All],[WE]],MATCH(Table5[[#This Row],[PID]],Batters[[#All],[PID]],0)),INDEX(Table3[[#All],[WE]],MATCH(Table5[[#This Row],[PID]],Table3[[#All],[PID]],0)))</f>
        <v>Normal</v>
      </c>
      <c r="K819" s="52" t="str">
        <f>IF($C819="B",INDEX(Batters[[#All],[INT]],MATCH(Table5[[#This Row],[PID]],Batters[[#All],[PID]],0)),INDEX(Table3[[#All],[INT]],MATCH(Table5[[#This Row],[PID]],Table3[[#All],[PID]],0)))</f>
        <v>Normal</v>
      </c>
      <c r="L819" s="60">
        <f>IF($C819="B",INDEX(Batters[[#All],[CON P]],MATCH(Table5[[#This Row],[PID]],Batters[[#All],[PID]],0)),INDEX(Table3[[#All],[STU P]],MATCH(Table5[[#This Row],[PID]],Table3[[#All],[PID]],0)))</f>
        <v>2</v>
      </c>
      <c r="M819" s="56">
        <f>IF($C819="B",INDEX(Batters[[#All],[GAP P]],MATCH(Table5[[#This Row],[PID]],Batters[[#All],[PID]],0)),INDEX(Table3[[#All],[MOV P]],MATCH(Table5[[#This Row],[PID]],Table3[[#All],[PID]],0)))</f>
        <v>4</v>
      </c>
      <c r="N819" s="56">
        <f>IF($C819="B",INDEX(Batters[[#All],[POW P]],MATCH(Table5[[#This Row],[PID]],Batters[[#All],[PID]],0)),INDEX(Table3[[#All],[CON P]],MATCH(Table5[[#This Row],[PID]],Table3[[#All],[PID]],0)))</f>
        <v>3</v>
      </c>
      <c r="O819" s="56">
        <f>IF($C819="B",INDEX(Batters[[#All],[EYE P]],MATCH(Table5[[#This Row],[PID]],Batters[[#All],[PID]],0)),INDEX(Table3[[#All],[VELO]],MATCH(Table5[[#This Row],[PID]],Table3[[#All],[PID]],0)))</f>
        <v>5</v>
      </c>
      <c r="P819" s="56">
        <f>IF($C819="B",INDEX(Batters[[#All],[K P]],MATCH(Table5[[#This Row],[PID]],Batters[[#All],[PID]],0)),INDEX(Table3[[#All],[STM]],MATCH(Table5[[#This Row],[PID]],Table3[[#All],[PID]],0)))</f>
        <v>1</v>
      </c>
      <c r="Q819" s="61">
        <f>IF($C819="B",INDEX(Batters[[#All],[Tot]],MATCH(Table5[[#This Row],[PID]],Batters[[#All],[PID]],0)),INDEX(Table3[[#All],[Tot]],MATCH(Table5[[#This Row],[PID]],Table3[[#All],[PID]],0)))</f>
        <v>33.037677597517636</v>
      </c>
      <c r="R819" s="52">
        <f>IF($C819="B",INDEX(Batters[[#All],[zScore]],MATCH(Table5[[#This Row],[PID]],Batters[[#All],[PID]],0)),INDEX(Table3[[#All],[zScore]],MATCH(Table5[[#This Row],[PID]],Table3[[#All],[PID]],0)))</f>
        <v>-1.4618587206903482</v>
      </c>
      <c r="S819" s="58" t="str">
        <f>IF($C819="B",INDEX(Batters[[#All],[DEM]],MATCH(Table5[[#This Row],[PID]],Batters[[#All],[PID]],0)),INDEX(Table3[[#All],[DEM]],MATCH(Table5[[#This Row],[PID]],Table3[[#All],[PID]],0)))</f>
        <v>-</v>
      </c>
      <c r="T819" s="62">
        <f>IF($C819="B",INDEX(Batters[[#All],[Rnk]],MATCH(Table5[[#This Row],[PID]],Batters[[#All],[PID]],0)),INDEX(Table3[[#All],[Rnk]],MATCH(Table5[[#This Row],[PID]],Table3[[#All],[PID]],0)))</f>
        <v>900</v>
      </c>
      <c r="U819" s="67">
        <f>IF($C819="B",VLOOKUP($A819,Bat!$A$4:$BA$1314,47,FALSE),VLOOKUP($A819,Pit!$A$4:$BF$1214,56,FALSE))</f>
        <v>283</v>
      </c>
      <c r="V819" s="50">
        <f>IF($C819="B",VLOOKUP($A819,Bat!$A$4:$BA$1314,48,FALSE),VLOOKUP($A819,Pit!$A$4:$BF$1214,57,FALSE))</f>
        <v>0</v>
      </c>
      <c r="W819" s="68">
        <f>IF(Table5[[#This Row],[posRnk]]=999,9999,Table5[[#This Row],[posRnk]]+Table5[[#This Row],[zRnk]]+IF($W$3&lt;&gt;Table5[[#This Row],[Type]],50,0))</f>
        <v>1800</v>
      </c>
      <c r="X819" s="51">
        <f>RANK(Table5[[#This Row],[zScore]],Table5[[#All],[zScore]])</f>
        <v>850</v>
      </c>
      <c r="Y819" s="50" t="str">
        <f>IFERROR(INDEX(DraftResults[[#All],[OVR]],MATCH(Table5[[#This Row],[PID]],DraftResults[[#All],[Player ID]],0)),"")</f>
        <v/>
      </c>
      <c r="Z819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/>
      </c>
      <c r="AA819" s="50" t="str">
        <f>IFERROR(INDEX(DraftResults[[#All],[Pick in Round]],MATCH(Table5[[#This Row],[PID]],DraftResults[[#All],[Player ID]],0)),"")</f>
        <v/>
      </c>
      <c r="AB819" s="50" t="str">
        <f>IFERROR(INDEX(DraftResults[[#All],[Team Name]],MATCH(Table5[[#This Row],[PID]],DraftResults[[#All],[Player ID]],0)),"")</f>
        <v/>
      </c>
      <c r="AC819" s="50" t="str">
        <f>IF(Table5[[#This Row],[Ovr]]="","",IF(Table5[[#This Row],[cmbList]]="","",Table5[[#This Row],[cmbList]]-Table5[[#This Row],[Ovr]]))</f>
        <v/>
      </c>
      <c r="AD819" s="54" t="str">
        <f>IF(ISERROR(VLOOKUP($AB819&amp;"-"&amp;$E819&amp;" "&amp;F819,Bonuses!$B$1:$G$1006,4,FALSE)),"",INT(VLOOKUP($AB819&amp;"-"&amp;$E819&amp;" "&amp;$F819,Bonuses!$B$1:$G$1006,4,FALSE)))</f>
        <v/>
      </c>
      <c r="AE819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/>
      </c>
    </row>
    <row r="820" spans="1:31" s="50" customFormat="1" x14ac:dyDescent="0.3">
      <c r="A820" s="50">
        <v>12609</v>
      </c>
      <c r="B820" s="50">
        <f>COUNTIF(Table5[PID],A820)</f>
        <v>1</v>
      </c>
      <c r="C820" s="50" t="str">
        <f>IF(COUNTIF(Table3[[#All],[PID]],A820)&gt;0,"P","B")</f>
        <v>P</v>
      </c>
      <c r="D820" s="59" t="str">
        <f>IF($C820="B",INDEX(Batters[[#All],[POS]],MATCH(Table5[[#This Row],[PID]],Batters[[#All],[PID]],0)),INDEX(Table3[[#All],[POS]],MATCH(Table5[[#This Row],[PID]],Table3[[#All],[PID]],0)))</f>
        <v>RP</v>
      </c>
      <c r="E820" s="52" t="str">
        <f>IF($C820="B",INDEX(Batters[[#All],[First]],MATCH(Table5[[#This Row],[PID]],Batters[[#All],[PID]],0)),INDEX(Table3[[#All],[First]],MATCH(Table5[[#This Row],[PID]],Table3[[#All],[PID]],0)))</f>
        <v>Taisuke</v>
      </c>
      <c r="F820" s="50" t="str">
        <f>IF($C820="B",INDEX(Batters[[#All],[Last]],MATCH(A820,Batters[[#All],[PID]],0)),INDEX(Table3[[#All],[Last]],MATCH(A820,Table3[[#All],[PID]],0)))</f>
        <v>Kawasaki</v>
      </c>
      <c r="G820" s="56">
        <f>IF($C820="B",INDEX(Batters[[#All],[Age]],MATCH(Table5[[#This Row],[PID]],Batters[[#All],[PID]],0)),INDEX(Table3[[#All],[Age]],MATCH(Table5[[#This Row],[PID]],Table3[[#All],[PID]],0)))</f>
        <v>21</v>
      </c>
      <c r="H820" s="52" t="str">
        <f>IF($C820="B",INDEX(Batters[[#All],[B]],MATCH(Table5[[#This Row],[PID]],Batters[[#All],[PID]],0)),INDEX(Table3[[#All],[B]],MATCH(Table5[[#This Row],[PID]],Table3[[#All],[PID]],0)))</f>
        <v>R</v>
      </c>
      <c r="I820" s="52" t="str">
        <f>IF($C820="B",INDEX(Batters[[#All],[T]],MATCH(Table5[[#This Row],[PID]],Batters[[#All],[PID]],0)),INDEX(Table3[[#All],[T]],MATCH(Table5[[#This Row],[PID]],Table3[[#All],[PID]],0)))</f>
        <v>R</v>
      </c>
      <c r="J820" s="52" t="str">
        <f>IF($C820="B",INDEX(Batters[[#All],[WE]],MATCH(Table5[[#This Row],[PID]],Batters[[#All],[PID]],0)),INDEX(Table3[[#All],[WE]],MATCH(Table5[[#This Row],[PID]],Table3[[#All],[PID]],0)))</f>
        <v>Low</v>
      </c>
      <c r="K820" s="52" t="str">
        <f>IF($C820="B",INDEX(Batters[[#All],[INT]],MATCH(Table5[[#This Row],[PID]],Batters[[#All],[PID]],0)),INDEX(Table3[[#All],[INT]],MATCH(Table5[[#This Row],[PID]],Table3[[#All],[PID]],0)))</f>
        <v>Low</v>
      </c>
      <c r="L820" s="60">
        <f>IF($C820="B",INDEX(Batters[[#All],[CON P]],MATCH(Table5[[#This Row],[PID]],Batters[[#All],[PID]],0)),INDEX(Table3[[#All],[STU P]],MATCH(Table5[[#This Row],[PID]],Table3[[#All],[PID]],0)))</f>
        <v>3</v>
      </c>
      <c r="M820" s="56">
        <f>IF($C820="B",INDEX(Batters[[#All],[GAP P]],MATCH(Table5[[#This Row],[PID]],Batters[[#All],[PID]],0)),INDEX(Table3[[#All],[MOV P]],MATCH(Table5[[#This Row],[PID]],Table3[[#All],[PID]],0)))</f>
        <v>1</v>
      </c>
      <c r="N820" s="56">
        <f>IF($C820="B",INDEX(Batters[[#All],[POW P]],MATCH(Table5[[#This Row],[PID]],Batters[[#All],[PID]],0)),INDEX(Table3[[#All],[CON P]],MATCH(Table5[[#This Row],[PID]],Table3[[#All],[PID]],0)))</f>
        <v>3</v>
      </c>
      <c r="O820" s="56" t="str">
        <f>IF($C820="B",INDEX(Batters[[#All],[EYE P]],MATCH(Table5[[#This Row],[PID]],Batters[[#All],[PID]],0)),INDEX(Table3[[#All],[VELO]],MATCH(Table5[[#This Row],[PID]],Table3[[#All],[PID]],0)))</f>
        <v>85-87 Mph</v>
      </c>
      <c r="P820" s="56">
        <f>IF($C820="B",INDEX(Batters[[#All],[K P]],MATCH(Table5[[#This Row],[PID]],Batters[[#All],[PID]],0)),INDEX(Table3[[#All],[STM]],MATCH(Table5[[#This Row],[PID]],Table3[[#All],[PID]],0)))</f>
        <v>8</v>
      </c>
      <c r="Q820" s="61">
        <f>IF($C820="B",INDEX(Batters[[#All],[Tot]],MATCH(Table5[[#This Row],[PID]],Batters[[#All],[PID]],0)),INDEX(Table3[[#All],[Tot]],MATCH(Table5[[#This Row],[PID]],Table3[[#All],[PID]],0)))</f>
        <v>22.324901838017968</v>
      </c>
      <c r="R820" s="52">
        <f>IF($C820="B",INDEX(Batters[[#All],[zScore]],MATCH(Table5[[#This Row],[PID]],Batters[[#All],[PID]],0)),INDEX(Table3[[#All],[zScore]],MATCH(Table5[[#This Row],[PID]],Table3[[#All],[PID]],0)))</f>
        <v>-1.1021197221239709</v>
      </c>
      <c r="S820" s="58" t="str">
        <f>IF($C820="B",INDEX(Batters[[#All],[DEM]],MATCH(Table5[[#This Row],[PID]],Batters[[#All],[PID]],0)),INDEX(Table3[[#All],[DEM]],MATCH(Table5[[#This Row],[PID]],Table3[[#All],[PID]],0)))</f>
        <v>-</v>
      </c>
      <c r="T820" s="62">
        <f>IF($C820="B",INDEX(Batters[[#All],[Rnk]],MATCH(Table5[[#This Row],[PID]],Batters[[#All],[PID]],0)),INDEX(Table3[[#All],[Rnk]],MATCH(Table5[[#This Row],[PID]],Table3[[#All],[PID]],0)))</f>
        <v>950</v>
      </c>
      <c r="U820" s="67">
        <f>IF($C820="B",VLOOKUP($A820,Bat!$A$4:$BA$1314,47,FALSE),VLOOKUP($A820,Pit!$A$4:$BF$1214,56,FALSE))</f>
        <v>427</v>
      </c>
      <c r="V820" s="50">
        <f>IF($C820="B",VLOOKUP($A820,Bat!$A$4:$BA$1314,48,FALSE),VLOOKUP($A820,Pit!$A$4:$BF$1214,57,FALSE))</f>
        <v>0</v>
      </c>
      <c r="W820" s="68">
        <f>IF(Table5[[#This Row],[posRnk]]=999,9999,Table5[[#This Row],[posRnk]]+Table5[[#This Row],[zRnk]]+IF($W$3&lt;&gt;Table5[[#This Row],[Type]],50,0))</f>
        <v>1751</v>
      </c>
      <c r="X820" s="51">
        <f>RANK(Table5[[#This Row],[zScore]],Table5[[#All],[zScore]])</f>
        <v>801</v>
      </c>
      <c r="Y820" s="50">
        <f>IFERROR(INDEX(DraftResults[[#All],[OVR]],MATCH(Table5[[#This Row],[PID]],DraftResults[[#All],[Player ID]],0)),"")</f>
        <v>651</v>
      </c>
      <c r="Z820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20</v>
      </c>
      <c r="AA820" s="50">
        <f>IFERROR(INDEX(DraftResults[[#All],[Pick in Round]],MATCH(Table5[[#This Row],[PID]],DraftResults[[#All],[Player ID]],0)),"")</f>
        <v>14</v>
      </c>
      <c r="AB820" s="50" t="str">
        <f>IFERROR(INDEX(DraftResults[[#All],[Team Name]],MATCH(Table5[[#This Row],[PID]],DraftResults[[#All],[Player ID]],0)),"")</f>
        <v>San Antonio Calzones of Laredo</v>
      </c>
      <c r="AC820" s="50">
        <f>IF(Table5[[#This Row],[Ovr]]="","",IF(Table5[[#This Row],[cmbList]]="","",Table5[[#This Row],[cmbList]]-Table5[[#This Row],[Ovr]]))</f>
        <v>1100</v>
      </c>
      <c r="AD820" s="54" t="str">
        <f>IF(ISERROR(VLOOKUP($AB820&amp;"-"&amp;$E820&amp;" "&amp;F820,Bonuses!$B$1:$G$1006,4,FALSE)),"",INT(VLOOKUP($AB820&amp;"-"&amp;$E820&amp;" "&amp;$F820,Bonuses!$B$1:$G$1006,4,FALSE)))</f>
        <v/>
      </c>
      <c r="AE820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20.14 (651) - RP Taisuke Kawasaki</v>
      </c>
    </row>
    <row r="821" spans="1:31" s="50" customFormat="1" x14ac:dyDescent="0.3">
      <c r="A821" s="50">
        <v>16908</v>
      </c>
      <c r="B821" s="50">
        <f>COUNTIF(Table5[PID],A821)</f>
        <v>1</v>
      </c>
      <c r="C821" s="50" t="str">
        <f>IF(COUNTIF(Table3[[#All],[PID]],A821)&gt;0,"P","B")</f>
        <v>B</v>
      </c>
      <c r="D821" s="59" t="str">
        <f>IF($C821="B",INDEX(Batters[[#All],[POS]],MATCH(Table5[[#This Row],[PID]],Batters[[#All],[PID]],0)),INDEX(Table3[[#All],[POS]],MATCH(Table5[[#This Row],[PID]],Table3[[#All],[PID]],0)))</f>
        <v>C</v>
      </c>
      <c r="E821" s="52" t="str">
        <f>IF($C821="B",INDEX(Batters[[#All],[First]],MATCH(Table5[[#This Row],[PID]],Batters[[#All],[PID]],0)),INDEX(Table3[[#All],[First]],MATCH(Table5[[#This Row],[PID]],Table3[[#All],[PID]],0)))</f>
        <v>Otis</v>
      </c>
      <c r="F821" s="50" t="str">
        <f>IF($C821="B",INDEX(Batters[[#All],[Last]],MATCH(A821,Batters[[#All],[PID]],0)),INDEX(Table3[[#All],[Last]],MATCH(A821,Table3[[#All],[PID]],0)))</f>
        <v>Barnes</v>
      </c>
      <c r="G821" s="56">
        <f>IF($C821="B",INDEX(Batters[[#All],[Age]],MATCH(Table5[[#This Row],[PID]],Batters[[#All],[PID]],0)),INDEX(Table3[[#All],[Age]],MATCH(Table5[[#This Row],[PID]],Table3[[#All],[PID]],0)))</f>
        <v>22</v>
      </c>
      <c r="H821" s="52" t="str">
        <f>IF($C821="B",INDEX(Batters[[#All],[B]],MATCH(Table5[[#This Row],[PID]],Batters[[#All],[PID]],0)),INDEX(Table3[[#All],[B]],MATCH(Table5[[#This Row],[PID]],Table3[[#All],[PID]],0)))</f>
        <v>R</v>
      </c>
      <c r="I821" s="52" t="str">
        <f>IF($C821="B",INDEX(Batters[[#All],[T]],MATCH(Table5[[#This Row],[PID]],Batters[[#All],[PID]],0)),INDEX(Table3[[#All],[T]],MATCH(Table5[[#This Row],[PID]],Table3[[#All],[PID]],0)))</f>
        <v>R</v>
      </c>
      <c r="J821" s="52" t="str">
        <f>IF($C821="B",INDEX(Batters[[#All],[WE]],MATCH(Table5[[#This Row],[PID]],Batters[[#All],[PID]],0)),INDEX(Table3[[#All],[WE]],MATCH(Table5[[#This Row],[PID]],Table3[[#All],[PID]],0)))</f>
        <v>Normal</v>
      </c>
      <c r="K821" s="52" t="str">
        <f>IF($C821="B",INDEX(Batters[[#All],[INT]],MATCH(Table5[[#This Row],[PID]],Batters[[#All],[PID]],0)),INDEX(Table3[[#All],[INT]],MATCH(Table5[[#This Row],[PID]],Table3[[#All],[PID]],0)))</f>
        <v>Normal</v>
      </c>
      <c r="L821" s="60">
        <f>IF($C821="B",INDEX(Batters[[#All],[CON P]],MATCH(Table5[[#This Row],[PID]],Batters[[#All],[PID]],0)),INDEX(Table3[[#All],[STU P]],MATCH(Table5[[#This Row],[PID]],Table3[[#All],[PID]],0)))</f>
        <v>2</v>
      </c>
      <c r="M821" s="56">
        <f>IF($C821="B",INDEX(Batters[[#All],[GAP P]],MATCH(Table5[[#This Row],[PID]],Batters[[#All],[PID]],0)),INDEX(Table3[[#All],[MOV P]],MATCH(Table5[[#This Row],[PID]],Table3[[#All],[PID]],0)))</f>
        <v>3</v>
      </c>
      <c r="N821" s="56">
        <f>IF($C821="B",INDEX(Batters[[#All],[POW P]],MATCH(Table5[[#This Row],[PID]],Batters[[#All],[PID]],0)),INDEX(Table3[[#All],[CON P]],MATCH(Table5[[#This Row],[PID]],Table3[[#All],[PID]],0)))</f>
        <v>3</v>
      </c>
      <c r="O821" s="56">
        <f>IF($C821="B",INDEX(Batters[[#All],[EYE P]],MATCH(Table5[[#This Row],[PID]],Batters[[#All],[PID]],0)),INDEX(Table3[[#All],[VELO]],MATCH(Table5[[#This Row],[PID]],Table3[[#All],[PID]],0)))</f>
        <v>4</v>
      </c>
      <c r="P821" s="56">
        <f>IF($C821="B",INDEX(Batters[[#All],[K P]],MATCH(Table5[[#This Row],[PID]],Batters[[#All],[PID]],0)),INDEX(Table3[[#All],[STM]],MATCH(Table5[[#This Row],[PID]],Table3[[#All],[PID]],0)))</f>
        <v>3</v>
      </c>
      <c r="Q821" s="61">
        <f>IF($C821="B",INDEX(Batters[[#All],[Tot]],MATCH(Table5[[#This Row],[PID]],Batters[[#All],[PID]],0)),INDEX(Table3[[#All],[Tot]],MATCH(Table5[[#This Row],[PID]],Table3[[#All],[PID]],0)))</f>
        <v>33.156347517261132</v>
      </c>
      <c r="R821" s="52">
        <f>IF($C821="B",INDEX(Batters[[#All],[zScore]],MATCH(Table5[[#This Row],[PID]],Batters[[#All],[PID]],0)),INDEX(Table3[[#All],[zScore]],MATCH(Table5[[#This Row],[PID]],Table3[[#All],[PID]],0)))</f>
        <v>-1.4687519987215827</v>
      </c>
      <c r="S821" s="58" t="str">
        <f>IF($C821="B",INDEX(Batters[[#All],[DEM]],MATCH(Table5[[#This Row],[PID]],Batters[[#All],[PID]],0)),INDEX(Table3[[#All],[DEM]],MATCH(Table5[[#This Row],[PID]],Table3[[#All],[PID]],0)))</f>
        <v>-</v>
      </c>
      <c r="T821" s="62">
        <f>IF($C821="B",INDEX(Batters[[#All],[Rnk]],MATCH(Table5[[#This Row],[PID]],Batters[[#All],[PID]],0)),INDEX(Table3[[#All],[Rnk]],MATCH(Table5[[#This Row],[PID]],Table3[[#All],[PID]],0)))</f>
        <v>900</v>
      </c>
      <c r="U821" s="67">
        <f>IF($C821="B",VLOOKUP($A821,Bat!$A$4:$BA$1314,47,FALSE),VLOOKUP($A821,Pit!$A$4:$BF$1214,56,FALSE))</f>
        <v>285</v>
      </c>
      <c r="V821" s="50">
        <f>IF($C821="B",VLOOKUP($A821,Bat!$A$4:$BA$1314,48,FALSE),VLOOKUP($A821,Pit!$A$4:$BF$1214,57,FALSE))</f>
        <v>0</v>
      </c>
      <c r="W821" s="68">
        <f>IF(Table5[[#This Row],[posRnk]]=999,9999,Table5[[#This Row],[posRnk]]+Table5[[#This Row],[zRnk]]+IF($W$3&lt;&gt;Table5[[#This Row],[Type]],50,0))</f>
        <v>1802</v>
      </c>
      <c r="X821" s="51">
        <f>RANK(Table5[[#This Row],[zScore]],Table5[[#All],[zScore]])</f>
        <v>852</v>
      </c>
      <c r="Y821" s="50" t="str">
        <f>IFERROR(INDEX(DraftResults[[#All],[OVR]],MATCH(Table5[[#This Row],[PID]],DraftResults[[#All],[Player ID]],0)),"")</f>
        <v/>
      </c>
      <c r="Z821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/>
      </c>
      <c r="AA821" s="50" t="str">
        <f>IFERROR(INDEX(DraftResults[[#All],[Pick in Round]],MATCH(Table5[[#This Row],[PID]],DraftResults[[#All],[Player ID]],0)),"")</f>
        <v/>
      </c>
      <c r="AB821" s="50" t="str">
        <f>IFERROR(INDEX(DraftResults[[#All],[Team Name]],MATCH(Table5[[#This Row],[PID]],DraftResults[[#All],[Player ID]],0)),"")</f>
        <v/>
      </c>
      <c r="AC821" s="50" t="str">
        <f>IF(Table5[[#This Row],[Ovr]]="","",IF(Table5[[#This Row],[cmbList]]="","",Table5[[#This Row],[cmbList]]-Table5[[#This Row],[Ovr]]))</f>
        <v/>
      </c>
      <c r="AD821" s="54" t="str">
        <f>IF(ISERROR(VLOOKUP($AB821&amp;"-"&amp;$E821&amp;" "&amp;F821,Bonuses!$B$1:$G$1006,4,FALSE)),"",INT(VLOOKUP($AB821&amp;"-"&amp;$E821&amp;" "&amp;$F821,Bonuses!$B$1:$G$1006,4,FALSE)))</f>
        <v/>
      </c>
      <c r="AE821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/>
      </c>
    </row>
    <row r="822" spans="1:31" s="50" customFormat="1" x14ac:dyDescent="0.3">
      <c r="A822" s="50">
        <v>10927</v>
      </c>
      <c r="B822" s="50">
        <f>COUNTIF(Table5[PID],A822)</f>
        <v>1</v>
      </c>
      <c r="C822" s="50" t="str">
        <f>IF(COUNTIF(Table3[[#All],[PID]],A822)&gt;0,"P","B")</f>
        <v>P</v>
      </c>
      <c r="D822" s="59" t="str">
        <f>IF($C822="B",INDEX(Batters[[#All],[POS]],MATCH(Table5[[#This Row],[PID]],Batters[[#All],[PID]],0)),INDEX(Table3[[#All],[POS]],MATCH(Table5[[#This Row],[PID]],Table3[[#All],[PID]],0)))</f>
        <v>RP</v>
      </c>
      <c r="E822" s="52" t="str">
        <f>IF($C822="B",INDEX(Batters[[#All],[First]],MATCH(Table5[[#This Row],[PID]],Batters[[#All],[PID]],0)),INDEX(Table3[[#All],[First]],MATCH(Table5[[#This Row],[PID]],Table3[[#All],[PID]],0)))</f>
        <v>Takanori</v>
      </c>
      <c r="F822" s="50" t="str">
        <f>IF($C822="B",INDEX(Batters[[#All],[Last]],MATCH(A822,Batters[[#All],[PID]],0)),INDEX(Table3[[#All],[Last]],MATCH(A822,Table3[[#All],[PID]],0)))</f>
        <v>Miyamoto</v>
      </c>
      <c r="G822" s="56">
        <f>IF($C822="B",INDEX(Batters[[#All],[Age]],MATCH(Table5[[#This Row],[PID]],Batters[[#All],[PID]],0)),INDEX(Table3[[#All],[Age]],MATCH(Table5[[#This Row],[PID]],Table3[[#All],[PID]],0)))</f>
        <v>21</v>
      </c>
      <c r="H822" s="52" t="str">
        <f>IF($C822="B",INDEX(Batters[[#All],[B]],MATCH(Table5[[#This Row],[PID]],Batters[[#All],[PID]],0)),INDEX(Table3[[#All],[B]],MATCH(Table5[[#This Row],[PID]],Table3[[#All],[PID]],0)))</f>
        <v>S</v>
      </c>
      <c r="I822" s="52" t="str">
        <f>IF($C822="B",INDEX(Batters[[#All],[T]],MATCH(Table5[[#This Row],[PID]],Batters[[#All],[PID]],0)),INDEX(Table3[[#All],[T]],MATCH(Table5[[#This Row],[PID]],Table3[[#All],[PID]],0)))</f>
        <v>R</v>
      </c>
      <c r="J822" s="52" t="str">
        <f>IF($C822="B",INDEX(Batters[[#All],[WE]],MATCH(Table5[[#This Row],[PID]],Batters[[#All],[PID]],0)),INDEX(Table3[[#All],[WE]],MATCH(Table5[[#This Row],[PID]],Table3[[#All],[PID]],0)))</f>
        <v>Low</v>
      </c>
      <c r="K822" s="52" t="str">
        <f>IF($C822="B",INDEX(Batters[[#All],[INT]],MATCH(Table5[[#This Row],[PID]],Batters[[#All],[PID]],0)),INDEX(Table3[[#All],[INT]],MATCH(Table5[[#This Row],[PID]],Table3[[#All],[PID]],0)))</f>
        <v>Normal</v>
      </c>
      <c r="L822" s="60">
        <f>IF($C822="B",INDEX(Batters[[#All],[CON P]],MATCH(Table5[[#This Row],[PID]],Batters[[#All],[PID]],0)),INDEX(Table3[[#All],[STU P]],MATCH(Table5[[#This Row],[PID]],Table3[[#All],[PID]],0)))</f>
        <v>4</v>
      </c>
      <c r="M822" s="56">
        <f>IF($C822="B",INDEX(Batters[[#All],[GAP P]],MATCH(Table5[[#This Row],[PID]],Batters[[#All],[PID]],0)),INDEX(Table3[[#All],[MOV P]],MATCH(Table5[[#This Row],[PID]],Table3[[#All],[PID]],0)))</f>
        <v>1</v>
      </c>
      <c r="N822" s="56">
        <f>IF($C822="B",INDEX(Batters[[#All],[POW P]],MATCH(Table5[[#This Row],[PID]],Batters[[#All],[PID]],0)),INDEX(Table3[[#All],[CON P]],MATCH(Table5[[#This Row],[PID]],Table3[[#All],[PID]],0)))</f>
        <v>2</v>
      </c>
      <c r="O822" s="56" t="str">
        <f>IF($C822="B",INDEX(Batters[[#All],[EYE P]],MATCH(Table5[[#This Row],[PID]],Batters[[#All],[PID]],0)),INDEX(Table3[[#All],[VELO]],MATCH(Table5[[#This Row],[PID]],Table3[[#All],[PID]],0)))</f>
        <v>89-91 Mph</v>
      </c>
      <c r="P822" s="56">
        <f>IF($C822="B",INDEX(Batters[[#All],[K P]],MATCH(Table5[[#This Row],[PID]],Batters[[#All],[PID]],0)),INDEX(Table3[[#All],[STM]],MATCH(Table5[[#This Row],[PID]],Table3[[#All],[PID]],0)))</f>
        <v>6</v>
      </c>
      <c r="Q822" s="61">
        <f>IF($C822="B",INDEX(Batters[[#All],[Tot]],MATCH(Table5[[#This Row],[PID]],Batters[[#All],[PID]],0)),INDEX(Table3[[#All],[Tot]],MATCH(Table5[[#This Row],[PID]],Table3[[#All],[PID]],0)))</f>
        <v>21.015323902722141</v>
      </c>
      <c r="R822" s="52">
        <f>IF($C822="B",INDEX(Batters[[#All],[zScore]],MATCH(Table5[[#This Row],[PID]],Batters[[#All],[PID]],0)),INDEX(Table3[[#All],[zScore]],MATCH(Table5[[#This Row],[PID]],Table3[[#All],[PID]],0)))</f>
        <v>-1.1953708812123043</v>
      </c>
      <c r="S822" s="58" t="str">
        <f>IF($C822="B",INDEX(Batters[[#All],[DEM]],MATCH(Table5[[#This Row],[PID]],Batters[[#All],[PID]],0)),INDEX(Table3[[#All],[DEM]],MATCH(Table5[[#This Row],[PID]],Table3[[#All],[PID]],0)))</f>
        <v>-</v>
      </c>
      <c r="T822" s="62">
        <f>IF($C822="B",INDEX(Batters[[#All],[Rnk]],MATCH(Table5[[#This Row],[PID]],Batters[[#All],[PID]],0)),INDEX(Table3[[#All],[Rnk]],MATCH(Table5[[#This Row],[PID]],Table3[[#All],[PID]],0)))</f>
        <v>930</v>
      </c>
      <c r="U822" s="67">
        <f>IF($C822="B",VLOOKUP($A822,Bat!$A$4:$BA$1314,47,FALSE),VLOOKUP($A822,Pit!$A$4:$BF$1214,56,FALSE))</f>
        <v>373</v>
      </c>
      <c r="V822" s="50">
        <f>IF($C822="B",VLOOKUP($A822,Bat!$A$4:$BA$1314,48,FALSE),VLOOKUP($A822,Pit!$A$4:$BF$1214,57,FALSE))</f>
        <v>0</v>
      </c>
      <c r="W822" s="68">
        <f>IF(Table5[[#This Row],[posRnk]]=999,9999,Table5[[#This Row],[posRnk]]+Table5[[#This Row],[zRnk]]+IF($W$3&lt;&gt;Table5[[#This Row],[Type]],50,0))</f>
        <v>1752</v>
      </c>
      <c r="X822" s="51">
        <f>RANK(Table5[[#This Row],[zScore]],Table5[[#All],[zScore]])</f>
        <v>822</v>
      </c>
      <c r="Y822" s="50" t="str">
        <f>IFERROR(INDEX(DraftResults[[#All],[OVR]],MATCH(Table5[[#This Row],[PID]],DraftResults[[#All],[Player ID]],0)),"")</f>
        <v/>
      </c>
      <c r="Z822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/>
      </c>
      <c r="AA822" s="50" t="str">
        <f>IFERROR(INDEX(DraftResults[[#All],[Pick in Round]],MATCH(Table5[[#This Row],[PID]],DraftResults[[#All],[Player ID]],0)),"")</f>
        <v/>
      </c>
      <c r="AB822" s="50" t="str">
        <f>IFERROR(INDEX(DraftResults[[#All],[Team Name]],MATCH(Table5[[#This Row],[PID]],DraftResults[[#All],[Player ID]],0)),"")</f>
        <v/>
      </c>
      <c r="AC822" s="50" t="str">
        <f>IF(Table5[[#This Row],[Ovr]]="","",IF(Table5[[#This Row],[cmbList]]="","",Table5[[#This Row],[cmbList]]-Table5[[#This Row],[Ovr]]))</f>
        <v/>
      </c>
      <c r="AD822" s="54" t="str">
        <f>IF(ISERROR(VLOOKUP($AB822&amp;"-"&amp;$E822&amp;" "&amp;F822,Bonuses!$B$1:$G$1006,4,FALSE)),"",INT(VLOOKUP($AB822&amp;"-"&amp;$E822&amp;" "&amp;$F822,Bonuses!$B$1:$G$1006,4,FALSE)))</f>
        <v/>
      </c>
      <c r="AE822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/>
      </c>
    </row>
    <row r="823" spans="1:31" s="50" customFormat="1" x14ac:dyDescent="0.3">
      <c r="A823" s="50">
        <v>11875</v>
      </c>
      <c r="B823" s="50">
        <f>COUNTIF(Table5[PID],A823)</f>
        <v>1</v>
      </c>
      <c r="C823" s="50" t="str">
        <f>IF(COUNTIF(Table3[[#All],[PID]],A823)&gt;0,"P","B")</f>
        <v>B</v>
      </c>
      <c r="D823" s="59" t="str">
        <f>IF($C823="B",INDEX(Batters[[#All],[POS]],MATCH(Table5[[#This Row],[PID]],Batters[[#All],[PID]],0)),INDEX(Table3[[#All],[POS]],MATCH(Table5[[#This Row],[PID]],Table3[[#All],[PID]],0)))</f>
        <v>SS</v>
      </c>
      <c r="E823" s="52" t="str">
        <f>IF($C823="B",INDEX(Batters[[#All],[First]],MATCH(Table5[[#This Row],[PID]],Batters[[#All],[PID]],0)),INDEX(Table3[[#All],[First]],MATCH(Table5[[#This Row],[PID]],Table3[[#All],[PID]],0)))</f>
        <v>Yoshiyuki</v>
      </c>
      <c r="F823" s="50" t="str">
        <f>IF($C823="B",INDEX(Batters[[#All],[Last]],MATCH(A823,Batters[[#All],[PID]],0)),INDEX(Table3[[#All],[Last]],MATCH(A823,Table3[[#All],[PID]],0)))</f>
        <v>Sato</v>
      </c>
      <c r="G823" s="56">
        <f>IF($C823="B",INDEX(Batters[[#All],[Age]],MATCH(Table5[[#This Row],[PID]],Batters[[#All],[PID]],0)),INDEX(Table3[[#All],[Age]],MATCH(Table5[[#This Row],[PID]],Table3[[#All],[PID]],0)))</f>
        <v>22</v>
      </c>
      <c r="H823" s="52" t="str">
        <f>IF($C823="B",INDEX(Batters[[#All],[B]],MATCH(Table5[[#This Row],[PID]],Batters[[#All],[PID]],0)),INDEX(Table3[[#All],[B]],MATCH(Table5[[#This Row],[PID]],Table3[[#All],[PID]],0)))</f>
        <v>R</v>
      </c>
      <c r="I823" s="52" t="str">
        <f>IF($C823="B",INDEX(Batters[[#All],[T]],MATCH(Table5[[#This Row],[PID]],Batters[[#All],[PID]],0)),INDEX(Table3[[#All],[T]],MATCH(Table5[[#This Row],[PID]],Table3[[#All],[PID]],0)))</f>
        <v>R</v>
      </c>
      <c r="J823" s="52" t="str">
        <f>IF($C823="B",INDEX(Batters[[#All],[WE]],MATCH(Table5[[#This Row],[PID]],Batters[[#All],[PID]],0)),INDEX(Table3[[#All],[WE]],MATCH(Table5[[#This Row],[PID]],Table3[[#All],[PID]],0)))</f>
        <v>Low</v>
      </c>
      <c r="K823" s="52" t="str">
        <f>IF($C823="B",INDEX(Batters[[#All],[INT]],MATCH(Table5[[#This Row],[PID]],Batters[[#All],[PID]],0)),INDEX(Table3[[#All],[INT]],MATCH(Table5[[#This Row],[PID]],Table3[[#All],[PID]],0)))</f>
        <v>Normal</v>
      </c>
      <c r="L823" s="60">
        <f>IF($C823="B",INDEX(Batters[[#All],[CON P]],MATCH(Table5[[#This Row],[PID]],Batters[[#All],[PID]],0)),INDEX(Table3[[#All],[STU P]],MATCH(Table5[[#This Row],[PID]],Table3[[#All],[PID]],0)))</f>
        <v>3</v>
      </c>
      <c r="M823" s="56">
        <f>IF($C823="B",INDEX(Batters[[#All],[GAP P]],MATCH(Table5[[#This Row],[PID]],Batters[[#All],[PID]],0)),INDEX(Table3[[#All],[MOV P]],MATCH(Table5[[#This Row],[PID]],Table3[[#All],[PID]],0)))</f>
        <v>2</v>
      </c>
      <c r="N823" s="56">
        <f>IF($C823="B",INDEX(Batters[[#All],[POW P]],MATCH(Table5[[#This Row],[PID]],Batters[[#All],[PID]],0)),INDEX(Table3[[#All],[CON P]],MATCH(Table5[[#This Row],[PID]],Table3[[#All],[PID]],0)))</f>
        <v>2</v>
      </c>
      <c r="O823" s="56">
        <f>IF($C823="B",INDEX(Batters[[#All],[EYE P]],MATCH(Table5[[#This Row],[PID]],Batters[[#All],[PID]],0)),INDEX(Table3[[#All],[VELO]],MATCH(Table5[[#This Row],[PID]],Table3[[#All],[PID]],0)))</f>
        <v>5</v>
      </c>
      <c r="P823" s="56">
        <f>IF($C823="B",INDEX(Batters[[#All],[K P]],MATCH(Table5[[#This Row],[PID]],Batters[[#All],[PID]],0)),INDEX(Table3[[#All],[STM]],MATCH(Table5[[#This Row],[PID]],Table3[[#All],[PID]],0)))</f>
        <v>5</v>
      </c>
      <c r="Q823" s="61">
        <f>IF($C823="B",INDEX(Batters[[#All],[Tot]],MATCH(Table5[[#This Row],[PID]],Batters[[#All],[PID]],0)),INDEX(Table3[[#All],[Tot]],MATCH(Table5[[#This Row],[PID]],Table3[[#All],[PID]],0)))</f>
        <v>34.978697630291592</v>
      </c>
      <c r="R823" s="52">
        <f>IF($C823="B",INDEX(Batters[[#All],[zScore]],MATCH(Table5[[#This Row],[PID]],Batters[[#All],[PID]],0)),INDEX(Table3[[#All],[zScore]],MATCH(Table5[[#This Row],[PID]],Table3[[#All],[PID]],0)))</f>
        <v>-1.2027469976072529</v>
      </c>
      <c r="S823" s="58" t="str">
        <f>IF($C823="B",INDEX(Batters[[#All],[DEM]],MATCH(Table5[[#This Row],[PID]],Batters[[#All],[PID]],0)),INDEX(Table3[[#All],[DEM]],MATCH(Table5[[#This Row],[PID]],Table3[[#All],[PID]],0)))</f>
        <v>-</v>
      </c>
      <c r="T823" s="62">
        <f>IF($C823="B",INDEX(Batters[[#All],[Rnk]],MATCH(Table5[[#This Row],[PID]],Batters[[#All],[PID]],0)),INDEX(Table3[[#All],[Rnk]],MATCH(Table5[[#This Row],[PID]],Table3[[#All],[PID]],0)))</f>
        <v>930</v>
      </c>
      <c r="U823" s="67">
        <f>IF($C823="B",VLOOKUP($A823,Bat!$A$4:$BA$1314,47,FALSE),VLOOKUP($A823,Pit!$A$4:$BF$1214,56,FALSE))</f>
        <v>388</v>
      </c>
      <c r="V823" s="50">
        <f>IF($C823="B",VLOOKUP($A823,Bat!$A$4:$BA$1314,48,FALSE),VLOOKUP($A823,Pit!$A$4:$BF$1214,57,FALSE))</f>
        <v>0</v>
      </c>
      <c r="W823" s="68">
        <f>IF(Table5[[#This Row],[posRnk]]=999,9999,Table5[[#This Row],[posRnk]]+Table5[[#This Row],[zRnk]]+IF($W$3&lt;&gt;Table5[[#This Row],[Type]],50,0))</f>
        <v>1803</v>
      </c>
      <c r="X823" s="51">
        <f>RANK(Table5[[#This Row],[zScore]],Table5[[#All],[zScore]])</f>
        <v>823</v>
      </c>
      <c r="Y823" s="50">
        <f>IFERROR(INDEX(DraftResults[[#All],[OVR]],MATCH(Table5[[#This Row],[PID]],DraftResults[[#All],[Player ID]],0)),"")</f>
        <v>401</v>
      </c>
      <c r="Z823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13</v>
      </c>
      <c r="AA823" s="50">
        <f>IFERROR(INDEX(DraftResults[[#All],[Pick in Round]],MATCH(Table5[[#This Row],[PID]],DraftResults[[#All],[Player ID]],0)),"")</f>
        <v>2</v>
      </c>
      <c r="AB823" s="50" t="str">
        <f>IFERROR(INDEX(DraftResults[[#All],[Team Name]],MATCH(Table5[[#This Row],[PID]],DraftResults[[#All],[Player ID]],0)),"")</f>
        <v>Charleston Statesmen</v>
      </c>
      <c r="AC823" s="50">
        <f>IF(Table5[[#This Row],[Ovr]]="","",IF(Table5[[#This Row],[cmbList]]="","",Table5[[#This Row],[cmbList]]-Table5[[#This Row],[Ovr]]))</f>
        <v>1402</v>
      </c>
      <c r="AD823" s="54" t="str">
        <f>IF(ISERROR(VLOOKUP($AB823&amp;"-"&amp;$E823&amp;" "&amp;F823,Bonuses!$B$1:$G$1006,4,FALSE)),"",INT(VLOOKUP($AB823&amp;"-"&amp;$E823&amp;" "&amp;$F823,Bonuses!$B$1:$G$1006,4,FALSE)))</f>
        <v/>
      </c>
      <c r="AE823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13.2 (401) - SS Yoshiyuki Sato</v>
      </c>
    </row>
    <row r="824" spans="1:31" s="50" customFormat="1" x14ac:dyDescent="0.3">
      <c r="A824" s="50">
        <v>16936</v>
      </c>
      <c r="B824" s="50">
        <f>COUNTIF(Table5[PID],A824)</f>
        <v>1</v>
      </c>
      <c r="C824" s="50" t="str">
        <f>IF(COUNTIF(Table3[[#All],[PID]],A824)&gt;0,"P","B")</f>
        <v>B</v>
      </c>
      <c r="D824" s="59" t="str">
        <f>IF($C824="B",INDEX(Batters[[#All],[POS]],MATCH(Table5[[#This Row],[PID]],Batters[[#All],[PID]],0)),INDEX(Table3[[#All],[POS]],MATCH(Table5[[#This Row],[PID]],Table3[[#All],[PID]],0)))</f>
        <v>1B</v>
      </c>
      <c r="E824" s="52" t="str">
        <f>IF($C824="B",INDEX(Batters[[#All],[First]],MATCH(Table5[[#This Row],[PID]],Batters[[#All],[PID]],0)),INDEX(Table3[[#All],[First]],MATCH(Table5[[#This Row],[PID]],Table3[[#All],[PID]],0)))</f>
        <v>Pat</v>
      </c>
      <c r="F824" s="50" t="str">
        <f>IF($C824="B",INDEX(Batters[[#All],[Last]],MATCH(A824,Batters[[#All],[PID]],0)),INDEX(Table3[[#All],[Last]],MATCH(A824,Table3[[#All],[PID]],0)))</f>
        <v>Cox</v>
      </c>
      <c r="G824" s="56">
        <f>IF($C824="B",INDEX(Batters[[#All],[Age]],MATCH(Table5[[#This Row],[PID]],Batters[[#All],[PID]],0)),INDEX(Table3[[#All],[Age]],MATCH(Table5[[#This Row],[PID]],Table3[[#All],[PID]],0)))</f>
        <v>22</v>
      </c>
      <c r="H824" s="52" t="str">
        <f>IF($C824="B",INDEX(Batters[[#All],[B]],MATCH(Table5[[#This Row],[PID]],Batters[[#All],[PID]],0)),INDEX(Table3[[#All],[B]],MATCH(Table5[[#This Row],[PID]],Table3[[#All],[PID]],0)))</f>
        <v>R</v>
      </c>
      <c r="I824" s="52" t="str">
        <f>IF($C824="B",INDEX(Batters[[#All],[T]],MATCH(Table5[[#This Row],[PID]],Batters[[#All],[PID]],0)),INDEX(Table3[[#All],[T]],MATCH(Table5[[#This Row],[PID]],Table3[[#All],[PID]],0)))</f>
        <v>R</v>
      </c>
      <c r="J824" s="52" t="str">
        <f>IF($C824="B",INDEX(Batters[[#All],[WE]],MATCH(Table5[[#This Row],[PID]],Batters[[#All],[PID]],0)),INDEX(Table3[[#All],[WE]],MATCH(Table5[[#This Row],[PID]],Table3[[#All],[PID]],0)))</f>
        <v>High</v>
      </c>
      <c r="K824" s="52" t="str">
        <f>IF($C824="B",INDEX(Batters[[#All],[INT]],MATCH(Table5[[#This Row],[PID]],Batters[[#All],[PID]],0)),INDEX(Table3[[#All],[INT]],MATCH(Table5[[#This Row],[PID]],Table3[[#All],[PID]],0)))</f>
        <v>Normal</v>
      </c>
      <c r="L824" s="60">
        <f>IF($C824="B",INDEX(Batters[[#All],[CON P]],MATCH(Table5[[#This Row],[PID]],Batters[[#All],[PID]],0)),INDEX(Table3[[#All],[STU P]],MATCH(Table5[[#This Row],[PID]],Table3[[#All],[PID]],0)))</f>
        <v>2</v>
      </c>
      <c r="M824" s="56">
        <f>IF($C824="B",INDEX(Batters[[#All],[GAP P]],MATCH(Table5[[#This Row],[PID]],Batters[[#All],[PID]],0)),INDEX(Table3[[#All],[MOV P]],MATCH(Table5[[#This Row],[PID]],Table3[[#All],[PID]],0)))</f>
        <v>4</v>
      </c>
      <c r="N824" s="56">
        <f>IF($C824="B",INDEX(Batters[[#All],[POW P]],MATCH(Table5[[#This Row],[PID]],Batters[[#All],[PID]],0)),INDEX(Table3[[#All],[CON P]],MATCH(Table5[[#This Row],[PID]],Table3[[#All],[PID]],0)))</f>
        <v>3</v>
      </c>
      <c r="O824" s="56">
        <f>IF($C824="B",INDEX(Batters[[#All],[EYE P]],MATCH(Table5[[#This Row],[PID]],Batters[[#All],[PID]],0)),INDEX(Table3[[#All],[VELO]],MATCH(Table5[[#This Row],[PID]],Table3[[#All],[PID]],0)))</f>
        <v>5</v>
      </c>
      <c r="P824" s="56">
        <f>IF($C824="B",INDEX(Batters[[#All],[K P]],MATCH(Table5[[#This Row],[PID]],Batters[[#All],[PID]],0)),INDEX(Table3[[#All],[STM]],MATCH(Table5[[#This Row],[PID]],Table3[[#All],[PID]],0)))</f>
        <v>3</v>
      </c>
      <c r="Q824" s="61">
        <f>IF($C824="B",INDEX(Batters[[#All],[Tot]],MATCH(Table5[[#This Row],[PID]],Batters[[#All],[PID]],0)),INDEX(Table3[[#All],[Tot]],MATCH(Table5[[#This Row],[PID]],Table3[[#All],[PID]],0)))</f>
        <v>33.111807211421777</v>
      </c>
      <c r="R824" s="52">
        <f>IF($C824="B",INDEX(Batters[[#All],[zScore]],MATCH(Table5[[#This Row],[PID]],Batters[[#All],[PID]],0)),INDEX(Table3[[#All],[zScore]],MATCH(Table5[[#This Row],[PID]],Table3[[#All],[PID]],0)))</f>
        <v>-1.4752534629680594</v>
      </c>
      <c r="S824" s="58" t="str">
        <f>IF($C824="B",INDEX(Batters[[#All],[DEM]],MATCH(Table5[[#This Row],[PID]],Batters[[#All],[PID]],0)),INDEX(Table3[[#All],[DEM]],MATCH(Table5[[#This Row],[PID]],Table3[[#All],[PID]],0)))</f>
        <v>-</v>
      </c>
      <c r="T824" s="62">
        <f>IF($C824="B",INDEX(Batters[[#All],[Rnk]],MATCH(Table5[[#This Row],[PID]],Batters[[#All],[PID]],0)),INDEX(Table3[[#All],[Rnk]],MATCH(Table5[[#This Row],[PID]],Table3[[#All],[PID]],0)))</f>
        <v>900</v>
      </c>
      <c r="U824" s="67">
        <f>IF($C824="B",VLOOKUP($A824,Bat!$A$4:$BA$1314,47,FALSE),VLOOKUP($A824,Pit!$A$4:$BF$1214,56,FALSE))</f>
        <v>281</v>
      </c>
      <c r="V824" s="50">
        <f>IF($C824="B",VLOOKUP($A824,Bat!$A$4:$BA$1314,48,FALSE),VLOOKUP($A824,Pit!$A$4:$BF$1214,57,FALSE))</f>
        <v>0</v>
      </c>
      <c r="W824" s="68">
        <f>IF(Table5[[#This Row],[posRnk]]=999,9999,Table5[[#This Row],[posRnk]]+Table5[[#This Row],[zRnk]]+IF($W$3&lt;&gt;Table5[[#This Row],[Type]],50,0))</f>
        <v>1804</v>
      </c>
      <c r="X824" s="51">
        <f>RANK(Table5[[#This Row],[zScore]],Table5[[#All],[zScore]])</f>
        <v>854</v>
      </c>
      <c r="Y824" s="50" t="str">
        <f>IFERROR(INDEX(DraftResults[[#All],[OVR]],MATCH(Table5[[#This Row],[PID]],DraftResults[[#All],[Player ID]],0)),"")</f>
        <v/>
      </c>
      <c r="Z824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/>
      </c>
      <c r="AA824" s="50" t="str">
        <f>IFERROR(INDEX(DraftResults[[#All],[Pick in Round]],MATCH(Table5[[#This Row],[PID]],DraftResults[[#All],[Player ID]],0)),"")</f>
        <v/>
      </c>
      <c r="AB824" s="50" t="str">
        <f>IFERROR(INDEX(DraftResults[[#All],[Team Name]],MATCH(Table5[[#This Row],[PID]],DraftResults[[#All],[Player ID]],0)),"")</f>
        <v/>
      </c>
      <c r="AC824" s="50" t="str">
        <f>IF(Table5[[#This Row],[Ovr]]="","",IF(Table5[[#This Row],[cmbList]]="","",Table5[[#This Row],[cmbList]]-Table5[[#This Row],[Ovr]]))</f>
        <v/>
      </c>
      <c r="AD824" s="54" t="str">
        <f>IF(ISERROR(VLOOKUP($AB824&amp;"-"&amp;$E824&amp;" "&amp;F824,Bonuses!$B$1:$G$1006,4,FALSE)),"",INT(VLOOKUP($AB824&amp;"-"&amp;$E824&amp;" "&amp;$F824,Bonuses!$B$1:$G$1006,4,FALSE)))</f>
        <v/>
      </c>
      <c r="AE824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/>
      </c>
    </row>
    <row r="825" spans="1:31" s="50" customFormat="1" x14ac:dyDescent="0.3">
      <c r="A825" s="50">
        <v>16429</v>
      </c>
      <c r="B825" s="50">
        <f>COUNTIF(Table5[PID],A825)</f>
        <v>1</v>
      </c>
      <c r="C825" s="50" t="str">
        <f>IF(COUNTIF(Table3[[#All],[PID]],A825)&gt;0,"P","B")</f>
        <v>B</v>
      </c>
      <c r="D825" s="59" t="str">
        <f>IF($C825="B",INDEX(Batters[[#All],[POS]],MATCH(Table5[[#This Row],[PID]],Batters[[#All],[PID]],0)),INDEX(Table3[[#All],[POS]],MATCH(Table5[[#This Row],[PID]],Table3[[#All],[PID]],0)))</f>
        <v>2B</v>
      </c>
      <c r="E825" s="52" t="str">
        <f>IF($C825="B",INDEX(Batters[[#All],[First]],MATCH(Table5[[#This Row],[PID]],Batters[[#All],[PID]],0)),INDEX(Table3[[#All],[First]],MATCH(Table5[[#This Row],[PID]],Table3[[#All],[PID]],0)))</f>
        <v>Cedric</v>
      </c>
      <c r="F825" s="50" t="str">
        <f>IF($C825="B",INDEX(Batters[[#All],[Last]],MATCH(A825,Batters[[#All],[PID]],0)),INDEX(Table3[[#All],[Last]],MATCH(A825,Table3[[#All],[PID]],0)))</f>
        <v>Paynter</v>
      </c>
      <c r="G825" s="56">
        <f>IF($C825="B",INDEX(Batters[[#All],[Age]],MATCH(Table5[[#This Row],[PID]],Batters[[#All],[PID]],0)),INDEX(Table3[[#All],[Age]],MATCH(Table5[[#This Row],[PID]],Table3[[#All],[PID]],0)))</f>
        <v>21</v>
      </c>
      <c r="H825" s="52" t="str">
        <f>IF($C825="B",INDEX(Batters[[#All],[B]],MATCH(Table5[[#This Row],[PID]],Batters[[#All],[PID]],0)),INDEX(Table3[[#All],[B]],MATCH(Table5[[#This Row],[PID]],Table3[[#All],[PID]],0)))</f>
        <v>L</v>
      </c>
      <c r="I825" s="52" t="str">
        <f>IF($C825="B",INDEX(Batters[[#All],[T]],MATCH(Table5[[#This Row],[PID]],Batters[[#All],[PID]],0)),INDEX(Table3[[#All],[T]],MATCH(Table5[[#This Row],[PID]],Table3[[#All],[PID]],0)))</f>
        <v>R</v>
      </c>
      <c r="J825" s="52" t="str">
        <f>IF($C825="B",INDEX(Batters[[#All],[WE]],MATCH(Table5[[#This Row],[PID]],Batters[[#All],[PID]],0)),INDEX(Table3[[#All],[WE]],MATCH(Table5[[#This Row],[PID]],Table3[[#All],[PID]],0)))</f>
        <v>Low</v>
      </c>
      <c r="K825" s="52" t="str">
        <f>IF($C825="B",INDEX(Batters[[#All],[INT]],MATCH(Table5[[#This Row],[PID]],Batters[[#All],[PID]],0)),INDEX(Table3[[#All],[INT]],MATCH(Table5[[#This Row],[PID]],Table3[[#All],[PID]],0)))</f>
        <v>Normal</v>
      </c>
      <c r="L825" s="60">
        <f>IF($C825="B",INDEX(Batters[[#All],[CON P]],MATCH(Table5[[#This Row],[PID]],Batters[[#All],[PID]],0)),INDEX(Table3[[#All],[STU P]],MATCH(Table5[[#This Row],[PID]],Table3[[#All],[PID]],0)))</f>
        <v>3</v>
      </c>
      <c r="M825" s="56">
        <f>IF($C825="B",INDEX(Batters[[#All],[GAP P]],MATCH(Table5[[#This Row],[PID]],Batters[[#All],[PID]],0)),INDEX(Table3[[#All],[MOV P]],MATCH(Table5[[#This Row],[PID]],Table3[[#All],[PID]],0)))</f>
        <v>4</v>
      </c>
      <c r="N825" s="56">
        <f>IF($C825="B",INDEX(Batters[[#All],[POW P]],MATCH(Table5[[#This Row],[PID]],Batters[[#All],[PID]],0)),INDEX(Table3[[#All],[CON P]],MATCH(Table5[[#This Row],[PID]],Table3[[#All],[PID]],0)))</f>
        <v>2</v>
      </c>
      <c r="O825" s="56">
        <f>IF($C825="B",INDEX(Batters[[#All],[EYE P]],MATCH(Table5[[#This Row],[PID]],Batters[[#All],[PID]],0)),INDEX(Table3[[#All],[VELO]],MATCH(Table5[[#This Row],[PID]],Table3[[#All],[PID]],0)))</f>
        <v>4</v>
      </c>
      <c r="P825" s="56">
        <f>IF($C825="B",INDEX(Batters[[#All],[K P]],MATCH(Table5[[#This Row],[PID]],Batters[[#All],[PID]],0)),INDEX(Table3[[#All],[STM]],MATCH(Table5[[#This Row],[PID]],Table3[[#All],[PID]],0)))</f>
        <v>4</v>
      </c>
      <c r="Q825" s="61">
        <f>IF($C825="B",INDEX(Batters[[#All],[Tot]],MATCH(Table5[[#This Row],[PID]],Batters[[#All],[PID]],0)),INDEX(Table3[[#All],[Tot]],MATCH(Table5[[#This Row],[PID]],Table3[[#All],[PID]],0)))</f>
        <v>34.932939500247059</v>
      </c>
      <c r="R825" s="52">
        <f>IF($C825="B",INDEX(Batters[[#All],[zScore]],MATCH(Table5[[#This Row],[PID]],Batters[[#All],[PID]],0)),INDEX(Table3[[#All],[zScore]],MATCH(Table5[[#This Row],[PID]],Table3[[#All],[PID]],0)))</f>
        <v>-1.2094262253508419</v>
      </c>
      <c r="S825" s="58" t="str">
        <f>IF($C825="B",INDEX(Batters[[#All],[DEM]],MATCH(Table5[[#This Row],[PID]],Batters[[#All],[PID]],0)),INDEX(Table3[[#All],[DEM]],MATCH(Table5[[#This Row],[PID]],Table3[[#All],[PID]],0)))</f>
        <v>-</v>
      </c>
      <c r="T825" s="62">
        <f>IF($C825="B",INDEX(Batters[[#All],[Rnk]],MATCH(Table5[[#This Row],[PID]],Batters[[#All],[PID]],0)),INDEX(Table3[[#All],[Rnk]],MATCH(Table5[[#This Row],[PID]],Table3[[#All],[PID]],0)))</f>
        <v>930</v>
      </c>
      <c r="U825" s="67">
        <f>IF($C825="B",VLOOKUP($A825,Bat!$A$4:$BA$1314,47,FALSE),VLOOKUP($A825,Pit!$A$4:$BF$1214,56,FALSE))</f>
        <v>389</v>
      </c>
      <c r="V825" s="50">
        <f>IF($C825="B",VLOOKUP($A825,Bat!$A$4:$BA$1314,48,FALSE),VLOOKUP($A825,Pit!$A$4:$BF$1214,57,FALSE))</f>
        <v>0</v>
      </c>
      <c r="W825" s="68">
        <f>IF(Table5[[#This Row],[posRnk]]=999,9999,Table5[[#This Row],[posRnk]]+Table5[[#This Row],[zRnk]]+IF($W$3&lt;&gt;Table5[[#This Row],[Type]],50,0))</f>
        <v>1804</v>
      </c>
      <c r="X825" s="51">
        <f>RANK(Table5[[#This Row],[zScore]],Table5[[#All],[zScore]])</f>
        <v>824</v>
      </c>
      <c r="Y825" s="50" t="str">
        <f>IFERROR(INDEX(DraftResults[[#All],[OVR]],MATCH(Table5[[#This Row],[PID]],DraftResults[[#All],[Player ID]],0)),"")</f>
        <v/>
      </c>
      <c r="Z825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/>
      </c>
      <c r="AA825" s="50" t="str">
        <f>IFERROR(INDEX(DraftResults[[#All],[Pick in Round]],MATCH(Table5[[#This Row],[PID]],DraftResults[[#All],[Player ID]],0)),"")</f>
        <v/>
      </c>
      <c r="AB825" s="50" t="str">
        <f>IFERROR(INDEX(DraftResults[[#All],[Team Name]],MATCH(Table5[[#This Row],[PID]],DraftResults[[#All],[Player ID]],0)),"")</f>
        <v/>
      </c>
      <c r="AC825" s="50" t="str">
        <f>IF(Table5[[#This Row],[Ovr]]="","",IF(Table5[[#This Row],[cmbList]]="","",Table5[[#This Row],[cmbList]]-Table5[[#This Row],[Ovr]]))</f>
        <v/>
      </c>
      <c r="AD825" s="54" t="str">
        <f>IF(ISERROR(VLOOKUP($AB825&amp;"-"&amp;$E825&amp;" "&amp;F825,Bonuses!$B$1:$G$1006,4,FALSE)),"",INT(VLOOKUP($AB825&amp;"-"&amp;$E825&amp;" "&amp;$F825,Bonuses!$B$1:$G$1006,4,FALSE)))</f>
        <v/>
      </c>
      <c r="AE825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/>
      </c>
    </row>
    <row r="826" spans="1:31" s="50" customFormat="1" x14ac:dyDescent="0.3">
      <c r="A826" s="50">
        <v>16945</v>
      </c>
      <c r="B826" s="50">
        <f>COUNTIF(Table5[PID],A826)</f>
        <v>1</v>
      </c>
      <c r="C826" s="50" t="str">
        <f>IF(COUNTIF(Table3[[#All],[PID]],A826)&gt;0,"P","B")</f>
        <v>P</v>
      </c>
      <c r="D826" s="59" t="str">
        <f>IF($C826="B",INDEX(Batters[[#All],[POS]],MATCH(Table5[[#This Row],[PID]],Batters[[#All],[PID]],0)),INDEX(Table3[[#All],[POS]],MATCH(Table5[[#This Row],[PID]],Table3[[#All],[PID]],0)))</f>
        <v>RP</v>
      </c>
      <c r="E826" s="52" t="str">
        <f>IF($C826="B",INDEX(Batters[[#All],[First]],MATCH(Table5[[#This Row],[PID]],Batters[[#All],[PID]],0)),INDEX(Table3[[#All],[First]],MATCH(Table5[[#This Row],[PID]],Table3[[#All],[PID]],0)))</f>
        <v>Wayne</v>
      </c>
      <c r="F826" s="50" t="str">
        <f>IF($C826="B",INDEX(Batters[[#All],[Last]],MATCH(A826,Batters[[#All],[PID]],0)),INDEX(Table3[[#All],[Last]],MATCH(A826,Table3[[#All],[PID]],0)))</f>
        <v>Johnson</v>
      </c>
      <c r="G826" s="56">
        <f>IF($C826="B",INDEX(Batters[[#All],[Age]],MATCH(Table5[[#This Row],[PID]],Batters[[#All],[PID]],0)),INDEX(Table3[[#All],[Age]],MATCH(Table5[[#This Row],[PID]],Table3[[#All],[PID]],0)))</f>
        <v>22</v>
      </c>
      <c r="H826" s="52" t="str">
        <f>IF($C826="B",INDEX(Batters[[#All],[B]],MATCH(Table5[[#This Row],[PID]],Batters[[#All],[PID]],0)),INDEX(Table3[[#All],[B]],MATCH(Table5[[#This Row],[PID]],Table3[[#All],[PID]],0)))</f>
        <v>R</v>
      </c>
      <c r="I826" s="52" t="str">
        <f>IF($C826="B",INDEX(Batters[[#All],[T]],MATCH(Table5[[#This Row],[PID]],Batters[[#All],[PID]],0)),INDEX(Table3[[#All],[T]],MATCH(Table5[[#This Row],[PID]],Table3[[#All],[PID]],0)))</f>
        <v>R</v>
      </c>
      <c r="J826" s="52" t="str">
        <f>IF($C826="B",INDEX(Batters[[#All],[WE]],MATCH(Table5[[#This Row],[PID]],Batters[[#All],[PID]],0)),INDEX(Table3[[#All],[WE]],MATCH(Table5[[#This Row],[PID]],Table3[[#All],[PID]],0)))</f>
        <v>Low</v>
      </c>
      <c r="K826" s="52" t="str">
        <f>IF($C826="B",INDEX(Batters[[#All],[INT]],MATCH(Table5[[#This Row],[PID]],Batters[[#All],[PID]],0)),INDEX(Table3[[#All],[INT]],MATCH(Table5[[#This Row],[PID]],Table3[[#All],[PID]],0)))</f>
        <v>Normal</v>
      </c>
      <c r="L826" s="60">
        <f>IF($C826="B",INDEX(Batters[[#All],[CON P]],MATCH(Table5[[#This Row],[PID]],Batters[[#All],[PID]],0)),INDEX(Table3[[#All],[STU P]],MATCH(Table5[[#This Row],[PID]],Table3[[#All],[PID]],0)))</f>
        <v>3</v>
      </c>
      <c r="M826" s="56">
        <f>IF($C826="B",INDEX(Batters[[#All],[GAP P]],MATCH(Table5[[#This Row],[PID]],Batters[[#All],[PID]],0)),INDEX(Table3[[#All],[MOV P]],MATCH(Table5[[#This Row],[PID]],Table3[[#All],[PID]],0)))</f>
        <v>1</v>
      </c>
      <c r="N826" s="56">
        <f>IF($C826="B",INDEX(Batters[[#All],[POW P]],MATCH(Table5[[#This Row],[PID]],Batters[[#All],[PID]],0)),INDEX(Table3[[#All],[CON P]],MATCH(Table5[[#This Row],[PID]],Table3[[#All],[PID]],0)))</f>
        <v>3</v>
      </c>
      <c r="O826" s="56" t="str">
        <f>IF($C826="B",INDEX(Batters[[#All],[EYE P]],MATCH(Table5[[#This Row],[PID]],Batters[[#All],[PID]],0)),INDEX(Table3[[#All],[VELO]],MATCH(Table5[[#This Row],[PID]],Table3[[#All],[PID]],0)))</f>
        <v>87-89 Mph</v>
      </c>
      <c r="P826" s="56">
        <f>IF($C826="B",INDEX(Batters[[#All],[K P]],MATCH(Table5[[#This Row],[PID]],Batters[[#All],[PID]],0)),INDEX(Table3[[#All],[STM]],MATCH(Table5[[#This Row],[PID]],Table3[[#All],[PID]],0)))</f>
        <v>6</v>
      </c>
      <c r="Q826" s="61">
        <f>IF($C826="B",INDEX(Batters[[#All],[Tot]],MATCH(Table5[[#This Row],[PID]],Batters[[#All],[PID]],0)),INDEX(Table3[[#All],[Tot]],MATCH(Table5[[#This Row],[PID]],Table3[[#All],[PID]],0)))</f>
        <v>20.772596623228967</v>
      </c>
      <c r="R826" s="52">
        <f>IF($C826="B",INDEX(Batters[[#All],[zScore]],MATCH(Table5[[#This Row],[PID]],Batters[[#All],[PID]],0)),INDEX(Table3[[#All],[zScore]],MATCH(Table5[[#This Row],[PID]],Table3[[#All],[PID]],0)))</f>
        <v>-1.2126547705823427</v>
      </c>
      <c r="S826" s="58" t="str">
        <f>IF($C826="B",INDEX(Batters[[#All],[DEM]],MATCH(Table5[[#This Row],[PID]],Batters[[#All],[PID]],0)),INDEX(Table3[[#All],[DEM]],MATCH(Table5[[#This Row],[PID]],Table3[[#All],[PID]],0)))</f>
        <v>-</v>
      </c>
      <c r="T826" s="62">
        <f>IF($C826="B",INDEX(Batters[[#All],[Rnk]],MATCH(Table5[[#This Row],[PID]],Batters[[#All],[PID]],0)),INDEX(Table3[[#All],[Rnk]],MATCH(Table5[[#This Row],[PID]],Table3[[#All],[PID]],0)))</f>
        <v>930</v>
      </c>
      <c r="U826" s="67">
        <f>IF($C826="B",VLOOKUP($A826,Bat!$A$4:$BA$1314,47,FALSE),VLOOKUP($A826,Pit!$A$4:$BF$1214,56,FALSE))</f>
        <v>374</v>
      </c>
      <c r="V826" s="50">
        <f>IF($C826="B",VLOOKUP($A826,Bat!$A$4:$BA$1314,48,FALSE),VLOOKUP($A826,Pit!$A$4:$BF$1214,57,FALSE))</f>
        <v>0</v>
      </c>
      <c r="W826" s="68">
        <f>IF(Table5[[#This Row],[posRnk]]=999,9999,Table5[[#This Row],[posRnk]]+Table5[[#This Row],[zRnk]]+IF($W$3&lt;&gt;Table5[[#This Row],[Type]],50,0))</f>
        <v>1755</v>
      </c>
      <c r="X826" s="51">
        <f>RANK(Table5[[#This Row],[zScore]],Table5[[#All],[zScore]])</f>
        <v>825</v>
      </c>
      <c r="Y826" s="50" t="str">
        <f>IFERROR(INDEX(DraftResults[[#All],[OVR]],MATCH(Table5[[#This Row],[PID]],DraftResults[[#All],[Player ID]],0)),"")</f>
        <v/>
      </c>
      <c r="Z826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/>
      </c>
      <c r="AA826" s="50" t="str">
        <f>IFERROR(INDEX(DraftResults[[#All],[Pick in Round]],MATCH(Table5[[#This Row],[PID]],DraftResults[[#All],[Player ID]],0)),"")</f>
        <v/>
      </c>
      <c r="AB826" s="50" t="str">
        <f>IFERROR(INDEX(DraftResults[[#All],[Team Name]],MATCH(Table5[[#This Row],[PID]],DraftResults[[#All],[Player ID]],0)),"")</f>
        <v/>
      </c>
      <c r="AC826" s="50" t="str">
        <f>IF(Table5[[#This Row],[Ovr]]="","",IF(Table5[[#This Row],[cmbList]]="","",Table5[[#This Row],[cmbList]]-Table5[[#This Row],[Ovr]]))</f>
        <v/>
      </c>
      <c r="AD826" s="54" t="str">
        <f>IF(ISERROR(VLOOKUP($AB826&amp;"-"&amp;$E826&amp;" "&amp;F826,Bonuses!$B$1:$G$1006,4,FALSE)),"",INT(VLOOKUP($AB826&amp;"-"&amp;$E826&amp;" "&amp;$F826,Bonuses!$B$1:$G$1006,4,FALSE)))</f>
        <v/>
      </c>
      <c r="AE826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/>
      </c>
    </row>
    <row r="827" spans="1:31" s="50" customFormat="1" x14ac:dyDescent="0.3">
      <c r="A827" s="50">
        <v>12334</v>
      </c>
      <c r="B827" s="55">
        <f>COUNTIF(Table5[PID],A827)</f>
        <v>1</v>
      </c>
      <c r="C827" s="55" t="str">
        <f>IF(COUNTIF(Table3[[#All],[PID]],A827)&gt;0,"P","B")</f>
        <v>B</v>
      </c>
      <c r="D827" s="59" t="str">
        <f>IF($C827="B",INDEX(Batters[[#All],[POS]],MATCH(Table5[[#This Row],[PID]],Batters[[#All],[PID]],0)),INDEX(Table3[[#All],[POS]],MATCH(Table5[[#This Row],[PID]],Table3[[#All],[PID]],0)))</f>
        <v>C</v>
      </c>
      <c r="E827" s="52" t="str">
        <f>IF($C827="B",INDEX(Batters[[#All],[First]],MATCH(Table5[[#This Row],[PID]],Batters[[#All],[PID]],0)),INDEX(Table3[[#All],[First]],MATCH(Table5[[#This Row],[PID]],Table3[[#All],[PID]],0)))</f>
        <v>Lorenzo</v>
      </c>
      <c r="F827" s="50" t="str">
        <f>IF($C827="B",INDEX(Batters[[#All],[Last]],MATCH(A827,Batters[[#All],[PID]],0)),INDEX(Table3[[#All],[Last]],MATCH(A827,Table3[[#All],[PID]],0)))</f>
        <v>Calvaro</v>
      </c>
      <c r="G827" s="56">
        <f>IF($C827="B",INDEX(Batters[[#All],[Age]],MATCH(Table5[[#This Row],[PID]],Batters[[#All],[PID]],0)),INDEX(Table3[[#All],[Age]],MATCH(Table5[[#This Row],[PID]],Table3[[#All],[PID]],0)))</f>
        <v>21</v>
      </c>
      <c r="H827" s="52" t="str">
        <f>IF($C827="B",INDEX(Batters[[#All],[B]],MATCH(Table5[[#This Row],[PID]],Batters[[#All],[PID]],0)),INDEX(Table3[[#All],[B]],MATCH(Table5[[#This Row],[PID]],Table3[[#All],[PID]],0)))</f>
        <v>S</v>
      </c>
      <c r="I827" s="52" t="str">
        <f>IF($C827="B",INDEX(Batters[[#All],[T]],MATCH(Table5[[#This Row],[PID]],Batters[[#All],[PID]],0)),INDEX(Table3[[#All],[T]],MATCH(Table5[[#This Row],[PID]],Table3[[#All],[PID]],0)))</f>
        <v>R</v>
      </c>
      <c r="J827" s="52" t="str">
        <f>IF($C827="B",INDEX(Batters[[#All],[WE]],MATCH(Table5[[#This Row],[PID]],Batters[[#All],[PID]],0)),INDEX(Table3[[#All],[WE]],MATCH(Table5[[#This Row],[PID]],Table3[[#All],[PID]],0)))</f>
        <v>Low</v>
      </c>
      <c r="K827" s="52" t="str">
        <f>IF($C827="B",INDEX(Batters[[#All],[INT]],MATCH(Table5[[#This Row],[PID]],Batters[[#All],[PID]],0)),INDEX(Table3[[#All],[INT]],MATCH(Table5[[#This Row],[PID]],Table3[[#All],[PID]],0)))</f>
        <v>Low</v>
      </c>
      <c r="L827" s="60">
        <f>IF($C827="B",INDEX(Batters[[#All],[CON P]],MATCH(Table5[[#This Row],[PID]],Batters[[#All],[PID]],0)),INDEX(Table3[[#All],[STU P]],MATCH(Table5[[#This Row],[PID]],Table3[[#All],[PID]],0)))</f>
        <v>3</v>
      </c>
      <c r="M827" s="56">
        <f>IF($C827="B",INDEX(Batters[[#All],[GAP P]],MATCH(Table5[[#This Row],[PID]],Batters[[#All],[PID]],0)),INDEX(Table3[[#All],[MOV P]],MATCH(Table5[[#This Row],[PID]],Table3[[#All],[PID]],0)))</f>
        <v>3</v>
      </c>
      <c r="N827" s="56">
        <f>IF($C827="B",INDEX(Batters[[#All],[POW P]],MATCH(Table5[[#This Row],[PID]],Batters[[#All],[PID]],0)),INDEX(Table3[[#All],[CON P]],MATCH(Table5[[#This Row],[PID]],Table3[[#All],[PID]],0)))</f>
        <v>3</v>
      </c>
      <c r="O827" s="56">
        <f>IF($C827="B",INDEX(Batters[[#All],[EYE P]],MATCH(Table5[[#This Row],[PID]],Batters[[#All],[PID]],0)),INDEX(Table3[[#All],[VELO]],MATCH(Table5[[#This Row],[PID]],Table3[[#All],[PID]],0)))</f>
        <v>4</v>
      </c>
      <c r="P827" s="56">
        <f>IF($C827="B",INDEX(Batters[[#All],[K P]],MATCH(Table5[[#This Row],[PID]],Batters[[#All],[PID]],0)),INDEX(Table3[[#All],[STM]],MATCH(Table5[[#This Row],[PID]],Table3[[#All],[PID]],0)))</f>
        <v>2</v>
      </c>
      <c r="Q827" s="61">
        <f>IF($C827="B",INDEX(Batters[[#All],[Tot]],MATCH(Table5[[#This Row],[PID]],Batters[[#All],[PID]],0)),INDEX(Table3[[#All],[Tot]],MATCH(Table5[[#This Row],[PID]],Table3[[#All],[PID]],0)))</f>
        <v>35.207744530925396</v>
      </c>
      <c r="R827" s="52">
        <f>IF($C827="B",INDEX(Batters[[#All],[zScore]],MATCH(Table5[[#This Row],[PID]],Batters[[#All],[PID]],0)),INDEX(Table3[[#All],[zScore]],MATCH(Table5[[#This Row],[PID]],Table3[[#All],[PID]],0)))</f>
        <v>-1.1476791984487671</v>
      </c>
      <c r="S827" s="58" t="str">
        <f>IF($C827="B",INDEX(Batters[[#All],[DEM]],MATCH(Table5[[#This Row],[PID]],Batters[[#All],[PID]],0)),INDEX(Table3[[#All],[DEM]],MATCH(Table5[[#This Row],[PID]],Table3[[#All],[PID]],0)))</f>
        <v>$20k</v>
      </c>
      <c r="T827" s="62">
        <f>IF($C827="B",INDEX(Batters[[#All],[Rnk]],MATCH(Table5[[#This Row],[PID]],Batters[[#All],[PID]],0)),INDEX(Table3[[#All],[Rnk]],MATCH(Table5[[#This Row],[PID]],Table3[[#All],[PID]],0)))</f>
        <v>950</v>
      </c>
      <c r="U827" s="67">
        <f>IF($C827="B",VLOOKUP($A827,Bat!$A$4:$BA$1314,47,FALSE),VLOOKUP($A827,Pit!$A$4:$BF$1214,56,FALSE))</f>
        <v>442</v>
      </c>
      <c r="V827" s="50">
        <f>IF($C827="B",VLOOKUP($A827,Bat!$A$4:$BA$1314,48,FALSE),VLOOKUP($A827,Pit!$A$4:$BF$1214,57,FALSE))</f>
        <v>0</v>
      </c>
      <c r="W827" s="68">
        <f>IF(Table5[[#This Row],[posRnk]]=999,9999,Table5[[#This Row],[posRnk]]+Table5[[#This Row],[zRnk]]+IF($W$3&lt;&gt;Table5[[#This Row],[Type]],50,0))</f>
        <v>1805</v>
      </c>
      <c r="X827" s="51">
        <f>RANK(Table5[[#This Row],[zScore]],Table5[[#All],[zScore]])</f>
        <v>805</v>
      </c>
      <c r="Y827" s="50" t="str">
        <f>IFERROR(INDEX(DraftResults[[#All],[OVR]],MATCH(Table5[[#This Row],[PID]],DraftResults[[#All],[Player ID]],0)),"")</f>
        <v/>
      </c>
      <c r="Z827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/>
      </c>
      <c r="AA827" s="50" t="str">
        <f>IFERROR(INDEX(DraftResults[[#All],[Pick in Round]],MATCH(Table5[[#This Row],[PID]],DraftResults[[#All],[Player ID]],0)),"")</f>
        <v/>
      </c>
      <c r="AB827" s="50" t="str">
        <f>IFERROR(INDEX(DraftResults[[#All],[Team Name]],MATCH(Table5[[#This Row],[PID]],DraftResults[[#All],[Player ID]],0)),"")</f>
        <v/>
      </c>
      <c r="AC827" s="50" t="str">
        <f>IF(Table5[[#This Row],[Ovr]]="","",IF(Table5[[#This Row],[cmbList]]="","",Table5[[#This Row],[cmbList]]-Table5[[#This Row],[Ovr]]))</f>
        <v/>
      </c>
      <c r="AD827" s="54" t="str">
        <f>IF(ISERROR(VLOOKUP($AB827&amp;"-"&amp;$E827&amp;" "&amp;F827,Bonuses!$B$1:$G$1006,4,FALSE)),"",INT(VLOOKUP($AB827&amp;"-"&amp;$E827&amp;" "&amp;$F827,Bonuses!$B$1:$G$1006,4,FALSE)))</f>
        <v/>
      </c>
      <c r="AE827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/>
      </c>
    </row>
    <row r="828" spans="1:31" s="50" customFormat="1" x14ac:dyDescent="0.3">
      <c r="A828" s="50">
        <v>13126</v>
      </c>
      <c r="B828" s="50">
        <f>COUNTIF(Table5[PID],A828)</f>
        <v>1</v>
      </c>
      <c r="C828" s="50" t="str">
        <f>IF(COUNTIF(Table3[[#All],[PID]],A828)&gt;0,"P","B")</f>
        <v>B</v>
      </c>
      <c r="D828" s="59" t="str">
        <f>IF($C828="B",INDEX(Batters[[#All],[POS]],MATCH(Table5[[#This Row],[PID]],Batters[[#All],[PID]],0)),INDEX(Table3[[#All],[POS]],MATCH(Table5[[#This Row],[PID]],Table3[[#All],[PID]],0)))</f>
        <v>RF</v>
      </c>
      <c r="E828" s="52" t="str">
        <f>IF($C828="B",INDEX(Batters[[#All],[First]],MATCH(Table5[[#This Row],[PID]],Batters[[#All],[PID]],0)),INDEX(Table3[[#All],[First]],MATCH(Table5[[#This Row],[PID]],Table3[[#All],[PID]],0)))</f>
        <v>Flynn</v>
      </c>
      <c r="F828" s="50" t="str">
        <f>IF($C828="B",INDEX(Batters[[#All],[Last]],MATCH(A828,Batters[[#All],[PID]],0)),INDEX(Table3[[#All],[Last]],MATCH(A828,Table3[[#All],[PID]],0)))</f>
        <v>Snyder</v>
      </c>
      <c r="G828" s="56">
        <f>IF($C828="B",INDEX(Batters[[#All],[Age]],MATCH(Table5[[#This Row],[PID]],Batters[[#All],[PID]],0)),INDEX(Table3[[#All],[Age]],MATCH(Table5[[#This Row],[PID]],Table3[[#All],[PID]],0)))</f>
        <v>22</v>
      </c>
      <c r="H828" s="52" t="str">
        <f>IF($C828="B",INDEX(Batters[[#All],[B]],MATCH(Table5[[#This Row],[PID]],Batters[[#All],[PID]],0)),INDEX(Table3[[#All],[B]],MATCH(Table5[[#This Row],[PID]],Table3[[#All],[PID]],0)))</f>
        <v>R</v>
      </c>
      <c r="I828" s="52" t="str">
        <f>IF($C828="B",INDEX(Batters[[#All],[T]],MATCH(Table5[[#This Row],[PID]],Batters[[#All],[PID]],0)),INDEX(Table3[[#All],[T]],MATCH(Table5[[#This Row],[PID]],Table3[[#All],[PID]],0)))</f>
        <v>L</v>
      </c>
      <c r="J828" s="52" t="str">
        <f>IF($C828="B",INDEX(Batters[[#All],[WE]],MATCH(Table5[[#This Row],[PID]],Batters[[#All],[PID]],0)),INDEX(Table3[[#All],[WE]],MATCH(Table5[[#This Row],[PID]],Table3[[#All],[PID]],0)))</f>
        <v>Low</v>
      </c>
      <c r="K828" s="52" t="str">
        <f>IF($C828="B",INDEX(Batters[[#All],[INT]],MATCH(Table5[[#This Row],[PID]],Batters[[#All],[PID]],0)),INDEX(Table3[[#All],[INT]],MATCH(Table5[[#This Row],[PID]],Table3[[#All],[PID]],0)))</f>
        <v>Normal</v>
      </c>
      <c r="L828" s="60">
        <f>IF($C828="B",INDEX(Batters[[#All],[CON P]],MATCH(Table5[[#This Row],[PID]],Batters[[#All],[PID]],0)),INDEX(Table3[[#All],[STU P]],MATCH(Table5[[#This Row],[PID]],Table3[[#All],[PID]],0)))</f>
        <v>3</v>
      </c>
      <c r="M828" s="56">
        <f>IF($C828="B",INDEX(Batters[[#All],[GAP P]],MATCH(Table5[[#This Row],[PID]],Batters[[#All],[PID]],0)),INDEX(Table3[[#All],[MOV P]],MATCH(Table5[[#This Row],[PID]],Table3[[#All],[PID]],0)))</f>
        <v>4</v>
      </c>
      <c r="N828" s="56">
        <f>IF($C828="B",INDEX(Batters[[#All],[POW P]],MATCH(Table5[[#This Row],[PID]],Batters[[#All],[PID]],0)),INDEX(Table3[[#All],[CON P]],MATCH(Table5[[#This Row],[PID]],Table3[[#All],[PID]],0)))</f>
        <v>2</v>
      </c>
      <c r="O828" s="56">
        <f>IF($C828="B",INDEX(Batters[[#All],[EYE P]],MATCH(Table5[[#This Row],[PID]],Batters[[#All],[PID]],0)),INDEX(Table3[[#All],[VELO]],MATCH(Table5[[#This Row],[PID]],Table3[[#All],[PID]],0)))</f>
        <v>5</v>
      </c>
      <c r="P828" s="56">
        <f>IF($C828="B",INDEX(Batters[[#All],[K P]],MATCH(Table5[[#This Row],[PID]],Batters[[#All],[PID]],0)),INDEX(Table3[[#All],[STM]],MATCH(Table5[[#This Row],[PID]],Table3[[#All],[PID]],0)))</f>
        <v>2</v>
      </c>
      <c r="Q828" s="61">
        <f>IF($C828="B",INDEX(Batters[[#All],[Tot]],MATCH(Table5[[#This Row],[PID]],Batters[[#All],[PID]],0)),INDEX(Table3[[#All],[Tot]],MATCH(Table5[[#This Row],[PID]],Table3[[#All],[PID]],0)))</f>
        <v>34.855345746139868</v>
      </c>
      <c r="R828" s="52">
        <f>IF($C828="B",INDEX(Batters[[#All],[zScore]],MATCH(Table5[[#This Row],[PID]],Batters[[#All],[PID]],0)),INDEX(Table3[[#All],[zScore]],MATCH(Table5[[#This Row],[PID]],Table3[[#All],[PID]],0)))</f>
        <v>-1.2207524389582944</v>
      </c>
      <c r="S828" s="58" t="str">
        <f>IF($C828="B",INDEX(Batters[[#All],[DEM]],MATCH(Table5[[#This Row],[PID]],Batters[[#All],[PID]],0)),INDEX(Table3[[#All],[DEM]],MATCH(Table5[[#This Row],[PID]],Table3[[#All],[PID]],0)))</f>
        <v>-</v>
      </c>
      <c r="T828" s="62">
        <f>IF($C828="B",INDEX(Batters[[#All],[Rnk]],MATCH(Table5[[#This Row],[PID]],Batters[[#All],[PID]],0)),INDEX(Table3[[#All],[Rnk]],MATCH(Table5[[#This Row],[PID]],Table3[[#All],[PID]],0)))</f>
        <v>930</v>
      </c>
      <c r="U828" s="67">
        <f>IF($C828="B",VLOOKUP($A828,Bat!$A$4:$BA$1314,47,FALSE),VLOOKUP($A828,Pit!$A$4:$BF$1214,56,FALSE))</f>
        <v>390</v>
      </c>
      <c r="V828" s="50">
        <f>IF($C828="B",VLOOKUP($A828,Bat!$A$4:$BA$1314,48,FALSE),VLOOKUP($A828,Pit!$A$4:$BF$1214,57,FALSE))</f>
        <v>0</v>
      </c>
      <c r="W828" s="68">
        <f>IF(Table5[[#This Row],[posRnk]]=999,9999,Table5[[#This Row],[posRnk]]+Table5[[#This Row],[zRnk]]+IF($W$3&lt;&gt;Table5[[#This Row],[Type]],50,0))</f>
        <v>1806</v>
      </c>
      <c r="X828" s="51">
        <f>RANK(Table5[[#This Row],[zScore]],Table5[[#All],[zScore]])</f>
        <v>826</v>
      </c>
      <c r="Y828" s="50" t="str">
        <f>IFERROR(INDEX(DraftResults[[#All],[OVR]],MATCH(Table5[[#This Row],[PID]],DraftResults[[#All],[Player ID]],0)),"")</f>
        <v/>
      </c>
      <c r="Z828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/>
      </c>
      <c r="AA828" s="50" t="str">
        <f>IFERROR(INDEX(DraftResults[[#All],[Pick in Round]],MATCH(Table5[[#This Row],[PID]],DraftResults[[#All],[Player ID]],0)),"")</f>
        <v/>
      </c>
      <c r="AB828" s="50" t="str">
        <f>IFERROR(INDEX(DraftResults[[#All],[Team Name]],MATCH(Table5[[#This Row],[PID]],DraftResults[[#All],[Player ID]],0)),"")</f>
        <v/>
      </c>
      <c r="AC828" s="50" t="str">
        <f>IF(Table5[[#This Row],[Ovr]]="","",IF(Table5[[#This Row],[cmbList]]="","",Table5[[#This Row],[cmbList]]-Table5[[#This Row],[Ovr]]))</f>
        <v/>
      </c>
      <c r="AD828" s="54" t="str">
        <f>IF(ISERROR(VLOOKUP($AB828&amp;"-"&amp;$E828&amp;" "&amp;F828,Bonuses!$B$1:$G$1006,4,FALSE)),"",INT(VLOOKUP($AB828&amp;"-"&amp;$E828&amp;" "&amp;$F828,Bonuses!$B$1:$G$1006,4,FALSE)))</f>
        <v/>
      </c>
      <c r="AE828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/>
      </c>
    </row>
    <row r="829" spans="1:31" s="50" customFormat="1" x14ac:dyDescent="0.3">
      <c r="A829" s="50">
        <v>8711</v>
      </c>
      <c r="B829" s="50">
        <f>COUNTIF(Table5[PID],A829)</f>
        <v>1</v>
      </c>
      <c r="C829" s="50" t="str">
        <f>IF(COUNTIF(Table3[[#All],[PID]],A829)&gt;0,"P","B")</f>
        <v>B</v>
      </c>
      <c r="D829" s="59" t="str">
        <f>IF($C829="B",INDEX(Batters[[#All],[POS]],MATCH(Table5[[#This Row],[PID]],Batters[[#All],[PID]],0)),INDEX(Table3[[#All],[POS]],MATCH(Table5[[#This Row],[PID]],Table3[[#All],[PID]],0)))</f>
        <v>C</v>
      </c>
      <c r="E829" s="52" t="str">
        <f>IF($C829="B",INDEX(Batters[[#All],[First]],MATCH(Table5[[#This Row],[PID]],Batters[[#All],[PID]],0)),INDEX(Table3[[#All],[First]],MATCH(Table5[[#This Row],[PID]],Table3[[#All],[PID]],0)))</f>
        <v>Valentín</v>
      </c>
      <c r="F829" s="50" t="str">
        <f>IF($C829="B",INDEX(Batters[[#All],[Last]],MATCH(A829,Batters[[#All],[PID]],0)),INDEX(Table3[[#All],[Last]],MATCH(A829,Table3[[#All],[PID]],0)))</f>
        <v>Contreras</v>
      </c>
      <c r="G829" s="56">
        <f>IF($C829="B",INDEX(Batters[[#All],[Age]],MATCH(Table5[[#This Row],[PID]],Batters[[#All],[PID]],0)),INDEX(Table3[[#All],[Age]],MATCH(Table5[[#This Row],[PID]],Table3[[#All],[PID]],0)))</f>
        <v>21</v>
      </c>
      <c r="H829" s="52" t="str">
        <f>IF($C829="B",INDEX(Batters[[#All],[B]],MATCH(Table5[[#This Row],[PID]],Batters[[#All],[PID]],0)),INDEX(Table3[[#All],[B]],MATCH(Table5[[#This Row],[PID]],Table3[[#All],[PID]],0)))</f>
        <v>R</v>
      </c>
      <c r="I829" s="52" t="str">
        <f>IF($C829="B",INDEX(Batters[[#All],[T]],MATCH(Table5[[#This Row],[PID]],Batters[[#All],[PID]],0)),INDEX(Table3[[#All],[T]],MATCH(Table5[[#This Row],[PID]],Table3[[#All],[PID]],0)))</f>
        <v>R</v>
      </c>
      <c r="J829" s="52" t="str">
        <f>IF($C829="B",INDEX(Batters[[#All],[WE]],MATCH(Table5[[#This Row],[PID]],Batters[[#All],[PID]],0)),INDEX(Table3[[#All],[WE]],MATCH(Table5[[#This Row],[PID]],Table3[[#All],[PID]],0)))</f>
        <v>Normal</v>
      </c>
      <c r="K829" s="52" t="str">
        <f>IF($C829="B",INDEX(Batters[[#All],[INT]],MATCH(Table5[[#This Row],[PID]],Batters[[#All],[PID]],0)),INDEX(Table3[[#All],[INT]],MATCH(Table5[[#This Row],[PID]],Table3[[#All],[PID]],0)))</f>
        <v>Normal</v>
      </c>
      <c r="L829" s="60">
        <f>IF($C829="B",INDEX(Batters[[#All],[CON P]],MATCH(Table5[[#This Row],[PID]],Batters[[#All],[PID]],0)),INDEX(Table3[[#All],[STU P]],MATCH(Table5[[#This Row],[PID]],Table3[[#All],[PID]],0)))</f>
        <v>2</v>
      </c>
      <c r="M829" s="56">
        <f>IF($C829="B",INDEX(Batters[[#All],[GAP P]],MATCH(Table5[[#This Row],[PID]],Batters[[#All],[PID]],0)),INDEX(Table3[[#All],[MOV P]],MATCH(Table5[[#This Row],[PID]],Table3[[#All],[PID]],0)))</f>
        <v>3</v>
      </c>
      <c r="N829" s="56">
        <f>IF($C829="B",INDEX(Batters[[#All],[POW P]],MATCH(Table5[[#This Row],[PID]],Batters[[#All],[PID]],0)),INDEX(Table3[[#All],[CON P]],MATCH(Table5[[#This Row],[PID]],Table3[[#All],[PID]],0)))</f>
        <v>4</v>
      </c>
      <c r="O829" s="56">
        <f>IF($C829="B",INDEX(Batters[[#All],[EYE P]],MATCH(Table5[[#This Row],[PID]],Batters[[#All],[PID]],0)),INDEX(Table3[[#All],[VELO]],MATCH(Table5[[#This Row],[PID]],Table3[[#All],[PID]],0)))</f>
        <v>4</v>
      </c>
      <c r="P829" s="56">
        <f>IF($C829="B",INDEX(Batters[[#All],[K P]],MATCH(Table5[[#This Row],[PID]],Batters[[#All],[PID]],0)),INDEX(Table3[[#All],[STM]],MATCH(Table5[[#This Row],[PID]],Table3[[#All],[PID]],0)))</f>
        <v>2</v>
      </c>
      <c r="Q829" s="61">
        <f>IF($C829="B",INDEX(Batters[[#All],[Tot]],MATCH(Table5[[#This Row],[PID]],Batters[[#All],[PID]],0)),INDEX(Table3[[#All],[Tot]],MATCH(Table5[[#This Row],[PID]],Table3[[#All],[PID]],0)))</f>
        <v>32.942783379781076</v>
      </c>
      <c r="R829" s="52">
        <f>IF($C829="B",INDEX(Batters[[#All],[zScore]],MATCH(Table5[[#This Row],[PID]],Batters[[#All],[PID]],0)),INDEX(Table3[[#All],[zScore]],MATCH(Table5[[#This Row],[PID]],Table3[[#All],[PID]],0)))</f>
        <v>-1.4999255521579709</v>
      </c>
      <c r="S829" s="58" t="str">
        <f>IF($C829="B",INDEX(Batters[[#All],[DEM]],MATCH(Table5[[#This Row],[PID]],Batters[[#All],[PID]],0)),INDEX(Table3[[#All],[DEM]],MATCH(Table5[[#This Row],[PID]],Table3[[#All],[PID]],0)))</f>
        <v>$20k</v>
      </c>
      <c r="T829" s="62">
        <f>IF($C829="B",INDEX(Batters[[#All],[Rnk]],MATCH(Table5[[#This Row],[PID]],Batters[[#All],[PID]],0)),INDEX(Table3[[#All],[Rnk]],MATCH(Table5[[#This Row],[PID]],Table3[[#All],[PID]],0)))</f>
        <v>900</v>
      </c>
      <c r="U829" s="67">
        <f>IF($C829="B",VLOOKUP($A829,Bat!$A$4:$BA$1314,47,FALSE),VLOOKUP($A829,Pit!$A$4:$BF$1214,56,FALSE))</f>
        <v>287</v>
      </c>
      <c r="V829" s="50">
        <f>IF($C829="B",VLOOKUP($A829,Bat!$A$4:$BA$1314,48,FALSE),VLOOKUP($A829,Pit!$A$4:$BF$1214,57,FALSE))</f>
        <v>0</v>
      </c>
      <c r="W829" s="68">
        <f>IF(Table5[[#This Row],[posRnk]]=999,9999,Table5[[#This Row],[posRnk]]+Table5[[#This Row],[zRnk]]+IF($W$3&lt;&gt;Table5[[#This Row],[Type]],50,0))</f>
        <v>1807</v>
      </c>
      <c r="X829" s="51">
        <f>RANK(Table5[[#This Row],[zScore]],Table5[[#All],[zScore]])</f>
        <v>857</v>
      </c>
      <c r="Y829" s="50" t="str">
        <f>IFERROR(INDEX(DraftResults[[#All],[OVR]],MATCH(Table5[[#This Row],[PID]],DraftResults[[#All],[Player ID]],0)),"")</f>
        <v/>
      </c>
      <c r="Z829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/>
      </c>
      <c r="AA829" s="50" t="str">
        <f>IFERROR(INDEX(DraftResults[[#All],[Pick in Round]],MATCH(Table5[[#This Row],[PID]],DraftResults[[#All],[Player ID]],0)),"")</f>
        <v/>
      </c>
      <c r="AB829" s="50" t="str">
        <f>IFERROR(INDEX(DraftResults[[#All],[Team Name]],MATCH(Table5[[#This Row],[PID]],DraftResults[[#All],[Player ID]],0)),"")</f>
        <v/>
      </c>
      <c r="AC829" s="50" t="str">
        <f>IF(Table5[[#This Row],[Ovr]]="","",IF(Table5[[#This Row],[cmbList]]="","",Table5[[#This Row],[cmbList]]-Table5[[#This Row],[Ovr]]))</f>
        <v/>
      </c>
      <c r="AD829" s="54" t="str">
        <f>IF(ISERROR(VLOOKUP($AB829&amp;"-"&amp;$E829&amp;" "&amp;F829,Bonuses!$B$1:$G$1006,4,FALSE)),"",INT(VLOOKUP($AB829&amp;"-"&amp;$E829&amp;" "&amp;$F829,Bonuses!$B$1:$G$1006,4,FALSE)))</f>
        <v/>
      </c>
      <c r="AE829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/>
      </c>
    </row>
    <row r="830" spans="1:31" s="50" customFormat="1" x14ac:dyDescent="0.3">
      <c r="A830" s="50">
        <v>13344</v>
      </c>
      <c r="B830" s="55">
        <f>COUNTIF(Table5[PID],A830)</f>
        <v>1</v>
      </c>
      <c r="C830" s="55" t="str">
        <f>IF(COUNTIF(Table3[[#All],[PID]],A830)&gt;0,"P","B")</f>
        <v>B</v>
      </c>
      <c r="D830" s="59" t="str">
        <f>IF($C830="B",INDEX(Batters[[#All],[POS]],MATCH(Table5[[#This Row],[PID]],Batters[[#All],[PID]],0)),INDEX(Table3[[#All],[POS]],MATCH(Table5[[#This Row],[PID]],Table3[[#All],[PID]],0)))</f>
        <v>1B</v>
      </c>
      <c r="E830" s="52" t="str">
        <f>IF($C830="B",INDEX(Batters[[#All],[First]],MATCH(Table5[[#This Row],[PID]],Batters[[#All],[PID]],0)),INDEX(Table3[[#All],[First]],MATCH(Table5[[#This Row],[PID]],Table3[[#All],[PID]],0)))</f>
        <v>Ikki</v>
      </c>
      <c r="F830" s="50" t="str">
        <f>IF($C830="B",INDEX(Batters[[#All],[Last]],MATCH(A830,Batters[[#All],[PID]],0)),INDEX(Table3[[#All],[Last]],MATCH(A830,Table3[[#All],[PID]],0)))</f>
        <v>Kichida</v>
      </c>
      <c r="G830" s="56">
        <f>IF($C830="B",INDEX(Batters[[#All],[Age]],MATCH(Table5[[#This Row],[PID]],Batters[[#All],[PID]],0)),INDEX(Table3[[#All],[Age]],MATCH(Table5[[#This Row],[PID]],Table3[[#All],[PID]],0)))</f>
        <v>17</v>
      </c>
      <c r="H830" s="52" t="str">
        <f>IF($C830="B",INDEX(Batters[[#All],[B]],MATCH(Table5[[#This Row],[PID]],Batters[[#All],[PID]],0)),INDEX(Table3[[#All],[B]],MATCH(Table5[[#This Row],[PID]],Table3[[#All],[PID]],0)))</f>
        <v>R</v>
      </c>
      <c r="I830" s="52" t="str">
        <f>IF($C830="B",INDEX(Batters[[#All],[T]],MATCH(Table5[[#This Row],[PID]],Batters[[#All],[PID]],0)),INDEX(Table3[[#All],[T]],MATCH(Table5[[#This Row],[PID]],Table3[[#All],[PID]],0)))</f>
        <v>R</v>
      </c>
      <c r="J830" s="52" t="str">
        <f>IF($C830="B",INDEX(Batters[[#All],[WE]],MATCH(Table5[[#This Row],[PID]],Batters[[#All],[PID]],0)),INDEX(Table3[[#All],[WE]],MATCH(Table5[[#This Row],[PID]],Table3[[#All],[PID]],0)))</f>
        <v>Low</v>
      </c>
      <c r="K830" s="52" t="str">
        <f>IF($C830="B",INDEX(Batters[[#All],[INT]],MATCH(Table5[[#This Row],[PID]],Batters[[#All],[PID]],0)),INDEX(Table3[[#All],[INT]],MATCH(Table5[[#This Row],[PID]],Table3[[#All],[PID]],0)))</f>
        <v>Normal</v>
      </c>
      <c r="L830" s="60">
        <f>IF($C830="B",INDEX(Batters[[#All],[CON P]],MATCH(Table5[[#This Row],[PID]],Batters[[#All],[PID]],0)),INDEX(Table3[[#All],[STU P]],MATCH(Table5[[#This Row],[PID]],Table3[[#All],[PID]],0)))</f>
        <v>2</v>
      </c>
      <c r="M830" s="56">
        <f>IF($C830="B",INDEX(Batters[[#All],[GAP P]],MATCH(Table5[[#This Row],[PID]],Batters[[#All],[PID]],0)),INDEX(Table3[[#All],[MOV P]],MATCH(Table5[[#This Row],[PID]],Table3[[#All],[PID]],0)))</f>
        <v>3</v>
      </c>
      <c r="N830" s="56">
        <f>IF($C830="B",INDEX(Batters[[#All],[POW P]],MATCH(Table5[[#This Row],[PID]],Batters[[#All],[PID]],0)),INDEX(Table3[[#All],[CON P]],MATCH(Table5[[#This Row],[PID]],Table3[[#All],[PID]],0)))</f>
        <v>2</v>
      </c>
      <c r="O830" s="56">
        <f>IF($C830="B",INDEX(Batters[[#All],[EYE P]],MATCH(Table5[[#This Row],[PID]],Batters[[#All],[PID]],0)),INDEX(Table3[[#All],[VELO]],MATCH(Table5[[#This Row],[PID]],Table3[[#All],[PID]],0)))</f>
        <v>4</v>
      </c>
      <c r="P830" s="56">
        <f>IF($C830="B",INDEX(Batters[[#All],[K P]],MATCH(Table5[[#This Row],[PID]],Batters[[#All],[PID]],0)),INDEX(Table3[[#All],[STM]],MATCH(Table5[[#This Row],[PID]],Table3[[#All],[PID]],0)))</f>
        <v>3</v>
      </c>
      <c r="Q830" s="61">
        <f>IF($C830="B",INDEX(Batters[[#All],[Tot]],MATCH(Table5[[#This Row],[PID]],Batters[[#All],[PID]],0)),INDEX(Table3[[#All],[Tot]],MATCH(Table5[[#This Row],[PID]],Table3[[#All],[PID]],0)))</f>
        <v>34.634609588974314</v>
      </c>
      <c r="R830" s="52">
        <f>IF($C830="B",INDEX(Batters[[#All],[zScore]],MATCH(Table5[[#This Row],[PID]],Batters[[#All],[PID]],0)),INDEX(Table3[[#All],[zScore]],MATCH(Table5[[#This Row],[PID]],Table3[[#All],[PID]],0)))</f>
        <v>-1.2306569441901756</v>
      </c>
      <c r="S830" s="58" t="str">
        <f>IF($C830="B",INDEX(Batters[[#All],[DEM]],MATCH(Table5[[#This Row],[PID]],Batters[[#All],[PID]],0)),INDEX(Table3[[#All],[DEM]],MATCH(Table5[[#This Row],[PID]],Table3[[#All],[PID]],0)))</f>
        <v>$95k</v>
      </c>
      <c r="T830" s="62">
        <f>IF($C830="B",INDEX(Batters[[#All],[Rnk]],MATCH(Table5[[#This Row],[PID]],Batters[[#All],[PID]],0)),INDEX(Table3[[#All],[Rnk]],MATCH(Table5[[#This Row],[PID]],Table3[[#All],[PID]],0)))</f>
        <v>930</v>
      </c>
      <c r="U830" s="67">
        <f>IF($C830="B",VLOOKUP($A830,Bat!$A$4:$BA$1314,47,FALSE),VLOOKUP($A830,Pit!$A$4:$BF$1214,56,FALSE))</f>
        <v>391</v>
      </c>
      <c r="V830" s="50">
        <f>IF($C830="B",VLOOKUP($A830,Bat!$A$4:$BA$1314,48,FALSE),VLOOKUP($A830,Pit!$A$4:$BF$1214,57,FALSE))</f>
        <v>0</v>
      </c>
      <c r="W830" s="68">
        <f>IF(Table5[[#This Row],[posRnk]]=999,9999,Table5[[#This Row],[posRnk]]+Table5[[#This Row],[zRnk]]+IF($W$3&lt;&gt;Table5[[#This Row],[Type]],50,0))</f>
        <v>1807</v>
      </c>
      <c r="X830" s="51">
        <f>RANK(Table5[[#This Row],[zScore]],Table5[[#All],[zScore]])</f>
        <v>827</v>
      </c>
      <c r="Y830" s="50" t="str">
        <f>IFERROR(INDEX(DraftResults[[#All],[OVR]],MATCH(Table5[[#This Row],[PID]],DraftResults[[#All],[Player ID]],0)),"")</f>
        <v/>
      </c>
      <c r="Z830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/>
      </c>
      <c r="AA830" s="50" t="str">
        <f>IFERROR(INDEX(DraftResults[[#All],[Pick in Round]],MATCH(Table5[[#This Row],[PID]],DraftResults[[#All],[Player ID]],0)),"")</f>
        <v/>
      </c>
      <c r="AB830" s="50" t="str">
        <f>IFERROR(INDEX(DraftResults[[#All],[Team Name]],MATCH(Table5[[#This Row],[PID]],DraftResults[[#All],[Player ID]],0)),"")</f>
        <v/>
      </c>
      <c r="AC830" s="50" t="str">
        <f>IF(Table5[[#This Row],[Ovr]]="","",IF(Table5[[#This Row],[cmbList]]="","",Table5[[#This Row],[cmbList]]-Table5[[#This Row],[Ovr]]))</f>
        <v/>
      </c>
      <c r="AD830" s="54" t="str">
        <f>IF(ISERROR(VLOOKUP($AB830&amp;"-"&amp;$E830&amp;" "&amp;F830,Bonuses!$B$1:$G$1006,4,FALSE)),"",INT(VLOOKUP($AB830&amp;"-"&amp;$E830&amp;" "&amp;$F830,Bonuses!$B$1:$G$1006,4,FALSE)))</f>
        <v/>
      </c>
      <c r="AE830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/>
      </c>
    </row>
    <row r="831" spans="1:31" s="50" customFormat="1" x14ac:dyDescent="0.3">
      <c r="A831" s="50">
        <v>13754</v>
      </c>
      <c r="B831" s="50">
        <f>COUNTIF(Table5[PID],A831)</f>
        <v>1</v>
      </c>
      <c r="C831" s="50" t="str">
        <f>IF(COUNTIF(Table3[[#All],[PID]],A831)&gt;0,"P","B")</f>
        <v>B</v>
      </c>
      <c r="D831" s="59" t="str">
        <f>IF($C831="B",INDEX(Batters[[#All],[POS]],MATCH(Table5[[#This Row],[PID]],Batters[[#All],[PID]],0)),INDEX(Table3[[#All],[POS]],MATCH(Table5[[#This Row],[PID]],Table3[[#All],[PID]],0)))</f>
        <v>C</v>
      </c>
      <c r="E831" s="52" t="str">
        <f>IF($C831="B",INDEX(Batters[[#All],[First]],MATCH(Table5[[#This Row],[PID]],Batters[[#All],[PID]],0)),INDEX(Table3[[#All],[First]],MATCH(Table5[[#This Row],[PID]],Table3[[#All],[PID]],0)))</f>
        <v>Joey</v>
      </c>
      <c r="F831" s="50" t="str">
        <f>IF($C831="B",INDEX(Batters[[#All],[Last]],MATCH(A831,Batters[[#All],[PID]],0)),INDEX(Table3[[#All],[Last]],MATCH(A831,Table3[[#All],[PID]],0)))</f>
        <v>Moores</v>
      </c>
      <c r="G831" s="56">
        <f>IF($C831="B",INDEX(Batters[[#All],[Age]],MATCH(Table5[[#This Row],[PID]],Batters[[#All],[PID]],0)),INDEX(Table3[[#All],[Age]],MATCH(Table5[[#This Row],[PID]],Table3[[#All],[PID]],0)))</f>
        <v>21</v>
      </c>
      <c r="H831" s="52" t="str">
        <f>IF($C831="B",INDEX(Batters[[#All],[B]],MATCH(Table5[[#This Row],[PID]],Batters[[#All],[PID]],0)),INDEX(Table3[[#All],[B]],MATCH(Table5[[#This Row],[PID]],Table3[[#All],[PID]],0)))</f>
        <v>R</v>
      </c>
      <c r="I831" s="52" t="str">
        <f>IF($C831="B",INDEX(Batters[[#All],[T]],MATCH(Table5[[#This Row],[PID]],Batters[[#All],[PID]],0)),INDEX(Table3[[#All],[T]],MATCH(Table5[[#This Row],[PID]],Table3[[#All],[PID]],0)))</f>
        <v>R</v>
      </c>
      <c r="J831" s="52" t="str">
        <f>IF($C831="B",INDEX(Batters[[#All],[WE]],MATCH(Table5[[#This Row],[PID]],Batters[[#All],[PID]],0)),INDEX(Table3[[#All],[WE]],MATCH(Table5[[#This Row],[PID]],Table3[[#All],[PID]],0)))</f>
        <v>Normal</v>
      </c>
      <c r="K831" s="52" t="str">
        <f>IF($C831="B",INDEX(Batters[[#All],[INT]],MATCH(Table5[[#This Row],[PID]],Batters[[#All],[PID]],0)),INDEX(Table3[[#All],[INT]],MATCH(Table5[[#This Row],[PID]],Table3[[#All],[PID]],0)))</f>
        <v>Normal</v>
      </c>
      <c r="L831" s="60">
        <f>IF($C831="B",INDEX(Batters[[#All],[CON P]],MATCH(Table5[[#This Row],[PID]],Batters[[#All],[PID]],0)),INDEX(Table3[[#All],[STU P]],MATCH(Table5[[#This Row],[PID]],Table3[[#All],[PID]],0)))</f>
        <v>2</v>
      </c>
      <c r="M831" s="56">
        <f>IF($C831="B",INDEX(Batters[[#All],[GAP P]],MATCH(Table5[[#This Row],[PID]],Batters[[#All],[PID]],0)),INDEX(Table3[[#All],[MOV P]],MATCH(Table5[[#This Row],[PID]],Table3[[#All],[PID]],0)))</f>
        <v>3</v>
      </c>
      <c r="N831" s="56">
        <f>IF($C831="B",INDEX(Batters[[#All],[POW P]],MATCH(Table5[[#This Row],[PID]],Batters[[#All],[PID]],0)),INDEX(Table3[[#All],[CON P]],MATCH(Table5[[#This Row],[PID]],Table3[[#All],[PID]],0)))</f>
        <v>3</v>
      </c>
      <c r="O831" s="56">
        <f>IF($C831="B",INDEX(Batters[[#All],[EYE P]],MATCH(Table5[[#This Row],[PID]],Batters[[#All],[PID]],0)),INDEX(Table3[[#All],[VELO]],MATCH(Table5[[#This Row],[PID]],Table3[[#All],[PID]],0)))</f>
        <v>5</v>
      </c>
      <c r="P831" s="56">
        <f>IF($C831="B",INDEX(Batters[[#All],[K P]],MATCH(Table5[[#This Row],[PID]],Batters[[#All],[PID]],0)),INDEX(Table3[[#All],[STM]],MATCH(Table5[[#This Row],[PID]],Table3[[#All],[PID]],0)))</f>
        <v>2</v>
      </c>
      <c r="Q831" s="61">
        <f>IF($C831="B",INDEX(Batters[[#All],[Tot]],MATCH(Table5[[#This Row],[PID]],Batters[[#All],[PID]],0)),INDEX(Table3[[#All],[Tot]],MATCH(Table5[[#This Row],[PID]],Table3[[#All],[PID]],0)))</f>
        <v>32.685972188973494</v>
      </c>
      <c r="R831" s="52">
        <f>IF($C831="B",INDEX(Batters[[#All],[zScore]],MATCH(Table5[[#This Row],[PID]],Batters[[#All],[PID]],0)),INDEX(Table3[[#All],[zScore]],MATCH(Table5[[#This Row],[PID]],Table3[[#All],[PID]],0)))</f>
        <v>-1.5374117962163878</v>
      </c>
      <c r="S831" s="58" t="str">
        <f>IF($C831="B",INDEX(Batters[[#All],[DEM]],MATCH(Table5[[#This Row],[PID]],Batters[[#All],[PID]],0)),INDEX(Table3[[#All],[DEM]],MATCH(Table5[[#This Row],[PID]],Table3[[#All],[PID]],0)))</f>
        <v>-</v>
      </c>
      <c r="T831" s="62">
        <f>IF($C831="B",INDEX(Batters[[#All],[Rnk]],MATCH(Table5[[#This Row],[PID]],Batters[[#All],[PID]],0)),INDEX(Table3[[#All],[Rnk]],MATCH(Table5[[#This Row],[PID]],Table3[[#All],[PID]],0)))</f>
        <v>900</v>
      </c>
      <c r="U831" s="67">
        <f>IF($C831="B",VLOOKUP($A831,Bat!$A$4:$BA$1314,47,FALSE),VLOOKUP($A831,Pit!$A$4:$BF$1214,56,FALSE))</f>
        <v>290</v>
      </c>
      <c r="V831" s="50">
        <f>IF($C831="B",VLOOKUP($A831,Bat!$A$4:$BA$1314,48,FALSE),VLOOKUP($A831,Pit!$A$4:$BF$1214,57,FALSE))</f>
        <v>0</v>
      </c>
      <c r="W831" s="68">
        <f>IF(Table5[[#This Row],[posRnk]]=999,9999,Table5[[#This Row],[posRnk]]+Table5[[#This Row],[zRnk]]+IF($W$3&lt;&gt;Table5[[#This Row],[Type]],50,0))</f>
        <v>1808</v>
      </c>
      <c r="X831" s="51">
        <f>RANK(Table5[[#This Row],[zScore]],Table5[[#All],[zScore]])</f>
        <v>858</v>
      </c>
      <c r="Y831" s="50" t="str">
        <f>IFERROR(INDEX(DraftResults[[#All],[OVR]],MATCH(Table5[[#This Row],[PID]],DraftResults[[#All],[Player ID]],0)),"")</f>
        <v/>
      </c>
      <c r="Z831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/>
      </c>
      <c r="AA831" s="50" t="str">
        <f>IFERROR(INDEX(DraftResults[[#All],[Pick in Round]],MATCH(Table5[[#This Row],[PID]],DraftResults[[#All],[Player ID]],0)),"")</f>
        <v/>
      </c>
      <c r="AB831" s="50" t="str">
        <f>IFERROR(INDEX(DraftResults[[#All],[Team Name]],MATCH(Table5[[#This Row],[PID]],DraftResults[[#All],[Player ID]],0)),"")</f>
        <v/>
      </c>
      <c r="AC831" s="50" t="str">
        <f>IF(Table5[[#This Row],[Ovr]]="","",IF(Table5[[#This Row],[cmbList]]="","",Table5[[#This Row],[cmbList]]-Table5[[#This Row],[Ovr]]))</f>
        <v/>
      </c>
      <c r="AD831" s="54" t="str">
        <f>IF(ISERROR(VLOOKUP($AB831&amp;"-"&amp;$E831&amp;" "&amp;F831,Bonuses!$B$1:$G$1006,4,FALSE)),"",INT(VLOOKUP($AB831&amp;"-"&amp;$E831&amp;" "&amp;$F831,Bonuses!$B$1:$G$1006,4,FALSE)))</f>
        <v/>
      </c>
      <c r="AE831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/>
      </c>
    </row>
    <row r="832" spans="1:31" s="50" customFormat="1" x14ac:dyDescent="0.3">
      <c r="A832" s="50">
        <v>13922</v>
      </c>
      <c r="B832" s="50">
        <f>COUNTIF(Table5[PID],A832)</f>
        <v>1</v>
      </c>
      <c r="C832" s="50" t="str">
        <f>IF(COUNTIF(Table3[[#All],[PID]],A832)&gt;0,"P","B")</f>
        <v>P</v>
      </c>
      <c r="D832" s="59" t="str">
        <f>IF($C832="B",INDEX(Batters[[#All],[POS]],MATCH(Table5[[#This Row],[PID]],Batters[[#All],[PID]],0)),INDEX(Table3[[#All],[POS]],MATCH(Table5[[#This Row],[PID]],Table3[[#All],[PID]],0)))</f>
        <v>RP</v>
      </c>
      <c r="E832" s="52" t="str">
        <f>IF($C832="B",INDEX(Batters[[#All],[First]],MATCH(Table5[[#This Row],[PID]],Batters[[#All],[PID]],0)),INDEX(Table3[[#All],[First]],MATCH(Table5[[#This Row],[PID]],Table3[[#All],[PID]],0)))</f>
        <v>César</v>
      </c>
      <c r="F832" s="50" t="str">
        <f>IF($C832="B",INDEX(Batters[[#All],[Last]],MATCH(A832,Batters[[#All],[PID]],0)),INDEX(Table3[[#All],[Last]],MATCH(A832,Table3[[#All],[PID]],0)))</f>
        <v>Árias</v>
      </c>
      <c r="G832" s="56">
        <f>IF($C832="B",INDEX(Batters[[#All],[Age]],MATCH(Table5[[#This Row],[PID]],Batters[[#All],[PID]],0)),INDEX(Table3[[#All],[Age]],MATCH(Table5[[#This Row],[PID]],Table3[[#All],[PID]],0)))</f>
        <v>22</v>
      </c>
      <c r="H832" s="52" t="str">
        <f>IF($C832="B",INDEX(Batters[[#All],[B]],MATCH(Table5[[#This Row],[PID]],Batters[[#All],[PID]],0)),INDEX(Table3[[#All],[B]],MATCH(Table5[[#This Row],[PID]],Table3[[#All],[PID]],0)))</f>
        <v>R</v>
      </c>
      <c r="I832" s="52" t="str">
        <f>IF($C832="B",INDEX(Batters[[#All],[T]],MATCH(Table5[[#This Row],[PID]],Batters[[#All],[PID]],0)),INDEX(Table3[[#All],[T]],MATCH(Table5[[#This Row],[PID]],Table3[[#All],[PID]],0)))</f>
        <v>R</v>
      </c>
      <c r="J832" s="52" t="str">
        <f>IF($C832="B",INDEX(Batters[[#All],[WE]],MATCH(Table5[[#This Row],[PID]],Batters[[#All],[PID]],0)),INDEX(Table3[[#All],[WE]],MATCH(Table5[[#This Row],[PID]],Table3[[#All],[PID]],0)))</f>
        <v>Low</v>
      </c>
      <c r="K832" s="52" t="str">
        <f>IF($C832="B",INDEX(Batters[[#All],[INT]],MATCH(Table5[[#This Row],[PID]],Batters[[#All],[PID]],0)),INDEX(Table3[[#All],[INT]],MATCH(Table5[[#This Row],[PID]],Table3[[#All],[PID]],0)))</f>
        <v>Normal</v>
      </c>
      <c r="L832" s="60">
        <f>IF($C832="B",INDEX(Batters[[#All],[CON P]],MATCH(Table5[[#This Row],[PID]],Batters[[#All],[PID]],0)),INDEX(Table3[[#All],[STU P]],MATCH(Table5[[#This Row],[PID]],Table3[[#All],[PID]],0)))</f>
        <v>4</v>
      </c>
      <c r="M832" s="56">
        <f>IF($C832="B",INDEX(Batters[[#All],[GAP P]],MATCH(Table5[[#This Row],[PID]],Batters[[#All],[PID]],0)),INDEX(Table3[[#All],[MOV P]],MATCH(Table5[[#This Row],[PID]],Table3[[#All],[PID]],0)))</f>
        <v>1</v>
      </c>
      <c r="N832" s="56">
        <f>IF($C832="B",INDEX(Batters[[#All],[POW P]],MATCH(Table5[[#This Row],[PID]],Batters[[#All],[PID]],0)),INDEX(Table3[[#All],[CON P]],MATCH(Table5[[#This Row],[PID]],Table3[[#All],[PID]],0)))</f>
        <v>2</v>
      </c>
      <c r="O832" s="56" t="str">
        <f>IF($C832="B",INDEX(Batters[[#All],[EYE P]],MATCH(Table5[[#This Row],[PID]],Batters[[#All],[PID]],0)),INDEX(Table3[[#All],[VELO]],MATCH(Table5[[#This Row],[PID]],Table3[[#All],[PID]],0)))</f>
        <v>89-91 Mph</v>
      </c>
      <c r="P832" s="56">
        <f>IF($C832="B",INDEX(Batters[[#All],[K P]],MATCH(Table5[[#This Row],[PID]],Batters[[#All],[PID]],0)),INDEX(Table3[[#All],[STM]],MATCH(Table5[[#This Row],[PID]],Table3[[#All],[PID]],0)))</f>
        <v>8</v>
      </c>
      <c r="Q832" s="61">
        <f>IF($C832="B",INDEX(Batters[[#All],[Tot]],MATCH(Table5[[#This Row],[PID]],Batters[[#All],[PID]],0)),INDEX(Table3[[#All],[Tot]],MATCH(Table5[[#This Row],[PID]],Table3[[#All],[PID]],0)))</f>
        <v>20.395680729232236</v>
      </c>
      <c r="R832" s="52">
        <f>IF($C832="B",INDEX(Batters[[#All],[zScore]],MATCH(Table5[[#This Row],[PID]],Batters[[#All],[PID]],0)),INDEX(Table3[[#All],[zScore]],MATCH(Table5[[#This Row],[PID]],Table3[[#All],[PID]],0)))</f>
        <v>-1.2394938330365148</v>
      </c>
      <c r="S832" s="58" t="str">
        <f>IF($C832="B",INDEX(Batters[[#All],[DEM]],MATCH(Table5[[#This Row],[PID]],Batters[[#All],[PID]],0)),INDEX(Table3[[#All],[DEM]],MATCH(Table5[[#This Row],[PID]],Table3[[#All],[PID]],0)))</f>
        <v>-</v>
      </c>
      <c r="T832" s="62">
        <f>IF($C832="B",INDEX(Batters[[#All],[Rnk]],MATCH(Table5[[#This Row],[PID]],Batters[[#All],[PID]],0)),INDEX(Table3[[#All],[Rnk]],MATCH(Table5[[#This Row],[PID]],Table3[[#All],[PID]],0)))</f>
        <v>930</v>
      </c>
      <c r="U832" s="67">
        <f>IF($C832="B",VLOOKUP($A832,Bat!$A$4:$BA$1314,47,FALSE),VLOOKUP($A832,Pit!$A$4:$BF$1214,56,FALSE))</f>
        <v>375</v>
      </c>
      <c r="V832" s="50">
        <f>IF($C832="B",VLOOKUP($A832,Bat!$A$4:$BA$1314,48,FALSE),VLOOKUP($A832,Pit!$A$4:$BF$1214,57,FALSE))</f>
        <v>0</v>
      </c>
      <c r="W832" s="68">
        <f>IF(Table5[[#This Row],[posRnk]]=999,9999,Table5[[#This Row],[posRnk]]+Table5[[#This Row],[zRnk]]+IF($W$3&lt;&gt;Table5[[#This Row],[Type]],50,0))</f>
        <v>1759</v>
      </c>
      <c r="X832" s="51">
        <f>RANK(Table5[[#This Row],[zScore]],Table5[[#All],[zScore]])</f>
        <v>829</v>
      </c>
      <c r="Y832" s="50" t="str">
        <f>IFERROR(INDEX(DraftResults[[#All],[OVR]],MATCH(Table5[[#This Row],[PID]],DraftResults[[#All],[Player ID]],0)),"")</f>
        <v/>
      </c>
      <c r="Z832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/>
      </c>
      <c r="AA832" s="50" t="str">
        <f>IFERROR(INDEX(DraftResults[[#All],[Pick in Round]],MATCH(Table5[[#This Row],[PID]],DraftResults[[#All],[Player ID]],0)),"")</f>
        <v/>
      </c>
      <c r="AB832" s="50" t="str">
        <f>IFERROR(INDEX(DraftResults[[#All],[Team Name]],MATCH(Table5[[#This Row],[PID]],DraftResults[[#All],[Player ID]],0)),"")</f>
        <v/>
      </c>
      <c r="AC832" s="50" t="str">
        <f>IF(Table5[[#This Row],[Ovr]]="","",IF(Table5[[#This Row],[cmbList]]="","",Table5[[#This Row],[cmbList]]-Table5[[#This Row],[Ovr]]))</f>
        <v/>
      </c>
      <c r="AD832" s="54" t="str">
        <f>IF(ISERROR(VLOOKUP($AB832&amp;"-"&amp;$E832&amp;" "&amp;F832,Bonuses!$B$1:$G$1006,4,FALSE)),"",INT(VLOOKUP($AB832&amp;"-"&amp;$E832&amp;" "&amp;$F832,Bonuses!$B$1:$G$1006,4,FALSE)))</f>
        <v/>
      </c>
      <c r="AE832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/>
      </c>
    </row>
    <row r="833" spans="1:31" s="50" customFormat="1" x14ac:dyDescent="0.3">
      <c r="A833" s="67">
        <v>17031</v>
      </c>
      <c r="B833" s="68">
        <f>COUNTIF(Table5[PID],A833)</f>
        <v>1</v>
      </c>
      <c r="C833" s="68" t="str">
        <f>IF(COUNTIF(Table3[[#All],[PID]],A833)&gt;0,"P","B")</f>
        <v>B</v>
      </c>
      <c r="D833" s="59" t="str">
        <f>IF($C833="B",INDEX(Batters[[#All],[POS]],MATCH(Table5[[#This Row],[PID]],Batters[[#All],[PID]],0)),INDEX(Table3[[#All],[POS]],MATCH(Table5[[#This Row],[PID]],Table3[[#All],[PID]],0)))</f>
        <v>C</v>
      </c>
      <c r="E833" s="52" t="str">
        <f>IF($C833="B",INDEX(Batters[[#All],[First]],MATCH(Table5[[#This Row],[PID]],Batters[[#All],[PID]],0)),INDEX(Table3[[#All],[First]],MATCH(Table5[[#This Row],[PID]],Table3[[#All],[PID]],0)))</f>
        <v>Evan</v>
      </c>
      <c r="F833" s="55" t="str">
        <f>IF($C833="B",INDEX(Batters[[#All],[Last]],MATCH(A833,Batters[[#All],[PID]],0)),INDEX(Table3[[#All],[Last]],MATCH(A833,Table3[[#All],[PID]],0)))</f>
        <v>Jelbert</v>
      </c>
      <c r="G833" s="56">
        <f>IF($C833="B",INDEX(Batters[[#All],[Age]],MATCH(Table5[[#This Row],[PID]],Batters[[#All],[PID]],0)),INDEX(Table3[[#All],[Age]],MATCH(Table5[[#This Row],[PID]],Table3[[#All],[PID]],0)))</f>
        <v>22</v>
      </c>
      <c r="H833" s="52" t="str">
        <f>IF($C833="B",INDEX(Batters[[#All],[B]],MATCH(Table5[[#This Row],[PID]],Batters[[#All],[PID]],0)),INDEX(Table3[[#All],[B]],MATCH(Table5[[#This Row],[PID]],Table3[[#All],[PID]],0)))</f>
        <v>R</v>
      </c>
      <c r="I833" s="52" t="str">
        <f>IF($C833="B",INDEX(Batters[[#All],[T]],MATCH(Table5[[#This Row],[PID]],Batters[[#All],[PID]],0)),INDEX(Table3[[#All],[T]],MATCH(Table5[[#This Row],[PID]],Table3[[#All],[PID]],0)))</f>
        <v>R</v>
      </c>
      <c r="J833" s="69" t="str">
        <f>IF($C833="B",INDEX(Batters[[#All],[WE]],MATCH(Table5[[#This Row],[PID]],Batters[[#All],[PID]],0)),INDEX(Table3[[#All],[WE]],MATCH(Table5[[#This Row],[PID]],Table3[[#All],[PID]],0)))</f>
        <v>High</v>
      </c>
      <c r="K833" s="52" t="str">
        <f>IF($C833="B",INDEX(Batters[[#All],[INT]],MATCH(Table5[[#This Row],[PID]],Batters[[#All],[PID]],0)),INDEX(Table3[[#All],[INT]],MATCH(Table5[[#This Row],[PID]],Table3[[#All],[PID]],0)))</f>
        <v>Normal</v>
      </c>
      <c r="L833" s="60">
        <f>IF($C833="B",INDEX(Batters[[#All],[CON P]],MATCH(Table5[[#This Row],[PID]],Batters[[#All],[PID]],0)),INDEX(Table3[[#All],[STU P]],MATCH(Table5[[#This Row],[PID]],Table3[[#All],[PID]],0)))</f>
        <v>2</v>
      </c>
      <c r="M833" s="70">
        <f>IF($C833="B",INDEX(Batters[[#All],[GAP P]],MATCH(Table5[[#This Row],[PID]],Batters[[#All],[PID]],0)),INDEX(Table3[[#All],[MOV P]],MATCH(Table5[[#This Row],[PID]],Table3[[#All],[PID]],0)))</f>
        <v>3</v>
      </c>
      <c r="N833" s="70">
        <f>IF($C833="B",INDEX(Batters[[#All],[POW P]],MATCH(Table5[[#This Row],[PID]],Batters[[#All],[PID]],0)),INDEX(Table3[[#All],[CON P]],MATCH(Table5[[#This Row],[PID]],Table3[[#All],[PID]],0)))</f>
        <v>3</v>
      </c>
      <c r="O833" s="70">
        <f>IF($C833="B",INDEX(Batters[[#All],[EYE P]],MATCH(Table5[[#This Row],[PID]],Batters[[#All],[PID]],0)),INDEX(Table3[[#All],[VELO]],MATCH(Table5[[#This Row],[PID]],Table3[[#All],[PID]],0)))</f>
        <v>5</v>
      </c>
      <c r="P833" s="56">
        <f>IF($C833="B",INDEX(Batters[[#All],[K P]],MATCH(Table5[[#This Row],[PID]],Batters[[#All],[PID]],0)),INDEX(Table3[[#All],[STM]],MATCH(Table5[[#This Row],[PID]],Table3[[#All],[PID]],0)))</f>
        <v>3</v>
      </c>
      <c r="Q833" s="61">
        <f>IF($C833="B",INDEX(Batters[[#All],[Tot]],MATCH(Table5[[#This Row],[PID]],Batters[[#All],[PID]],0)),INDEX(Table3[[#All],[Tot]],MATCH(Table5[[#This Row],[PID]],Table3[[#All],[PID]],0)))</f>
        <v>32.495223688958241</v>
      </c>
      <c r="R833" s="52">
        <f>IF($C833="B",INDEX(Batters[[#All],[zScore]],MATCH(Table5[[#This Row],[PID]],Batters[[#All],[PID]],0)),INDEX(Table3[[#All],[zScore]],MATCH(Table5[[#This Row],[PID]],Table3[[#All],[PID]],0)))</f>
        <v>-1.565254994181644</v>
      </c>
      <c r="S833" s="75" t="str">
        <f>IF($C833="B",INDEX(Batters[[#All],[DEM]],MATCH(Table5[[#This Row],[PID]],Batters[[#All],[PID]],0)),INDEX(Table3[[#All],[DEM]],MATCH(Table5[[#This Row],[PID]],Table3[[#All],[PID]],0)))</f>
        <v>-</v>
      </c>
      <c r="T833" s="72">
        <f>IF($C833="B",INDEX(Batters[[#All],[Rnk]],MATCH(Table5[[#This Row],[PID]],Batters[[#All],[PID]],0)),INDEX(Table3[[#All],[Rnk]],MATCH(Table5[[#This Row],[PID]],Table3[[#All],[PID]],0)))</f>
        <v>900</v>
      </c>
      <c r="U833" s="67">
        <f>IF($C833="B",VLOOKUP($A833,Bat!$A$4:$BA$1314,47,FALSE),VLOOKUP($A833,Pit!$A$4:$BF$1214,56,FALSE))</f>
        <v>284</v>
      </c>
      <c r="V833" s="50">
        <f>IF($C833="B",VLOOKUP($A833,Bat!$A$4:$BA$1314,48,FALSE),VLOOKUP($A833,Pit!$A$4:$BF$1214,57,FALSE))</f>
        <v>0</v>
      </c>
      <c r="W833" s="68">
        <f>IF(Table5[[#This Row],[posRnk]]=999,9999,Table5[[#This Row],[posRnk]]+Table5[[#This Row],[zRnk]]+IF($W$3&lt;&gt;Table5[[#This Row],[Type]],50,0))</f>
        <v>1810</v>
      </c>
      <c r="X833" s="71">
        <f>RANK(Table5[[#This Row],[zScore]],Table5[[#All],[zScore]])</f>
        <v>860</v>
      </c>
      <c r="Y833" s="68" t="str">
        <f>IFERROR(INDEX(DraftResults[[#All],[OVR]],MATCH(Table5[[#This Row],[PID]],DraftResults[[#All],[Player ID]],0)),"")</f>
        <v/>
      </c>
      <c r="Z833" s="7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/>
      </c>
      <c r="AA833" s="68" t="str">
        <f>IFERROR(INDEX(DraftResults[[#All],[Pick in Round]],MATCH(Table5[[#This Row],[PID]],DraftResults[[#All],[Player ID]],0)),"")</f>
        <v/>
      </c>
      <c r="AB833" s="68" t="str">
        <f>IFERROR(INDEX(DraftResults[[#All],[Team Name]],MATCH(Table5[[#This Row],[PID]],DraftResults[[#All],[Player ID]],0)),"")</f>
        <v/>
      </c>
      <c r="AC833" s="68" t="str">
        <f>IF(Table5[[#This Row],[Ovr]]="","",IF(Table5[[#This Row],[cmbList]]="","",Table5[[#This Row],[cmbList]]-Table5[[#This Row],[Ovr]]))</f>
        <v/>
      </c>
      <c r="AD833" s="74" t="str">
        <f>IF(ISERROR(VLOOKUP($AB833&amp;"-"&amp;$E833&amp;" "&amp;F833,Bonuses!$B$1:$G$1006,4,FALSE)),"",INT(VLOOKUP($AB833&amp;"-"&amp;$E833&amp;" "&amp;$F833,Bonuses!$B$1:$G$1006,4,FALSE)))</f>
        <v/>
      </c>
      <c r="AE833" s="68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/>
      </c>
    </row>
    <row r="834" spans="1:31" s="50" customFormat="1" x14ac:dyDescent="0.3">
      <c r="A834" s="50">
        <v>7920</v>
      </c>
      <c r="B834" s="55">
        <f>COUNTIF(Table5[PID],A834)</f>
        <v>1</v>
      </c>
      <c r="C834" s="55" t="str">
        <f>IF(COUNTIF(Table3[[#All],[PID]],A834)&gt;0,"P","B")</f>
        <v>B</v>
      </c>
      <c r="D834" s="59" t="str">
        <f>IF($C834="B",INDEX(Batters[[#All],[POS]],MATCH(Table5[[#This Row],[PID]],Batters[[#All],[PID]],0)),INDEX(Table3[[#All],[POS]],MATCH(Table5[[#This Row],[PID]],Table3[[#All],[PID]],0)))</f>
        <v>1B</v>
      </c>
      <c r="E834" s="52" t="str">
        <f>IF($C834="B",INDEX(Batters[[#All],[First]],MATCH(Table5[[#This Row],[PID]],Batters[[#All],[PID]],0)),INDEX(Table3[[#All],[First]],MATCH(Table5[[#This Row],[PID]],Table3[[#All],[PID]],0)))</f>
        <v>Dan</v>
      </c>
      <c r="F834" s="50" t="str">
        <f>IF($C834="B",INDEX(Batters[[#All],[Last]],MATCH(A834,Batters[[#All],[PID]],0)),INDEX(Table3[[#All],[Last]],MATCH(A834,Table3[[#All],[PID]],0)))</f>
        <v>Blevins</v>
      </c>
      <c r="G834" s="56">
        <f>IF($C834="B",INDEX(Batters[[#All],[Age]],MATCH(Table5[[#This Row],[PID]],Batters[[#All],[PID]],0)),INDEX(Table3[[#All],[Age]],MATCH(Table5[[#This Row],[PID]],Table3[[#All],[PID]],0)))</f>
        <v>21</v>
      </c>
      <c r="H834" s="52" t="str">
        <f>IF($C834="B",INDEX(Batters[[#All],[B]],MATCH(Table5[[#This Row],[PID]],Batters[[#All],[PID]],0)),INDEX(Table3[[#All],[B]],MATCH(Table5[[#This Row],[PID]],Table3[[#All],[PID]],0)))</f>
        <v>S</v>
      </c>
      <c r="I834" s="52" t="str">
        <f>IF($C834="B",INDEX(Batters[[#All],[T]],MATCH(Table5[[#This Row],[PID]],Batters[[#All],[PID]],0)),INDEX(Table3[[#All],[T]],MATCH(Table5[[#This Row],[PID]],Table3[[#All],[PID]],0)))</f>
        <v>R</v>
      </c>
      <c r="J834" s="52" t="str">
        <f>IF($C834="B",INDEX(Batters[[#All],[WE]],MATCH(Table5[[#This Row],[PID]],Batters[[#All],[PID]],0)),INDEX(Table3[[#All],[WE]],MATCH(Table5[[#This Row],[PID]],Table3[[#All],[PID]],0)))</f>
        <v>Low</v>
      </c>
      <c r="K834" s="52" t="str">
        <f>IF($C834="B",INDEX(Batters[[#All],[INT]],MATCH(Table5[[#This Row],[PID]],Batters[[#All],[PID]],0)),INDEX(Table3[[#All],[INT]],MATCH(Table5[[#This Row],[PID]],Table3[[#All],[PID]],0)))</f>
        <v>Normal</v>
      </c>
      <c r="L834" s="60">
        <f>IF($C834="B",INDEX(Batters[[#All],[CON P]],MATCH(Table5[[#This Row],[PID]],Batters[[#All],[PID]],0)),INDEX(Table3[[#All],[STU P]],MATCH(Table5[[#This Row],[PID]],Table3[[#All],[PID]],0)))</f>
        <v>2</v>
      </c>
      <c r="M834" s="56">
        <f>IF($C834="B",INDEX(Batters[[#All],[GAP P]],MATCH(Table5[[#This Row],[PID]],Batters[[#All],[PID]],0)),INDEX(Table3[[#All],[MOV P]],MATCH(Table5[[#This Row],[PID]],Table3[[#All],[PID]],0)))</f>
        <v>5</v>
      </c>
      <c r="N834" s="56">
        <f>IF($C834="B",INDEX(Batters[[#All],[POW P]],MATCH(Table5[[#This Row],[PID]],Batters[[#All],[PID]],0)),INDEX(Table3[[#All],[CON P]],MATCH(Table5[[#This Row],[PID]],Table3[[#All],[PID]],0)))</f>
        <v>5</v>
      </c>
      <c r="O834" s="56">
        <f>IF($C834="B",INDEX(Batters[[#All],[EYE P]],MATCH(Table5[[#This Row],[PID]],Batters[[#All],[PID]],0)),INDEX(Table3[[#All],[VELO]],MATCH(Table5[[#This Row],[PID]],Table3[[#All],[PID]],0)))</f>
        <v>5</v>
      </c>
      <c r="P834" s="56">
        <f>IF($C834="B",INDEX(Batters[[#All],[K P]],MATCH(Table5[[#This Row],[PID]],Batters[[#All],[PID]],0)),INDEX(Table3[[#All],[STM]],MATCH(Table5[[#This Row],[PID]],Table3[[#All],[PID]],0)))</f>
        <v>2</v>
      </c>
      <c r="Q834" s="61">
        <f>IF($C834="B",INDEX(Batters[[#All],[Tot]],MATCH(Table5[[#This Row],[PID]],Batters[[#All],[PID]],0)),INDEX(Table3[[#All],[Tot]],MATCH(Table5[[#This Row],[PID]],Table3[[#All],[PID]],0)))</f>
        <v>34.624068087320708</v>
      </c>
      <c r="R834" s="52">
        <f>IF($C834="B",INDEX(Batters[[#All],[zScore]],MATCH(Table5[[#This Row],[PID]],Batters[[#All],[PID]],0)),INDEX(Table3[[#All],[zScore]],MATCH(Table5[[#This Row],[PID]],Table3[[#All],[PID]],0)))</f>
        <v>-1.2545116016197462</v>
      </c>
      <c r="S834" s="58" t="str">
        <f>IF($C834="B",INDEX(Batters[[#All],[DEM]],MATCH(Table5[[#This Row],[PID]],Batters[[#All],[PID]],0)),INDEX(Table3[[#All],[DEM]],MATCH(Table5[[#This Row],[PID]],Table3[[#All],[PID]],0)))</f>
        <v>-</v>
      </c>
      <c r="T834" s="62">
        <f>IF($C834="B",INDEX(Batters[[#All],[Rnk]],MATCH(Table5[[#This Row],[PID]],Batters[[#All],[PID]],0)),INDEX(Table3[[#All],[Rnk]],MATCH(Table5[[#This Row],[PID]],Table3[[#All],[PID]],0)))</f>
        <v>930</v>
      </c>
      <c r="U834" s="67">
        <f>IF($C834="B",VLOOKUP($A834,Bat!$A$4:$BA$1314,47,FALSE),VLOOKUP($A834,Pit!$A$4:$BF$1214,56,FALSE))</f>
        <v>392</v>
      </c>
      <c r="V834" s="50">
        <f>IF($C834="B",VLOOKUP($A834,Bat!$A$4:$BA$1314,48,FALSE),VLOOKUP($A834,Pit!$A$4:$BF$1214,57,FALSE))</f>
        <v>0</v>
      </c>
      <c r="W834" s="68">
        <f>IF(Table5[[#This Row],[posRnk]]=999,9999,Table5[[#This Row],[posRnk]]+Table5[[#This Row],[zRnk]]+IF($W$3&lt;&gt;Table5[[#This Row],[Type]],50,0))</f>
        <v>1810</v>
      </c>
      <c r="X834" s="51">
        <f>RANK(Table5[[#This Row],[zScore]],Table5[[#All],[zScore]])</f>
        <v>830</v>
      </c>
      <c r="Y834" s="50" t="str">
        <f>IFERROR(INDEX(DraftResults[[#All],[OVR]],MATCH(Table5[[#This Row],[PID]],DraftResults[[#All],[Player ID]],0)),"")</f>
        <v/>
      </c>
      <c r="Z834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/>
      </c>
      <c r="AA834" s="50" t="str">
        <f>IFERROR(INDEX(DraftResults[[#All],[Pick in Round]],MATCH(Table5[[#This Row],[PID]],DraftResults[[#All],[Player ID]],0)),"")</f>
        <v/>
      </c>
      <c r="AB834" s="50" t="str">
        <f>IFERROR(INDEX(DraftResults[[#All],[Team Name]],MATCH(Table5[[#This Row],[PID]],DraftResults[[#All],[Player ID]],0)),"")</f>
        <v/>
      </c>
      <c r="AC834" s="50" t="str">
        <f>IF(Table5[[#This Row],[Ovr]]="","",IF(Table5[[#This Row],[cmbList]]="","",Table5[[#This Row],[cmbList]]-Table5[[#This Row],[Ovr]]))</f>
        <v/>
      </c>
      <c r="AD834" s="54" t="str">
        <f>IF(ISERROR(VLOOKUP($AB834&amp;"-"&amp;$E834&amp;" "&amp;F834,Bonuses!$B$1:$G$1006,4,FALSE)),"",INT(VLOOKUP($AB834&amp;"-"&amp;$E834&amp;" "&amp;$F834,Bonuses!$B$1:$G$1006,4,FALSE)))</f>
        <v/>
      </c>
      <c r="AE834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/>
      </c>
    </row>
    <row r="835" spans="1:31" s="50" customFormat="1" x14ac:dyDescent="0.3">
      <c r="A835" s="50">
        <v>12216</v>
      </c>
      <c r="B835" s="50">
        <f>COUNTIF(Table5[PID],A835)</f>
        <v>1</v>
      </c>
      <c r="C835" s="50" t="str">
        <f>IF(COUNTIF(Table3[[#All],[PID]],A835)&gt;0,"P","B")</f>
        <v>B</v>
      </c>
      <c r="D835" s="59" t="str">
        <f>IF($C835="B",INDEX(Batters[[#All],[POS]],MATCH(Table5[[#This Row],[PID]],Batters[[#All],[PID]],0)),INDEX(Table3[[#All],[POS]],MATCH(Table5[[#This Row],[PID]],Table3[[#All],[PID]],0)))</f>
        <v>C</v>
      </c>
      <c r="E835" s="52" t="str">
        <f>IF($C835="B",INDEX(Batters[[#All],[First]],MATCH(Table5[[#This Row],[PID]],Batters[[#All],[PID]],0)),INDEX(Table3[[#All],[First]],MATCH(Table5[[#This Row],[PID]],Table3[[#All],[PID]],0)))</f>
        <v>Mitch</v>
      </c>
      <c r="F835" s="50" t="str">
        <f>IF($C835="B",INDEX(Batters[[#All],[Last]],MATCH(A835,Batters[[#All],[PID]],0)),INDEX(Table3[[#All],[Last]],MATCH(A835,Table3[[#All],[PID]],0)))</f>
        <v>Kinsler</v>
      </c>
      <c r="G835" s="56">
        <f>IF($C835="B",INDEX(Batters[[#All],[Age]],MATCH(Table5[[#This Row],[PID]],Batters[[#All],[PID]],0)),INDEX(Table3[[#All],[Age]],MATCH(Table5[[#This Row],[PID]],Table3[[#All],[PID]],0)))</f>
        <v>21</v>
      </c>
      <c r="H835" s="52" t="str">
        <f>IF($C835="B",INDEX(Batters[[#All],[B]],MATCH(Table5[[#This Row],[PID]],Batters[[#All],[PID]],0)),INDEX(Table3[[#All],[B]],MATCH(Table5[[#This Row],[PID]],Table3[[#All],[PID]],0)))</f>
        <v>L</v>
      </c>
      <c r="I835" s="52" t="str">
        <f>IF($C835="B",INDEX(Batters[[#All],[T]],MATCH(Table5[[#This Row],[PID]],Batters[[#All],[PID]],0)),INDEX(Table3[[#All],[T]],MATCH(Table5[[#This Row],[PID]],Table3[[#All],[PID]],0)))</f>
        <v>R</v>
      </c>
      <c r="J835" s="52" t="str">
        <f>IF($C835="B",INDEX(Batters[[#All],[WE]],MATCH(Table5[[#This Row],[PID]],Batters[[#All],[PID]],0)),INDEX(Table3[[#All],[WE]],MATCH(Table5[[#This Row],[PID]],Table3[[#All],[PID]],0)))</f>
        <v>Normal</v>
      </c>
      <c r="K835" s="52" t="str">
        <f>IF($C835="B",INDEX(Batters[[#All],[INT]],MATCH(Table5[[#This Row],[PID]],Batters[[#All],[PID]],0)),INDEX(Table3[[#All],[INT]],MATCH(Table5[[#This Row],[PID]],Table3[[#All],[PID]],0)))</f>
        <v>Normal</v>
      </c>
      <c r="L835" s="60">
        <f>IF($C835="B",INDEX(Batters[[#All],[CON P]],MATCH(Table5[[#This Row],[PID]],Batters[[#All],[PID]],0)),INDEX(Table3[[#All],[STU P]],MATCH(Table5[[#This Row],[PID]],Table3[[#All],[PID]],0)))</f>
        <v>2</v>
      </c>
      <c r="M835" s="56">
        <f>IF($C835="B",INDEX(Batters[[#All],[GAP P]],MATCH(Table5[[#This Row],[PID]],Batters[[#All],[PID]],0)),INDEX(Table3[[#All],[MOV P]],MATCH(Table5[[#This Row],[PID]],Table3[[#All],[PID]],0)))</f>
        <v>4</v>
      </c>
      <c r="N835" s="56">
        <f>IF($C835="B",INDEX(Batters[[#All],[POW P]],MATCH(Table5[[#This Row],[PID]],Batters[[#All],[PID]],0)),INDEX(Table3[[#All],[CON P]],MATCH(Table5[[#This Row],[PID]],Table3[[#All],[PID]],0)))</f>
        <v>3</v>
      </c>
      <c r="O835" s="56">
        <f>IF($C835="B",INDEX(Batters[[#All],[EYE P]],MATCH(Table5[[#This Row],[PID]],Batters[[#All],[PID]],0)),INDEX(Table3[[#All],[VELO]],MATCH(Table5[[#This Row],[PID]],Table3[[#All],[PID]],0)))</f>
        <v>5</v>
      </c>
      <c r="P835" s="56">
        <f>IF($C835="B",INDEX(Batters[[#All],[K P]],MATCH(Table5[[#This Row],[PID]],Batters[[#All],[PID]],0)),INDEX(Table3[[#All],[STM]],MATCH(Table5[[#This Row],[PID]],Table3[[#All],[PID]],0)))</f>
        <v>2</v>
      </c>
      <c r="Q835" s="61">
        <f>IF($C835="B",INDEX(Batters[[#All],[Tot]],MATCH(Table5[[#This Row],[PID]],Batters[[#All],[PID]],0)),INDEX(Table3[[#All],[Tot]],MATCH(Table5[[#This Row],[PID]],Table3[[#All],[PID]],0)))</f>
        <v>32.281413639994589</v>
      </c>
      <c r="R835" s="52">
        <f>IF($C835="B",INDEX(Batters[[#All],[zScore]],MATCH(Table5[[#This Row],[PID]],Batters[[#All],[PID]],0)),INDEX(Table3[[#All],[zScore]],MATCH(Table5[[#This Row],[PID]],Table3[[#All],[PID]],0)))</f>
        <v>-1.5713496516866561</v>
      </c>
      <c r="S835" s="58" t="str">
        <f>IF($C835="B",INDEX(Batters[[#All],[DEM]],MATCH(Table5[[#This Row],[PID]],Batters[[#All],[PID]],0)),INDEX(Table3[[#All],[DEM]],MATCH(Table5[[#This Row],[PID]],Table3[[#All],[PID]],0)))</f>
        <v>$20k</v>
      </c>
      <c r="T835" s="62">
        <f>IF($C835="B",INDEX(Batters[[#All],[Rnk]],MATCH(Table5[[#This Row],[PID]],Batters[[#All],[PID]],0)),INDEX(Table3[[#All],[Rnk]],MATCH(Table5[[#This Row],[PID]],Table3[[#All],[PID]],0)))</f>
        <v>900</v>
      </c>
      <c r="U835" s="67">
        <f>IF($C835="B",VLOOKUP($A835,Bat!$A$4:$BA$1314,47,FALSE),VLOOKUP($A835,Pit!$A$4:$BF$1214,56,FALSE))</f>
        <v>291</v>
      </c>
      <c r="V835" s="50">
        <f>IF($C835="B",VLOOKUP($A835,Bat!$A$4:$BA$1314,48,FALSE),VLOOKUP($A835,Pit!$A$4:$BF$1214,57,FALSE))</f>
        <v>0</v>
      </c>
      <c r="W835" s="68">
        <f>IF(Table5[[#This Row],[posRnk]]=999,9999,Table5[[#This Row],[posRnk]]+Table5[[#This Row],[zRnk]]+IF($W$3&lt;&gt;Table5[[#This Row],[Type]],50,0))</f>
        <v>1811</v>
      </c>
      <c r="X835" s="51">
        <f>RANK(Table5[[#This Row],[zScore]],Table5[[#All],[zScore]])</f>
        <v>861</v>
      </c>
      <c r="Y835" s="50" t="str">
        <f>IFERROR(INDEX(DraftResults[[#All],[OVR]],MATCH(Table5[[#This Row],[PID]],DraftResults[[#All],[Player ID]],0)),"")</f>
        <v/>
      </c>
      <c r="Z835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/>
      </c>
      <c r="AA835" s="50" t="str">
        <f>IFERROR(INDEX(DraftResults[[#All],[Pick in Round]],MATCH(Table5[[#This Row],[PID]],DraftResults[[#All],[Player ID]],0)),"")</f>
        <v/>
      </c>
      <c r="AB835" s="50" t="str">
        <f>IFERROR(INDEX(DraftResults[[#All],[Team Name]],MATCH(Table5[[#This Row],[PID]],DraftResults[[#All],[Player ID]],0)),"")</f>
        <v/>
      </c>
      <c r="AC835" s="50" t="str">
        <f>IF(Table5[[#This Row],[Ovr]]="","",IF(Table5[[#This Row],[cmbList]]="","",Table5[[#This Row],[cmbList]]-Table5[[#This Row],[Ovr]]))</f>
        <v/>
      </c>
      <c r="AD835" s="54" t="str">
        <f>IF(ISERROR(VLOOKUP($AB835&amp;"-"&amp;$E835&amp;" "&amp;F835,Bonuses!$B$1:$G$1006,4,FALSE)),"",INT(VLOOKUP($AB835&amp;"-"&amp;$E835&amp;" "&amp;$F835,Bonuses!$B$1:$G$1006,4,FALSE)))</f>
        <v/>
      </c>
      <c r="AE835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/>
      </c>
    </row>
    <row r="836" spans="1:31" s="50" customFormat="1" x14ac:dyDescent="0.3">
      <c r="A836" s="50">
        <v>10965</v>
      </c>
      <c r="B836" s="50">
        <f>COUNTIF(Table5[PID],A836)</f>
        <v>1</v>
      </c>
      <c r="C836" s="50" t="str">
        <f>IF(COUNTIF(Table3[[#All],[PID]],A836)&gt;0,"P","B")</f>
        <v>P</v>
      </c>
      <c r="D836" s="59" t="str">
        <f>IF($C836="B",INDEX(Batters[[#All],[POS]],MATCH(Table5[[#This Row],[PID]],Batters[[#All],[PID]],0)),INDEX(Table3[[#All],[POS]],MATCH(Table5[[#This Row],[PID]],Table3[[#All],[PID]],0)))</f>
        <v>RP</v>
      </c>
      <c r="E836" s="52" t="str">
        <f>IF($C836="B",INDEX(Batters[[#All],[First]],MATCH(Table5[[#This Row],[PID]],Batters[[#All],[PID]],0)),INDEX(Table3[[#All],[First]],MATCH(Table5[[#This Row],[PID]],Table3[[#All],[PID]],0)))</f>
        <v>Rubén</v>
      </c>
      <c r="F836" s="50" t="str">
        <f>IF($C836="B",INDEX(Batters[[#All],[Last]],MATCH(A836,Batters[[#All],[PID]],0)),INDEX(Table3[[#All],[Last]],MATCH(A836,Table3[[#All],[PID]],0)))</f>
        <v>Hernández</v>
      </c>
      <c r="G836" s="56">
        <f>IF($C836="B",INDEX(Batters[[#All],[Age]],MATCH(Table5[[#This Row],[PID]],Batters[[#All],[PID]],0)),INDEX(Table3[[#All],[Age]],MATCH(Table5[[#This Row],[PID]],Table3[[#All],[PID]],0)))</f>
        <v>21</v>
      </c>
      <c r="H836" s="52" t="str">
        <f>IF($C836="B",INDEX(Batters[[#All],[B]],MATCH(Table5[[#This Row],[PID]],Batters[[#All],[PID]],0)),INDEX(Table3[[#All],[B]],MATCH(Table5[[#This Row],[PID]],Table3[[#All],[PID]],0)))</f>
        <v>L</v>
      </c>
      <c r="I836" s="52" t="str">
        <f>IF($C836="B",INDEX(Batters[[#All],[T]],MATCH(Table5[[#This Row],[PID]],Batters[[#All],[PID]],0)),INDEX(Table3[[#All],[T]],MATCH(Table5[[#This Row],[PID]],Table3[[#All],[PID]],0)))</f>
        <v>L</v>
      </c>
      <c r="J836" s="52" t="str">
        <f>IF($C836="B",INDEX(Batters[[#All],[WE]],MATCH(Table5[[#This Row],[PID]],Batters[[#All],[PID]],0)),INDEX(Table3[[#All],[WE]],MATCH(Table5[[#This Row],[PID]],Table3[[#All],[PID]],0)))</f>
        <v>Low</v>
      </c>
      <c r="K836" s="52" t="str">
        <f>IF($C836="B",INDEX(Batters[[#All],[INT]],MATCH(Table5[[#This Row],[PID]],Batters[[#All],[PID]],0)),INDEX(Table3[[#All],[INT]],MATCH(Table5[[#This Row],[PID]],Table3[[#All],[PID]],0)))</f>
        <v>Normal</v>
      </c>
      <c r="L836" s="60">
        <f>IF($C836="B",INDEX(Batters[[#All],[CON P]],MATCH(Table5[[#This Row],[PID]],Batters[[#All],[PID]],0)),INDEX(Table3[[#All],[STU P]],MATCH(Table5[[#This Row],[PID]],Table3[[#All],[PID]],0)))</f>
        <v>4</v>
      </c>
      <c r="M836" s="56">
        <f>IF($C836="B",INDEX(Batters[[#All],[GAP P]],MATCH(Table5[[#This Row],[PID]],Batters[[#All],[PID]],0)),INDEX(Table3[[#All],[MOV P]],MATCH(Table5[[#This Row],[PID]],Table3[[#All],[PID]],0)))</f>
        <v>1</v>
      </c>
      <c r="N836" s="56">
        <f>IF($C836="B",INDEX(Batters[[#All],[POW P]],MATCH(Table5[[#This Row],[PID]],Batters[[#All],[PID]],0)),INDEX(Table3[[#All],[CON P]],MATCH(Table5[[#This Row],[PID]],Table3[[#All],[PID]],0)))</f>
        <v>2</v>
      </c>
      <c r="O836" s="56" t="str">
        <f>IF($C836="B",INDEX(Batters[[#All],[EYE P]],MATCH(Table5[[#This Row],[PID]],Batters[[#All],[PID]],0)),INDEX(Table3[[#All],[VELO]],MATCH(Table5[[#This Row],[PID]],Table3[[#All],[PID]],0)))</f>
        <v>88-90 Mph</v>
      </c>
      <c r="P836" s="56">
        <f>IF($C836="B",INDEX(Batters[[#All],[K P]],MATCH(Table5[[#This Row],[PID]],Batters[[#All],[PID]],0)),INDEX(Table3[[#All],[STM]],MATCH(Table5[[#This Row],[PID]],Table3[[#All],[PID]],0)))</f>
        <v>9</v>
      </c>
      <c r="Q836" s="61">
        <f>IF($C836="B",INDEX(Batters[[#All],[Tot]],MATCH(Table5[[#This Row],[PID]],Batters[[#All],[PID]],0)),INDEX(Table3[[#All],[Tot]],MATCH(Table5[[#This Row],[PID]],Table3[[#All],[PID]],0)))</f>
        <v>19.645680729232236</v>
      </c>
      <c r="R836" s="52">
        <f>IF($C836="B",INDEX(Batters[[#All],[zScore]],MATCH(Table5[[#This Row],[PID]],Batters[[#All],[PID]],0)),INDEX(Table3[[#All],[zScore]],MATCH(Table5[[#This Row],[PID]],Table3[[#All],[PID]],0)))</f>
        <v>-1.2928991076912466</v>
      </c>
      <c r="S836" s="58" t="str">
        <f>IF($C836="B",INDEX(Batters[[#All],[DEM]],MATCH(Table5[[#This Row],[PID]],Batters[[#All],[PID]],0)),INDEX(Table3[[#All],[DEM]],MATCH(Table5[[#This Row],[PID]],Table3[[#All],[PID]],0)))</f>
        <v>$20k</v>
      </c>
      <c r="T836" s="62">
        <f>IF($C836="B",INDEX(Batters[[#All],[Rnk]],MATCH(Table5[[#This Row],[PID]],Batters[[#All],[PID]],0)),INDEX(Table3[[#All],[Rnk]],MATCH(Table5[[#This Row],[PID]],Table3[[#All],[PID]],0)))</f>
        <v>930</v>
      </c>
      <c r="U836" s="67">
        <f>IF($C836="B",VLOOKUP($A836,Bat!$A$4:$BA$1314,47,FALSE),VLOOKUP($A836,Pit!$A$4:$BF$1214,56,FALSE))</f>
        <v>376</v>
      </c>
      <c r="V836" s="50">
        <f>IF($C836="B",VLOOKUP($A836,Bat!$A$4:$BA$1314,48,FALSE),VLOOKUP($A836,Pit!$A$4:$BF$1214,57,FALSE))</f>
        <v>0</v>
      </c>
      <c r="W836" s="68">
        <f>IF(Table5[[#This Row],[posRnk]]=999,9999,Table5[[#This Row],[posRnk]]+Table5[[#This Row],[zRnk]]+IF($W$3&lt;&gt;Table5[[#This Row],[Type]],50,0))</f>
        <v>1762</v>
      </c>
      <c r="X836" s="51">
        <f>RANK(Table5[[#This Row],[zScore]],Table5[[#All],[zScore]])</f>
        <v>832</v>
      </c>
      <c r="Y836" s="50">
        <f>IFERROR(INDEX(DraftResults[[#All],[OVR]],MATCH(Table5[[#This Row],[PID]],DraftResults[[#All],[Player ID]],0)),"")</f>
        <v>625</v>
      </c>
      <c r="Z836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19</v>
      </c>
      <c r="AA836" s="50">
        <f>IFERROR(INDEX(DraftResults[[#All],[Pick in Round]],MATCH(Table5[[#This Row],[PID]],DraftResults[[#All],[Player ID]],0)),"")</f>
        <v>22</v>
      </c>
      <c r="AB836" s="50" t="str">
        <f>IFERROR(INDEX(DraftResults[[#All],[Team Name]],MATCH(Table5[[#This Row],[PID]],DraftResults[[#All],[Player ID]],0)),"")</f>
        <v>Bakersfield Bears</v>
      </c>
      <c r="AC836" s="50">
        <f>IF(Table5[[#This Row],[Ovr]]="","",IF(Table5[[#This Row],[cmbList]]="","",Table5[[#This Row],[cmbList]]-Table5[[#This Row],[Ovr]]))</f>
        <v>1137</v>
      </c>
      <c r="AD836" s="54" t="str">
        <f>IF(ISERROR(VLOOKUP($AB836&amp;"-"&amp;$E836&amp;" "&amp;F836,Bonuses!$B$1:$G$1006,4,FALSE)),"",INT(VLOOKUP($AB836&amp;"-"&amp;$E836&amp;" "&amp;$F836,Bonuses!$B$1:$G$1006,4,FALSE)))</f>
        <v/>
      </c>
      <c r="AE836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19.22 (625) - RP Rubén Hernández</v>
      </c>
    </row>
    <row r="837" spans="1:31" s="50" customFormat="1" x14ac:dyDescent="0.3">
      <c r="A837" s="50">
        <v>7310</v>
      </c>
      <c r="B837" s="50">
        <f>COUNTIF(Table5[PID],A837)</f>
        <v>1</v>
      </c>
      <c r="C837" s="50" t="str">
        <f>IF(COUNTIF(Table3[[#All],[PID]],A837)&gt;0,"P","B")</f>
        <v>B</v>
      </c>
      <c r="D837" s="59" t="str">
        <f>IF($C837="B",INDEX(Batters[[#All],[POS]],MATCH(Table5[[#This Row],[PID]],Batters[[#All],[PID]],0)),INDEX(Table3[[#All],[POS]],MATCH(Table5[[#This Row],[PID]],Table3[[#All],[PID]],0)))</f>
        <v>1B</v>
      </c>
      <c r="E837" s="52" t="str">
        <f>IF($C837="B",INDEX(Batters[[#All],[First]],MATCH(Table5[[#This Row],[PID]],Batters[[#All],[PID]],0)),INDEX(Table3[[#All],[First]],MATCH(Table5[[#This Row],[PID]],Table3[[#All],[PID]],0)))</f>
        <v>José</v>
      </c>
      <c r="F837" s="50" t="str">
        <f>IF($C837="B",INDEX(Batters[[#All],[Last]],MATCH(A837,Batters[[#All],[PID]],0)),INDEX(Table3[[#All],[Last]],MATCH(A837,Table3[[#All],[PID]],0)))</f>
        <v>Sosa</v>
      </c>
      <c r="G837" s="56">
        <f>IF($C837="B",INDEX(Batters[[#All],[Age]],MATCH(Table5[[#This Row],[PID]],Batters[[#All],[PID]],0)),INDEX(Table3[[#All],[Age]],MATCH(Table5[[#This Row],[PID]],Table3[[#All],[PID]],0)))</f>
        <v>21</v>
      </c>
      <c r="H837" s="52" t="str">
        <f>IF($C837="B",INDEX(Batters[[#All],[B]],MATCH(Table5[[#This Row],[PID]],Batters[[#All],[PID]],0)),INDEX(Table3[[#All],[B]],MATCH(Table5[[#This Row],[PID]],Table3[[#All],[PID]],0)))</f>
        <v>S</v>
      </c>
      <c r="I837" s="52" t="str">
        <f>IF($C837="B",INDEX(Batters[[#All],[T]],MATCH(Table5[[#This Row],[PID]],Batters[[#All],[PID]],0)),INDEX(Table3[[#All],[T]],MATCH(Table5[[#This Row],[PID]],Table3[[#All],[PID]],0)))</f>
        <v>R</v>
      </c>
      <c r="J837" s="52" t="str">
        <f>IF($C837="B",INDEX(Batters[[#All],[WE]],MATCH(Table5[[#This Row],[PID]],Batters[[#All],[PID]],0)),INDEX(Table3[[#All],[WE]],MATCH(Table5[[#This Row],[PID]],Table3[[#All],[PID]],0)))</f>
        <v>High</v>
      </c>
      <c r="K837" s="52" t="str">
        <f>IF($C837="B",INDEX(Batters[[#All],[INT]],MATCH(Table5[[#This Row],[PID]],Batters[[#All],[PID]],0)),INDEX(Table3[[#All],[INT]],MATCH(Table5[[#This Row],[PID]],Table3[[#All],[PID]],0)))</f>
        <v>Normal</v>
      </c>
      <c r="L837" s="60">
        <f>IF($C837="B",INDEX(Batters[[#All],[CON P]],MATCH(Table5[[#This Row],[PID]],Batters[[#All],[PID]],0)),INDEX(Table3[[#All],[STU P]],MATCH(Table5[[#This Row],[PID]],Table3[[#All],[PID]],0)))</f>
        <v>2</v>
      </c>
      <c r="M837" s="56">
        <f>IF($C837="B",INDEX(Batters[[#All],[GAP P]],MATCH(Table5[[#This Row],[PID]],Batters[[#All],[PID]],0)),INDEX(Table3[[#All],[MOV P]],MATCH(Table5[[#This Row],[PID]],Table3[[#All],[PID]],0)))</f>
        <v>4</v>
      </c>
      <c r="N837" s="56">
        <f>IF($C837="B",INDEX(Batters[[#All],[POW P]],MATCH(Table5[[#This Row],[PID]],Batters[[#All],[PID]],0)),INDEX(Table3[[#All],[CON P]],MATCH(Table5[[#This Row],[PID]],Table3[[#All],[PID]],0)))</f>
        <v>3</v>
      </c>
      <c r="O837" s="56">
        <f>IF($C837="B",INDEX(Batters[[#All],[EYE P]],MATCH(Table5[[#This Row],[PID]],Batters[[#All],[PID]],0)),INDEX(Table3[[#All],[VELO]],MATCH(Table5[[#This Row],[PID]],Table3[[#All],[PID]],0)))</f>
        <v>5</v>
      </c>
      <c r="P837" s="56">
        <f>IF($C837="B",INDEX(Batters[[#All],[K P]],MATCH(Table5[[#This Row],[PID]],Batters[[#All],[PID]],0)),INDEX(Table3[[#All],[STM]],MATCH(Table5[[#This Row],[PID]],Table3[[#All],[PID]],0)))</f>
        <v>1</v>
      </c>
      <c r="Q837" s="61">
        <f>IF($C837="B",INDEX(Batters[[#All],[Tot]],MATCH(Table5[[#This Row],[PID]],Batters[[#All],[PID]],0)),INDEX(Table3[[#All],[Tot]],MATCH(Table5[[#This Row],[PID]],Table3[[#All],[PID]],0)))</f>
        <v>32.105082529228675</v>
      </c>
      <c r="R837" s="52">
        <f>IF($C837="B",INDEX(Batters[[#All],[zScore]],MATCH(Table5[[#This Row],[PID]],Batters[[#All],[PID]],0)),INDEX(Table3[[#All],[zScore]],MATCH(Table5[[#This Row],[PID]],Table3[[#All],[PID]],0)))</f>
        <v>-1.596878644955894</v>
      </c>
      <c r="S837" s="58" t="str">
        <f>IF($C837="B",INDEX(Batters[[#All],[DEM]],MATCH(Table5[[#This Row],[PID]],Batters[[#All],[PID]],0)),INDEX(Table3[[#All],[DEM]],MATCH(Table5[[#This Row],[PID]],Table3[[#All],[PID]],0)))</f>
        <v>$20k</v>
      </c>
      <c r="T837" s="62">
        <f>IF($C837="B",INDEX(Batters[[#All],[Rnk]],MATCH(Table5[[#This Row],[PID]],Batters[[#All],[PID]],0)),INDEX(Table3[[#All],[Rnk]],MATCH(Table5[[#This Row],[PID]],Table3[[#All],[PID]],0)))</f>
        <v>900</v>
      </c>
      <c r="U837" s="67">
        <f>IF($C837="B",VLOOKUP($A837,Bat!$A$4:$BA$1314,47,FALSE),VLOOKUP($A837,Pit!$A$4:$BF$1214,56,FALSE))</f>
        <v>286</v>
      </c>
      <c r="V837" s="50">
        <f>IF($C837="B",VLOOKUP($A837,Bat!$A$4:$BA$1314,48,FALSE),VLOOKUP($A837,Pit!$A$4:$BF$1214,57,FALSE))</f>
        <v>0</v>
      </c>
      <c r="W837" s="68">
        <f>IF(Table5[[#This Row],[posRnk]]=999,9999,Table5[[#This Row],[posRnk]]+Table5[[#This Row],[zRnk]]+IF($W$3&lt;&gt;Table5[[#This Row],[Type]],50,0))</f>
        <v>1813</v>
      </c>
      <c r="X837" s="51">
        <f>RANK(Table5[[#This Row],[zScore]],Table5[[#All],[zScore]])</f>
        <v>863</v>
      </c>
      <c r="Y837" s="50" t="str">
        <f>IFERROR(INDEX(DraftResults[[#All],[OVR]],MATCH(Table5[[#This Row],[PID]],DraftResults[[#All],[Player ID]],0)),"")</f>
        <v/>
      </c>
      <c r="Z837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/>
      </c>
      <c r="AA837" s="50" t="str">
        <f>IFERROR(INDEX(DraftResults[[#All],[Pick in Round]],MATCH(Table5[[#This Row],[PID]],DraftResults[[#All],[Player ID]],0)),"")</f>
        <v/>
      </c>
      <c r="AB837" s="50" t="str">
        <f>IFERROR(INDEX(DraftResults[[#All],[Team Name]],MATCH(Table5[[#This Row],[PID]],DraftResults[[#All],[Player ID]],0)),"")</f>
        <v/>
      </c>
      <c r="AC837" s="50" t="str">
        <f>IF(Table5[[#This Row],[Ovr]]="","",IF(Table5[[#This Row],[cmbList]]="","",Table5[[#This Row],[cmbList]]-Table5[[#This Row],[Ovr]]))</f>
        <v/>
      </c>
      <c r="AD837" s="54" t="str">
        <f>IF(ISERROR(VLOOKUP($AB837&amp;"-"&amp;$E837&amp;" "&amp;F837,Bonuses!$B$1:$G$1006,4,FALSE)),"",INT(VLOOKUP($AB837&amp;"-"&amp;$E837&amp;" "&amp;$F837,Bonuses!$B$1:$G$1006,4,FALSE)))</f>
        <v/>
      </c>
      <c r="AE837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/>
      </c>
    </row>
    <row r="838" spans="1:31" s="50" customFormat="1" x14ac:dyDescent="0.3">
      <c r="A838" s="67">
        <v>14878</v>
      </c>
      <c r="B838" s="68">
        <f>COUNTIF(Table5[PID],A838)</f>
        <v>1</v>
      </c>
      <c r="C838" s="68" t="str">
        <f>IF(COUNTIF(Table3[[#All],[PID]],A838)&gt;0,"P","B")</f>
        <v>B</v>
      </c>
      <c r="D838" s="59" t="str">
        <f>IF($C838="B",INDEX(Batters[[#All],[POS]],MATCH(Table5[[#This Row],[PID]],Batters[[#All],[PID]],0)),INDEX(Table3[[#All],[POS]],MATCH(Table5[[#This Row],[PID]],Table3[[#All],[PID]],0)))</f>
        <v>1B</v>
      </c>
      <c r="E838" s="52" t="str">
        <f>IF($C838="B",INDEX(Batters[[#All],[First]],MATCH(Table5[[#This Row],[PID]],Batters[[#All],[PID]],0)),INDEX(Table3[[#All],[First]],MATCH(Table5[[#This Row],[PID]],Table3[[#All],[PID]],0)))</f>
        <v>Eugene</v>
      </c>
      <c r="F838" s="55" t="str">
        <f>IF($C838="B",INDEX(Batters[[#All],[Last]],MATCH(A838,Batters[[#All],[PID]],0)),INDEX(Table3[[#All],[Last]],MATCH(A838,Table3[[#All],[PID]],0)))</f>
        <v>Beasley</v>
      </c>
      <c r="G838" s="56">
        <f>IF($C838="B",INDEX(Batters[[#All],[Age]],MATCH(Table5[[#This Row],[PID]],Batters[[#All],[PID]],0)),INDEX(Table3[[#All],[Age]],MATCH(Table5[[#This Row],[PID]],Table3[[#All],[PID]],0)))</f>
        <v>21</v>
      </c>
      <c r="H838" s="52" t="str">
        <f>IF($C838="B",INDEX(Batters[[#All],[B]],MATCH(Table5[[#This Row],[PID]],Batters[[#All],[PID]],0)),INDEX(Table3[[#All],[B]],MATCH(Table5[[#This Row],[PID]],Table3[[#All],[PID]],0)))</f>
        <v>R</v>
      </c>
      <c r="I838" s="52" t="str">
        <f>IF($C838="B",INDEX(Batters[[#All],[T]],MATCH(Table5[[#This Row],[PID]],Batters[[#All],[PID]],0)),INDEX(Table3[[#All],[T]],MATCH(Table5[[#This Row],[PID]],Table3[[#All],[PID]],0)))</f>
        <v>R</v>
      </c>
      <c r="J838" s="69" t="str">
        <f>IF($C838="B",INDEX(Batters[[#All],[WE]],MATCH(Table5[[#This Row],[PID]],Batters[[#All],[PID]],0)),INDEX(Table3[[#All],[WE]],MATCH(Table5[[#This Row],[PID]],Table3[[#All],[PID]],0)))</f>
        <v>Normal</v>
      </c>
      <c r="K838" s="52" t="str">
        <f>IF($C838="B",INDEX(Batters[[#All],[INT]],MATCH(Table5[[#This Row],[PID]],Batters[[#All],[PID]],0)),INDEX(Table3[[#All],[INT]],MATCH(Table5[[#This Row],[PID]],Table3[[#All],[PID]],0)))</f>
        <v>Normal</v>
      </c>
      <c r="L838" s="60">
        <f>IF($C838="B",INDEX(Batters[[#All],[CON P]],MATCH(Table5[[#This Row],[PID]],Batters[[#All],[PID]],0)),INDEX(Table3[[#All],[STU P]],MATCH(Table5[[#This Row],[PID]],Table3[[#All],[PID]],0)))</f>
        <v>2</v>
      </c>
      <c r="M838" s="70">
        <f>IF($C838="B",INDEX(Batters[[#All],[GAP P]],MATCH(Table5[[#This Row],[PID]],Batters[[#All],[PID]],0)),INDEX(Table3[[#All],[MOV P]],MATCH(Table5[[#This Row],[PID]],Table3[[#All],[PID]],0)))</f>
        <v>4</v>
      </c>
      <c r="N838" s="70">
        <f>IF($C838="B",INDEX(Batters[[#All],[POW P]],MATCH(Table5[[#This Row],[PID]],Batters[[#All],[PID]],0)),INDEX(Table3[[#All],[CON P]],MATCH(Table5[[#This Row],[PID]],Table3[[#All],[PID]],0)))</f>
        <v>2</v>
      </c>
      <c r="O838" s="70">
        <f>IF($C838="B",INDEX(Batters[[#All],[EYE P]],MATCH(Table5[[#This Row],[PID]],Batters[[#All],[PID]],0)),INDEX(Table3[[#All],[VELO]],MATCH(Table5[[#This Row],[PID]],Table3[[#All],[PID]],0)))</f>
        <v>5</v>
      </c>
      <c r="P838" s="56">
        <f>IF($C838="B",INDEX(Batters[[#All],[K P]],MATCH(Table5[[#This Row],[PID]],Batters[[#All],[PID]],0)),INDEX(Table3[[#All],[STM]],MATCH(Table5[[#This Row],[PID]],Table3[[#All],[PID]],0)))</f>
        <v>4</v>
      </c>
      <c r="Q838" s="61">
        <f>IF($C838="B",INDEX(Batters[[#All],[Tot]],MATCH(Table5[[#This Row],[PID]],Batters[[#All],[PID]],0)),INDEX(Table3[[#All],[Tot]],MATCH(Table5[[#This Row],[PID]],Table3[[#All],[PID]],0)))</f>
        <v>32.263009777319688</v>
      </c>
      <c r="R838" s="52">
        <f>IF($C838="B",INDEX(Batters[[#All],[zScore]],MATCH(Table5[[#This Row],[PID]],Batters[[#All],[PID]],0)),INDEX(Table3[[#All],[zScore]],MATCH(Table5[[#This Row],[PID]],Table3[[#All],[PID]],0)))</f>
        <v>-1.5991508198972944</v>
      </c>
      <c r="S838" s="75" t="str">
        <f>IF($C838="B",INDEX(Batters[[#All],[DEM]],MATCH(Table5[[#This Row],[PID]],Batters[[#All],[PID]],0)),INDEX(Table3[[#All],[DEM]],MATCH(Table5[[#This Row],[PID]],Table3[[#All],[PID]],0)))</f>
        <v>-</v>
      </c>
      <c r="T838" s="72">
        <f>IF($C838="B",INDEX(Batters[[#All],[Rnk]],MATCH(Table5[[#This Row],[PID]],Batters[[#All],[PID]],0)),INDEX(Table3[[#All],[Rnk]],MATCH(Table5[[#This Row],[PID]],Table3[[#All],[PID]],0)))</f>
        <v>900</v>
      </c>
      <c r="U838" s="67">
        <f>IF($C838="B",VLOOKUP($A838,Bat!$A$4:$BA$1314,47,FALSE),VLOOKUP($A838,Pit!$A$4:$BF$1214,56,FALSE))</f>
        <v>292</v>
      </c>
      <c r="V838" s="50">
        <f>IF($C838="B",VLOOKUP($A838,Bat!$A$4:$BA$1314,48,FALSE),VLOOKUP($A838,Pit!$A$4:$BF$1214,57,FALSE))</f>
        <v>0</v>
      </c>
      <c r="W838" s="68">
        <f>IF(Table5[[#This Row],[posRnk]]=999,9999,Table5[[#This Row],[posRnk]]+Table5[[#This Row],[zRnk]]+IF($W$3&lt;&gt;Table5[[#This Row],[Type]],50,0))</f>
        <v>1814</v>
      </c>
      <c r="X838" s="71">
        <f>RANK(Table5[[#This Row],[zScore]],Table5[[#All],[zScore]])</f>
        <v>864</v>
      </c>
      <c r="Y838" s="68" t="str">
        <f>IFERROR(INDEX(DraftResults[[#All],[OVR]],MATCH(Table5[[#This Row],[PID]],DraftResults[[#All],[Player ID]],0)),"")</f>
        <v/>
      </c>
      <c r="Z838" s="7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/>
      </c>
      <c r="AA838" s="68" t="str">
        <f>IFERROR(INDEX(DraftResults[[#All],[Pick in Round]],MATCH(Table5[[#This Row],[PID]],DraftResults[[#All],[Player ID]],0)),"")</f>
        <v/>
      </c>
      <c r="AB838" s="68" t="str">
        <f>IFERROR(INDEX(DraftResults[[#All],[Team Name]],MATCH(Table5[[#This Row],[PID]],DraftResults[[#All],[Player ID]],0)),"")</f>
        <v/>
      </c>
      <c r="AC838" s="68" t="str">
        <f>IF(Table5[[#This Row],[Ovr]]="","",IF(Table5[[#This Row],[cmbList]]="","",Table5[[#This Row],[cmbList]]-Table5[[#This Row],[Ovr]]))</f>
        <v/>
      </c>
      <c r="AD838" s="74" t="str">
        <f>IF(ISERROR(VLOOKUP($AB838&amp;"-"&amp;$E838&amp;" "&amp;F838,Bonuses!$B$1:$G$1006,4,FALSE)),"",INT(VLOOKUP($AB838&amp;"-"&amp;$E838&amp;" "&amp;$F838,Bonuses!$B$1:$G$1006,4,FALSE)))</f>
        <v/>
      </c>
      <c r="AE838" s="68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/>
      </c>
    </row>
    <row r="839" spans="1:31" s="50" customFormat="1" x14ac:dyDescent="0.3">
      <c r="A839" s="50">
        <v>7355</v>
      </c>
      <c r="B839" s="50">
        <f>COUNTIF(Table5[PID],A839)</f>
        <v>1</v>
      </c>
      <c r="C839" s="50" t="str">
        <f>IF(COUNTIF(Table3[[#All],[PID]],A839)&gt;0,"P","B")</f>
        <v>B</v>
      </c>
      <c r="D839" s="59" t="str">
        <f>IF($C839="B",INDEX(Batters[[#All],[POS]],MATCH(Table5[[#This Row],[PID]],Batters[[#All],[PID]],0)),INDEX(Table3[[#All],[POS]],MATCH(Table5[[#This Row],[PID]],Table3[[#All],[PID]],0)))</f>
        <v>1B</v>
      </c>
      <c r="E839" s="52" t="str">
        <f>IF($C839="B",INDEX(Batters[[#All],[First]],MATCH(Table5[[#This Row],[PID]],Batters[[#All],[PID]],0)),INDEX(Table3[[#All],[First]],MATCH(Table5[[#This Row],[PID]],Table3[[#All],[PID]],0)))</f>
        <v>Javier</v>
      </c>
      <c r="F839" s="50" t="str">
        <f>IF($C839="B",INDEX(Batters[[#All],[Last]],MATCH(A839,Batters[[#All],[PID]],0)),INDEX(Table3[[#All],[Last]],MATCH(A839,Table3[[#All],[PID]],0)))</f>
        <v>Camacho</v>
      </c>
      <c r="G839" s="56">
        <f>IF($C839="B",INDEX(Batters[[#All],[Age]],MATCH(Table5[[#This Row],[PID]],Batters[[#All],[PID]],0)),INDEX(Table3[[#All],[Age]],MATCH(Table5[[#This Row],[PID]],Table3[[#All],[PID]],0)))</f>
        <v>21</v>
      </c>
      <c r="H839" s="52" t="str">
        <f>IF($C839="B",INDEX(Batters[[#All],[B]],MATCH(Table5[[#This Row],[PID]],Batters[[#All],[PID]],0)),INDEX(Table3[[#All],[B]],MATCH(Table5[[#This Row],[PID]],Table3[[#All],[PID]],0)))</f>
        <v>L</v>
      </c>
      <c r="I839" s="52" t="str">
        <f>IF($C839="B",INDEX(Batters[[#All],[T]],MATCH(Table5[[#This Row],[PID]],Batters[[#All],[PID]],0)),INDEX(Table3[[#All],[T]],MATCH(Table5[[#This Row],[PID]],Table3[[#All],[PID]],0)))</f>
        <v>L</v>
      </c>
      <c r="J839" s="52" t="str">
        <f>IF($C839="B",INDEX(Batters[[#All],[WE]],MATCH(Table5[[#This Row],[PID]],Batters[[#All],[PID]],0)),INDEX(Table3[[#All],[WE]],MATCH(Table5[[#This Row],[PID]],Table3[[#All],[PID]],0)))</f>
        <v>Low</v>
      </c>
      <c r="K839" s="52" t="str">
        <f>IF($C839="B",INDEX(Batters[[#All],[INT]],MATCH(Table5[[#This Row],[PID]],Batters[[#All],[PID]],0)),INDEX(Table3[[#All],[INT]],MATCH(Table5[[#This Row],[PID]],Table3[[#All],[PID]],0)))</f>
        <v>Normal</v>
      </c>
      <c r="L839" s="60">
        <f>IF($C839="B",INDEX(Batters[[#All],[CON P]],MATCH(Table5[[#This Row],[PID]],Batters[[#All],[PID]],0)),INDEX(Table3[[#All],[STU P]],MATCH(Table5[[#This Row],[PID]],Table3[[#All],[PID]],0)))</f>
        <v>4</v>
      </c>
      <c r="M839" s="56">
        <f>IF($C839="B",INDEX(Batters[[#All],[GAP P]],MATCH(Table5[[#This Row],[PID]],Batters[[#All],[PID]],0)),INDEX(Table3[[#All],[MOV P]],MATCH(Table5[[#This Row],[PID]],Table3[[#All],[PID]],0)))</f>
        <v>2</v>
      </c>
      <c r="N839" s="56">
        <f>IF($C839="B",INDEX(Batters[[#All],[POW P]],MATCH(Table5[[#This Row],[PID]],Batters[[#All],[PID]],0)),INDEX(Table3[[#All],[CON P]],MATCH(Table5[[#This Row],[PID]],Table3[[#All],[PID]],0)))</f>
        <v>2</v>
      </c>
      <c r="O839" s="56">
        <f>IF($C839="B",INDEX(Batters[[#All],[EYE P]],MATCH(Table5[[#This Row],[PID]],Batters[[#All],[PID]],0)),INDEX(Table3[[#All],[VELO]],MATCH(Table5[[#This Row],[PID]],Table3[[#All],[PID]],0)))</f>
        <v>1</v>
      </c>
      <c r="P839" s="56">
        <f>IF($C839="B",INDEX(Batters[[#All],[K P]],MATCH(Table5[[#This Row],[PID]],Batters[[#All],[PID]],0)),INDEX(Table3[[#All],[STM]],MATCH(Table5[[#This Row],[PID]],Table3[[#All],[PID]],0)))</f>
        <v>4</v>
      </c>
      <c r="Q839" s="61">
        <f>IF($C839="B",INDEX(Batters[[#All],[Tot]],MATCH(Table5[[#This Row],[PID]],Batters[[#All],[PID]],0)),INDEX(Table3[[#All],[Tot]],MATCH(Table5[[#This Row],[PID]],Table3[[#All],[PID]],0)))</f>
        <v>34.191169642475174</v>
      </c>
      <c r="R839" s="52">
        <f>IF($C839="B",INDEX(Batters[[#All],[zScore]],MATCH(Table5[[#This Row],[PID]],Batters[[#All],[PID]],0)),INDEX(Table3[[#All],[zScore]],MATCH(Table5[[#This Row],[PID]],Table3[[#All],[PID]],0)))</f>
        <v>-1.3177009692830406</v>
      </c>
      <c r="S839" s="58" t="str">
        <f>IF($C839="B",INDEX(Batters[[#All],[DEM]],MATCH(Table5[[#This Row],[PID]],Batters[[#All],[PID]],0)),INDEX(Table3[[#All],[DEM]],MATCH(Table5[[#This Row],[PID]],Table3[[#All],[PID]],0)))</f>
        <v>-</v>
      </c>
      <c r="T839" s="62">
        <f>IF($C839="B",INDEX(Batters[[#All],[Rnk]],MATCH(Table5[[#This Row],[PID]],Batters[[#All],[PID]],0)),INDEX(Table3[[#All],[Rnk]],MATCH(Table5[[#This Row],[PID]],Table3[[#All],[PID]],0)))</f>
        <v>930</v>
      </c>
      <c r="U839" s="67">
        <f>IF($C839="B",VLOOKUP($A839,Bat!$A$4:$BA$1314,47,FALSE),VLOOKUP($A839,Pit!$A$4:$BF$1214,56,FALSE))</f>
        <v>393</v>
      </c>
      <c r="V839" s="50">
        <f>IF($C839="B",VLOOKUP($A839,Bat!$A$4:$BA$1314,48,FALSE),VLOOKUP($A839,Pit!$A$4:$BF$1214,57,FALSE))</f>
        <v>0</v>
      </c>
      <c r="W839" s="68">
        <f>IF(Table5[[#This Row],[posRnk]]=999,9999,Table5[[#This Row],[posRnk]]+Table5[[#This Row],[zRnk]]+IF($W$3&lt;&gt;Table5[[#This Row],[Type]],50,0))</f>
        <v>1814</v>
      </c>
      <c r="X839" s="51">
        <f>RANK(Table5[[#This Row],[zScore]],Table5[[#All],[zScore]])</f>
        <v>834</v>
      </c>
      <c r="Y839" s="50" t="str">
        <f>IFERROR(INDEX(DraftResults[[#All],[OVR]],MATCH(Table5[[#This Row],[PID]],DraftResults[[#All],[Player ID]],0)),"")</f>
        <v/>
      </c>
      <c r="Z839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/>
      </c>
      <c r="AA839" s="50" t="str">
        <f>IFERROR(INDEX(DraftResults[[#All],[Pick in Round]],MATCH(Table5[[#This Row],[PID]],DraftResults[[#All],[Player ID]],0)),"")</f>
        <v/>
      </c>
      <c r="AB839" s="50" t="str">
        <f>IFERROR(INDEX(DraftResults[[#All],[Team Name]],MATCH(Table5[[#This Row],[PID]],DraftResults[[#All],[Player ID]],0)),"")</f>
        <v/>
      </c>
      <c r="AC839" s="50" t="str">
        <f>IF(Table5[[#This Row],[Ovr]]="","",IF(Table5[[#This Row],[cmbList]]="","",Table5[[#This Row],[cmbList]]-Table5[[#This Row],[Ovr]]))</f>
        <v/>
      </c>
      <c r="AD839" s="54" t="str">
        <f>IF(ISERROR(VLOOKUP($AB839&amp;"-"&amp;$E839&amp;" "&amp;F839,Bonuses!$B$1:$G$1006,4,FALSE)),"",INT(VLOOKUP($AB839&amp;"-"&amp;$E839&amp;" "&amp;$F839,Bonuses!$B$1:$G$1006,4,FALSE)))</f>
        <v/>
      </c>
      <c r="AE839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/>
      </c>
    </row>
    <row r="840" spans="1:31" s="50" customFormat="1" x14ac:dyDescent="0.3">
      <c r="A840" s="50">
        <v>16930</v>
      </c>
      <c r="B840" s="50">
        <f>COUNTIF(Table5[PID],A840)</f>
        <v>1</v>
      </c>
      <c r="C840" s="50" t="str">
        <f>IF(COUNTIF(Table3[[#All],[PID]],A840)&gt;0,"P","B")</f>
        <v>B</v>
      </c>
      <c r="D840" s="59" t="str">
        <f>IF($C840="B",INDEX(Batters[[#All],[POS]],MATCH(Table5[[#This Row],[PID]],Batters[[#All],[PID]],0)),INDEX(Table3[[#All],[POS]],MATCH(Table5[[#This Row],[PID]],Table3[[#All],[PID]],0)))</f>
        <v>2B</v>
      </c>
      <c r="E840" s="52" t="str">
        <f>IF($C840="B",INDEX(Batters[[#All],[First]],MATCH(Table5[[#This Row],[PID]],Batters[[#All],[PID]],0)),INDEX(Table3[[#All],[First]],MATCH(Table5[[#This Row],[PID]],Table3[[#All],[PID]],0)))</f>
        <v>Jack</v>
      </c>
      <c r="F840" s="50" t="str">
        <f>IF($C840="B",INDEX(Batters[[#All],[Last]],MATCH(A840,Batters[[#All],[PID]],0)),INDEX(Table3[[#All],[Last]],MATCH(A840,Table3[[#All],[PID]],0)))</f>
        <v>Anderson</v>
      </c>
      <c r="G840" s="56">
        <f>IF($C840="B",INDEX(Batters[[#All],[Age]],MATCH(Table5[[#This Row],[PID]],Batters[[#All],[PID]],0)),INDEX(Table3[[#All],[Age]],MATCH(Table5[[#This Row],[PID]],Table3[[#All],[PID]],0)))</f>
        <v>22</v>
      </c>
      <c r="H840" s="52" t="str">
        <f>IF($C840="B",INDEX(Batters[[#All],[B]],MATCH(Table5[[#This Row],[PID]],Batters[[#All],[PID]],0)),INDEX(Table3[[#All],[B]],MATCH(Table5[[#This Row],[PID]],Table3[[#All],[PID]],0)))</f>
        <v>R</v>
      </c>
      <c r="I840" s="52" t="str">
        <f>IF($C840="B",INDEX(Batters[[#All],[T]],MATCH(Table5[[#This Row],[PID]],Batters[[#All],[PID]],0)),INDEX(Table3[[#All],[T]],MATCH(Table5[[#This Row],[PID]],Table3[[#All],[PID]],0)))</f>
        <v>R</v>
      </c>
      <c r="J840" s="52" t="str">
        <f>IF($C840="B",INDEX(Batters[[#All],[WE]],MATCH(Table5[[#This Row],[PID]],Batters[[#All],[PID]],0)),INDEX(Table3[[#All],[WE]],MATCH(Table5[[#This Row],[PID]],Table3[[#All],[PID]],0)))</f>
        <v>High</v>
      </c>
      <c r="K840" s="52" t="str">
        <f>IF($C840="B",INDEX(Batters[[#All],[INT]],MATCH(Table5[[#This Row],[PID]],Batters[[#All],[PID]],0)),INDEX(Table3[[#All],[INT]],MATCH(Table5[[#This Row],[PID]],Table3[[#All],[PID]],0)))</f>
        <v>Normal</v>
      </c>
      <c r="L840" s="60">
        <f>IF($C840="B",INDEX(Batters[[#All],[CON P]],MATCH(Table5[[#This Row],[PID]],Batters[[#All],[PID]],0)),INDEX(Table3[[#All],[STU P]],MATCH(Table5[[#This Row],[PID]],Table3[[#All],[PID]],0)))</f>
        <v>2</v>
      </c>
      <c r="M840" s="56">
        <f>IF($C840="B",INDEX(Batters[[#All],[GAP P]],MATCH(Table5[[#This Row],[PID]],Batters[[#All],[PID]],0)),INDEX(Table3[[#All],[MOV P]],MATCH(Table5[[#This Row],[PID]],Table3[[#All],[PID]],0)))</f>
        <v>3</v>
      </c>
      <c r="N840" s="56">
        <f>IF($C840="B",INDEX(Batters[[#All],[POW P]],MATCH(Table5[[#This Row],[PID]],Batters[[#All],[PID]],0)),INDEX(Table3[[#All],[CON P]],MATCH(Table5[[#This Row],[PID]],Table3[[#All],[PID]],0)))</f>
        <v>3</v>
      </c>
      <c r="O840" s="56">
        <f>IF($C840="B",INDEX(Batters[[#All],[EYE P]],MATCH(Table5[[#This Row],[PID]],Batters[[#All],[PID]],0)),INDEX(Table3[[#All],[VELO]],MATCH(Table5[[#This Row],[PID]],Table3[[#All],[PID]],0)))</f>
        <v>4</v>
      </c>
      <c r="P840" s="56">
        <f>IF($C840="B",INDEX(Batters[[#All],[K P]],MATCH(Table5[[#This Row],[PID]],Batters[[#All],[PID]],0)),INDEX(Table3[[#All],[STM]],MATCH(Table5[[#This Row],[PID]],Table3[[#All],[PID]],0)))</f>
        <v>3</v>
      </c>
      <c r="Q840" s="61">
        <f>IF($C840="B",INDEX(Batters[[#All],[Tot]],MATCH(Table5[[#This Row],[PID]],Batters[[#All],[PID]],0)),INDEX(Table3[[#All],[Tot]],MATCH(Table5[[#This Row],[PID]],Table3[[#All],[PID]],0)))</f>
        <v>32.089240722549022</v>
      </c>
      <c r="R840" s="52">
        <f>IF($C840="B",INDEX(Batters[[#All],[zScore]],MATCH(Table5[[#This Row],[PID]],Batters[[#All],[PID]],0)),INDEX(Table3[[#All],[zScore]],MATCH(Table5[[#This Row],[PID]],Table3[[#All],[PID]],0)))</f>
        <v>-1.6245155603373409</v>
      </c>
      <c r="S840" s="58" t="str">
        <f>IF($C840="B",INDEX(Batters[[#All],[DEM]],MATCH(Table5[[#This Row],[PID]],Batters[[#All],[PID]],0)),INDEX(Table3[[#All],[DEM]],MATCH(Table5[[#This Row],[PID]],Table3[[#All],[PID]],0)))</f>
        <v>-</v>
      </c>
      <c r="T840" s="62">
        <f>IF($C840="B",INDEX(Batters[[#All],[Rnk]],MATCH(Table5[[#This Row],[PID]],Batters[[#All],[PID]],0)),INDEX(Table3[[#All],[Rnk]],MATCH(Table5[[#This Row],[PID]],Table3[[#All],[PID]],0)))</f>
        <v>900</v>
      </c>
      <c r="U840" s="67">
        <f>IF($C840="B",VLOOKUP($A840,Bat!$A$4:$BA$1314,47,FALSE),VLOOKUP($A840,Pit!$A$4:$BF$1214,56,FALSE))</f>
        <v>288</v>
      </c>
      <c r="V840" s="50">
        <f>IF($C840="B",VLOOKUP($A840,Bat!$A$4:$BA$1314,48,FALSE),VLOOKUP($A840,Pit!$A$4:$BF$1214,57,FALSE))</f>
        <v>0</v>
      </c>
      <c r="W840" s="68">
        <f>IF(Table5[[#This Row],[posRnk]]=999,9999,Table5[[#This Row],[posRnk]]+Table5[[#This Row],[zRnk]]+IF($W$3&lt;&gt;Table5[[#This Row],[Type]],50,0))</f>
        <v>1816</v>
      </c>
      <c r="X840" s="51">
        <f>RANK(Table5[[#This Row],[zScore]],Table5[[#All],[zScore]])</f>
        <v>866</v>
      </c>
      <c r="Y840" s="50" t="str">
        <f>IFERROR(INDEX(DraftResults[[#All],[OVR]],MATCH(Table5[[#This Row],[PID]],DraftResults[[#All],[Player ID]],0)),"")</f>
        <v/>
      </c>
      <c r="Z840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/>
      </c>
      <c r="AA840" s="50" t="str">
        <f>IFERROR(INDEX(DraftResults[[#All],[Pick in Round]],MATCH(Table5[[#This Row],[PID]],DraftResults[[#All],[Player ID]],0)),"")</f>
        <v/>
      </c>
      <c r="AB840" s="50" t="str">
        <f>IFERROR(INDEX(DraftResults[[#All],[Team Name]],MATCH(Table5[[#This Row],[PID]],DraftResults[[#All],[Player ID]],0)),"")</f>
        <v/>
      </c>
      <c r="AC840" s="50" t="str">
        <f>IF(Table5[[#This Row],[Ovr]]="","",IF(Table5[[#This Row],[cmbList]]="","",Table5[[#This Row],[cmbList]]-Table5[[#This Row],[Ovr]]))</f>
        <v/>
      </c>
      <c r="AD840" s="54" t="str">
        <f>IF(ISERROR(VLOOKUP($AB840&amp;"-"&amp;$E840&amp;" "&amp;F840,Bonuses!$B$1:$G$1006,4,FALSE)),"",INT(VLOOKUP($AB840&amp;"-"&amp;$E840&amp;" "&amp;$F840,Bonuses!$B$1:$G$1006,4,FALSE)))</f>
        <v/>
      </c>
      <c r="AE840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/>
      </c>
    </row>
    <row r="841" spans="1:31" s="50" customFormat="1" x14ac:dyDescent="0.3">
      <c r="A841" s="50">
        <v>12458</v>
      </c>
      <c r="B841" s="50">
        <f>COUNTIF(Table5[PID],A841)</f>
        <v>1</v>
      </c>
      <c r="C841" s="50" t="str">
        <f>IF(COUNTIF(Table3[[#All],[PID]],A841)&gt;0,"P","B")</f>
        <v>B</v>
      </c>
      <c r="D841" s="59" t="str">
        <f>IF($C841="B",INDEX(Batters[[#All],[POS]],MATCH(Table5[[#This Row],[PID]],Batters[[#All],[PID]],0)),INDEX(Table3[[#All],[POS]],MATCH(Table5[[#This Row],[PID]],Table3[[#All],[PID]],0)))</f>
        <v>C</v>
      </c>
      <c r="E841" s="52" t="str">
        <f>IF($C841="B",INDEX(Batters[[#All],[First]],MATCH(Table5[[#This Row],[PID]],Batters[[#All],[PID]],0)),INDEX(Table3[[#All],[First]],MATCH(Table5[[#This Row],[PID]],Table3[[#All],[PID]],0)))</f>
        <v>Ángel</v>
      </c>
      <c r="F841" s="50" t="str">
        <f>IF($C841="B",INDEX(Batters[[#All],[Last]],MATCH(A841,Batters[[#All],[PID]],0)),INDEX(Table3[[#All],[Last]],MATCH(A841,Table3[[#All],[PID]],0)))</f>
        <v>Hansen</v>
      </c>
      <c r="G841" s="56">
        <f>IF($C841="B",INDEX(Batters[[#All],[Age]],MATCH(Table5[[#This Row],[PID]],Batters[[#All],[PID]],0)),INDEX(Table3[[#All],[Age]],MATCH(Table5[[#This Row],[PID]],Table3[[#All],[PID]],0)))</f>
        <v>22</v>
      </c>
      <c r="H841" s="52" t="str">
        <f>IF($C841="B",INDEX(Batters[[#All],[B]],MATCH(Table5[[#This Row],[PID]],Batters[[#All],[PID]],0)),INDEX(Table3[[#All],[B]],MATCH(Table5[[#This Row],[PID]],Table3[[#All],[PID]],0)))</f>
        <v>R</v>
      </c>
      <c r="I841" s="52" t="str">
        <f>IF($C841="B",INDEX(Batters[[#All],[T]],MATCH(Table5[[#This Row],[PID]],Batters[[#All],[PID]],0)),INDEX(Table3[[#All],[T]],MATCH(Table5[[#This Row],[PID]],Table3[[#All],[PID]],0)))</f>
        <v>R</v>
      </c>
      <c r="J841" s="52" t="str">
        <f>IF($C841="B",INDEX(Batters[[#All],[WE]],MATCH(Table5[[#This Row],[PID]],Batters[[#All],[PID]],0)),INDEX(Table3[[#All],[WE]],MATCH(Table5[[#This Row],[PID]],Table3[[#All],[PID]],0)))</f>
        <v>Low</v>
      </c>
      <c r="K841" s="52" t="str">
        <f>IF($C841="B",INDEX(Batters[[#All],[INT]],MATCH(Table5[[#This Row],[PID]],Batters[[#All],[PID]],0)),INDEX(Table3[[#All],[INT]],MATCH(Table5[[#This Row],[PID]],Table3[[#All],[PID]],0)))</f>
        <v>Normal</v>
      </c>
      <c r="L841" s="60">
        <f>IF($C841="B",INDEX(Batters[[#All],[CON P]],MATCH(Table5[[#This Row],[PID]],Batters[[#All],[PID]],0)),INDEX(Table3[[#All],[STU P]],MATCH(Table5[[#This Row],[PID]],Table3[[#All],[PID]],0)))</f>
        <v>3</v>
      </c>
      <c r="M841" s="56">
        <f>IF($C841="B",INDEX(Batters[[#All],[GAP P]],MATCH(Table5[[#This Row],[PID]],Batters[[#All],[PID]],0)),INDEX(Table3[[#All],[MOV P]],MATCH(Table5[[#This Row],[PID]],Table3[[#All],[PID]],0)))</f>
        <v>3</v>
      </c>
      <c r="N841" s="56">
        <f>IF($C841="B",INDEX(Batters[[#All],[POW P]],MATCH(Table5[[#This Row],[PID]],Batters[[#All],[PID]],0)),INDEX(Table3[[#All],[CON P]],MATCH(Table5[[#This Row],[PID]],Table3[[#All],[PID]],0)))</f>
        <v>2</v>
      </c>
      <c r="O841" s="56">
        <f>IF($C841="B",INDEX(Batters[[#All],[EYE P]],MATCH(Table5[[#This Row],[PID]],Batters[[#All],[PID]],0)),INDEX(Table3[[#All],[VELO]],MATCH(Table5[[#This Row],[PID]],Table3[[#All],[PID]],0)))</f>
        <v>4</v>
      </c>
      <c r="P841" s="56">
        <f>IF($C841="B",INDEX(Batters[[#All],[K P]],MATCH(Table5[[#This Row],[PID]],Batters[[#All],[PID]],0)),INDEX(Table3[[#All],[STM]],MATCH(Table5[[#This Row],[PID]],Table3[[#All],[PID]],0)))</f>
        <v>4</v>
      </c>
      <c r="Q841" s="61">
        <f>IF($C841="B",INDEX(Batters[[#All],[Tot]],MATCH(Table5[[#This Row],[PID]],Batters[[#All],[PID]],0)),INDEX(Table3[[#All],[Tot]],MATCH(Table5[[#This Row],[PID]],Table3[[#All],[PID]],0)))</f>
        <v>34.140581689173288</v>
      </c>
      <c r="R841" s="52">
        <f>IF($C841="B",INDEX(Batters[[#All],[zScore]],MATCH(Table5[[#This Row],[PID]],Batters[[#All],[PID]],0)),INDEX(Table3[[#All],[zScore]],MATCH(Table5[[#This Row],[PID]],Table3[[#All],[PID]],0)))</f>
        <v>-1.3250851971974353</v>
      </c>
      <c r="S841" s="58" t="str">
        <f>IF($C841="B",INDEX(Batters[[#All],[DEM]],MATCH(Table5[[#This Row],[PID]],Batters[[#All],[PID]],0)),INDEX(Table3[[#All],[DEM]],MATCH(Table5[[#This Row],[PID]],Table3[[#All],[PID]],0)))</f>
        <v>-</v>
      </c>
      <c r="T841" s="62">
        <f>IF($C841="B",INDEX(Batters[[#All],[Rnk]],MATCH(Table5[[#This Row],[PID]],Batters[[#All],[PID]],0)),INDEX(Table3[[#All],[Rnk]],MATCH(Table5[[#This Row],[PID]],Table3[[#All],[PID]],0)))</f>
        <v>930</v>
      </c>
      <c r="U841" s="67">
        <f>IF($C841="B",VLOOKUP($A841,Bat!$A$4:$BA$1314,47,FALSE),VLOOKUP($A841,Pit!$A$4:$BF$1214,56,FALSE))</f>
        <v>394</v>
      </c>
      <c r="V841" s="50">
        <f>IF($C841="B",VLOOKUP($A841,Bat!$A$4:$BA$1314,48,FALSE),VLOOKUP($A841,Pit!$A$4:$BF$1214,57,FALSE))</f>
        <v>0</v>
      </c>
      <c r="W841" s="68">
        <f>IF(Table5[[#This Row],[posRnk]]=999,9999,Table5[[#This Row],[posRnk]]+Table5[[#This Row],[zRnk]]+IF($W$3&lt;&gt;Table5[[#This Row],[Type]],50,0))</f>
        <v>1816</v>
      </c>
      <c r="X841" s="51">
        <f>RANK(Table5[[#This Row],[zScore]],Table5[[#All],[zScore]])</f>
        <v>836</v>
      </c>
      <c r="Y841" s="50" t="str">
        <f>IFERROR(INDEX(DraftResults[[#All],[OVR]],MATCH(Table5[[#This Row],[PID]],DraftResults[[#All],[Player ID]],0)),"")</f>
        <v/>
      </c>
      <c r="Z841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/>
      </c>
      <c r="AA841" s="50" t="str">
        <f>IFERROR(INDEX(DraftResults[[#All],[Pick in Round]],MATCH(Table5[[#This Row],[PID]],DraftResults[[#All],[Player ID]],0)),"")</f>
        <v/>
      </c>
      <c r="AB841" s="50" t="str">
        <f>IFERROR(INDEX(DraftResults[[#All],[Team Name]],MATCH(Table5[[#This Row],[PID]],DraftResults[[#All],[Player ID]],0)),"")</f>
        <v/>
      </c>
      <c r="AC841" s="50" t="str">
        <f>IF(Table5[[#This Row],[Ovr]]="","",IF(Table5[[#This Row],[cmbList]]="","",Table5[[#This Row],[cmbList]]-Table5[[#This Row],[Ovr]]))</f>
        <v/>
      </c>
      <c r="AD841" s="54" t="str">
        <f>IF(ISERROR(VLOOKUP($AB841&amp;"-"&amp;$E841&amp;" "&amp;F841,Bonuses!$B$1:$G$1006,4,FALSE)),"",INT(VLOOKUP($AB841&amp;"-"&amp;$E841&amp;" "&amp;$F841,Bonuses!$B$1:$G$1006,4,FALSE)))</f>
        <v/>
      </c>
      <c r="AE841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/>
      </c>
    </row>
    <row r="842" spans="1:31" s="50" customFormat="1" x14ac:dyDescent="0.3">
      <c r="A842" s="50">
        <v>14655</v>
      </c>
      <c r="B842" s="50">
        <f>COUNTIF(Table5[PID],A842)</f>
        <v>1</v>
      </c>
      <c r="C842" s="50" t="str">
        <f>IF(COUNTIF(Table3[[#All],[PID]],A842)&gt;0,"P","B")</f>
        <v>P</v>
      </c>
      <c r="D842" s="59" t="str">
        <f>IF($C842="B",INDEX(Batters[[#All],[POS]],MATCH(Table5[[#This Row],[PID]],Batters[[#All],[PID]],0)),INDEX(Table3[[#All],[POS]],MATCH(Table5[[#This Row],[PID]],Table3[[#All],[PID]],0)))</f>
        <v>RP</v>
      </c>
      <c r="E842" s="52" t="str">
        <f>IF($C842="B",INDEX(Batters[[#All],[First]],MATCH(Table5[[#This Row],[PID]],Batters[[#All],[PID]],0)),INDEX(Table3[[#All],[First]],MATCH(Table5[[#This Row],[PID]],Table3[[#All],[PID]],0)))</f>
        <v>Cristóbal</v>
      </c>
      <c r="F842" s="50" t="str">
        <f>IF($C842="B",INDEX(Batters[[#All],[Last]],MATCH(A842,Batters[[#All],[PID]],0)),INDEX(Table3[[#All],[Last]],MATCH(A842,Table3[[#All],[PID]],0)))</f>
        <v>Torres</v>
      </c>
      <c r="G842" s="56">
        <f>IF($C842="B",INDEX(Batters[[#All],[Age]],MATCH(Table5[[#This Row],[PID]],Batters[[#All],[PID]],0)),INDEX(Table3[[#All],[Age]],MATCH(Table5[[#This Row],[PID]],Table3[[#All],[PID]],0)))</f>
        <v>21</v>
      </c>
      <c r="H842" s="52" t="str">
        <f>IF($C842="B",INDEX(Batters[[#All],[B]],MATCH(Table5[[#This Row],[PID]],Batters[[#All],[PID]],0)),INDEX(Table3[[#All],[B]],MATCH(Table5[[#This Row],[PID]],Table3[[#All],[PID]],0)))</f>
        <v>L</v>
      </c>
      <c r="I842" s="52" t="str">
        <f>IF($C842="B",INDEX(Batters[[#All],[T]],MATCH(Table5[[#This Row],[PID]],Batters[[#All],[PID]],0)),INDEX(Table3[[#All],[T]],MATCH(Table5[[#This Row],[PID]],Table3[[#All],[PID]],0)))</f>
        <v>L</v>
      </c>
      <c r="J842" s="52" t="str">
        <f>IF($C842="B",INDEX(Batters[[#All],[WE]],MATCH(Table5[[#This Row],[PID]],Batters[[#All],[PID]],0)),INDEX(Table3[[#All],[WE]],MATCH(Table5[[#This Row],[PID]],Table3[[#All],[PID]],0)))</f>
        <v>Low</v>
      </c>
      <c r="K842" s="52" t="str">
        <f>IF($C842="B",INDEX(Batters[[#All],[INT]],MATCH(Table5[[#This Row],[PID]],Batters[[#All],[PID]],0)),INDEX(Table3[[#All],[INT]],MATCH(Table5[[#This Row],[PID]],Table3[[#All],[PID]],0)))</f>
        <v>Normal</v>
      </c>
      <c r="L842" s="60">
        <f>IF($C842="B",INDEX(Batters[[#All],[CON P]],MATCH(Table5[[#This Row],[PID]],Batters[[#All],[PID]],0)),INDEX(Table3[[#All],[STU P]],MATCH(Table5[[#This Row],[PID]],Table3[[#All],[PID]],0)))</f>
        <v>4</v>
      </c>
      <c r="M842" s="56">
        <f>IF($C842="B",INDEX(Batters[[#All],[GAP P]],MATCH(Table5[[#This Row],[PID]],Batters[[#All],[PID]],0)),INDEX(Table3[[#All],[MOV P]],MATCH(Table5[[#This Row],[PID]],Table3[[#All],[PID]],0)))</f>
        <v>1</v>
      </c>
      <c r="N842" s="56">
        <f>IF($C842="B",INDEX(Batters[[#All],[POW P]],MATCH(Table5[[#This Row],[PID]],Batters[[#All],[PID]],0)),INDEX(Table3[[#All],[CON P]],MATCH(Table5[[#This Row],[PID]],Table3[[#All],[PID]],0)))</f>
        <v>2</v>
      </c>
      <c r="O842" s="56" t="str">
        <f>IF($C842="B",INDEX(Batters[[#All],[EYE P]],MATCH(Table5[[#This Row],[PID]],Batters[[#All],[PID]],0)),INDEX(Table3[[#All],[VELO]],MATCH(Table5[[#This Row],[PID]],Table3[[#All],[PID]],0)))</f>
        <v>87-89 Mph</v>
      </c>
      <c r="P842" s="56">
        <f>IF($C842="B",INDEX(Batters[[#All],[K P]],MATCH(Table5[[#This Row],[PID]],Batters[[#All],[PID]],0)),INDEX(Table3[[#All],[STM]],MATCH(Table5[[#This Row],[PID]],Table3[[#All],[PID]],0)))</f>
        <v>7</v>
      </c>
      <c r="Q842" s="61">
        <f>IF($C842="B",INDEX(Batters[[#All],[Tot]],MATCH(Table5[[#This Row],[PID]],Batters[[#All],[PID]],0)),INDEX(Table3[[#All],[Tot]],MATCH(Table5[[#This Row],[PID]],Table3[[#All],[PID]],0)))</f>
        <v>19.106742464330399</v>
      </c>
      <c r="R842" s="52">
        <f>IF($C842="B",INDEX(Batters[[#All],[zScore]],MATCH(Table5[[#This Row],[PID]],Batters[[#All],[PID]],0)),INDEX(Table3[[#All],[zScore]],MATCH(Table5[[#This Row],[PID]],Table3[[#All],[PID]],0)))</f>
        <v>-1.331275302436616</v>
      </c>
      <c r="S842" s="58" t="str">
        <f>IF($C842="B",INDEX(Batters[[#All],[DEM]],MATCH(Table5[[#This Row],[PID]],Batters[[#All],[PID]],0)),INDEX(Table3[[#All],[DEM]],MATCH(Table5[[#This Row],[PID]],Table3[[#All],[PID]],0)))</f>
        <v>$34k</v>
      </c>
      <c r="T842" s="62">
        <f>IF($C842="B",INDEX(Batters[[#All],[Rnk]],MATCH(Table5[[#This Row],[PID]],Batters[[#All],[PID]],0)),INDEX(Table3[[#All],[Rnk]],MATCH(Table5[[#This Row],[PID]],Table3[[#All],[PID]],0)))</f>
        <v>930</v>
      </c>
      <c r="U842" s="67">
        <f>IF($C842="B",VLOOKUP($A842,Bat!$A$4:$BA$1314,47,FALSE),VLOOKUP($A842,Pit!$A$4:$BF$1214,56,FALSE))</f>
        <v>377</v>
      </c>
      <c r="V842" s="50">
        <f>IF($C842="B",VLOOKUP($A842,Bat!$A$4:$BA$1314,48,FALSE),VLOOKUP($A842,Pit!$A$4:$BF$1214,57,FALSE))</f>
        <v>0</v>
      </c>
      <c r="W842" s="68">
        <f>IF(Table5[[#This Row],[posRnk]]=999,9999,Table5[[#This Row],[posRnk]]+Table5[[#This Row],[zRnk]]+IF($W$3&lt;&gt;Table5[[#This Row],[Type]],50,0))</f>
        <v>1767</v>
      </c>
      <c r="X842" s="51">
        <f>RANK(Table5[[#This Row],[zScore]],Table5[[#All],[zScore]])</f>
        <v>837</v>
      </c>
      <c r="Y842" s="50" t="str">
        <f>IFERROR(INDEX(DraftResults[[#All],[OVR]],MATCH(Table5[[#This Row],[PID]],DraftResults[[#All],[Player ID]],0)),"")</f>
        <v/>
      </c>
      <c r="Z842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/>
      </c>
      <c r="AA842" s="50" t="str">
        <f>IFERROR(INDEX(DraftResults[[#All],[Pick in Round]],MATCH(Table5[[#This Row],[PID]],DraftResults[[#All],[Player ID]],0)),"")</f>
        <v/>
      </c>
      <c r="AB842" s="50" t="str">
        <f>IFERROR(INDEX(DraftResults[[#All],[Team Name]],MATCH(Table5[[#This Row],[PID]],DraftResults[[#All],[Player ID]],0)),"")</f>
        <v/>
      </c>
      <c r="AC842" s="50" t="str">
        <f>IF(Table5[[#This Row],[Ovr]]="","",IF(Table5[[#This Row],[cmbList]]="","",Table5[[#This Row],[cmbList]]-Table5[[#This Row],[Ovr]]))</f>
        <v/>
      </c>
      <c r="AD842" s="54" t="str">
        <f>IF(ISERROR(VLOOKUP($AB842&amp;"-"&amp;$E842&amp;" "&amp;F842,Bonuses!$B$1:$G$1006,4,FALSE)),"",INT(VLOOKUP($AB842&amp;"-"&amp;$E842&amp;" "&amp;$F842,Bonuses!$B$1:$G$1006,4,FALSE)))</f>
        <v/>
      </c>
      <c r="AE842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/>
      </c>
    </row>
    <row r="843" spans="1:31" s="50" customFormat="1" x14ac:dyDescent="0.3">
      <c r="A843" s="50">
        <v>5364</v>
      </c>
      <c r="B843" s="50">
        <f>COUNTIF(Table5[PID],A843)</f>
        <v>1</v>
      </c>
      <c r="C843" s="50" t="str">
        <f>IF(COUNTIF(Table3[[#All],[PID]],A843)&gt;0,"P","B")</f>
        <v>B</v>
      </c>
      <c r="D843" s="59" t="str">
        <f>IF($C843="B",INDEX(Batters[[#All],[POS]],MATCH(Table5[[#This Row],[PID]],Batters[[#All],[PID]],0)),INDEX(Table3[[#All],[POS]],MATCH(Table5[[#This Row],[PID]],Table3[[#All],[PID]],0)))</f>
        <v>1B</v>
      </c>
      <c r="E843" s="52" t="str">
        <f>IF($C843="B",INDEX(Batters[[#All],[First]],MATCH(Table5[[#This Row],[PID]],Batters[[#All],[PID]],0)),INDEX(Table3[[#All],[First]],MATCH(Table5[[#This Row],[PID]],Table3[[#All],[PID]],0)))</f>
        <v>River</v>
      </c>
      <c r="F843" s="50" t="str">
        <f>IF($C843="B",INDEX(Batters[[#All],[Last]],MATCH(A843,Batters[[#All],[PID]],0)),INDEX(Table3[[#All],[Last]],MATCH(A843,Table3[[#All],[PID]],0)))</f>
        <v>Powell</v>
      </c>
      <c r="G843" s="56">
        <f>IF($C843="B",INDEX(Batters[[#All],[Age]],MATCH(Table5[[#This Row],[PID]],Batters[[#All],[PID]],0)),INDEX(Table3[[#All],[Age]],MATCH(Table5[[#This Row],[PID]],Table3[[#All],[PID]],0)))</f>
        <v>21</v>
      </c>
      <c r="H843" s="52" t="str">
        <f>IF($C843="B",INDEX(Batters[[#All],[B]],MATCH(Table5[[#This Row],[PID]],Batters[[#All],[PID]],0)),INDEX(Table3[[#All],[B]],MATCH(Table5[[#This Row],[PID]],Table3[[#All],[PID]],0)))</f>
        <v>L</v>
      </c>
      <c r="I843" s="52" t="str">
        <f>IF($C843="B",INDEX(Batters[[#All],[T]],MATCH(Table5[[#This Row],[PID]],Batters[[#All],[PID]],0)),INDEX(Table3[[#All],[T]],MATCH(Table5[[#This Row],[PID]],Table3[[#All],[PID]],0)))</f>
        <v>L</v>
      </c>
      <c r="J843" s="52" t="str">
        <f>IF($C843="B",INDEX(Batters[[#All],[WE]],MATCH(Table5[[#This Row],[PID]],Batters[[#All],[PID]],0)),INDEX(Table3[[#All],[WE]],MATCH(Table5[[#This Row],[PID]],Table3[[#All],[PID]],0)))</f>
        <v>Normal</v>
      </c>
      <c r="K843" s="52" t="str">
        <f>IF($C843="B",INDEX(Batters[[#All],[INT]],MATCH(Table5[[#This Row],[PID]],Batters[[#All],[PID]],0)),INDEX(Table3[[#All],[INT]],MATCH(Table5[[#This Row],[PID]],Table3[[#All],[PID]],0)))</f>
        <v>High</v>
      </c>
      <c r="L843" s="60">
        <f>IF($C843="B",INDEX(Batters[[#All],[CON P]],MATCH(Table5[[#This Row],[PID]],Batters[[#All],[PID]],0)),INDEX(Table3[[#All],[STU P]],MATCH(Table5[[#This Row],[PID]],Table3[[#All],[PID]],0)))</f>
        <v>3</v>
      </c>
      <c r="M843" s="56">
        <f>IF($C843="B",INDEX(Batters[[#All],[GAP P]],MATCH(Table5[[#This Row],[PID]],Batters[[#All],[PID]],0)),INDEX(Table3[[#All],[MOV P]],MATCH(Table5[[#This Row],[PID]],Table3[[#All],[PID]],0)))</f>
        <v>2</v>
      </c>
      <c r="N843" s="56">
        <f>IF($C843="B",INDEX(Batters[[#All],[POW P]],MATCH(Table5[[#This Row],[PID]],Batters[[#All],[PID]],0)),INDEX(Table3[[#All],[CON P]],MATCH(Table5[[#This Row],[PID]],Table3[[#All],[PID]],0)))</f>
        <v>2</v>
      </c>
      <c r="O843" s="56">
        <f>IF($C843="B",INDEX(Batters[[#All],[EYE P]],MATCH(Table5[[#This Row],[PID]],Batters[[#All],[PID]],0)),INDEX(Table3[[#All],[VELO]],MATCH(Table5[[#This Row],[PID]],Table3[[#All],[PID]],0)))</f>
        <v>2</v>
      </c>
      <c r="P843" s="56">
        <f>IF($C843="B",INDEX(Batters[[#All],[K P]],MATCH(Table5[[#This Row],[PID]],Batters[[#All],[PID]],0)),INDEX(Table3[[#All],[STM]],MATCH(Table5[[#This Row],[PID]],Table3[[#All],[PID]],0)))</f>
        <v>4</v>
      </c>
      <c r="Q843" s="61">
        <f>IF($C843="B",INDEX(Batters[[#All],[Tot]],MATCH(Table5[[#This Row],[PID]],Batters[[#All],[PID]],0)),INDEX(Table3[[#All],[Tot]],MATCH(Table5[[#This Row],[PID]],Table3[[#All],[PID]],0)))</f>
        <v>31.997014208158046</v>
      </c>
      <c r="R843" s="52">
        <f>IF($C843="B",INDEX(Batters[[#All],[zScore]],MATCH(Table5[[#This Row],[PID]],Batters[[#All],[PID]],0)),INDEX(Table3[[#All],[zScore]],MATCH(Table5[[#This Row],[PID]],Table3[[#All],[PID]],0)))</f>
        <v>-1.6379776903023375</v>
      </c>
      <c r="S843" s="58" t="str">
        <f>IF($C843="B",INDEX(Batters[[#All],[DEM]],MATCH(Table5[[#This Row],[PID]],Batters[[#All],[PID]],0)),INDEX(Table3[[#All],[DEM]],MATCH(Table5[[#This Row],[PID]],Table3[[#All],[PID]],0)))</f>
        <v>-</v>
      </c>
      <c r="T843" s="62">
        <f>IF($C843="B",INDEX(Batters[[#All],[Rnk]],MATCH(Table5[[#This Row],[PID]],Batters[[#All],[PID]],0)),INDEX(Table3[[#All],[Rnk]],MATCH(Table5[[#This Row],[PID]],Table3[[#All],[PID]],0)))</f>
        <v>900</v>
      </c>
      <c r="U843" s="67">
        <f>IF($C843="B",VLOOKUP($A843,Bat!$A$4:$BA$1314,47,FALSE),VLOOKUP($A843,Pit!$A$4:$BF$1214,56,FALSE))</f>
        <v>289</v>
      </c>
      <c r="V843" s="50">
        <f>IF($C843="B",VLOOKUP($A843,Bat!$A$4:$BA$1314,48,FALSE),VLOOKUP($A843,Pit!$A$4:$BF$1214,57,FALSE))</f>
        <v>0</v>
      </c>
      <c r="W843" s="68">
        <f>IF(Table5[[#This Row],[posRnk]]=999,9999,Table5[[#This Row],[posRnk]]+Table5[[#This Row],[zRnk]]+IF($W$3&lt;&gt;Table5[[#This Row],[Type]],50,0))</f>
        <v>1818</v>
      </c>
      <c r="X843" s="51">
        <f>RANK(Table5[[#This Row],[zScore]],Table5[[#All],[zScore]])</f>
        <v>868</v>
      </c>
      <c r="Y843" s="50">
        <f>IFERROR(INDEX(DraftResults[[#All],[OVR]],MATCH(Table5[[#This Row],[PID]],DraftResults[[#All],[Player ID]],0)),"")</f>
        <v>239</v>
      </c>
      <c r="Z843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8</v>
      </c>
      <c r="AA843" s="50">
        <f>IFERROR(INDEX(DraftResults[[#All],[Pick in Round]],MATCH(Table5[[#This Row],[PID]],DraftResults[[#All],[Player ID]],0)),"")</f>
        <v>6</v>
      </c>
      <c r="AB843" s="50" t="str">
        <f>IFERROR(INDEX(DraftResults[[#All],[Team Name]],MATCH(Table5[[#This Row],[PID]],DraftResults[[#All],[Player ID]],0)),"")</f>
        <v>New Orleans Trendsetters</v>
      </c>
      <c r="AC843" s="50">
        <f>IF(Table5[[#This Row],[Ovr]]="","",IF(Table5[[#This Row],[cmbList]]="","",Table5[[#This Row],[cmbList]]-Table5[[#This Row],[Ovr]]))</f>
        <v>1579</v>
      </c>
      <c r="AD843" s="54" t="str">
        <f>IF(ISERROR(VLOOKUP($AB843&amp;"-"&amp;$E843&amp;" "&amp;F843,Bonuses!$B$1:$G$1006,4,FALSE)),"",INT(VLOOKUP($AB843&amp;"-"&amp;$E843&amp;" "&amp;$F843,Bonuses!$B$1:$G$1006,4,FALSE)))</f>
        <v/>
      </c>
      <c r="AE843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8.6 (239) - 1B River Powell</v>
      </c>
    </row>
    <row r="844" spans="1:31" s="50" customFormat="1" x14ac:dyDescent="0.3">
      <c r="A844" s="50">
        <v>13630</v>
      </c>
      <c r="B844" s="50">
        <f>COUNTIF(Table5[PID],A844)</f>
        <v>1</v>
      </c>
      <c r="C844" s="50" t="str">
        <f>IF(COUNTIF(Table3[[#All],[PID]],A844)&gt;0,"P","B")</f>
        <v>B</v>
      </c>
      <c r="D844" s="59" t="str">
        <f>IF($C844="B",INDEX(Batters[[#All],[POS]],MATCH(Table5[[#This Row],[PID]],Batters[[#All],[PID]],0)),INDEX(Table3[[#All],[POS]],MATCH(Table5[[#This Row],[PID]],Table3[[#All],[PID]],0)))</f>
        <v>C</v>
      </c>
      <c r="E844" s="52" t="str">
        <f>IF($C844="B",INDEX(Batters[[#All],[First]],MATCH(Table5[[#This Row],[PID]],Batters[[#All],[PID]],0)),INDEX(Table3[[#All],[First]],MATCH(Table5[[#This Row],[PID]],Table3[[#All],[PID]],0)))</f>
        <v>Leon</v>
      </c>
      <c r="F844" s="50" t="str">
        <f>IF($C844="B",INDEX(Batters[[#All],[Last]],MATCH(A844,Batters[[#All],[PID]],0)),INDEX(Table3[[#All],[Last]],MATCH(A844,Table3[[#All],[PID]],0)))</f>
        <v>López</v>
      </c>
      <c r="G844" s="56">
        <f>IF($C844="B",INDEX(Batters[[#All],[Age]],MATCH(Table5[[#This Row],[PID]],Batters[[#All],[PID]],0)),INDEX(Table3[[#All],[Age]],MATCH(Table5[[#This Row],[PID]],Table3[[#All],[PID]],0)))</f>
        <v>21</v>
      </c>
      <c r="H844" s="52" t="str">
        <f>IF($C844="B",INDEX(Batters[[#All],[B]],MATCH(Table5[[#This Row],[PID]],Batters[[#All],[PID]],0)),INDEX(Table3[[#All],[B]],MATCH(Table5[[#This Row],[PID]],Table3[[#All],[PID]],0)))</f>
        <v>R</v>
      </c>
      <c r="I844" s="52" t="str">
        <f>IF($C844="B",INDEX(Batters[[#All],[T]],MATCH(Table5[[#This Row],[PID]],Batters[[#All],[PID]],0)),INDEX(Table3[[#All],[T]],MATCH(Table5[[#This Row],[PID]],Table3[[#All],[PID]],0)))</f>
        <v>R</v>
      </c>
      <c r="J844" s="52" t="str">
        <f>IF($C844="B",INDEX(Batters[[#All],[WE]],MATCH(Table5[[#This Row],[PID]],Batters[[#All],[PID]],0)),INDEX(Table3[[#All],[WE]],MATCH(Table5[[#This Row],[PID]],Table3[[#All],[PID]],0)))</f>
        <v>Normal</v>
      </c>
      <c r="K844" s="52" t="str">
        <f>IF($C844="B",INDEX(Batters[[#All],[INT]],MATCH(Table5[[#This Row],[PID]],Batters[[#All],[PID]],0)),INDEX(Table3[[#All],[INT]],MATCH(Table5[[#This Row],[PID]],Table3[[#All],[PID]],0)))</f>
        <v>Low</v>
      </c>
      <c r="L844" s="60">
        <f>IF($C844="B",INDEX(Batters[[#All],[CON P]],MATCH(Table5[[#This Row],[PID]],Batters[[#All],[PID]],0)),INDEX(Table3[[#All],[STU P]],MATCH(Table5[[#This Row],[PID]],Table3[[#All],[PID]],0)))</f>
        <v>3</v>
      </c>
      <c r="M844" s="56">
        <f>IF($C844="B",INDEX(Batters[[#All],[GAP P]],MATCH(Table5[[#This Row],[PID]],Batters[[#All],[PID]],0)),INDEX(Table3[[#All],[MOV P]],MATCH(Table5[[#This Row],[PID]],Table3[[#All],[PID]],0)))</f>
        <v>3</v>
      </c>
      <c r="N844" s="56">
        <f>IF($C844="B",INDEX(Batters[[#All],[POW P]],MATCH(Table5[[#This Row],[PID]],Batters[[#All],[PID]],0)),INDEX(Table3[[#All],[CON P]],MATCH(Table5[[#This Row],[PID]],Table3[[#All],[PID]],0)))</f>
        <v>2</v>
      </c>
      <c r="O844" s="56">
        <f>IF($C844="B",INDEX(Batters[[#All],[EYE P]],MATCH(Table5[[#This Row],[PID]],Batters[[#All],[PID]],0)),INDEX(Table3[[#All],[VELO]],MATCH(Table5[[#This Row],[PID]],Table3[[#All],[PID]],0)))</f>
        <v>5</v>
      </c>
      <c r="P844" s="56">
        <f>IF($C844="B",INDEX(Batters[[#All],[K P]],MATCH(Table5[[#This Row],[PID]],Batters[[#All],[PID]],0)),INDEX(Table3[[#All],[STM]],MATCH(Table5[[#This Row],[PID]],Table3[[#All],[PID]],0)))</f>
        <v>3</v>
      </c>
      <c r="Q844" s="61">
        <f>IF($C844="B",INDEX(Batters[[#All],[Tot]],MATCH(Table5[[#This Row],[PID]],Batters[[#All],[PID]],0)),INDEX(Table3[[#All],[Tot]],MATCH(Table5[[#This Row],[PID]],Table3[[#All],[PID]],0)))</f>
        <v>34.740765178522338</v>
      </c>
      <c r="R844" s="52">
        <f>IF($C844="B",INDEX(Batters[[#All],[zScore]],MATCH(Table5[[#This Row],[PID]],Batters[[#All],[PID]],0)),INDEX(Table3[[#All],[zScore]],MATCH(Table5[[#This Row],[PID]],Table3[[#All],[PID]],0)))</f>
        <v>-1.2374775478157229</v>
      </c>
      <c r="S844" s="58" t="str">
        <f>IF($C844="B",INDEX(Batters[[#All],[DEM]],MATCH(Table5[[#This Row],[PID]],Batters[[#All],[PID]],0)),INDEX(Table3[[#All],[DEM]],MATCH(Table5[[#This Row],[PID]],Table3[[#All],[PID]],0)))</f>
        <v>-</v>
      </c>
      <c r="T844" s="62">
        <f>IF($C844="B",INDEX(Batters[[#All],[Rnk]],MATCH(Table5[[#This Row],[PID]],Batters[[#All],[PID]],0)),INDEX(Table3[[#All],[Rnk]],MATCH(Table5[[#This Row],[PID]],Table3[[#All],[PID]],0)))</f>
        <v>940</v>
      </c>
      <c r="U844" s="67">
        <f>IF($C844="B",VLOOKUP($A844,Bat!$A$4:$BA$1314,47,FALSE),VLOOKUP($A844,Pit!$A$4:$BF$1214,56,FALSE))</f>
        <v>422</v>
      </c>
      <c r="V844" s="50">
        <f>IF($C844="B",VLOOKUP($A844,Bat!$A$4:$BA$1314,48,FALSE),VLOOKUP($A844,Pit!$A$4:$BF$1214,57,FALSE))</f>
        <v>0</v>
      </c>
      <c r="W844" s="68">
        <f>IF(Table5[[#This Row],[posRnk]]=999,9999,Table5[[#This Row],[posRnk]]+Table5[[#This Row],[zRnk]]+IF($W$3&lt;&gt;Table5[[#This Row],[Type]],50,0))</f>
        <v>1818</v>
      </c>
      <c r="X844" s="51">
        <f>RANK(Table5[[#This Row],[zScore]],Table5[[#All],[zScore]])</f>
        <v>828</v>
      </c>
      <c r="Y844" s="50" t="str">
        <f>IFERROR(INDEX(DraftResults[[#All],[OVR]],MATCH(Table5[[#This Row],[PID]],DraftResults[[#All],[Player ID]],0)),"")</f>
        <v/>
      </c>
      <c r="Z844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/>
      </c>
      <c r="AA844" s="50" t="str">
        <f>IFERROR(INDEX(DraftResults[[#All],[Pick in Round]],MATCH(Table5[[#This Row],[PID]],DraftResults[[#All],[Player ID]],0)),"")</f>
        <v/>
      </c>
      <c r="AB844" s="50" t="str">
        <f>IFERROR(INDEX(DraftResults[[#All],[Team Name]],MATCH(Table5[[#This Row],[PID]],DraftResults[[#All],[Player ID]],0)),"")</f>
        <v/>
      </c>
      <c r="AC844" s="50" t="str">
        <f>IF(Table5[[#This Row],[Ovr]]="","",IF(Table5[[#This Row],[cmbList]]="","",Table5[[#This Row],[cmbList]]-Table5[[#This Row],[Ovr]]))</f>
        <v/>
      </c>
      <c r="AD844" s="54" t="str">
        <f>IF(ISERROR(VLOOKUP($AB844&amp;"-"&amp;$E844&amp;" "&amp;F844,Bonuses!$B$1:$G$1006,4,FALSE)),"",INT(VLOOKUP($AB844&amp;"-"&amp;$E844&amp;" "&amp;$F844,Bonuses!$B$1:$G$1006,4,FALSE)))</f>
        <v/>
      </c>
      <c r="AE844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/>
      </c>
    </row>
    <row r="845" spans="1:31" s="50" customFormat="1" x14ac:dyDescent="0.3">
      <c r="A845" s="50">
        <v>16890</v>
      </c>
      <c r="B845" s="50">
        <f>COUNTIF(Table5[PID],A845)</f>
        <v>1</v>
      </c>
      <c r="C845" s="50" t="str">
        <f>IF(COUNTIF(Table3[[#All],[PID]],A845)&gt;0,"P","B")</f>
        <v>P</v>
      </c>
      <c r="D845" s="59" t="str">
        <f>IF($C845="B",INDEX(Batters[[#All],[POS]],MATCH(Table5[[#This Row],[PID]],Batters[[#All],[PID]],0)),INDEX(Table3[[#All],[POS]],MATCH(Table5[[#This Row],[PID]],Table3[[#All],[PID]],0)))</f>
        <v>RP</v>
      </c>
      <c r="E845" s="52" t="str">
        <f>IF($C845="B",INDEX(Batters[[#All],[First]],MATCH(Table5[[#This Row],[PID]],Batters[[#All],[PID]],0)),INDEX(Table3[[#All],[First]],MATCH(Table5[[#This Row],[PID]],Table3[[#All],[PID]],0)))</f>
        <v>Enrique</v>
      </c>
      <c r="F845" s="50" t="str">
        <f>IF($C845="B",INDEX(Batters[[#All],[Last]],MATCH(A845,Batters[[#All],[PID]],0)),INDEX(Table3[[#All],[Last]],MATCH(A845,Table3[[#All],[PID]],0)))</f>
        <v>Gómez</v>
      </c>
      <c r="G845" s="56">
        <f>IF($C845="B",INDEX(Batters[[#All],[Age]],MATCH(Table5[[#This Row],[PID]],Batters[[#All],[PID]],0)),INDEX(Table3[[#All],[Age]],MATCH(Table5[[#This Row],[PID]],Table3[[#All],[PID]],0)))</f>
        <v>22</v>
      </c>
      <c r="H845" s="52" t="str">
        <f>IF($C845="B",INDEX(Batters[[#All],[B]],MATCH(Table5[[#This Row],[PID]],Batters[[#All],[PID]],0)),INDEX(Table3[[#All],[B]],MATCH(Table5[[#This Row],[PID]],Table3[[#All],[PID]],0)))</f>
        <v>R</v>
      </c>
      <c r="I845" s="52" t="str">
        <f>IF($C845="B",INDEX(Batters[[#All],[T]],MATCH(Table5[[#This Row],[PID]],Batters[[#All],[PID]],0)),INDEX(Table3[[#All],[T]],MATCH(Table5[[#This Row],[PID]],Table3[[#All],[PID]],0)))</f>
        <v>R</v>
      </c>
      <c r="J845" s="52" t="str">
        <f>IF($C845="B",INDEX(Batters[[#All],[WE]],MATCH(Table5[[#This Row],[PID]],Batters[[#All],[PID]],0)),INDEX(Table3[[#All],[WE]],MATCH(Table5[[#This Row],[PID]],Table3[[#All],[PID]],0)))</f>
        <v>Normal</v>
      </c>
      <c r="K845" s="52" t="str">
        <f>IF($C845="B",INDEX(Batters[[#All],[INT]],MATCH(Table5[[#This Row],[PID]],Batters[[#All],[PID]],0)),INDEX(Table3[[#All],[INT]],MATCH(Table5[[#This Row],[PID]],Table3[[#All],[PID]],0)))</f>
        <v>Normal</v>
      </c>
      <c r="L845" s="60">
        <f>IF($C845="B",INDEX(Batters[[#All],[CON P]],MATCH(Table5[[#This Row],[PID]],Batters[[#All],[PID]],0)),INDEX(Table3[[#All],[STU P]],MATCH(Table5[[#This Row],[PID]],Table3[[#All],[PID]],0)))</f>
        <v>4</v>
      </c>
      <c r="M845" s="56">
        <f>IF($C845="B",INDEX(Batters[[#All],[GAP P]],MATCH(Table5[[#This Row],[PID]],Batters[[#All],[PID]],0)),INDEX(Table3[[#All],[MOV P]],MATCH(Table5[[#This Row],[PID]],Table3[[#All],[PID]],0)))</f>
        <v>1</v>
      </c>
      <c r="N845" s="56">
        <f>IF($C845="B",INDEX(Batters[[#All],[POW P]],MATCH(Table5[[#This Row],[PID]],Batters[[#All],[PID]],0)),INDEX(Table3[[#All],[CON P]],MATCH(Table5[[#This Row],[PID]],Table3[[#All],[PID]],0)))</f>
        <v>1</v>
      </c>
      <c r="O845" s="56" t="str">
        <f>IF($C845="B",INDEX(Batters[[#All],[EYE P]],MATCH(Table5[[#This Row],[PID]],Batters[[#All],[PID]],0)),INDEX(Table3[[#All],[VELO]],MATCH(Table5[[#This Row],[PID]],Table3[[#All],[PID]],0)))</f>
        <v>89-91 Mph</v>
      </c>
      <c r="P845" s="56">
        <f>IF($C845="B",INDEX(Batters[[#All],[K P]],MATCH(Table5[[#This Row],[PID]],Batters[[#All],[PID]],0)),INDEX(Table3[[#All],[STM]],MATCH(Table5[[#This Row],[PID]],Table3[[#All],[PID]],0)))</f>
        <v>4</v>
      </c>
      <c r="Q845" s="61">
        <f>IF($C845="B",INDEX(Batters[[#All],[Tot]],MATCH(Table5[[#This Row],[PID]],Batters[[#All],[PID]],0)),INDEX(Table3[[#All],[Tot]],MATCH(Table5[[#This Row],[PID]],Table3[[#All],[PID]],0)))</f>
        <v>14.657314586085782</v>
      </c>
      <c r="R845" s="52">
        <f>IF($C845="B",INDEX(Batters[[#All],[zScore]],MATCH(Table5[[#This Row],[PID]],Batters[[#All],[PID]],0)),INDEX(Table3[[#All],[zScore]],MATCH(Table5[[#This Row],[PID]],Table3[[#All],[PID]],0)))</f>
        <v>-1.6481058596287141</v>
      </c>
      <c r="S845" s="58" t="str">
        <f>IF($C845="B",INDEX(Batters[[#All],[DEM]],MATCH(Table5[[#This Row],[PID]],Batters[[#All],[PID]],0)),INDEX(Table3[[#All],[DEM]],MATCH(Table5[[#This Row],[PID]],Table3[[#All],[PID]],0)))</f>
        <v>-</v>
      </c>
      <c r="T845" s="62">
        <f>IF($C845="B",INDEX(Batters[[#All],[Rnk]],MATCH(Table5[[#This Row],[PID]],Batters[[#All],[PID]],0)),INDEX(Table3[[#All],[Rnk]],MATCH(Table5[[#This Row],[PID]],Table3[[#All],[PID]],0)))</f>
        <v>900</v>
      </c>
      <c r="U845" s="67">
        <f>IF($C845="B",VLOOKUP($A845,Bat!$A$4:$BA$1314,47,FALSE),VLOOKUP($A845,Pit!$A$4:$BF$1214,56,FALSE))</f>
        <v>260</v>
      </c>
      <c r="V845" s="50">
        <f>IF($C845="B",VLOOKUP($A845,Bat!$A$4:$BA$1314,48,FALSE),VLOOKUP($A845,Pit!$A$4:$BF$1214,57,FALSE))</f>
        <v>0</v>
      </c>
      <c r="W845" s="68">
        <f>IF(Table5[[#This Row],[posRnk]]=999,9999,Table5[[#This Row],[posRnk]]+Table5[[#This Row],[zRnk]]+IF($W$3&lt;&gt;Table5[[#This Row],[Type]],50,0))</f>
        <v>1769</v>
      </c>
      <c r="X845" s="51">
        <f>RANK(Table5[[#This Row],[zScore]],Table5[[#All],[zScore]])</f>
        <v>869</v>
      </c>
      <c r="Y845" s="50" t="str">
        <f>IFERROR(INDEX(DraftResults[[#All],[OVR]],MATCH(Table5[[#This Row],[PID]],DraftResults[[#All],[Player ID]],0)),"")</f>
        <v/>
      </c>
      <c r="Z845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/>
      </c>
      <c r="AA845" s="50" t="str">
        <f>IFERROR(INDEX(DraftResults[[#All],[Pick in Round]],MATCH(Table5[[#This Row],[PID]],DraftResults[[#All],[Player ID]],0)),"")</f>
        <v/>
      </c>
      <c r="AB845" s="50" t="str">
        <f>IFERROR(INDEX(DraftResults[[#All],[Team Name]],MATCH(Table5[[#This Row],[PID]],DraftResults[[#All],[Player ID]],0)),"")</f>
        <v/>
      </c>
      <c r="AC845" s="50" t="str">
        <f>IF(Table5[[#This Row],[Ovr]]="","",IF(Table5[[#This Row],[cmbList]]="","",Table5[[#This Row],[cmbList]]-Table5[[#This Row],[Ovr]]))</f>
        <v/>
      </c>
      <c r="AD845" s="54" t="str">
        <f>IF(ISERROR(VLOOKUP($AB845&amp;"-"&amp;$E845&amp;" "&amp;F845,Bonuses!$B$1:$G$1006,4,FALSE)),"",INT(VLOOKUP($AB845&amp;"-"&amp;$E845&amp;" "&amp;$F845,Bonuses!$B$1:$G$1006,4,FALSE)))</f>
        <v/>
      </c>
      <c r="AE845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/>
      </c>
    </row>
    <row r="846" spans="1:31" s="50" customFormat="1" x14ac:dyDescent="0.3">
      <c r="A846" s="67">
        <v>20248</v>
      </c>
      <c r="B846" s="68">
        <f>COUNTIF(Table5[PID],A846)</f>
        <v>1</v>
      </c>
      <c r="C846" s="68" t="str">
        <f>IF(COUNTIF(Table3[[#All],[PID]],A846)&gt;0,"P","B")</f>
        <v>P</v>
      </c>
      <c r="D846" s="59" t="str">
        <f>IF($C846="B",INDEX(Batters[[#All],[POS]],MATCH(Table5[[#This Row],[PID]],Batters[[#All],[PID]],0)),INDEX(Table3[[#All],[POS]],MATCH(Table5[[#This Row],[PID]],Table3[[#All],[PID]],0)))</f>
        <v>RP</v>
      </c>
      <c r="E846" s="52" t="str">
        <f>IF($C846="B",INDEX(Batters[[#All],[First]],MATCH(Table5[[#This Row],[PID]],Batters[[#All],[PID]],0)),INDEX(Table3[[#All],[First]],MATCH(Table5[[#This Row],[PID]],Table3[[#All],[PID]],0)))</f>
        <v>Hideki</v>
      </c>
      <c r="F846" s="55" t="str">
        <f>IF($C846="B",INDEX(Batters[[#All],[Last]],MATCH(A846,Batters[[#All],[PID]],0)),INDEX(Table3[[#All],[Last]],MATCH(A846,Table3[[#All],[PID]],0)))</f>
        <v>Sasaki</v>
      </c>
      <c r="G846" s="56">
        <f>IF($C846="B",INDEX(Batters[[#All],[Age]],MATCH(Table5[[#This Row],[PID]],Batters[[#All],[PID]],0)),INDEX(Table3[[#All],[Age]],MATCH(Table5[[#This Row],[PID]],Table3[[#All],[PID]],0)))</f>
        <v>21</v>
      </c>
      <c r="H846" s="52" t="str">
        <f>IF($C846="B",INDEX(Batters[[#All],[B]],MATCH(Table5[[#This Row],[PID]],Batters[[#All],[PID]],0)),INDEX(Table3[[#All],[B]],MATCH(Table5[[#This Row],[PID]],Table3[[#All],[PID]],0)))</f>
        <v>R</v>
      </c>
      <c r="I846" s="52" t="str">
        <f>IF($C846="B",INDEX(Batters[[#All],[T]],MATCH(Table5[[#This Row],[PID]],Batters[[#All],[PID]],0)),INDEX(Table3[[#All],[T]],MATCH(Table5[[#This Row],[PID]],Table3[[#All],[PID]],0)))</f>
        <v>R</v>
      </c>
      <c r="J846" s="69" t="str">
        <f>IF($C846="B",INDEX(Batters[[#All],[WE]],MATCH(Table5[[#This Row],[PID]],Batters[[#All],[PID]],0)),INDEX(Table3[[#All],[WE]],MATCH(Table5[[#This Row],[PID]],Table3[[#All],[PID]],0)))</f>
        <v>Low</v>
      </c>
      <c r="K846" s="52" t="str">
        <f>IF($C846="B",INDEX(Batters[[#All],[INT]],MATCH(Table5[[#This Row],[PID]],Batters[[#All],[PID]],0)),INDEX(Table3[[#All],[INT]],MATCH(Table5[[#This Row],[PID]],Table3[[#All],[PID]],0)))</f>
        <v>Normal</v>
      </c>
      <c r="L846" s="60">
        <f>IF($C846="B",INDEX(Batters[[#All],[CON P]],MATCH(Table5[[#This Row],[PID]],Batters[[#All],[PID]],0)),INDEX(Table3[[#All],[STU P]],MATCH(Table5[[#This Row],[PID]],Table3[[#All],[PID]],0)))</f>
        <v>4</v>
      </c>
      <c r="M846" s="70">
        <f>IF($C846="B",INDEX(Batters[[#All],[GAP P]],MATCH(Table5[[#This Row],[PID]],Batters[[#All],[PID]],0)),INDEX(Table3[[#All],[MOV P]],MATCH(Table5[[#This Row],[PID]],Table3[[#All],[PID]],0)))</f>
        <v>1</v>
      </c>
      <c r="N846" s="70">
        <f>IF($C846="B",INDEX(Batters[[#All],[POW P]],MATCH(Table5[[#This Row],[PID]],Batters[[#All],[PID]],0)),INDEX(Table3[[#All],[CON P]],MATCH(Table5[[#This Row],[PID]],Table3[[#All],[PID]],0)))</f>
        <v>2</v>
      </c>
      <c r="O846" s="70" t="str">
        <f>IF($C846="B",INDEX(Batters[[#All],[EYE P]],MATCH(Table5[[#This Row],[PID]],Batters[[#All],[PID]],0)),INDEX(Table3[[#All],[VELO]],MATCH(Table5[[#This Row],[PID]],Table3[[#All],[PID]],0)))</f>
        <v>91-93 Mph</v>
      </c>
      <c r="P846" s="56">
        <f>IF($C846="B",INDEX(Batters[[#All],[K P]],MATCH(Table5[[#This Row],[PID]],Batters[[#All],[PID]],0)),INDEX(Table3[[#All],[STM]],MATCH(Table5[[#This Row],[PID]],Table3[[#All],[PID]],0)))</f>
        <v>2</v>
      </c>
      <c r="Q846" s="61">
        <f>IF($C846="B",INDEX(Batters[[#All],[Tot]],MATCH(Table5[[#This Row],[PID]],Batters[[#All],[PID]],0)),INDEX(Table3[[#All],[Tot]],MATCH(Table5[[#This Row],[PID]],Table3[[#All],[PID]],0)))</f>
        <v>18.894437600320906</v>
      </c>
      <c r="R846" s="52">
        <f>IF($C846="B",INDEX(Batters[[#All],[zScore]],MATCH(Table5[[#This Row],[PID]],Batters[[#All],[PID]],0)),INDEX(Table3[[#All],[zScore]],MATCH(Table5[[#This Row],[PID]],Table3[[#All],[PID]],0)))</f>
        <v>-1.3463929018672325</v>
      </c>
      <c r="S846" s="75" t="str">
        <f>IF($C846="B",INDEX(Batters[[#All],[DEM]],MATCH(Table5[[#This Row],[PID]],Batters[[#All],[PID]],0)),INDEX(Table3[[#All],[DEM]],MATCH(Table5[[#This Row],[PID]],Table3[[#All],[PID]],0)))</f>
        <v>-</v>
      </c>
      <c r="T846" s="72">
        <f>IF($C846="B",INDEX(Batters[[#All],[Rnk]],MATCH(Table5[[#This Row],[PID]],Batters[[#All],[PID]],0)),INDEX(Table3[[#All],[Rnk]],MATCH(Table5[[#This Row],[PID]],Table3[[#All],[PID]],0)))</f>
        <v>930</v>
      </c>
      <c r="U846" s="67">
        <f>IF($C846="B",VLOOKUP($A846,Bat!$A$4:$BA$1314,47,FALSE),VLOOKUP($A846,Pit!$A$4:$BF$1214,56,FALSE))</f>
        <v>378</v>
      </c>
      <c r="V846" s="50">
        <f>IF($C846="B",VLOOKUP($A846,Bat!$A$4:$BA$1314,48,FALSE),VLOOKUP($A846,Pit!$A$4:$BF$1214,57,FALSE))</f>
        <v>0</v>
      </c>
      <c r="W846" s="68">
        <f>IF(Table5[[#This Row],[posRnk]]=999,9999,Table5[[#This Row],[posRnk]]+Table5[[#This Row],[zRnk]]+IF($W$3&lt;&gt;Table5[[#This Row],[Type]],50,0))</f>
        <v>1769</v>
      </c>
      <c r="X846" s="71">
        <f>RANK(Table5[[#This Row],[zScore]],Table5[[#All],[zScore]])</f>
        <v>839</v>
      </c>
      <c r="Y846" s="68" t="str">
        <f>IFERROR(INDEX(DraftResults[[#All],[OVR]],MATCH(Table5[[#This Row],[PID]],DraftResults[[#All],[Player ID]],0)),"")</f>
        <v/>
      </c>
      <c r="Z846" s="7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/>
      </c>
      <c r="AA846" s="68" t="str">
        <f>IFERROR(INDEX(DraftResults[[#All],[Pick in Round]],MATCH(Table5[[#This Row],[PID]],DraftResults[[#All],[Player ID]],0)),"")</f>
        <v/>
      </c>
      <c r="AB846" s="68" t="str">
        <f>IFERROR(INDEX(DraftResults[[#All],[Team Name]],MATCH(Table5[[#This Row],[PID]],DraftResults[[#All],[Player ID]],0)),"")</f>
        <v/>
      </c>
      <c r="AC846" s="68" t="str">
        <f>IF(Table5[[#This Row],[Ovr]]="","",IF(Table5[[#This Row],[cmbList]]="","",Table5[[#This Row],[cmbList]]-Table5[[#This Row],[Ovr]]))</f>
        <v/>
      </c>
      <c r="AD846" s="74" t="str">
        <f>IF(ISERROR(VLOOKUP($AB846&amp;"-"&amp;$E846&amp;" "&amp;F846,Bonuses!$B$1:$G$1006,4,FALSE)),"",INT(VLOOKUP($AB846&amp;"-"&amp;$E846&amp;" "&amp;$F846,Bonuses!$B$1:$G$1006,4,FALSE)))</f>
        <v/>
      </c>
      <c r="AE846" s="68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/>
      </c>
    </row>
    <row r="847" spans="1:31" s="50" customFormat="1" x14ac:dyDescent="0.3">
      <c r="A847" s="50">
        <v>12535</v>
      </c>
      <c r="B847" s="50">
        <f>COUNTIF(Table5[PID],A847)</f>
        <v>1</v>
      </c>
      <c r="C847" s="50" t="str">
        <f>IF(COUNTIF(Table3[[#All],[PID]],A847)&gt;0,"P","B")</f>
        <v>B</v>
      </c>
      <c r="D847" s="59" t="str">
        <f>IF($C847="B",INDEX(Batters[[#All],[POS]],MATCH(Table5[[#This Row],[PID]],Batters[[#All],[PID]],0)),INDEX(Table3[[#All],[POS]],MATCH(Table5[[#This Row],[PID]],Table3[[#All],[PID]],0)))</f>
        <v>C</v>
      </c>
      <c r="E847" s="52" t="str">
        <f>IF($C847="B",INDEX(Batters[[#All],[First]],MATCH(Table5[[#This Row],[PID]],Batters[[#All],[PID]],0)),INDEX(Table3[[#All],[First]],MATCH(Table5[[#This Row],[PID]],Table3[[#All],[PID]],0)))</f>
        <v>Nelson</v>
      </c>
      <c r="F847" s="50" t="str">
        <f>IF($C847="B",INDEX(Batters[[#All],[Last]],MATCH(A847,Batters[[#All],[PID]],0)),INDEX(Table3[[#All],[Last]],MATCH(A847,Table3[[#All],[PID]],0)))</f>
        <v>Pineda</v>
      </c>
      <c r="G847" s="56">
        <f>IF($C847="B",INDEX(Batters[[#All],[Age]],MATCH(Table5[[#This Row],[PID]],Batters[[#All],[PID]],0)),INDEX(Table3[[#All],[Age]],MATCH(Table5[[#This Row],[PID]],Table3[[#All],[PID]],0)))</f>
        <v>21</v>
      </c>
      <c r="H847" s="52" t="str">
        <f>IF($C847="B",INDEX(Batters[[#All],[B]],MATCH(Table5[[#This Row],[PID]],Batters[[#All],[PID]],0)),INDEX(Table3[[#All],[B]],MATCH(Table5[[#This Row],[PID]],Table3[[#All],[PID]],0)))</f>
        <v>R</v>
      </c>
      <c r="I847" s="52" t="str">
        <f>IF($C847="B",INDEX(Batters[[#All],[T]],MATCH(Table5[[#This Row],[PID]],Batters[[#All],[PID]],0)),INDEX(Table3[[#All],[T]],MATCH(Table5[[#This Row],[PID]],Table3[[#All],[PID]],0)))</f>
        <v>R</v>
      </c>
      <c r="J847" s="52" t="str">
        <f>IF($C847="B",INDEX(Batters[[#All],[WE]],MATCH(Table5[[#This Row],[PID]],Batters[[#All],[PID]],0)),INDEX(Table3[[#All],[WE]],MATCH(Table5[[#This Row],[PID]],Table3[[#All],[PID]],0)))</f>
        <v>High</v>
      </c>
      <c r="K847" s="52" t="str">
        <f>IF($C847="B",INDEX(Batters[[#All],[INT]],MATCH(Table5[[#This Row],[PID]],Batters[[#All],[PID]],0)),INDEX(Table3[[#All],[INT]],MATCH(Table5[[#This Row],[PID]],Table3[[#All],[PID]],0)))</f>
        <v>Low</v>
      </c>
      <c r="L847" s="60">
        <f>IF($C847="B",INDEX(Batters[[#All],[CON P]],MATCH(Table5[[#This Row],[PID]],Batters[[#All],[PID]],0)),INDEX(Table3[[#All],[STU P]],MATCH(Table5[[#This Row],[PID]],Table3[[#All],[PID]],0)))</f>
        <v>2</v>
      </c>
      <c r="M847" s="56">
        <f>IF($C847="B",INDEX(Batters[[#All],[GAP P]],MATCH(Table5[[#This Row],[PID]],Batters[[#All],[PID]],0)),INDEX(Table3[[#All],[MOV P]],MATCH(Table5[[#This Row],[PID]],Table3[[#All],[PID]],0)))</f>
        <v>3</v>
      </c>
      <c r="N847" s="56">
        <f>IF($C847="B",INDEX(Batters[[#All],[POW P]],MATCH(Table5[[#This Row],[PID]],Batters[[#All],[PID]],0)),INDEX(Table3[[#All],[CON P]],MATCH(Table5[[#This Row],[PID]],Table3[[#All],[PID]],0)))</f>
        <v>4</v>
      </c>
      <c r="O847" s="56">
        <f>IF($C847="B",INDEX(Batters[[#All],[EYE P]],MATCH(Table5[[#This Row],[PID]],Batters[[#All],[PID]],0)),INDEX(Table3[[#All],[VELO]],MATCH(Table5[[#This Row],[PID]],Table3[[#All],[PID]],0)))</f>
        <v>4</v>
      </c>
      <c r="P847" s="56">
        <f>IF($C847="B",INDEX(Batters[[#All],[K P]],MATCH(Table5[[#This Row],[PID]],Batters[[#All],[PID]],0)),INDEX(Table3[[#All],[STM]],MATCH(Table5[[#This Row],[PID]],Table3[[#All],[PID]],0)))</f>
        <v>2</v>
      </c>
      <c r="Q847" s="61">
        <f>IF($C847="B",INDEX(Batters[[#All],[Tot]],MATCH(Table5[[#This Row],[PID]],Batters[[#All],[PID]],0)),INDEX(Table3[[#All],[Tot]],MATCH(Table5[[#This Row],[PID]],Table3[[#All],[PID]],0)))</f>
        <v>31.588918412741993</v>
      </c>
      <c r="R847" s="52">
        <f>IF($C847="B",INDEX(Batters[[#All],[zScore]],MATCH(Table5[[#This Row],[PID]],Batters[[#All],[PID]],0)),INDEX(Table3[[#All],[zScore]],MATCH(Table5[[#This Row],[PID]],Table3[[#All],[PID]],0)))</f>
        <v>-1.6716082272648474</v>
      </c>
      <c r="S847" s="58" t="str">
        <f>IF($C847="B",INDEX(Batters[[#All],[DEM]],MATCH(Table5[[#This Row],[PID]],Batters[[#All],[PID]],0)),INDEX(Table3[[#All],[DEM]],MATCH(Table5[[#This Row],[PID]],Table3[[#All],[PID]],0)))</f>
        <v>-</v>
      </c>
      <c r="T847" s="62">
        <f>IF($C847="B",INDEX(Batters[[#All],[Rnk]],MATCH(Table5[[#This Row],[PID]],Batters[[#All],[PID]],0)),INDEX(Table3[[#All],[Rnk]],MATCH(Table5[[#This Row],[PID]],Table3[[#All],[PID]],0)))</f>
        <v>900</v>
      </c>
      <c r="U847" s="67">
        <f>IF($C847="B",VLOOKUP($A847,Bat!$A$4:$BA$1314,47,FALSE),VLOOKUP($A847,Pit!$A$4:$BF$1214,56,FALSE))</f>
        <v>293</v>
      </c>
      <c r="V847" s="50">
        <f>IF($C847="B",VLOOKUP($A847,Bat!$A$4:$BA$1314,48,FALSE),VLOOKUP($A847,Pit!$A$4:$BF$1214,57,FALSE))</f>
        <v>0</v>
      </c>
      <c r="W847" s="68">
        <f>IF(Table5[[#This Row],[posRnk]]=999,9999,Table5[[#This Row],[posRnk]]+Table5[[#This Row],[zRnk]]+IF($W$3&lt;&gt;Table5[[#This Row],[Type]],50,0))</f>
        <v>1820</v>
      </c>
      <c r="X847" s="51">
        <f>RANK(Table5[[#This Row],[zScore]],Table5[[#All],[zScore]])</f>
        <v>870</v>
      </c>
      <c r="Y847" s="50" t="str">
        <f>IFERROR(INDEX(DraftResults[[#All],[OVR]],MATCH(Table5[[#This Row],[PID]],DraftResults[[#All],[Player ID]],0)),"")</f>
        <v/>
      </c>
      <c r="Z847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/>
      </c>
      <c r="AA847" s="50" t="str">
        <f>IFERROR(INDEX(DraftResults[[#All],[Pick in Round]],MATCH(Table5[[#This Row],[PID]],DraftResults[[#All],[Player ID]],0)),"")</f>
        <v/>
      </c>
      <c r="AB847" s="50" t="str">
        <f>IFERROR(INDEX(DraftResults[[#All],[Team Name]],MATCH(Table5[[#This Row],[PID]],DraftResults[[#All],[Player ID]],0)),"")</f>
        <v/>
      </c>
      <c r="AC847" s="50" t="str">
        <f>IF(Table5[[#This Row],[Ovr]]="","",IF(Table5[[#This Row],[cmbList]]="","",Table5[[#This Row],[cmbList]]-Table5[[#This Row],[Ovr]]))</f>
        <v/>
      </c>
      <c r="AD847" s="54" t="str">
        <f>IF(ISERROR(VLOOKUP($AB847&amp;"-"&amp;$E847&amp;" "&amp;F847,Bonuses!$B$1:$G$1006,4,FALSE)),"",INT(VLOOKUP($AB847&amp;"-"&amp;$E847&amp;" "&amp;$F847,Bonuses!$B$1:$G$1006,4,FALSE)))</f>
        <v/>
      </c>
      <c r="AE847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/>
      </c>
    </row>
    <row r="848" spans="1:31" s="50" customFormat="1" x14ac:dyDescent="0.3">
      <c r="A848" s="50">
        <v>17015</v>
      </c>
      <c r="B848" s="50">
        <f>COUNTIF(Table5[PID],A848)</f>
        <v>1</v>
      </c>
      <c r="C848" s="50" t="str">
        <f>IF(COUNTIF(Table3[[#All],[PID]],A848)&gt;0,"P","B")</f>
        <v>B</v>
      </c>
      <c r="D848" s="59" t="str">
        <f>IF($C848="B",INDEX(Batters[[#All],[POS]],MATCH(Table5[[#This Row],[PID]],Batters[[#All],[PID]],0)),INDEX(Table3[[#All],[POS]],MATCH(Table5[[#This Row],[PID]],Table3[[#All],[PID]],0)))</f>
        <v>SS</v>
      </c>
      <c r="E848" s="52" t="str">
        <f>IF($C848="B",INDEX(Batters[[#All],[First]],MATCH(Table5[[#This Row],[PID]],Batters[[#All],[PID]],0)),INDEX(Table3[[#All],[First]],MATCH(Table5[[#This Row],[PID]],Table3[[#All],[PID]],0)))</f>
        <v>Yunosuke</v>
      </c>
      <c r="F848" s="50" t="str">
        <f>IF($C848="B",INDEX(Batters[[#All],[Last]],MATCH(A848,Batters[[#All],[PID]],0)),INDEX(Table3[[#All],[Last]],MATCH(A848,Table3[[#All],[PID]],0)))</f>
        <v>Ono</v>
      </c>
      <c r="G848" s="56">
        <f>IF($C848="B",INDEX(Batters[[#All],[Age]],MATCH(Table5[[#This Row],[PID]],Batters[[#All],[PID]],0)),INDEX(Table3[[#All],[Age]],MATCH(Table5[[#This Row],[PID]],Table3[[#All],[PID]],0)))</f>
        <v>22</v>
      </c>
      <c r="H848" s="52" t="str">
        <f>IF($C848="B",INDEX(Batters[[#All],[B]],MATCH(Table5[[#This Row],[PID]],Batters[[#All],[PID]],0)),INDEX(Table3[[#All],[B]],MATCH(Table5[[#This Row],[PID]],Table3[[#All],[PID]],0)))</f>
        <v>S</v>
      </c>
      <c r="I848" s="52" t="str">
        <f>IF($C848="B",INDEX(Batters[[#All],[T]],MATCH(Table5[[#This Row],[PID]],Batters[[#All],[PID]],0)),INDEX(Table3[[#All],[T]],MATCH(Table5[[#This Row],[PID]],Table3[[#All],[PID]],0)))</f>
        <v>R</v>
      </c>
      <c r="J848" s="52" t="str">
        <f>IF($C848="B",INDEX(Batters[[#All],[WE]],MATCH(Table5[[#This Row],[PID]],Batters[[#All],[PID]],0)),INDEX(Table3[[#All],[WE]],MATCH(Table5[[#This Row],[PID]],Table3[[#All],[PID]],0)))</f>
        <v>Normal</v>
      </c>
      <c r="K848" s="52" t="str">
        <f>IF($C848="B",INDEX(Batters[[#All],[INT]],MATCH(Table5[[#This Row],[PID]],Batters[[#All],[PID]],0)),INDEX(Table3[[#All],[INT]],MATCH(Table5[[#This Row],[PID]],Table3[[#All],[PID]],0)))</f>
        <v>Normal</v>
      </c>
      <c r="L848" s="60">
        <f>IF($C848="B",INDEX(Batters[[#All],[CON P]],MATCH(Table5[[#This Row],[PID]],Batters[[#All],[PID]],0)),INDEX(Table3[[#All],[STU P]],MATCH(Table5[[#This Row],[PID]],Table3[[#All],[PID]],0)))</f>
        <v>2</v>
      </c>
      <c r="M848" s="56">
        <f>IF($C848="B",INDEX(Batters[[#All],[GAP P]],MATCH(Table5[[#This Row],[PID]],Batters[[#All],[PID]],0)),INDEX(Table3[[#All],[MOV P]],MATCH(Table5[[#This Row],[PID]],Table3[[#All],[PID]],0)))</f>
        <v>4</v>
      </c>
      <c r="N848" s="56">
        <f>IF($C848="B",INDEX(Batters[[#All],[POW P]],MATCH(Table5[[#This Row],[PID]],Batters[[#All],[PID]],0)),INDEX(Table3[[#All],[CON P]],MATCH(Table5[[#This Row],[PID]],Table3[[#All],[PID]],0)))</f>
        <v>2</v>
      </c>
      <c r="O848" s="56">
        <f>IF($C848="B",INDEX(Batters[[#All],[EYE P]],MATCH(Table5[[#This Row],[PID]],Batters[[#All],[PID]],0)),INDEX(Table3[[#All],[VELO]],MATCH(Table5[[#This Row],[PID]],Table3[[#All],[PID]],0)))</f>
        <v>4</v>
      </c>
      <c r="P848" s="56">
        <f>IF($C848="B",INDEX(Batters[[#All],[K P]],MATCH(Table5[[#This Row],[PID]],Batters[[#All],[PID]],0)),INDEX(Table3[[#All],[STM]],MATCH(Table5[[#This Row],[PID]],Table3[[#All],[PID]],0)))</f>
        <v>3</v>
      </c>
      <c r="Q848" s="61">
        <f>IF($C848="B",INDEX(Batters[[#All],[Tot]],MATCH(Table5[[#This Row],[PID]],Batters[[#All],[PID]],0)),INDEX(Table3[[#All],[Tot]],MATCH(Table5[[#This Row],[PID]],Table3[[#All],[PID]],0)))</f>
        <v>31.552434132360627</v>
      </c>
      <c r="R848" s="52">
        <f>IF($C848="B",INDEX(Batters[[#All],[zScore]],MATCH(Table5[[#This Row],[PID]],Batters[[#All],[PID]],0)),INDEX(Table3[[#All],[zScore]],MATCH(Table5[[#This Row],[PID]],Table3[[#All],[PID]],0)))</f>
        <v>-1.6768903748350816</v>
      </c>
      <c r="S848" s="58" t="str">
        <f>IF($C848="B",INDEX(Batters[[#All],[DEM]],MATCH(Table5[[#This Row],[PID]],Batters[[#All],[PID]],0)),INDEX(Table3[[#All],[DEM]],MATCH(Table5[[#This Row],[PID]],Table3[[#All],[PID]],0)))</f>
        <v>$20k</v>
      </c>
      <c r="T848" s="62">
        <f>IF($C848="B",INDEX(Batters[[#All],[Rnk]],MATCH(Table5[[#This Row],[PID]],Batters[[#All],[PID]],0)),INDEX(Table3[[#All],[Rnk]],MATCH(Table5[[#This Row],[PID]],Table3[[#All],[PID]],0)))</f>
        <v>900</v>
      </c>
      <c r="U848" s="67">
        <f>IF($C848="B",VLOOKUP($A848,Bat!$A$4:$BA$1314,47,FALSE),VLOOKUP($A848,Pit!$A$4:$BF$1214,56,FALSE))</f>
        <v>294</v>
      </c>
      <c r="V848" s="50">
        <f>IF($C848="B",VLOOKUP($A848,Bat!$A$4:$BA$1314,48,FALSE),VLOOKUP($A848,Pit!$A$4:$BF$1214,57,FALSE))</f>
        <v>0</v>
      </c>
      <c r="W848" s="68">
        <f>IF(Table5[[#This Row],[posRnk]]=999,9999,Table5[[#This Row],[posRnk]]+Table5[[#This Row],[zRnk]]+IF($W$3&lt;&gt;Table5[[#This Row],[Type]],50,0))</f>
        <v>1821</v>
      </c>
      <c r="X848" s="51">
        <f>RANK(Table5[[#This Row],[zScore]],Table5[[#All],[zScore]])</f>
        <v>871</v>
      </c>
      <c r="Y848" s="50" t="str">
        <f>IFERROR(INDEX(DraftResults[[#All],[OVR]],MATCH(Table5[[#This Row],[PID]],DraftResults[[#All],[Player ID]],0)),"")</f>
        <v/>
      </c>
      <c r="Z848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/>
      </c>
      <c r="AA848" s="50" t="str">
        <f>IFERROR(INDEX(DraftResults[[#All],[Pick in Round]],MATCH(Table5[[#This Row],[PID]],DraftResults[[#All],[Player ID]],0)),"")</f>
        <v/>
      </c>
      <c r="AB848" s="50" t="str">
        <f>IFERROR(INDEX(DraftResults[[#All],[Team Name]],MATCH(Table5[[#This Row],[PID]],DraftResults[[#All],[Player ID]],0)),"")</f>
        <v/>
      </c>
      <c r="AC848" s="50" t="str">
        <f>IF(Table5[[#This Row],[Ovr]]="","",IF(Table5[[#This Row],[cmbList]]="","",Table5[[#This Row],[cmbList]]-Table5[[#This Row],[Ovr]]))</f>
        <v/>
      </c>
      <c r="AD848" s="54" t="str">
        <f>IF(ISERROR(VLOOKUP($AB848&amp;"-"&amp;$E848&amp;" "&amp;F848,Bonuses!$B$1:$G$1006,4,FALSE)),"",INT(VLOOKUP($AB848&amp;"-"&amp;$E848&amp;" "&amp;$F848,Bonuses!$B$1:$G$1006,4,FALSE)))</f>
        <v/>
      </c>
      <c r="AE848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/>
      </c>
    </row>
    <row r="849" spans="1:31" s="50" customFormat="1" x14ac:dyDescent="0.3">
      <c r="A849" s="67">
        <v>14072</v>
      </c>
      <c r="B849" s="68">
        <f>COUNTIF(Table5[PID],A849)</f>
        <v>1</v>
      </c>
      <c r="C849" s="68" t="str">
        <f>IF(COUNTIF(Table3[[#All],[PID]],A849)&gt;0,"P","B")</f>
        <v>B</v>
      </c>
      <c r="D849" s="59" t="str">
        <f>IF($C849="B",INDEX(Batters[[#All],[POS]],MATCH(Table5[[#This Row],[PID]],Batters[[#All],[PID]],0)),INDEX(Table3[[#All],[POS]],MATCH(Table5[[#This Row],[PID]],Table3[[#All],[PID]],0)))</f>
        <v>1B</v>
      </c>
      <c r="E849" s="52" t="str">
        <f>IF($C849="B",INDEX(Batters[[#All],[First]],MATCH(Table5[[#This Row],[PID]],Batters[[#All],[PID]],0)),INDEX(Table3[[#All],[First]],MATCH(Table5[[#This Row],[PID]],Table3[[#All],[PID]],0)))</f>
        <v>Greg</v>
      </c>
      <c r="F849" s="55" t="str">
        <f>IF($C849="B",INDEX(Batters[[#All],[Last]],MATCH(A849,Batters[[#All],[PID]],0)),INDEX(Table3[[#All],[Last]],MATCH(A849,Table3[[#All],[PID]],0)))</f>
        <v>Gardner</v>
      </c>
      <c r="G849" s="56">
        <f>IF($C849="B",INDEX(Batters[[#All],[Age]],MATCH(Table5[[#This Row],[PID]],Batters[[#All],[PID]],0)),INDEX(Table3[[#All],[Age]],MATCH(Table5[[#This Row],[PID]],Table3[[#All],[PID]],0)))</f>
        <v>21</v>
      </c>
      <c r="H849" s="52" t="str">
        <f>IF($C849="B",INDEX(Batters[[#All],[B]],MATCH(Table5[[#This Row],[PID]],Batters[[#All],[PID]],0)),INDEX(Table3[[#All],[B]],MATCH(Table5[[#This Row],[PID]],Table3[[#All],[PID]],0)))</f>
        <v>R</v>
      </c>
      <c r="I849" s="52" t="str">
        <f>IF($C849="B",INDEX(Batters[[#All],[T]],MATCH(Table5[[#This Row],[PID]],Batters[[#All],[PID]],0)),INDEX(Table3[[#All],[T]],MATCH(Table5[[#This Row],[PID]],Table3[[#All],[PID]],0)))</f>
        <v>R</v>
      </c>
      <c r="J849" s="69" t="str">
        <f>IF($C849="B",INDEX(Batters[[#All],[WE]],MATCH(Table5[[#This Row],[PID]],Batters[[#All],[PID]],0)),INDEX(Table3[[#All],[WE]],MATCH(Table5[[#This Row],[PID]],Table3[[#All],[PID]],0)))</f>
        <v>Normal</v>
      </c>
      <c r="K849" s="52" t="str">
        <f>IF($C849="B",INDEX(Batters[[#All],[INT]],MATCH(Table5[[#This Row],[PID]],Batters[[#All],[PID]],0)),INDEX(Table3[[#All],[INT]],MATCH(Table5[[#This Row],[PID]],Table3[[#All],[PID]],0)))</f>
        <v>Normal</v>
      </c>
      <c r="L849" s="60">
        <f>IF($C849="B",INDEX(Batters[[#All],[CON P]],MATCH(Table5[[#This Row],[PID]],Batters[[#All],[PID]],0)),INDEX(Table3[[#All],[STU P]],MATCH(Table5[[#This Row],[PID]],Table3[[#All],[PID]],0)))</f>
        <v>3</v>
      </c>
      <c r="M849" s="70">
        <f>IF($C849="B",INDEX(Batters[[#All],[GAP P]],MATCH(Table5[[#This Row],[PID]],Batters[[#All],[PID]],0)),INDEX(Table3[[#All],[MOV P]],MATCH(Table5[[#This Row],[PID]],Table3[[#All],[PID]],0)))</f>
        <v>2</v>
      </c>
      <c r="N849" s="70">
        <f>IF($C849="B",INDEX(Batters[[#All],[POW P]],MATCH(Table5[[#This Row],[PID]],Batters[[#All],[PID]],0)),INDEX(Table3[[#All],[CON P]],MATCH(Table5[[#This Row],[PID]],Table3[[#All],[PID]],0)))</f>
        <v>2</v>
      </c>
      <c r="O849" s="70">
        <f>IF($C849="B",INDEX(Batters[[#All],[EYE P]],MATCH(Table5[[#This Row],[PID]],Batters[[#All],[PID]],0)),INDEX(Table3[[#All],[VELO]],MATCH(Table5[[#This Row],[PID]],Table3[[#All],[PID]],0)))</f>
        <v>2</v>
      </c>
      <c r="P849" s="56">
        <f>IF($C849="B",INDEX(Batters[[#All],[K P]],MATCH(Table5[[#This Row],[PID]],Batters[[#All],[PID]],0)),INDEX(Table3[[#All],[STM]],MATCH(Table5[[#This Row],[PID]],Table3[[#All],[PID]],0)))</f>
        <v>4</v>
      </c>
      <c r="Q849" s="61">
        <f>IF($C849="B",INDEX(Batters[[#All],[Tot]],MATCH(Table5[[#This Row],[PID]],Batters[[#All],[PID]],0)),INDEX(Table3[[#All],[Tot]],MATCH(Table5[[#This Row],[PID]],Table3[[#All],[PID]],0)))</f>
        <v>31.659652636575906</v>
      </c>
      <c r="R849" s="52">
        <f>IF($C849="B",INDEX(Batters[[#All],[zScore]],MATCH(Table5[[#This Row],[PID]],Batters[[#All],[PID]],0)),INDEX(Table3[[#All],[zScore]],MATCH(Table5[[#This Row],[PID]],Table3[[#All],[PID]],0)))</f>
        <v>-1.6872217211737748</v>
      </c>
      <c r="S849" s="75" t="str">
        <f>IF($C849="B",INDEX(Batters[[#All],[DEM]],MATCH(Table5[[#This Row],[PID]],Batters[[#All],[PID]],0)),INDEX(Table3[[#All],[DEM]],MATCH(Table5[[#This Row],[PID]],Table3[[#All],[PID]],0)))</f>
        <v>-</v>
      </c>
      <c r="T849" s="72">
        <f>IF($C849="B",INDEX(Batters[[#All],[Rnk]],MATCH(Table5[[#This Row],[PID]],Batters[[#All],[PID]],0)),INDEX(Table3[[#All],[Rnk]],MATCH(Table5[[#This Row],[PID]],Table3[[#All],[PID]],0)))</f>
        <v>900</v>
      </c>
      <c r="U849" s="67">
        <f>IF($C849="B",VLOOKUP($A849,Bat!$A$4:$BA$1314,47,FALSE),VLOOKUP($A849,Pit!$A$4:$BF$1214,56,FALSE))</f>
        <v>295</v>
      </c>
      <c r="V849" s="50">
        <f>IF($C849="B",VLOOKUP($A849,Bat!$A$4:$BA$1314,48,FALSE),VLOOKUP($A849,Pit!$A$4:$BF$1214,57,FALSE))</f>
        <v>0</v>
      </c>
      <c r="W849" s="68">
        <f>IF(Table5[[#This Row],[posRnk]]=999,9999,Table5[[#This Row],[posRnk]]+Table5[[#This Row],[zRnk]]+IF($W$3&lt;&gt;Table5[[#This Row],[Type]],50,0))</f>
        <v>1822</v>
      </c>
      <c r="X849" s="71">
        <f>RANK(Table5[[#This Row],[zScore]],Table5[[#All],[zScore]])</f>
        <v>872</v>
      </c>
      <c r="Y849" s="68" t="str">
        <f>IFERROR(INDEX(DraftResults[[#All],[OVR]],MATCH(Table5[[#This Row],[PID]],DraftResults[[#All],[Player ID]],0)),"")</f>
        <v/>
      </c>
      <c r="Z849" s="7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/>
      </c>
      <c r="AA849" s="68" t="str">
        <f>IFERROR(INDEX(DraftResults[[#All],[Pick in Round]],MATCH(Table5[[#This Row],[PID]],DraftResults[[#All],[Player ID]],0)),"")</f>
        <v/>
      </c>
      <c r="AB849" s="68" t="str">
        <f>IFERROR(INDEX(DraftResults[[#All],[Team Name]],MATCH(Table5[[#This Row],[PID]],DraftResults[[#All],[Player ID]],0)),"")</f>
        <v/>
      </c>
      <c r="AC849" s="68" t="str">
        <f>IF(Table5[[#This Row],[Ovr]]="","",IF(Table5[[#This Row],[cmbList]]="","",Table5[[#This Row],[cmbList]]-Table5[[#This Row],[Ovr]]))</f>
        <v/>
      </c>
      <c r="AD849" s="74" t="str">
        <f>IF(ISERROR(VLOOKUP($AB849&amp;"-"&amp;$E849&amp;" "&amp;F849,Bonuses!$B$1:$G$1006,4,FALSE)),"",INT(VLOOKUP($AB849&amp;"-"&amp;$E849&amp;" "&amp;$F849,Bonuses!$B$1:$G$1006,4,FALSE)))</f>
        <v/>
      </c>
      <c r="AE849" s="68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/>
      </c>
    </row>
    <row r="850" spans="1:31" s="50" customFormat="1" x14ac:dyDescent="0.3">
      <c r="A850" s="50">
        <v>10884</v>
      </c>
      <c r="B850" s="50">
        <f>COUNTIF(Table5[PID],A850)</f>
        <v>1</v>
      </c>
      <c r="C850" s="50" t="str">
        <f>IF(COUNTIF(Table3[[#All],[PID]],A850)&gt;0,"P","B")</f>
        <v>P</v>
      </c>
      <c r="D850" s="59" t="str">
        <f>IF($C850="B",INDEX(Batters[[#All],[POS]],MATCH(Table5[[#This Row],[PID]],Batters[[#All],[PID]],0)),INDEX(Table3[[#All],[POS]],MATCH(Table5[[#This Row],[PID]],Table3[[#All],[PID]],0)))</f>
        <v>RP</v>
      </c>
      <c r="E850" s="52" t="str">
        <f>IF($C850="B",INDEX(Batters[[#All],[First]],MATCH(Table5[[#This Row],[PID]],Batters[[#All],[PID]],0)),INDEX(Table3[[#All],[First]],MATCH(Table5[[#This Row],[PID]],Table3[[#All],[PID]],0)))</f>
        <v>Joseph</v>
      </c>
      <c r="F850" s="50" t="str">
        <f>IF($C850="B",INDEX(Batters[[#All],[Last]],MATCH(A850,Batters[[#All],[PID]],0)),INDEX(Table3[[#All],[Last]],MATCH(A850,Table3[[#All],[PID]],0)))</f>
        <v>MacFeat</v>
      </c>
      <c r="G850" s="56">
        <f>IF($C850="B",INDEX(Batters[[#All],[Age]],MATCH(Table5[[#This Row],[PID]],Batters[[#All],[PID]],0)),INDEX(Table3[[#All],[Age]],MATCH(Table5[[#This Row],[PID]],Table3[[#All],[PID]],0)))</f>
        <v>21</v>
      </c>
      <c r="H850" s="52" t="str">
        <f>IF($C850="B",INDEX(Batters[[#All],[B]],MATCH(Table5[[#This Row],[PID]],Batters[[#All],[PID]],0)),INDEX(Table3[[#All],[B]],MATCH(Table5[[#This Row],[PID]],Table3[[#All],[PID]],0)))</f>
        <v>L</v>
      </c>
      <c r="I850" s="52" t="str">
        <f>IF($C850="B",INDEX(Batters[[#All],[T]],MATCH(Table5[[#This Row],[PID]],Batters[[#All],[PID]],0)),INDEX(Table3[[#All],[T]],MATCH(Table5[[#This Row],[PID]],Table3[[#All],[PID]],0)))</f>
        <v>L</v>
      </c>
      <c r="J850" s="52" t="str">
        <f>IF($C850="B",INDEX(Batters[[#All],[WE]],MATCH(Table5[[#This Row],[PID]],Batters[[#All],[PID]],0)),INDEX(Table3[[#All],[WE]],MATCH(Table5[[#This Row],[PID]],Table3[[#All],[PID]],0)))</f>
        <v>Low</v>
      </c>
      <c r="K850" s="52" t="str">
        <f>IF($C850="B",INDEX(Batters[[#All],[INT]],MATCH(Table5[[#This Row],[PID]],Batters[[#All],[PID]],0)),INDEX(Table3[[#All],[INT]],MATCH(Table5[[#This Row],[PID]],Table3[[#All],[PID]],0)))</f>
        <v>Normal</v>
      </c>
      <c r="L850" s="60">
        <f>IF($C850="B",INDEX(Batters[[#All],[CON P]],MATCH(Table5[[#This Row],[PID]],Batters[[#All],[PID]],0)),INDEX(Table3[[#All],[STU P]],MATCH(Table5[[#This Row],[PID]],Table3[[#All],[PID]],0)))</f>
        <v>4</v>
      </c>
      <c r="M850" s="56">
        <f>IF($C850="B",INDEX(Batters[[#All],[GAP P]],MATCH(Table5[[#This Row],[PID]],Batters[[#All],[PID]],0)),INDEX(Table3[[#All],[MOV P]],MATCH(Table5[[#This Row],[PID]],Table3[[#All],[PID]],0)))</f>
        <v>1</v>
      </c>
      <c r="N850" s="56">
        <f>IF($C850="B",INDEX(Batters[[#All],[POW P]],MATCH(Table5[[#This Row],[PID]],Batters[[#All],[PID]],0)),INDEX(Table3[[#All],[CON P]],MATCH(Table5[[#This Row],[PID]],Table3[[#All],[PID]],0)))</f>
        <v>2</v>
      </c>
      <c r="O850" s="56" t="str">
        <f>IF($C850="B",INDEX(Batters[[#All],[EYE P]],MATCH(Table5[[#This Row],[PID]],Batters[[#All],[PID]],0)),INDEX(Table3[[#All],[VELO]],MATCH(Table5[[#This Row],[PID]],Table3[[#All],[PID]],0)))</f>
        <v>87-89 Mph</v>
      </c>
      <c r="P850" s="56">
        <f>IF($C850="B",INDEX(Batters[[#All],[K P]],MATCH(Table5[[#This Row],[PID]],Batters[[#All],[PID]],0)),INDEX(Table3[[#All],[STM]],MATCH(Table5[[#This Row],[PID]],Table3[[#All],[PID]],0)))</f>
        <v>4</v>
      </c>
      <c r="Q850" s="61">
        <f>IF($C850="B",INDEX(Batters[[#All],[Tot]],MATCH(Table5[[#This Row],[PID]],Batters[[#All],[PID]],0)),INDEX(Table3[[#All],[Tot]],MATCH(Table5[[#This Row],[PID]],Table3[[#All],[PID]],0)))</f>
        <v>18.336405341113881</v>
      </c>
      <c r="R850" s="52">
        <f>IF($C850="B",INDEX(Batters[[#All],[zScore]],MATCH(Table5[[#This Row],[PID]],Batters[[#All],[PID]],0)),INDEX(Table3[[#All],[zScore]],MATCH(Table5[[#This Row],[PID]],Table3[[#All],[PID]],0)))</f>
        <v>-1.3861287232927679</v>
      </c>
      <c r="S850" s="58" t="str">
        <f>IF($C850="B",INDEX(Batters[[#All],[DEM]],MATCH(Table5[[#This Row],[PID]],Batters[[#All],[PID]],0)),INDEX(Table3[[#All],[DEM]],MATCH(Table5[[#This Row],[PID]],Table3[[#All],[PID]],0)))</f>
        <v>$39k</v>
      </c>
      <c r="T850" s="62">
        <f>IF($C850="B",INDEX(Batters[[#All],[Rnk]],MATCH(Table5[[#This Row],[PID]],Batters[[#All],[PID]],0)),INDEX(Table3[[#All],[Rnk]],MATCH(Table5[[#This Row],[PID]],Table3[[#All],[PID]],0)))</f>
        <v>930</v>
      </c>
      <c r="U850" s="67">
        <f>IF($C850="B",VLOOKUP($A850,Bat!$A$4:$BA$1314,47,FALSE),VLOOKUP($A850,Pit!$A$4:$BF$1214,56,FALSE))</f>
        <v>380</v>
      </c>
      <c r="V850" s="50">
        <f>IF($C850="B",VLOOKUP($A850,Bat!$A$4:$BA$1314,48,FALSE),VLOOKUP($A850,Pit!$A$4:$BF$1214,57,FALSE))</f>
        <v>0</v>
      </c>
      <c r="W850" s="68">
        <f>IF(Table5[[#This Row],[posRnk]]=999,9999,Table5[[#This Row],[posRnk]]+Table5[[#This Row],[zRnk]]+IF($W$3&lt;&gt;Table5[[#This Row],[Type]],50,0))</f>
        <v>1772</v>
      </c>
      <c r="X850" s="51">
        <f>RANK(Table5[[#This Row],[zScore]],Table5[[#All],[zScore]])</f>
        <v>842</v>
      </c>
      <c r="Y850" s="50">
        <f>IFERROR(INDEX(DraftResults[[#All],[OVR]],MATCH(Table5[[#This Row],[PID]],DraftResults[[#All],[Player ID]],0)),"")</f>
        <v>567</v>
      </c>
      <c r="Z850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17</v>
      </c>
      <c r="AA850" s="50">
        <f>IFERROR(INDEX(DraftResults[[#All],[Pick in Round]],MATCH(Table5[[#This Row],[PID]],DraftResults[[#All],[Player ID]],0)),"")</f>
        <v>32</v>
      </c>
      <c r="AB850" s="50" t="str">
        <f>IFERROR(INDEX(DraftResults[[#All],[Team Name]],MATCH(Table5[[#This Row],[PID]],DraftResults[[#All],[Player ID]],0)),"")</f>
        <v>Florida Farstriders</v>
      </c>
      <c r="AC850" s="50">
        <f>IF(Table5[[#This Row],[Ovr]]="","",IF(Table5[[#This Row],[cmbList]]="","",Table5[[#This Row],[cmbList]]-Table5[[#This Row],[Ovr]]))</f>
        <v>1205</v>
      </c>
      <c r="AD850" s="54" t="str">
        <f>IF(ISERROR(VLOOKUP($AB850&amp;"-"&amp;$E850&amp;" "&amp;F850,Bonuses!$B$1:$G$1006,4,FALSE)),"",INT(VLOOKUP($AB850&amp;"-"&amp;$E850&amp;" "&amp;$F850,Bonuses!$B$1:$G$1006,4,FALSE)))</f>
        <v/>
      </c>
      <c r="AE850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17.32 (567) - RP Joseph MacFeat</v>
      </c>
    </row>
    <row r="851" spans="1:31" s="50" customFormat="1" x14ac:dyDescent="0.3">
      <c r="A851" s="50">
        <v>11923</v>
      </c>
      <c r="B851" s="50">
        <f>COUNTIF(Table5[PID],A851)</f>
        <v>1</v>
      </c>
      <c r="C851" s="50" t="str">
        <f>IF(COUNTIF(Table3[[#All],[PID]],A851)&gt;0,"P","B")</f>
        <v>B</v>
      </c>
      <c r="D851" s="59" t="str">
        <f>IF($C851="B",INDEX(Batters[[#All],[POS]],MATCH(Table5[[#This Row],[PID]],Batters[[#All],[PID]],0)),INDEX(Table3[[#All],[POS]],MATCH(Table5[[#This Row],[PID]],Table3[[#All],[PID]],0)))</f>
        <v>1B</v>
      </c>
      <c r="E851" s="52" t="str">
        <f>IF($C851="B",INDEX(Batters[[#All],[First]],MATCH(Table5[[#This Row],[PID]],Batters[[#All],[PID]],0)),INDEX(Table3[[#All],[First]],MATCH(Table5[[#This Row],[PID]],Table3[[#All],[PID]],0)))</f>
        <v>Arturo</v>
      </c>
      <c r="F851" s="50" t="str">
        <f>IF($C851="B",INDEX(Batters[[#All],[Last]],MATCH(A851,Batters[[#All],[PID]],0)),INDEX(Table3[[#All],[Last]],MATCH(A851,Table3[[#All],[PID]],0)))</f>
        <v>Barajas</v>
      </c>
      <c r="G851" s="56">
        <f>IF($C851="B",INDEX(Batters[[#All],[Age]],MATCH(Table5[[#This Row],[PID]],Batters[[#All],[PID]],0)),INDEX(Table3[[#All],[Age]],MATCH(Table5[[#This Row],[PID]],Table3[[#All],[PID]],0)))</f>
        <v>22</v>
      </c>
      <c r="H851" s="52" t="str">
        <f>IF($C851="B",INDEX(Batters[[#All],[B]],MATCH(Table5[[#This Row],[PID]],Batters[[#All],[PID]],0)),INDEX(Table3[[#All],[B]],MATCH(Table5[[#This Row],[PID]],Table3[[#All],[PID]],0)))</f>
        <v>R</v>
      </c>
      <c r="I851" s="52" t="str">
        <f>IF($C851="B",INDEX(Batters[[#All],[T]],MATCH(Table5[[#This Row],[PID]],Batters[[#All],[PID]],0)),INDEX(Table3[[#All],[T]],MATCH(Table5[[#This Row],[PID]],Table3[[#All],[PID]],0)))</f>
        <v>L</v>
      </c>
      <c r="J851" s="52" t="str">
        <f>IF($C851="B",INDEX(Batters[[#All],[WE]],MATCH(Table5[[#This Row],[PID]],Batters[[#All],[PID]],0)),INDEX(Table3[[#All],[WE]],MATCH(Table5[[#This Row],[PID]],Table3[[#All],[PID]],0)))</f>
        <v>Normal</v>
      </c>
      <c r="K851" s="52" t="str">
        <f>IF($C851="B",INDEX(Batters[[#All],[INT]],MATCH(Table5[[#This Row],[PID]],Batters[[#All],[PID]],0)),INDEX(Table3[[#All],[INT]],MATCH(Table5[[#This Row],[PID]],Table3[[#All],[PID]],0)))</f>
        <v>Normal</v>
      </c>
      <c r="L851" s="60">
        <f>IF($C851="B",INDEX(Batters[[#All],[CON P]],MATCH(Table5[[#This Row],[PID]],Batters[[#All],[PID]],0)),INDEX(Table3[[#All],[STU P]],MATCH(Table5[[#This Row],[PID]],Table3[[#All],[PID]],0)))</f>
        <v>3</v>
      </c>
      <c r="M851" s="56">
        <f>IF($C851="B",INDEX(Batters[[#All],[GAP P]],MATCH(Table5[[#This Row],[PID]],Batters[[#All],[PID]],0)),INDEX(Table3[[#All],[MOV P]],MATCH(Table5[[#This Row],[PID]],Table3[[#All],[PID]],0)))</f>
        <v>2</v>
      </c>
      <c r="N851" s="56">
        <f>IF($C851="B",INDEX(Batters[[#All],[POW P]],MATCH(Table5[[#This Row],[PID]],Batters[[#All],[PID]],0)),INDEX(Table3[[#All],[CON P]],MATCH(Table5[[#This Row],[PID]],Table3[[#All],[PID]],0)))</f>
        <v>2</v>
      </c>
      <c r="O851" s="56">
        <f>IF($C851="B",INDEX(Batters[[#All],[EYE P]],MATCH(Table5[[#This Row],[PID]],Batters[[#All],[PID]],0)),INDEX(Table3[[#All],[VELO]],MATCH(Table5[[#This Row],[PID]],Table3[[#All],[PID]],0)))</f>
        <v>2</v>
      </c>
      <c r="P851" s="56">
        <f>IF($C851="B",INDEX(Batters[[#All],[K P]],MATCH(Table5[[#This Row],[PID]],Batters[[#All],[PID]],0)),INDEX(Table3[[#All],[STM]],MATCH(Table5[[#This Row],[PID]],Table3[[#All],[PID]],0)))</f>
        <v>4</v>
      </c>
      <c r="Q851" s="61">
        <f>IF($C851="B",INDEX(Batters[[#All],[Tot]],MATCH(Table5[[#This Row],[PID]],Batters[[#All],[PID]],0)),INDEX(Table3[[#All],[Tot]],MATCH(Table5[[#This Row],[PID]],Table3[[#All],[PID]],0)))</f>
        <v>31.655651002594198</v>
      </c>
      <c r="R851" s="52">
        <f>IF($C851="B",INDEX(Batters[[#All],[zScore]],MATCH(Table5[[#This Row],[PID]],Batters[[#All],[PID]],0)),INDEX(Table3[[#All],[zScore]],MATCH(Table5[[#This Row],[PID]],Table3[[#All],[PID]],0)))</f>
        <v>-1.6878058321215845</v>
      </c>
      <c r="S851" s="58" t="str">
        <f>IF($C851="B",INDEX(Batters[[#All],[DEM]],MATCH(Table5[[#This Row],[PID]],Batters[[#All],[PID]],0)),INDEX(Table3[[#All],[DEM]],MATCH(Table5[[#This Row],[PID]],Table3[[#All],[PID]],0)))</f>
        <v>-</v>
      </c>
      <c r="T851" s="62">
        <f>IF($C851="B",INDEX(Batters[[#All],[Rnk]],MATCH(Table5[[#This Row],[PID]],Batters[[#All],[PID]],0)),INDEX(Table3[[#All],[Rnk]],MATCH(Table5[[#This Row],[PID]],Table3[[#All],[PID]],0)))</f>
        <v>900</v>
      </c>
      <c r="U851" s="67">
        <f>IF($C851="B",VLOOKUP($A851,Bat!$A$4:$BA$1314,47,FALSE),VLOOKUP($A851,Pit!$A$4:$BF$1214,56,FALSE))</f>
        <v>296</v>
      </c>
      <c r="V851" s="50">
        <f>IF($C851="B",VLOOKUP($A851,Bat!$A$4:$BA$1314,48,FALSE),VLOOKUP($A851,Pit!$A$4:$BF$1214,57,FALSE))</f>
        <v>0</v>
      </c>
      <c r="W851" s="68">
        <f>IF(Table5[[#This Row],[posRnk]]=999,9999,Table5[[#This Row],[posRnk]]+Table5[[#This Row],[zRnk]]+IF($W$3&lt;&gt;Table5[[#This Row],[Type]],50,0))</f>
        <v>1823</v>
      </c>
      <c r="X851" s="51">
        <f>RANK(Table5[[#This Row],[zScore]],Table5[[#All],[zScore]])</f>
        <v>873</v>
      </c>
      <c r="Y851" s="50">
        <f>IFERROR(INDEX(DraftResults[[#All],[OVR]],MATCH(Table5[[#This Row],[PID]],DraftResults[[#All],[Player ID]],0)),"")</f>
        <v>581</v>
      </c>
      <c r="Z851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18</v>
      </c>
      <c r="AA851" s="50">
        <f>IFERROR(INDEX(DraftResults[[#All],[Pick in Round]],MATCH(Table5[[#This Row],[PID]],DraftResults[[#All],[Player ID]],0)),"")</f>
        <v>12</v>
      </c>
      <c r="AB851" s="50" t="str">
        <f>IFERROR(INDEX(DraftResults[[#All],[Team Name]],MATCH(Table5[[#This Row],[PID]],DraftResults[[#All],[Player ID]],0)),"")</f>
        <v>Manchester Maulers</v>
      </c>
      <c r="AC851" s="50">
        <f>IF(Table5[[#This Row],[Ovr]]="","",IF(Table5[[#This Row],[cmbList]]="","",Table5[[#This Row],[cmbList]]-Table5[[#This Row],[Ovr]]))</f>
        <v>1242</v>
      </c>
      <c r="AD851" s="54" t="str">
        <f>IF(ISERROR(VLOOKUP($AB851&amp;"-"&amp;$E851&amp;" "&amp;F851,Bonuses!$B$1:$G$1006,4,FALSE)),"",INT(VLOOKUP($AB851&amp;"-"&amp;$E851&amp;" "&amp;$F851,Bonuses!$B$1:$G$1006,4,FALSE)))</f>
        <v/>
      </c>
      <c r="AE851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18.12 (581) - 1B Arturo Barajas</v>
      </c>
    </row>
    <row r="852" spans="1:31" s="50" customFormat="1" x14ac:dyDescent="0.3">
      <c r="A852" s="50">
        <v>5249</v>
      </c>
      <c r="B852" s="50">
        <f>COUNTIF(Table5[PID],A852)</f>
        <v>1</v>
      </c>
      <c r="C852" s="50" t="str">
        <f>IF(COUNTIF(Table3[[#All],[PID]],A852)&gt;0,"P","B")</f>
        <v>B</v>
      </c>
      <c r="D852" s="59" t="str">
        <f>IF($C852="B",INDEX(Batters[[#All],[POS]],MATCH(Table5[[#This Row],[PID]],Batters[[#All],[PID]],0)),INDEX(Table3[[#All],[POS]],MATCH(Table5[[#This Row],[PID]],Table3[[#All],[PID]],0)))</f>
        <v>1B</v>
      </c>
      <c r="E852" s="52" t="str">
        <f>IF($C852="B",INDEX(Batters[[#All],[First]],MATCH(Table5[[#This Row],[PID]],Batters[[#All],[PID]],0)),INDEX(Table3[[#All],[First]],MATCH(Table5[[#This Row],[PID]],Table3[[#All],[PID]],0)))</f>
        <v>Brady</v>
      </c>
      <c r="F852" s="50" t="str">
        <f>IF($C852="B",INDEX(Batters[[#All],[Last]],MATCH(A852,Batters[[#All],[PID]],0)),INDEX(Table3[[#All],[Last]],MATCH(A852,Table3[[#All],[PID]],0)))</f>
        <v>Lyons</v>
      </c>
      <c r="G852" s="56">
        <f>IF($C852="B",INDEX(Batters[[#All],[Age]],MATCH(Table5[[#This Row],[PID]],Batters[[#All],[PID]],0)),INDEX(Table3[[#All],[Age]],MATCH(Table5[[#This Row],[PID]],Table3[[#All],[PID]],0)))</f>
        <v>21</v>
      </c>
      <c r="H852" s="52" t="str">
        <f>IF($C852="B",INDEX(Batters[[#All],[B]],MATCH(Table5[[#This Row],[PID]],Batters[[#All],[PID]],0)),INDEX(Table3[[#All],[B]],MATCH(Table5[[#This Row],[PID]],Table3[[#All],[PID]],0)))</f>
        <v>R</v>
      </c>
      <c r="I852" s="52" t="str">
        <f>IF($C852="B",INDEX(Batters[[#All],[T]],MATCH(Table5[[#This Row],[PID]],Batters[[#All],[PID]],0)),INDEX(Table3[[#All],[T]],MATCH(Table5[[#This Row],[PID]],Table3[[#All],[PID]],0)))</f>
        <v>R</v>
      </c>
      <c r="J852" s="52" t="str">
        <f>IF($C852="B",INDEX(Batters[[#All],[WE]],MATCH(Table5[[#This Row],[PID]],Batters[[#All],[PID]],0)),INDEX(Table3[[#All],[WE]],MATCH(Table5[[#This Row],[PID]],Table3[[#All],[PID]],0)))</f>
        <v>Normal</v>
      </c>
      <c r="K852" s="52" t="str">
        <f>IF($C852="B",INDEX(Batters[[#All],[INT]],MATCH(Table5[[#This Row],[PID]],Batters[[#All],[PID]],0)),INDEX(Table3[[#All],[INT]],MATCH(Table5[[#This Row],[PID]],Table3[[#All],[PID]],0)))</f>
        <v>Normal</v>
      </c>
      <c r="L852" s="60">
        <f>IF($C852="B",INDEX(Batters[[#All],[CON P]],MATCH(Table5[[#This Row],[PID]],Batters[[#All],[PID]],0)),INDEX(Table3[[#All],[STU P]],MATCH(Table5[[#This Row],[PID]],Table3[[#All],[PID]],0)))</f>
        <v>3</v>
      </c>
      <c r="M852" s="56">
        <f>IF($C852="B",INDEX(Batters[[#All],[GAP P]],MATCH(Table5[[#This Row],[PID]],Batters[[#All],[PID]],0)),INDEX(Table3[[#All],[MOV P]],MATCH(Table5[[#This Row],[PID]],Table3[[#All],[PID]],0)))</f>
        <v>2</v>
      </c>
      <c r="N852" s="56">
        <f>IF($C852="B",INDEX(Batters[[#All],[POW P]],MATCH(Table5[[#This Row],[PID]],Batters[[#All],[PID]],0)),INDEX(Table3[[#All],[CON P]],MATCH(Table5[[#This Row],[PID]],Table3[[#All],[PID]],0)))</f>
        <v>2</v>
      </c>
      <c r="O852" s="56">
        <f>IF($C852="B",INDEX(Batters[[#All],[EYE P]],MATCH(Table5[[#This Row],[PID]],Batters[[#All],[PID]],0)),INDEX(Table3[[#All],[VELO]],MATCH(Table5[[#This Row],[PID]],Table3[[#All],[PID]],0)))</f>
        <v>2</v>
      </c>
      <c r="P852" s="56">
        <f>IF($C852="B",INDEX(Batters[[#All],[K P]],MATCH(Table5[[#This Row],[PID]],Batters[[#All],[PID]],0)),INDEX(Table3[[#All],[STM]],MATCH(Table5[[#This Row],[PID]],Table3[[#All],[PID]],0)))</f>
        <v>4</v>
      </c>
      <c r="Q852" s="61">
        <f>IF($C852="B",INDEX(Batters[[#All],[Tot]],MATCH(Table5[[#This Row],[PID]],Batters[[#All],[PID]],0)),INDEX(Table3[[#All],[Tot]],MATCH(Table5[[#This Row],[PID]],Table3[[#All],[PID]],0)))</f>
        <v>31.655651002594198</v>
      </c>
      <c r="R852" s="52">
        <f>IF($C852="B",INDEX(Batters[[#All],[zScore]],MATCH(Table5[[#This Row],[PID]],Batters[[#All],[PID]],0)),INDEX(Table3[[#All],[zScore]],MATCH(Table5[[#This Row],[PID]],Table3[[#All],[PID]],0)))</f>
        <v>-1.6878058321215845</v>
      </c>
      <c r="S852" s="58" t="str">
        <f>IF($C852="B",INDEX(Batters[[#All],[DEM]],MATCH(Table5[[#This Row],[PID]],Batters[[#All],[PID]],0)),INDEX(Table3[[#All],[DEM]],MATCH(Table5[[#This Row],[PID]],Table3[[#All],[PID]],0)))</f>
        <v>$20k</v>
      </c>
      <c r="T852" s="62">
        <f>IF($C852="B",INDEX(Batters[[#All],[Rnk]],MATCH(Table5[[#This Row],[PID]],Batters[[#All],[PID]],0)),INDEX(Table3[[#All],[Rnk]],MATCH(Table5[[#This Row],[PID]],Table3[[#All],[PID]],0)))</f>
        <v>900</v>
      </c>
      <c r="U852" s="67">
        <f>IF($C852="B",VLOOKUP($A852,Bat!$A$4:$BA$1314,47,FALSE),VLOOKUP($A852,Pit!$A$4:$BF$1214,56,FALSE))</f>
        <v>297</v>
      </c>
      <c r="V852" s="50">
        <f>IF($C852="B",VLOOKUP($A852,Bat!$A$4:$BA$1314,48,FALSE),VLOOKUP($A852,Pit!$A$4:$BF$1214,57,FALSE))</f>
        <v>0</v>
      </c>
      <c r="W852" s="68">
        <f>IF(Table5[[#This Row],[posRnk]]=999,9999,Table5[[#This Row],[posRnk]]+Table5[[#This Row],[zRnk]]+IF($W$3&lt;&gt;Table5[[#This Row],[Type]],50,0))</f>
        <v>1823</v>
      </c>
      <c r="X852" s="51">
        <f>RANK(Table5[[#This Row],[zScore]],Table5[[#All],[zScore]])</f>
        <v>873</v>
      </c>
      <c r="Y852" s="50" t="str">
        <f>IFERROR(INDEX(DraftResults[[#All],[OVR]],MATCH(Table5[[#This Row],[PID]],DraftResults[[#All],[Player ID]],0)),"")</f>
        <v/>
      </c>
      <c r="Z852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/>
      </c>
      <c r="AA852" s="50" t="str">
        <f>IFERROR(INDEX(DraftResults[[#All],[Pick in Round]],MATCH(Table5[[#This Row],[PID]],DraftResults[[#All],[Player ID]],0)),"")</f>
        <v/>
      </c>
      <c r="AB852" s="50" t="str">
        <f>IFERROR(INDEX(DraftResults[[#All],[Team Name]],MATCH(Table5[[#This Row],[PID]],DraftResults[[#All],[Player ID]],0)),"")</f>
        <v/>
      </c>
      <c r="AC852" s="50" t="str">
        <f>IF(Table5[[#This Row],[Ovr]]="","",IF(Table5[[#This Row],[cmbList]]="","",Table5[[#This Row],[cmbList]]-Table5[[#This Row],[Ovr]]))</f>
        <v/>
      </c>
      <c r="AD852" s="54" t="str">
        <f>IF(ISERROR(VLOOKUP($AB852&amp;"-"&amp;$E852&amp;" "&amp;F852,Bonuses!$B$1:$G$1006,4,FALSE)),"",INT(VLOOKUP($AB852&amp;"-"&amp;$E852&amp;" "&amp;$F852,Bonuses!$B$1:$G$1006,4,FALSE)))</f>
        <v/>
      </c>
      <c r="AE852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/>
      </c>
    </row>
    <row r="853" spans="1:31" s="50" customFormat="1" x14ac:dyDescent="0.3">
      <c r="A853" s="67">
        <v>6215</v>
      </c>
      <c r="B853" s="68">
        <f>COUNTIF(Table5[PID],A853)</f>
        <v>1</v>
      </c>
      <c r="C853" s="68" t="str">
        <f>IF(COUNTIF(Table3[[#All],[PID]],A853)&gt;0,"P","B")</f>
        <v>B</v>
      </c>
      <c r="D853" s="59" t="str">
        <f>IF($C853="B",INDEX(Batters[[#All],[POS]],MATCH(Table5[[#This Row],[PID]],Batters[[#All],[PID]],0)),INDEX(Table3[[#All],[POS]],MATCH(Table5[[#This Row],[PID]],Table3[[#All],[PID]],0)))</f>
        <v>1B</v>
      </c>
      <c r="E853" s="52" t="str">
        <f>IF($C853="B",INDEX(Batters[[#All],[First]],MATCH(Table5[[#This Row],[PID]],Batters[[#All],[PID]],0)),INDEX(Table3[[#All],[First]],MATCH(Table5[[#This Row],[PID]],Table3[[#All],[PID]],0)))</f>
        <v>Tomás</v>
      </c>
      <c r="F853" s="55" t="str">
        <f>IF($C853="B",INDEX(Batters[[#All],[Last]],MATCH(A853,Batters[[#All],[PID]],0)),INDEX(Table3[[#All],[Last]],MATCH(A853,Table3[[#All],[PID]],0)))</f>
        <v>Sánchez</v>
      </c>
      <c r="G853" s="56">
        <f>IF($C853="B",INDEX(Batters[[#All],[Age]],MATCH(Table5[[#This Row],[PID]],Batters[[#All],[PID]],0)),INDEX(Table3[[#All],[Age]],MATCH(Table5[[#This Row],[PID]],Table3[[#All],[PID]],0)))</f>
        <v>21</v>
      </c>
      <c r="H853" s="52" t="str">
        <f>IF($C853="B",INDEX(Batters[[#All],[B]],MATCH(Table5[[#This Row],[PID]],Batters[[#All],[PID]],0)),INDEX(Table3[[#All],[B]],MATCH(Table5[[#This Row],[PID]],Table3[[#All],[PID]],0)))</f>
        <v>R</v>
      </c>
      <c r="I853" s="52" t="str">
        <f>IF($C853="B",INDEX(Batters[[#All],[T]],MATCH(Table5[[#This Row],[PID]],Batters[[#All],[PID]],0)),INDEX(Table3[[#All],[T]],MATCH(Table5[[#This Row],[PID]],Table3[[#All],[PID]],0)))</f>
        <v>R</v>
      </c>
      <c r="J853" s="69" t="str">
        <f>IF($C853="B",INDEX(Batters[[#All],[WE]],MATCH(Table5[[#This Row],[PID]],Batters[[#All],[PID]],0)),INDEX(Table3[[#All],[WE]],MATCH(Table5[[#This Row],[PID]],Table3[[#All],[PID]],0)))</f>
        <v>Normal</v>
      </c>
      <c r="K853" s="52" t="str">
        <f>IF($C853="B",INDEX(Batters[[#All],[INT]],MATCH(Table5[[#This Row],[PID]],Batters[[#All],[PID]],0)),INDEX(Table3[[#All],[INT]],MATCH(Table5[[#This Row],[PID]],Table3[[#All],[PID]],0)))</f>
        <v>Normal</v>
      </c>
      <c r="L853" s="60">
        <f>IF($C853="B",INDEX(Batters[[#All],[CON P]],MATCH(Table5[[#This Row],[PID]],Batters[[#All],[PID]],0)),INDEX(Table3[[#All],[STU P]],MATCH(Table5[[#This Row],[PID]],Table3[[#All],[PID]],0)))</f>
        <v>2</v>
      </c>
      <c r="M853" s="70">
        <f>IF($C853="B",INDEX(Batters[[#All],[GAP P]],MATCH(Table5[[#This Row],[PID]],Batters[[#All],[PID]],0)),INDEX(Table3[[#All],[MOV P]],MATCH(Table5[[#This Row],[PID]],Table3[[#All],[PID]],0)))</f>
        <v>3</v>
      </c>
      <c r="N853" s="70">
        <f>IF($C853="B",INDEX(Batters[[#All],[POW P]],MATCH(Table5[[#This Row],[PID]],Batters[[#All],[PID]],0)),INDEX(Table3[[#All],[CON P]],MATCH(Table5[[#This Row],[PID]],Table3[[#All],[PID]],0)))</f>
        <v>3</v>
      </c>
      <c r="O853" s="70">
        <f>IF($C853="B",INDEX(Batters[[#All],[EYE P]],MATCH(Table5[[#This Row],[PID]],Batters[[#All],[PID]],0)),INDEX(Table3[[#All],[VELO]],MATCH(Table5[[#This Row],[PID]],Table3[[#All],[PID]],0)))</f>
        <v>5</v>
      </c>
      <c r="P853" s="56">
        <f>IF($C853="B",INDEX(Batters[[#All],[K P]],MATCH(Table5[[#This Row],[PID]],Batters[[#All],[PID]],0)),INDEX(Table3[[#All],[STM]],MATCH(Table5[[#This Row],[PID]],Table3[[#All],[PID]],0)))</f>
        <v>1</v>
      </c>
      <c r="Q853" s="61">
        <f>IF($C853="B",INDEX(Batters[[#All],[Tot]],MATCH(Table5[[#This Row],[PID]],Batters[[#All],[PID]],0)),INDEX(Table3[[#All],[Tot]],MATCH(Table5[[#This Row],[PID]],Table3[[#All],[PID]],0)))</f>
        <v>31.214747066169451</v>
      </c>
      <c r="R853" s="52">
        <f>IF($C853="B",INDEX(Batters[[#All],[zScore]],MATCH(Table5[[#This Row],[PID]],Batters[[#All],[PID]],0)),INDEX(Table3[[#All],[zScore]],MATCH(Table5[[#This Row],[PID]],Table3[[#All],[PID]],0)))</f>
        <v>-1.7257802774873008</v>
      </c>
      <c r="S853" s="75" t="str">
        <f>IF($C853="B",INDEX(Batters[[#All],[DEM]],MATCH(Table5[[#This Row],[PID]],Batters[[#All],[PID]],0)),INDEX(Table3[[#All],[DEM]],MATCH(Table5[[#This Row],[PID]],Table3[[#All],[PID]],0)))</f>
        <v>-</v>
      </c>
      <c r="T853" s="72">
        <f>IF($C853="B",INDEX(Batters[[#All],[Rnk]],MATCH(Table5[[#This Row],[PID]],Batters[[#All],[PID]],0)),INDEX(Table3[[#All],[Rnk]],MATCH(Table5[[#This Row],[PID]],Table3[[#All],[PID]],0)))</f>
        <v>900</v>
      </c>
      <c r="U853" s="67">
        <f>IF($C853="B",VLOOKUP($A853,Bat!$A$4:$BA$1314,47,FALSE),VLOOKUP($A853,Pit!$A$4:$BF$1214,56,FALSE))</f>
        <v>298</v>
      </c>
      <c r="V853" s="50">
        <f>IF($C853="B",VLOOKUP($A853,Bat!$A$4:$BA$1314,48,FALSE),VLOOKUP($A853,Pit!$A$4:$BF$1214,57,FALSE))</f>
        <v>0</v>
      </c>
      <c r="W853" s="68">
        <f>IF(Table5[[#This Row],[posRnk]]=999,9999,Table5[[#This Row],[posRnk]]+Table5[[#This Row],[zRnk]]+IF($W$3&lt;&gt;Table5[[#This Row],[Type]],50,0))</f>
        <v>1825</v>
      </c>
      <c r="X853" s="71">
        <f>RANK(Table5[[#This Row],[zScore]],Table5[[#All],[zScore]])</f>
        <v>875</v>
      </c>
      <c r="Y853" s="68">
        <f>IFERROR(INDEX(DraftResults[[#All],[OVR]],MATCH(Table5[[#This Row],[PID]],DraftResults[[#All],[Player ID]],0)),"")</f>
        <v>439</v>
      </c>
      <c r="Z853" s="7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14</v>
      </c>
      <c r="AA853" s="68">
        <f>IFERROR(INDEX(DraftResults[[#All],[Pick in Round]],MATCH(Table5[[#This Row],[PID]],DraftResults[[#All],[Player ID]],0)),"")</f>
        <v>6</v>
      </c>
      <c r="AB853" s="68" t="str">
        <f>IFERROR(INDEX(DraftResults[[#All],[Team Name]],MATCH(Table5[[#This Row],[PID]],DraftResults[[#All],[Player ID]],0)),"")</f>
        <v>New Orleans Trendsetters</v>
      </c>
      <c r="AC853" s="68">
        <f>IF(Table5[[#This Row],[Ovr]]="","",IF(Table5[[#This Row],[cmbList]]="","",Table5[[#This Row],[cmbList]]-Table5[[#This Row],[Ovr]]))</f>
        <v>1386</v>
      </c>
      <c r="AD853" s="74" t="str">
        <f>IF(ISERROR(VLOOKUP($AB853&amp;"-"&amp;$E853&amp;" "&amp;F853,Bonuses!$B$1:$G$1006,4,FALSE)),"",INT(VLOOKUP($AB853&amp;"-"&amp;$E853&amp;" "&amp;$F853,Bonuses!$B$1:$G$1006,4,FALSE)))</f>
        <v/>
      </c>
      <c r="AE853" s="68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14.6 (439) - 1B Tomás Sánchez</v>
      </c>
    </row>
    <row r="854" spans="1:31" s="50" customFormat="1" x14ac:dyDescent="0.3">
      <c r="A854" s="50">
        <v>5803</v>
      </c>
      <c r="B854" s="50">
        <f>COUNTIF(Table5[PID],A854)</f>
        <v>1</v>
      </c>
      <c r="C854" s="50" t="str">
        <f>IF(COUNTIF(Table3[[#All],[PID]],A854)&gt;0,"P","B")</f>
        <v>P</v>
      </c>
      <c r="D854" s="59" t="str">
        <f>IF($C854="B",INDEX(Batters[[#All],[POS]],MATCH(Table5[[#This Row],[PID]],Batters[[#All],[PID]],0)),INDEX(Table3[[#All],[POS]],MATCH(Table5[[#This Row],[PID]],Table3[[#All],[PID]],0)))</f>
        <v>RP</v>
      </c>
      <c r="E854" s="52" t="str">
        <f>IF($C854="B",INDEX(Batters[[#All],[First]],MATCH(Table5[[#This Row],[PID]],Batters[[#All],[PID]],0)),INDEX(Table3[[#All],[First]],MATCH(Table5[[#This Row],[PID]],Table3[[#All],[PID]],0)))</f>
        <v>Nobuatsu</v>
      </c>
      <c r="F854" s="50" t="str">
        <f>IF($C854="B",INDEX(Batters[[#All],[Last]],MATCH(A854,Batters[[#All],[PID]],0)),INDEX(Table3[[#All],[Last]],MATCH(A854,Table3[[#All],[PID]],0)))</f>
        <v>Sato</v>
      </c>
      <c r="G854" s="56">
        <f>IF($C854="B",INDEX(Batters[[#All],[Age]],MATCH(Table5[[#This Row],[PID]],Batters[[#All],[PID]],0)),INDEX(Table3[[#All],[Age]],MATCH(Table5[[#This Row],[PID]],Table3[[#All],[PID]],0)))</f>
        <v>21</v>
      </c>
      <c r="H854" s="52" t="str">
        <f>IF($C854="B",INDEX(Batters[[#All],[B]],MATCH(Table5[[#This Row],[PID]],Batters[[#All],[PID]],0)),INDEX(Table3[[#All],[B]],MATCH(Table5[[#This Row],[PID]],Table3[[#All],[PID]],0)))</f>
        <v>L</v>
      </c>
      <c r="I854" s="52" t="str">
        <f>IF($C854="B",INDEX(Batters[[#All],[T]],MATCH(Table5[[#This Row],[PID]],Batters[[#All],[PID]],0)),INDEX(Table3[[#All],[T]],MATCH(Table5[[#This Row],[PID]],Table3[[#All],[PID]],0)))</f>
        <v>L</v>
      </c>
      <c r="J854" s="52" t="str">
        <f>IF($C854="B",INDEX(Batters[[#All],[WE]],MATCH(Table5[[#This Row],[PID]],Batters[[#All],[PID]],0)),INDEX(Table3[[#All],[WE]],MATCH(Table5[[#This Row],[PID]],Table3[[#All],[PID]],0)))</f>
        <v>Low</v>
      </c>
      <c r="K854" s="52" t="str">
        <f>IF($C854="B",INDEX(Batters[[#All],[INT]],MATCH(Table5[[#This Row],[PID]],Batters[[#All],[PID]],0)),INDEX(Table3[[#All],[INT]],MATCH(Table5[[#This Row],[PID]],Table3[[#All],[PID]],0)))</f>
        <v>High</v>
      </c>
      <c r="L854" s="60">
        <f>IF($C854="B",INDEX(Batters[[#All],[CON P]],MATCH(Table5[[#This Row],[PID]],Batters[[#All],[PID]],0)),INDEX(Table3[[#All],[STU P]],MATCH(Table5[[#This Row],[PID]],Table3[[#All],[PID]],0)))</f>
        <v>3</v>
      </c>
      <c r="M854" s="56">
        <f>IF($C854="B",INDEX(Batters[[#All],[GAP P]],MATCH(Table5[[#This Row],[PID]],Batters[[#All],[PID]],0)),INDEX(Table3[[#All],[MOV P]],MATCH(Table5[[#This Row],[PID]],Table3[[#All],[PID]],0)))</f>
        <v>2</v>
      </c>
      <c r="N854" s="56">
        <f>IF($C854="B",INDEX(Batters[[#All],[POW P]],MATCH(Table5[[#This Row],[PID]],Batters[[#All],[PID]],0)),INDEX(Table3[[#All],[CON P]],MATCH(Table5[[#This Row],[PID]],Table3[[#All],[PID]],0)))</f>
        <v>3</v>
      </c>
      <c r="O854" s="56" t="str">
        <f>IF($C854="B",INDEX(Batters[[#All],[EYE P]],MATCH(Table5[[#This Row],[PID]],Batters[[#All],[PID]],0)),INDEX(Table3[[#All],[VELO]],MATCH(Table5[[#This Row],[PID]],Table3[[#All],[PID]],0)))</f>
        <v>90-92 Mph</v>
      </c>
      <c r="P854" s="56">
        <f>IF($C854="B",INDEX(Batters[[#All],[K P]],MATCH(Table5[[#This Row],[PID]],Batters[[#All],[PID]],0)),INDEX(Table3[[#All],[STM]],MATCH(Table5[[#This Row],[PID]],Table3[[#All],[PID]],0)))</f>
        <v>2</v>
      </c>
      <c r="Q854" s="61">
        <f>IF($C854="B",INDEX(Batters[[#All],[Tot]],MATCH(Table5[[#This Row],[PID]],Batters[[#All],[PID]],0)),INDEX(Table3[[#All],[Tot]],MATCH(Table5[[#This Row],[PID]],Table3[[#All],[PID]],0)))</f>
        <v>18.012736476310735</v>
      </c>
      <c r="R854" s="52">
        <f>IF($C854="B",INDEX(Batters[[#All],[zScore]],MATCH(Table5[[#This Row],[PID]],Batters[[#All],[PID]],0)),INDEX(Table3[[#All],[zScore]],MATCH(Table5[[#This Row],[PID]],Table3[[#All],[PID]],0)))</f>
        <v>-1.4091762227887643</v>
      </c>
      <c r="S854" s="58" t="str">
        <f>IF($C854="B",INDEX(Batters[[#All],[DEM]],MATCH(Table5[[#This Row],[PID]],Batters[[#All],[PID]],0)),INDEX(Table3[[#All],[DEM]],MATCH(Table5[[#This Row],[PID]],Table3[[#All],[PID]],0)))</f>
        <v>-</v>
      </c>
      <c r="T854" s="62">
        <f>IF($C854="B",INDEX(Batters[[#All],[Rnk]],MATCH(Table5[[#This Row],[PID]],Batters[[#All],[PID]],0)),INDEX(Table3[[#All],[Rnk]],MATCH(Table5[[#This Row],[PID]],Table3[[#All],[PID]],0)))</f>
        <v>930</v>
      </c>
      <c r="U854" s="67">
        <f>IF($C854="B",VLOOKUP($A854,Bat!$A$4:$BA$1314,47,FALSE),VLOOKUP($A854,Pit!$A$4:$BF$1214,56,FALSE))</f>
        <v>379</v>
      </c>
      <c r="V854" s="50">
        <f>IF($C854="B",VLOOKUP($A854,Bat!$A$4:$BA$1314,48,FALSE),VLOOKUP($A854,Pit!$A$4:$BF$1214,57,FALSE))</f>
        <v>0</v>
      </c>
      <c r="W854" s="68">
        <f>IF(Table5[[#This Row],[posRnk]]=999,9999,Table5[[#This Row],[posRnk]]+Table5[[#This Row],[zRnk]]+IF($W$3&lt;&gt;Table5[[#This Row],[Type]],50,0))</f>
        <v>1775</v>
      </c>
      <c r="X854" s="51">
        <f>RANK(Table5[[#This Row],[zScore]],Table5[[#All],[zScore]])</f>
        <v>845</v>
      </c>
      <c r="Y854" s="50" t="str">
        <f>IFERROR(INDEX(DraftResults[[#All],[OVR]],MATCH(Table5[[#This Row],[PID]],DraftResults[[#All],[Player ID]],0)),"")</f>
        <v/>
      </c>
      <c r="Z854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/>
      </c>
      <c r="AA854" s="50" t="str">
        <f>IFERROR(INDEX(DraftResults[[#All],[Pick in Round]],MATCH(Table5[[#This Row],[PID]],DraftResults[[#All],[Player ID]],0)),"")</f>
        <v/>
      </c>
      <c r="AB854" s="50" t="str">
        <f>IFERROR(INDEX(DraftResults[[#All],[Team Name]],MATCH(Table5[[#This Row],[PID]],DraftResults[[#All],[Player ID]],0)),"")</f>
        <v/>
      </c>
      <c r="AC854" s="50" t="str">
        <f>IF(Table5[[#This Row],[Ovr]]="","",IF(Table5[[#This Row],[cmbList]]="","",Table5[[#This Row],[cmbList]]-Table5[[#This Row],[Ovr]]))</f>
        <v/>
      </c>
      <c r="AD854" s="54" t="str">
        <f>IF(ISERROR(VLOOKUP($AB854&amp;"-"&amp;$E854&amp;" "&amp;F854,Bonuses!$B$1:$G$1006,4,FALSE)),"",INT(VLOOKUP($AB854&amp;"-"&amp;$E854&amp;" "&amp;$F854,Bonuses!$B$1:$G$1006,4,FALSE)))</f>
        <v/>
      </c>
      <c r="AE854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/>
      </c>
    </row>
    <row r="855" spans="1:31" s="50" customFormat="1" x14ac:dyDescent="0.3">
      <c r="A855" s="50">
        <v>20660</v>
      </c>
      <c r="B855" s="55">
        <f>COUNTIF(Table5[PID],A855)</f>
        <v>1</v>
      </c>
      <c r="C855" s="55" t="str">
        <f>IF(COUNTIF(Table3[[#All],[PID]],A855)&gt;0,"P","B")</f>
        <v>P</v>
      </c>
      <c r="D855" s="59" t="str">
        <f>IF($C855="B",INDEX(Batters[[#All],[POS]],MATCH(Table5[[#This Row],[PID]],Batters[[#All],[PID]],0)),INDEX(Table3[[#All],[POS]],MATCH(Table5[[#This Row],[PID]],Table3[[#All],[PID]],0)))</f>
        <v>RP</v>
      </c>
      <c r="E855" s="52" t="str">
        <f>IF($C855="B",INDEX(Batters[[#All],[First]],MATCH(Table5[[#This Row],[PID]],Batters[[#All],[PID]],0)),INDEX(Table3[[#All],[First]],MATCH(Table5[[#This Row],[PID]],Table3[[#All],[PID]],0)))</f>
        <v>Teika</v>
      </c>
      <c r="F855" s="50" t="str">
        <f>IF($C855="B",INDEX(Batters[[#All],[Last]],MATCH(A855,Batters[[#All],[PID]],0)),INDEX(Table3[[#All],[Last]],MATCH(A855,Table3[[#All],[PID]],0)))</f>
        <v>Tanaka</v>
      </c>
      <c r="G855" s="56">
        <f>IF($C855="B",INDEX(Batters[[#All],[Age]],MATCH(Table5[[#This Row],[PID]],Batters[[#All],[PID]],0)),INDEX(Table3[[#All],[Age]],MATCH(Table5[[#This Row],[PID]],Table3[[#All],[PID]],0)))</f>
        <v>17</v>
      </c>
      <c r="H855" s="52" t="str">
        <f>IF($C855="B",INDEX(Batters[[#All],[B]],MATCH(Table5[[#This Row],[PID]],Batters[[#All],[PID]],0)),INDEX(Table3[[#All],[B]],MATCH(Table5[[#This Row],[PID]],Table3[[#All],[PID]],0)))</f>
        <v>R</v>
      </c>
      <c r="I855" s="52" t="str">
        <f>IF($C855="B",INDEX(Batters[[#All],[T]],MATCH(Table5[[#This Row],[PID]],Batters[[#All],[PID]],0)),INDEX(Table3[[#All],[T]],MATCH(Table5[[#This Row],[PID]],Table3[[#All],[PID]],0)))</f>
        <v>R</v>
      </c>
      <c r="J855" s="52" t="str">
        <f>IF($C855="B",INDEX(Batters[[#All],[WE]],MATCH(Table5[[#This Row],[PID]],Batters[[#All],[PID]],0)),INDEX(Table3[[#All],[WE]],MATCH(Table5[[#This Row],[PID]],Table3[[#All],[PID]],0)))</f>
        <v>Normal</v>
      </c>
      <c r="K855" s="52" t="str">
        <f>IF($C855="B",INDEX(Batters[[#All],[INT]],MATCH(Table5[[#This Row],[PID]],Batters[[#All],[PID]],0)),INDEX(Table3[[#All],[INT]],MATCH(Table5[[#This Row],[PID]],Table3[[#All],[PID]],0)))</f>
        <v>Low</v>
      </c>
      <c r="L855" s="60">
        <f>IF($C855="B",INDEX(Batters[[#All],[CON P]],MATCH(Table5[[#This Row],[PID]],Batters[[#All],[PID]],0)),INDEX(Table3[[#All],[STU P]],MATCH(Table5[[#This Row],[PID]],Table3[[#All],[PID]],0)))</f>
        <v>4</v>
      </c>
      <c r="M855" s="56">
        <f>IF($C855="B",INDEX(Batters[[#All],[GAP P]],MATCH(Table5[[#This Row],[PID]],Batters[[#All],[PID]],0)),INDEX(Table3[[#All],[MOV P]],MATCH(Table5[[#This Row],[PID]],Table3[[#All],[PID]],0)))</f>
        <v>1</v>
      </c>
      <c r="N855" s="56">
        <f>IF($C855="B",INDEX(Batters[[#All],[POW P]],MATCH(Table5[[#This Row],[PID]],Batters[[#All],[PID]],0)),INDEX(Table3[[#All],[CON P]],MATCH(Table5[[#This Row],[PID]],Table3[[#All],[PID]],0)))</f>
        <v>2</v>
      </c>
      <c r="O855" s="56" t="str">
        <f>IF($C855="B",INDEX(Batters[[#All],[EYE P]],MATCH(Table5[[#This Row],[PID]],Batters[[#All],[PID]],0)),INDEX(Table3[[#All],[VELO]],MATCH(Table5[[#This Row],[PID]],Table3[[#All],[PID]],0)))</f>
        <v>88-90 Mph</v>
      </c>
      <c r="P855" s="56">
        <f>IF($C855="B",INDEX(Batters[[#All],[K P]],MATCH(Table5[[#This Row],[PID]],Batters[[#All],[PID]],0)),INDEX(Table3[[#All],[STM]],MATCH(Table5[[#This Row],[PID]],Table3[[#All],[PID]],0)))</f>
        <v>2</v>
      </c>
      <c r="Q855" s="61">
        <f>IF($C855="B",INDEX(Batters[[#All],[Tot]],MATCH(Table5[[#This Row],[PID]],Batters[[#All],[PID]],0)),INDEX(Table3[[#All],[Tot]],MATCH(Table5[[#This Row],[PID]],Table3[[#All],[PID]],0)))</f>
        <v>19.198905341113878</v>
      </c>
      <c r="R855" s="52">
        <f>IF($C855="B",INDEX(Batters[[#All],[zScore]],MATCH(Table5[[#This Row],[PID]],Batters[[#All],[PID]],0)),INDEX(Table3[[#All],[zScore]],MATCH(Table5[[#This Row],[PID]],Table3[[#All],[PID]],0)))</f>
        <v>-1.3247126574398267</v>
      </c>
      <c r="S855" s="58" t="str">
        <f>IF($C855="B",INDEX(Batters[[#All],[DEM]],MATCH(Table5[[#This Row],[PID]],Batters[[#All],[PID]],0)),INDEX(Table3[[#All],[DEM]],MATCH(Table5[[#This Row],[PID]],Table3[[#All],[PID]],0)))</f>
        <v>$70k</v>
      </c>
      <c r="T855" s="62">
        <f>IF($C855="B",INDEX(Batters[[#All],[Rnk]],MATCH(Table5[[#This Row],[PID]],Batters[[#All],[PID]],0)),INDEX(Table3[[#All],[Rnk]],MATCH(Table5[[#This Row],[PID]],Table3[[#All],[PID]],0)))</f>
        <v>940</v>
      </c>
      <c r="U855" s="67">
        <f>IF($C855="B",VLOOKUP($A855,Bat!$A$4:$BA$1314,47,FALSE),VLOOKUP($A855,Pit!$A$4:$BF$1214,56,FALSE))</f>
        <v>404</v>
      </c>
      <c r="V855" s="50">
        <f>IF($C855="B",VLOOKUP($A855,Bat!$A$4:$BA$1314,48,FALSE),VLOOKUP($A855,Pit!$A$4:$BF$1214,57,FALSE))</f>
        <v>0</v>
      </c>
      <c r="W855" s="68">
        <f>IF(Table5[[#This Row],[posRnk]]=999,9999,Table5[[#This Row],[posRnk]]+Table5[[#This Row],[zRnk]]+IF($W$3&lt;&gt;Table5[[#This Row],[Type]],50,0))</f>
        <v>1775</v>
      </c>
      <c r="X855" s="51">
        <f>RANK(Table5[[#This Row],[zScore]],Table5[[#All],[zScore]])</f>
        <v>835</v>
      </c>
      <c r="Y855" s="50" t="str">
        <f>IFERROR(INDEX(DraftResults[[#All],[OVR]],MATCH(Table5[[#This Row],[PID]],DraftResults[[#All],[Player ID]],0)),"")</f>
        <v/>
      </c>
      <c r="Z855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/>
      </c>
      <c r="AA855" s="50" t="str">
        <f>IFERROR(INDEX(DraftResults[[#All],[Pick in Round]],MATCH(Table5[[#This Row],[PID]],DraftResults[[#All],[Player ID]],0)),"")</f>
        <v/>
      </c>
      <c r="AB855" s="50" t="str">
        <f>IFERROR(INDEX(DraftResults[[#All],[Team Name]],MATCH(Table5[[#This Row],[PID]],DraftResults[[#All],[Player ID]],0)),"")</f>
        <v/>
      </c>
      <c r="AC855" s="50" t="str">
        <f>IF(Table5[[#This Row],[Ovr]]="","",IF(Table5[[#This Row],[cmbList]]="","",Table5[[#This Row],[cmbList]]-Table5[[#This Row],[Ovr]]))</f>
        <v/>
      </c>
      <c r="AD855" s="54" t="str">
        <f>IF(ISERROR(VLOOKUP($AB855&amp;"-"&amp;$E855&amp;" "&amp;F855,Bonuses!$B$1:$G$1006,4,FALSE)),"",INT(VLOOKUP($AB855&amp;"-"&amp;$E855&amp;" "&amp;$F855,Bonuses!$B$1:$G$1006,4,FALSE)))</f>
        <v/>
      </c>
      <c r="AE855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/>
      </c>
    </row>
    <row r="856" spans="1:31" s="50" customFormat="1" x14ac:dyDescent="0.3">
      <c r="A856" s="50">
        <v>12562</v>
      </c>
      <c r="B856" s="50">
        <f>COUNTIF(Table5[PID],A856)</f>
        <v>1</v>
      </c>
      <c r="C856" s="50" t="str">
        <f>IF(COUNTIF(Table3[[#All],[PID]],A856)&gt;0,"P","B")</f>
        <v>P</v>
      </c>
      <c r="D856" s="59" t="str">
        <f>IF($C856="B",INDEX(Batters[[#All],[POS]],MATCH(Table5[[#This Row],[PID]],Batters[[#All],[PID]],0)),INDEX(Table3[[#All],[POS]],MATCH(Table5[[#This Row],[PID]],Table3[[#All],[PID]],0)))</f>
        <v>RP</v>
      </c>
      <c r="E856" s="52" t="str">
        <f>IF($C856="B",INDEX(Batters[[#All],[First]],MATCH(Table5[[#This Row],[PID]],Batters[[#All],[PID]],0)),INDEX(Table3[[#All],[First]],MATCH(Table5[[#This Row],[PID]],Table3[[#All],[PID]],0)))</f>
        <v>Lewis</v>
      </c>
      <c r="F856" s="50" t="str">
        <f>IF($C856="B",INDEX(Batters[[#All],[Last]],MATCH(A856,Batters[[#All],[PID]],0)),INDEX(Table3[[#All],[Last]],MATCH(A856,Table3[[#All],[PID]],0)))</f>
        <v>Farquhar</v>
      </c>
      <c r="G856" s="56">
        <f>IF($C856="B",INDEX(Batters[[#All],[Age]],MATCH(Table5[[#This Row],[PID]],Batters[[#All],[PID]],0)),INDEX(Table3[[#All],[Age]],MATCH(Table5[[#This Row],[PID]],Table3[[#All],[PID]],0)))</f>
        <v>21</v>
      </c>
      <c r="H856" s="52" t="str">
        <f>IF($C856="B",INDEX(Batters[[#All],[B]],MATCH(Table5[[#This Row],[PID]],Batters[[#All],[PID]],0)),INDEX(Table3[[#All],[B]],MATCH(Table5[[#This Row],[PID]],Table3[[#All],[PID]],0)))</f>
        <v>R</v>
      </c>
      <c r="I856" s="52" t="str">
        <f>IF($C856="B",INDEX(Batters[[#All],[T]],MATCH(Table5[[#This Row],[PID]],Batters[[#All],[PID]],0)),INDEX(Table3[[#All],[T]],MATCH(Table5[[#This Row],[PID]],Table3[[#All],[PID]],0)))</f>
        <v>R</v>
      </c>
      <c r="J856" s="52" t="str">
        <f>IF($C856="B",INDEX(Batters[[#All],[WE]],MATCH(Table5[[#This Row],[PID]],Batters[[#All],[PID]],0)),INDEX(Table3[[#All],[WE]],MATCH(Table5[[#This Row],[PID]],Table3[[#All],[PID]],0)))</f>
        <v>Low</v>
      </c>
      <c r="K856" s="52" t="str">
        <f>IF($C856="B",INDEX(Batters[[#All],[INT]],MATCH(Table5[[#This Row],[PID]],Batters[[#All],[PID]],0)),INDEX(Table3[[#All],[INT]],MATCH(Table5[[#This Row],[PID]],Table3[[#All],[PID]],0)))</f>
        <v>Normal</v>
      </c>
      <c r="L856" s="60">
        <f>IF($C856="B",INDEX(Batters[[#All],[CON P]],MATCH(Table5[[#This Row],[PID]],Batters[[#All],[PID]],0)),INDEX(Table3[[#All],[STU P]],MATCH(Table5[[#This Row],[PID]],Table3[[#All],[PID]],0)))</f>
        <v>4</v>
      </c>
      <c r="M856" s="56">
        <f>IF($C856="B",INDEX(Batters[[#All],[GAP P]],MATCH(Table5[[#This Row],[PID]],Batters[[#All],[PID]],0)),INDEX(Table3[[#All],[MOV P]],MATCH(Table5[[#This Row],[PID]],Table3[[#All],[PID]],0)))</f>
        <v>1</v>
      </c>
      <c r="N856" s="56">
        <f>IF($C856="B",INDEX(Batters[[#All],[POW P]],MATCH(Table5[[#This Row],[PID]],Batters[[#All],[PID]],0)),INDEX(Table3[[#All],[CON P]],MATCH(Table5[[#This Row],[PID]],Table3[[#All],[PID]],0)))</f>
        <v>3</v>
      </c>
      <c r="O856" s="56" t="str">
        <f>IF($C856="B",INDEX(Batters[[#All],[EYE P]],MATCH(Table5[[#This Row],[PID]],Batters[[#All],[PID]],0)),INDEX(Table3[[#All],[VELO]],MATCH(Table5[[#This Row],[PID]],Table3[[#All],[PID]],0)))</f>
        <v>88-90 Mph</v>
      </c>
      <c r="P856" s="56">
        <f>IF($C856="B",INDEX(Batters[[#All],[K P]],MATCH(Table5[[#This Row],[PID]],Batters[[#All],[PID]],0)),INDEX(Table3[[#All],[STM]],MATCH(Table5[[#This Row],[PID]],Table3[[#All],[PID]],0)))</f>
        <v>7</v>
      </c>
      <c r="Q856" s="61">
        <f>IF($C856="B",INDEX(Batters[[#All],[Tot]],MATCH(Table5[[#This Row],[PID]],Batters[[#All],[PID]],0)),INDEX(Table3[[#All],[Tot]],MATCH(Table5[[#This Row],[PID]],Table3[[#All],[PID]],0)))</f>
        <v>17.601617898623431</v>
      </c>
      <c r="R856" s="52">
        <f>IF($C856="B",INDEX(Batters[[#All],[zScore]],MATCH(Table5[[#This Row],[PID]],Batters[[#All],[PID]],0)),INDEX(Table3[[#All],[zScore]],MATCH(Table5[[#This Row],[PID]],Table3[[#All],[PID]],0)))</f>
        <v>-1.438450756864835</v>
      </c>
      <c r="S856" s="58" t="str">
        <f>IF($C856="B",INDEX(Batters[[#All],[DEM]],MATCH(Table5[[#This Row],[PID]],Batters[[#All],[PID]],0)),INDEX(Table3[[#All],[DEM]],MATCH(Table5[[#This Row],[PID]],Table3[[#All],[PID]],0)))</f>
        <v>-</v>
      </c>
      <c r="T856" s="62">
        <f>IF($C856="B",INDEX(Batters[[#All],[Rnk]],MATCH(Table5[[#This Row],[PID]],Batters[[#All],[PID]],0)),INDEX(Table3[[#All],[Rnk]],MATCH(Table5[[#This Row],[PID]],Table3[[#All],[PID]],0)))</f>
        <v>930</v>
      </c>
      <c r="U856" s="67">
        <f>IF($C856="B",VLOOKUP($A856,Bat!$A$4:$BA$1314,47,FALSE),VLOOKUP($A856,Pit!$A$4:$BF$1214,56,FALSE))</f>
        <v>382</v>
      </c>
      <c r="V856" s="50">
        <f>IF($C856="B",VLOOKUP($A856,Bat!$A$4:$BA$1314,48,FALSE),VLOOKUP($A856,Pit!$A$4:$BF$1214,57,FALSE))</f>
        <v>0</v>
      </c>
      <c r="W856" s="68">
        <f>IF(Table5[[#This Row],[posRnk]]=999,9999,Table5[[#This Row],[posRnk]]+Table5[[#This Row],[zRnk]]+IF($W$3&lt;&gt;Table5[[#This Row],[Type]],50,0))</f>
        <v>1778</v>
      </c>
      <c r="X856" s="51">
        <f>RANK(Table5[[#This Row],[zScore]],Table5[[#All],[zScore]])</f>
        <v>848</v>
      </c>
      <c r="Y856" s="50" t="str">
        <f>IFERROR(INDEX(DraftResults[[#All],[OVR]],MATCH(Table5[[#This Row],[PID]],DraftResults[[#All],[Player ID]],0)),"")</f>
        <v/>
      </c>
      <c r="Z856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/>
      </c>
      <c r="AA856" s="50" t="str">
        <f>IFERROR(INDEX(DraftResults[[#All],[Pick in Round]],MATCH(Table5[[#This Row],[PID]],DraftResults[[#All],[Player ID]],0)),"")</f>
        <v/>
      </c>
      <c r="AB856" s="50" t="str">
        <f>IFERROR(INDEX(DraftResults[[#All],[Team Name]],MATCH(Table5[[#This Row],[PID]],DraftResults[[#All],[Player ID]],0)),"")</f>
        <v/>
      </c>
      <c r="AC856" s="50" t="str">
        <f>IF(Table5[[#This Row],[Ovr]]="","",IF(Table5[[#This Row],[cmbList]]="","",Table5[[#This Row],[cmbList]]-Table5[[#This Row],[Ovr]]))</f>
        <v/>
      </c>
      <c r="AD856" s="54" t="str">
        <f>IF(ISERROR(VLOOKUP($AB856&amp;"-"&amp;$E856&amp;" "&amp;F856,Bonuses!$B$1:$G$1006,4,FALSE)),"",INT(VLOOKUP($AB856&amp;"-"&amp;$E856&amp;" "&amp;$F856,Bonuses!$B$1:$G$1006,4,FALSE)))</f>
        <v/>
      </c>
      <c r="AE856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/>
      </c>
    </row>
    <row r="857" spans="1:31" s="50" customFormat="1" x14ac:dyDescent="0.3">
      <c r="A857" s="50">
        <v>9875</v>
      </c>
      <c r="B857" s="50">
        <f>COUNTIF(Table5[PID],A857)</f>
        <v>1</v>
      </c>
      <c r="C857" s="50" t="str">
        <f>IF(COUNTIF(Table3[[#All],[PID]],A857)&gt;0,"P","B")</f>
        <v>B</v>
      </c>
      <c r="D857" s="59" t="str">
        <f>IF($C857="B",INDEX(Batters[[#All],[POS]],MATCH(Table5[[#This Row],[PID]],Batters[[#All],[PID]],0)),INDEX(Table3[[#All],[POS]],MATCH(Table5[[#This Row],[PID]],Table3[[#All],[PID]],0)))</f>
        <v>C</v>
      </c>
      <c r="E857" s="52" t="str">
        <f>IF($C857="B",INDEX(Batters[[#All],[First]],MATCH(Table5[[#This Row],[PID]],Batters[[#All],[PID]],0)),INDEX(Table3[[#All],[First]],MATCH(Table5[[#This Row],[PID]],Table3[[#All],[PID]],0)))</f>
        <v>Shinobu</v>
      </c>
      <c r="F857" s="50" t="str">
        <f>IF($C857="B",INDEX(Batters[[#All],[Last]],MATCH(A857,Batters[[#All],[PID]],0)),INDEX(Table3[[#All],[Last]],MATCH(A857,Table3[[#All],[PID]],0)))</f>
        <v>Suzuki</v>
      </c>
      <c r="G857" s="56">
        <f>IF($C857="B",INDEX(Batters[[#All],[Age]],MATCH(Table5[[#This Row],[PID]],Batters[[#All],[PID]],0)),INDEX(Table3[[#All],[Age]],MATCH(Table5[[#This Row],[PID]],Table3[[#All],[PID]],0)))</f>
        <v>22</v>
      </c>
      <c r="H857" s="52" t="str">
        <f>IF($C857="B",INDEX(Batters[[#All],[B]],MATCH(Table5[[#This Row],[PID]],Batters[[#All],[PID]],0)),INDEX(Table3[[#All],[B]],MATCH(Table5[[#This Row],[PID]],Table3[[#All],[PID]],0)))</f>
        <v>R</v>
      </c>
      <c r="I857" s="52" t="str">
        <f>IF($C857="B",INDEX(Batters[[#All],[T]],MATCH(Table5[[#This Row],[PID]],Batters[[#All],[PID]],0)),INDEX(Table3[[#All],[T]],MATCH(Table5[[#This Row],[PID]],Table3[[#All],[PID]],0)))</f>
        <v>R</v>
      </c>
      <c r="J857" s="52" t="str">
        <f>IF($C857="B",INDEX(Batters[[#All],[WE]],MATCH(Table5[[#This Row],[PID]],Batters[[#All],[PID]],0)),INDEX(Table3[[#All],[WE]],MATCH(Table5[[#This Row],[PID]],Table3[[#All],[PID]],0)))</f>
        <v>Low</v>
      </c>
      <c r="K857" s="52" t="str">
        <f>IF($C857="B",INDEX(Batters[[#All],[INT]],MATCH(Table5[[#This Row],[PID]],Batters[[#All],[PID]],0)),INDEX(Table3[[#All],[INT]],MATCH(Table5[[#This Row],[PID]],Table3[[#All],[PID]],0)))</f>
        <v>Normal</v>
      </c>
      <c r="L857" s="60">
        <f>IF($C857="B",INDEX(Batters[[#All],[CON P]],MATCH(Table5[[#This Row],[PID]],Batters[[#All],[PID]],0)),INDEX(Table3[[#All],[STU P]],MATCH(Table5[[#This Row],[PID]],Table3[[#All],[PID]],0)))</f>
        <v>2</v>
      </c>
      <c r="M857" s="56">
        <f>IF($C857="B",INDEX(Batters[[#All],[GAP P]],MATCH(Table5[[#This Row],[PID]],Batters[[#All],[PID]],0)),INDEX(Table3[[#All],[MOV P]],MATCH(Table5[[#This Row],[PID]],Table3[[#All],[PID]],0)))</f>
        <v>4</v>
      </c>
      <c r="N857" s="56">
        <f>IF($C857="B",INDEX(Batters[[#All],[POW P]],MATCH(Table5[[#This Row],[PID]],Batters[[#All],[PID]],0)),INDEX(Table3[[#All],[CON P]],MATCH(Table5[[#This Row],[PID]],Table3[[#All],[PID]],0)))</f>
        <v>4</v>
      </c>
      <c r="O857" s="56">
        <f>IF($C857="B",INDEX(Batters[[#All],[EYE P]],MATCH(Table5[[#This Row],[PID]],Batters[[#All],[PID]],0)),INDEX(Table3[[#All],[VELO]],MATCH(Table5[[#This Row],[PID]],Table3[[#All],[PID]],0)))</f>
        <v>5</v>
      </c>
      <c r="P857" s="56">
        <f>IF($C857="B",INDEX(Batters[[#All],[K P]],MATCH(Table5[[#This Row],[PID]],Batters[[#All],[PID]],0)),INDEX(Table3[[#All],[STM]],MATCH(Table5[[#This Row],[PID]],Table3[[#All],[PID]],0)))</f>
        <v>2</v>
      </c>
      <c r="Q857" s="61">
        <f>IF($C857="B",INDEX(Batters[[#All],[Tot]],MATCH(Table5[[#This Row],[PID]],Batters[[#All],[PID]],0)),INDEX(Table3[[#All],[Tot]],MATCH(Table5[[#This Row],[PID]],Table3[[#All],[PID]],0)))</f>
        <v>32.995428672684753</v>
      </c>
      <c r="R857" s="52">
        <f>IF($C857="B",INDEX(Batters[[#All],[zScore]],MATCH(Table5[[#This Row],[PID]],Batters[[#All],[PID]],0)),INDEX(Table3[[#All],[zScore]],MATCH(Table5[[#This Row],[PID]],Table3[[#All],[PID]],0)))</f>
        <v>-1.4679754661302555</v>
      </c>
      <c r="S857" s="58" t="str">
        <f>IF($C857="B",INDEX(Batters[[#All],[DEM]],MATCH(Table5[[#This Row],[PID]],Batters[[#All],[PID]],0)),INDEX(Table3[[#All],[DEM]],MATCH(Table5[[#This Row],[PID]],Table3[[#All],[PID]],0)))</f>
        <v>-</v>
      </c>
      <c r="T857" s="62">
        <f>IF($C857="B",INDEX(Batters[[#All],[Rnk]],MATCH(Table5[[#This Row],[PID]],Batters[[#All],[PID]],0)),INDEX(Table3[[#All],[Rnk]],MATCH(Table5[[#This Row],[PID]],Table3[[#All],[PID]],0)))</f>
        <v>930</v>
      </c>
      <c r="U857" s="67">
        <f>IF($C857="B",VLOOKUP($A857,Bat!$A$4:$BA$1314,47,FALSE),VLOOKUP($A857,Pit!$A$4:$BF$1214,56,FALSE))</f>
        <v>395</v>
      </c>
      <c r="V857" s="50">
        <f>IF($C857="B",VLOOKUP($A857,Bat!$A$4:$BA$1314,48,FALSE),VLOOKUP($A857,Pit!$A$4:$BF$1214,57,FALSE))</f>
        <v>0</v>
      </c>
      <c r="W857" s="68">
        <f>IF(Table5[[#This Row],[posRnk]]=999,9999,Table5[[#This Row],[posRnk]]+Table5[[#This Row],[zRnk]]+IF($W$3&lt;&gt;Table5[[#This Row],[Type]],50,0))</f>
        <v>1831</v>
      </c>
      <c r="X857" s="51">
        <f>RANK(Table5[[#This Row],[zScore]],Table5[[#All],[zScore]])</f>
        <v>851</v>
      </c>
      <c r="Y857" s="50" t="str">
        <f>IFERROR(INDEX(DraftResults[[#All],[OVR]],MATCH(Table5[[#This Row],[PID]],DraftResults[[#All],[Player ID]],0)),"")</f>
        <v/>
      </c>
      <c r="Z857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/>
      </c>
      <c r="AA857" s="50" t="str">
        <f>IFERROR(INDEX(DraftResults[[#All],[Pick in Round]],MATCH(Table5[[#This Row],[PID]],DraftResults[[#All],[Player ID]],0)),"")</f>
        <v/>
      </c>
      <c r="AB857" s="50" t="str">
        <f>IFERROR(INDEX(DraftResults[[#All],[Team Name]],MATCH(Table5[[#This Row],[PID]],DraftResults[[#All],[Player ID]],0)),"")</f>
        <v/>
      </c>
      <c r="AC857" s="50" t="str">
        <f>IF(Table5[[#This Row],[Ovr]]="","",IF(Table5[[#This Row],[cmbList]]="","",Table5[[#This Row],[cmbList]]-Table5[[#This Row],[Ovr]]))</f>
        <v/>
      </c>
      <c r="AD857" s="54" t="str">
        <f>IF(ISERROR(VLOOKUP($AB857&amp;"-"&amp;$E857&amp;" "&amp;F857,Bonuses!$B$1:$G$1006,4,FALSE)),"",INT(VLOOKUP($AB857&amp;"-"&amp;$E857&amp;" "&amp;$F857,Bonuses!$B$1:$G$1006,4,FALSE)))</f>
        <v/>
      </c>
      <c r="AE857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/>
      </c>
    </row>
    <row r="858" spans="1:31" s="50" customFormat="1" x14ac:dyDescent="0.3">
      <c r="A858" s="67">
        <v>13794</v>
      </c>
      <c r="B858" s="68">
        <f>COUNTIF(Table5[PID],A858)</f>
        <v>1</v>
      </c>
      <c r="C858" s="68" t="str">
        <f>IF(COUNTIF(Table3[[#All],[PID]],A858)&gt;0,"P","B")</f>
        <v>P</v>
      </c>
      <c r="D858" s="59" t="str">
        <f>IF($C858="B",INDEX(Batters[[#All],[POS]],MATCH(Table5[[#This Row],[PID]],Batters[[#All],[PID]],0)),INDEX(Table3[[#All],[POS]],MATCH(Table5[[#This Row],[PID]],Table3[[#All],[PID]],0)))</f>
        <v>RP</v>
      </c>
      <c r="E858" s="52" t="str">
        <f>IF($C858="B",INDEX(Batters[[#All],[First]],MATCH(Table5[[#This Row],[PID]],Batters[[#All],[PID]],0)),INDEX(Table3[[#All],[First]],MATCH(Table5[[#This Row],[PID]],Table3[[#All],[PID]],0)))</f>
        <v>Takeji</v>
      </c>
      <c r="F858" s="55" t="str">
        <f>IF($C858="B",INDEX(Batters[[#All],[Last]],MATCH(A858,Batters[[#All],[PID]],0)),INDEX(Table3[[#All],[Last]],MATCH(A858,Table3[[#All],[PID]],0)))</f>
        <v>Ono</v>
      </c>
      <c r="G858" s="56">
        <f>IF($C858="B",INDEX(Batters[[#All],[Age]],MATCH(Table5[[#This Row],[PID]],Batters[[#All],[PID]],0)),INDEX(Table3[[#All],[Age]],MATCH(Table5[[#This Row],[PID]],Table3[[#All],[PID]],0)))</f>
        <v>22</v>
      </c>
      <c r="H858" s="52" t="str">
        <f>IF($C858="B",INDEX(Batters[[#All],[B]],MATCH(Table5[[#This Row],[PID]],Batters[[#All],[PID]],0)),INDEX(Table3[[#All],[B]],MATCH(Table5[[#This Row],[PID]],Table3[[#All],[PID]],0)))</f>
        <v>R</v>
      </c>
      <c r="I858" s="52" t="str">
        <f>IF($C858="B",INDEX(Batters[[#All],[T]],MATCH(Table5[[#This Row],[PID]],Batters[[#All],[PID]],0)),INDEX(Table3[[#All],[T]],MATCH(Table5[[#This Row],[PID]],Table3[[#All],[PID]],0)))</f>
        <v>R</v>
      </c>
      <c r="J858" s="69" t="str">
        <f>IF($C858="B",INDEX(Batters[[#All],[WE]],MATCH(Table5[[#This Row],[PID]],Batters[[#All],[PID]],0)),INDEX(Table3[[#All],[WE]],MATCH(Table5[[#This Row],[PID]],Table3[[#All],[PID]],0)))</f>
        <v>Low</v>
      </c>
      <c r="K858" s="52" t="str">
        <f>IF($C858="B",INDEX(Batters[[#All],[INT]],MATCH(Table5[[#This Row],[PID]],Batters[[#All],[PID]],0)),INDEX(Table3[[#All],[INT]],MATCH(Table5[[#This Row],[PID]],Table3[[#All],[PID]],0)))</f>
        <v>High</v>
      </c>
      <c r="L858" s="60">
        <f>IF($C858="B",INDEX(Batters[[#All],[CON P]],MATCH(Table5[[#This Row],[PID]],Batters[[#All],[PID]],0)),INDEX(Table3[[#All],[STU P]],MATCH(Table5[[#This Row],[PID]],Table3[[#All],[PID]],0)))</f>
        <v>3</v>
      </c>
      <c r="M858" s="70">
        <f>IF($C858="B",INDEX(Batters[[#All],[GAP P]],MATCH(Table5[[#This Row],[PID]],Batters[[#All],[PID]],0)),INDEX(Table3[[#All],[MOV P]],MATCH(Table5[[#This Row],[PID]],Table3[[#All],[PID]],0)))</f>
        <v>1</v>
      </c>
      <c r="N858" s="70">
        <f>IF($C858="B",INDEX(Batters[[#All],[POW P]],MATCH(Table5[[#This Row],[PID]],Batters[[#All],[PID]],0)),INDEX(Table3[[#All],[CON P]],MATCH(Table5[[#This Row],[PID]],Table3[[#All],[PID]],0)))</f>
        <v>2</v>
      </c>
      <c r="O858" s="70" t="str">
        <f>IF($C858="B",INDEX(Batters[[#All],[EYE P]],MATCH(Table5[[#This Row],[PID]],Batters[[#All],[PID]],0)),INDEX(Table3[[#All],[VELO]],MATCH(Table5[[#This Row],[PID]],Table3[[#All],[PID]],0)))</f>
        <v>86-88 Mph</v>
      </c>
      <c r="P858" s="56">
        <f>IF($C858="B",INDEX(Batters[[#All],[K P]],MATCH(Table5[[#This Row],[PID]],Batters[[#All],[PID]],0)),INDEX(Table3[[#All],[STM]],MATCH(Table5[[#This Row],[PID]],Table3[[#All],[PID]],0)))</f>
        <v>10</v>
      </c>
      <c r="Q858" s="61">
        <f>IF($C858="B",INDEX(Batters[[#All],[Tot]],MATCH(Table5[[#This Row],[PID]],Batters[[#All],[PID]],0)),INDEX(Table3[[#All],[Tot]],MATCH(Table5[[#This Row],[PID]],Table3[[#All],[PID]],0)))</f>
        <v>17.087270175439581</v>
      </c>
      <c r="R858" s="52">
        <f>IF($C858="B",INDEX(Batters[[#All],[zScore]],MATCH(Table5[[#This Row],[PID]],Batters[[#All],[PID]],0)),INDEX(Table3[[#All],[zScore]],MATCH(Table5[[#This Row],[PID]],Table3[[#All],[PID]],0)))</f>
        <v>-1.4750759320977276</v>
      </c>
      <c r="S858" s="75" t="str">
        <f>IF($C858="B",INDEX(Batters[[#All],[DEM]],MATCH(Table5[[#This Row],[PID]],Batters[[#All],[PID]],0)),INDEX(Table3[[#All],[DEM]],MATCH(Table5[[#This Row],[PID]],Table3[[#All],[PID]],0)))</f>
        <v>-</v>
      </c>
      <c r="T858" s="72">
        <f>IF($C858="B",INDEX(Batters[[#All],[Rnk]],MATCH(Table5[[#This Row],[PID]],Batters[[#All],[PID]],0)),INDEX(Table3[[#All],[Rnk]],MATCH(Table5[[#This Row],[PID]],Table3[[#All],[PID]],0)))</f>
        <v>930</v>
      </c>
      <c r="U858" s="67">
        <f>IF($C858="B",VLOOKUP($A858,Bat!$A$4:$BA$1314,47,FALSE),VLOOKUP($A858,Pit!$A$4:$BF$1214,56,FALSE))</f>
        <v>381</v>
      </c>
      <c r="V858" s="50">
        <f>IF($C858="B",VLOOKUP($A858,Bat!$A$4:$BA$1314,48,FALSE),VLOOKUP($A858,Pit!$A$4:$BF$1214,57,FALSE))</f>
        <v>0</v>
      </c>
      <c r="W858" s="68">
        <f>IF(Table5[[#This Row],[posRnk]]=999,9999,Table5[[#This Row],[posRnk]]+Table5[[#This Row],[zRnk]]+IF($W$3&lt;&gt;Table5[[#This Row],[Type]],50,0))</f>
        <v>1783</v>
      </c>
      <c r="X858" s="71">
        <f>RANK(Table5[[#This Row],[zScore]],Table5[[#All],[zScore]])</f>
        <v>853</v>
      </c>
      <c r="Y858" s="68">
        <f>IFERROR(INDEX(DraftResults[[#All],[OVR]],MATCH(Table5[[#This Row],[PID]],DraftResults[[#All],[Player ID]],0)),"")</f>
        <v>590</v>
      </c>
      <c r="Z858" s="7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18</v>
      </c>
      <c r="AA858" s="68">
        <f>IFERROR(INDEX(DraftResults[[#All],[Pick in Round]],MATCH(Table5[[#This Row],[PID]],DraftResults[[#All],[Player ID]],0)),"")</f>
        <v>21</v>
      </c>
      <c r="AB858" s="68" t="str">
        <f>IFERROR(INDEX(DraftResults[[#All],[Team Name]],MATCH(Table5[[#This Row],[PID]],DraftResults[[#All],[Player ID]],0)),"")</f>
        <v>Neo-Tokyo Akira</v>
      </c>
      <c r="AC858" s="68">
        <f>IF(Table5[[#This Row],[Ovr]]="","",IF(Table5[[#This Row],[cmbList]]="","",Table5[[#This Row],[cmbList]]-Table5[[#This Row],[Ovr]]))</f>
        <v>1193</v>
      </c>
      <c r="AD858" s="74" t="str">
        <f>IF(ISERROR(VLOOKUP($AB858&amp;"-"&amp;$E858&amp;" "&amp;F858,Bonuses!$B$1:$G$1006,4,FALSE)),"",INT(VLOOKUP($AB858&amp;"-"&amp;$E858&amp;" "&amp;$F858,Bonuses!$B$1:$G$1006,4,FALSE)))</f>
        <v/>
      </c>
      <c r="AE858" s="68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18.21 (590) - RP Takeji Ono</v>
      </c>
    </row>
    <row r="859" spans="1:31" s="50" customFormat="1" x14ac:dyDescent="0.3">
      <c r="A859" s="67">
        <v>9660</v>
      </c>
      <c r="B859" s="68">
        <f>COUNTIF(Table5[PID],A859)</f>
        <v>1</v>
      </c>
      <c r="C859" s="68" t="str">
        <f>IF(COUNTIF(Table3[[#All],[PID]],A859)&gt;0,"P","B")</f>
        <v>B</v>
      </c>
      <c r="D859" s="59" t="str">
        <f>IF($C859="B",INDEX(Batters[[#All],[POS]],MATCH(Table5[[#This Row],[PID]],Batters[[#All],[PID]],0)),INDEX(Table3[[#All],[POS]],MATCH(Table5[[#This Row],[PID]],Table3[[#All],[PID]],0)))</f>
        <v>1B</v>
      </c>
      <c r="E859" s="52" t="str">
        <f>IF($C859="B",INDEX(Batters[[#All],[First]],MATCH(Table5[[#This Row],[PID]],Batters[[#All],[PID]],0)),INDEX(Table3[[#All],[First]],MATCH(Table5[[#This Row],[PID]],Table3[[#All],[PID]],0)))</f>
        <v>Ronaldo</v>
      </c>
      <c r="F859" s="55" t="str">
        <f>IF($C859="B",INDEX(Batters[[#All],[Last]],MATCH(A859,Batters[[#All],[PID]],0)),INDEX(Table3[[#All],[Last]],MATCH(A859,Table3[[#All],[PID]],0)))</f>
        <v>Martínez</v>
      </c>
      <c r="G859" s="56">
        <f>IF($C859="B",INDEX(Batters[[#All],[Age]],MATCH(Table5[[#This Row],[PID]],Batters[[#All],[PID]],0)),INDEX(Table3[[#All],[Age]],MATCH(Table5[[#This Row],[PID]],Table3[[#All],[PID]],0)))</f>
        <v>21</v>
      </c>
      <c r="H859" s="52" t="str">
        <f>IF($C859="B",INDEX(Batters[[#All],[B]],MATCH(Table5[[#This Row],[PID]],Batters[[#All],[PID]],0)),INDEX(Table3[[#All],[B]],MATCH(Table5[[#This Row],[PID]],Table3[[#All],[PID]],0)))</f>
        <v>R</v>
      </c>
      <c r="I859" s="52" t="str">
        <f>IF($C859="B",INDEX(Batters[[#All],[T]],MATCH(Table5[[#This Row],[PID]],Batters[[#All],[PID]],0)),INDEX(Table3[[#All],[T]],MATCH(Table5[[#This Row],[PID]],Table3[[#All],[PID]],0)))</f>
        <v>R</v>
      </c>
      <c r="J859" s="69" t="str">
        <f>IF($C859="B",INDEX(Batters[[#All],[WE]],MATCH(Table5[[#This Row],[PID]],Batters[[#All],[PID]],0)),INDEX(Table3[[#All],[WE]],MATCH(Table5[[#This Row],[PID]],Table3[[#All],[PID]],0)))</f>
        <v>High</v>
      </c>
      <c r="K859" s="52" t="str">
        <f>IF($C859="B",INDEX(Batters[[#All],[INT]],MATCH(Table5[[#This Row],[PID]],Batters[[#All],[PID]],0)),INDEX(Table3[[#All],[INT]],MATCH(Table5[[#This Row],[PID]],Table3[[#All],[PID]],0)))</f>
        <v>Normal</v>
      </c>
      <c r="L859" s="60">
        <f>IF($C859="B",INDEX(Batters[[#All],[CON P]],MATCH(Table5[[#This Row],[PID]],Batters[[#All],[PID]],0)),INDEX(Table3[[#All],[STU P]],MATCH(Table5[[#This Row],[PID]],Table3[[#All],[PID]],0)))</f>
        <v>2</v>
      </c>
      <c r="M859" s="70">
        <f>IF($C859="B",INDEX(Batters[[#All],[GAP P]],MATCH(Table5[[#This Row],[PID]],Batters[[#All],[PID]],0)),INDEX(Table3[[#All],[MOV P]],MATCH(Table5[[#This Row],[PID]],Table3[[#All],[PID]],0)))</f>
        <v>2</v>
      </c>
      <c r="N859" s="70">
        <f>IF($C859="B",INDEX(Batters[[#All],[POW P]],MATCH(Table5[[#This Row],[PID]],Batters[[#All],[PID]],0)),INDEX(Table3[[#All],[CON P]],MATCH(Table5[[#This Row],[PID]],Table3[[#All],[PID]],0)))</f>
        <v>2</v>
      </c>
      <c r="O859" s="70">
        <f>IF($C859="B",INDEX(Batters[[#All],[EYE P]],MATCH(Table5[[#This Row],[PID]],Batters[[#All],[PID]],0)),INDEX(Table3[[#All],[VELO]],MATCH(Table5[[#This Row],[PID]],Table3[[#All],[PID]],0)))</f>
        <v>5</v>
      </c>
      <c r="P859" s="56">
        <f>IF($C859="B",INDEX(Batters[[#All],[K P]],MATCH(Table5[[#This Row],[PID]],Batters[[#All],[PID]],0)),INDEX(Table3[[#All],[STM]],MATCH(Table5[[#This Row],[PID]],Table3[[#All],[PID]],0)))</f>
        <v>2</v>
      </c>
      <c r="Q859" s="61">
        <f>IF($C859="B",INDEX(Batters[[#All],[Tot]],MATCH(Table5[[#This Row],[PID]],Batters[[#All],[PID]],0)),INDEX(Table3[[#All],[Tot]],MATCH(Table5[[#This Row],[PID]],Table3[[#All],[PID]],0)))</f>
        <v>30.368209555859842</v>
      </c>
      <c r="R859" s="52">
        <f>IF($C859="B",INDEX(Batters[[#All],[zScore]],MATCH(Table5[[#This Row],[PID]],Batters[[#All],[PID]],0)),INDEX(Table3[[#All],[zScore]],MATCH(Table5[[#This Row],[PID]],Table3[[#All],[PID]],0)))</f>
        <v>-1.875731226382793</v>
      </c>
      <c r="S859" s="75" t="str">
        <f>IF($C859="B",INDEX(Batters[[#All],[DEM]],MATCH(Table5[[#This Row],[PID]],Batters[[#All],[PID]],0)),INDEX(Table3[[#All],[DEM]],MATCH(Table5[[#This Row],[PID]],Table3[[#All],[PID]],0)))</f>
        <v>$20k</v>
      </c>
      <c r="T859" s="72">
        <f>IF($C859="B",INDEX(Batters[[#All],[Rnk]],MATCH(Table5[[#This Row],[PID]],Batters[[#All],[PID]],0)),INDEX(Table3[[#All],[Rnk]],MATCH(Table5[[#This Row],[PID]],Table3[[#All],[PID]],0)))</f>
        <v>900</v>
      </c>
      <c r="U859" s="67">
        <f>IF($C859="B",VLOOKUP($A859,Bat!$A$4:$BA$1314,47,FALSE),VLOOKUP($A859,Pit!$A$4:$BF$1214,56,FALSE))</f>
        <v>299</v>
      </c>
      <c r="V859" s="50">
        <f>IF($C859="B",VLOOKUP($A859,Bat!$A$4:$BA$1314,48,FALSE),VLOOKUP($A859,Pit!$A$4:$BF$1214,57,FALSE))</f>
        <v>0</v>
      </c>
      <c r="W859" s="68">
        <f>IF(Table5[[#This Row],[posRnk]]=999,9999,Table5[[#This Row],[posRnk]]+Table5[[#This Row],[zRnk]]+IF($W$3&lt;&gt;Table5[[#This Row],[Type]],50,0))</f>
        <v>1835</v>
      </c>
      <c r="X859" s="71">
        <f>RANK(Table5[[#This Row],[zScore]],Table5[[#All],[zScore]])</f>
        <v>885</v>
      </c>
      <c r="Y859" s="68" t="str">
        <f>IFERROR(INDEX(DraftResults[[#All],[OVR]],MATCH(Table5[[#This Row],[PID]],DraftResults[[#All],[Player ID]],0)),"")</f>
        <v/>
      </c>
      <c r="Z859" s="7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/>
      </c>
      <c r="AA859" s="68" t="str">
        <f>IFERROR(INDEX(DraftResults[[#All],[Pick in Round]],MATCH(Table5[[#This Row],[PID]],DraftResults[[#All],[Player ID]],0)),"")</f>
        <v/>
      </c>
      <c r="AB859" s="68" t="str">
        <f>IFERROR(INDEX(DraftResults[[#All],[Team Name]],MATCH(Table5[[#This Row],[PID]],DraftResults[[#All],[Player ID]],0)),"")</f>
        <v/>
      </c>
      <c r="AC859" s="68" t="str">
        <f>IF(Table5[[#This Row],[Ovr]]="","",IF(Table5[[#This Row],[cmbList]]="","",Table5[[#This Row],[cmbList]]-Table5[[#This Row],[Ovr]]))</f>
        <v/>
      </c>
      <c r="AD859" s="74" t="str">
        <f>IF(ISERROR(VLOOKUP($AB859&amp;"-"&amp;$E859&amp;" "&amp;F859,Bonuses!$B$1:$G$1006,4,FALSE)),"",INT(VLOOKUP($AB859&amp;"-"&amp;$E859&amp;" "&amp;$F859,Bonuses!$B$1:$G$1006,4,FALSE)))</f>
        <v/>
      </c>
      <c r="AE859" s="68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/>
      </c>
    </row>
    <row r="860" spans="1:31" s="50" customFormat="1" x14ac:dyDescent="0.3">
      <c r="A860" s="50">
        <v>13205</v>
      </c>
      <c r="B860" s="55">
        <f>COUNTIF(Table5[PID],A860)</f>
        <v>1</v>
      </c>
      <c r="C860" s="55" t="str">
        <f>IF(COUNTIF(Table3[[#All],[PID]],A860)&gt;0,"P","B")</f>
        <v>B</v>
      </c>
      <c r="D860" s="59" t="str">
        <f>IF($C860="B",INDEX(Batters[[#All],[POS]],MATCH(Table5[[#This Row],[PID]],Batters[[#All],[PID]],0)),INDEX(Table3[[#All],[POS]],MATCH(Table5[[#This Row],[PID]],Table3[[#All],[PID]],0)))</f>
        <v>1B</v>
      </c>
      <c r="E860" s="52" t="str">
        <f>IF($C860="B",INDEX(Batters[[#All],[First]],MATCH(Table5[[#This Row],[PID]],Batters[[#All],[PID]],0)),INDEX(Table3[[#All],[First]],MATCH(Table5[[#This Row],[PID]],Table3[[#All],[PID]],0)))</f>
        <v>Alexander</v>
      </c>
      <c r="F860" s="50" t="str">
        <f>IF($C860="B",INDEX(Batters[[#All],[Last]],MATCH(A860,Batters[[#All],[PID]],0)),INDEX(Table3[[#All],[Last]],MATCH(A860,Table3[[#All],[PID]],0)))</f>
        <v>Chilcott</v>
      </c>
      <c r="G860" s="56">
        <f>IF($C860="B",INDEX(Batters[[#All],[Age]],MATCH(Table5[[#This Row],[PID]],Batters[[#All],[PID]],0)),INDEX(Table3[[#All],[Age]],MATCH(Table5[[#This Row],[PID]],Table3[[#All],[PID]],0)))</f>
        <v>21</v>
      </c>
      <c r="H860" s="52" t="str">
        <f>IF($C860="B",INDEX(Batters[[#All],[B]],MATCH(Table5[[#This Row],[PID]],Batters[[#All],[PID]],0)),INDEX(Table3[[#All],[B]],MATCH(Table5[[#This Row],[PID]],Table3[[#All],[PID]],0)))</f>
        <v>R</v>
      </c>
      <c r="I860" s="52" t="str">
        <f>IF($C860="B",INDEX(Batters[[#All],[T]],MATCH(Table5[[#This Row],[PID]],Batters[[#All],[PID]],0)),INDEX(Table3[[#All],[T]],MATCH(Table5[[#This Row],[PID]],Table3[[#All],[PID]],0)))</f>
        <v>R</v>
      </c>
      <c r="J860" s="52" t="str">
        <f>IF($C860="B",INDEX(Batters[[#All],[WE]],MATCH(Table5[[#This Row],[PID]],Batters[[#All],[PID]],0)),INDEX(Table3[[#All],[WE]],MATCH(Table5[[#This Row],[PID]],Table3[[#All],[PID]],0)))</f>
        <v>Low</v>
      </c>
      <c r="K860" s="52" t="str">
        <f>IF($C860="B",INDEX(Batters[[#All],[INT]],MATCH(Table5[[#This Row],[PID]],Batters[[#All],[PID]],0)),INDEX(Table3[[#All],[INT]],MATCH(Table5[[#This Row],[PID]],Table3[[#All],[PID]],0)))</f>
        <v>Normal</v>
      </c>
      <c r="L860" s="60">
        <f>IF($C860="B",INDEX(Batters[[#All],[CON P]],MATCH(Table5[[#This Row],[PID]],Batters[[#All],[PID]],0)),INDEX(Table3[[#All],[STU P]],MATCH(Table5[[#This Row],[PID]],Table3[[#All],[PID]],0)))</f>
        <v>3</v>
      </c>
      <c r="M860" s="56">
        <f>IF($C860="B",INDEX(Batters[[#All],[GAP P]],MATCH(Table5[[#This Row],[PID]],Batters[[#All],[PID]],0)),INDEX(Table3[[#All],[MOV P]],MATCH(Table5[[#This Row],[PID]],Table3[[#All],[PID]],0)))</f>
        <v>2</v>
      </c>
      <c r="N860" s="56">
        <f>IF($C860="B",INDEX(Batters[[#All],[POW P]],MATCH(Table5[[#This Row],[PID]],Batters[[#All],[PID]],0)),INDEX(Table3[[#All],[CON P]],MATCH(Table5[[#This Row],[PID]],Table3[[#All],[PID]],0)))</f>
        <v>2</v>
      </c>
      <c r="O860" s="56">
        <f>IF($C860="B",INDEX(Batters[[#All],[EYE P]],MATCH(Table5[[#This Row],[PID]],Batters[[#All],[PID]],0)),INDEX(Table3[[#All],[VELO]],MATCH(Table5[[#This Row],[PID]],Table3[[#All],[PID]],0)))</f>
        <v>4</v>
      </c>
      <c r="P860" s="56">
        <f>IF($C860="B",INDEX(Batters[[#All],[K P]],MATCH(Table5[[#This Row],[PID]],Batters[[#All],[PID]],0)),INDEX(Table3[[#All],[STM]],MATCH(Table5[[#This Row],[PID]],Table3[[#All],[PID]],0)))</f>
        <v>3</v>
      </c>
      <c r="Q860" s="61">
        <f>IF($C860="B",INDEX(Batters[[#All],[Tot]],MATCH(Table5[[#This Row],[PID]],Batters[[#All],[PID]],0)),INDEX(Table3[[#All],[Tot]],MATCH(Table5[[#This Row],[PID]],Table3[[#All],[PID]],0)))</f>
        <v>33.083787606603195</v>
      </c>
      <c r="R860" s="52">
        <f>IF($C860="B",INDEX(Batters[[#All],[zScore]],MATCH(Table5[[#This Row],[PID]],Batters[[#All],[PID]],0)),INDEX(Table3[[#All],[zScore]],MATCH(Table5[[#This Row],[PID]],Table3[[#All],[PID]],0)))</f>
        <v>-1.479343431716488</v>
      </c>
      <c r="S860" s="58" t="str">
        <f>IF($C860="B",INDEX(Batters[[#All],[DEM]],MATCH(Table5[[#This Row],[PID]],Batters[[#All],[PID]],0)),INDEX(Table3[[#All],[DEM]],MATCH(Table5[[#This Row],[PID]],Table3[[#All],[PID]],0)))</f>
        <v>-</v>
      </c>
      <c r="T860" s="62">
        <f>IF($C860="B",INDEX(Batters[[#All],[Rnk]],MATCH(Table5[[#This Row],[PID]],Batters[[#All],[PID]],0)),INDEX(Table3[[#All],[Rnk]],MATCH(Table5[[#This Row],[PID]],Table3[[#All],[PID]],0)))</f>
        <v>930</v>
      </c>
      <c r="U860" s="67">
        <f>IF($C860="B",VLOOKUP($A860,Bat!$A$4:$BA$1314,47,FALSE),VLOOKUP($A860,Pit!$A$4:$BF$1214,56,FALSE))</f>
        <v>396</v>
      </c>
      <c r="V860" s="50">
        <f>IF($C860="B",VLOOKUP($A860,Bat!$A$4:$BA$1314,48,FALSE),VLOOKUP($A860,Pit!$A$4:$BF$1214,57,FALSE))</f>
        <v>0</v>
      </c>
      <c r="W860" s="68">
        <f>IF(Table5[[#This Row],[posRnk]]=999,9999,Table5[[#This Row],[posRnk]]+Table5[[#This Row],[zRnk]]+IF($W$3&lt;&gt;Table5[[#This Row],[Type]],50,0))</f>
        <v>1835</v>
      </c>
      <c r="X860" s="51">
        <f>RANK(Table5[[#This Row],[zScore]],Table5[[#All],[zScore]])</f>
        <v>855</v>
      </c>
      <c r="Y860" s="50">
        <f>IFERROR(INDEX(DraftResults[[#All],[OVR]],MATCH(Table5[[#This Row],[PID]],DraftResults[[#All],[Player ID]],0)),"")</f>
        <v>583</v>
      </c>
      <c r="Z860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18</v>
      </c>
      <c r="AA860" s="50">
        <f>IFERROR(INDEX(DraftResults[[#All],[Pick in Round]],MATCH(Table5[[#This Row],[PID]],DraftResults[[#All],[Player ID]],0)),"")</f>
        <v>14</v>
      </c>
      <c r="AB860" s="50" t="str">
        <f>IFERROR(INDEX(DraftResults[[#All],[Team Name]],MATCH(Table5[[#This Row],[PID]],DraftResults[[#All],[Player ID]],0)),"")</f>
        <v>San Antonio Calzones of Laredo</v>
      </c>
      <c r="AC860" s="50">
        <f>IF(Table5[[#This Row],[Ovr]]="","",IF(Table5[[#This Row],[cmbList]]="","",Table5[[#This Row],[cmbList]]-Table5[[#This Row],[Ovr]]))</f>
        <v>1252</v>
      </c>
      <c r="AD860" s="54" t="str">
        <f>IF(ISERROR(VLOOKUP($AB860&amp;"-"&amp;$E860&amp;" "&amp;F860,Bonuses!$B$1:$G$1006,4,FALSE)),"",INT(VLOOKUP($AB860&amp;"-"&amp;$E860&amp;" "&amp;$F860,Bonuses!$B$1:$G$1006,4,FALSE)))</f>
        <v/>
      </c>
      <c r="AE860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18.14 (583) - 1B Alexander Chilcott</v>
      </c>
    </row>
    <row r="861" spans="1:31" s="50" customFormat="1" x14ac:dyDescent="0.3">
      <c r="A861" s="50">
        <v>16772</v>
      </c>
      <c r="B861" s="50">
        <f>COUNTIF(Table5[PID],A861)</f>
        <v>1</v>
      </c>
      <c r="C861" s="50" t="str">
        <f>IF(COUNTIF(Table3[[#All],[PID]],A861)&gt;0,"P","B")</f>
        <v>P</v>
      </c>
      <c r="D861" s="59" t="str">
        <f>IF($C861="B",INDEX(Batters[[#All],[POS]],MATCH(Table5[[#This Row],[PID]],Batters[[#All],[PID]],0)),INDEX(Table3[[#All],[POS]],MATCH(Table5[[#This Row],[PID]],Table3[[#All],[PID]],0)))</f>
        <v>RP</v>
      </c>
      <c r="E861" s="52" t="str">
        <f>IF($C861="B",INDEX(Batters[[#All],[First]],MATCH(Table5[[#This Row],[PID]],Batters[[#All],[PID]],0)),INDEX(Table3[[#All],[First]],MATCH(Table5[[#This Row],[PID]],Table3[[#All],[PID]],0)))</f>
        <v>Jorge</v>
      </c>
      <c r="F861" s="50" t="str">
        <f>IF($C861="B",INDEX(Batters[[#All],[Last]],MATCH(A861,Batters[[#All],[PID]],0)),INDEX(Table3[[#All],[Last]],MATCH(A861,Table3[[#All],[PID]],0)))</f>
        <v>Negrete</v>
      </c>
      <c r="G861" s="56">
        <f>IF($C861="B",INDEX(Batters[[#All],[Age]],MATCH(Table5[[#This Row],[PID]],Batters[[#All],[PID]],0)),INDEX(Table3[[#All],[Age]],MATCH(Table5[[#This Row],[PID]],Table3[[#All],[PID]],0)))</f>
        <v>21</v>
      </c>
      <c r="H861" s="52" t="str">
        <f>IF($C861="B",INDEX(Batters[[#All],[B]],MATCH(Table5[[#This Row],[PID]],Batters[[#All],[PID]],0)),INDEX(Table3[[#All],[B]],MATCH(Table5[[#This Row],[PID]],Table3[[#All],[PID]],0)))</f>
        <v>R</v>
      </c>
      <c r="I861" s="52" t="str">
        <f>IF($C861="B",INDEX(Batters[[#All],[T]],MATCH(Table5[[#This Row],[PID]],Batters[[#All],[PID]],0)),INDEX(Table3[[#All],[T]],MATCH(Table5[[#This Row],[PID]],Table3[[#All],[PID]],0)))</f>
        <v>L</v>
      </c>
      <c r="J861" s="52" t="str">
        <f>IF($C861="B",INDEX(Batters[[#All],[WE]],MATCH(Table5[[#This Row],[PID]],Batters[[#All],[PID]],0)),INDEX(Table3[[#All],[WE]],MATCH(Table5[[#This Row],[PID]],Table3[[#All],[PID]],0)))</f>
        <v>Low</v>
      </c>
      <c r="K861" s="52" t="str">
        <f>IF($C861="B",INDEX(Batters[[#All],[INT]],MATCH(Table5[[#This Row],[PID]],Batters[[#All],[PID]],0)),INDEX(Table3[[#All],[INT]],MATCH(Table5[[#This Row],[PID]],Table3[[#All],[PID]],0)))</f>
        <v>Normal</v>
      </c>
      <c r="L861" s="60">
        <f>IF($C861="B",INDEX(Batters[[#All],[CON P]],MATCH(Table5[[#This Row],[PID]],Batters[[#All],[PID]],0)),INDEX(Table3[[#All],[STU P]],MATCH(Table5[[#This Row],[PID]],Table3[[#All],[PID]],0)))</f>
        <v>4</v>
      </c>
      <c r="M861" s="56">
        <f>IF($C861="B",INDEX(Batters[[#All],[GAP P]],MATCH(Table5[[#This Row],[PID]],Batters[[#All],[PID]],0)),INDEX(Table3[[#All],[MOV P]],MATCH(Table5[[#This Row],[PID]],Table3[[#All],[PID]],0)))</f>
        <v>2</v>
      </c>
      <c r="N861" s="56">
        <f>IF($C861="B",INDEX(Batters[[#All],[POW P]],MATCH(Table5[[#This Row],[PID]],Batters[[#All],[PID]],0)),INDEX(Table3[[#All],[CON P]],MATCH(Table5[[#This Row],[PID]],Table3[[#All],[PID]],0)))</f>
        <v>2</v>
      </c>
      <c r="O861" s="56" t="str">
        <f>IF($C861="B",INDEX(Batters[[#All],[EYE P]],MATCH(Table5[[#This Row],[PID]],Batters[[#All],[PID]],0)),INDEX(Table3[[#All],[VELO]],MATCH(Table5[[#This Row],[PID]],Table3[[#All],[PID]],0)))</f>
        <v>88-90 Mph</v>
      </c>
      <c r="P861" s="56">
        <f>IF($C861="B",INDEX(Batters[[#All],[K P]],MATCH(Table5[[#This Row],[PID]],Batters[[#All],[PID]],0)),INDEX(Table3[[#All],[STM]],MATCH(Table5[[#This Row],[PID]],Table3[[#All],[PID]],0)))</f>
        <v>4</v>
      </c>
      <c r="Q861" s="61">
        <f>IF($C861="B",INDEX(Batters[[#All],[Tot]],MATCH(Table5[[#This Row],[PID]],Batters[[#All],[PID]],0)),INDEX(Table3[[#All],[Tot]],MATCH(Table5[[#This Row],[PID]],Table3[[#All],[PID]],0)))</f>
        <v>16.761739979406649</v>
      </c>
      <c r="R861" s="52">
        <f>IF($C861="B",INDEX(Batters[[#All],[zScore]],MATCH(Table5[[#This Row],[PID]],Batters[[#All],[PID]],0)),INDEX(Table3[[#All],[zScore]],MATCH(Table5[[#This Row],[PID]],Table3[[#All],[PID]],0)))</f>
        <v>-1.4982559714677908</v>
      </c>
      <c r="S861" s="58" t="str">
        <f>IF($C861="B",INDEX(Batters[[#All],[DEM]],MATCH(Table5[[#This Row],[PID]],Batters[[#All],[PID]],0)),INDEX(Table3[[#All],[DEM]],MATCH(Table5[[#This Row],[PID]],Table3[[#All],[PID]],0)))</f>
        <v>-</v>
      </c>
      <c r="T861" s="62">
        <f>IF($C861="B",INDEX(Batters[[#All],[Rnk]],MATCH(Table5[[#This Row],[PID]],Batters[[#All],[PID]],0)),INDEX(Table3[[#All],[Rnk]],MATCH(Table5[[#This Row],[PID]],Table3[[#All],[PID]],0)))</f>
        <v>930</v>
      </c>
      <c r="U861" s="67">
        <f>IF($C861="B",VLOOKUP($A861,Bat!$A$4:$BA$1314,47,FALSE),VLOOKUP($A861,Pit!$A$4:$BF$1214,56,FALSE))</f>
        <v>383</v>
      </c>
      <c r="V861" s="50">
        <f>IF($C861="B",VLOOKUP($A861,Bat!$A$4:$BA$1314,48,FALSE),VLOOKUP($A861,Pit!$A$4:$BF$1214,57,FALSE))</f>
        <v>0</v>
      </c>
      <c r="W861" s="68">
        <f>IF(Table5[[#This Row],[posRnk]]=999,9999,Table5[[#This Row],[posRnk]]+Table5[[#This Row],[zRnk]]+IF($W$3&lt;&gt;Table5[[#This Row],[Type]],50,0))</f>
        <v>1786</v>
      </c>
      <c r="X861" s="51">
        <f>RANK(Table5[[#This Row],[zScore]],Table5[[#All],[zScore]])</f>
        <v>856</v>
      </c>
      <c r="Y861" s="50" t="str">
        <f>IFERROR(INDEX(DraftResults[[#All],[OVR]],MATCH(Table5[[#This Row],[PID]],DraftResults[[#All],[Player ID]],0)),"")</f>
        <v/>
      </c>
      <c r="Z861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/>
      </c>
      <c r="AA861" s="50" t="str">
        <f>IFERROR(INDEX(DraftResults[[#All],[Pick in Round]],MATCH(Table5[[#This Row],[PID]],DraftResults[[#All],[Player ID]],0)),"")</f>
        <v/>
      </c>
      <c r="AB861" s="50" t="str">
        <f>IFERROR(INDEX(DraftResults[[#All],[Team Name]],MATCH(Table5[[#This Row],[PID]],DraftResults[[#All],[Player ID]],0)),"")</f>
        <v/>
      </c>
      <c r="AC861" s="50" t="str">
        <f>IF(Table5[[#This Row],[Ovr]]="","",IF(Table5[[#This Row],[cmbList]]="","",Table5[[#This Row],[cmbList]]-Table5[[#This Row],[Ovr]]))</f>
        <v/>
      </c>
      <c r="AD861" s="54" t="str">
        <f>IF(ISERROR(VLOOKUP($AB861&amp;"-"&amp;$E861&amp;" "&amp;F861,Bonuses!$B$1:$G$1006,4,FALSE)),"",INT(VLOOKUP($AB861&amp;"-"&amp;$E861&amp;" "&amp;$F861,Bonuses!$B$1:$G$1006,4,FALSE)))</f>
        <v/>
      </c>
      <c r="AE861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/>
      </c>
    </row>
    <row r="862" spans="1:31" s="50" customFormat="1" x14ac:dyDescent="0.3">
      <c r="A862" s="50">
        <v>13472</v>
      </c>
      <c r="B862" s="55">
        <f>COUNTIF(Table5[PID],A862)</f>
        <v>1</v>
      </c>
      <c r="C862" s="55" t="str">
        <f>IF(COUNTIF(Table3[[#All],[PID]],A862)&gt;0,"P","B")</f>
        <v>B</v>
      </c>
      <c r="D862" s="59" t="str">
        <f>IF($C862="B",INDEX(Batters[[#All],[POS]],MATCH(Table5[[#This Row],[PID]],Batters[[#All],[PID]],0)),INDEX(Table3[[#All],[POS]],MATCH(Table5[[#This Row],[PID]],Table3[[#All],[PID]],0)))</f>
        <v>1B</v>
      </c>
      <c r="E862" s="52" t="str">
        <f>IF($C862="B",INDEX(Batters[[#All],[First]],MATCH(Table5[[#This Row],[PID]],Batters[[#All],[PID]],0)),INDEX(Table3[[#All],[First]],MATCH(Table5[[#This Row],[PID]],Table3[[#All],[PID]],0)))</f>
        <v>Kojiro</v>
      </c>
      <c r="F862" s="50" t="str">
        <f>IF($C862="B",INDEX(Batters[[#All],[Last]],MATCH(A862,Batters[[#All],[PID]],0)),INDEX(Table3[[#All],[Last]],MATCH(A862,Table3[[#All],[PID]],0)))</f>
        <v>Miyamoto</v>
      </c>
      <c r="G862" s="56">
        <f>IF($C862="B",INDEX(Batters[[#All],[Age]],MATCH(Table5[[#This Row],[PID]],Batters[[#All],[PID]],0)),INDEX(Table3[[#All],[Age]],MATCH(Table5[[#This Row],[PID]],Table3[[#All],[PID]],0)))</f>
        <v>21</v>
      </c>
      <c r="H862" s="52" t="str">
        <f>IF($C862="B",INDEX(Batters[[#All],[B]],MATCH(Table5[[#This Row],[PID]],Batters[[#All],[PID]],0)),INDEX(Table3[[#All],[B]],MATCH(Table5[[#This Row],[PID]],Table3[[#All],[PID]],0)))</f>
        <v>R</v>
      </c>
      <c r="I862" s="52" t="str">
        <f>IF($C862="B",INDEX(Batters[[#All],[T]],MATCH(Table5[[#This Row],[PID]],Batters[[#All],[PID]],0)),INDEX(Table3[[#All],[T]],MATCH(Table5[[#This Row],[PID]],Table3[[#All],[PID]],0)))</f>
        <v>R</v>
      </c>
      <c r="J862" s="52" t="str">
        <f>IF($C862="B",INDEX(Batters[[#All],[WE]],MATCH(Table5[[#This Row],[PID]],Batters[[#All],[PID]],0)),INDEX(Table3[[#All],[WE]],MATCH(Table5[[#This Row],[PID]],Table3[[#All],[PID]],0)))</f>
        <v>High</v>
      </c>
      <c r="K862" s="52" t="str">
        <f>IF($C862="B",INDEX(Batters[[#All],[INT]],MATCH(Table5[[#This Row],[PID]],Batters[[#All],[PID]],0)),INDEX(Table3[[#All],[INT]],MATCH(Table5[[#This Row],[PID]],Table3[[#All],[PID]],0)))</f>
        <v>Normal</v>
      </c>
      <c r="L862" s="60">
        <f>IF($C862="B",INDEX(Batters[[#All],[CON P]],MATCH(Table5[[#This Row],[PID]],Batters[[#All],[PID]],0)),INDEX(Table3[[#All],[STU P]],MATCH(Table5[[#This Row],[PID]],Table3[[#All],[PID]],0)))</f>
        <v>2</v>
      </c>
      <c r="M862" s="56">
        <f>IF($C862="B",INDEX(Batters[[#All],[GAP P]],MATCH(Table5[[#This Row],[PID]],Batters[[#All],[PID]],0)),INDEX(Table3[[#All],[MOV P]],MATCH(Table5[[#This Row],[PID]],Table3[[#All],[PID]],0)))</f>
        <v>2</v>
      </c>
      <c r="N862" s="56">
        <f>IF($C862="B",INDEX(Batters[[#All],[POW P]],MATCH(Table5[[#This Row],[PID]],Batters[[#All],[PID]],0)),INDEX(Table3[[#All],[CON P]],MATCH(Table5[[#This Row],[PID]],Table3[[#All],[PID]],0)))</f>
        <v>2</v>
      </c>
      <c r="O862" s="56">
        <f>IF($C862="B",INDEX(Batters[[#All],[EYE P]],MATCH(Table5[[#This Row],[PID]],Batters[[#All],[PID]],0)),INDEX(Table3[[#All],[VELO]],MATCH(Table5[[#This Row],[PID]],Table3[[#All],[PID]],0)))</f>
        <v>1</v>
      </c>
      <c r="P862" s="56">
        <f>IF($C862="B",INDEX(Batters[[#All],[K P]],MATCH(Table5[[#This Row],[PID]],Batters[[#All],[PID]],0)),INDEX(Table3[[#All],[STM]],MATCH(Table5[[#This Row],[PID]],Table3[[#All],[PID]],0)))</f>
        <v>4</v>
      </c>
      <c r="Q862" s="61">
        <f>IF($C862="B",INDEX(Batters[[#All],[Tot]],MATCH(Table5[[#This Row],[PID]],Batters[[#All],[PID]],0)),INDEX(Table3[[#All],[Tot]],MATCH(Table5[[#This Row],[PID]],Table3[[#All],[PID]],0)))</f>
        <v>27.017573989990712</v>
      </c>
      <c r="R862" s="52">
        <f>IF($C862="B",INDEX(Batters[[#All],[zScore]],MATCH(Table5[[#This Row],[PID]],Batters[[#All],[PID]],0)),INDEX(Table3[[#All],[zScore]],MATCH(Table5[[#This Row],[PID]],Table3[[#All],[PID]],0)))</f>
        <v>-2.364817166049225</v>
      </c>
      <c r="S862" s="58" t="str">
        <f>IF($C862="B",INDEX(Batters[[#All],[DEM]],MATCH(Table5[[#This Row],[PID]],Batters[[#All],[PID]],0)),INDEX(Table3[[#All],[DEM]],MATCH(Table5[[#This Row],[PID]],Table3[[#All],[PID]],0)))</f>
        <v>$20k</v>
      </c>
      <c r="T862" s="62">
        <f>IF($C862="B",INDEX(Batters[[#All],[Rnk]],MATCH(Table5[[#This Row],[PID]],Batters[[#All],[PID]],0)),INDEX(Table3[[#All],[Rnk]],MATCH(Table5[[#This Row],[PID]],Table3[[#All],[PID]],0)))</f>
        <v>900</v>
      </c>
      <c r="U862" s="67">
        <f>IF($C862="B",VLOOKUP($A862,Bat!$A$4:$BA$1314,47,FALSE),VLOOKUP($A862,Pit!$A$4:$BF$1214,56,FALSE))</f>
        <v>300</v>
      </c>
      <c r="V862" s="50">
        <f>IF($C862="B",VLOOKUP($A862,Bat!$A$4:$BA$1314,48,FALSE),VLOOKUP($A862,Pit!$A$4:$BF$1214,57,FALSE))</f>
        <v>0</v>
      </c>
      <c r="W862" s="68">
        <f>IF(Table5[[#This Row],[posRnk]]=999,9999,Table5[[#This Row],[posRnk]]+Table5[[#This Row],[zRnk]]+IF($W$3&lt;&gt;Table5[[#This Row],[Type]],50,0))</f>
        <v>1837</v>
      </c>
      <c r="X862" s="51">
        <f>RANK(Table5[[#This Row],[zScore]],Table5[[#All],[zScore]])</f>
        <v>887</v>
      </c>
      <c r="Y862" s="50" t="str">
        <f>IFERROR(INDEX(DraftResults[[#All],[OVR]],MATCH(Table5[[#This Row],[PID]],DraftResults[[#All],[Player ID]],0)),"")</f>
        <v/>
      </c>
      <c r="Z862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/>
      </c>
      <c r="AA862" s="50" t="str">
        <f>IFERROR(INDEX(DraftResults[[#All],[Pick in Round]],MATCH(Table5[[#This Row],[PID]],DraftResults[[#All],[Player ID]],0)),"")</f>
        <v/>
      </c>
      <c r="AB862" s="50" t="str">
        <f>IFERROR(INDEX(DraftResults[[#All],[Team Name]],MATCH(Table5[[#This Row],[PID]],DraftResults[[#All],[Player ID]],0)),"")</f>
        <v/>
      </c>
      <c r="AC862" s="50" t="str">
        <f>IF(Table5[[#This Row],[Ovr]]="","",IF(Table5[[#This Row],[cmbList]]="","",Table5[[#This Row],[cmbList]]-Table5[[#This Row],[Ovr]]))</f>
        <v/>
      </c>
      <c r="AD862" s="54" t="str">
        <f>IF(ISERROR(VLOOKUP($AB862&amp;"-"&amp;$E862&amp;" "&amp;F862,Bonuses!$B$1:$G$1006,4,FALSE)),"",INT(VLOOKUP($AB862&amp;"-"&amp;$E862&amp;" "&amp;$F862,Bonuses!$B$1:$G$1006,4,FALSE)))</f>
        <v/>
      </c>
      <c r="AE862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/>
      </c>
    </row>
    <row r="863" spans="1:31" s="50" customFormat="1" x14ac:dyDescent="0.3">
      <c r="A863" s="50">
        <v>5727</v>
      </c>
      <c r="B863" s="50">
        <f>COUNTIF(Table5[PID],A863)</f>
        <v>1</v>
      </c>
      <c r="C863" s="50" t="str">
        <f>IF(COUNTIF(Table3[[#All],[PID]],A863)&gt;0,"P","B")</f>
        <v>B</v>
      </c>
      <c r="D863" s="59" t="str">
        <f>IF($C863="B",INDEX(Batters[[#All],[POS]],MATCH(Table5[[#This Row],[PID]],Batters[[#All],[PID]],0)),INDEX(Table3[[#All],[POS]],MATCH(Table5[[#This Row],[PID]],Table3[[#All],[PID]],0)))</f>
        <v>C</v>
      </c>
      <c r="E863" s="52" t="str">
        <f>IF($C863="B",INDEX(Batters[[#All],[First]],MATCH(Table5[[#This Row],[PID]],Batters[[#All],[PID]],0)),INDEX(Table3[[#All],[First]],MATCH(Table5[[#This Row],[PID]],Table3[[#All],[PID]],0)))</f>
        <v>Nate</v>
      </c>
      <c r="F863" s="50" t="str">
        <f>IF($C863="B",INDEX(Batters[[#All],[Last]],MATCH(A863,Batters[[#All],[PID]],0)),INDEX(Table3[[#All],[Last]],MATCH(A863,Table3[[#All],[PID]],0)))</f>
        <v>McLaughlin</v>
      </c>
      <c r="G863" s="56">
        <f>IF($C863="B",INDEX(Batters[[#All],[Age]],MATCH(Table5[[#This Row],[PID]],Batters[[#All],[PID]],0)),INDEX(Table3[[#All],[Age]],MATCH(Table5[[#This Row],[PID]],Table3[[#All],[PID]],0)))</f>
        <v>21</v>
      </c>
      <c r="H863" s="52" t="str">
        <f>IF($C863="B",INDEX(Batters[[#All],[B]],MATCH(Table5[[#This Row],[PID]],Batters[[#All],[PID]],0)),INDEX(Table3[[#All],[B]],MATCH(Table5[[#This Row],[PID]],Table3[[#All],[PID]],0)))</f>
        <v>R</v>
      </c>
      <c r="I863" s="52" t="str">
        <f>IF($C863="B",INDEX(Batters[[#All],[T]],MATCH(Table5[[#This Row],[PID]],Batters[[#All],[PID]],0)),INDEX(Table3[[#All],[T]],MATCH(Table5[[#This Row],[PID]],Table3[[#All],[PID]],0)))</f>
        <v>R</v>
      </c>
      <c r="J863" s="52" t="str">
        <f>IF($C863="B",INDEX(Batters[[#All],[WE]],MATCH(Table5[[#This Row],[PID]],Batters[[#All],[PID]],0)),INDEX(Table3[[#All],[WE]],MATCH(Table5[[#This Row],[PID]],Table3[[#All],[PID]],0)))</f>
        <v>Low</v>
      </c>
      <c r="K863" s="52" t="str">
        <f>IF($C863="B",INDEX(Batters[[#All],[INT]],MATCH(Table5[[#This Row],[PID]],Batters[[#All],[PID]],0)),INDEX(Table3[[#All],[INT]],MATCH(Table5[[#This Row],[PID]],Table3[[#All],[PID]],0)))</f>
        <v>Normal</v>
      </c>
      <c r="L863" s="60">
        <f>IF($C863="B",INDEX(Batters[[#All],[CON P]],MATCH(Table5[[#This Row],[PID]],Batters[[#All],[PID]],0)),INDEX(Table3[[#All],[STU P]],MATCH(Table5[[#This Row],[PID]],Table3[[#All],[PID]],0)))</f>
        <v>2</v>
      </c>
      <c r="M863" s="56">
        <f>IF($C863="B",INDEX(Batters[[#All],[GAP P]],MATCH(Table5[[#This Row],[PID]],Batters[[#All],[PID]],0)),INDEX(Table3[[#All],[MOV P]],MATCH(Table5[[#This Row],[PID]],Table3[[#All],[PID]],0)))</f>
        <v>4</v>
      </c>
      <c r="N863" s="56">
        <f>IF($C863="B",INDEX(Batters[[#All],[POW P]],MATCH(Table5[[#This Row],[PID]],Batters[[#All],[PID]],0)),INDEX(Table3[[#All],[CON P]],MATCH(Table5[[#This Row],[PID]],Table3[[#All],[PID]],0)))</f>
        <v>3</v>
      </c>
      <c r="O863" s="56">
        <f>IF($C863="B",INDEX(Batters[[#All],[EYE P]],MATCH(Table5[[#This Row],[PID]],Batters[[#All],[PID]],0)),INDEX(Table3[[#All],[VELO]],MATCH(Table5[[#This Row],[PID]],Table3[[#All],[PID]],0)))</f>
        <v>5</v>
      </c>
      <c r="P863" s="56">
        <f>IF($C863="B",INDEX(Batters[[#All],[K P]],MATCH(Table5[[#This Row],[PID]],Batters[[#All],[PID]],0)),INDEX(Table3[[#All],[STM]],MATCH(Table5[[#This Row],[PID]],Table3[[#All],[PID]],0)))</f>
        <v>3</v>
      </c>
      <c r="Q863" s="61">
        <f>IF($C863="B",INDEX(Batters[[#All],[Tot]],MATCH(Table5[[#This Row],[PID]],Batters[[#All],[PID]],0)),INDEX(Table3[[#All],[Tot]],MATCH(Table5[[#This Row],[PID]],Table3[[#All],[PID]],0)))</f>
        <v>32.502836256420814</v>
      </c>
      <c r="R863" s="52">
        <f>IF($C863="B",INDEX(Batters[[#All],[zScore]],MATCH(Table5[[#This Row],[PID]],Batters[[#All],[PID]],0)),INDEX(Table3[[#All],[zScore]],MATCH(Table5[[#This Row],[PID]],Table3[[#All],[PID]],0)))</f>
        <v>-1.5641438020995708</v>
      </c>
      <c r="S863" s="58" t="str">
        <f>IF($C863="B",INDEX(Batters[[#All],[DEM]],MATCH(Table5[[#This Row],[PID]],Batters[[#All],[PID]],0)),INDEX(Table3[[#All],[DEM]],MATCH(Table5[[#This Row],[PID]],Table3[[#All],[PID]],0)))</f>
        <v>$20k</v>
      </c>
      <c r="T863" s="62">
        <f>IF($C863="B",INDEX(Batters[[#All],[Rnk]],MATCH(Table5[[#This Row],[PID]],Batters[[#All],[PID]],0)),INDEX(Table3[[#All],[Rnk]],MATCH(Table5[[#This Row],[PID]],Table3[[#All],[PID]],0)))</f>
        <v>930</v>
      </c>
      <c r="U863" s="67">
        <f>IF($C863="B",VLOOKUP($A863,Bat!$A$4:$BA$1314,47,FALSE),VLOOKUP($A863,Pit!$A$4:$BF$1214,56,FALSE))</f>
        <v>397</v>
      </c>
      <c r="V863" s="50">
        <f>IF($C863="B",VLOOKUP($A863,Bat!$A$4:$BA$1314,48,FALSE),VLOOKUP($A863,Pit!$A$4:$BF$1214,57,FALSE))</f>
        <v>0</v>
      </c>
      <c r="W863" s="68">
        <f>IF(Table5[[#This Row],[posRnk]]=999,9999,Table5[[#This Row],[posRnk]]+Table5[[#This Row],[zRnk]]+IF($W$3&lt;&gt;Table5[[#This Row],[Type]],50,0))</f>
        <v>1839</v>
      </c>
      <c r="X863" s="51">
        <f>RANK(Table5[[#This Row],[zScore]],Table5[[#All],[zScore]])</f>
        <v>859</v>
      </c>
      <c r="Y863" s="50" t="str">
        <f>IFERROR(INDEX(DraftResults[[#All],[OVR]],MATCH(Table5[[#This Row],[PID]],DraftResults[[#All],[Player ID]],0)),"")</f>
        <v/>
      </c>
      <c r="Z863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/>
      </c>
      <c r="AA863" s="50" t="str">
        <f>IFERROR(INDEX(DraftResults[[#All],[Pick in Round]],MATCH(Table5[[#This Row],[PID]],DraftResults[[#All],[Player ID]],0)),"")</f>
        <v/>
      </c>
      <c r="AB863" s="50" t="str">
        <f>IFERROR(INDEX(DraftResults[[#All],[Team Name]],MATCH(Table5[[#This Row],[PID]],DraftResults[[#All],[Player ID]],0)),"")</f>
        <v/>
      </c>
      <c r="AC863" s="50" t="str">
        <f>IF(Table5[[#This Row],[Ovr]]="","",IF(Table5[[#This Row],[cmbList]]="","",Table5[[#This Row],[cmbList]]-Table5[[#This Row],[Ovr]]))</f>
        <v/>
      </c>
      <c r="AD863" s="54" t="str">
        <f>IF(ISERROR(VLOOKUP($AB863&amp;"-"&amp;$E863&amp;" "&amp;F863,Bonuses!$B$1:$G$1006,4,FALSE)),"",INT(VLOOKUP($AB863&amp;"-"&amp;$E863&amp;" "&amp;$F863,Bonuses!$B$1:$G$1006,4,FALSE)))</f>
        <v/>
      </c>
      <c r="AE863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/>
      </c>
    </row>
    <row r="864" spans="1:31" s="50" customFormat="1" x14ac:dyDescent="0.3">
      <c r="A864" s="50">
        <v>17023</v>
      </c>
      <c r="B864" s="50">
        <f>COUNTIF(Table5[PID],A864)</f>
        <v>1</v>
      </c>
      <c r="C864" s="50" t="str">
        <f>IF(COUNTIF(Table3[[#All],[PID]],A864)&gt;0,"P","B")</f>
        <v>B</v>
      </c>
      <c r="D864" s="59" t="str">
        <f>IF($C864="B",INDEX(Batters[[#All],[POS]],MATCH(Table5[[#This Row],[PID]],Batters[[#All],[PID]],0)),INDEX(Table3[[#All],[POS]],MATCH(Table5[[#This Row],[PID]],Table3[[#All],[PID]],0)))</f>
        <v>C</v>
      </c>
      <c r="E864" s="52" t="str">
        <f>IF($C864="B",INDEX(Batters[[#All],[First]],MATCH(Table5[[#This Row],[PID]],Batters[[#All],[PID]],0)),INDEX(Table3[[#All],[First]],MATCH(Table5[[#This Row],[PID]],Table3[[#All],[PID]],0)))</f>
        <v>Joaquín</v>
      </c>
      <c r="F864" s="50" t="str">
        <f>IF($C864="B",INDEX(Batters[[#All],[Last]],MATCH(A864,Batters[[#All],[PID]],0)),INDEX(Table3[[#All],[Last]],MATCH(A864,Table3[[#All],[PID]],0)))</f>
        <v>López</v>
      </c>
      <c r="G864" s="56">
        <f>IF($C864="B",INDEX(Batters[[#All],[Age]],MATCH(Table5[[#This Row],[PID]],Batters[[#All],[PID]],0)),INDEX(Table3[[#All],[Age]],MATCH(Table5[[#This Row],[PID]],Table3[[#All],[PID]],0)))</f>
        <v>22</v>
      </c>
      <c r="H864" s="52" t="str">
        <f>IF($C864="B",INDEX(Batters[[#All],[B]],MATCH(Table5[[#This Row],[PID]],Batters[[#All],[PID]],0)),INDEX(Table3[[#All],[B]],MATCH(Table5[[#This Row],[PID]],Table3[[#All],[PID]],0)))</f>
        <v>R</v>
      </c>
      <c r="I864" s="52" t="str">
        <f>IF($C864="B",INDEX(Batters[[#All],[T]],MATCH(Table5[[#This Row],[PID]],Batters[[#All],[PID]],0)),INDEX(Table3[[#All],[T]],MATCH(Table5[[#This Row],[PID]],Table3[[#All],[PID]],0)))</f>
        <v>R</v>
      </c>
      <c r="J864" s="52" t="str">
        <f>IF($C864="B",INDEX(Batters[[#All],[WE]],MATCH(Table5[[#This Row],[PID]],Batters[[#All],[PID]],0)),INDEX(Table3[[#All],[WE]],MATCH(Table5[[#This Row],[PID]],Table3[[#All],[PID]],0)))</f>
        <v>Low</v>
      </c>
      <c r="K864" s="52" t="str">
        <f>IF($C864="B",INDEX(Batters[[#All],[INT]],MATCH(Table5[[#This Row],[PID]],Batters[[#All],[PID]],0)),INDEX(Table3[[#All],[INT]],MATCH(Table5[[#This Row],[PID]],Table3[[#All],[PID]],0)))</f>
        <v>Low</v>
      </c>
      <c r="L864" s="60">
        <f>IF($C864="B",INDEX(Batters[[#All],[CON P]],MATCH(Table5[[#This Row],[PID]],Batters[[#All],[PID]],0)),INDEX(Table3[[#All],[STU P]],MATCH(Table5[[#This Row],[PID]],Table3[[#All],[PID]],0)))</f>
        <v>2</v>
      </c>
      <c r="M864" s="56">
        <f>IF($C864="B",INDEX(Batters[[#All],[GAP P]],MATCH(Table5[[#This Row],[PID]],Batters[[#All],[PID]],0)),INDEX(Table3[[#All],[MOV P]],MATCH(Table5[[#This Row],[PID]],Table3[[#All],[PID]],0)))</f>
        <v>4</v>
      </c>
      <c r="N864" s="56">
        <f>IF($C864="B",INDEX(Batters[[#All],[POW P]],MATCH(Table5[[#This Row],[PID]],Batters[[#All],[PID]],0)),INDEX(Table3[[#All],[CON P]],MATCH(Table5[[#This Row],[PID]],Table3[[#All],[PID]],0)))</f>
        <v>4</v>
      </c>
      <c r="O864" s="56">
        <f>IF($C864="B",INDEX(Batters[[#All],[EYE P]],MATCH(Table5[[#This Row],[PID]],Batters[[#All],[PID]],0)),INDEX(Table3[[#All],[VELO]],MATCH(Table5[[#This Row],[PID]],Table3[[#All],[PID]],0)))</f>
        <v>5</v>
      </c>
      <c r="P864" s="56">
        <f>IF($C864="B",INDEX(Batters[[#All],[K P]],MATCH(Table5[[#This Row],[PID]],Batters[[#All],[PID]],0)),INDEX(Table3[[#All],[STM]],MATCH(Table5[[#This Row],[PID]],Table3[[#All],[PID]],0)))</f>
        <v>2</v>
      </c>
      <c r="Q864" s="61">
        <f>IF($C864="B",INDEX(Batters[[#All],[Tot]],MATCH(Table5[[#This Row],[PID]],Batters[[#All],[PID]],0)),INDEX(Table3[[#All],[Tot]],MATCH(Table5[[#This Row],[PID]],Table3[[#All],[PID]],0)))</f>
        <v>33.959505615647586</v>
      </c>
      <c r="R864" s="52">
        <f>IF($C864="B",INDEX(Batters[[#All],[zScore]],MATCH(Table5[[#This Row],[PID]],Batters[[#All],[PID]],0)),INDEX(Table3[[#All],[zScore]],MATCH(Table5[[#This Row],[PID]],Table3[[#All],[PID]],0)))</f>
        <v>-1.3515165293523106</v>
      </c>
      <c r="S864" s="58" t="str">
        <f>IF($C864="B",INDEX(Batters[[#All],[DEM]],MATCH(Table5[[#This Row],[PID]],Batters[[#All],[PID]],0)),INDEX(Table3[[#All],[DEM]],MATCH(Table5[[#This Row],[PID]],Table3[[#All],[PID]],0)))</f>
        <v>-</v>
      </c>
      <c r="T864" s="62">
        <f>IF($C864="B",INDEX(Batters[[#All],[Rnk]],MATCH(Table5[[#This Row],[PID]],Batters[[#All],[PID]],0)),INDEX(Table3[[#All],[Rnk]],MATCH(Table5[[#This Row],[PID]],Table3[[#All],[PID]],0)))</f>
        <v>950</v>
      </c>
      <c r="U864" s="67">
        <f>IF($C864="B",VLOOKUP($A864,Bat!$A$4:$BA$1314,47,FALSE),VLOOKUP($A864,Pit!$A$4:$BF$1214,56,FALSE))</f>
        <v>443</v>
      </c>
      <c r="V864" s="50">
        <f>IF($C864="B",VLOOKUP($A864,Bat!$A$4:$BA$1314,48,FALSE),VLOOKUP($A864,Pit!$A$4:$BF$1214,57,FALSE))</f>
        <v>0</v>
      </c>
      <c r="W864" s="68">
        <f>IF(Table5[[#This Row],[posRnk]]=999,9999,Table5[[#This Row],[posRnk]]+Table5[[#This Row],[zRnk]]+IF($W$3&lt;&gt;Table5[[#This Row],[Type]],50,0))</f>
        <v>1841</v>
      </c>
      <c r="X864" s="51">
        <f>RANK(Table5[[#This Row],[zScore]],Table5[[#All],[zScore]])</f>
        <v>841</v>
      </c>
      <c r="Y864" s="50" t="str">
        <f>IFERROR(INDEX(DraftResults[[#All],[OVR]],MATCH(Table5[[#This Row],[PID]],DraftResults[[#All],[Player ID]],0)),"")</f>
        <v/>
      </c>
      <c r="Z864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/>
      </c>
      <c r="AA864" s="50" t="str">
        <f>IFERROR(INDEX(DraftResults[[#All],[Pick in Round]],MATCH(Table5[[#This Row],[PID]],DraftResults[[#All],[Player ID]],0)),"")</f>
        <v/>
      </c>
      <c r="AB864" s="50" t="str">
        <f>IFERROR(INDEX(DraftResults[[#All],[Team Name]],MATCH(Table5[[#This Row],[PID]],DraftResults[[#All],[Player ID]],0)),"")</f>
        <v/>
      </c>
      <c r="AC864" s="50" t="str">
        <f>IF(Table5[[#This Row],[Ovr]]="","",IF(Table5[[#This Row],[cmbList]]="","",Table5[[#This Row],[cmbList]]-Table5[[#This Row],[Ovr]]))</f>
        <v/>
      </c>
      <c r="AD864" s="54" t="str">
        <f>IF(ISERROR(VLOOKUP($AB864&amp;"-"&amp;$E864&amp;" "&amp;F864,Bonuses!$B$1:$G$1006,4,FALSE)),"",INT(VLOOKUP($AB864&amp;"-"&amp;$E864&amp;" "&amp;$F864,Bonuses!$B$1:$G$1006,4,FALSE)))</f>
        <v/>
      </c>
      <c r="AE864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/>
      </c>
    </row>
    <row r="865" spans="1:31" s="50" customFormat="1" x14ac:dyDescent="0.3">
      <c r="A865" s="50">
        <v>20190</v>
      </c>
      <c r="B865" s="50">
        <f>COUNTIF(Table5[PID],A865)</f>
        <v>1</v>
      </c>
      <c r="C865" s="50" t="str">
        <f>IF(COUNTIF(Table3[[#All],[PID]],A865)&gt;0,"P","B")</f>
        <v>B</v>
      </c>
      <c r="D865" s="59" t="str">
        <f>IF($C865="B",INDEX(Batters[[#All],[POS]],MATCH(Table5[[#This Row],[PID]],Batters[[#All],[PID]],0)),INDEX(Table3[[#All],[POS]],MATCH(Table5[[#This Row],[PID]],Table3[[#All],[PID]],0)))</f>
        <v>1B</v>
      </c>
      <c r="E865" s="52" t="str">
        <f>IF($C865="B",INDEX(Batters[[#All],[First]],MATCH(Table5[[#This Row],[PID]],Batters[[#All],[PID]],0)),INDEX(Table3[[#All],[First]],MATCH(Table5[[#This Row],[PID]],Table3[[#All],[PID]],0)))</f>
        <v>Al</v>
      </c>
      <c r="F865" s="50" t="str">
        <f>IF($C865="B",INDEX(Batters[[#All],[Last]],MATCH(A865,Batters[[#All],[PID]],0)),INDEX(Table3[[#All],[Last]],MATCH(A865,Table3[[#All],[PID]],0)))</f>
        <v>Kennelly</v>
      </c>
      <c r="G865" s="56">
        <f>IF($C865="B",INDEX(Batters[[#All],[Age]],MATCH(Table5[[#This Row],[PID]],Batters[[#All],[PID]],0)),INDEX(Table3[[#All],[Age]],MATCH(Table5[[#This Row],[PID]],Table3[[#All],[PID]],0)))</f>
        <v>21</v>
      </c>
      <c r="H865" s="52" t="str">
        <f>IF($C865="B",INDEX(Batters[[#All],[B]],MATCH(Table5[[#This Row],[PID]],Batters[[#All],[PID]],0)),INDEX(Table3[[#All],[B]],MATCH(Table5[[#This Row],[PID]],Table3[[#All],[PID]],0)))</f>
        <v>R</v>
      </c>
      <c r="I865" s="52" t="str">
        <f>IF($C865="B",INDEX(Batters[[#All],[T]],MATCH(Table5[[#This Row],[PID]],Batters[[#All],[PID]],0)),INDEX(Table3[[#All],[T]],MATCH(Table5[[#This Row],[PID]],Table3[[#All],[PID]],0)))</f>
        <v>R</v>
      </c>
      <c r="J865" s="52" t="str">
        <f>IF($C865="B",INDEX(Batters[[#All],[WE]],MATCH(Table5[[#This Row],[PID]],Batters[[#All],[PID]],0)),INDEX(Table3[[#All],[WE]],MATCH(Table5[[#This Row],[PID]],Table3[[#All],[PID]],0)))</f>
        <v>Low</v>
      </c>
      <c r="K865" s="52" t="str">
        <f>IF($C865="B",INDEX(Batters[[#All],[INT]],MATCH(Table5[[#This Row],[PID]],Batters[[#All],[PID]],0)),INDEX(Table3[[#All],[INT]],MATCH(Table5[[#This Row],[PID]],Table3[[#All],[PID]],0)))</f>
        <v>Normal</v>
      </c>
      <c r="L865" s="60">
        <f>IF($C865="B",INDEX(Batters[[#All],[CON P]],MATCH(Table5[[#This Row],[PID]],Batters[[#All],[PID]],0)),INDEX(Table3[[#All],[STU P]],MATCH(Table5[[#This Row],[PID]],Table3[[#All],[PID]],0)))</f>
        <v>3</v>
      </c>
      <c r="M865" s="56">
        <f>IF($C865="B",INDEX(Batters[[#All],[GAP P]],MATCH(Table5[[#This Row],[PID]],Batters[[#All],[PID]],0)),INDEX(Table3[[#All],[MOV P]],MATCH(Table5[[#This Row],[PID]],Table3[[#All],[PID]],0)))</f>
        <v>2</v>
      </c>
      <c r="N865" s="56">
        <f>IF($C865="B",INDEX(Batters[[#All],[POW P]],MATCH(Table5[[#This Row],[PID]],Batters[[#All],[PID]],0)),INDEX(Table3[[#All],[CON P]],MATCH(Table5[[#This Row],[PID]],Table3[[#All],[PID]],0)))</f>
        <v>2</v>
      </c>
      <c r="O865" s="56">
        <f>IF($C865="B",INDEX(Batters[[#All],[EYE P]],MATCH(Table5[[#This Row],[PID]],Batters[[#All],[PID]],0)),INDEX(Table3[[#All],[VELO]],MATCH(Table5[[#This Row],[PID]],Table3[[#All],[PID]],0)))</f>
        <v>3</v>
      </c>
      <c r="P865" s="56">
        <f>IF($C865="B",INDEX(Batters[[#All],[K P]],MATCH(Table5[[#This Row],[PID]],Batters[[#All],[PID]],0)),INDEX(Table3[[#All],[STM]],MATCH(Table5[[#This Row],[PID]],Table3[[#All],[PID]],0)))</f>
        <v>4</v>
      </c>
      <c r="Q865" s="61">
        <f>IF($C865="B",INDEX(Batters[[#All],[Tot]],MATCH(Table5[[#This Row],[PID]],Batters[[#All],[PID]],0)),INDEX(Table3[[#All],[Tot]],MATCH(Table5[[#This Row],[PID]],Table3[[#All],[PID]],0)))</f>
        <v>32.445138191691839</v>
      </c>
      <c r="R865" s="52">
        <f>IF($C865="B",INDEX(Batters[[#All],[zScore]],MATCH(Table5[[#This Row],[PID]],Batters[[#All],[PID]],0)),INDEX(Table3[[#All],[zScore]],MATCH(Table5[[#This Row],[PID]],Table3[[#All],[PID]],0)))</f>
        <v>-1.5725658795383581</v>
      </c>
      <c r="S865" s="58" t="str">
        <f>IF($C865="B",INDEX(Batters[[#All],[DEM]],MATCH(Table5[[#This Row],[PID]],Batters[[#All],[PID]],0)),INDEX(Table3[[#All],[DEM]],MATCH(Table5[[#This Row],[PID]],Table3[[#All],[PID]],0)))</f>
        <v>-</v>
      </c>
      <c r="T865" s="62">
        <f>IF($C865="B",INDEX(Batters[[#All],[Rnk]],MATCH(Table5[[#This Row],[PID]],Batters[[#All],[PID]],0)),INDEX(Table3[[#All],[Rnk]],MATCH(Table5[[#This Row],[PID]],Table3[[#All],[PID]],0)))</f>
        <v>930</v>
      </c>
      <c r="U865" s="67">
        <f>IF($C865="B",VLOOKUP($A865,Bat!$A$4:$BA$1314,47,FALSE),VLOOKUP($A865,Pit!$A$4:$BF$1214,56,FALSE))</f>
        <v>398</v>
      </c>
      <c r="V865" s="50">
        <f>IF($C865="B",VLOOKUP($A865,Bat!$A$4:$BA$1314,48,FALSE),VLOOKUP($A865,Pit!$A$4:$BF$1214,57,FALSE))</f>
        <v>0</v>
      </c>
      <c r="W865" s="68">
        <f>IF(Table5[[#This Row],[posRnk]]=999,9999,Table5[[#This Row],[posRnk]]+Table5[[#This Row],[zRnk]]+IF($W$3&lt;&gt;Table5[[#This Row],[Type]],50,0))</f>
        <v>1842</v>
      </c>
      <c r="X865" s="51">
        <f>RANK(Table5[[#This Row],[zScore]],Table5[[#All],[zScore]])</f>
        <v>862</v>
      </c>
      <c r="Y865" s="50" t="str">
        <f>IFERROR(INDEX(DraftResults[[#All],[OVR]],MATCH(Table5[[#This Row],[PID]],DraftResults[[#All],[Player ID]],0)),"")</f>
        <v/>
      </c>
      <c r="Z865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/>
      </c>
      <c r="AA865" s="50" t="str">
        <f>IFERROR(INDEX(DraftResults[[#All],[Pick in Round]],MATCH(Table5[[#This Row],[PID]],DraftResults[[#All],[Player ID]],0)),"")</f>
        <v/>
      </c>
      <c r="AB865" s="50" t="str">
        <f>IFERROR(INDEX(DraftResults[[#All],[Team Name]],MATCH(Table5[[#This Row],[PID]],DraftResults[[#All],[Player ID]],0)),"")</f>
        <v/>
      </c>
      <c r="AC865" s="50" t="str">
        <f>IF(Table5[[#This Row],[Ovr]]="","",IF(Table5[[#This Row],[cmbList]]="","",Table5[[#This Row],[cmbList]]-Table5[[#This Row],[Ovr]]))</f>
        <v/>
      </c>
      <c r="AD865" s="54" t="str">
        <f>IF(ISERROR(VLOOKUP($AB865&amp;"-"&amp;$E865&amp;" "&amp;F865,Bonuses!$B$1:$G$1006,4,FALSE)),"",INT(VLOOKUP($AB865&amp;"-"&amp;$E865&amp;" "&amp;$F865,Bonuses!$B$1:$G$1006,4,FALSE)))</f>
        <v/>
      </c>
      <c r="AE865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/>
      </c>
    </row>
    <row r="866" spans="1:31" s="50" customFormat="1" x14ac:dyDescent="0.3">
      <c r="A866" s="50">
        <v>20187</v>
      </c>
      <c r="B866" s="50">
        <f>COUNTIF(Table5[PID],A866)</f>
        <v>1</v>
      </c>
      <c r="C866" s="50" t="str">
        <f>IF(COUNTIF(Table3[[#All],[PID]],A866)&gt;0,"P","B")</f>
        <v>P</v>
      </c>
      <c r="D866" s="59" t="str">
        <f>IF($C866="B",INDEX(Batters[[#All],[POS]],MATCH(Table5[[#This Row],[PID]],Batters[[#All],[PID]],0)),INDEX(Table3[[#All],[POS]],MATCH(Table5[[#This Row],[PID]],Table3[[#All],[PID]],0)))</f>
        <v>RP</v>
      </c>
      <c r="E866" s="52" t="str">
        <f>IF($C866="B",INDEX(Batters[[#All],[First]],MATCH(Table5[[#This Row],[PID]],Batters[[#All],[PID]],0)),INDEX(Table3[[#All],[First]],MATCH(Table5[[#This Row],[PID]],Table3[[#All],[PID]],0)))</f>
        <v>Teddy</v>
      </c>
      <c r="F866" s="50" t="str">
        <f>IF($C866="B",INDEX(Batters[[#All],[Last]],MATCH(A866,Batters[[#All],[PID]],0)),INDEX(Table3[[#All],[Last]],MATCH(A866,Table3[[#All],[PID]],0)))</f>
        <v>Brice</v>
      </c>
      <c r="G866" s="56">
        <f>IF($C866="B",INDEX(Batters[[#All],[Age]],MATCH(Table5[[#This Row],[PID]],Batters[[#All],[PID]],0)),INDEX(Table3[[#All],[Age]],MATCH(Table5[[#This Row],[PID]],Table3[[#All],[PID]],0)))</f>
        <v>21</v>
      </c>
      <c r="H866" s="52" t="str">
        <f>IF($C866="B",INDEX(Batters[[#All],[B]],MATCH(Table5[[#This Row],[PID]],Batters[[#All],[PID]],0)),INDEX(Table3[[#All],[B]],MATCH(Table5[[#This Row],[PID]],Table3[[#All],[PID]],0)))</f>
        <v>L</v>
      </c>
      <c r="I866" s="52" t="str">
        <f>IF($C866="B",INDEX(Batters[[#All],[T]],MATCH(Table5[[#This Row],[PID]],Batters[[#All],[PID]],0)),INDEX(Table3[[#All],[T]],MATCH(Table5[[#This Row],[PID]],Table3[[#All],[PID]],0)))</f>
        <v>L</v>
      </c>
      <c r="J866" s="52" t="str">
        <f>IF($C866="B",INDEX(Batters[[#All],[WE]],MATCH(Table5[[#This Row],[PID]],Batters[[#All],[PID]],0)),INDEX(Table3[[#All],[WE]],MATCH(Table5[[#This Row],[PID]],Table3[[#All],[PID]],0)))</f>
        <v>Low</v>
      </c>
      <c r="K866" s="52" t="str">
        <f>IF($C866="B",INDEX(Batters[[#All],[INT]],MATCH(Table5[[#This Row],[PID]],Batters[[#All],[PID]],0)),INDEX(Table3[[#All],[INT]],MATCH(Table5[[#This Row],[PID]],Table3[[#All],[PID]],0)))</f>
        <v>Normal</v>
      </c>
      <c r="L866" s="60">
        <f>IF($C866="B",INDEX(Batters[[#All],[CON P]],MATCH(Table5[[#This Row],[PID]],Batters[[#All],[PID]],0)),INDEX(Table3[[#All],[STU P]],MATCH(Table5[[#This Row],[PID]],Table3[[#All],[PID]],0)))</f>
        <v>4</v>
      </c>
      <c r="M866" s="56">
        <f>IF($C866="B",INDEX(Batters[[#All],[GAP P]],MATCH(Table5[[#This Row],[PID]],Batters[[#All],[PID]],0)),INDEX(Table3[[#All],[MOV P]],MATCH(Table5[[#This Row],[PID]],Table3[[#All],[PID]],0)))</f>
        <v>1</v>
      </c>
      <c r="N866" s="56">
        <f>IF($C866="B",INDEX(Batters[[#All],[POW P]],MATCH(Table5[[#This Row],[PID]],Batters[[#All],[PID]],0)),INDEX(Table3[[#All],[CON P]],MATCH(Table5[[#This Row],[PID]],Table3[[#All],[PID]],0)))</f>
        <v>2</v>
      </c>
      <c r="O866" s="56" t="str">
        <f>IF($C866="B",INDEX(Batters[[#All],[EYE P]],MATCH(Table5[[#This Row],[PID]],Batters[[#All],[PID]],0)),INDEX(Table3[[#All],[VELO]],MATCH(Table5[[#This Row],[PID]],Table3[[#All],[PID]],0)))</f>
        <v>91-93 Mph</v>
      </c>
      <c r="P866" s="56">
        <f>IF($C866="B",INDEX(Batters[[#All],[K P]],MATCH(Table5[[#This Row],[PID]],Batters[[#All],[PID]],0)),INDEX(Table3[[#All],[STM]],MATCH(Table5[[#This Row],[PID]],Table3[[#All],[PID]],0)))</f>
        <v>2</v>
      </c>
      <c r="Q866" s="61">
        <f>IF($C866="B",INDEX(Batters[[#All],[Tot]],MATCH(Table5[[#This Row],[PID]],Batters[[#All],[PID]],0)),INDEX(Table3[[#All],[Tot]],MATCH(Table5[[#This Row],[PID]],Table3[[#All],[PID]],0)))</f>
        <v>15.273396692770625</v>
      </c>
      <c r="R866" s="52">
        <f>IF($C866="B",INDEX(Batters[[#All],[zScore]],MATCH(Table5[[#This Row],[PID]],Batters[[#All],[PID]],0)),INDEX(Table3[[#All],[zScore]],MATCH(Table5[[#This Row],[PID]],Table3[[#All],[PID]],0)))</f>
        <v>-1.6042364808055545</v>
      </c>
      <c r="S866" s="58" t="str">
        <f>IF($C866="B",INDEX(Batters[[#All],[DEM]],MATCH(Table5[[#This Row],[PID]],Batters[[#All],[PID]],0)),INDEX(Table3[[#All],[DEM]],MATCH(Table5[[#This Row],[PID]],Table3[[#All],[PID]],0)))</f>
        <v>-</v>
      </c>
      <c r="T866" s="62">
        <f>IF($C866="B",INDEX(Batters[[#All],[Rnk]],MATCH(Table5[[#This Row],[PID]],Batters[[#All],[PID]],0)),INDEX(Table3[[#All],[Rnk]],MATCH(Table5[[#This Row],[PID]],Table3[[#All],[PID]],0)))</f>
        <v>930</v>
      </c>
      <c r="U866" s="67">
        <f>IF($C866="B",VLOOKUP($A866,Bat!$A$4:$BA$1314,47,FALSE),VLOOKUP($A866,Pit!$A$4:$BF$1214,56,FALSE))</f>
        <v>384</v>
      </c>
      <c r="V866" s="50">
        <f>IF($C866="B",VLOOKUP($A866,Bat!$A$4:$BA$1314,48,FALSE),VLOOKUP($A866,Pit!$A$4:$BF$1214,57,FALSE))</f>
        <v>0</v>
      </c>
      <c r="W866" s="68">
        <f>IF(Table5[[#This Row],[posRnk]]=999,9999,Table5[[#This Row],[posRnk]]+Table5[[#This Row],[zRnk]]+IF($W$3&lt;&gt;Table5[[#This Row],[Type]],50,0))</f>
        <v>1795</v>
      </c>
      <c r="X866" s="51">
        <f>RANK(Table5[[#This Row],[zScore]],Table5[[#All],[zScore]])</f>
        <v>865</v>
      </c>
      <c r="Y866" s="50" t="str">
        <f>IFERROR(INDEX(DraftResults[[#All],[OVR]],MATCH(Table5[[#This Row],[PID]],DraftResults[[#All],[Player ID]],0)),"")</f>
        <v/>
      </c>
      <c r="Z866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/>
      </c>
      <c r="AA866" s="50" t="str">
        <f>IFERROR(INDEX(DraftResults[[#All],[Pick in Round]],MATCH(Table5[[#This Row],[PID]],DraftResults[[#All],[Player ID]],0)),"")</f>
        <v/>
      </c>
      <c r="AB866" s="50" t="str">
        <f>IFERROR(INDEX(DraftResults[[#All],[Team Name]],MATCH(Table5[[#This Row],[PID]],DraftResults[[#All],[Player ID]],0)),"")</f>
        <v/>
      </c>
      <c r="AC866" s="50" t="str">
        <f>IF(Table5[[#This Row],[Ovr]]="","",IF(Table5[[#This Row],[cmbList]]="","",Table5[[#This Row],[cmbList]]-Table5[[#This Row],[Ovr]]))</f>
        <v/>
      </c>
      <c r="AD866" s="54" t="str">
        <f>IF(ISERROR(VLOOKUP($AB866&amp;"-"&amp;$E866&amp;" "&amp;F866,Bonuses!$B$1:$G$1006,4,FALSE)),"",INT(VLOOKUP($AB866&amp;"-"&amp;$E866&amp;" "&amp;$F866,Bonuses!$B$1:$G$1006,4,FALSE)))</f>
        <v/>
      </c>
      <c r="AE866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/>
      </c>
    </row>
    <row r="867" spans="1:31" s="50" customFormat="1" x14ac:dyDescent="0.3">
      <c r="A867" s="67">
        <v>6051</v>
      </c>
      <c r="B867" s="68">
        <f>COUNTIF(Table5[PID],A867)</f>
        <v>1</v>
      </c>
      <c r="C867" s="68" t="str">
        <f>IF(COUNTIF(Table3[[#All],[PID]],A867)&gt;0,"P","B")</f>
        <v>B</v>
      </c>
      <c r="D867" s="59" t="str">
        <f>IF($C867="B",INDEX(Batters[[#All],[POS]],MATCH(Table5[[#This Row],[PID]],Batters[[#All],[PID]],0)),INDEX(Table3[[#All],[POS]],MATCH(Table5[[#This Row],[PID]],Table3[[#All],[PID]],0)))</f>
        <v>CF</v>
      </c>
      <c r="E867" s="52" t="str">
        <f>IF($C867="B",INDEX(Batters[[#All],[First]],MATCH(Table5[[#This Row],[PID]],Batters[[#All],[PID]],0)),INDEX(Table3[[#All],[First]],MATCH(Table5[[#This Row],[PID]],Table3[[#All],[PID]],0)))</f>
        <v>Neil</v>
      </c>
      <c r="F867" s="55" t="str">
        <f>IF($C867="B",INDEX(Batters[[#All],[Last]],MATCH(A867,Batters[[#All],[PID]],0)),INDEX(Table3[[#All],[Last]],MATCH(A867,Table3[[#All],[PID]],0)))</f>
        <v>Wright</v>
      </c>
      <c r="G867" s="56">
        <f>IF($C867="B",INDEX(Batters[[#All],[Age]],MATCH(Table5[[#This Row],[PID]],Batters[[#All],[PID]],0)),INDEX(Table3[[#All],[Age]],MATCH(Table5[[#This Row],[PID]],Table3[[#All],[PID]],0)))</f>
        <v>22</v>
      </c>
      <c r="H867" s="52" t="str">
        <f>IF($C867="B",INDEX(Batters[[#All],[B]],MATCH(Table5[[#This Row],[PID]],Batters[[#All],[PID]],0)),INDEX(Table3[[#All],[B]],MATCH(Table5[[#This Row],[PID]],Table3[[#All],[PID]],0)))</f>
        <v>S</v>
      </c>
      <c r="I867" s="52" t="str">
        <f>IF($C867="B",INDEX(Batters[[#All],[T]],MATCH(Table5[[#This Row],[PID]],Batters[[#All],[PID]],0)),INDEX(Table3[[#All],[T]],MATCH(Table5[[#This Row],[PID]],Table3[[#All],[PID]],0)))</f>
        <v>R</v>
      </c>
      <c r="J867" s="69" t="str">
        <f>IF($C867="B",INDEX(Batters[[#All],[WE]],MATCH(Table5[[#This Row],[PID]],Batters[[#All],[PID]],0)),INDEX(Table3[[#All],[WE]],MATCH(Table5[[#This Row],[PID]],Table3[[#All],[PID]],0)))</f>
        <v>Low</v>
      </c>
      <c r="K867" s="52" t="str">
        <f>IF($C867="B",INDEX(Batters[[#All],[INT]],MATCH(Table5[[#This Row],[PID]],Batters[[#All],[PID]],0)),INDEX(Table3[[#All],[INT]],MATCH(Table5[[#This Row],[PID]],Table3[[#All],[PID]],0)))</f>
        <v>Normal</v>
      </c>
      <c r="L867" s="60">
        <f>IF($C867="B",INDEX(Batters[[#All],[CON P]],MATCH(Table5[[#This Row],[PID]],Batters[[#All],[PID]],0)),INDEX(Table3[[#All],[STU P]],MATCH(Table5[[#This Row],[PID]],Table3[[#All],[PID]],0)))</f>
        <v>2</v>
      </c>
      <c r="M867" s="70">
        <f>IF($C867="B",INDEX(Batters[[#All],[GAP P]],MATCH(Table5[[#This Row],[PID]],Batters[[#All],[PID]],0)),INDEX(Table3[[#All],[MOV P]],MATCH(Table5[[#This Row],[PID]],Table3[[#All],[PID]],0)))</f>
        <v>3</v>
      </c>
      <c r="N867" s="70">
        <f>IF($C867="B",INDEX(Batters[[#All],[POW P]],MATCH(Table5[[#This Row],[PID]],Batters[[#All],[PID]],0)),INDEX(Table3[[#All],[CON P]],MATCH(Table5[[#This Row],[PID]],Table3[[#All],[PID]],0)))</f>
        <v>2</v>
      </c>
      <c r="O867" s="70">
        <f>IF($C867="B",INDEX(Batters[[#All],[EYE P]],MATCH(Table5[[#This Row],[PID]],Batters[[#All],[PID]],0)),INDEX(Table3[[#All],[VELO]],MATCH(Table5[[#This Row],[PID]],Table3[[#All],[PID]],0)))</f>
        <v>4</v>
      </c>
      <c r="P867" s="56">
        <f>IF($C867="B",INDEX(Batters[[#All],[K P]],MATCH(Table5[[#This Row],[PID]],Batters[[#All],[PID]],0)),INDEX(Table3[[#All],[STM]],MATCH(Table5[[#This Row],[PID]],Table3[[#All],[PID]],0)))</f>
        <v>4</v>
      </c>
      <c r="Q867" s="61">
        <f>IF($C867="B",INDEX(Batters[[#All],[Tot]],MATCH(Table5[[#This Row],[PID]],Batters[[#All],[PID]],0)),INDEX(Table3[[#All],[Tot]],MATCH(Table5[[#This Row],[PID]],Table3[[#All],[PID]],0)))</f>
        <v>31.859699678817446</v>
      </c>
      <c r="R867" s="52">
        <f>IF($C867="B",INDEX(Batters[[#All],[zScore]],MATCH(Table5[[#This Row],[PID]],Batters[[#All],[PID]],0)),INDEX(Table3[[#All],[zScore]],MATCH(Table5[[#This Row],[PID]],Table3[[#All],[PID]],0)))</f>
        <v>-1.6324048610009505</v>
      </c>
      <c r="S867" s="75" t="str">
        <f>IF($C867="B",INDEX(Batters[[#All],[DEM]],MATCH(Table5[[#This Row],[PID]],Batters[[#All],[PID]],0)),INDEX(Table3[[#All],[DEM]],MATCH(Table5[[#This Row],[PID]],Table3[[#All],[PID]],0)))</f>
        <v>-</v>
      </c>
      <c r="T867" s="72">
        <f>IF($C867="B",INDEX(Batters[[#All],[Rnk]],MATCH(Table5[[#This Row],[PID]],Batters[[#All],[PID]],0)),INDEX(Table3[[#All],[Rnk]],MATCH(Table5[[#This Row],[PID]],Table3[[#All],[PID]],0)))</f>
        <v>930</v>
      </c>
      <c r="U867" s="67">
        <f>IF($C867="B",VLOOKUP($A867,Bat!$A$4:$BA$1314,47,FALSE),VLOOKUP($A867,Pit!$A$4:$BF$1214,56,FALSE))</f>
        <v>399</v>
      </c>
      <c r="V867" s="50">
        <f>IF($C867="B",VLOOKUP($A867,Bat!$A$4:$BA$1314,48,FALSE),VLOOKUP($A867,Pit!$A$4:$BF$1214,57,FALSE))</f>
        <v>0</v>
      </c>
      <c r="W867" s="68">
        <f>IF(Table5[[#This Row],[posRnk]]=999,9999,Table5[[#This Row],[posRnk]]+Table5[[#This Row],[zRnk]]+IF($W$3&lt;&gt;Table5[[#This Row],[Type]],50,0))</f>
        <v>1847</v>
      </c>
      <c r="X867" s="71">
        <f>RANK(Table5[[#This Row],[zScore]],Table5[[#All],[zScore]])</f>
        <v>867</v>
      </c>
      <c r="Y867" s="68">
        <f>IFERROR(INDEX(DraftResults[[#All],[OVR]],MATCH(Table5[[#This Row],[PID]],DraftResults[[#All],[Player ID]],0)),"")</f>
        <v>483</v>
      </c>
      <c r="Z867" s="7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15</v>
      </c>
      <c r="AA867" s="68">
        <f>IFERROR(INDEX(DraftResults[[#All],[Pick in Round]],MATCH(Table5[[#This Row],[PID]],DraftResults[[#All],[Player ID]],0)),"")</f>
        <v>16</v>
      </c>
      <c r="AB867" s="68" t="str">
        <f>IFERROR(INDEX(DraftResults[[#All],[Team Name]],MATCH(Table5[[#This Row],[PID]],DraftResults[[#All],[Player ID]],0)),"")</f>
        <v>Madison Malts</v>
      </c>
      <c r="AC867" s="68">
        <f>IF(Table5[[#This Row],[Ovr]]="","",IF(Table5[[#This Row],[cmbList]]="","",Table5[[#This Row],[cmbList]]-Table5[[#This Row],[Ovr]]))</f>
        <v>1364</v>
      </c>
      <c r="AD867" s="74" t="str">
        <f>IF(ISERROR(VLOOKUP($AB867&amp;"-"&amp;$E867&amp;" "&amp;F867,Bonuses!$B$1:$G$1006,4,FALSE)),"",INT(VLOOKUP($AB867&amp;"-"&amp;$E867&amp;" "&amp;$F867,Bonuses!$B$1:$G$1006,4,FALSE)))</f>
        <v/>
      </c>
      <c r="AE867" s="68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15.16 (483) - CF Neil Wright</v>
      </c>
    </row>
    <row r="868" spans="1:31" s="50" customFormat="1" x14ac:dyDescent="0.3">
      <c r="A868" s="50">
        <v>13972</v>
      </c>
      <c r="B868" s="50">
        <f>COUNTIF(Table5[PID],A868)</f>
        <v>1</v>
      </c>
      <c r="C868" s="50" t="str">
        <f>IF(COUNTIF(Table3[[#All],[PID]],A868)&gt;0,"P","B")</f>
        <v>B</v>
      </c>
      <c r="D868" s="59" t="str">
        <f>IF($C868="B",INDEX(Batters[[#All],[POS]],MATCH(Table5[[#This Row],[PID]],Batters[[#All],[PID]],0)),INDEX(Table3[[#All],[POS]],MATCH(Table5[[#This Row],[PID]],Table3[[#All],[PID]],0)))</f>
        <v>C</v>
      </c>
      <c r="E868" s="52" t="str">
        <f>IF($C868="B",INDEX(Batters[[#All],[First]],MATCH(Table5[[#This Row],[PID]],Batters[[#All],[PID]],0)),INDEX(Table3[[#All],[First]],MATCH(Table5[[#This Row],[PID]],Table3[[#All],[PID]],0)))</f>
        <v>Michael</v>
      </c>
      <c r="F868" s="50" t="str">
        <f>IF($C868="B",INDEX(Batters[[#All],[Last]],MATCH(A868,Batters[[#All],[PID]],0)),INDEX(Table3[[#All],[Last]],MATCH(A868,Table3[[#All],[PID]],0)))</f>
        <v>Hanson</v>
      </c>
      <c r="G868" s="56">
        <f>IF($C868="B",INDEX(Batters[[#All],[Age]],MATCH(Table5[[#This Row],[PID]],Batters[[#All],[PID]],0)),INDEX(Table3[[#All],[Age]],MATCH(Table5[[#This Row],[PID]],Table3[[#All],[PID]],0)))</f>
        <v>21</v>
      </c>
      <c r="H868" s="52" t="str">
        <f>IF($C868="B",INDEX(Batters[[#All],[B]],MATCH(Table5[[#This Row],[PID]],Batters[[#All],[PID]],0)),INDEX(Table3[[#All],[B]],MATCH(Table5[[#This Row],[PID]],Table3[[#All],[PID]],0)))</f>
        <v>R</v>
      </c>
      <c r="I868" s="52" t="str">
        <f>IF($C868="B",INDEX(Batters[[#All],[T]],MATCH(Table5[[#This Row],[PID]],Batters[[#All],[PID]],0)),INDEX(Table3[[#All],[T]],MATCH(Table5[[#This Row],[PID]],Table3[[#All],[PID]],0)))</f>
        <v>R</v>
      </c>
      <c r="J868" s="52" t="str">
        <f>IF($C868="B",INDEX(Batters[[#All],[WE]],MATCH(Table5[[#This Row],[PID]],Batters[[#All],[PID]],0)),INDEX(Table3[[#All],[WE]],MATCH(Table5[[#This Row],[PID]],Table3[[#All],[PID]],0)))</f>
        <v>Low</v>
      </c>
      <c r="K868" s="52" t="str">
        <f>IF($C868="B",INDEX(Batters[[#All],[INT]],MATCH(Table5[[#This Row],[PID]],Batters[[#All],[PID]],0)),INDEX(Table3[[#All],[INT]],MATCH(Table5[[#This Row],[PID]],Table3[[#All],[PID]],0)))</f>
        <v>Normal</v>
      </c>
      <c r="L868" s="60">
        <f>IF($C868="B",INDEX(Batters[[#All],[CON P]],MATCH(Table5[[#This Row],[PID]],Batters[[#All],[PID]],0)),INDEX(Table3[[#All],[STU P]],MATCH(Table5[[#This Row],[PID]],Table3[[#All],[PID]],0)))</f>
        <v>2</v>
      </c>
      <c r="M868" s="56">
        <f>IF($C868="B",INDEX(Batters[[#All],[GAP P]],MATCH(Table5[[#This Row],[PID]],Batters[[#All],[PID]],0)),INDEX(Table3[[#All],[MOV P]],MATCH(Table5[[#This Row],[PID]],Table3[[#All],[PID]],0)))</f>
        <v>3</v>
      </c>
      <c r="N868" s="56">
        <f>IF($C868="B",INDEX(Batters[[#All],[POW P]],MATCH(Table5[[#This Row],[PID]],Batters[[#All],[PID]],0)),INDEX(Table3[[#All],[CON P]],MATCH(Table5[[#This Row],[PID]],Table3[[#All],[PID]],0)))</f>
        <v>3</v>
      </c>
      <c r="O868" s="56">
        <f>IF($C868="B",INDEX(Batters[[#All],[EYE P]],MATCH(Table5[[#This Row],[PID]],Batters[[#All],[PID]],0)),INDEX(Table3[[#All],[VELO]],MATCH(Table5[[#This Row],[PID]],Table3[[#All],[PID]],0)))</f>
        <v>5</v>
      </c>
      <c r="P868" s="56">
        <f>IF($C868="B",INDEX(Batters[[#All],[K P]],MATCH(Table5[[#This Row],[PID]],Batters[[#All],[PID]],0)),INDEX(Table3[[#All],[STM]],MATCH(Table5[[#This Row],[PID]],Table3[[#All],[PID]],0)))</f>
        <v>2</v>
      </c>
      <c r="Q868" s="61">
        <f>IF($C868="B",INDEX(Batters[[#All],[Tot]],MATCH(Table5[[#This Row],[PID]],Batters[[#All],[PID]],0)),INDEX(Table3[[#All],[Tot]],MATCH(Table5[[#This Row],[PID]],Table3[[#All],[PID]],0)))</f>
        <v>31.386636994572058</v>
      </c>
      <c r="R868" s="52">
        <f>IF($C868="B",INDEX(Batters[[#All],[zScore]],MATCH(Table5[[#This Row],[PID]],Batters[[#All],[PID]],0)),INDEX(Table3[[#All],[zScore]],MATCH(Table5[[#This Row],[PID]],Table3[[#All],[PID]],0)))</f>
        <v>-1.7270732983411801</v>
      </c>
      <c r="S868" s="58" t="str">
        <f>IF($C868="B",INDEX(Batters[[#All],[DEM]],MATCH(Table5[[#This Row],[PID]],Batters[[#All],[PID]],0)),INDEX(Table3[[#All],[DEM]],MATCH(Table5[[#This Row],[PID]],Table3[[#All],[PID]],0)))</f>
        <v>-</v>
      </c>
      <c r="T868" s="62">
        <f>IF($C868="B",INDEX(Batters[[#All],[Rnk]],MATCH(Table5[[#This Row],[PID]],Batters[[#All],[PID]],0)),INDEX(Table3[[#All],[Rnk]],MATCH(Table5[[#This Row],[PID]],Table3[[#All],[PID]],0)))</f>
        <v>930</v>
      </c>
      <c r="U868" s="67">
        <f>IF($C868="B",VLOOKUP($A868,Bat!$A$4:$BA$1314,47,FALSE),VLOOKUP($A868,Pit!$A$4:$BF$1214,56,FALSE))</f>
        <v>400</v>
      </c>
      <c r="V868" s="50">
        <f>IF($C868="B",VLOOKUP($A868,Bat!$A$4:$BA$1314,48,FALSE),VLOOKUP($A868,Pit!$A$4:$BF$1214,57,FALSE))</f>
        <v>0</v>
      </c>
      <c r="W868" s="68">
        <f>IF(Table5[[#This Row],[posRnk]]=999,9999,Table5[[#This Row],[posRnk]]+Table5[[#This Row],[zRnk]]+IF($W$3&lt;&gt;Table5[[#This Row],[Type]],50,0))</f>
        <v>1856</v>
      </c>
      <c r="X868" s="51">
        <f>RANK(Table5[[#This Row],[zScore]],Table5[[#All],[zScore]])</f>
        <v>876</v>
      </c>
      <c r="Y868" s="50" t="str">
        <f>IFERROR(INDEX(DraftResults[[#All],[OVR]],MATCH(Table5[[#This Row],[PID]],DraftResults[[#All],[Player ID]],0)),"")</f>
        <v/>
      </c>
      <c r="Z868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/>
      </c>
      <c r="AA868" s="50" t="str">
        <f>IFERROR(INDEX(DraftResults[[#All],[Pick in Round]],MATCH(Table5[[#This Row],[PID]],DraftResults[[#All],[Player ID]],0)),"")</f>
        <v/>
      </c>
      <c r="AB868" s="50" t="str">
        <f>IFERROR(INDEX(DraftResults[[#All],[Team Name]],MATCH(Table5[[#This Row],[PID]],DraftResults[[#All],[Player ID]],0)),"")</f>
        <v/>
      </c>
      <c r="AC868" s="50" t="str">
        <f>IF(Table5[[#This Row],[Ovr]]="","",IF(Table5[[#This Row],[cmbList]]="","",Table5[[#This Row],[cmbList]]-Table5[[#This Row],[Ovr]]))</f>
        <v/>
      </c>
      <c r="AD868" s="54" t="str">
        <f>IF(ISERROR(VLOOKUP($AB868&amp;"-"&amp;$E868&amp;" "&amp;F868,Bonuses!$B$1:$G$1006,4,FALSE)),"",INT(VLOOKUP($AB868&amp;"-"&amp;$E868&amp;" "&amp;$F868,Bonuses!$B$1:$G$1006,4,FALSE)))</f>
        <v/>
      </c>
      <c r="AE868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/>
      </c>
    </row>
    <row r="869" spans="1:31" s="50" customFormat="1" x14ac:dyDescent="0.3">
      <c r="A869" s="67">
        <v>14971</v>
      </c>
      <c r="B869" s="68">
        <f>COUNTIF(Table5[PID],A869)</f>
        <v>1</v>
      </c>
      <c r="C869" s="68" t="str">
        <f>IF(COUNTIF(Table3[[#All],[PID]],A869)&gt;0,"P","B")</f>
        <v>B</v>
      </c>
      <c r="D869" s="59" t="str">
        <f>IF($C869="B",INDEX(Batters[[#All],[POS]],MATCH(Table5[[#This Row],[PID]],Batters[[#All],[PID]],0)),INDEX(Table3[[#All],[POS]],MATCH(Table5[[#This Row],[PID]],Table3[[#All],[PID]],0)))</f>
        <v>1B</v>
      </c>
      <c r="E869" s="52" t="str">
        <f>IF($C869="B",INDEX(Batters[[#All],[First]],MATCH(Table5[[#This Row],[PID]],Batters[[#All],[PID]],0)),INDEX(Table3[[#All],[First]],MATCH(Table5[[#This Row],[PID]],Table3[[#All],[PID]],0)))</f>
        <v>Nick</v>
      </c>
      <c r="F869" s="55" t="str">
        <f>IF($C869="B",INDEX(Batters[[#All],[Last]],MATCH(A869,Batters[[#All],[PID]],0)),INDEX(Table3[[#All],[Last]],MATCH(A869,Table3[[#All],[PID]],0)))</f>
        <v>Martínez</v>
      </c>
      <c r="G869" s="56">
        <f>IF($C869="B",INDEX(Batters[[#All],[Age]],MATCH(Table5[[#This Row],[PID]],Batters[[#All],[PID]],0)),INDEX(Table3[[#All],[Age]],MATCH(Table5[[#This Row],[PID]],Table3[[#All],[PID]],0)))</f>
        <v>21</v>
      </c>
      <c r="H869" s="52" t="str">
        <f>IF($C869="B",INDEX(Batters[[#All],[B]],MATCH(Table5[[#This Row],[PID]],Batters[[#All],[PID]],0)),INDEX(Table3[[#All],[B]],MATCH(Table5[[#This Row],[PID]],Table3[[#All],[PID]],0)))</f>
        <v>R</v>
      </c>
      <c r="I869" s="52" t="str">
        <f>IF($C869="B",INDEX(Batters[[#All],[T]],MATCH(Table5[[#This Row],[PID]],Batters[[#All],[PID]],0)),INDEX(Table3[[#All],[T]],MATCH(Table5[[#This Row],[PID]],Table3[[#All],[PID]],0)))</f>
        <v>R</v>
      </c>
      <c r="J869" s="69" t="str">
        <f>IF($C869="B",INDEX(Batters[[#All],[WE]],MATCH(Table5[[#This Row],[PID]],Batters[[#All],[PID]],0)),INDEX(Table3[[#All],[WE]],MATCH(Table5[[#This Row],[PID]],Table3[[#All],[PID]],0)))</f>
        <v>Low</v>
      </c>
      <c r="K869" s="52" t="str">
        <f>IF($C869="B",INDEX(Batters[[#All],[INT]],MATCH(Table5[[#This Row],[PID]],Batters[[#All],[PID]],0)),INDEX(Table3[[#All],[INT]],MATCH(Table5[[#This Row],[PID]],Table3[[#All],[PID]],0)))</f>
        <v>Normal</v>
      </c>
      <c r="L869" s="60">
        <f>IF($C869="B",INDEX(Batters[[#All],[CON P]],MATCH(Table5[[#This Row],[PID]],Batters[[#All],[PID]],0)),INDEX(Table3[[#All],[STU P]],MATCH(Table5[[#This Row],[PID]],Table3[[#All],[PID]],0)))</f>
        <v>2</v>
      </c>
      <c r="M869" s="70">
        <f>IF($C869="B",INDEX(Batters[[#All],[GAP P]],MATCH(Table5[[#This Row],[PID]],Batters[[#All],[PID]],0)),INDEX(Table3[[#All],[MOV P]],MATCH(Table5[[#This Row],[PID]],Table3[[#All],[PID]],0)))</f>
        <v>4</v>
      </c>
      <c r="N869" s="70">
        <f>IF($C869="B",INDEX(Batters[[#All],[POW P]],MATCH(Table5[[#This Row],[PID]],Batters[[#All],[PID]],0)),INDEX(Table3[[#All],[CON P]],MATCH(Table5[[#This Row],[PID]],Table3[[#All],[PID]],0)))</f>
        <v>3</v>
      </c>
      <c r="O869" s="70">
        <f>IF($C869="B",INDEX(Batters[[#All],[EYE P]],MATCH(Table5[[#This Row],[PID]],Batters[[#All],[PID]],0)),INDEX(Table3[[#All],[VELO]],MATCH(Table5[[#This Row],[PID]],Table3[[#All],[PID]],0)))</f>
        <v>5</v>
      </c>
      <c r="P869" s="56">
        <f>IF($C869="B",INDEX(Batters[[#All],[K P]],MATCH(Table5[[#This Row],[PID]],Batters[[#All],[PID]],0)),INDEX(Table3[[#All],[STM]],MATCH(Table5[[#This Row],[PID]],Table3[[#All],[PID]],0)))</f>
        <v>1</v>
      </c>
      <c r="Q869" s="61">
        <f>IF($C869="B",INDEX(Batters[[#All],[Tot]],MATCH(Table5[[#This Row],[PID]],Batters[[#All],[PID]],0)),INDEX(Table3[[#All],[Tot]],MATCH(Table5[[#This Row],[PID]],Table3[[#All],[PID]],0)))</f>
        <v>31.369159472191502</v>
      </c>
      <c r="R869" s="52">
        <f>IF($C869="B",INDEX(Batters[[#All],[zScore]],MATCH(Table5[[#This Row],[PID]],Batters[[#All],[PID]],0)),INDEX(Table3[[#All],[zScore]],MATCH(Table5[[#This Row],[PID]],Table3[[#All],[PID]],0)))</f>
        <v>-1.7296244592443857</v>
      </c>
      <c r="S869" s="75" t="str">
        <f>IF($C869="B",INDEX(Batters[[#All],[DEM]],MATCH(Table5[[#This Row],[PID]],Batters[[#All],[PID]],0)),INDEX(Table3[[#All],[DEM]],MATCH(Table5[[#This Row],[PID]],Table3[[#All],[PID]],0)))</f>
        <v>-</v>
      </c>
      <c r="T869" s="72">
        <f>IF($C869="B",INDEX(Batters[[#All],[Rnk]],MATCH(Table5[[#This Row],[PID]],Batters[[#All],[PID]],0)),INDEX(Table3[[#All],[Rnk]],MATCH(Table5[[#This Row],[PID]],Table3[[#All],[PID]],0)))</f>
        <v>930</v>
      </c>
      <c r="U869" s="67">
        <f>IF($C869="B",VLOOKUP($A869,Bat!$A$4:$BA$1314,47,FALSE),VLOOKUP($A869,Pit!$A$4:$BF$1214,56,FALSE))</f>
        <v>401</v>
      </c>
      <c r="V869" s="50">
        <f>IF($C869="B",VLOOKUP($A869,Bat!$A$4:$BA$1314,48,FALSE),VLOOKUP($A869,Pit!$A$4:$BF$1214,57,FALSE))</f>
        <v>0</v>
      </c>
      <c r="W869" s="68">
        <f>IF(Table5[[#This Row],[posRnk]]=999,9999,Table5[[#This Row],[posRnk]]+Table5[[#This Row],[zRnk]]+IF($W$3&lt;&gt;Table5[[#This Row],[Type]],50,0))</f>
        <v>1857</v>
      </c>
      <c r="X869" s="71">
        <f>RANK(Table5[[#This Row],[zScore]],Table5[[#All],[zScore]])</f>
        <v>877</v>
      </c>
      <c r="Y869" s="68" t="str">
        <f>IFERROR(INDEX(DraftResults[[#All],[OVR]],MATCH(Table5[[#This Row],[PID]],DraftResults[[#All],[Player ID]],0)),"")</f>
        <v/>
      </c>
      <c r="Z869" s="7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/>
      </c>
      <c r="AA869" s="68" t="str">
        <f>IFERROR(INDEX(DraftResults[[#All],[Pick in Round]],MATCH(Table5[[#This Row],[PID]],DraftResults[[#All],[Player ID]],0)),"")</f>
        <v/>
      </c>
      <c r="AB869" s="68" t="str">
        <f>IFERROR(INDEX(DraftResults[[#All],[Team Name]],MATCH(Table5[[#This Row],[PID]],DraftResults[[#All],[Player ID]],0)),"")</f>
        <v/>
      </c>
      <c r="AC869" s="68" t="str">
        <f>IF(Table5[[#This Row],[Ovr]]="","",IF(Table5[[#This Row],[cmbList]]="","",Table5[[#This Row],[cmbList]]-Table5[[#This Row],[Ovr]]))</f>
        <v/>
      </c>
      <c r="AD869" s="74" t="str">
        <f>IF(ISERROR(VLOOKUP($AB869&amp;"-"&amp;$E869&amp;" "&amp;F869,Bonuses!$B$1:$G$1006,4,FALSE)),"",INT(VLOOKUP($AB869&amp;"-"&amp;$E869&amp;" "&amp;$F869,Bonuses!$B$1:$G$1006,4,FALSE)))</f>
        <v/>
      </c>
      <c r="AE869" s="68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/>
      </c>
    </row>
    <row r="870" spans="1:31" s="50" customFormat="1" x14ac:dyDescent="0.3">
      <c r="A870" s="50">
        <v>15550</v>
      </c>
      <c r="B870" s="50">
        <f>COUNTIF(Table5[PID],A870)</f>
        <v>1</v>
      </c>
      <c r="C870" s="50" t="str">
        <f>IF(COUNTIF(Table3[[#All],[PID]],A870)&gt;0,"P","B")</f>
        <v>B</v>
      </c>
      <c r="D870" s="59" t="str">
        <f>IF($C870="B",INDEX(Batters[[#All],[POS]],MATCH(Table5[[#This Row],[PID]],Batters[[#All],[PID]],0)),INDEX(Table3[[#All],[POS]],MATCH(Table5[[#This Row],[PID]],Table3[[#All],[PID]],0)))</f>
        <v>C</v>
      </c>
      <c r="E870" s="52" t="str">
        <f>IF($C870="B",INDEX(Batters[[#All],[First]],MATCH(Table5[[#This Row],[PID]],Batters[[#All],[PID]],0)),INDEX(Table3[[#All],[First]],MATCH(Table5[[#This Row],[PID]],Table3[[#All],[PID]],0)))</f>
        <v>Jim</v>
      </c>
      <c r="F870" s="50" t="str">
        <f>IF($C870="B",INDEX(Batters[[#All],[Last]],MATCH(A870,Batters[[#All],[PID]],0)),INDEX(Table3[[#All],[Last]],MATCH(A870,Table3[[#All],[PID]],0)))</f>
        <v>Wakeham</v>
      </c>
      <c r="G870" s="56">
        <f>IF($C870="B",INDEX(Batters[[#All],[Age]],MATCH(Table5[[#This Row],[PID]],Batters[[#All],[PID]],0)),INDEX(Table3[[#All],[Age]],MATCH(Table5[[#This Row],[PID]],Table3[[#All],[PID]],0)))</f>
        <v>21</v>
      </c>
      <c r="H870" s="52" t="str">
        <f>IF($C870="B",INDEX(Batters[[#All],[B]],MATCH(Table5[[#This Row],[PID]],Batters[[#All],[PID]],0)),INDEX(Table3[[#All],[B]],MATCH(Table5[[#This Row],[PID]],Table3[[#All],[PID]],0)))</f>
        <v>R</v>
      </c>
      <c r="I870" s="52" t="str">
        <f>IF($C870="B",INDEX(Batters[[#All],[T]],MATCH(Table5[[#This Row],[PID]],Batters[[#All],[PID]],0)),INDEX(Table3[[#All],[T]],MATCH(Table5[[#This Row],[PID]],Table3[[#All],[PID]],0)))</f>
        <v>R</v>
      </c>
      <c r="J870" s="52" t="str">
        <f>IF($C870="B",INDEX(Batters[[#All],[WE]],MATCH(Table5[[#This Row],[PID]],Batters[[#All],[PID]],0)),INDEX(Table3[[#All],[WE]],MATCH(Table5[[#This Row],[PID]],Table3[[#All],[PID]],0)))</f>
        <v>Low</v>
      </c>
      <c r="K870" s="52" t="str">
        <f>IF($C870="B",INDEX(Batters[[#All],[INT]],MATCH(Table5[[#This Row],[PID]],Batters[[#All],[PID]],0)),INDEX(Table3[[#All],[INT]],MATCH(Table5[[#This Row],[PID]],Table3[[#All],[PID]],0)))</f>
        <v>Normal</v>
      </c>
      <c r="L870" s="60">
        <f>IF($C870="B",INDEX(Batters[[#All],[CON P]],MATCH(Table5[[#This Row],[PID]],Batters[[#All],[PID]],0)),INDEX(Table3[[#All],[STU P]],MATCH(Table5[[#This Row],[PID]],Table3[[#All],[PID]],0)))</f>
        <v>2</v>
      </c>
      <c r="M870" s="56">
        <f>IF($C870="B",INDEX(Batters[[#All],[GAP P]],MATCH(Table5[[#This Row],[PID]],Batters[[#All],[PID]],0)),INDEX(Table3[[#All],[MOV P]],MATCH(Table5[[#This Row],[PID]],Table3[[#All],[PID]],0)))</f>
        <v>3</v>
      </c>
      <c r="N870" s="56">
        <f>IF($C870="B",INDEX(Batters[[#All],[POW P]],MATCH(Table5[[#This Row],[PID]],Batters[[#All],[PID]],0)),INDEX(Table3[[#All],[CON P]],MATCH(Table5[[#This Row],[PID]],Table3[[#All],[PID]],0)))</f>
        <v>2</v>
      </c>
      <c r="O870" s="56">
        <f>IF($C870="B",INDEX(Batters[[#All],[EYE P]],MATCH(Table5[[#This Row],[PID]],Batters[[#All],[PID]],0)),INDEX(Table3[[#All],[VELO]],MATCH(Table5[[#This Row],[PID]],Table3[[#All],[PID]],0)))</f>
        <v>5</v>
      </c>
      <c r="P870" s="56">
        <f>IF($C870="B",INDEX(Batters[[#All],[K P]],MATCH(Table5[[#This Row],[PID]],Batters[[#All],[PID]],0)),INDEX(Table3[[#All],[STM]],MATCH(Table5[[#This Row],[PID]],Table3[[#All],[PID]],0)))</f>
        <v>3</v>
      </c>
      <c r="Q870" s="61">
        <f>IF($C870="B",INDEX(Batters[[#All],[Tot]],MATCH(Table5[[#This Row],[PID]],Batters[[#All],[PID]],0)),INDEX(Table3[[#All],[Tot]],MATCH(Table5[[#This Row],[PID]],Table3[[#All],[PID]],0)))</f>
        <v>30.902350727710513</v>
      </c>
      <c r="R870" s="52">
        <f>IF($C870="B",INDEX(Batters[[#All],[zScore]],MATCH(Table5[[#This Row],[PID]],Batters[[#All],[PID]],0)),INDEX(Table3[[#All],[zScore]],MATCH(Table5[[#This Row],[PID]],Table3[[#All],[PID]],0)))</f>
        <v>-1.7710086208420937</v>
      </c>
      <c r="S870" s="58" t="str">
        <f>IF($C870="B",INDEX(Batters[[#All],[DEM]],MATCH(Table5[[#This Row],[PID]],Batters[[#All],[PID]],0)),INDEX(Table3[[#All],[DEM]],MATCH(Table5[[#This Row],[PID]],Table3[[#All],[PID]],0)))</f>
        <v>-</v>
      </c>
      <c r="T870" s="62">
        <f>IF($C870="B",INDEX(Batters[[#All],[Rnk]],MATCH(Table5[[#This Row],[PID]],Batters[[#All],[PID]],0)),INDEX(Table3[[#All],[Rnk]],MATCH(Table5[[#This Row],[PID]],Table3[[#All],[PID]],0)))</f>
        <v>930</v>
      </c>
      <c r="U870" s="67">
        <f>IF($C870="B",VLOOKUP($A870,Bat!$A$4:$BA$1314,47,FALSE),VLOOKUP($A870,Pit!$A$4:$BF$1214,56,FALSE))</f>
        <v>402</v>
      </c>
      <c r="V870" s="50">
        <f>IF($C870="B",VLOOKUP($A870,Bat!$A$4:$BA$1314,48,FALSE),VLOOKUP($A870,Pit!$A$4:$BF$1214,57,FALSE))</f>
        <v>0</v>
      </c>
      <c r="W870" s="68">
        <f>IF(Table5[[#This Row],[posRnk]]=999,9999,Table5[[#This Row],[posRnk]]+Table5[[#This Row],[zRnk]]+IF($W$3&lt;&gt;Table5[[#This Row],[Type]],50,0))</f>
        <v>1858</v>
      </c>
      <c r="X870" s="51">
        <f>RANK(Table5[[#This Row],[zScore]],Table5[[#All],[zScore]])</f>
        <v>878</v>
      </c>
      <c r="Y870" s="50" t="str">
        <f>IFERROR(INDEX(DraftResults[[#All],[OVR]],MATCH(Table5[[#This Row],[PID]],DraftResults[[#All],[Player ID]],0)),"")</f>
        <v/>
      </c>
      <c r="Z870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/>
      </c>
      <c r="AA870" s="50" t="str">
        <f>IFERROR(INDEX(DraftResults[[#All],[Pick in Round]],MATCH(Table5[[#This Row],[PID]],DraftResults[[#All],[Player ID]],0)),"")</f>
        <v/>
      </c>
      <c r="AB870" s="50" t="str">
        <f>IFERROR(INDEX(DraftResults[[#All],[Team Name]],MATCH(Table5[[#This Row],[PID]],DraftResults[[#All],[Player ID]],0)),"")</f>
        <v/>
      </c>
      <c r="AC870" s="50" t="str">
        <f>IF(Table5[[#This Row],[Ovr]]="","",IF(Table5[[#This Row],[cmbList]]="","",Table5[[#This Row],[cmbList]]-Table5[[#This Row],[Ovr]]))</f>
        <v/>
      </c>
      <c r="AD870" s="54" t="str">
        <f>IF(ISERROR(VLOOKUP($AB870&amp;"-"&amp;$E870&amp;" "&amp;F870,Bonuses!$B$1:$G$1006,4,FALSE)),"",INT(VLOOKUP($AB870&amp;"-"&amp;$E870&amp;" "&amp;$F870,Bonuses!$B$1:$G$1006,4,FALSE)))</f>
        <v/>
      </c>
      <c r="AE870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/>
      </c>
    </row>
    <row r="871" spans="1:31" s="50" customFormat="1" x14ac:dyDescent="0.3">
      <c r="A871" s="50">
        <v>14646</v>
      </c>
      <c r="B871" s="50">
        <f>COUNTIF(Table5[PID],A871)</f>
        <v>1</v>
      </c>
      <c r="C871" s="50" t="str">
        <f>IF(COUNTIF(Table3[[#All],[PID]],A871)&gt;0,"P","B")</f>
        <v>B</v>
      </c>
      <c r="D871" s="59" t="str">
        <f>IF($C871="B",INDEX(Batters[[#All],[POS]],MATCH(Table5[[#This Row],[PID]],Batters[[#All],[PID]],0)),INDEX(Table3[[#All],[POS]],MATCH(Table5[[#This Row],[PID]],Table3[[#All],[PID]],0)))</f>
        <v>C</v>
      </c>
      <c r="E871" s="52" t="str">
        <f>IF($C871="B",INDEX(Batters[[#All],[First]],MATCH(Table5[[#This Row],[PID]],Batters[[#All],[PID]],0)),INDEX(Table3[[#All],[First]],MATCH(Table5[[#This Row],[PID]],Table3[[#All],[PID]],0)))</f>
        <v>Heath</v>
      </c>
      <c r="F871" s="50" t="str">
        <f>IF($C871="B",INDEX(Batters[[#All],[Last]],MATCH(A871,Batters[[#All],[PID]],0)),INDEX(Table3[[#All],[Last]],MATCH(A871,Table3[[#All],[PID]],0)))</f>
        <v>Parks</v>
      </c>
      <c r="G871" s="56">
        <f>IF($C871="B",INDEX(Batters[[#All],[Age]],MATCH(Table5[[#This Row],[PID]],Batters[[#All],[PID]],0)),INDEX(Table3[[#All],[Age]],MATCH(Table5[[#This Row],[PID]],Table3[[#All],[PID]],0)))</f>
        <v>21</v>
      </c>
      <c r="H871" s="52" t="str">
        <f>IF($C871="B",INDEX(Batters[[#All],[B]],MATCH(Table5[[#This Row],[PID]],Batters[[#All],[PID]],0)),INDEX(Table3[[#All],[B]],MATCH(Table5[[#This Row],[PID]],Table3[[#All],[PID]],0)))</f>
        <v>R</v>
      </c>
      <c r="I871" s="52" t="str">
        <f>IF($C871="B",INDEX(Batters[[#All],[T]],MATCH(Table5[[#This Row],[PID]],Batters[[#All],[PID]],0)),INDEX(Table3[[#All],[T]],MATCH(Table5[[#This Row],[PID]],Table3[[#All],[PID]],0)))</f>
        <v>R</v>
      </c>
      <c r="J871" s="52" t="str">
        <f>IF($C871="B",INDEX(Batters[[#All],[WE]],MATCH(Table5[[#This Row],[PID]],Batters[[#All],[PID]],0)),INDEX(Table3[[#All],[WE]],MATCH(Table5[[#This Row],[PID]],Table3[[#All],[PID]],0)))</f>
        <v>Low</v>
      </c>
      <c r="K871" s="52" t="str">
        <f>IF($C871="B",INDEX(Batters[[#All],[INT]],MATCH(Table5[[#This Row],[PID]],Batters[[#All],[PID]],0)),INDEX(Table3[[#All],[INT]],MATCH(Table5[[#This Row],[PID]],Table3[[#All],[PID]],0)))</f>
        <v>Normal</v>
      </c>
      <c r="L871" s="60">
        <f>IF($C871="B",INDEX(Batters[[#All],[CON P]],MATCH(Table5[[#This Row],[PID]],Batters[[#All],[PID]],0)),INDEX(Table3[[#All],[STU P]],MATCH(Table5[[#This Row],[PID]],Table3[[#All],[PID]],0)))</f>
        <v>2</v>
      </c>
      <c r="M871" s="56">
        <f>IF($C871="B",INDEX(Batters[[#All],[GAP P]],MATCH(Table5[[#This Row],[PID]],Batters[[#All],[PID]],0)),INDEX(Table3[[#All],[MOV P]],MATCH(Table5[[#This Row],[PID]],Table3[[#All],[PID]],0)))</f>
        <v>2</v>
      </c>
      <c r="N871" s="56">
        <f>IF($C871="B",INDEX(Batters[[#All],[POW P]],MATCH(Table5[[#This Row],[PID]],Batters[[#All],[PID]],0)),INDEX(Table3[[#All],[CON P]],MATCH(Table5[[#This Row],[PID]],Table3[[#All],[PID]],0)))</f>
        <v>2</v>
      </c>
      <c r="O871" s="56">
        <f>IF($C871="B",INDEX(Batters[[#All],[EYE P]],MATCH(Table5[[#This Row],[PID]],Batters[[#All],[PID]],0)),INDEX(Table3[[#All],[VELO]],MATCH(Table5[[#This Row],[PID]],Table3[[#All],[PID]],0)))</f>
        <v>6</v>
      </c>
      <c r="P871" s="56">
        <f>IF($C871="B",INDEX(Batters[[#All],[K P]],MATCH(Table5[[#This Row],[PID]],Batters[[#All],[PID]],0)),INDEX(Table3[[#All],[STM]],MATCH(Table5[[#This Row],[PID]],Table3[[#All],[PID]],0)))</f>
        <v>2</v>
      </c>
      <c r="Q871" s="61">
        <f>IF($C871="B",INDEX(Batters[[#All],[Tot]],MATCH(Table5[[#This Row],[PID]],Batters[[#All],[PID]],0)),INDEX(Table3[[#All],[Tot]],MATCH(Table5[[#This Row],[PID]],Table3[[#All],[PID]],0)))</f>
        <v>30.848589123013902</v>
      </c>
      <c r="R871" s="52">
        <f>IF($C871="B",INDEX(Batters[[#All],[zScore]],MATCH(Table5[[#This Row],[PID]],Batters[[#All],[PID]],0)),INDEX(Table3[[#All],[zScore]],MATCH(Table5[[#This Row],[PID]],Table3[[#All],[PID]],0)))</f>
        <v>-1.7787921573858247</v>
      </c>
      <c r="S871" s="58" t="str">
        <f>IF($C871="B",INDEX(Batters[[#All],[DEM]],MATCH(Table5[[#This Row],[PID]],Batters[[#All],[PID]],0)),INDEX(Table3[[#All],[DEM]],MATCH(Table5[[#This Row],[PID]],Table3[[#All],[PID]],0)))</f>
        <v>-</v>
      </c>
      <c r="T871" s="62">
        <f>IF($C871="B",INDEX(Batters[[#All],[Rnk]],MATCH(Table5[[#This Row],[PID]],Batters[[#All],[PID]],0)),INDEX(Table3[[#All],[Rnk]],MATCH(Table5[[#This Row],[PID]],Table3[[#All],[PID]],0)))</f>
        <v>930</v>
      </c>
      <c r="U871" s="67">
        <f>IF($C871="B",VLOOKUP($A871,Bat!$A$4:$BA$1314,47,FALSE),VLOOKUP($A871,Pit!$A$4:$BF$1214,56,FALSE))</f>
        <v>403</v>
      </c>
      <c r="V871" s="50">
        <f>IF($C871="B",VLOOKUP($A871,Bat!$A$4:$BA$1314,48,FALSE),VLOOKUP($A871,Pit!$A$4:$BF$1214,57,FALSE))</f>
        <v>0</v>
      </c>
      <c r="W871" s="68">
        <f>IF(Table5[[#This Row],[posRnk]]=999,9999,Table5[[#This Row],[posRnk]]+Table5[[#This Row],[zRnk]]+IF($W$3&lt;&gt;Table5[[#This Row],[Type]],50,0))</f>
        <v>1860</v>
      </c>
      <c r="X871" s="51">
        <f>RANK(Table5[[#This Row],[zScore]],Table5[[#All],[zScore]])</f>
        <v>880</v>
      </c>
      <c r="Y871" s="50" t="str">
        <f>IFERROR(INDEX(DraftResults[[#All],[OVR]],MATCH(Table5[[#This Row],[PID]],DraftResults[[#All],[Player ID]],0)),"")</f>
        <v/>
      </c>
      <c r="Z871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/>
      </c>
      <c r="AA871" s="50" t="str">
        <f>IFERROR(INDEX(DraftResults[[#All],[Pick in Round]],MATCH(Table5[[#This Row],[PID]],DraftResults[[#All],[Player ID]],0)),"")</f>
        <v/>
      </c>
      <c r="AB871" s="50" t="str">
        <f>IFERROR(INDEX(DraftResults[[#All],[Team Name]],MATCH(Table5[[#This Row],[PID]],DraftResults[[#All],[Player ID]],0)),"")</f>
        <v/>
      </c>
      <c r="AC871" s="50" t="str">
        <f>IF(Table5[[#This Row],[Ovr]]="","",IF(Table5[[#This Row],[cmbList]]="","",Table5[[#This Row],[cmbList]]-Table5[[#This Row],[Ovr]]))</f>
        <v/>
      </c>
      <c r="AD871" s="54" t="str">
        <f>IF(ISERROR(VLOOKUP($AB871&amp;"-"&amp;$E871&amp;" "&amp;F871,Bonuses!$B$1:$G$1006,4,FALSE)),"",INT(VLOOKUP($AB871&amp;"-"&amp;$E871&amp;" "&amp;$F871,Bonuses!$B$1:$G$1006,4,FALSE)))</f>
        <v/>
      </c>
      <c r="AE871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/>
      </c>
    </row>
    <row r="872" spans="1:31" s="50" customFormat="1" x14ac:dyDescent="0.3">
      <c r="A872" s="50">
        <v>20276</v>
      </c>
      <c r="B872" s="50">
        <f>COUNTIF(Table5[PID],A872)</f>
        <v>1</v>
      </c>
      <c r="C872" s="50" t="str">
        <f>IF(COUNTIF(Table3[[#All],[PID]],A872)&gt;0,"P","B")</f>
        <v>B</v>
      </c>
      <c r="D872" s="59" t="str">
        <f>IF($C872="B",INDEX(Batters[[#All],[POS]],MATCH(Table5[[#This Row],[PID]],Batters[[#All],[PID]],0)),INDEX(Table3[[#All],[POS]],MATCH(Table5[[#This Row],[PID]],Table3[[#All],[PID]],0)))</f>
        <v>1B</v>
      </c>
      <c r="E872" s="52" t="str">
        <f>IF($C872="B",INDEX(Batters[[#All],[First]],MATCH(Table5[[#This Row],[PID]],Batters[[#All],[PID]],0)),INDEX(Table3[[#All],[First]],MATCH(Table5[[#This Row],[PID]],Table3[[#All],[PID]],0)))</f>
        <v>Tan-ming</v>
      </c>
      <c r="F872" s="50" t="str">
        <f>IF($C872="B",INDEX(Batters[[#All],[Last]],MATCH(A872,Batters[[#All],[PID]],0)),INDEX(Table3[[#All],[Last]],MATCH(A872,Table3[[#All],[PID]],0)))</f>
        <v>Lung</v>
      </c>
      <c r="G872" s="56">
        <f>IF($C872="B",INDEX(Batters[[#All],[Age]],MATCH(Table5[[#This Row],[PID]],Batters[[#All],[PID]],0)),INDEX(Table3[[#All],[Age]],MATCH(Table5[[#This Row],[PID]],Table3[[#All],[PID]],0)))</f>
        <v>21</v>
      </c>
      <c r="H872" s="52" t="str">
        <f>IF($C872="B",INDEX(Batters[[#All],[B]],MATCH(Table5[[#This Row],[PID]],Batters[[#All],[PID]],0)),INDEX(Table3[[#All],[B]],MATCH(Table5[[#This Row],[PID]],Table3[[#All],[PID]],0)))</f>
        <v>R</v>
      </c>
      <c r="I872" s="52" t="str">
        <f>IF($C872="B",INDEX(Batters[[#All],[T]],MATCH(Table5[[#This Row],[PID]],Batters[[#All],[PID]],0)),INDEX(Table3[[#All],[T]],MATCH(Table5[[#This Row],[PID]],Table3[[#All],[PID]],0)))</f>
        <v>R</v>
      </c>
      <c r="J872" s="52" t="str">
        <f>IF($C872="B",INDEX(Batters[[#All],[WE]],MATCH(Table5[[#This Row],[PID]],Batters[[#All],[PID]],0)),INDEX(Table3[[#All],[WE]],MATCH(Table5[[#This Row],[PID]],Table3[[#All],[PID]],0)))</f>
        <v>Low</v>
      </c>
      <c r="K872" s="52" t="str">
        <f>IF($C872="B",INDEX(Batters[[#All],[INT]],MATCH(Table5[[#This Row],[PID]],Batters[[#All],[PID]],0)),INDEX(Table3[[#All],[INT]],MATCH(Table5[[#This Row],[PID]],Table3[[#All],[PID]],0)))</f>
        <v>Normal</v>
      </c>
      <c r="L872" s="60">
        <f>IF($C872="B",INDEX(Batters[[#All],[CON P]],MATCH(Table5[[#This Row],[PID]],Batters[[#All],[PID]],0)),INDEX(Table3[[#All],[STU P]],MATCH(Table5[[#This Row],[PID]],Table3[[#All],[PID]],0)))</f>
        <v>3</v>
      </c>
      <c r="M872" s="56">
        <f>IF($C872="B",INDEX(Batters[[#All],[GAP P]],MATCH(Table5[[#This Row],[PID]],Batters[[#All],[PID]],0)),INDEX(Table3[[#All],[MOV P]],MATCH(Table5[[#This Row],[PID]],Table3[[#All],[PID]],0)))</f>
        <v>3</v>
      </c>
      <c r="N872" s="56">
        <f>IF($C872="B",INDEX(Batters[[#All],[POW P]],MATCH(Table5[[#This Row],[PID]],Batters[[#All],[PID]],0)),INDEX(Table3[[#All],[CON P]],MATCH(Table5[[#This Row],[PID]],Table3[[#All],[PID]],0)))</f>
        <v>2</v>
      </c>
      <c r="O872" s="56">
        <f>IF($C872="B",INDEX(Batters[[#All],[EYE P]],MATCH(Table5[[#This Row],[PID]],Batters[[#All],[PID]],0)),INDEX(Table3[[#All],[VELO]],MATCH(Table5[[#This Row],[PID]],Table3[[#All],[PID]],0)))</f>
        <v>1</v>
      </c>
      <c r="P872" s="56">
        <f>IF($C872="B",INDEX(Batters[[#All],[K P]],MATCH(Table5[[#This Row],[PID]],Batters[[#All],[PID]],0)),INDEX(Table3[[#All],[STM]],MATCH(Table5[[#This Row],[PID]],Table3[[#All],[PID]],0)))</f>
        <v>4</v>
      </c>
      <c r="Q872" s="61">
        <f>IF($C872="B",INDEX(Batters[[#All],[Tot]],MATCH(Table5[[#This Row],[PID]],Batters[[#All],[PID]],0)),INDEX(Table3[[#All],[Tot]],MATCH(Table5[[#This Row],[PID]],Table3[[#All],[PID]],0)))</f>
        <v>30.942325785411093</v>
      </c>
      <c r="R872" s="52">
        <f>IF($C872="B",INDEX(Batters[[#All],[zScore]],MATCH(Table5[[#This Row],[PID]],Batters[[#All],[PID]],0)),INDEX(Table3[[#All],[zScore]],MATCH(Table5[[#This Row],[PID]],Table3[[#All],[PID]],0)))</f>
        <v>-1.7919285656374464</v>
      </c>
      <c r="S872" s="58" t="str">
        <f>IF($C872="B",INDEX(Batters[[#All],[DEM]],MATCH(Table5[[#This Row],[PID]],Batters[[#All],[PID]],0)),INDEX(Table3[[#All],[DEM]],MATCH(Table5[[#This Row],[PID]],Table3[[#All],[PID]],0)))</f>
        <v>-</v>
      </c>
      <c r="T872" s="62">
        <f>IF($C872="B",INDEX(Batters[[#All],[Rnk]],MATCH(Table5[[#This Row],[PID]],Batters[[#All],[PID]],0)),INDEX(Table3[[#All],[Rnk]],MATCH(Table5[[#This Row],[PID]],Table3[[#All],[PID]],0)))</f>
        <v>930</v>
      </c>
      <c r="U872" s="67">
        <f>IF($C872="B",VLOOKUP($A872,Bat!$A$4:$BA$1314,47,FALSE),VLOOKUP($A872,Pit!$A$4:$BF$1214,56,FALSE))</f>
        <v>404</v>
      </c>
      <c r="V872" s="50">
        <f>IF($C872="B",VLOOKUP($A872,Bat!$A$4:$BA$1314,48,FALSE),VLOOKUP($A872,Pit!$A$4:$BF$1214,57,FALSE))</f>
        <v>0</v>
      </c>
      <c r="W872" s="68">
        <f>IF(Table5[[#This Row],[posRnk]]=999,9999,Table5[[#This Row],[posRnk]]+Table5[[#This Row],[zRnk]]+IF($W$3&lt;&gt;Table5[[#This Row],[Type]],50,0))</f>
        <v>1861</v>
      </c>
      <c r="X872" s="51">
        <f>RANK(Table5[[#This Row],[zScore]],Table5[[#All],[zScore]])</f>
        <v>881</v>
      </c>
      <c r="Y872" s="50" t="str">
        <f>IFERROR(INDEX(DraftResults[[#All],[OVR]],MATCH(Table5[[#This Row],[PID]],DraftResults[[#All],[Player ID]],0)),"")</f>
        <v/>
      </c>
      <c r="Z872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/>
      </c>
      <c r="AA872" s="50" t="str">
        <f>IFERROR(INDEX(DraftResults[[#All],[Pick in Round]],MATCH(Table5[[#This Row],[PID]],DraftResults[[#All],[Player ID]],0)),"")</f>
        <v/>
      </c>
      <c r="AB872" s="50" t="str">
        <f>IFERROR(INDEX(DraftResults[[#All],[Team Name]],MATCH(Table5[[#This Row],[PID]],DraftResults[[#All],[Player ID]],0)),"")</f>
        <v/>
      </c>
      <c r="AC872" s="50" t="str">
        <f>IF(Table5[[#This Row],[Ovr]]="","",IF(Table5[[#This Row],[cmbList]]="","",Table5[[#This Row],[cmbList]]-Table5[[#This Row],[Ovr]]))</f>
        <v/>
      </c>
      <c r="AD872" s="54" t="str">
        <f>IF(ISERROR(VLOOKUP($AB872&amp;"-"&amp;$E872&amp;" "&amp;F872,Bonuses!$B$1:$G$1006,4,FALSE)),"",INT(VLOOKUP($AB872&amp;"-"&amp;$E872&amp;" "&amp;$F872,Bonuses!$B$1:$G$1006,4,FALSE)))</f>
        <v/>
      </c>
      <c r="AE872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/>
      </c>
    </row>
    <row r="873" spans="1:31" s="50" customFormat="1" x14ac:dyDescent="0.3">
      <c r="A873" s="50">
        <v>12785</v>
      </c>
      <c r="B873" s="50">
        <f>COUNTIF(Table5[PID],A873)</f>
        <v>1</v>
      </c>
      <c r="C873" s="50" t="str">
        <f>IF(COUNTIF(Table3[[#All],[PID]],A873)&gt;0,"P","B")</f>
        <v>B</v>
      </c>
      <c r="D873" s="59" t="str">
        <f>IF($C873="B",INDEX(Batters[[#All],[POS]],MATCH(Table5[[#This Row],[PID]],Batters[[#All],[PID]],0)),INDEX(Table3[[#All],[POS]],MATCH(Table5[[#This Row],[PID]],Table3[[#All],[PID]],0)))</f>
        <v>1B</v>
      </c>
      <c r="E873" s="52" t="str">
        <f>IF($C873="B",INDEX(Batters[[#All],[First]],MATCH(Table5[[#This Row],[PID]],Batters[[#All],[PID]],0)),INDEX(Table3[[#All],[First]],MATCH(Table5[[#This Row],[PID]],Table3[[#All],[PID]],0)))</f>
        <v>Raúl</v>
      </c>
      <c r="F873" s="50" t="str">
        <f>IF($C873="B",INDEX(Batters[[#All],[Last]],MATCH(A873,Batters[[#All],[PID]],0)),INDEX(Table3[[#All],[Last]],MATCH(A873,Table3[[#All],[PID]],0)))</f>
        <v>Cantú</v>
      </c>
      <c r="G873" s="56">
        <f>IF($C873="B",INDEX(Batters[[#All],[Age]],MATCH(Table5[[#This Row],[PID]],Batters[[#All],[PID]],0)),INDEX(Table3[[#All],[Age]],MATCH(Table5[[#This Row],[PID]],Table3[[#All],[PID]],0)))</f>
        <v>21</v>
      </c>
      <c r="H873" s="52" t="str">
        <f>IF($C873="B",INDEX(Batters[[#All],[B]],MATCH(Table5[[#This Row],[PID]],Batters[[#All],[PID]],0)),INDEX(Table3[[#All],[B]],MATCH(Table5[[#This Row],[PID]],Table3[[#All],[PID]],0)))</f>
        <v>L</v>
      </c>
      <c r="I873" s="52" t="str">
        <f>IF($C873="B",INDEX(Batters[[#All],[T]],MATCH(Table5[[#This Row],[PID]],Batters[[#All],[PID]],0)),INDEX(Table3[[#All],[T]],MATCH(Table5[[#This Row],[PID]],Table3[[#All],[PID]],0)))</f>
        <v>L</v>
      </c>
      <c r="J873" s="52" t="str">
        <f>IF($C873="B",INDEX(Batters[[#All],[WE]],MATCH(Table5[[#This Row],[PID]],Batters[[#All],[PID]],0)),INDEX(Table3[[#All],[WE]],MATCH(Table5[[#This Row],[PID]],Table3[[#All],[PID]],0)))</f>
        <v>Low</v>
      </c>
      <c r="K873" s="52" t="str">
        <f>IF($C873="B",INDEX(Batters[[#All],[INT]],MATCH(Table5[[#This Row],[PID]],Batters[[#All],[PID]],0)),INDEX(Table3[[#All],[INT]],MATCH(Table5[[#This Row],[PID]],Table3[[#All],[PID]],0)))</f>
        <v>Normal</v>
      </c>
      <c r="L873" s="60">
        <f>IF($C873="B",INDEX(Batters[[#All],[CON P]],MATCH(Table5[[#This Row],[PID]],Batters[[#All],[PID]],0)),INDEX(Table3[[#All],[STU P]],MATCH(Table5[[#This Row],[PID]],Table3[[#All],[PID]],0)))</f>
        <v>3</v>
      </c>
      <c r="M873" s="56">
        <f>IF($C873="B",INDEX(Batters[[#All],[GAP P]],MATCH(Table5[[#This Row],[PID]],Batters[[#All],[PID]],0)),INDEX(Table3[[#All],[MOV P]],MATCH(Table5[[#This Row],[PID]],Table3[[#All],[PID]],0)))</f>
        <v>2</v>
      </c>
      <c r="N873" s="56">
        <f>IF($C873="B",INDEX(Batters[[#All],[POW P]],MATCH(Table5[[#This Row],[PID]],Batters[[#All],[PID]],0)),INDEX(Table3[[#All],[CON P]],MATCH(Table5[[#This Row],[PID]],Table3[[#All],[PID]],0)))</f>
        <v>3</v>
      </c>
      <c r="O873" s="56">
        <f>IF($C873="B",INDEX(Batters[[#All],[EYE P]],MATCH(Table5[[#This Row],[PID]],Batters[[#All],[PID]],0)),INDEX(Table3[[#All],[VELO]],MATCH(Table5[[#This Row],[PID]],Table3[[#All],[PID]],0)))</f>
        <v>1</v>
      </c>
      <c r="P873" s="56">
        <f>IF($C873="B",INDEX(Batters[[#All],[K P]],MATCH(Table5[[#This Row],[PID]],Batters[[#All],[PID]],0)),INDEX(Table3[[#All],[STM]],MATCH(Table5[[#This Row],[PID]],Table3[[#All],[PID]],0)))</f>
        <v>3</v>
      </c>
      <c r="Q873" s="61">
        <f>IF($C873="B",INDEX(Batters[[#All],[Tot]],MATCH(Table5[[#This Row],[PID]],Batters[[#All],[PID]],0)),INDEX(Table3[[#All],[Tot]],MATCH(Table5[[#This Row],[PID]],Table3[[#All],[PID]],0)))</f>
        <v>30.827933836581309</v>
      </c>
      <c r="R873" s="52">
        <f>IF($C873="B",INDEX(Batters[[#All],[zScore]],MATCH(Table5[[#This Row],[PID]],Batters[[#All],[PID]],0)),INDEX(Table3[[#All],[zScore]],MATCH(Table5[[#This Row],[PID]],Table3[[#All],[PID]],0)))</f>
        <v>-1.8086261421669838</v>
      </c>
      <c r="S873" s="58" t="str">
        <f>IF($C873="B",INDEX(Batters[[#All],[DEM]],MATCH(Table5[[#This Row],[PID]],Batters[[#All],[PID]],0)),INDEX(Table3[[#All],[DEM]],MATCH(Table5[[#This Row],[PID]],Table3[[#All],[PID]],0)))</f>
        <v>-</v>
      </c>
      <c r="T873" s="62">
        <f>IF($C873="B",INDEX(Batters[[#All],[Rnk]],MATCH(Table5[[#This Row],[PID]],Batters[[#All],[PID]],0)),INDEX(Table3[[#All],[Rnk]],MATCH(Table5[[#This Row],[PID]],Table3[[#All],[PID]],0)))</f>
        <v>930</v>
      </c>
      <c r="U873" s="67">
        <f>IF($C873="B",VLOOKUP($A873,Bat!$A$4:$BA$1314,47,FALSE),VLOOKUP($A873,Pit!$A$4:$BF$1214,56,FALSE))</f>
        <v>405</v>
      </c>
      <c r="V873" s="50">
        <f>IF($C873="B",VLOOKUP($A873,Bat!$A$4:$BA$1314,48,FALSE),VLOOKUP($A873,Pit!$A$4:$BF$1214,57,FALSE))</f>
        <v>0</v>
      </c>
      <c r="W873" s="68">
        <f>IF(Table5[[#This Row],[posRnk]]=999,9999,Table5[[#This Row],[posRnk]]+Table5[[#This Row],[zRnk]]+IF($W$3&lt;&gt;Table5[[#This Row],[Type]],50,0))</f>
        <v>1863</v>
      </c>
      <c r="X873" s="51">
        <f>RANK(Table5[[#This Row],[zScore]],Table5[[#All],[zScore]])</f>
        <v>883</v>
      </c>
      <c r="Y873" s="50">
        <f>IFERROR(INDEX(DraftResults[[#All],[OVR]],MATCH(Table5[[#This Row],[PID]],DraftResults[[#All],[Player ID]],0)),"")</f>
        <v>646</v>
      </c>
      <c r="Z873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20</v>
      </c>
      <c r="AA873" s="50">
        <f>IFERROR(INDEX(DraftResults[[#All],[Pick in Round]],MATCH(Table5[[#This Row],[PID]],DraftResults[[#All],[Player ID]],0)),"")</f>
        <v>9</v>
      </c>
      <c r="AB873" s="50" t="str">
        <f>IFERROR(INDEX(DraftResults[[#All],[Team Name]],MATCH(Table5[[#This Row],[PID]],DraftResults[[#All],[Player ID]],0)),"")</f>
        <v>New Jersey Hitmen</v>
      </c>
      <c r="AC873" s="50">
        <f>IF(Table5[[#This Row],[Ovr]]="","",IF(Table5[[#This Row],[cmbList]]="","",Table5[[#This Row],[cmbList]]-Table5[[#This Row],[Ovr]]))</f>
        <v>1217</v>
      </c>
      <c r="AD873" s="54" t="str">
        <f>IF(ISERROR(VLOOKUP($AB873&amp;"-"&amp;$E873&amp;" "&amp;F873,Bonuses!$B$1:$G$1006,4,FALSE)),"",INT(VLOOKUP($AB873&amp;"-"&amp;$E873&amp;" "&amp;$F873,Bonuses!$B$1:$G$1006,4,FALSE)))</f>
        <v/>
      </c>
      <c r="AE873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20.9 (646) - 1B Raúl Cantú</v>
      </c>
    </row>
    <row r="874" spans="1:31" s="50" customFormat="1" x14ac:dyDescent="0.3">
      <c r="A874" s="67">
        <v>5847</v>
      </c>
      <c r="B874" s="68">
        <f>COUNTIF(Table5[PID],A874)</f>
        <v>1</v>
      </c>
      <c r="C874" s="68" t="str">
        <f>IF(COUNTIF(Table3[[#All],[PID]],A874)&gt;0,"P","B")</f>
        <v>B</v>
      </c>
      <c r="D874" s="59" t="str">
        <f>IF($C874="B",INDEX(Batters[[#All],[POS]],MATCH(Table5[[#This Row],[PID]],Batters[[#All],[PID]],0)),INDEX(Table3[[#All],[POS]],MATCH(Table5[[#This Row],[PID]],Table3[[#All],[PID]],0)))</f>
        <v>1B</v>
      </c>
      <c r="E874" s="52" t="str">
        <f>IF($C874="B",INDEX(Batters[[#All],[First]],MATCH(Table5[[#This Row],[PID]],Batters[[#All],[PID]],0)),INDEX(Table3[[#All],[First]],MATCH(Table5[[#This Row],[PID]],Table3[[#All],[PID]],0)))</f>
        <v>Dave</v>
      </c>
      <c r="F874" s="55" t="str">
        <f>IF($C874="B",INDEX(Batters[[#All],[Last]],MATCH(A874,Batters[[#All],[PID]],0)),INDEX(Table3[[#All],[Last]],MATCH(A874,Table3[[#All],[PID]],0)))</f>
        <v>Wallace</v>
      </c>
      <c r="G874" s="56">
        <f>IF($C874="B",INDEX(Batters[[#All],[Age]],MATCH(Table5[[#This Row],[PID]],Batters[[#All],[PID]],0)),INDEX(Table3[[#All],[Age]],MATCH(Table5[[#This Row],[PID]],Table3[[#All],[PID]],0)))</f>
        <v>21</v>
      </c>
      <c r="H874" s="52" t="str">
        <f>IF($C874="B",INDEX(Batters[[#All],[B]],MATCH(Table5[[#This Row],[PID]],Batters[[#All],[PID]],0)),INDEX(Table3[[#All],[B]],MATCH(Table5[[#This Row],[PID]],Table3[[#All],[PID]],0)))</f>
        <v>L</v>
      </c>
      <c r="I874" s="52" t="str">
        <f>IF($C874="B",INDEX(Batters[[#All],[T]],MATCH(Table5[[#This Row],[PID]],Batters[[#All],[PID]],0)),INDEX(Table3[[#All],[T]],MATCH(Table5[[#This Row],[PID]],Table3[[#All],[PID]],0)))</f>
        <v>L</v>
      </c>
      <c r="J874" s="69" t="str">
        <f>IF($C874="B",INDEX(Batters[[#All],[WE]],MATCH(Table5[[#This Row],[PID]],Batters[[#All],[PID]],0)),INDEX(Table3[[#All],[WE]],MATCH(Table5[[#This Row],[PID]],Table3[[#All],[PID]],0)))</f>
        <v>Low</v>
      </c>
      <c r="K874" s="52" t="str">
        <f>IF($C874="B",INDEX(Batters[[#All],[INT]],MATCH(Table5[[#This Row],[PID]],Batters[[#All],[PID]],0)),INDEX(Table3[[#All],[INT]],MATCH(Table5[[#This Row],[PID]],Table3[[#All],[PID]],0)))</f>
        <v>Normal</v>
      </c>
      <c r="L874" s="60">
        <f>IF($C874="B",INDEX(Batters[[#All],[CON P]],MATCH(Table5[[#This Row],[PID]],Batters[[#All],[PID]],0)),INDEX(Table3[[#All],[STU P]],MATCH(Table5[[#This Row],[PID]],Table3[[#All],[PID]],0)))</f>
        <v>3</v>
      </c>
      <c r="M874" s="70">
        <f>IF($C874="B",INDEX(Batters[[#All],[GAP P]],MATCH(Table5[[#This Row],[PID]],Batters[[#All],[PID]],0)),INDEX(Table3[[#All],[MOV P]],MATCH(Table5[[#This Row],[PID]],Table3[[#All],[PID]],0)))</f>
        <v>2</v>
      </c>
      <c r="N874" s="70">
        <f>IF($C874="B",INDEX(Batters[[#All],[POW P]],MATCH(Table5[[#This Row],[PID]],Batters[[#All],[PID]],0)),INDEX(Table3[[#All],[CON P]],MATCH(Table5[[#This Row],[PID]],Table3[[#All],[PID]],0)))</f>
        <v>2</v>
      </c>
      <c r="O874" s="70">
        <f>IF($C874="B",INDEX(Batters[[#All],[EYE P]],MATCH(Table5[[#This Row],[PID]],Batters[[#All],[PID]],0)),INDEX(Table3[[#All],[VELO]],MATCH(Table5[[#This Row],[PID]],Table3[[#All],[PID]],0)))</f>
        <v>1</v>
      </c>
      <c r="P874" s="56">
        <f>IF($C874="B",INDEX(Batters[[#All],[K P]],MATCH(Table5[[#This Row],[PID]],Batters[[#All],[PID]],0)),INDEX(Table3[[#All],[STM]],MATCH(Table5[[#This Row],[PID]],Table3[[#All],[PID]],0)))</f>
        <v>3</v>
      </c>
      <c r="Q874" s="61">
        <f>IF($C874="B",INDEX(Batters[[#All],[Tot]],MATCH(Table5[[#This Row],[PID]],Batters[[#All],[PID]],0)),INDEX(Table3[[#All],[Tot]],MATCH(Table5[[#This Row],[PID]],Table3[[#All],[PID]],0)))</f>
        <v>29.836301896256362</v>
      </c>
      <c r="R874" s="52">
        <f>IF($C874="B",INDEX(Batters[[#All],[zScore]],MATCH(Table5[[#This Row],[PID]],Batters[[#All],[PID]],0)),INDEX(Table3[[#All],[zScore]],MATCH(Table5[[#This Row],[PID]],Table3[[#All],[PID]],0)))</f>
        <v>-1.9533727819619537</v>
      </c>
      <c r="S874" s="75" t="str">
        <f>IF($C874="B",INDEX(Batters[[#All],[DEM]],MATCH(Table5[[#This Row],[PID]],Batters[[#All],[PID]],0)),INDEX(Table3[[#All],[DEM]],MATCH(Table5[[#This Row],[PID]],Table3[[#All],[PID]],0)))</f>
        <v>-</v>
      </c>
      <c r="T874" s="72">
        <f>IF($C874="B",INDEX(Batters[[#All],[Rnk]],MATCH(Table5[[#This Row],[PID]],Batters[[#All],[PID]],0)),INDEX(Table3[[#All],[Rnk]],MATCH(Table5[[#This Row],[PID]],Table3[[#All],[PID]],0)))</f>
        <v>930</v>
      </c>
      <c r="U874" s="67">
        <f>IF($C874="B",VLOOKUP($A874,Bat!$A$4:$BA$1314,47,FALSE),VLOOKUP($A874,Pit!$A$4:$BF$1214,56,FALSE))</f>
        <v>406</v>
      </c>
      <c r="V874" s="50">
        <f>IF($C874="B",VLOOKUP($A874,Bat!$A$4:$BA$1314,48,FALSE),VLOOKUP($A874,Pit!$A$4:$BF$1214,57,FALSE))</f>
        <v>0</v>
      </c>
      <c r="W874" s="68">
        <f>IF(Table5[[#This Row],[posRnk]]=999,9999,Table5[[#This Row],[posRnk]]+Table5[[#This Row],[zRnk]]+IF($W$3&lt;&gt;Table5[[#This Row],[Type]],50,0))</f>
        <v>1866</v>
      </c>
      <c r="X874" s="71">
        <f>RANK(Table5[[#This Row],[zScore]],Table5[[#All],[zScore]])</f>
        <v>886</v>
      </c>
      <c r="Y874" s="68">
        <f>IFERROR(INDEX(DraftResults[[#All],[OVR]],MATCH(Table5[[#This Row],[PID]],DraftResults[[#All],[Player ID]],0)),"")</f>
        <v>647</v>
      </c>
      <c r="Z874" s="7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20</v>
      </c>
      <c r="AA874" s="68">
        <f>IFERROR(INDEX(DraftResults[[#All],[Pick in Round]],MATCH(Table5[[#This Row],[PID]],DraftResults[[#All],[Player ID]],0)),"")</f>
        <v>10</v>
      </c>
      <c r="AB874" s="68" t="str">
        <f>IFERROR(INDEX(DraftResults[[#All],[Team Name]],MATCH(Table5[[#This Row],[PID]],DraftResults[[#All],[Player ID]],0)),"")</f>
        <v>London Underground</v>
      </c>
      <c r="AC874" s="68">
        <f>IF(Table5[[#This Row],[Ovr]]="","",IF(Table5[[#This Row],[cmbList]]="","",Table5[[#This Row],[cmbList]]-Table5[[#This Row],[Ovr]]))</f>
        <v>1219</v>
      </c>
      <c r="AD874" s="74" t="str">
        <f>IF(ISERROR(VLOOKUP($AB874&amp;"-"&amp;$E874&amp;" "&amp;F874,Bonuses!$B$1:$G$1006,4,FALSE)),"",INT(VLOOKUP($AB874&amp;"-"&amp;$E874&amp;" "&amp;$F874,Bonuses!$B$1:$G$1006,4,FALSE)))</f>
        <v/>
      </c>
      <c r="AE874" s="68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20.10 (647) - 1B Dave Wallace</v>
      </c>
    </row>
    <row r="875" spans="1:31" s="50" customFormat="1" x14ac:dyDescent="0.3">
      <c r="A875" s="50">
        <v>7340</v>
      </c>
      <c r="B875" s="50">
        <f>COUNTIF(Table5[PID],A875)</f>
        <v>1</v>
      </c>
      <c r="C875" s="50" t="str">
        <f>IF(COUNTIF(Table3[[#All],[PID]],A875)&gt;0,"P","B")</f>
        <v>B</v>
      </c>
      <c r="D875" s="59" t="str">
        <f>IF($C875="B",INDEX(Batters[[#All],[POS]],MATCH(Table5[[#This Row],[PID]],Batters[[#All],[PID]],0)),INDEX(Table3[[#All],[POS]],MATCH(Table5[[#This Row],[PID]],Table3[[#All],[PID]],0)))</f>
        <v>C</v>
      </c>
      <c r="E875" s="52" t="str">
        <f>IF($C875="B",INDEX(Batters[[#All],[First]],MATCH(Table5[[#This Row],[PID]],Batters[[#All],[PID]],0)),INDEX(Table3[[#All],[First]],MATCH(Table5[[#This Row],[PID]],Table3[[#All],[PID]],0)))</f>
        <v>Carlton</v>
      </c>
      <c r="F875" s="50" t="str">
        <f>IF($C875="B",INDEX(Batters[[#All],[Last]],MATCH(A875,Batters[[#All],[PID]],0)),INDEX(Table3[[#All],[Last]],MATCH(A875,Table3[[#All],[PID]],0)))</f>
        <v>Milsom</v>
      </c>
      <c r="G875" s="56">
        <f>IF($C875="B",INDEX(Batters[[#All],[Age]],MATCH(Table5[[#This Row],[PID]],Batters[[#All],[PID]],0)),INDEX(Table3[[#All],[Age]],MATCH(Table5[[#This Row],[PID]],Table3[[#All],[PID]],0)))</f>
        <v>22</v>
      </c>
      <c r="H875" s="52" t="str">
        <f>IF($C875="B",INDEX(Batters[[#All],[B]],MATCH(Table5[[#This Row],[PID]],Batters[[#All],[PID]],0)),INDEX(Table3[[#All],[B]],MATCH(Table5[[#This Row],[PID]],Table3[[#All],[PID]],0)))</f>
        <v>R</v>
      </c>
      <c r="I875" s="52" t="str">
        <f>IF($C875="B",INDEX(Batters[[#All],[T]],MATCH(Table5[[#This Row],[PID]],Batters[[#All],[PID]],0)),INDEX(Table3[[#All],[T]],MATCH(Table5[[#This Row],[PID]],Table3[[#All],[PID]],0)))</f>
        <v>R</v>
      </c>
      <c r="J875" s="52" t="str">
        <f>IF($C875="B",INDEX(Batters[[#All],[WE]],MATCH(Table5[[#This Row],[PID]],Batters[[#All],[PID]],0)),INDEX(Table3[[#All],[WE]],MATCH(Table5[[#This Row],[PID]],Table3[[#All],[PID]],0)))</f>
        <v>Low</v>
      </c>
      <c r="K875" s="52" t="str">
        <f>IF($C875="B",INDEX(Batters[[#All],[INT]],MATCH(Table5[[#This Row],[PID]],Batters[[#All],[PID]],0)),INDEX(Table3[[#All],[INT]],MATCH(Table5[[#This Row],[PID]],Table3[[#All],[PID]],0)))</f>
        <v>Low</v>
      </c>
      <c r="L875" s="60">
        <f>IF($C875="B",INDEX(Batters[[#All],[CON P]],MATCH(Table5[[#This Row],[PID]],Batters[[#All],[PID]],0)),INDEX(Table3[[#All],[STU P]],MATCH(Table5[[#This Row],[PID]],Table3[[#All],[PID]],0)))</f>
        <v>2</v>
      </c>
      <c r="M875" s="56">
        <f>IF($C875="B",INDEX(Batters[[#All],[GAP P]],MATCH(Table5[[#This Row],[PID]],Batters[[#All],[PID]],0)),INDEX(Table3[[#All],[MOV P]],MATCH(Table5[[#This Row],[PID]],Table3[[#All],[PID]],0)))</f>
        <v>4</v>
      </c>
      <c r="N875" s="56">
        <f>IF($C875="B",INDEX(Batters[[#All],[POW P]],MATCH(Table5[[#This Row],[PID]],Batters[[#All],[PID]],0)),INDEX(Table3[[#All],[CON P]],MATCH(Table5[[#This Row],[PID]],Table3[[#All],[PID]],0)))</f>
        <v>3</v>
      </c>
      <c r="O875" s="56">
        <f>IF($C875="B",INDEX(Batters[[#All],[EYE P]],MATCH(Table5[[#This Row],[PID]],Batters[[#All],[PID]],0)),INDEX(Table3[[#All],[VELO]],MATCH(Table5[[#This Row],[PID]],Table3[[#All],[PID]],0)))</f>
        <v>5</v>
      </c>
      <c r="P875" s="56">
        <f>IF($C875="B",INDEX(Batters[[#All],[K P]],MATCH(Table5[[#This Row],[PID]],Batters[[#All],[PID]],0)),INDEX(Table3[[#All],[STM]],MATCH(Table5[[#This Row],[PID]],Table3[[#All],[PID]],0)))</f>
        <v>1</v>
      </c>
      <c r="Q875" s="61">
        <f>IF($C875="B",INDEX(Batters[[#All],[Tot]],MATCH(Table5[[#This Row],[PID]],Batters[[#All],[PID]],0)),INDEX(Table3[[#All],[Tot]],MATCH(Table5[[#This Row],[PID]],Table3[[#All],[PID]],0)))</f>
        <v>31.060188517190543</v>
      </c>
      <c r="R875" s="52">
        <f>IF($C875="B",INDEX(Batters[[#All],[zScore]],MATCH(Table5[[#This Row],[PID]],Batters[[#All],[PID]],0)),INDEX(Table3[[#All],[zScore]],MATCH(Table5[[#This Row],[PID]],Table3[[#All],[PID]],0)))</f>
        <v>-1.7747243654817508</v>
      </c>
      <c r="S875" s="58" t="str">
        <f>IF($C875="B",INDEX(Batters[[#All],[DEM]],MATCH(Table5[[#This Row],[PID]],Batters[[#All],[PID]],0)),INDEX(Table3[[#All],[DEM]],MATCH(Table5[[#This Row],[PID]],Table3[[#All],[PID]],0)))</f>
        <v>-</v>
      </c>
      <c r="T875" s="62">
        <f>IF($C875="B",INDEX(Batters[[#All],[Rnk]],MATCH(Table5[[#This Row],[PID]],Batters[[#All],[PID]],0)),INDEX(Table3[[#All],[Rnk]],MATCH(Table5[[#This Row],[PID]],Table3[[#All],[PID]],0)))</f>
        <v>950</v>
      </c>
      <c r="U875" s="67">
        <f>IF($C875="B",VLOOKUP($A875,Bat!$A$4:$BA$1314,47,FALSE),VLOOKUP($A875,Pit!$A$4:$BF$1214,56,FALSE))</f>
        <v>444</v>
      </c>
      <c r="V875" s="50">
        <f>IF($C875="B",VLOOKUP($A875,Bat!$A$4:$BA$1314,48,FALSE),VLOOKUP($A875,Pit!$A$4:$BF$1214,57,FALSE))</f>
        <v>0</v>
      </c>
      <c r="W875" s="68">
        <f>IF(Table5[[#This Row],[posRnk]]=999,9999,Table5[[#This Row],[posRnk]]+Table5[[#This Row],[zRnk]]+IF($W$3&lt;&gt;Table5[[#This Row],[Type]],50,0))</f>
        <v>1879</v>
      </c>
      <c r="X875" s="51">
        <f>RANK(Table5[[#This Row],[zScore]],Table5[[#All],[zScore]])</f>
        <v>879</v>
      </c>
      <c r="Y875" s="50" t="str">
        <f>IFERROR(INDEX(DraftResults[[#All],[OVR]],MATCH(Table5[[#This Row],[PID]],DraftResults[[#All],[Player ID]],0)),"")</f>
        <v/>
      </c>
      <c r="Z875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/>
      </c>
      <c r="AA875" s="50" t="str">
        <f>IFERROR(INDEX(DraftResults[[#All],[Pick in Round]],MATCH(Table5[[#This Row],[PID]],DraftResults[[#All],[Player ID]],0)),"")</f>
        <v/>
      </c>
      <c r="AB875" s="50" t="str">
        <f>IFERROR(INDEX(DraftResults[[#All],[Team Name]],MATCH(Table5[[#This Row],[PID]],DraftResults[[#All],[Player ID]],0)),"")</f>
        <v/>
      </c>
      <c r="AC875" s="50" t="str">
        <f>IF(Table5[[#This Row],[Ovr]]="","",IF(Table5[[#This Row],[cmbList]]="","",Table5[[#This Row],[cmbList]]-Table5[[#This Row],[Ovr]]))</f>
        <v/>
      </c>
      <c r="AD875" s="54" t="str">
        <f>IF(ISERROR(VLOOKUP($AB875&amp;"-"&amp;$E875&amp;" "&amp;F875,Bonuses!$B$1:$G$1006,4,FALSE)),"",INT(VLOOKUP($AB875&amp;"-"&amp;$E875&amp;" "&amp;$F875,Bonuses!$B$1:$G$1006,4,FALSE)))</f>
        <v/>
      </c>
      <c r="AE875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/>
      </c>
    </row>
    <row r="876" spans="1:31" s="50" customFormat="1" x14ac:dyDescent="0.3">
      <c r="A876" s="67">
        <v>12582</v>
      </c>
      <c r="B876" s="68">
        <f>COUNTIF(Table5[PID],A876)</f>
        <v>1</v>
      </c>
      <c r="C876" s="68" t="str">
        <f>IF(COUNTIF(Table3[[#All],[PID]],A876)&gt;0,"P","B")</f>
        <v>B</v>
      </c>
      <c r="D876" s="59" t="str">
        <f>IF($C876="B",INDEX(Batters[[#All],[POS]],MATCH(Table5[[#This Row],[PID]],Batters[[#All],[PID]],0)),INDEX(Table3[[#All],[POS]],MATCH(Table5[[#This Row],[PID]],Table3[[#All],[PID]],0)))</f>
        <v>RF</v>
      </c>
      <c r="E876" s="52" t="str">
        <f>IF($C876="B",INDEX(Batters[[#All],[First]],MATCH(Table5[[#This Row],[PID]],Batters[[#All],[PID]],0)),INDEX(Table3[[#All],[First]],MATCH(Table5[[#This Row],[PID]],Table3[[#All],[PID]],0)))</f>
        <v>Ernest</v>
      </c>
      <c r="F876" s="55" t="str">
        <f>IF($C876="B",INDEX(Batters[[#All],[Last]],MATCH(A876,Batters[[#All],[PID]],0)),INDEX(Table3[[#All],[Last]],MATCH(A876,Table3[[#All],[PID]],0)))</f>
        <v>Flowers</v>
      </c>
      <c r="G876" s="56">
        <f>IF($C876="B",INDEX(Batters[[#All],[Age]],MATCH(Table5[[#This Row],[PID]],Batters[[#All],[PID]],0)),INDEX(Table3[[#All],[Age]],MATCH(Table5[[#This Row],[PID]],Table3[[#All],[PID]],0)))</f>
        <v>21</v>
      </c>
      <c r="H876" s="52" t="str">
        <f>IF($C876="B",INDEX(Batters[[#All],[B]],MATCH(Table5[[#This Row],[PID]],Batters[[#All],[PID]],0)),INDEX(Table3[[#All],[B]],MATCH(Table5[[#This Row],[PID]],Table3[[#All],[PID]],0)))</f>
        <v>L</v>
      </c>
      <c r="I876" s="52" t="str">
        <f>IF($C876="B",INDEX(Batters[[#All],[T]],MATCH(Table5[[#This Row],[PID]],Batters[[#All],[PID]],0)),INDEX(Table3[[#All],[T]],MATCH(Table5[[#This Row],[PID]],Table3[[#All],[PID]],0)))</f>
        <v>L</v>
      </c>
      <c r="J876" s="69" t="str">
        <f>IF($C876="B",INDEX(Batters[[#All],[WE]],MATCH(Table5[[#This Row],[PID]],Batters[[#All],[PID]],0)),INDEX(Table3[[#All],[WE]],MATCH(Table5[[#This Row],[PID]],Table3[[#All],[PID]],0)))</f>
        <v>Low</v>
      </c>
      <c r="K876" s="52" t="str">
        <f>IF($C876="B",INDEX(Batters[[#All],[INT]],MATCH(Table5[[#This Row],[PID]],Batters[[#All],[PID]],0)),INDEX(Table3[[#All],[INT]],MATCH(Table5[[#This Row],[PID]],Table3[[#All],[PID]],0)))</f>
        <v>Low</v>
      </c>
      <c r="L876" s="60">
        <f>IF($C876="B",INDEX(Batters[[#All],[CON P]],MATCH(Table5[[#This Row],[PID]],Batters[[#All],[PID]],0)),INDEX(Table3[[#All],[STU P]],MATCH(Table5[[#This Row],[PID]],Table3[[#All],[PID]],0)))</f>
        <v>2</v>
      </c>
      <c r="M876" s="70">
        <f>IF($C876="B",INDEX(Batters[[#All],[GAP P]],MATCH(Table5[[#This Row],[PID]],Batters[[#All],[PID]],0)),INDEX(Table3[[#All],[MOV P]],MATCH(Table5[[#This Row],[PID]],Table3[[#All],[PID]],0)))</f>
        <v>3</v>
      </c>
      <c r="N876" s="70">
        <f>IF($C876="B",INDEX(Batters[[#All],[POW P]],MATCH(Table5[[#This Row],[PID]],Batters[[#All],[PID]],0)),INDEX(Table3[[#All],[CON P]],MATCH(Table5[[#This Row],[PID]],Table3[[#All],[PID]],0)))</f>
        <v>3</v>
      </c>
      <c r="O876" s="70">
        <f>IF($C876="B",INDEX(Batters[[#All],[EYE P]],MATCH(Table5[[#This Row],[PID]],Batters[[#All],[PID]],0)),INDEX(Table3[[#All],[VELO]],MATCH(Table5[[#This Row],[PID]],Table3[[#All],[PID]],0)))</f>
        <v>5</v>
      </c>
      <c r="P876" s="56">
        <f>IF($C876="B",INDEX(Batters[[#All],[K P]],MATCH(Table5[[#This Row],[PID]],Batters[[#All],[PID]],0)),INDEX(Table3[[#All],[STM]],MATCH(Table5[[#This Row],[PID]],Table3[[#All],[PID]],0)))</f>
        <v>2</v>
      </c>
      <c r="Q876" s="61">
        <f>IF($C876="B",INDEX(Batters[[#All],[Tot]],MATCH(Table5[[#This Row],[PID]],Batters[[#All],[PID]],0)),INDEX(Table3[[#All],[Tot]],MATCH(Table5[[#This Row],[PID]],Table3[[#All],[PID]],0)))</f>
        <v>30.913589096608273</v>
      </c>
      <c r="R876" s="52">
        <f>IF($C876="B",INDEX(Batters[[#All],[zScore]],MATCH(Table5[[#This Row],[PID]],Batters[[#All],[PID]],0)),INDEX(Table3[[#All],[zScore]],MATCH(Table5[[#This Row],[PID]],Table3[[#All],[PID]],0)))</f>
        <v>-1.7961232057795125</v>
      </c>
      <c r="S876" s="75" t="str">
        <f>IF($C876="B",INDEX(Batters[[#All],[DEM]],MATCH(Table5[[#This Row],[PID]],Batters[[#All],[PID]],0)),INDEX(Table3[[#All],[DEM]],MATCH(Table5[[#This Row],[PID]],Table3[[#All],[PID]],0)))</f>
        <v>-</v>
      </c>
      <c r="T876" s="72">
        <f>IF($C876="B",INDEX(Batters[[#All],[Rnk]],MATCH(Table5[[#This Row],[PID]],Batters[[#All],[PID]],0)),INDEX(Table3[[#All],[Rnk]],MATCH(Table5[[#This Row],[PID]],Table3[[#All],[PID]],0)))</f>
        <v>950</v>
      </c>
      <c r="U876" s="67">
        <f>IF($C876="B",VLOOKUP($A876,Bat!$A$4:$BA$1314,47,FALSE),VLOOKUP($A876,Pit!$A$4:$BF$1214,56,FALSE))</f>
        <v>445</v>
      </c>
      <c r="V876" s="50">
        <f>IF($C876="B",VLOOKUP($A876,Bat!$A$4:$BA$1314,48,FALSE),VLOOKUP($A876,Pit!$A$4:$BF$1214,57,FALSE))</f>
        <v>0</v>
      </c>
      <c r="W876" s="68">
        <f>IF(Table5[[#This Row],[posRnk]]=999,9999,Table5[[#This Row],[posRnk]]+Table5[[#This Row],[zRnk]]+IF($W$3&lt;&gt;Table5[[#This Row],[Type]],50,0))</f>
        <v>1882</v>
      </c>
      <c r="X876" s="71">
        <f>RANK(Table5[[#This Row],[zScore]],Table5[[#All],[zScore]])</f>
        <v>882</v>
      </c>
      <c r="Y876" s="68" t="str">
        <f>IFERROR(INDEX(DraftResults[[#All],[OVR]],MATCH(Table5[[#This Row],[PID]],DraftResults[[#All],[Player ID]],0)),"")</f>
        <v/>
      </c>
      <c r="Z876" s="7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/>
      </c>
      <c r="AA876" s="68" t="str">
        <f>IFERROR(INDEX(DraftResults[[#All],[Pick in Round]],MATCH(Table5[[#This Row],[PID]],DraftResults[[#All],[Player ID]],0)),"")</f>
        <v/>
      </c>
      <c r="AB876" s="68" t="str">
        <f>IFERROR(INDEX(DraftResults[[#All],[Team Name]],MATCH(Table5[[#This Row],[PID]],DraftResults[[#All],[Player ID]],0)),"")</f>
        <v/>
      </c>
      <c r="AC876" s="68" t="str">
        <f>IF(Table5[[#This Row],[Ovr]]="","",IF(Table5[[#This Row],[cmbList]]="","",Table5[[#This Row],[cmbList]]-Table5[[#This Row],[Ovr]]))</f>
        <v/>
      </c>
      <c r="AD876" s="74" t="str">
        <f>IF(ISERROR(VLOOKUP($AB876&amp;"-"&amp;$E876&amp;" "&amp;F876,Bonuses!$B$1:$G$1006,4,FALSE)),"",INT(VLOOKUP($AB876&amp;"-"&amp;$E876&amp;" "&amp;$F876,Bonuses!$B$1:$G$1006,4,FALSE)))</f>
        <v/>
      </c>
      <c r="AE876" s="68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/>
      </c>
    </row>
    <row r="877" spans="1:31" s="50" customFormat="1" x14ac:dyDescent="0.3">
      <c r="A877" s="67">
        <v>14761</v>
      </c>
      <c r="B877" s="68">
        <f>COUNTIF(Table5[PID],A877)</f>
        <v>1</v>
      </c>
      <c r="C877" s="68" t="str">
        <f>IF(COUNTIF(Table3[[#All],[PID]],A877)&gt;0,"P","B")</f>
        <v>B</v>
      </c>
      <c r="D877" s="59" t="str">
        <f>IF($C877="B",INDEX(Batters[[#All],[POS]],MATCH(Table5[[#This Row],[PID]],Batters[[#All],[PID]],0)),INDEX(Table3[[#All],[POS]],MATCH(Table5[[#This Row],[PID]],Table3[[#All],[PID]],0)))</f>
        <v>1B</v>
      </c>
      <c r="E877" s="52" t="str">
        <f>IF($C877="B",INDEX(Batters[[#All],[First]],MATCH(Table5[[#This Row],[PID]],Batters[[#All],[PID]],0)),INDEX(Table3[[#All],[First]],MATCH(Table5[[#This Row],[PID]],Table3[[#All],[PID]],0)))</f>
        <v>Doug</v>
      </c>
      <c r="F877" s="55" t="str">
        <f>IF($C877="B",INDEX(Batters[[#All],[Last]],MATCH(A877,Batters[[#All],[PID]],0)),INDEX(Table3[[#All],[Last]],MATCH(A877,Table3[[#All],[PID]],0)))</f>
        <v>Smith</v>
      </c>
      <c r="G877" s="56">
        <f>IF($C877="B",INDEX(Batters[[#All],[Age]],MATCH(Table5[[#This Row],[PID]],Batters[[#All],[PID]],0)),INDEX(Table3[[#All],[Age]],MATCH(Table5[[#This Row],[PID]],Table3[[#All],[PID]],0)))</f>
        <v>21</v>
      </c>
      <c r="H877" s="52" t="str">
        <f>IF($C877="B",INDEX(Batters[[#All],[B]],MATCH(Table5[[#This Row],[PID]],Batters[[#All],[PID]],0)),INDEX(Table3[[#All],[B]],MATCH(Table5[[#This Row],[PID]],Table3[[#All],[PID]],0)))</f>
        <v>R</v>
      </c>
      <c r="I877" s="52" t="str">
        <f>IF($C877="B",INDEX(Batters[[#All],[T]],MATCH(Table5[[#This Row],[PID]],Batters[[#All],[PID]],0)),INDEX(Table3[[#All],[T]],MATCH(Table5[[#This Row],[PID]],Table3[[#All],[PID]],0)))</f>
        <v>R</v>
      </c>
      <c r="J877" s="69" t="str">
        <f>IF($C877="B",INDEX(Batters[[#All],[WE]],MATCH(Table5[[#This Row],[PID]],Batters[[#All],[PID]],0)),INDEX(Table3[[#All],[WE]],MATCH(Table5[[#This Row],[PID]],Table3[[#All],[PID]],0)))</f>
        <v>Low</v>
      </c>
      <c r="K877" s="52" t="str">
        <f>IF($C877="B",INDEX(Batters[[#All],[INT]],MATCH(Table5[[#This Row],[PID]],Batters[[#All],[PID]],0)),INDEX(Table3[[#All],[INT]],MATCH(Table5[[#This Row],[PID]],Table3[[#All],[PID]],0)))</f>
        <v>Low</v>
      </c>
      <c r="L877" s="60">
        <f>IF($C877="B",INDEX(Batters[[#All],[CON P]],MATCH(Table5[[#This Row],[PID]],Batters[[#All],[PID]],0)),INDEX(Table3[[#All],[STU P]],MATCH(Table5[[#This Row],[PID]],Table3[[#All],[PID]],0)))</f>
        <v>3</v>
      </c>
      <c r="M877" s="70">
        <f>IF($C877="B",INDEX(Batters[[#All],[GAP P]],MATCH(Table5[[#This Row],[PID]],Batters[[#All],[PID]],0)),INDEX(Table3[[#All],[MOV P]],MATCH(Table5[[#This Row],[PID]],Table3[[#All],[PID]],0)))</f>
        <v>3</v>
      </c>
      <c r="N877" s="70">
        <f>IF($C877="B",INDEX(Batters[[#All],[POW P]],MATCH(Table5[[#This Row],[PID]],Batters[[#All],[PID]],0)),INDEX(Table3[[#All],[CON P]],MATCH(Table5[[#This Row],[PID]],Table3[[#All],[PID]],0)))</f>
        <v>2</v>
      </c>
      <c r="O877" s="70">
        <f>IF($C877="B",INDEX(Batters[[#All],[EYE P]],MATCH(Table5[[#This Row],[PID]],Batters[[#All],[PID]],0)),INDEX(Table3[[#All],[VELO]],MATCH(Table5[[#This Row],[PID]],Table3[[#All],[PID]],0)))</f>
        <v>1</v>
      </c>
      <c r="P877" s="56">
        <f>IF($C877="B",INDEX(Batters[[#All],[K P]],MATCH(Table5[[#This Row],[PID]],Batters[[#All],[PID]],0)),INDEX(Table3[[#All],[STM]],MATCH(Table5[[#This Row],[PID]],Table3[[#All],[PID]],0)))</f>
        <v>4</v>
      </c>
      <c r="Q877" s="61">
        <f>IF($C877="B",INDEX(Batters[[#All],[Tot]],MATCH(Table5[[#This Row],[PID]],Batters[[#All],[PID]],0)),INDEX(Table3[[#All],[Tot]],MATCH(Table5[[#This Row],[PID]],Table3[[#All],[PID]],0)))</f>
        <v>30.446960945865538</v>
      </c>
      <c r="R877" s="52">
        <f>IF($C877="B",INDEX(Batters[[#All],[zScore]],MATCH(Table5[[#This Row],[PID]],Batters[[#All],[PID]],0)),INDEX(Table3[[#All],[zScore]],MATCH(Table5[[#This Row],[PID]],Table3[[#All],[PID]],0)))</f>
        <v>-1.8642360348515759</v>
      </c>
      <c r="S877" s="75" t="str">
        <f>IF($C877="B",INDEX(Batters[[#All],[DEM]],MATCH(Table5[[#This Row],[PID]],Batters[[#All],[PID]],0)),INDEX(Table3[[#All],[DEM]],MATCH(Table5[[#This Row],[PID]],Table3[[#All],[PID]],0)))</f>
        <v>-</v>
      </c>
      <c r="T877" s="72">
        <f>IF($C877="B",INDEX(Batters[[#All],[Rnk]],MATCH(Table5[[#This Row],[PID]],Batters[[#All],[PID]],0)),INDEX(Table3[[#All],[Rnk]],MATCH(Table5[[#This Row],[PID]],Table3[[#All],[PID]],0)))</f>
        <v>950</v>
      </c>
      <c r="U877" s="67">
        <f>IF($C877="B",VLOOKUP($A877,Bat!$A$4:$BA$1314,47,FALSE),VLOOKUP($A877,Pit!$A$4:$BF$1214,56,FALSE))</f>
        <v>446</v>
      </c>
      <c r="V877" s="50">
        <f>IF($C877="B",VLOOKUP($A877,Bat!$A$4:$BA$1314,48,FALSE),VLOOKUP($A877,Pit!$A$4:$BF$1214,57,FALSE))</f>
        <v>0</v>
      </c>
      <c r="W877" s="68">
        <f>IF(Table5[[#This Row],[posRnk]]=999,9999,Table5[[#This Row],[posRnk]]+Table5[[#This Row],[zRnk]]+IF($W$3&lt;&gt;Table5[[#This Row],[Type]],50,0))</f>
        <v>1884</v>
      </c>
      <c r="X877" s="71">
        <f>RANK(Table5[[#This Row],[zScore]],Table5[[#All],[zScore]])</f>
        <v>884</v>
      </c>
      <c r="Y877" s="68">
        <f>IFERROR(INDEX(DraftResults[[#All],[OVR]],MATCH(Table5[[#This Row],[PID]],DraftResults[[#All],[Player ID]],0)),"")</f>
        <v>481</v>
      </c>
      <c r="Z877" s="7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15</v>
      </c>
      <c r="AA877" s="68">
        <f>IFERROR(INDEX(DraftResults[[#All],[Pick in Round]],MATCH(Table5[[#This Row],[PID]],DraftResults[[#All],[Player ID]],0)),"")</f>
        <v>14</v>
      </c>
      <c r="AB877" s="68" t="str">
        <f>IFERROR(INDEX(DraftResults[[#All],[Team Name]],MATCH(Table5[[#This Row],[PID]],DraftResults[[#All],[Player ID]],0)),"")</f>
        <v>San Antonio Calzones of Laredo</v>
      </c>
      <c r="AC877" s="68">
        <f>IF(Table5[[#This Row],[Ovr]]="","",IF(Table5[[#This Row],[cmbList]]="","",Table5[[#This Row],[cmbList]]-Table5[[#This Row],[Ovr]]))</f>
        <v>1403</v>
      </c>
      <c r="AD877" s="74" t="str">
        <f>IF(ISERROR(VLOOKUP($AB877&amp;"-"&amp;$E877&amp;" "&amp;F877,Bonuses!$B$1:$G$1006,4,FALSE)),"",INT(VLOOKUP($AB877&amp;"-"&amp;$E877&amp;" "&amp;$F877,Bonuses!$B$1:$G$1006,4,FALSE)))</f>
        <v/>
      </c>
      <c r="AE877" s="68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15.14 (481) - 1B Doug Smith</v>
      </c>
    </row>
    <row r="878" spans="1:31" s="50" customFormat="1" x14ac:dyDescent="0.3">
      <c r="A878" s="50">
        <v>11454</v>
      </c>
      <c r="B878" s="55">
        <f>COUNTIF(Table5[PID],A878)</f>
        <v>1</v>
      </c>
      <c r="C878" s="55" t="str">
        <f>IF(COUNTIF(Table3[[#All],[PID]],A878)&gt;0,"P","B")</f>
        <v>P</v>
      </c>
      <c r="D878" s="59" t="str">
        <f>IF($C878="B",INDEX(Batters[[#All],[POS]],MATCH(Table5[[#This Row],[PID]],Batters[[#All],[PID]],0)),INDEX(Table3[[#All],[POS]],MATCH(Table5[[#This Row],[PID]],Table3[[#All],[PID]],0)))</f>
        <v>SP</v>
      </c>
      <c r="E878" s="52" t="str">
        <f>IF($C878="B",INDEX(Batters[[#All],[First]],MATCH(Table5[[#This Row],[PID]],Batters[[#All],[PID]],0)),INDEX(Table3[[#All],[First]],MATCH(Table5[[#This Row],[PID]],Table3[[#All],[PID]],0)))</f>
        <v>Jorge</v>
      </c>
      <c r="F878" s="50" t="str">
        <f>IF($C878="B",INDEX(Batters[[#All],[Last]],MATCH(A878,Batters[[#All],[PID]],0)),INDEX(Table3[[#All],[Last]],MATCH(A878,Table3[[#All],[PID]],0)))</f>
        <v>De Los Santos</v>
      </c>
      <c r="G878" s="56">
        <f>IF($C878="B",INDEX(Batters[[#All],[Age]],MATCH(Table5[[#This Row],[PID]],Batters[[#All],[PID]],0)),INDEX(Table3[[#All],[Age]],MATCH(Table5[[#This Row],[PID]],Table3[[#All],[PID]],0)))</f>
        <v>17</v>
      </c>
      <c r="H878" s="52" t="str">
        <f>IF($C878="B",INDEX(Batters[[#All],[B]],MATCH(Table5[[#This Row],[PID]],Batters[[#All],[PID]],0)),INDEX(Table3[[#All],[B]],MATCH(Table5[[#This Row],[PID]],Table3[[#All],[PID]],0)))</f>
        <v>S</v>
      </c>
      <c r="I878" s="52" t="str">
        <f>IF($C878="B",INDEX(Batters[[#All],[T]],MATCH(Table5[[#This Row],[PID]],Batters[[#All],[PID]],0)),INDEX(Table3[[#All],[T]],MATCH(Table5[[#This Row],[PID]],Table3[[#All],[PID]],0)))</f>
        <v>R</v>
      </c>
      <c r="J878" s="52" t="str">
        <f>IF($C878="B",INDEX(Batters[[#All],[WE]],MATCH(Table5[[#This Row],[PID]],Batters[[#All],[PID]],0)),INDEX(Table3[[#All],[WE]],MATCH(Table5[[#This Row],[PID]],Table3[[#All],[PID]],0)))</f>
        <v>Normal</v>
      </c>
      <c r="K878" s="52" t="str">
        <f>IF($C878="B",INDEX(Batters[[#All],[INT]],MATCH(Table5[[#This Row],[PID]],Batters[[#All],[PID]],0)),INDEX(Table3[[#All],[INT]],MATCH(Table5[[#This Row],[PID]],Table3[[#All],[PID]],0)))</f>
        <v>Normal</v>
      </c>
      <c r="L878" s="60">
        <f>IF($C878="B",INDEX(Batters[[#All],[CON P]],MATCH(Table5[[#This Row],[PID]],Batters[[#All],[PID]],0)),INDEX(Table3[[#All],[STU P]],MATCH(Table5[[#This Row],[PID]],Table3[[#All],[PID]],0)))</f>
        <v>5</v>
      </c>
      <c r="M878" s="56">
        <f>IF($C878="B",INDEX(Batters[[#All],[GAP P]],MATCH(Table5[[#This Row],[PID]],Batters[[#All],[PID]],0)),INDEX(Table3[[#All],[MOV P]],MATCH(Table5[[#This Row],[PID]],Table3[[#All],[PID]],0)))</f>
        <v>6</v>
      </c>
      <c r="N878" s="56">
        <f>IF($C878="B",INDEX(Batters[[#All],[POW P]],MATCH(Table5[[#This Row],[PID]],Batters[[#All],[PID]],0)),INDEX(Table3[[#All],[CON P]],MATCH(Table5[[#This Row],[PID]],Table3[[#All],[PID]],0)))</f>
        <v>5</v>
      </c>
      <c r="O878" s="56" t="str">
        <f>IF($C878="B",INDEX(Batters[[#All],[EYE P]],MATCH(Table5[[#This Row],[PID]],Batters[[#All],[PID]],0)),INDEX(Table3[[#All],[VELO]],MATCH(Table5[[#This Row],[PID]],Table3[[#All],[PID]],0)))</f>
        <v>89-91 Mph</v>
      </c>
      <c r="P878" s="56">
        <f>IF($C878="B",INDEX(Batters[[#All],[K P]],MATCH(Table5[[#This Row],[PID]],Batters[[#All],[PID]],0)),INDEX(Table3[[#All],[STM]],MATCH(Table5[[#This Row],[PID]],Table3[[#All],[PID]],0)))</f>
        <v>6</v>
      </c>
      <c r="Q878" s="61">
        <f>IF($C878="B",INDEX(Batters[[#All],[Tot]],MATCH(Table5[[#This Row],[PID]],Batters[[#All],[PID]],0)),INDEX(Table3[[#All],[Tot]],MATCH(Table5[[#This Row],[PID]],Table3[[#All],[PID]],0)))</f>
        <v>65.124618566154609</v>
      </c>
      <c r="R878" s="52">
        <f>IF($C878="B",INDEX(Batters[[#All],[zScore]],MATCH(Table5[[#This Row],[PID]],Batters[[#All],[PID]],0)),INDEX(Table3[[#All],[zScore]],MATCH(Table5[[#This Row],[PID]],Table3[[#All],[PID]],0)))</f>
        <v>1.9455211138904951</v>
      </c>
      <c r="S878" s="58" t="str">
        <f>IF($C878="B",INDEX(Batters[[#All],[DEM]],MATCH(Table5[[#This Row],[PID]],Batters[[#All],[PID]],0)),INDEX(Table3[[#All],[DEM]],MATCH(Table5[[#This Row],[PID]],Table3[[#All],[PID]],0)))</f>
        <v>$2.4m</v>
      </c>
      <c r="T878" s="62">
        <f>IF($C878="B",INDEX(Batters[[#All],[Rnk]],MATCH(Table5[[#This Row],[PID]],Batters[[#All],[PID]],0)),INDEX(Table3[[#All],[Rnk]],MATCH(Table5[[#This Row],[PID]],Table3[[#All],[PID]],0)))</f>
        <v>999</v>
      </c>
      <c r="U878" s="67">
        <f>IF($C878="B",VLOOKUP($A878,Bat!$A$4:$BA$1314,47,FALSE),VLOOKUP($A878,Pit!$A$4:$BF$1214,56,FALSE))</f>
        <v>428</v>
      </c>
      <c r="V878" s="50">
        <f>IF($C878="B",VLOOKUP($A878,Bat!$A$4:$BA$1314,48,FALSE),VLOOKUP($A878,Pit!$A$4:$BF$1214,57,FALSE))</f>
        <v>0</v>
      </c>
      <c r="W878" s="68">
        <f>IF(Table5[[#This Row],[posRnk]]=999,9999,Table5[[#This Row],[posRnk]]+Table5[[#This Row],[zRnk]]+IF($W$3&lt;&gt;Table5[[#This Row],[Type]],50,0))</f>
        <v>9999</v>
      </c>
      <c r="X878" s="51">
        <f>RANK(Table5[[#This Row],[zScore]],Table5[[#All],[zScore]])</f>
        <v>43</v>
      </c>
      <c r="Y878" s="50">
        <f>IFERROR(INDEX(DraftResults[[#All],[OVR]],MATCH(Table5[[#This Row],[PID]],DraftResults[[#All],[Player ID]],0)),"")</f>
        <v>105</v>
      </c>
      <c r="Z878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3</v>
      </c>
      <c r="AA878" s="50">
        <f>IFERROR(INDEX(DraftResults[[#All],[Pick in Round]],MATCH(Table5[[#This Row],[PID]],DraftResults[[#All],[Player ID]],0)),"")</f>
        <v>33</v>
      </c>
      <c r="AB878" s="50" t="str">
        <f>IFERROR(INDEX(DraftResults[[#All],[Team Name]],MATCH(Table5[[#This Row],[PID]],DraftResults[[#All],[Player ID]],0)),"")</f>
        <v>Charleston Statesmen</v>
      </c>
      <c r="AC878" s="50">
        <f>IF(Table5[[#This Row],[Ovr]]="","",IF(Table5[[#This Row],[cmbList]]="","",Table5[[#This Row],[cmbList]]-Table5[[#This Row],[Ovr]]))</f>
        <v>9894</v>
      </c>
      <c r="AD878" s="54" t="str">
        <f>IF(ISERROR(VLOOKUP($AB878&amp;"-"&amp;$E878&amp;" "&amp;F878,Bonuses!$B$1:$G$1006,4,FALSE)),"",INT(VLOOKUP($AB878&amp;"-"&amp;$E878&amp;" "&amp;$F878,Bonuses!$B$1:$G$1006,4,FALSE)))</f>
        <v/>
      </c>
      <c r="AE878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3.33 (105) - SP Jorge De Los Santos</v>
      </c>
    </row>
    <row r="879" spans="1:31" s="50" customFormat="1" x14ac:dyDescent="0.3">
      <c r="A879" s="67">
        <v>12097</v>
      </c>
      <c r="B879" s="68">
        <f>COUNTIF(Table5[PID],A879)</f>
        <v>1</v>
      </c>
      <c r="C879" s="68" t="str">
        <f>IF(COUNTIF(Table3[[#All],[PID]],A879)&gt;0,"P","B")</f>
        <v>P</v>
      </c>
      <c r="D879" s="59" t="str">
        <f>IF($C879="B",INDEX(Batters[[#All],[POS]],MATCH(Table5[[#This Row],[PID]],Batters[[#All],[PID]],0)),INDEX(Table3[[#All],[POS]],MATCH(Table5[[#This Row],[PID]],Table3[[#All],[PID]],0)))</f>
        <v>SP</v>
      </c>
      <c r="E879" s="52" t="str">
        <f>IF($C879="B",INDEX(Batters[[#All],[First]],MATCH(Table5[[#This Row],[PID]],Batters[[#All],[PID]],0)),INDEX(Table3[[#All],[First]],MATCH(Table5[[#This Row],[PID]],Table3[[#All],[PID]],0)))</f>
        <v>Julien</v>
      </c>
      <c r="F879" s="55" t="str">
        <f>IF($C879="B",INDEX(Batters[[#All],[Last]],MATCH(A879,Batters[[#All],[PID]],0)),INDEX(Table3[[#All],[Last]],MATCH(A879,Table3[[#All],[PID]],0)))</f>
        <v>Georges</v>
      </c>
      <c r="G879" s="56">
        <f>IF($C879="B",INDEX(Batters[[#All],[Age]],MATCH(Table5[[#This Row],[PID]],Batters[[#All],[PID]],0)),INDEX(Table3[[#All],[Age]],MATCH(Table5[[#This Row],[PID]],Table3[[#All],[PID]],0)))</f>
        <v>17</v>
      </c>
      <c r="H879" s="52" t="str">
        <f>IF($C879="B",INDEX(Batters[[#All],[B]],MATCH(Table5[[#This Row],[PID]],Batters[[#All],[PID]],0)),INDEX(Table3[[#All],[B]],MATCH(Table5[[#This Row],[PID]],Table3[[#All],[PID]],0)))</f>
        <v>R</v>
      </c>
      <c r="I879" s="52" t="str">
        <f>IF($C879="B",INDEX(Batters[[#All],[T]],MATCH(Table5[[#This Row],[PID]],Batters[[#All],[PID]],0)),INDEX(Table3[[#All],[T]],MATCH(Table5[[#This Row],[PID]],Table3[[#All],[PID]],0)))</f>
        <v>R</v>
      </c>
      <c r="J879" s="69" t="str">
        <f>IF($C879="B",INDEX(Batters[[#All],[WE]],MATCH(Table5[[#This Row],[PID]],Batters[[#All],[PID]],0)),INDEX(Table3[[#All],[WE]],MATCH(Table5[[#This Row],[PID]],Table3[[#All],[PID]],0)))</f>
        <v>Normal</v>
      </c>
      <c r="K879" s="52" t="str">
        <f>IF($C879="B",INDEX(Batters[[#All],[INT]],MATCH(Table5[[#This Row],[PID]],Batters[[#All],[PID]],0)),INDEX(Table3[[#All],[INT]],MATCH(Table5[[#This Row],[PID]],Table3[[#All],[PID]],0)))</f>
        <v>Normal</v>
      </c>
      <c r="L879" s="60">
        <f>IF($C879="B",INDEX(Batters[[#All],[CON P]],MATCH(Table5[[#This Row],[PID]],Batters[[#All],[PID]],0)),INDEX(Table3[[#All],[STU P]],MATCH(Table5[[#This Row],[PID]],Table3[[#All],[PID]],0)))</f>
        <v>5</v>
      </c>
      <c r="M879" s="70">
        <f>IF($C879="B",INDEX(Batters[[#All],[GAP P]],MATCH(Table5[[#This Row],[PID]],Batters[[#All],[PID]],0)),INDEX(Table3[[#All],[MOV P]],MATCH(Table5[[#This Row],[PID]],Table3[[#All],[PID]],0)))</f>
        <v>2</v>
      </c>
      <c r="N879" s="70">
        <f>IF($C879="B",INDEX(Batters[[#All],[POW P]],MATCH(Table5[[#This Row],[PID]],Batters[[#All],[PID]],0)),INDEX(Table3[[#All],[CON P]],MATCH(Table5[[#This Row],[PID]],Table3[[#All],[PID]],0)))</f>
        <v>6</v>
      </c>
      <c r="O879" s="70" t="str">
        <f>IF($C879="B",INDEX(Batters[[#All],[EYE P]],MATCH(Table5[[#This Row],[PID]],Batters[[#All],[PID]],0)),INDEX(Table3[[#All],[VELO]],MATCH(Table5[[#This Row],[PID]],Table3[[#All],[PID]],0)))</f>
        <v>93-95 Mph</v>
      </c>
      <c r="P879" s="56">
        <f>IF($C879="B",INDEX(Batters[[#All],[K P]],MATCH(Table5[[#This Row],[PID]],Batters[[#All],[PID]],0)),INDEX(Table3[[#All],[STM]],MATCH(Table5[[#This Row],[PID]],Table3[[#All],[PID]],0)))</f>
        <v>5</v>
      </c>
      <c r="Q879" s="61">
        <f>IF($C879="B",INDEX(Batters[[#All],[Tot]],MATCH(Table5[[#This Row],[PID]],Batters[[#All],[PID]],0)),INDEX(Table3[[#All],[Tot]],MATCH(Table5[[#This Row],[PID]],Table3[[#All],[PID]],0)))</f>
        <v>54.26838277617702</v>
      </c>
      <c r="R879" s="52">
        <f>IF($C879="B",INDEX(Batters[[#All],[zScore]],MATCH(Table5[[#This Row],[PID]],Batters[[#All],[PID]],0)),INDEX(Table3[[#All],[zScore]],MATCH(Table5[[#This Row],[PID]],Table3[[#All],[PID]],0)))</f>
        <v>1.1724807751167876</v>
      </c>
      <c r="S879" s="75" t="str">
        <f>IF($C879="B",INDEX(Batters[[#All],[DEM]],MATCH(Table5[[#This Row],[PID]],Batters[[#All],[PID]],0)),INDEX(Table3[[#All],[DEM]],MATCH(Table5[[#This Row],[PID]],Table3[[#All],[PID]],0)))</f>
        <v>$2.2m</v>
      </c>
      <c r="T879" s="72">
        <f>IF($C879="B",INDEX(Batters[[#All],[Rnk]],MATCH(Table5[[#This Row],[PID]],Batters[[#All],[PID]],0)),INDEX(Table3[[#All],[Rnk]],MATCH(Table5[[#This Row],[PID]],Table3[[#All],[PID]],0)))</f>
        <v>999</v>
      </c>
      <c r="U879" s="67">
        <f>IF($C879="B",VLOOKUP($A879,Bat!$A$4:$BA$1314,47,FALSE),VLOOKUP($A879,Pit!$A$4:$BF$1214,56,FALSE))</f>
        <v>429</v>
      </c>
      <c r="V879" s="50">
        <f>IF($C879="B",VLOOKUP($A879,Bat!$A$4:$BA$1314,48,FALSE),VLOOKUP($A879,Pit!$A$4:$BF$1214,57,FALSE))</f>
        <v>0</v>
      </c>
      <c r="W879" s="68">
        <f>IF(Table5[[#This Row],[posRnk]]=999,9999,Table5[[#This Row],[posRnk]]+Table5[[#This Row],[zRnk]]+IF($W$3&lt;&gt;Table5[[#This Row],[Type]],50,0))</f>
        <v>9999</v>
      </c>
      <c r="X879" s="71">
        <f>RANK(Table5[[#This Row],[zScore]],Table5[[#All],[zScore]])</f>
        <v>122</v>
      </c>
      <c r="Y879" s="68">
        <f>IFERROR(INDEX(DraftResults[[#All],[OVR]],MATCH(Table5[[#This Row],[PID]],DraftResults[[#All],[Player ID]],0)),"")</f>
        <v>227</v>
      </c>
      <c r="Z879" s="7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7</v>
      </c>
      <c r="AA879" s="68">
        <f>IFERROR(INDEX(DraftResults[[#All],[Pick in Round]],MATCH(Table5[[#This Row],[PID]],DraftResults[[#All],[Player ID]],0)),"")</f>
        <v>26</v>
      </c>
      <c r="AB879" s="68" t="str">
        <f>IFERROR(INDEX(DraftResults[[#All],[Team Name]],MATCH(Table5[[#This Row],[PID]],DraftResults[[#All],[Player ID]],0)),"")</f>
        <v>Aurora Borealis</v>
      </c>
      <c r="AC879" s="68">
        <f>IF(Table5[[#This Row],[Ovr]]="","",IF(Table5[[#This Row],[cmbList]]="","",Table5[[#This Row],[cmbList]]-Table5[[#This Row],[Ovr]]))</f>
        <v>9772</v>
      </c>
      <c r="AD879" s="74" t="str">
        <f>IF(ISERROR(VLOOKUP($AB879&amp;"-"&amp;$E879&amp;" "&amp;F879,Bonuses!$B$1:$G$1006,4,FALSE)),"",INT(VLOOKUP($AB879&amp;"-"&amp;$E879&amp;" "&amp;$F879,Bonuses!$B$1:$G$1006,4,FALSE)))</f>
        <v/>
      </c>
      <c r="AE879" s="68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7.26 (227) - SP Julien Georges</v>
      </c>
    </row>
    <row r="880" spans="1:31" s="50" customFormat="1" x14ac:dyDescent="0.3">
      <c r="A880" s="67">
        <v>12685</v>
      </c>
      <c r="B880" s="68">
        <f>COUNTIF(Table5[PID],A880)</f>
        <v>1</v>
      </c>
      <c r="C880" s="68" t="str">
        <f>IF(COUNTIF(Table3[[#All],[PID]],A880)&gt;0,"P","B")</f>
        <v>P</v>
      </c>
      <c r="D880" s="59" t="str">
        <f>IF($C880="B",INDEX(Batters[[#All],[POS]],MATCH(Table5[[#This Row],[PID]],Batters[[#All],[PID]],0)),INDEX(Table3[[#All],[POS]],MATCH(Table5[[#This Row],[PID]],Table3[[#All],[PID]],0)))</f>
        <v>SP</v>
      </c>
      <c r="E880" s="52" t="str">
        <f>IF($C880="B",INDEX(Batters[[#All],[First]],MATCH(Table5[[#This Row],[PID]],Batters[[#All],[PID]],0)),INDEX(Table3[[#All],[First]],MATCH(Table5[[#This Row],[PID]],Table3[[#All],[PID]],0)))</f>
        <v>Dennis</v>
      </c>
      <c r="F880" s="55" t="str">
        <f>IF($C880="B",INDEX(Batters[[#All],[Last]],MATCH(A880,Batters[[#All],[PID]],0)),INDEX(Table3[[#All],[Last]],MATCH(A880,Table3[[#All],[PID]],0)))</f>
        <v>Jackson</v>
      </c>
      <c r="G880" s="56">
        <f>IF($C880="B",INDEX(Batters[[#All],[Age]],MATCH(Table5[[#This Row],[PID]],Batters[[#All],[PID]],0)),INDEX(Table3[[#All],[Age]],MATCH(Table5[[#This Row],[PID]],Table3[[#All],[PID]],0)))</f>
        <v>18</v>
      </c>
      <c r="H880" s="52" t="str">
        <f>IF($C880="B",INDEX(Batters[[#All],[B]],MATCH(Table5[[#This Row],[PID]],Batters[[#All],[PID]],0)),INDEX(Table3[[#All],[B]],MATCH(Table5[[#This Row],[PID]],Table3[[#All],[PID]],0)))</f>
        <v>S</v>
      </c>
      <c r="I880" s="52" t="str">
        <f>IF($C880="B",INDEX(Batters[[#All],[T]],MATCH(Table5[[#This Row],[PID]],Batters[[#All],[PID]],0)),INDEX(Table3[[#All],[T]],MATCH(Table5[[#This Row],[PID]],Table3[[#All],[PID]],0)))</f>
        <v>L</v>
      </c>
      <c r="J880" s="69" t="str">
        <f>IF($C880="B",INDEX(Batters[[#All],[WE]],MATCH(Table5[[#This Row],[PID]],Batters[[#All],[PID]],0)),INDEX(Table3[[#All],[WE]],MATCH(Table5[[#This Row],[PID]],Table3[[#All],[PID]],0)))</f>
        <v>Low</v>
      </c>
      <c r="K880" s="52" t="str">
        <f>IF($C880="B",INDEX(Batters[[#All],[INT]],MATCH(Table5[[#This Row],[PID]],Batters[[#All],[PID]],0)),INDEX(Table3[[#All],[INT]],MATCH(Table5[[#This Row],[PID]],Table3[[#All],[PID]],0)))</f>
        <v>Normal</v>
      </c>
      <c r="L880" s="60">
        <f>IF($C880="B",INDEX(Batters[[#All],[CON P]],MATCH(Table5[[#This Row],[PID]],Batters[[#All],[PID]],0)),INDEX(Table3[[#All],[STU P]],MATCH(Table5[[#This Row],[PID]],Table3[[#All],[PID]],0)))</f>
        <v>5</v>
      </c>
      <c r="M880" s="70">
        <f>IF($C880="B",INDEX(Batters[[#All],[GAP P]],MATCH(Table5[[#This Row],[PID]],Batters[[#All],[PID]],0)),INDEX(Table3[[#All],[MOV P]],MATCH(Table5[[#This Row],[PID]],Table3[[#All],[PID]],0)))</f>
        <v>2</v>
      </c>
      <c r="N880" s="70">
        <f>IF($C880="B",INDEX(Batters[[#All],[POW P]],MATCH(Table5[[#This Row],[PID]],Batters[[#All],[PID]],0)),INDEX(Table3[[#All],[CON P]],MATCH(Table5[[#This Row],[PID]],Table3[[#All],[PID]],0)))</f>
        <v>3</v>
      </c>
      <c r="O880" s="70" t="str">
        <f>IF($C880="B",INDEX(Batters[[#All],[EYE P]],MATCH(Table5[[#This Row],[PID]],Batters[[#All],[PID]],0)),INDEX(Table3[[#All],[VELO]],MATCH(Table5[[#This Row],[PID]],Table3[[#All],[PID]],0)))</f>
        <v>89-91 Mph</v>
      </c>
      <c r="P880" s="56">
        <f>IF($C880="B",INDEX(Batters[[#All],[K P]],MATCH(Table5[[#This Row],[PID]],Batters[[#All],[PID]],0)),INDEX(Table3[[#All],[STM]],MATCH(Table5[[#This Row],[PID]],Table3[[#All],[PID]],0)))</f>
        <v>6</v>
      </c>
      <c r="Q880" s="61">
        <f>IF($C880="B",INDEX(Batters[[#All],[Tot]],MATCH(Table5[[#This Row],[PID]],Batters[[#All],[PID]],0)),INDEX(Table3[[#All],[Tot]],MATCH(Table5[[#This Row],[PID]],Table3[[#All],[PID]],0)))</f>
        <v>38.236083423796124</v>
      </c>
      <c r="R880" s="52">
        <f>IF($C880="B",INDEX(Batters[[#All],[zScore]],MATCH(Table5[[#This Row],[PID]],Batters[[#All],[PID]],0)),INDEX(Table3[[#All],[zScore]],MATCH(Table5[[#This Row],[PID]],Table3[[#All],[PID]],0)))</f>
        <v>3.0868308102417006E-2</v>
      </c>
      <c r="S880" s="75" t="str">
        <f>IF($C880="B",INDEX(Batters[[#All],[DEM]],MATCH(Table5[[#This Row],[PID]],Batters[[#All],[PID]],0)),INDEX(Table3[[#All],[DEM]],MATCH(Table5[[#This Row],[PID]],Table3[[#All],[PID]],0)))</f>
        <v>$2.4m</v>
      </c>
      <c r="T880" s="72">
        <f>IF($C880="B",INDEX(Batters[[#All],[Rnk]],MATCH(Table5[[#This Row],[PID]],Batters[[#All],[PID]],0)),INDEX(Table3[[#All],[Rnk]],MATCH(Table5[[#This Row],[PID]],Table3[[#All],[PID]],0)))</f>
        <v>999</v>
      </c>
      <c r="U880" s="67">
        <f>IF($C880="B",VLOOKUP($A880,Bat!$A$4:$BA$1314,47,FALSE),VLOOKUP($A880,Pit!$A$4:$BF$1214,56,FALSE))</f>
        <v>430</v>
      </c>
      <c r="V880" s="50">
        <f>IF($C880="B",VLOOKUP($A880,Bat!$A$4:$BA$1314,48,FALSE),VLOOKUP($A880,Pit!$A$4:$BF$1214,57,FALSE))</f>
        <v>0</v>
      </c>
      <c r="W880" s="68">
        <f>IF(Table5[[#This Row],[posRnk]]=999,9999,Table5[[#This Row],[posRnk]]+Table5[[#This Row],[zRnk]]+IF($W$3&lt;&gt;Table5[[#This Row],[Type]],50,0))</f>
        <v>9999</v>
      </c>
      <c r="X880" s="71">
        <f>RANK(Table5[[#This Row],[zScore]],Table5[[#All],[zScore]])</f>
        <v>375</v>
      </c>
      <c r="Y880" s="68">
        <f>IFERROR(INDEX(DraftResults[[#All],[OVR]],MATCH(Table5[[#This Row],[PID]],DraftResults[[#All],[Player ID]],0)),"")</f>
        <v>437</v>
      </c>
      <c r="Z880" s="7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14</v>
      </c>
      <c r="AA880" s="68">
        <f>IFERROR(INDEX(DraftResults[[#All],[Pick in Round]],MATCH(Table5[[#This Row],[PID]],DraftResults[[#All],[Player ID]],0)),"")</f>
        <v>4</v>
      </c>
      <c r="AB880" s="68" t="str">
        <f>IFERROR(INDEX(DraftResults[[#All],[Team Name]],MATCH(Table5[[#This Row],[PID]],DraftResults[[#All],[Player ID]],0)),"")</f>
        <v>Palm Springs Codgers</v>
      </c>
      <c r="AC880" s="68">
        <f>IF(Table5[[#This Row],[Ovr]]="","",IF(Table5[[#This Row],[cmbList]]="","",Table5[[#This Row],[cmbList]]-Table5[[#This Row],[Ovr]]))</f>
        <v>9562</v>
      </c>
      <c r="AD880" s="74" t="str">
        <f>IF(ISERROR(VLOOKUP($AB880&amp;"-"&amp;$E880&amp;" "&amp;F880,Bonuses!$B$1:$G$1006,4,FALSE)),"",INT(VLOOKUP($AB880&amp;"-"&amp;$E880&amp;" "&amp;$F880,Bonuses!$B$1:$G$1006,4,FALSE)))</f>
        <v/>
      </c>
      <c r="AE880" s="68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14.4 (437) - SP Dennis Jackson</v>
      </c>
    </row>
    <row r="881" spans="1:31" s="50" customFormat="1" x14ac:dyDescent="0.3">
      <c r="A881" s="50">
        <v>12307</v>
      </c>
      <c r="B881" s="50">
        <f>COUNTIF(Table5[PID],A881)</f>
        <v>1</v>
      </c>
      <c r="C881" s="50" t="str">
        <f>IF(COUNTIF(Table3[[#All],[PID]],A881)&gt;0,"P","B")</f>
        <v>P</v>
      </c>
      <c r="D881" s="59" t="str">
        <f>IF($C881="B",INDEX(Batters[[#All],[POS]],MATCH(Table5[[#This Row],[PID]],Batters[[#All],[PID]],0)),INDEX(Table3[[#All],[POS]],MATCH(Table5[[#This Row],[PID]],Table3[[#All],[PID]],0)))</f>
        <v>SP</v>
      </c>
      <c r="E881" s="52" t="str">
        <f>IF($C881="B",INDEX(Batters[[#All],[First]],MATCH(Table5[[#This Row],[PID]],Batters[[#All],[PID]],0)),INDEX(Table3[[#All],[First]],MATCH(Table5[[#This Row],[PID]],Table3[[#All],[PID]],0)))</f>
        <v>Toby</v>
      </c>
      <c r="F881" s="50" t="str">
        <f>IF($C881="B",INDEX(Batters[[#All],[Last]],MATCH(A881,Batters[[#All],[PID]],0)),INDEX(Table3[[#All],[Last]],MATCH(A881,Table3[[#All],[PID]],0)))</f>
        <v>Goacher</v>
      </c>
      <c r="G881" s="56">
        <f>IF($C881="B",INDEX(Batters[[#All],[Age]],MATCH(Table5[[#This Row],[PID]],Batters[[#All],[PID]],0)),INDEX(Table3[[#All],[Age]],MATCH(Table5[[#This Row],[PID]],Table3[[#All],[PID]],0)))</f>
        <v>18</v>
      </c>
      <c r="H881" s="52" t="str">
        <f>IF($C881="B",INDEX(Batters[[#All],[B]],MATCH(Table5[[#This Row],[PID]],Batters[[#All],[PID]],0)),INDEX(Table3[[#All],[B]],MATCH(Table5[[#This Row],[PID]],Table3[[#All],[PID]],0)))</f>
        <v>L</v>
      </c>
      <c r="I881" s="52" t="str">
        <f>IF($C881="B",INDEX(Batters[[#All],[T]],MATCH(Table5[[#This Row],[PID]],Batters[[#All],[PID]],0)),INDEX(Table3[[#All],[T]],MATCH(Table5[[#This Row],[PID]],Table3[[#All],[PID]],0)))</f>
        <v>L</v>
      </c>
      <c r="J881" s="52" t="str">
        <f>IF($C881="B",INDEX(Batters[[#All],[WE]],MATCH(Table5[[#This Row],[PID]],Batters[[#All],[PID]],0)),INDEX(Table3[[#All],[WE]],MATCH(Table5[[#This Row],[PID]],Table3[[#All],[PID]],0)))</f>
        <v>Normal</v>
      </c>
      <c r="K881" s="52" t="str">
        <f>IF($C881="B",INDEX(Batters[[#All],[INT]],MATCH(Table5[[#This Row],[PID]],Batters[[#All],[PID]],0)),INDEX(Table3[[#All],[INT]],MATCH(Table5[[#This Row],[PID]],Table3[[#All],[PID]],0)))</f>
        <v>High</v>
      </c>
      <c r="L881" s="60">
        <f>IF($C881="B",INDEX(Batters[[#All],[CON P]],MATCH(Table5[[#This Row],[PID]],Batters[[#All],[PID]],0)),INDEX(Table3[[#All],[STU P]],MATCH(Table5[[#This Row],[PID]],Table3[[#All],[PID]],0)))</f>
        <v>4</v>
      </c>
      <c r="M881" s="56">
        <f>IF($C881="B",INDEX(Batters[[#All],[GAP P]],MATCH(Table5[[#This Row],[PID]],Batters[[#All],[PID]],0)),INDEX(Table3[[#All],[MOV P]],MATCH(Table5[[#This Row],[PID]],Table3[[#All],[PID]],0)))</f>
        <v>2</v>
      </c>
      <c r="N881" s="56">
        <f>IF($C881="B",INDEX(Batters[[#All],[POW P]],MATCH(Table5[[#This Row],[PID]],Batters[[#All],[PID]],0)),INDEX(Table3[[#All],[CON P]],MATCH(Table5[[#This Row],[PID]],Table3[[#All],[PID]],0)))</f>
        <v>3</v>
      </c>
      <c r="O881" s="56" t="str">
        <f>IF($C881="B",INDEX(Batters[[#All],[EYE P]],MATCH(Table5[[#This Row],[PID]],Batters[[#All],[PID]],0)),INDEX(Table3[[#All],[VELO]],MATCH(Table5[[#This Row],[PID]],Table3[[#All],[PID]],0)))</f>
        <v>88-90 Mph</v>
      </c>
      <c r="P881" s="56">
        <f>IF($C881="B",INDEX(Batters[[#All],[K P]],MATCH(Table5[[#This Row],[PID]],Batters[[#All],[PID]],0)),INDEX(Table3[[#All],[STM]],MATCH(Table5[[#This Row],[PID]],Table3[[#All],[PID]],0)))</f>
        <v>7</v>
      </c>
      <c r="Q881" s="61">
        <f>IF($C881="B",INDEX(Batters[[#All],[Tot]],MATCH(Table5[[#This Row],[PID]],Batters[[#All],[PID]],0)),INDEX(Table3[[#All],[Tot]],MATCH(Table5[[#This Row],[PID]],Table3[[#All],[PID]],0)))</f>
        <v>34.75087445729973</v>
      </c>
      <c r="R881" s="52">
        <f>IF($C881="B",INDEX(Batters[[#All],[zScore]],MATCH(Table5[[#This Row],[PID]],Batters[[#All],[PID]],0)),INDEX(Table3[[#All],[zScore]],MATCH(Table5[[#This Row],[PID]],Table3[[#All],[PID]],0)))</f>
        <v>-0.21087999284300413</v>
      </c>
      <c r="S881" s="58" t="str">
        <f>IF($C881="B",INDEX(Batters[[#All],[DEM]],MATCH(Table5[[#This Row],[PID]],Batters[[#All],[PID]],0)),INDEX(Table3[[#All],[DEM]],MATCH(Table5[[#This Row],[PID]],Table3[[#All],[PID]],0)))</f>
        <v>$1.3m</v>
      </c>
      <c r="T881" s="62">
        <f>IF($C881="B",INDEX(Batters[[#All],[Rnk]],MATCH(Table5[[#This Row],[PID]],Batters[[#All],[PID]],0)),INDEX(Table3[[#All],[Rnk]],MATCH(Table5[[#This Row],[PID]],Table3[[#All],[PID]],0)))</f>
        <v>999</v>
      </c>
      <c r="U881" s="67">
        <f>IF($C881="B",VLOOKUP($A881,Bat!$A$4:$BA$1314,47,FALSE),VLOOKUP($A881,Pit!$A$4:$BF$1214,56,FALSE))</f>
        <v>431</v>
      </c>
      <c r="V881" s="50">
        <f>IF($C881="B",VLOOKUP($A881,Bat!$A$4:$BA$1314,48,FALSE),VLOOKUP($A881,Pit!$A$4:$BF$1214,57,FALSE))</f>
        <v>0</v>
      </c>
      <c r="W881" s="68">
        <f>IF(Table5[[#This Row],[posRnk]]=999,9999,Table5[[#This Row],[posRnk]]+Table5[[#This Row],[zRnk]]+IF($W$3&lt;&gt;Table5[[#This Row],[Type]],50,0))</f>
        <v>9999</v>
      </c>
      <c r="X881" s="51">
        <f>RANK(Table5[[#This Row],[zScore]],Table5[[#All],[zScore]])</f>
        <v>447</v>
      </c>
      <c r="Y881" s="50">
        <f>IFERROR(INDEX(DraftResults[[#All],[OVR]],MATCH(Table5[[#This Row],[PID]],DraftResults[[#All],[Player ID]],0)),"")</f>
        <v>535</v>
      </c>
      <c r="Z881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16</v>
      </c>
      <c r="AA881" s="50">
        <f>IFERROR(INDEX(DraftResults[[#All],[Pick in Round]],MATCH(Table5[[#This Row],[PID]],DraftResults[[#All],[Player ID]],0)),"")</f>
        <v>34</v>
      </c>
      <c r="AB881" s="50" t="str">
        <f>IFERROR(INDEX(DraftResults[[#All],[Team Name]],MATCH(Table5[[#This Row],[PID]],DraftResults[[#All],[Player ID]],0)),"")</f>
        <v>Gloucester Fishermen</v>
      </c>
      <c r="AC881" s="50">
        <f>IF(Table5[[#This Row],[Ovr]]="","",IF(Table5[[#This Row],[cmbList]]="","",Table5[[#This Row],[cmbList]]-Table5[[#This Row],[Ovr]]))</f>
        <v>9464</v>
      </c>
      <c r="AD881" s="54" t="str">
        <f>IF(ISERROR(VLOOKUP($AB881&amp;"-"&amp;$E881&amp;" "&amp;F881,Bonuses!$B$1:$G$1006,4,FALSE)),"",INT(VLOOKUP($AB881&amp;"-"&amp;$E881&amp;" "&amp;$F881,Bonuses!$B$1:$G$1006,4,FALSE)))</f>
        <v/>
      </c>
      <c r="AE881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16.34 (535) - SP Toby Goacher</v>
      </c>
    </row>
    <row r="882" spans="1:31" s="50" customFormat="1" x14ac:dyDescent="0.3">
      <c r="A882" s="67">
        <v>10684</v>
      </c>
      <c r="B882" s="68">
        <f>COUNTIF(Table5[PID],A882)</f>
        <v>1</v>
      </c>
      <c r="C882" s="68" t="str">
        <f>IF(COUNTIF(Table3[[#All],[PID]],A882)&gt;0,"P","B")</f>
        <v>P</v>
      </c>
      <c r="D882" s="59" t="str">
        <f>IF($C882="B",INDEX(Batters[[#All],[POS]],MATCH(Table5[[#This Row],[PID]],Batters[[#All],[PID]],0)),INDEX(Table3[[#All],[POS]],MATCH(Table5[[#This Row],[PID]],Table3[[#All],[PID]],0)))</f>
        <v>RP</v>
      </c>
      <c r="E882" s="52" t="str">
        <f>IF($C882="B",INDEX(Batters[[#All],[First]],MATCH(Table5[[#This Row],[PID]],Batters[[#All],[PID]],0)),INDEX(Table3[[#All],[First]],MATCH(Table5[[#This Row],[PID]],Table3[[#All],[PID]],0)))</f>
        <v>Jorge</v>
      </c>
      <c r="F882" s="55" t="str">
        <f>IF($C882="B",INDEX(Batters[[#All],[Last]],MATCH(A882,Batters[[#All],[PID]],0)),INDEX(Table3[[#All],[Last]],MATCH(A882,Table3[[#All],[PID]],0)))</f>
        <v>De La Cruz</v>
      </c>
      <c r="G882" s="56">
        <f>IF($C882="B",INDEX(Batters[[#All],[Age]],MATCH(Table5[[#This Row],[PID]],Batters[[#All],[PID]],0)),INDEX(Table3[[#All],[Age]],MATCH(Table5[[#This Row],[PID]],Table3[[#All],[PID]],0)))</f>
        <v>17</v>
      </c>
      <c r="H882" s="52" t="str">
        <f>IF($C882="B",INDEX(Batters[[#All],[B]],MATCH(Table5[[#This Row],[PID]],Batters[[#All],[PID]],0)),INDEX(Table3[[#All],[B]],MATCH(Table5[[#This Row],[PID]],Table3[[#All],[PID]],0)))</f>
        <v>R</v>
      </c>
      <c r="I882" s="52" t="str">
        <f>IF($C882="B",INDEX(Batters[[#All],[T]],MATCH(Table5[[#This Row],[PID]],Batters[[#All],[PID]],0)),INDEX(Table3[[#All],[T]],MATCH(Table5[[#This Row],[PID]],Table3[[#All],[PID]],0)))</f>
        <v>R</v>
      </c>
      <c r="J882" s="69" t="str">
        <f>IF($C882="B",INDEX(Batters[[#All],[WE]],MATCH(Table5[[#This Row],[PID]],Batters[[#All],[PID]],0)),INDEX(Table3[[#All],[WE]],MATCH(Table5[[#This Row],[PID]],Table3[[#All],[PID]],0)))</f>
        <v>Low</v>
      </c>
      <c r="K882" s="52" t="str">
        <f>IF($C882="B",INDEX(Batters[[#All],[INT]],MATCH(Table5[[#This Row],[PID]],Batters[[#All],[PID]],0)),INDEX(Table3[[#All],[INT]],MATCH(Table5[[#This Row],[PID]],Table3[[#All],[PID]],0)))</f>
        <v>High</v>
      </c>
      <c r="L882" s="60">
        <f>IF($C882="B",INDEX(Batters[[#All],[CON P]],MATCH(Table5[[#This Row],[PID]],Batters[[#All],[PID]],0)),INDEX(Table3[[#All],[STU P]],MATCH(Table5[[#This Row],[PID]],Table3[[#All],[PID]],0)))</f>
        <v>4</v>
      </c>
      <c r="M882" s="70">
        <f>IF($C882="B",INDEX(Batters[[#All],[GAP P]],MATCH(Table5[[#This Row],[PID]],Batters[[#All],[PID]],0)),INDEX(Table3[[#All],[MOV P]],MATCH(Table5[[#This Row],[PID]],Table3[[#All],[PID]],0)))</f>
        <v>1</v>
      </c>
      <c r="N882" s="70">
        <f>IF($C882="B",INDEX(Batters[[#All],[POW P]],MATCH(Table5[[#This Row],[PID]],Batters[[#All],[PID]],0)),INDEX(Table3[[#All],[CON P]],MATCH(Table5[[#This Row],[PID]],Table3[[#All],[PID]],0)))</f>
        <v>3</v>
      </c>
      <c r="O882" s="70" t="str">
        <f>IF($C882="B",INDEX(Batters[[#All],[EYE P]],MATCH(Table5[[#This Row],[PID]],Batters[[#All],[PID]],0)),INDEX(Table3[[#All],[VELO]],MATCH(Table5[[#This Row],[PID]],Table3[[#All],[PID]],0)))</f>
        <v>93-95 Mph</v>
      </c>
      <c r="P882" s="56">
        <f>IF($C882="B",INDEX(Batters[[#All],[K P]],MATCH(Table5[[#This Row],[PID]],Batters[[#All],[PID]],0)),INDEX(Table3[[#All],[STM]],MATCH(Table5[[#This Row],[PID]],Table3[[#All],[PID]],0)))</f>
        <v>8</v>
      </c>
      <c r="Q882" s="61">
        <f>IF($C882="B",INDEX(Batters[[#All],[Tot]],MATCH(Table5[[#This Row],[PID]],Batters[[#All],[PID]],0)),INDEX(Table3[[#All],[Tot]],MATCH(Table5[[#This Row],[PID]],Table3[[#All],[PID]],0)))</f>
        <v>31.136894351572309</v>
      </c>
      <c r="R882" s="52">
        <f>IF($C882="B",INDEX(Batters[[#All],[zScore]],MATCH(Table5[[#This Row],[PID]],Batters[[#All],[PID]],0)),INDEX(Table3[[#All],[zScore]],MATCH(Table5[[#This Row],[PID]],Table3[[#All],[PID]],0)))</f>
        <v>-0.46799167172188488</v>
      </c>
      <c r="S882" s="75" t="str">
        <f>IF($C882="B",INDEX(Batters[[#All],[DEM]],MATCH(Table5[[#This Row],[PID]],Batters[[#All],[PID]],0)),INDEX(Table3[[#All],[DEM]],MATCH(Table5[[#This Row],[PID]],Table3[[#All],[PID]],0)))</f>
        <v>$3.0m</v>
      </c>
      <c r="T882" s="72">
        <f>IF($C882="B",INDEX(Batters[[#All],[Rnk]],MATCH(Table5[[#This Row],[PID]],Batters[[#All],[PID]],0)),INDEX(Table3[[#All],[Rnk]],MATCH(Table5[[#This Row],[PID]],Table3[[#All],[PID]],0)))</f>
        <v>999</v>
      </c>
      <c r="U882" s="67">
        <f>IF($C882="B",VLOOKUP($A882,Bat!$A$4:$BA$1314,47,FALSE),VLOOKUP($A882,Pit!$A$4:$BF$1214,56,FALSE))</f>
        <v>432</v>
      </c>
      <c r="V882" s="50">
        <f>IF($C882="B",VLOOKUP($A882,Bat!$A$4:$BA$1314,48,FALSE),VLOOKUP($A882,Pit!$A$4:$BF$1214,57,FALSE))</f>
        <v>0</v>
      </c>
      <c r="W882" s="68">
        <f>IF(Table5[[#This Row],[posRnk]]=999,9999,Table5[[#This Row],[posRnk]]+Table5[[#This Row],[zRnk]]+IF($W$3&lt;&gt;Table5[[#This Row],[Type]],50,0))</f>
        <v>9999</v>
      </c>
      <c r="X882" s="71">
        <f>RANK(Table5[[#This Row],[zScore]],Table5[[#All],[zScore]])</f>
        <v>554</v>
      </c>
      <c r="Y882" s="68">
        <f>IFERROR(INDEX(DraftResults[[#All],[OVR]],MATCH(Table5[[#This Row],[PID]],DraftResults[[#All],[Player ID]],0)),"")</f>
        <v>542</v>
      </c>
      <c r="Z882" s="7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17</v>
      </c>
      <c r="AA882" s="68">
        <f>IFERROR(INDEX(DraftResults[[#All],[Pick in Round]],MATCH(Table5[[#This Row],[PID]],DraftResults[[#All],[Player ID]],0)),"")</f>
        <v>7</v>
      </c>
      <c r="AB882" s="68" t="str">
        <f>IFERROR(INDEX(DraftResults[[#All],[Team Name]],MATCH(Table5[[#This Row],[PID]],DraftResults[[#All],[Player ID]],0)),"")</f>
        <v>Hartford Harpoon</v>
      </c>
      <c r="AC882" s="68">
        <f>IF(Table5[[#This Row],[Ovr]]="","",IF(Table5[[#This Row],[cmbList]]="","",Table5[[#This Row],[cmbList]]-Table5[[#This Row],[Ovr]]))</f>
        <v>9457</v>
      </c>
      <c r="AD882" s="74" t="str">
        <f>IF(ISERROR(VLOOKUP($AB882&amp;"-"&amp;$E882&amp;" "&amp;F882,Bonuses!$B$1:$G$1006,4,FALSE)),"",INT(VLOOKUP($AB882&amp;"-"&amp;$E882&amp;" "&amp;$F882,Bonuses!$B$1:$G$1006,4,FALSE)))</f>
        <v/>
      </c>
      <c r="AE882" s="68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17.7 (542) - RP Jorge De La Cruz</v>
      </c>
    </row>
    <row r="883" spans="1:31" s="50" customFormat="1" x14ac:dyDescent="0.3">
      <c r="A883" s="50">
        <v>12874</v>
      </c>
      <c r="B883" s="50">
        <f>COUNTIF(Table5[PID],A883)</f>
        <v>1</v>
      </c>
      <c r="C883" s="50" t="str">
        <f>IF(COUNTIF(Table3[[#All],[PID]],A883)&gt;0,"P","B")</f>
        <v>P</v>
      </c>
      <c r="D883" s="59" t="str">
        <f>IF($C883="B",INDEX(Batters[[#All],[POS]],MATCH(Table5[[#This Row],[PID]],Batters[[#All],[PID]],0)),INDEX(Table3[[#All],[POS]],MATCH(Table5[[#This Row],[PID]],Table3[[#All],[PID]],0)))</f>
        <v>SP</v>
      </c>
      <c r="E883" s="52" t="str">
        <f>IF($C883="B",INDEX(Batters[[#All],[First]],MATCH(Table5[[#This Row],[PID]],Batters[[#All],[PID]],0)),INDEX(Table3[[#All],[First]],MATCH(Table5[[#This Row],[PID]],Table3[[#All],[PID]],0)))</f>
        <v>Gerhard</v>
      </c>
      <c r="F883" s="50" t="str">
        <f>IF($C883="B",INDEX(Batters[[#All],[Last]],MATCH(A883,Batters[[#All],[PID]],0)),INDEX(Table3[[#All],[Last]],MATCH(A883,Table3[[#All],[PID]],0)))</f>
        <v>Tolzmann</v>
      </c>
      <c r="G883" s="56">
        <f>IF($C883="B",INDEX(Batters[[#All],[Age]],MATCH(Table5[[#This Row],[PID]],Batters[[#All],[PID]],0)),INDEX(Table3[[#All],[Age]],MATCH(Table5[[#This Row],[PID]],Table3[[#All],[PID]],0)))</f>
        <v>18</v>
      </c>
      <c r="H883" s="52" t="str">
        <f>IF($C883="B",INDEX(Batters[[#All],[B]],MATCH(Table5[[#This Row],[PID]],Batters[[#All],[PID]],0)),INDEX(Table3[[#All],[B]],MATCH(Table5[[#This Row],[PID]],Table3[[#All],[PID]],0)))</f>
        <v>L</v>
      </c>
      <c r="I883" s="52" t="str">
        <f>IF($C883="B",INDEX(Batters[[#All],[T]],MATCH(Table5[[#This Row],[PID]],Batters[[#All],[PID]],0)),INDEX(Table3[[#All],[T]],MATCH(Table5[[#This Row],[PID]],Table3[[#All],[PID]],0)))</f>
        <v>R</v>
      </c>
      <c r="J883" s="52" t="str">
        <f>IF($C883="B",INDEX(Batters[[#All],[WE]],MATCH(Table5[[#This Row],[PID]],Batters[[#All],[PID]],0)),INDEX(Table3[[#All],[WE]],MATCH(Table5[[#This Row],[PID]],Table3[[#All],[PID]],0)))</f>
        <v>Low</v>
      </c>
      <c r="K883" s="52" t="str">
        <f>IF($C883="B",INDEX(Batters[[#All],[INT]],MATCH(Table5[[#This Row],[PID]],Batters[[#All],[PID]],0)),INDEX(Table3[[#All],[INT]],MATCH(Table5[[#This Row],[PID]],Table3[[#All],[PID]],0)))</f>
        <v>High</v>
      </c>
      <c r="L883" s="60">
        <f>IF($C883="B",INDEX(Batters[[#All],[CON P]],MATCH(Table5[[#This Row],[PID]],Batters[[#All],[PID]],0)),INDEX(Table3[[#All],[STU P]],MATCH(Table5[[#This Row],[PID]],Table3[[#All],[PID]],0)))</f>
        <v>3</v>
      </c>
      <c r="M883" s="56">
        <f>IF($C883="B",INDEX(Batters[[#All],[GAP P]],MATCH(Table5[[#This Row],[PID]],Batters[[#All],[PID]],0)),INDEX(Table3[[#All],[MOV P]],MATCH(Table5[[#This Row],[PID]],Table3[[#All],[PID]],0)))</f>
        <v>1</v>
      </c>
      <c r="N883" s="56">
        <f>IF($C883="B",INDEX(Batters[[#All],[POW P]],MATCH(Table5[[#This Row],[PID]],Batters[[#All],[PID]],0)),INDEX(Table3[[#All],[CON P]],MATCH(Table5[[#This Row],[PID]],Table3[[#All],[PID]],0)))</f>
        <v>3</v>
      </c>
      <c r="O883" s="56" t="str">
        <f>IF($C883="B",INDEX(Batters[[#All],[EYE P]],MATCH(Table5[[#This Row],[PID]],Batters[[#All],[PID]],0)),INDEX(Table3[[#All],[VELO]],MATCH(Table5[[#This Row],[PID]],Table3[[#All],[PID]],0)))</f>
        <v>90-92 Mph</v>
      </c>
      <c r="P883" s="56">
        <f>IF($C883="B",INDEX(Batters[[#All],[K P]],MATCH(Table5[[#This Row],[PID]],Batters[[#All],[PID]],0)),INDEX(Table3[[#All],[STM]],MATCH(Table5[[#This Row],[PID]],Table3[[#All],[PID]],0)))</f>
        <v>7</v>
      </c>
      <c r="Q883" s="61">
        <f>IF($C883="B",INDEX(Batters[[#All],[Tot]],MATCH(Table5[[#This Row],[PID]],Batters[[#All],[PID]],0)),INDEX(Table3[[#All],[Tot]],MATCH(Table5[[#This Row],[PID]],Table3[[#All],[PID]],0)))</f>
        <v>25.209327295229144</v>
      </c>
      <c r="R883" s="52">
        <f>IF($C883="B",INDEX(Batters[[#All],[zScore]],MATCH(Table5[[#This Row],[PID]],Batters[[#All],[PID]],0)),INDEX(Table3[[#All],[zScore]],MATCH(Table5[[#This Row],[PID]],Table3[[#All],[PID]],0)))</f>
        <v>-0.89672834377268729</v>
      </c>
      <c r="S883" s="58" t="str">
        <f>IF($C883="B",INDEX(Batters[[#All],[DEM]],MATCH(Table5[[#This Row],[PID]],Batters[[#All],[PID]],0)),INDEX(Table3[[#All],[DEM]],MATCH(Table5[[#This Row],[PID]],Table3[[#All],[PID]],0)))</f>
        <v>$2.2m</v>
      </c>
      <c r="T883" s="62">
        <f>IF($C883="B",INDEX(Batters[[#All],[Rnk]],MATCH(Table5[[#This Row],[PID]],Batters[[#All],[PID]],0)),INDEX(Table3[[#All],[Rnk]],MATCH(Table5[[#This Row],[PID]],Table3[[#All],[PID]],0)))</f>
        <v>999</v>
      </c>
      <c r="U883" s="67">
        <f>IF($C883="B",VLOOKUP($A883,Bat!$A$4:$BA$1314,47,FALSE),VLOOKUP($A883,Pit!$A$4:$BF$1214,56,FALSE))</f>
        <v>433</v>
      </c>
      <c r="V883" s="50">
        <f>IF($C883="B",VLOOKUP($A883,Bat!$A$4:$BA$1314,48,FALSE),VLOOKUP($A883,Pit!$A$4:$BF$1214,57,FALSE))</f>
        <v>0</v>
      </c>
      <c r="W883" s="68">
        <f>IF(Table5[[#This Row],[posRnk]]=999,9999,Table5[[#This Row],[posRnk]]+Table5[[#This Row],[zRnk]]+IF($W$3&lt;&gt;Table5[[#This Row],[Type]],50,0))</f>
        <v>9999</v>
      </c>
      <c r="X883" s="51">
        <f>RANK(Table5[[#This Row],[zScore]],Table5[[#All],[zScore]])</f>
        <v>735</v>
      </c>
      <c r="Y883" s="50" t="str">
        <f>IFERROR(INDEX(DraftResults[[#All],[OVR]],MATCH(Table5[[#This Row],[PID]],DraftResults[[#All],[Player ID]],0)),"")</f>
        <v/>
      </c>
      <c r="Z883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/>
      </c>
      <c r="AA883" s="50" t="str">
        <f>IFERROR(INDEX(DraftResults[[#All],[Pick in Round]],MATCH(Table5[[#This Row],[PID]],DraftResults[[#All],[Player ID]],0)),"")</f>
        <v/>
      </c>
      <c r="AB883" s="50" t="str">
        <f>IFERROR(INDEX(DraftResults[[#All],[Team Name]],MATCH(Table5[[#This Row],[PID]],DraftResults[[#All],[Player ID]],0)),"")</f>
        <v/>
      </c>
      <c r="AC883" s="50" t="str">
        <f>IF(Table5[[#This Row],[Ovr]]="","",IF(Table5[[#This Row],[cmbList]]="","",Table5[[#This Row],[cmbList]]-Table5[[#This Row],[Ovr]]))</f>
        <v/>
      </c>
      <c r="AD883" s="54" t="str">
        <f>IF(ISERROR(VLOOKUP($AB883&amp;"-"&amp;$E883&amp;" "&amp;F883,Bonuses!$B$1:$G$1006,4,FALSE)),"",INT(VLOOKUP($AB883&amp;"-"&amp;$E883&amp;" "&amp;$F883,Bonuses!$B$1:$G$1006,4,FALSE)))</f>
        <v/>
      </c>
      <c r="AE883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/>
      </c>
    </row>
    <row r="884" spans="1:31" s="50" customFormat="1" x14ac:dyDescent="0.3">
      <c r="A884" s="50">
        <v>20597</v>
      </c>
      <c r="B884" s="50">
        <f>COUNTIF(Table5[PID],A884)</f>
        <v>1</v>
      </c>
      <c r="C884" s="50" t="str">
        <f>IF(COUNTIF(Table3[[#All],[PID]],A884)&gt;0,"P","B")</f>
        <v>B</v>
      </c>
      <c r="D884" s="59" t="str">
        <f>IF($C884="B",INDEX(Batters[[#All],[POS]],MATCH(Table5[[#This Row],[PID]],Batters[[#All],[PID]],0)),INDEX(Table3[[#All],[POS]],MATCH(Table5[[#This Row],[PID]],Table3[[#All],[PID]],0)))</f>
        <v>SS</v>
      </c>
      <c r="E884" s="52" t="str">
        <f>IF($C884="B",INDEX(Batters[[#All],[First]],MATCH(Table5[[#This Row],[PID]],Batters[[#All],[PID]],0)),INDEX(Table3[[#All],[First]],MATCH(Table5[[#This Row],[PID]],Table3[[#All],[PID]],0)))</f>
        <v>Yu-eh</v>
      </c>
      <c r="F884" s="50" t="str">
        <f>IF($C884="B",INDEX(Batters[[#All],[Last]],MATCH(A884,Batters[[#All],[PID]],0)),INDEX(Table3[[#All],[Last]],MATCH(A884,Table3[[#All],[PID]],0)))</f>
        <v>Bao</v>
      </c>
      <c r="G884" s="56">
        <f>IF($C884="B",INDEX(Batters[[#All],[Age]],MATCH(Table5[[#This Row],[PID]],Batters[[#All],[PID]],0)),INDEX(Table3[[#All],[Age]],MATCH(Table5[[#This Row],[PID]],Table3[[#All],[PID]],0)))</f>
        <v>17</v>
      </c>
      <c r="H884" s="52" t="str">
        <f>IF($C884="B",INDEX(Batters[[#All],[B]],MATCH(Table5[[#This Row],[PID]],Batters[[#All],[PID]],0)),INDEX(Table3[[#All],[B]],MATCH(Table5[[#This Row],[PID]],Table3[[#All],[PID]],0)))</f>
        <v>R</v>
      </c>
      <c r="I884" s="52" t="str">
        <f>IF($C884="B",INDEX(Batters[[#All],[T]],MATCH(Table5[[#This Row],[PID]],Batters[[#All],[PID]],0)),INDEX(Table3[[#All],[T]],MATCH(Table5[[#This Row],[PID]],Table3[[#All],[PID]],0)))</f>
        <v>R</v>
      </c>
      <c r="J884" s="52" t="str">
        <f>IF($C884="B",INDEX(Batters[[#All],[WE]],MATCH(Table5[[#This Row],[PID]],Batters[[#All],[PID]],0)),INDEX(Table3[[#All],[WE]],MATCH(Table5[[#This Row],[PID]],Table3[[#All],[PID]],0)))</f>
        <v>Low</v>
      </c>
      <c r="K884" s="52" t="str">
        <f>IF($C884="B",INDEX(Batters[[#All],[INT]],MATCH(Table5[[#This Row],[PID]],Batters[[#All],[PID]],0)),INDEX(Table3[[#All],[INT]],MATCH(Table5[[#This Row],[PID]],Table3[[#All],[PID]],0)))</f>
        <v>Normal</v>
      </c>
      <c r="L884" s="60">
        <f>IF($C884="B",INDEX(Batters[[#All],[CON P]],MATCH(Table5[[#This Row],[PID]],Batters[[#All],[PID]],0)),INDEX(Table3[[#All],[STU P]],MATCH(Table5[[#This Row],[PID]],Table3[[#All],[PID]],0)))</f>
        <v>5</v>
      </c>
      <c r="M884" s="56">
        <f>IF($C884="B",INDEX(Batters[[#All],[GAP P]],MATCH(Table5[[#This Row],[PID]],Batters[[#All],[PID]],0)),INDEX(Table3[[#All],[MOV P]],MATCH(Table5[[#This Row],[PID]],Table3[[#All],[PID]],0)))</f>
        <v>6</v>
      </c>
      <c r="N884" s="56">
        <f>IF($C884="B",INDEX(Batters[[#All],[POW P]],MATCH(Table5[[#This Row],[PID]],Batters[[#All],[PID]],0)),INDEX(Table3[[#All],[CON P]],MATCH(Table5[[#This Row],[PID]],Table3[[#All],[PID]],0)))</f>
        <v>7</v>
      </c>
      <c r="O884" s="56">
        <f>IF($C884="B",INDEX(Batters[[#All],[EYE P]],MATCH(Table5[[#This Row],[PID]],Batters[[#All],[PID]],0)),INDEX(Table3[[#All],[VELO]],MATCH(Table5[[#This Row],[PID]],Table3[[#All],[PID]],0)))</f>
        <v>3</v>
      </c>
      <c r="P884" s="56">
        <f>IF($C884="B",INDEX(Batters[[#All],[K P]],MATCH(Table5[[#This Row],[PID]],Batters[[#All],[PID]],0)),INDEX(Table3[[#All],[STM]],MATCH(Table5[[#This Row],[PID]],Table3[[#All],[PID]],0)))</f>
        <v>6</v>
      </c>
      <c r="Q884" s="61">
        <f>IF($C884="B",INDEX(Batters[[#All],[Tot]],MATCH(Table5[[#This Row],[PID]],Batters[[#All],[PID]],0)),INDEX(Table3[[#All],[Tot]],MATCH(Table5[[#This Row],[PID]],Table3[[#All],[PID]],0)))</f>
        <v>53.653623393571962</v>
      </c>
      <c r="R884" s="52">
        <f>IF($C884="B",INDEX(Batters[[#All],[zScore]],MATCH(Table5[[#This Row],[PID]],Batters[[#All],[PID]],0)),INDEX(Table3[[#All],[zScore]],MATCH(Table5[[#This Row],[PID]],Table3[[#All],[PID]],0)))</f>
        <v>1.5231966138596793</v>
      </c>
      <c r="S884" s="58" t="str">
        <f>IF($C884="B",INDEX(Batters[[#All],[DEM]],MATCH(Table5[[#This Row],[PID]],Batters[[#All],[PID]],0)),INDEX(Table3[[#All],[DEM]],MATCH(Table5[[#This Row],[PID]],Table3[[#All],[PID]],0)))</f>
        <v>$3.0m</v>
      </c>
      <c r="T884" s="62">
        <f>IF($C884="B",INDEX(Batters[[#All],[Rnk]],MATCH(Table5[[#This Row],[PID]],Batters[[#All],[PID]],0)),INDEX(Table3[[#All],[Rnk]],MATCH(Table5[[#This Row],[PID]],Table3[[#All],[PID]],0)))</f>
        <v>999</v>
      </c>
      <c r="U884" s="67">
        <f>IF($C884="B",VLOOKUP($A884,Bat!$A$4:$BA$1314,47,FALSE),VLOOKUP($A884,Pit!$A$4:$BF$1214,56,FALSE))</f>
        <v>448</v>
      </c>
      <c r="V884" s="50">
        <f>IF($C884="B",VLOOKUP($A884,Bat!$A$4:$BA$1314,48,FALSE),VLOOKUP($A884,Pit!$A$4:$BF$1214,57,FALSE))</f>
        <v>0</v>
      </c>
      <c r="W884" s="68">
        <f>IF(Table5[[#This Row],[posRnk]]=999,9999,Table5[[#This Row],[posRnk]]+Table5[[#This Row],[zRnk]]+IF($W$3&lt;&gt;Table5[[#This Row],[Type]],50,0))</f>
        <v>9999</v>
      </c>
      <c r="X884" s="51">
        <f>RANK(Table5[[#This Row],[zScore]],Table5[[#All],[zScore]])</f>
        <v>74</v>
      </c>
      <c r="Y884" s="50">
        <f>IFERROR(INDEX(DraftResults[[#All],[OVR]],MATCH(Table5[[#This Row],[PID]],DraftResults[[#All],[Player ID]],0)),"")</f>
        <v>14</v>
      </c>
      <c r="Z884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1</v>
      </c>
      <c r="AA884" s="50">
        <f>IFERROR(INDEX(DraftResults[[#All],[Pick in Round]],MATCH(Table5[[#This Row],[PID]],DraftResults[[#All],[Player ID]],0)),"")</f>
        <v>14</v>
      </c>
      <c r="AB884" s="50" t="str">
        <f>IFERROR(INDEX(DraftResults[[#All],[Team Name]],MATCH(Table5[[#This Row],[PID]],DraftResults[[#All],[Player ID]],0)),"")</f>
        <v>Scottish Claymores</v>
      </c>
      <c r="AC884" s="50">
        <f>IF(Table5[[#This Row],[Ovr]]="","",IF(Table5[[#This Row],[cmbList]]="","",Table5[[#This Row],[cmbList]]-Table5[[#This Row],[Ovr]]))</f>
        <v>9985</v>
      </c>
      <c r="AD884" s="54" t="str">
        <f>IF(ISERROR(VLOOKUP($AB884&amp;"-"&amp;$E884&amp;" "&amp;F884,Bonuses!$B$1:$G$1006,4,FALSE)),"",INT(VLOOKUP($AB884&amp;"-"&amp;$E884&amp;" "&amp;$F884,Bonuses!$B$1:$G$1006,4,FALSE)))</f>
        <v/>
      </c>
      <c r="AE884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1.14 (14) - SS Yu-eh Bao</v>
      </c>
    </row>
    <row r="885" spans="1:31" s="50" customFormat="1" x14ac:dyDescent="0.3">
      <c r="A885" s="67">
        <v>20699</v>
      </c>
      <c r="B885" s="68">
        <f>COUNTIF(Table5[PID],A885)</f>
        <v>1</v>
      </c>
      <c r="C885" s="68" t="str">
        <f>IF(COUNTIF(Table3[[#All],[PID]],A885)&gt;0,"P","B")</f>
        <v>B</v>
      </c>
      <c r="D885" s="59" t="str">
        <f>IF($C885="B",INDEX(Batters[[#All],[POS]],MATCH(Table5[[#This Row],[PID]],Batters[[#All],[PID]],0)),INDEX(Table3[[#All],[POS]],MATCH(Table5[[#This Row],[PID]],Table3[[#All],[PID]],0)))</f>
        <v>3B</v>
      </c>
      <c r="E885" s="52" t="str">
        <f>IF($C885="B",INDEX(Batters[[#All],[First]],MATCH(Table5[[#This Row],[PID]],Batters[[#All],[PID]],0)),INDEX(Table3[[#All],[First]],MATCH(Table5[[#This Row],[PID]],Table3[[#All],[PID]],0)))</f>
        <v>Pu-feng</v>
      </c>
      <c r="F885" s="55" t="str">
        <f>IF($C885="B",INDEX(Batters[[#All],[Last]],MATCH(A885,Batters[[#All],[PID]],0)),INDEX(Table3[[#All],[Last]],MATCH(A885,Table3[[#All],[PID]],0)))</f>
        <v>Shuo</v>
      </c>
      <c r="G885" s="56">
        <f>IF($C885="B",INDEX(Batters[[#All],[Age]],MATCH(Table5[[#This Row],[PID]],Batters[[#All],[PID]],0)),INDEX(Table3[[#All],[Age]],MATCH(Table5[[#This Row],[PID]],Table3[[#All],[PID]],0)))</f>
        <v>17</v>
      </c>
      <c r="H885" s="52" t="str">
        <f>IF($C885="B",INDEX(Batters[[#All],[B]],MATCH(Table5[[#This Row],[PID]],Batters[[#All],[PID]],0)),INDEX(Table3[[#All],[B]],MATCH(Table5[[#This Row],[PID]],Table3[[#All],[PID]],0)))</f>
        <v>R</v>
      </c>
      <c r="I885" s="52" t="str">
        <f>IF($C885="B",INDEX(Batters[[#All],[T]],MATCH(Table5[[#This Row],[PID]],Batters[[#All],[PID]],0)),INDEX(Table3[[#All],[T]],MATCH(Table5[[#This Row],[PID]],Table3[[#All],[PID]],0)))</f>
        <v>R</v>
      </c>
      <c r="J885" s="69" t="str">
        <f>IF($C885="B",INDEX(Batters[[#All],[WE]],MATCH(Table5[[#This Row],[PID]],Batters[[#All],[PID]],0)),INDEX(Table3[[#All],[WE]],MATCH(Table5[[#This Row],[PID]],Table3[[#All],[PID]],0)))</f>
        <v>Low</v>
      </c>
      <c r="K885" s="52" t="str">
        <f>IF($C885="B",INDEX(Batters[[#All],[INT]],MATCH(Table5[[#This Row],[PID]],Batters[[#All],[PID]],0)),INDEX(Table3[[#All],[INT]],MATCH(Table5[[#This Row],[PID]],Table3[[#All],[PID]],0)))</f>
        <v>Normal</v>
      </c>
      <c r="L885" s="60">
        <f>IF($C885="B",INDEX(Batters[[#All],[CON P]],MATCH(Table5[[#This Row],[PID]],Batters[[#All],[PID]],0)),INDEX(Table3[[#All],[STU P]],MATCH(Table5[[#This Row],[PID]],Table3[[#All],[PID]],0)))</f>
        <v>4</v>
      </c>
      <c r="M885" s="70">
        <f>IF($C885="B",INDEX(Batters[[#All],[GAP P]],MATCH(Table5[[#This Row],[PID]],Batters[[#All],[PID]],0)),INDEX(Table3[[#All],[MOV P]],MATCH(Table5[[#This Row],[PID]],Table3[[#All],[PID]],0)))</f>
        <v>6</v>
      </c>
      <c r="N885" s="70">
        <f>IF($C885="B",INDEX(Batters[[#All],[POW P]],MATCH(Table5[[#This Row],[PID]],Batters[[#All],[PID]],0)),INDEX(Table3[[#All],[CON P]],MATCH(Table5[[#This Row],[PID]],Table3[[#All],[PID]],0)))</f>
        <v>7</v>
      </c>
      <c r="O885" s="70">
        <f>IF($C885="B",INDEX(Batters[[#All],[EYE P]],MATCH(Table5[[#This Row],[PID]],Batters[[#All],[PID]],0)),INDEX(Table3[[#All],[VELO]],MATCH(Table5[[#This Row],[PID]],Table3[[#All],[PID]],0)))</f>
        <v>6</v>
      </c>
      <c r="P885" s="56">
        <f>IF($C885="B",INDEX(Batters[[#All],[K P]],MATCH(Table5[[#This Row],[PID]],Batters[[#All],[PID]],0)),INDEX(Table3[[#All],[STM]],MATCH(Table5[[#This Row],[PID]],Table3[[#All],[PID]],0)))</f>
        <v>3</v>
      </c>
      <c r="Q885" s="61">
        <f>IF($C885="B",INDEX(Batters[[#All],[Tot]],MATCH(Table5[[#This Row],[PID]],Batters[[#All],[PID]],0)),INDEX(Table3[[#All],[Tot]],MATCH(Table5[[#This Row],[PID]],Table3[[#All],[PID]],0)))</f>
        <v>51.539819556945872</v>
      </c>
      <c r="R885" s="52">
        <f>IF($C885="B",INDEX(Batters[[#All],[zScore]],MATCH(Table5[[#This Row],[PID]],Batters[[#All],[PID]],0)),INDEX(Table3[[#All],[zScore]],MATCH(Table5[[#This Row],[PID]],Table3[[#All],[PID]],0)))</f>
        <v>1.2146486636624716</v>
      </c>
      <c r="S885" s="75" t="str">
        <f>IF($C885="B",INDEX(Batters[[#All],[DEM]],MATCH(Table5[[#This Row],[PID]],Batters[[#All],[PID]],0)),INDEX(Table3[[#All],[DEM]],MATCH(Table5[[#This Row],[PID]],Table3[[#All],[PID]],0)))</f>
        <v>$2.2m</v>
      </c>
      <c r="T885" s="72">
        <f>IF($C885="B",INDEX(Batters[[#All],[Rnk]],MATCH(Table5[[#This Row],[PID]],Batters[[#All],[PID]],0)),INDEX(Table3[[#All],[Rnk]],MATCH(Table5[[#This Row],[PID]],Table3[[#All],[PID]],0)))</f>
        <v>999</v>
      </c>
      <c r="U885" s="67">
        <f>IF($C885="B",VLOOKUP($A885,Bat!$A$4:$BA$1314,47,FALSE),VLOOKUP($A885,Pit!$A$4:$BF$1214,56,FALSE))</f>
        <v>449</v>
      </c>
      <c r="V885" s="50">
        <f>IF($C885="B",VLOOKUP($A885,Bat!$A$4:$BA$1314,48,FALSE),VLOOKUP($A885,Pit!$A$4:$BF$1214,57,FALSE))</f>
        <v>0</v>
      </c>
      <c r="W885" s="68">
        <f>IF(Table5[[#This Row],[posRnk]]=999,9999,Table5[[#This Row],[posRnk]]+Table5[[#This Row],[zRnk]]+IF($W$3&lt;&gt;Table5[[#This Row],[Type]],50,0))</f>
        <v>9999</v>
      </c>
      <c r="X885" s="71">
        <f>RANK(Table5[[#This Row],[zScore]],Table5[[#All],[zScore]])</f>
        <v>117</v>
      </c>
      <c r="Y885" s="68">
        <f>IFERROR(INDEX(DraftResults[[#All],[OVR]],MATCH(Table5[[#This Row],[PID]],DraftResults[[#All],[Player ID]],0)),"")</f>
        <v>53</v>
      </c>
      <c r="Z885" s="7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2</v>
      </c>
      <c r="AA885" s="68">
        <f>IFERROR(INDEX(DraftResults[[#All],[Pick in Round]],MATCH(Table5[[#This Row],[PID]],DraftResults[[#All],[Player ID]],0)),"")</f>
        <v>17</v>
      </c>
      <c r="AB885" s="68" t="str">
        <f>IFERROR(INDEX(DraftResults[[#All],[Team Name]],MATCH(Table5[[#This Row],[PID]],DraftResults[[#All],[Player ID]],0)),"")</f>
        <v>Florida Farstriders</v>
      </c>
      <c r="AC885" s="68">
        <f>IF(Table5[[#This Row],[Ovr]]="","",IF(Table5[[#This Row],[cmbList]]="","",Table5[[#This Row],[cmbList]]-Table5[[#This Row],[Ovr]]))</f>
        <v>9946</v>
      </c>
      <c r="AD885" s="74" t="str">
        <f>IF(ISERROR(VLOOKUP($AB885&amp;"-"&amp;$E885&amp;" "&amp;F885,Bonuses!$B$1:$G$1006,4,FALSE)),"",INT(VLOOKUP($AB885&amp;"-"&amp;$E885&amp;" "&amp;$F885,Bonuses!$B$1:$G$1006,4,FALSE)))</f>
        <v/>
      </c>
      <c r="AE885" s="68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2.17 (53) - 3B Pu-feng Shuo</v>
      </c>
    </row>
    <row r="886" spans="1:31" s="50" customFormat="1" x14ac:dyDescent="0.3">
      <c r="A886" s="50">
        <v>20316</v>
      </c>
      <c r="B886" s="50">
        <f>COUNTIF(Table5[PID],A886)</f>
        <v>1</v>
      </c>
      <c r="C886" s="50" t="str">
        <f>IF(COUNTIF(Table3[[#All],[PID]],A886)&gt;0,"P","B")</f>
        <v>B</v>
      </c>
      <c r="D886" s="59" t="str">
        <f>IF($C886="B",INDEX(Batters[[#All],[POS]],MATCH(Table5[[#This Row],[PID]],Batters[[#All],[PID]],0)),INDEX(Table3[[#All],[POS]],MATCH(Table5[[#This Row],[PID]],Table3[[#All],[PID]],0)))</f>
        <v>CF</v>
      </c>
      <c r="E886" s="52" t="str">
        <f>IF($C886="B",INDEX(Batters[[#All],[First]],MATCH(Table5[[#This Row],[PID]],Batters[[#All],[PID]],0)),INDEX(Table3[[#All],[First]],MATCH(Table5[[#This Row],[PID]],Table3[[#All],[PID]],0)))</f>
        <v>Min-han</v>
      </c>
      <c r="F886" s="50" t="str">
        <f>IF($C886="B",INDEX(Batters[[#All],[Last]],MATCH(A886,Batters[[#All],[PID]],0)),INDEX(Table3[[#All],[Last]],MATCH(A886,Table3[[#All],[PID]],0)))</f>
        <v>Yu</v>
      </c>
      <c r="G886" s="56">
        <f>IF($C886="B",INDEX(Batters[[#All],[Age]],MATCH(Table5[[#This Row],[PID]],Batters[[#All],[PID]],0)),INDEX(Table3[[#All],[Age]],MATCH(Table5[[#This Row],[PID]],Table3[[#All],[PID]],0)))</f>
        <v>17</v>
      </c>
      <c r="H886" s="52" t="str">
        <f>IF($C886="B",INDEX(Batters[[#All],[B]],MATCH(Table5[[#This Row],[PID]],Batters[[#All],[PID]],0)),INDEX(Table3[[#All],[B]],MATCH(Table5[[#This Row],[PID]],Table3[[#All],[PID]],0)))</f>
        <v>L</v>
      </c>
      <c r="I886" s="52" t="str">
        <f>IF($C886="B",INDEX(Batters[[#All],[T]],MATCH(Table5[[#This Row],[PID]],Batters[[#All],[PID]],0)),INDEX(Table3[[#All],[T]],MATCH(Table5[[#This Row],[PID]],Table3[[#All],[PID]],0)))</f>
        <v>L</v>
      </c>
      <c r="J886" s="52" t="str">
        <f>IF($C886="B",INDEX(Batters[[#All],[WE]],MATCH(Table5[[#This Row],[PID]],Batters[[#All],[PID]],0)),INDEX(Table3[[#All],[WE]],MATCH(Table5[[#This Row],[PID]],Table3[[#All],[PID]],0)))</f>
        <v>Low</v>
      </c>
      <c r="K886" s="52" t="str">
        <f>IF($C886="B",INDEX(Batters[[#All],[INT]],MATCH(Table5[[#This Row],[PID]],Batters[[#All],[PID]],0)),INDEX(Table3[[#All],[INT]],MATCH(Table5[[#This Row],[PID]],Table3[[#All],[PID]],0)))</f>
        <v>Normal</v>
      </c>
      <c r="L886" s="60">
        <f>IF($C886="B",INDEX(Batters[[#All],[CON P]],MATCH(Table5[[#This Row],[PID]],Batters[[#All],[PID]],0)),INDEX(Table3[[#All],[STU P]],MATCH(Table5[[#This Row],[PID]],Table3[[#All],[PID]],0)))</f>
        <v>4</v>
      </c>
      <c r="M886" s="56">
        <f>IF($C886="B",INDEX(Batters[[#All],[GAP P]],MATCH(Table5[[#This Row],[PID]],Batters[[#All],[PID]],0)),INDEX(Table3[[#All],[MOV P]],MATCH(Table5[[#This Row],[PID]],Table3[[#All],[PID]],0)))</f>
        <v>4</v>
      </c>
      <c r="N886" s="56">
        <f>IF($C886="B",INDEX(Batters[[#All],[POW P]],MATCH(Table5[[#This Row],[PID]],Batters[[#All],[PID]],0)),INDEX(Table3[[#All],[CON P]],MATCH(Table5[[#This Row],[PID]],Table3[[#All],[PID]],0)))</f>
        <v>8</v>
      </c>
      <c r="O886" s="56">
        <f>IF($C886="B",INDEX(Batters[[#All],[EYE P]],MATCH(Table5[[#This Row],[PID]],Batters[[#All],[PID]],0)),INDEX(Table3[[#All],[VELO]],MATCH(Table5[[#This Row],[PID]],Table3[[#All],[PID]],0)))</f>
        <v>6</v>
      </c>
      <c r="P886" s="56">
        <f>IF($C886="B",INDEX(Batters[[#All],[K P]],MATCH(Table5[[#This Row],[PID]],Batters[[#All],[PID]],0)),INDEX(Table3[[#All],[STM]],MATCH(Table5[[#This Row],[PID]],Table3[[#All],[PID]],0)))</f>
        <v>3</v>
      </c>
      <c r="Q886" s="61">
        <f>IF($C886="B",INDEX(Batters[[#All],[Tot]],MATCH(Table5[[#This Row],[PID]],Batters[[#All],[PID]],0)),INDEX(Table3[[#All],[Tot]],MATCH(Table5[[#This Row],[PID]],Table3[[#All],[PID]],0)))</f>
        <v>51.477787041050469</v>
      </c>
      <c r="R886" s="52">
        <f>IF($C886="B",INDEX(Batters[[#All],[zScore]],MATCH(Table5[[#This Row],[PID]],Batters[[#All],[PID]],0)),INDEX(Table3[[#All],[zScore]],MATCH(Table5[[#This Row],[PID]],Table3[[#All],[PID]],0)))</f>
        <v>1.2055938945805629</v>
      </c>
      <c r="S886" s="58" t="str">
        <f>IF($C886="B",INDEX(Batters[[#All],[DEM]],MATCH(Table5[[#This Row],[PID]],Batters[[#All],[PID]],0)),INDEX(Table3[[#All],[DEM]],MATCH(Table5[[#This Row],[PID]],Table3[[#All],[PID]],0)))</f>
        <v>$2.2m</v>
      </c>
      <c r="T886" s="62">
        <f>IF($C886="B",INDEX(Batters[[#All],[Rnk]],MATCH(Table5[[#This Row],[PID]],Batters[[#All],[PID]],0)),INDEX(Table3[[#All],[Rnk]],MATCH(Table5[[#This Row],[PID]],Table3[[#All],[PID]],0)))</f>
        <v>999</v>
      </c>
      <c r="U886" s="67">
        <f>IF($C886="B",VLOOKUP($A886,Bat!$A$4:$BA$1314,47,FALSE),VLOOKUP($A886,Pit!$A$4:$BF$1214,56,FALSE))</f>
        <v>450</v>
      </c>
      <c r="V886" s="50">
        <f>IF($C886="B",VLOOKUP($A886,Bat!$A$4:$BA$1314,48,FALSE),VLOOKUP($A886,Pit!$A$4:$BF$1214,57,FALSE))</f>
        <v>0</v>
      </c>
      <c r="W886" s="68">
        <f>IF(Table5[[#This Row],[posRnk]]=999,9999,Table5[[#This Row],[posRnk]]+Table5[[#This Row],[zRnk]]+IF($W$3&lt;&gt;Table5[[#This Row],[Type]],50,0))</f>
        <v>9999</v>
      </c>
      <c r="X886" s="51">
        <f>RANK(Table5[[#This Row],[zScore]],Table5[[#All],[zScore]])</f>
        <v>118</v>
      </c>
      <c r="Y886" s="50">
        <f>IFERROR(INDEX(DraftResults[[#All],[OVR]],MATCH(Table5[[#This Row],[PID]],DraftResults[[#All],[Player ID]],0)),"")</f>
        <v>92</v>
      </c>
      <c r="Z886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3</v>
      </c>
      <c r="AA886" s="50">
        <f>IFERROR(INDEX(DraftResults[[#All],[Pick in Round]],MATCH(Table5[[#This Row],[PID]],DraftResults[[#All],[Player ID]],0)),"")</f>
        <v>20</v>
      </c>
      <c r="AB886" s="50" t="str">
        <f>IFERROR(INDEX(DraftResults[[#All],[Team Name]],MATCH(Table5[[#This Row],[PID]],DraftResults[[#All],[Player ID]],0)),"")</f>
        <v>Fargo Dinosaurs</v>
      </c>
      <c r="AC886" s="50">
        <f>IF(Table5[[#This Row],[Ovr]]="","",IF(Table5[[#This Row],[cmbList]]="","",Table5[[#This Row],[cmbList]]-Table5[[#This Row],[Ovr]]))</f>
        <v>9907</v>
      </c>
      <c r="AD886" s="54" t="str">
        <f>IF(ISERROR(VLOOKUP($AB886&amp;"-"&amp;$E886&amp;" "&amp;F886,Bonuses!$B$1:$G$1006,4,FALSE)),"",INT(VLOOKUP($AB886&amp;"-"&amp;$E886&amp;" "&amp;$F886,Bonuses!$B$1:$G$1006,4,FALSE)))</f>
        <v/>
      </c>
      <c r="AE886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3.20 (92) - CF Min-han Yu</v>
      </c>
    </row>
    <row r="887" spans="1:31" s="50" customFormat="1" x14ac:dyDescent="0.3">
      <c r="A887" s="50">
        <v>21047</v>
      </c>
      <c r="B887" s="50">
        <f>COUNTIF(Table5[PID],A887)</f>
        <v>1</v>
      </c>
      <c r="C887" s="50" t="str">
        <f>IF(COUNTIF(Table3[[#All],[PID]],A887)&gt;0,"P","B")</f>
        <v>B</v>
      </c>
      <c r="D887" s="59" t="str">
        <f>IF($C887="B",INDEX(Batters[[#All],[POS]],MATCH(Table5[[#This Row],[PID]],Batters[[#All],[PID]],0)),INDEX(Table3[[#All],[POS]],MATCH(Table5[[#This Row],[PID]],Table3[[#All],[PID]],0)))</f>
        <v>3B</v>
      </c>
      <c r="E887" s="52" t="str">
        <f>IF($C887="B",INDEX(Batters[[#All],[First]],MATCH(Table5[[#This Row],[PID]],Batters[[#All],[PID]],0)),INDEX(Table3[[#All],[First]],MATCH(Table5[[#This Row],[PID]],Table3[[#All],[PID]],0)))</f>
        <v>John</v>
      </c>
      <c r="F887" s="50" t="str">
        <f>IF($C887="B",INDEX(Batters[[#All],[Last]],MATCH(A887,Batters[[#All],[PID]],0)),INDEX(Table3[[#All],[Last]],MATCH(A887,Table3[[#All],[PID]],0)))</f>
        <v>Myers</v>
      </c>
      <c r="G887" s="56">
        <f>IF($C887="B",INDEX(Batters[[#All],[Age]],MATCH(Table5[[#This Row],[PID]],Batters[[#All],[PID]],0)),INDEX(Table3[[#All],[Age]],MATCH(Table5[[#This Row],[PID]],Table3[[#All],[PID]],0)))</f>
        <v>18</v>
      </c>
      <c r="H887" s="52" t="str">
        <f>IF($C887="B",INDEX(Batters[[#All],[B]],MATCH(Table5[[#This Row],[PID]],Batters[[#All],[PID]],0)),INDEX(Table3[[#All],[B]],MATCH(Table5[[#This Row],[PID]],Table3[[#All],[PID]],0)))</f>
        <v>R</v>
      </c>
      <c r="I887" s="52" t="str">
        <f>IF($C887="B",INDEX(Batters[[#All],[T]],MATCH(Table5[[#This Row],[PID]],Batters[[#All],[PID]],0)),INDEX(Table3[[#All],[T]],MATCH(Table5[[#This Row],[PID]],Table3[[#All],[PID]],0)))</f>
        <v>R</v>
      </c>
      <c r="J887" s="52" t="str">
        <f>IF($C887="B",INDEX(Batters[[#All],[WE]],MATCH(Table5[[#This Row],[PID]],Batters[[#All],[PID]],0)),INDEX(Table3[[#All],[WE]],MATCH(Table5[[#This Row],[PID]],Table3[[#All],[PID]],0)))</f>
        <v>Low</v>
      </c>
      <c r="K887" s="52" t="str">
        <f>IF($C887="B",INDEX(Batters[[#All],[INT]],MATCH(Table5[[#This Row],[PID]],Batters[[#All],[PID]],0)),INDEX(Table3[[#All],[INT]],MATCH(Table5[[#This Row],[PID]],Table3[[#All],[PID]],0)))</f>
        <v>High</v>
      </c>
      <c r="L887" s="60">
        <f>IF($C887="B",INDEX(Batters[[#All],[CON P]],MATCH(Table5[[#This Row],[PID]],Batters[[#All],[PID]],0)),INDEX(Table3[[#All],[STU P]],MATCH(Table5[[#This Row],[PID]],Table3[[#All],[PID]],0)))</f>
        <v>3</v>
      </c>
      <c r="M887" s="56">
        <f>IF($C887="B",INDEX(Batters[[#All],[GAP P]],MATCH(Table5[[#This Row],[PID]],Batters[[#All],[PID]],0)),INDEX(Table3[[#All],[MOV P]],MATCH(Table5[[#This Row],[PID]],Table3[[#All],[PID]],0)))</f>
        <v>6</v>
      </c>
      <c r="N887" s="56">
        <f>IF($C887="B",INDEX(Batters[[#All],[POW P]],MATCH(Table5[[#This Row],[PID]],Batters[[#All],[PID]],0)),INDEX(Table3[[#All],[CON P]],MATCH(Table5[[#This Row],[PID]],Table3[[#All],[PID]],0)))</f>
        <v>8</v>
      </c>
      <c r="O887" s="56">
        <f>IF($C887="B",INDEX(Batters[[#All],[EYE P]],MATCH(Table5[[#This Row],[PID]],Batters[[#All],[PID]],0)),INDEX(Table3[[#All],[VELO]],MATCH(Table5[[#This Row],[PID]],Table3[[#All],[PID]],0)))</f>
        <v>6</v>
      </c>
      <c r="P887" s="56">
        <f>IF($C887="B",INDEX(Batters[[#All],[K P]],MATCH(Table5[[#This Row],[PID]],Batters[[#All],[PID]],0)),INDEX(Table3[[#All],[STM]],MATCH(Table5[[#This Row],[PID]],Table3[[#All],[PID]],0)))</f>
        <v>2</v>
      </c>
      <c r="Q887" s="61">
        <f>IF($C887="B",INDEX(Batters[[#All],[Tot]],MATCH(Table5[[#This Row],[PID]],Batters[[#All],[PID]],0)),INDEX(Table3[[#All],[Tot]],MATCH(Table5[[#This Row],[PID]],Table3[[#All],[PID]],0)))</f>
        <v>48.46397308622894</v>
      </c>
      <c r="R887" s="52">
        <f>IF($C887="B",INDEX(Batters[[#All],[zScore]],MATCH(Table5[[#This Row],[PID]],Batters[[#All],[PID]],0)),INDEX(Table3[[#All],[zScore]],MATCH(Table5[[#This Row],[PID]],Table3[[#All],[PID]],0)))</f>
        <v>0.76567316876705716</v>
      </c>
      <c r="S887" s="58" t="str">
        <f>IF($C887="B",INDEX(Batters[[#All],[DEM]],MATCH(Table5[[#This Row],[PID]],Batters[[#All],[PID]],0)),INDEX(Table3[[#All],[DEM]],MATCH(Table5[[#This Row],[PID]],Table3[[#All],[PID]],0)))</f>
        <v>$2.0m</v>
      </c>
      <c r="T887" s="62">
        <f>IF($C887="B",INDEX(Batters[[#All],[Rnk]],MATCH(Table5[[#This Row],[PID]],Batters[[#All],[PID]],0)),INDEX(Table3[[#All],[Rnk]],MATCH(Table5[[#This Row],[PID]],Table3[[#All],[PID]],0)))</f>
        <v>999</v>
      </c>
      <c r="U887" s="67">
        <f>IF($C887="B",VLOOKUP($A887,Bat!$A$4:$BA$1314,47,FALSE),VLOOKUP($A887,Pit!$A$4:$BF$1214,56,FALSE))</f>
        <v>451</v>
      </c>
      <c r="V887" s="50">
        <f>IF($C887="B",VLOOKUP($A887,Bat!$A$4:$BA$1314,48,FALSE),VLOOKUP($A887,Pit!$A$4:$BF$1214,57,FALSE))</f>
        <v>0</v>
      </c>
      <c r="W887" s="68">
        <f>IF(Table5[[#This Row],[posRnk]]=999,9999,Table5[[#This Row],[posRnk]]+Table5[[#This Row],[zRnk]]+IF($W$3&lt;&gt;Table5[[#This Row],[Type]],50,0))</f>
        <v>9999</v>
      </c>
      <c r="X887" s="51">
        <f>RANK(Table5[[#This Row],[zScore]],Table5[[#All],[zScore]])</f>
        <v>174</v>
      </c>
      <c r="Y887" s="50">
        <f>IFERROR(INDEX(DraftResults[[#All],[OVR]],MATCH(Table5[[#This Row],[PID]],DraftResults[[#All],[Player ID]],0)),"")</f>
        <v>163</v>
      </c>
      <c r="Z887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5</v>
      </c>
      <c r="AA887" s="50">
        <f>IFERROR(INDEX(DraftResults[[#All],[Pick in Round]],MATCH(Table5[[#This Row],[PID]],DraftResults[[#All],[Player ID]],0)),"")</f>
        <v>26</v>
      </c>
      <c r="AB887" s="50" t="str">
        <f>IFERROR(INDEX(DraftResults[[#All],[Team Name]],MATCH(Table5[[#This Row],[PID]],DraftResults[[#All],[Player ID]],0)),"")</f>
        <v>Neo-Tokyo Akira</v>
      </c>
      <c r="AC887" s="50">
        <f>IF(Table5[[#This Row],[Ovr]]="","",IF(Table5[[#This Row],[cmbList]]="","",Table5[[#This Row],[cmbList]]-Table5[[#This Row],[Ovr]]))</f>
        <v>9836</v>
      </c>
      <c r="AD887" s="54" t="str">
        <f>IF(ISERROR(VLOOKUP($AB887&amp;"-"&amp;$E887&amp;" "&amp;F887,Bonuses!$B$1:$G$1006,4,FALSE)),"",INT(VLOOKUP($AB887&amp;"-"&amp;$E887&amp;" "&amp;$F887,Bonuses!$B$1:$G$1006,4,FALSE)))</f>
        <v/>
      </c>
      <c r="AE887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5.26 (163) - 3B John Myers</v>
      </c>
    </row>
    <row r="888" spans="1:31" s="50" customFormat="1" x14ac:dyDescent="0.3">
      <c r="A888" s="67">
        <v>12312</v>
      </c>
      <c r="B888" s="68">
        <f>COUNTIF(Table5[PID],A888)</f>
        <v>1</v>
      </c>
      <c r="C888" s="68" t="str">
        <f>IF(COUNTIF(Table3[[#All],[PID]],A888)&gt;0,"P","B")</f>
        <v>B</v>
      </c>
      <c r="D888" s="59" t="str">
        <f>IF($C888="B",INDEX(Batters[[#All],[POS]],MATCH(Table5[[#This Row],[PID]],Batters[[#All],[PID]],0)),INDEX(Table3[[#All],[POS]],MATCH(Table5[[#This Row],[PID]],Table3[[#All],[PID]],0)))</f>
        <v>CF</v>
      </c>
      <c r="E888" s="52" t="str">
        <f>IF($C888="B",INDEX(Batters[[#All],[First]],MATCH(Table5[[#This Row],[PID]],Batters[[#All],[PID]],0)),INDEX(Table3[[#All],[First]],MATCH(Table5[[#This Row],[PID]],Table3[[#All],[PID]],0)))</f>
        <v>Héctor</v>
      </c>
      <c r="F888" s="55" t="str">
        <f>IF($C888="B",INDEX(Batters[[#All],[Last]],MATCH(A888,Batters[[#All],[PID]],0)),INDEX(Table3[[#All],[Last]],MATCH(A888,Table3[[#All],[PID]],0)))</f>
        <v>Hernández</v>
      </c>
      <c r="G888" s="56">
        <f>IF($C888="B",INDEX(Batters[[#All],[Age]],MATCH(Table5[[#This Row],[PID]],Batters[[#All],[PID]],0)),INDEX(Table3[[#All],[Age]],MATCH(Table5[[#This Row],[PID]],Table3[[#All],[PID]],0)))</f>
        <v>17</v>
      </c>
      <c r="H888" s="52" t="str">
        <f>IF($C888="B",INDEX(Batters[[#All],[B]],MATCH(Table5[[#This Row],[PID]],Batters[[#All],[PID]],0)),INDEX(Table3[[#All],[B]],MATCH(Table5[[#This Row],[PID]],Table3[[#All],[PID]],0)))</f>
        <v>R</v>
      </c>
      <c r="I888" s="52" t="str">
        <f>IF($C888="B",INDEX(Batters[[#All],[T]],MATCH(Table5[[#This Row],[PID]],Batters[[#All],[PID]],0)),INDEX(Table3[[#All],[T]],MATCH(Table5[[#This Row],[PID]],Table3[[#All],[PID]],0)))</f>
        <v>R</v>
      </c>
      <c r="J888" s="69" t="str">
        <f>IF($C888="B",INDEX(Batters[[#All],[WE]],MATCH(Table5[[#This Row],[PID]],Batters[[#All],[PID]],0)),INDEX(Table3[[#All],[WE]],MATCH(Table5[[#This Row],[PID]],Table3[[#All],[PID]],0)))</f>
        <v>Normal</v>
      </c>
      <c r="K888" s="52" t="str">
        <f>IF($C888="B",INDEX(Batters[[#All],[INT]],MATCH(Table5[[#This Row],[PID]],Batters[[#All],[PID]],0)),INDEX(Table3[[#All],[INT]],MATCH(Table5[[#This Row],[PID]],Table3[[#All],[PID]],0)))</f>
        <v>Normal</v>
      </c>
      <c r="L888" s="60">
        <f>IF($C888="B",INDEX(Batters[[#All],[CON P]],MATCH(Table5[[#This Row],[PID]],Batters[[#All],[PID]],0)),INDEX(Table3[[#All],[STU P]],MATCH(Table5[[#This Row],[PID]],Table3[[#All],[PID]],0)))</f>
        <v>4</v>
      </c>
      <c r="M888" s="70">
        <f>IF($C888="B",INDEX(Batters[[#All],[GAP P]],MATCH(Table5[[#This Row],[PID]],Batters[[#All],[PID]],0)),INDEX(Table3[[#All],[MOV P]],MATCH(Table5[[#This Row],[PID]],Table3[[#All],[PID]],0)))</f>
        <v>4</v>
      </c>
      <c r="N888" s="70">
        <f>IF($C888="B",INDEX(Batters[[#All],[POW P]],MATCH(Table5[[#This Row],[PID]],Batters[[#All],[PID]],0)),INDEX(Table3[[#All],[CON P]],MATCH(Table5[[#This Row],[PID]],Table3[[#All],[PID]],0)))</f>
        <v>4</v>
      </c>
      <c r="O888" s="70">
        <f>IF($C888="B",INDEX(Batters[[#All],[EYE P]],MATCH(Table5[[#This Row],[PID]],Batters[[#All],[PID]],0)),INDEX(Table3[[#All],[VELO]],MATCH(Table5[[#This Row],[PID]],Table3[[#All],[PID]],0)))</f>
        <v>6</v>
      </c>
      <c r="P888" s="56">
        <f>IF($C888="B",INDEX(Batters[[#All],[K P]],MATCH(Table5[[#This Row],[PID]],Batters[[#All],[PID]],0)),INDEX(Table3[[#All],[STM]],MATCH(Table5[[#This Row],[PID]],Table3[[#All],[PID]],0)))</f>
        <v>4</v>
      </c>
      <c r="Q888" s="61">
        <f>IF($C888="B",INDEX(Batters[[#All],[Tot]],MATCH(Table5[[#This Row],[PID]],Batters[[#All],[PID]],0)),INDEX(Table3[[#All],[Tot]],MATCH(Table5[[#This Row],[PID]],Table3[[#All],[PID]],0)))</f>
        <v>48.087752440236756</v>
      </c>
      <c r="R888" s="52">
        <f>IF($C888="B",INDEX(Batters[[#All],[zScore]],MATCH(Table5[[#This Row],[PID]],Batters[[#All],[PID]],0)),INDEX(Table3[[#All],[zScore]],MATCH(Table5[[#This Row],[PID]],Table3[[#All],[PID]],0)))</f>
        <v>0.71075695226134761</v>
      </c>
      <c r="S888" s="75" t="str">
        <f>IF($C888="B",INDEX(Batters[[#All],[DEM]],MATCH(Table5[[#This Row],[PID]],Batters[[#All],[PID]],0)),INDEX(Table3[[#All],[DEM]],MATCH(Table5[[#This Row],[PID]],Table3[[#All],[PID]],0)))</f>
        <v>$2.4m</v>
      </c>
      <c r="T888" s="72">
        <f>IF($C888="B",INDEX(Batters[[#All],[Rnk]],MATCH(Table5[[#This Row],[PID]],Batters[[#All],[PID]],0)),INDEX(Table3[[#All],[Rnk]],MATCH(Table5[[#This Row],[PID]],Table3[[#All],[PID]],0)))</f>
        <v>999</v>
      </c>
      <c r="U888" s="67">
        <f>IF($C888="B",VLOOKUP($A888,Bat!$A$4:$BA$1314,47,FALSE),VLOOKUP($A888,Pit!$A$4:$BF$1214,56,FALSE))</f>
        <v>452</v>
      </c>
      <c r="V888" s="50">
        <f>IF($C888="B",VLOOKUP($A888,Bat!$A$4:$BA$1314,48,FALSE),VLOOKUP($A888,Pit!$A$4:$BF$1214,57,FALSE))</f>
        <v>0</v>
      </c>
      <c r="W888" s="68">
        <f>IF(Table5[[#This Row],[posRnk]]=999,9999,Table5[[#This Row],[posRnk]]+Table5[[#This Row],[zRnk]]+IF($W$3&lt;&gt;Table5[[#This Row],[Type]],50,0))</f>
        <v>9999</v>
      </c>
      <c r="X888" s="71">
        <f>RANK(Table5[[#This Row],[zScore]],Table5[[#All],[zScore]])</f>
        <v>184</v>
      </c>
      <c r="Y888" s="68">
        <f>IFERROR(INDEX(DraftResults[[#All],[OVR]],MATCH(Table5[[#This Row],[PID]],DraftResults[[#All],[Player ID]],0)),"")</f>
        <v>584</v>
      </c>
      <c r="Z888" s="7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18</v>
      </c>
      <c r="AA888" s="68">
        <f>IFERROR(INDEX(DraftResults[[#All],[Pick in Round]],MATCH(Table5[[#This Row],[PID]],DraftResults[[#All],[Player ID]],0)),"")</f>
        <v>15</v>
      </c>
      <c r="AB888" s="68" t="str">
        <f>IFERROR(INDEX(DraftResults[[#All],[Team Name]],MATCH(Table5[[#This Row],[PID]],DraftResults[[#All],[Player ID]],0)),"")</f>
        <v>Niihama-shi Ghosts</v>
      </c>
      <c r="AC888" s="68">
        <f>IF(Table5[[#This Row],[Ovr]]="","",IF(Table5[[#This Row],[cmbList]]="","",Table5[[#This Row],[cmbList]]-Table5[[#This Row],[Ovr]]))</f>
        <v>9415</v>
      </c>
      <c r="AD888" s="74" t="str">
        <f>IF(ISERROR(VLOOKUP($AB888&amp;"-"&amp;$E888&amp;" "&amp;F888,Bonuses!$B$1:$G$1006,4,FALSE)),"",INT(VLOOKUP($AB888&amp;"-"&amp;$E888&amp;" "&amp;$F888,Bonuses!$B$1:$G$1006,4,FALSE)))</f>
        <v/>
      </c>
      <c r="AE888" s="68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18.15 (584) - CF Héctor Hernández</v>
      </c>
    </row>
    <row r="889" spans="1:31" s="50" customFormat="1" x14ac:dyDescent="0.3">
      <c r="A889" s="67">
        <v>12604</v>
      </c>
      <c r="B889" s="68">
        <f>COUNTIF(Table5[PID],A889)</f>
        <v>1</v>
      </c>
      <c r="C889" s="68" t="str">
        <f>IF(COUNTIF(Table3[[#All],[PID]],A889)&gt;0,"P","B")</f>
        <v>B</v>
      </c>
      <c r="D889" s="59" t="str">
        <f>IF($C889="B",INDEX(Batters[[#All],[POS]],MATCH(Table5[[#This Row],[PID]],Batters[[#All],[PID]],0)),INDEX(Table3[[#All],[POS]],MATCH(Table5[[#This Row],[PID]],Table3[[#All],[PID]],0)))</f>
        <v>1B</v>
      </c>
      <c r="E889" s="52" t="str">
        <f>IF($C889="B",INDEX(Batters[[#All],[First]],MATCH(Table5[[#This Row],[PID]],Batters[[#All],[PID]],0)),INDEX(Table3[[#All],[First]],MATCH(Table5[[#This Row],[PID]],Table3[[#All],[PID]],0)))</f>
        <v>Sam</v>
      </c>
      <c r="F889" s="55" t="str">
        <f>IF($C889="B",INDEX(Batters[[#All],[Last]],MATCH(A889,Batters[[#All],[PID]],0)),INDEX(Table3[[#All],[Last]],MATCH(A889,Table3[[#All],[PID]],0)))</f>
        <v>Rolston</v>
      </c>
      <c r="G889" s="56">
        <f>IF($C889="B",INDEX(Batters[[#All],[Age]],MATCH(Table5[[#This Row],[PID]],Batters[[#All],[PID]],0)),INDEX(Table3[[#All],[Age]],MATCH(Table5[[#This Row],[PID]],Table3[[#All],[PID]],0)))</f>
        <v>17</v>
      </c>
      <c r="H889" s="52" t="str">
        <f>IF($C889="B",INDEX(Batters[[#All],[B]],MATCH(Table5[[#This Row],[PID]],Batters[[#All],[PID]],0)),INDEX(Table3[[#All],[B]],MATCH(Table5[[#This Row],[PID]],Table3[[#All],[PID]],0)))</f>
        <v>R</v>
      </c>
      <c r="I889" s="52" t="str">
        <f>IF($C889="B",INDEX(Batters[[#All],[T]],MATCH(Table5[[#This Row],[PID]],Batters[[#All],[PID]],0)),INDEX(Table3[[#All],[T]],MATCH(Table5[[#This Row],[PID]],Table3[[#All],[PID]],0)))</f>
        <v>R</v>
      </c>
      <c r="J889" s="69" t="str">
        <f>IF($C889="B",INDEX(Batters[[#All],[WE]],MATCH(Table5[[#This Row],[PID]],Batters[[#All],[PID]],0)),INDEX(Table3[[#All],[WE]],MATCH(Table5[[#This Row],[PID]],Table3[[#All],[PID]],0)))</f>
        <v>High</v>
      </c>
      <c r="K889" s="52" t="str">
        <f>IF($C889="B",INDEX(Batters[[#All],[INT]],MATCH(Table5[[#This Row],[PID]],Batters[[#All],[PID]],0)),INDEX(Table3[[#All],[INT]],MATCH(Table5[[#This Row],[PID]],Table3[[#All],[PID]],0)))</f>
        <v>Normal</v>
      </c>
      <c r="L889" s="60">
        <f>IF($C889="B",INDEX(Batters[[#All],[CON P]],MATCH(Table5[[#This Row],[PID]],Batters[[#All],[PID]],0)),INDEX(Table3[[#All],[STU P]],MATCH(Table5[[#This Row],[PID]],Table3[[#All],[PID]],0)))</f>
        <v>4</v>
      </c>
      <c r="M889" s="70">
        <f>IF($C889="B",INDEX(Batters[[#All],[GAP P]],MATCH(Table5[[#This Row],[PID]],Batters[[#All],[PID]],0)),INDEX(Table3[[#All],[MOV P]],MATCH(Table5[[#This Row],[PID]],Table3[[#All],[PID]],0)))</f>
        <v>4</v>
      </c>
      <c r="N889" s="70">
        <f>IF($C889="B",INDEX(Batters[[#All],[POW P]],MATCH(Table5[[#This Row],[PID]],Batters[[#All],[PID]],0)),INDEX(Table3[[#All],[CON P]],MATCH(Table5[[#This Row],[PID]],Table3[[#All],[PID]],0)))</f>
        <v>3</v>
      </c>
      <c r="O889" s="70">
        <f>IF($C889="B",INDEX(Batters[[#All],[EYE P]],MATCH(Table5[[#This Row],[PID]],Batters[[#All],[PID]],0)),INDEX(Table3[[#All],[VELO]],MATCH(Table5[[#This Row],[PID]],Table3[[#All],[PID]],0)))</f>
        <v>5</v>
      </c>
      <c r="P889" s="56">
        <f>IF($C889="B",INDEX(Batters[[#All],[K P]],MATCH(Table5[[#This Row],[PID]],Batters[[#All],[PID]],0)),INDEX(Table3[[#All],[STM]],MATCH(Table5[[#This Row],[PID]],Table3[[#All],[PID]],0)))</f>
        <v>4</v>
      </c>
      <c r="Q889" s="61">
        <f>IF($C889="B",INDEX(Batters[[#All],[Tot]],MATCH(Table5[[#This Row],[PID]],Batters[[#All],[PID]],0)),INDEX(Table3[[#All],[Tot]],MATCH(Table5[[#This Row],[PID]],Table3[[#All],[PID]],0)))</f>
        <v>46.828576854797788</v>
      </c>
      <c r="R889" s="52">
        <f>IF($C889="B",INDEX(Batters[[#All],[zScore]],MATCH(Table5[[#This Row],[PID]],Batters[[#All],[PID]],0)),INDEX(Table3[[#All],[zScore]],MATCH(Table5[[#This Row],[PID]],Table3[[#All],[PID]],0)))</f>
        <v>0.52695747234097567</v>
      </c>
      <c r="S889" s="75" t="str">
        <f>IF($C889="B",INDEX(Batters[[#All],[DEM]],MATCH(Table5[[#This Row],[PID]],Batters[[#All],[PID]],0)),INDEX(Table3[[#All],[DEM]],MATCH(Table5[[#This Row],[PID]],Table3[[#All],[PID]],0)))</f>
        <v>$1.2m</v>
      </c>
      <c r="T889" s="72">
        <f>IF($C889="B",INDEX(Batters[[#All],[Rnk]],MATCH(Table5[[#This Row],[PID]],Batters[[#All],[PID]],0)),INDEX(Table3[[#All],[Rnk]],MATCH(Table5[[#This Row],[PID]],Table3[[#All],[PID]],0)))</f>
        <v>999</v>
      </c>
      <c r="U889" s="67">
        <f>IF($C889="B",VLOOKUP($A889,Bat!$A$4:$BA$1314,47,FALSE),VLOOKUP($A889,Pit!$A$4:$BF$1214,56,FALSE))</f>
        <v>453</v>
      </c>
      <c r="V889" s="50">
        <f>IF($C889="B",VLOOKUP($A889,Bat!$A$4:$BA$1314,48,FALSE),VLOOKUP($A889,Pit!$A$4:$BF$1214,57,FALSE))</f>
        <v>0</v>
      </c>
      <c r="W889" s="68">
        <f>IF(Table5[[#This Row],[posRnk]]=999,9999,Table5[[#This Row],[posRnk]]+Table5[[#This Row],[zRnk]]+IF($W$3&lt;&gt;Table5[[#This Row],[Type]],50,0))</f>
        <v>9999</v>
      </c>
      <c r="X889" s="71">
        <f>RANK(Table5[[#This Row],[zScore]],Table5[[#All],[zScore]])</f>
        <v>218</v>
      </c>
      <c r="Y889" s="68">
        <f>IFERROR(INDEX(DraftResults[[#All],[OVR]],MATCH(Table5[[#This Row],[PID]],DraftResults[[#All],[Player ID]],0)),"")</f>
        <v>303</v>
      </c>
      <c r="Z889" s="7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>10</v>
      </c>
      <c r="AA889" s="68">
        <f>IFERROR(INDEX(DraftResults[[#All],[Pick in Round]],MATCH(Table5[[#This Row],[PID]],DraftResults[[#All],[Player ID]],0)),"")</f>
        <v>6</v>
      </c>
      <c r="AB889" s="68" t="str">
        <f>IFERROR(INDEX(DraftResults[[#All],[Team Name]],MATCH(Table5[[#This Row],[PID]],DraftResults[[#All],[Player ID]],0)),"")</f>
        <v>New Orleans Trendsetters</v>
      </c>
      <c r="AC889" s="68">
        <f>IF(Table5[[#This Row],[Ovr]]="","",IF(Table5[[#This Row],[cmbList]]="","",Table5[[#This Row],[cmbList]]-Table5[[#This Row],[Ovr]]))</f>
        <v>9696</v>
      </c>
      <c r="AD889" s="74" t="str">
        <f>IF(ISERROR(VLOOKUP($AB889&amp;"-"&amp;$E889&amp;" "&amp;F889,Bonuses!$B$1:$G$1006,4,FALSE)),"",INT(VLOOKUP($AB889&amp;"-"&amp;$E889&amp;" "&amp;$F889,Bonuses!$B$1:$G$1006,4,FALSE)))</f>
        <v/>
      </c>
      <c r="AE889" s="68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>10.6 (303) - 1B Sam Rolston</v>
      </c>
    </row>
    <row r="890" spans="1:31" s="50" customFormat="1" x14ac:dyDescent="0.3">
      <c r="A890" s="50">
        <v>9201</v>
      </c>
      <c r="B890" s="50">
        <f>COUNTIF(Table5[PID],A890)</f>
        <v>1</v>
      </c>
      <c r="C890" s="50" t="str">
        <f>IF(COUNTIF(Table3[[#All],[PID]],A890)&gt;0,"P","B")</f>
        <v>B</v>
      </c>
      <c r="D890" s="59" t="str">
        <f>IF($C890="B",INDEX(Batters[[#All],[POS]],MATCH(Table5[[#This Row],[PID]],Batters[[#All],[PID]],0)),INDEX(Table3[[#All],[POS]],MATCH(Table5[[#This Row],[PID]],Table3[[#All],[PID]],0)))</f>
        <v>3B</v>
      </c>
      <c r="E890" s="52" t="str">
        <f>IF($C890="B",INDEX(Batters[[#All],[First]],MATCH(Table5[[#This Row],[PID]],Batters[[#All],[PID]],0)),INDEX(Table3[[#All],[First]],MATCH(Table5[[#This Row],[PID]],Table3[[#All],[PID]],0)))</f>
        <v>Johnathan</v>
      </c>
      <c r="F890" s="50" t="str">
        <f>IF($C890="B",INDEX(Batters[[#All],[Last]],MATCH(A890,Batters[[#All],[PID]],0)),INDEX(Table3[[#All],[Last]],MATCH(A890,Table3[[#All],[PID]],0)))</f>
        <v>Strong</v>
      </c>
      <c r="G890" s="56">
        <f>IF($C890="B",INDEX(Batters[[#All],[Age]],MATCH(Table5[[#This Row],[PID]],Batters[[#All],[PID]],0)),INDEX(Table3[[#All],[Age]],MATCH(Table5[[#This Row],[PID]],Table3[[#All],[PID]],0)))</f>
        <v>17</v>
      </c>
      <c r="H890" s="52" t="str">
        <f>IF($C890="B",INDEX(Batters[[#All],[B]],MATCH(Table5[[#This Row],[PID]],Batters[[#All],[PID]],0)),INDEX(Table3[[#All],[B]],MATCH(Table5[[#This Row],[PID]],Table3[[#All],[PID]],0)))</f>
        <v>R</v>
      </c>
      <c r="I890" s="52" t="str">
        <f>IF($C890="B",INDEX(Batters[[#All],[T]],MATCH(Table5[[#This Row],[PID]],Batters[[#All],[PID]],0)),INDEX(Table3[[#All],[T]],MATCH(Table5[[#This Row],[PID]],Table3[[#All],[PID]],0)))</f>
        <v>R</v>
      </c>
      <c r="J890" s="52" t="str">
        <f>IF($C890="B",INDEX(Batters[[#All],[WE]],MATCH(Table5[[#This Row],[PID]],Batters[[#All],[PID]],0)),INDEX(Table3[[#All],[WE]],MATCH(Table5[[#This Row],[PID]],Table3[[#All],[PID]],0)))</f>
        <v>Normal</v>
      </c>
      <c r="K890" s="52" t="str">
        <f>IF($C890="B",INDEX(Batters[[#All],[INT]],MATCH(Table5[[#This Row],[PID]],Batters[[#All],[PID]],0)),INDEX(Table3[[#All],[INT]],MATCH(Table5[[#This Row],[PID]],Table3[[#All],[PID]],0)))</f>
        <v>Normal</v>
      </c>
      <c r="L890" s="60">
        <f>IF($C890="B",INDEX(Batters[[#All],[CON P]],MATCH(Table5[[#This Row],[PID]],Batters[[#All],[PID]],0)),INDEX(Table3[[#All],[STU P]],MATCH(Table5[[#This Row],[PID]],Table3[[#All],[PID]],0)))</f>
        <v>4</v>
      </c>
      <c r="M890" s="56">
        <f>IF($C890="B",INDEX(Batters[[#All],[GAP P]],MATCH(Table5[[#This Row],[PID]],Batters[[#All],[PID]],0)),INDEX(Table3[[#All],[MOV P]],MATCH(Table5[[#This Row],[PID]],Table3[[#All],[PID]],0)))</f>
        <v>3</v>
      </c>
      <c r="N890" s="56">
        <f>IF($C890="B",INDEX(Batters[[#All],[POW P]],MATCH(Table5[[#This Row],[PID]],Batters[[#All],[PID]],0)),INDEX(Table3[[#All],[CON P]],MATCH(Table5[[#This Row],[PID]],Table3[[#All],[PID]],0)))</f>
        <v>3</v>
      </c>
      <c r="O890" s="56">
        <f>IF($C890="B",INDEX(Batters[[#All],[EYE P]],MATCH(Table5[[#This Row],[PID]],Batters[[#All],[PID]],0)),INDEX(Table3[[#All],[VELO]],MATCH(Table5[[#This Row],[PID]],Table3[[#All],[PID]],0)))</f>
        <v>5</v>
      </c>
      <c r="P890" s="56">
        <f>IF($C890="B",INDEX(Batters[[#All],[K P]],MATCH(Table5[[#This Row],[PID]],Batters[[#All],[PID]],0)),INDEX(Table3[[#All],[STM]],MATCH(Table5[[#This Row],[PID]],Table3[[#All],[PID]],0)))</f>
        <v>5</v>
      </c>
      <c r="Q890" s="61">
        <f>IF($C890="B",INDEX(Batters[[#All],[Tot]],MATCH(Table5[[#This Row],[PID]],Batters[[#All],[PID]],0)),INDEX(Table3[[#All],[Tot]],MATCH(Table5[[#This Row],[PID]],Table3[[#All],[PID]],0)))</f>
        <v>45.708489987870138</v>
      </c>
      <c r="R890" s="52">
        <f>IF($C890="B",INDEX(Batters[[#All],[zScore]],MATCH(Table5[[#This Row],[PID]],Batters[[#All],[PID]],0)),INDEX(Table3[[#All],[zScore]],MATCH(Table5[[#This Row],[PID]],Table3[[#All],[PID]],0)))</f>
        <v>0.36346050973494554</v>
      </c>
      <c r="S890" s="58" t="str">
        <f>IF($C890="B",INDEX(Batters[[#All],[DEM]],MATCH(Table5[[#This Row],[PID]],Batters[[#All],[PID]],0)),INDEX(Table3[[#All],[DEM]],MATCH(Table5[[#This Row],[PID]],Table3[[#All],[PID]],0)))</f>
        <v>$2.8m</v>
      </c>
      <c r="T890" s="62">
        <f>IF($C890="B",INDEX(Batters[[#All],[Rnk]],MATCH(Table5[[#This Row],[PID]],Batters[[#All],[PID]],0)),INDEX(Table3[[#All],[Rnk]],MATCH(Table5[[#This Row],[PID]],Table3[[#All],[PID]],0)))</f>
        <v>999</v>
      </c>
      <c r="U890" s="67">
        <f>IF($C890="B",VLOOKUP($A890,Bat!$A$4:$BA$1314,47,FALSE),VLOOKUP($A890,Pit!$A$4:$BF$1214,56,FALSE))</f>
        <v>454</v>
      </c>
      <c r="V890" s="50">
        <f>IF($C890="B",VLOOKUP($A890,Bat!$A$4:$BA$1314,48,FALSE),VLOOKUP($A890,Pit!$A$4:$BF$1214,57,FALSE))</f>
        <v>0</v>
      </c>
      <c r="W890" s="68">
        <f>IF(Table5[[#This Row],[posRnk]]=999,9999,Table5[[#This Row],[posRnk]]+Table5[[#This Row],[zRnk]]+IF($W$3&lt;&gt;Table5[[#This Row],[Type]],50,0))</f>
        <v>9999</v>
      </c>
      <c r="X890" s="51">
        <f>RANK(Table5[[#This Row],[zScore]],Table5[[#All],[zScore]])</f>
        <v>265</v>
      </c>
      <c r="Y890" s="50" t="str">
        <f>IFERROR(INDEX(DraftResults[[#All],[OVR]],MATCH(Table5[[#This Row],[PID]],DraftResults[[#All],[Player ID]],0)),"")</f>
        <v/>
      </c>
      <c r="Z890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/>
      </c>
      <c r="AA890" s="50" t="str">
        <f>IFERROR(INDEX(DraftResults[[#All],[Pick in Round]],MATCH(Table5[[#This Row],[PID]],DraftResults[[#All],[Player ID]],0)),"")</f>
        <v/>
      </c>
      <c r="AB890" s="50" t="str">
        <f>IFERROR(INDEX(DraftResults[[#All],[Team Name]],MATCH(Table5[[#This Row],[PID]],DraftResults[[#All],[Player ID]],0)),"")</f>
        <v/>
      </c>
      <c r="AC890" s="50" t="str">
        <f>IF(Table5[[#This Row],[Ovr]]="","",IF(Table5[[#This Row],[cmbList]]="","",Table5[[#This Row],[cmbList]]-Table5[[#This Row],[Ovr]]))</f>
        <v/>
      </c>
      <c r="AD890" s="54" t="str">
        <f>IF(ISERROR(VLOOKUP($AB890&amp;"-"&amp;$E890&amp;" "&amp;F890,Bonuses!$B$1:$G$1006,4,FALSE)),"",INT(VLOOKUP($AB890&amp;"-"&amp;$E890&amp;" "&amp;$F890,Bonuses!$B$1:$G$1006,4,FALSE)))</f>
        <v/>
      </c>
      <c r="AE890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/>
      </c>
    </row>
    <row r="891" spans="1:31" s="50" customFormat="1" x14ac:dyDescent="0.3">
      <c r="A891" s="50">
        <v>9322</v>
      </c>
      <c r="B891" s="50">
        <f>COUNTIF(Table5[PID],A891)</f>
        <v>1</v>
      </c>
      <c r="C891" s="50" t="str">
        <f>IF(COUNTIF(Table3[[#All],[PID]],A891)&gt;0,"P","B")</f>
        <v>B</v>
      </c>
      <c r="D891" s="59" t="str">
        <f>IF($C891="B",INDEX(Batters[[#All],[POS]],MATCH(Table5[[#This Row],[PID]],Batters[[#All],[PID]],0)),INDEX(Table3[[#All],[POS]],MATCH(Table5[[#This Row],[PID]],Table3[[#All],[PID]],0)))</f>
        <v>C</v>
      </c>
      <c r="E891" s="52" t="str">
        <f>IF($C891="B",INDEX(Batters[[#All],[First]],MATCH(Table5[[#This Row],[PID]],Batters[[#All],[PID]],0)),INDEX(Table3[[#All],[First]],MATCH(Table5[[#This Row],[PID]],Table3[[#All],[PID]],0)))</f>
        <v>Jamal</v>
      </c>
      <c r="F891" s="50" t="str">
        <f>IF($C891="B",INDEX(Batters[[#All],[Last]],MATCH(A891,Batters[[#All],[PID]],0)),INDEX(Table3[[#All],[Last]],MATCH(A891,Table3[[#All],[PID]],0)))</f>
        <v>Mitchell</v>
      </c>
      <c r="G891" s="56">
        <f>IF($C891="B",INDEX(Batters[[#All],[Age]],MATCH(Table5[[#This Row],[PID]],Batters[[#All],[PID]],0)),INDEX(Table3[[#All],[Age]],MATCH(Table5[[#This Row],[PID]],Table3[[#All],[PID]],0)))</f>
        <v>18</v>
      </c>
      <c r="H891" s="52" t="str">
        <f>IF($C891="B",INDEX(Batters[[#All],[B]],MATCH(Table5[[#This Row],[PID]],Batters[[#All],[PID]],0)),INDEX(Table3[[#All],[B]],MATCH(Table5[[#This Row],[PID]],Table3[[#All],[PID]],0)))</f>
        <v>S</v>
      </c>
      <c r="I891" s="52" t="str">
        <f>IF($C891="B",INDEX(Batters[[#All],[T]],MATCH(Table5[[#This Row],[PID]],Batters[[#All],[PID]],0)),INDEX(Table3[[#All],[T]],MATCH(Table5[[#This Row],[PID]],Table3[[#All],[PID]],0)))</f>
        <v>R</v>
      </c>
      <c r="J891" s="52" t="str">
        <f>IF($C891="B",INDEX(Batters[[#All],[WE]],MATCH(Table5[[#This Row],[PID]],Batters[[#All],[PID]],0)),INDEX(Table3[[#All],[WE]],MATCH(Table5[[#This Row],[PID]],Table3[[#All],[PID]],0)))</f>
        <v>High</v>
      </c>
      <c r="K891" s="52" t="str">
        <f>IF($C891="B",INDEX(Batters[[#All],[INT]],MATCH(Table5[[#This Row],[PID]],Batters[[#All],[PID]],0)),INDEX(Table3[[#All],[INT]],MATCH(Table5[[#This Row],[PID]],Table3[[#All],[PID]],0)))</f>
        <v>Normal</v>
      </c>
      <c r="L891" s="60">
        <f>IF($C891="B",INDEX(Batters[[#All],[CON P]],MATCH(Table5[[#This Row],[PID]],Batters[[#All],[PID]],0)),INDEX(Table3[[#All],[STU P]],MATCH(Table5[[#This Row],[PID]],Table3[[#All],[PID]],0)))</f>
        <v>2</v>
      </c>
      <c r="M891" s="56">
        <f>IF($C891="B",INDEX(Batters[[#All],[GAP P]],MATCH(Table5[[#This Row],[PID]],Batters[[#All],[PID]],0)),INDEX(Table3[[#All],[MOV P]],MATCH(Table5[[#This Row],[PID]],Table3[[#All],[PID]],0)))</f>
        <v>6</v>
      </c>
      <c r="N891" s="56">
        <f>IF($C891="B",INDEX(Batters[[#All],[POW P]],MATCH(Table5[[#This Row],[PID]],Batters[[#All],[PID]],0)),INDEX(Table3[[#All],[CON P]],MATCH(Table5[[#This Row],[PID]],Table3[[#All],[PID]],0)))</f>
        <v>6</v>
      </c>
      <c r="O891" s="56">
        <f>IF($C891="B",INDEX(Batters[[#All],[EYE P]],MATCH(Table5[[#This Row],[PID]],Batters[[#All],[PID]],0)),INDEX(Table3[[#All],[VELO]],MATCH(Table5[[#This Row],[PID]],Table3[[#All],[PID]],0)))</f>
        <v>5</v>
      </c>
      <c r="P891" s="56">
        <f>IF($C891="B",INDEX(Batters[[#All],[K P]],MATCH(Table5[[#This Row],[PID]],Batters[[#All],[PID]],0)),INDEX(Table3[[#All],[STM]],MATCH(Table5[[#This Row],[PID]],Table3[[#All],[PID]],0)))</f>
        <v>1</v>
      </c>
      <c r="Q891" s="61">
        <f>IF($C891="B",INDEX(Batters[[#All],[Tot]],MATCH(Table5[[#This Row],[PID]],Batters[[#All],[PID]],0)),INDEX(Table3[[#All],[Tot]],MATCH(Table5[[#This Row],[PID]],Table3[[#All],[PID]],0)))</f>
        <v>41.34311651730323</v>
      </c>
      <c r="R891" s="52">
        <f>IF($C891="B",INDEX(Batters[[#All],[zScore]],MATCH(Table5[[#This Row],[PID]],Batters[[#All],[PID]],0)),INDEX(Table3[[#All],[zScore]],MATCH(Table5[[#This Row],[PID]],Table3[[#All],[PID]],0)))</f>
        <v>-0.27374480366753318</v>
      </c>
      <c r="S891" s="58" t="str">
        <f>IF($C891="B",INDEX(Batters[[#All],[DEM]],MATCH(Table5[[#This Row],[PID]],Batters[[#All],[PID]],0)),INDEX(Table3[[#All],[DEM]],MATCH(Table5[[#This Row],[PID]],Table3[[#All],[PID]],0)))</f>
        <v>$2.4m</v>
      </c>
      <c r="T891" s="62">
        <f>IF($C891="B",INDEX(Batters[[#All],[Rnk]],MATCH(Table5[[#This Row],[PID]],Batters[[#All],[PID]],0)),INDEX(Table3[[#All],[Rnk]],MATCH(Table5[[#This Row],[PID]],Table3[[#All],[PID]],0)))</f>
        <v>999</v>
      </c>
      <c r="U891" s="67">
        <f>IF($C891="B",VLOOKUP($A891,Bat!$A$4:$BA$1314,47,FALSE),VLOOKUP($A891,Pit!$A$4:$BF$1214,56,FALSE))</f>
        <v>455</v>
      </c>
      <c r="V891" s="50">
        <f>IF($C891="B",VLOOKUP($A891,Bat!$A$4:$BA$1314,48,FALSE),VLOOKUP($A891,Pit!$A$4:$BF$1214,57,FALSE))</f>
        <v>0</v>
      </c>
      <c r="W891" s="68">
        <f>IF(Table5[[#This Row],[posRnk]]=999,9999,Table5[[#This Row],[posRnk]]+Table5[[#This Row],[zRnk]]+IF($W$3&lt;&gt;Table5[[#This Row],[Type]],50,0))</f>
        <v>9999</v>
      </c>
      <c r="X891" s="51">
        <f>RANK(Table5[[#This Row],[zScore]],Table5[[#All],[zScore]])</f>
        <v>477</v>
      </c>
      <c r="Y891" s="50" t="str">
        <f>IFERROR(INDEX(DraftResults[[#All],[OVR]],MATCH(Table5[[#This Row],[PID]],DraftResults[[#All],[Player ID]],0)),"")</f>
        <v/>
      </c>
      <c r="Z891" s="53" t="str">
        <f>IFERROR(IF((INDEX(DraftResults[[#All],[Supplemental]],MATCH(Table5[[#This Row],[PID]],DraftResults[[#All],[Player ID]],0)))=1,"S","")&amp;INDEX(DraftResults[[#All],[Round]],MATCH(Table5[[#This Row],[PID]],DraftResults[[#All],[Player ID]],0)),"")</f>
        <v/>
      </c>
      <c r="AA891" s="50" t="str">
        <f>IFERROR(INDEX(DraftResults[[#All],[Pick in Round]],MATCH(Table5[[#This Row],[PID]],DraftResults[[#All],[Player ID]],0)),"")</f>
        <v/>
      </c>
      <c r="AB891" s="50" t="str">
        <f>IFERROR(INDEX(DraftResults[[#All],[Team Name]],MATCH(Table5[[#This Row],[PID]],DraftResults[[#All],[Player ID]],0)),"")</f>
        <v/>
      </c>
      <c r="AC891" s="50" t="str">
        <f>IF(Table5[[#This Row],[Ovr]]="","",IF(Table5[[#This Row],[cmbList]]="","",Table5[[#This Row],[cmbList]]-Table5[[#This Row],[Ovr]]))</f>
        <v/>
      </c>
      <c r="AD891" s="54" t="str">
        <f>IF(ISERROR(VLOOKUP($AB891&amp;"-"&amp;$E891&amp;" "&amp;F891,Bonuses!$B$1:$G$1006,4,FALSE)),"",INT(VLOOKUP($AB891&amp;"-"&amp;$E891&amp;" "&amp;$F891,Bonuses!$B$1:$G$1006,4,FALSE)))</f>
        <v/>
      </c>
      <c r="AE891" s="50" t="str">
        <f>IF(Table5[[#This Row],[Ovr]]&lt;&gt;"",Table5[[#This Row],[Rnd]]&amp;"."&amp;Table5[[#This Row],[Pick]]&amp;" ("&amp;Table5[[#This Row],[Ovr]]&amp;") - "&amp;Table5[[#This Row],[Pos]]&amp;" "&amp;Table5[[#This Row],[First]]&amp;" "&amp;Table5[[#This Row],[Last]],"")</f>
        <v/>
      </c>
    </row>
  </sheetData>
  <sortState xmlns:xlrd2="http://schemas.microsoft.com/office/spreadsheetml/2017/richdata2" ref="A269:AE891">
    <sortCondition ref="Y5:Y891"/>
    <sortCondition ref="W5:W891"/>
    <sortCondition ref="U5:U891"/>
    <sortCondition ref="T5:T891"/>
    <sortCondition descending="1" ref="R5:R891"/>
    <sortCondition ref="G5:G891"/>
    <sortCondition ref="C5:C891"/>
  </sortState>
  <conditionalFormatting sqref="AE6:XFD6 W5:XFD5 AF7:XFD7 AE540:XFD891 W6:AD891 A5:W891">
    <cfRule type="expression" dxfId="59" priority="9">
      <formula>IF($C5="B",1,0)</formula>
    </cfRule>
  </conditionalFormatting>
  <conditionalFormatting sqref="AE8:XFD30 AE32:XFD40 AF31:XFD31 AE42:XFD65 AF41:XFD41 AE67:XFD83 AF66:XFD66 AE85:XFD120 AF84:XFD84 AE122:XFD148 AF121:XFD121 AE150:XFD156 AF149:XFD149 AE158:XFD175 AF157:XFD157 AE177:XFD202 AF176:XFD176 AE204:XFD230 AF203:XFD203 AE232:XFD258 AF231:XFD231 AE260:XFD286 AF259:XFD259 AE288:XFD314 AF287:XFD287 AE316:XFD342 AF315:XFD315 AE344:XFD370 AF343:XFD343 AE372:XFD398 AF371:XFD371 AE400:XFD426 AF399:XFD399 AE428:XFD454 AF427:XFD427 AE456:XFD482 AF455:XFD455 AE484:XFD510 AF483:XFD483 AE512:XFD538 AF511:XFD511 AF539:XFD539">
    <cfRule type="expression" dxfId="58" priority="7">
      <formula>IF($C8="B",1,0)</formula>
    </cfRule>
  </conditionalFormatting>
  <conditionalFormatting sqref="AE7">
    <cfRule type="expression" dxfId="57" priority="4">
      <formula>IF($C7="B",1,0)</formula>
    </cfRule>
  </conditionalFormatting>
  <conditionalFormatting sqref="AE539 AE511 AE483 AE455 AE427 AE399 AE371 AE343 AE315 AE287 AE259 AE231 AE203 AE176 AE157 AE149 AE121 AE84 AE66 AE41 AE31">
    <cfRule type="expression" dxfId="56" priority="1">
      <formula>IF($C31="B",1,0)</formula>
    </cfRule>
  </conditionalFormatting>
  <conditionalFormatting sqref="A5:X891">
    <cfRule type="expression" dxfId="55" priority="1438">
      <formula>IF(AND($B$1=1,$Z5&lt;&gt;""),1,0)</formula>
    </cfRule>
  </conditionalFormatting>
  <pageMargins left="0.7" right="0.7" top="0.75" bottom="0.75" header="0.3" footer="0.3"/>
  <pageSetup orientation="portrait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K674"/>
  <sheetViews>
    <sheetView workbookViewId="0">
      <pane xSplit="6" ySplit="3" topLeftCell="G4" activePane="bottomRight" state="frozen"/>
      <selection pane="topRight" activeCell="G1" sqref="G1"/>
      <selection pane="bottomLeft" activeCell="A4" sqref="A4"/>
      <selection pane="bottomRight" activeCell="A4" sqref="A4"/>
    </sheetView>
  </sheetViews>
  <sheetFormatPr defaultRowHeight="14.4" x14ac:dyDescent="0.3"/>
  <cols>
    <col min="1" max="1" width="9" bestFit="1" customWidth="1"/>
    <col min="2" max="2" width="15.88671875" bestFit="1" customWidth="1"/>
    <col min="3" max="3" width="15" customWidth="1"/>
    <col min="4" max="4" width="29.33203125" bestFit="1" customWidth="1"/>
    <col min="5" max="5" width="10.33203125" customWidth="1"/>
    <col min="6" max="8" width="11" customWidth="1"/>
    <col min="9" max="9" width="6.33203125" customWidth="1"/>
    <col min="10" max="11" width="11.6640625" customWidth="1"/>
  </cols>
  <sheetData>
    <row r="2" spans="1:11" ht="15.75" customHeight="1" x14ac:dyDescent="0.3">
      <c r="I2">
        <v>2</v>
      </c>
      <c r="J2">
        <v>3</v>
      </c>
      <c r="K2">
        <v>4</v>
      </c>
    </row>
    <row r="3" spans="1:11" x14ac:dyDescent="0.3">
      <c r="A3" t="s">
        <v>744</v>
      </c>
      <c r="B3" t="s">
        <v>746</v>
      </c>
      <c r="C3" t="s">
        <v>299</v>
      </c>
      <c r="D3" t="s">
        <v>300</v>
      </c>
      <c r="E3" t="s">
        <v>301</v>
      </c>
      <c r="F3" t="s">
        <v>302</v>
      </c>
      <c r="G3" t="s">
        <v>303</v>
      </c>
      <c r="H3" t="s">
        <v>745</v>
      </c>
      <c r="I3" t="s">
        <v>122</v>
      </c>
      <c r="J3" t="s">
        <v>374</v>
      </c>
      <c r="K3" t="s">
        <v>375</v>
      </c>
    </row>
    <row r="4" spans="1:11" x14ac:dyDescent="0.3">
      <c r="A4">
        <v>1</v>
      </c>
      <c r="B4">
        <v>0</v>
      </c>
      <c r="C4">
        <v>1</v>
      </c>
      <c r="D4" t="s">
        <v>542</v>
      </c>
      <c r="E4">
        <v>24</v>
      </c>
      <c r="F4">
        <v>20621</v>
      </c>
      <c r="G4" t="s">
        <v>303</v>
      </c>
      <c r="H4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1</v>
      </c>
      <c r="I4" t="str">
        <f>IF(DraftResults[[#This Row],[Player ID]]=0,"",INDEX(Table5[[#All],[Pos]],MATCH(DraftResults[[#This Row],[Player ID]],Table5[[#All],[PID]],0)))</f>
        <v>LF</v>
      </c>
      <c r="J4" t="str">
        <f>IF(DraftResults[[#This Row],[Player ID]]=0,"",INDEX(Table5[[#All],[First]],MATCH(DraftResults[[#This Row],[Player ID]],Table5[[#All],[PID]],0)))</f>
        <v>Hung</v>
      </c>
      <c r="K4" t="str">
        <f>IF(DraftResults[[#This Row],[Player ID]]=0,"",INDEX(Table5[[#All],[Last]],MATCH(DraftResults[[#This Row],[Player ID]],Table5[[#All],[PID]],0)))</f>
        <v>Cai</v>
      </c>
    </row>
    <row r="5" spans="1:11" x14ac:dyDescent="0.3">
      <c r="A5">
        <v>1</v>
      </c>
      <c r="B5">
        <v>0</v>
      </c>
      <c r="C5">
        <v>2</v>
      </c>
      <c r="D5" t="s">
        <v>488</v>
      </c>
      <c r="E5">
        <v>7</v>
      </c>
      <c r="F5">
        <v>12038</v>
      </c>
      <c r="G5" t="s">
        <v>303</v>
      </c>
      <c r="H5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2</v>
      </c>
      <c r="I5" t="str">
        <f>IF(DraftResults[[#This Row],[Player ID]]=0,"",INDEX(Table5[[#All],[Pos]],MATCH(DraftResults[[#This Row],[Player ID]],Table5[[#All],[PID]],0)))</f>
        <v>SS</v>
      </c>
      <c r="J5" t="str">
        <f>IF(DraftResults[[#This Row],[Player ID]]=0,"",INDEX(Table5[[#All],[First]],MATCH(DraftResults[[#This Row],[Player ID]],Table5[[#All],[PID]],0)))</f>
        <v>Naofumi</v>
      </c>
      <c r="K5" t="str">
        <f>IF(DraftResults[[#This Row],[Player ID]]=0,"",INDEX(Table5[[#All],[Last]],MATCH(DraftResults[[#This Row],[Player ID]],Table5[[#All],[PID]],0)))</f>
        <v>Miyamoto</v>
      </c>
    </row>
    <row r="6" spans="1:11" x14ac:dyDescent="0.3">
      <c r="A6">
        <v>1</v>
      </c>
      <c r="B6">
        <v>0</v>
      </c>
      <c r="C6">
        <v>3</v>
      </c>
      <c r="D6" t="s">
        <v>420</v>
      </c>
      <c r="E6">
        <v>167</v>
      </c>
      <c r="F6">
        <v>8335</v>
      </c>
      <c r="G6" t="s">
        <v>303</v>
      </c>
      <c r="H6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3</v>
      </c>
      <c r="I6" t="str">
        <f>IF(DraftResults[[#This Row],[Player ID]]=0,"",INDEX(Table5[[#All],[Pos]],MATCH(DraftResults[[#This Row],[Player ID]],Table5[[#All],[PID]],0)))</f>
        <v>CL</v>
      </c>
      <c r="J6" t="str">
        <f>IF(DraftResults[[#This Row],[Player ID]]=0,"",INDEX(Table5[[#All],[First]],MATCH(DraftResults[[#This Row],[Player ID]],Table5[[#All],[PID]],0)))</f>
        <v>Shirai</v>
      </c>
      <c r="K6" t="str">
        <f>IF(DraftResults[[#This Row],[Player ID]]=0,"",INDEX(Table5[[#All],[Last]],MATCH(DraftResults[[#This Row],[Player ID]],Table5[[#All],[PID]],0)))</f>
        <v>Mori</v>
      </c>
    </row>
    <row r="7" spans="1:11" x14ac:dyDescent="0.3">
      <c r="A7">
        <v>1</v>
      </c>
      <c r="B7">
        <v>0</v>
      </c>
      <c r="C7">
        <v>4</v>
      </c>
      <c r="D7" t="s">
        <v>235</v>
      </c>
      <c r="E7">
        <v>21</v>
      </c>
      <c r="F7">
        <v>12563</v>
      </c>
      <c r="G7" t="s">
        <v>303</v>
      </c>
      <c r="H7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4</v>
      </c>
      <c r="I7" t="str">
        <f>IF(DraftResults[[#This Row],[Player ID]]=0,"",INDEX(Table5[[#All],[Pos]],MATCH(DraftResults[[#This Row],[Player ID]],Table5[[#All],[PID]],0)))</f>
        <v>SP</v>
      </c>
      <c r="J7" t="str">
        <f>IF(DraftResults[[#This Row],[Player ID]]=0,"",INDEX(Table5[[#All],[First]],MATCH(DraftResults[[#This Row],[Player ID]],Table5[[#All],[PID]],0)))</f>
        <v>Takashi</v>
      </c>
      <c r="K7" t="str">
        <f>IF(DraftResults[[#This Row],[Player ID]]=0,"",INDEX(Table5[[#All],[Last]],MATCH(DraftResults[[#This Row],[Player ID]],Table5[[#All],[PID]],0)))</f>
        <v>Yamamoto</v>
      </c>
    </row>
    <row r="8" spans="1:11" x14ac:dyDescent="0.3">
      <c r="A8">
        <v>1</v>
      </c>
      <c r="B8">
        <v>0</v>
      </c>
      <c r="C8">
        <v>5</v>
      </c>
      <c r="D8" t="s">
        <v>545</v>
      </c>
      <c r="E8">
        <v>23</v>
      </c>
      <c r="F8">
        <v>8967</v>
      </c>
      <c r="G8" t="s">
        <v>303</v>
      </c>
      <c r="H8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5</v>
      </c>
      <c r="I8" t="str">
        <f>IF(DraftResults[[#This Row],[Player ID]]=0,"",INDEX(Table5[[#All],[Pos]],MATCH(DraftResults[[#This Row],[Player ID]],Table5[[#All],[PID]],0)))</f>
        <v>LF</v>
      </c>
      <c r="J8" t="str">
        <f>IF(DraftResults[[#This Row],[Player ID]]=0,"",INDEX(Table5[[#All],[First]],MATCH(DraftResults[[#This Row],[Player ID]],Table5[[#All],[PID]],0)))</f>
        <v>John</v>
      </c>
      <c r="K8" t="str">
        <f>IF(DraftResults[[#This Row],[Player ID]]=0,"",INDEX(Table5[[#All],[Last]],MATCH(DraftResults[[#This Row],[Player ID]],Table5[[#All],[PID]],0)))</f>
        <v>Reeves</v>
      </c>
    </row>
    <row r="9" spans="1:11" x14ac:dyDescent="0.3">
      <c r="A9">
        <v>1</v>
      </c>
      <c r="B9">
        <v>0</v>
      </c>
      <c r="C9">
        <v>6</v>
      </c>
      <c r="D9" t="s">
        <v>246</v>
      </c>
      <c r="E9">
        <v>8</v>
      </c>
      <c r="F9">
        <v>13921</v>
      </c>
      <c r="G9" t="s">
        <v>303</v>
      </c>
      <c r="H9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6</v>
      </c>
      <c r="I9" t="str">
        <f>IF(DraftResults[[#This Row],[Player ID]]=0,"",INDEX(Table5[[#All],[Pos]],MATCH(DraftResults[[#This Row],[Player ID]],Table5[[#All],[PID]],0)))</f>
        <v>CL</v>
      </c>
      <c r="J9" t="str">
        <f>IF(DraftResults[[#This Row],[Player ID]]=0,"",INDEX(Table5[[#All],[First]],MATCH(DraftResults[[#This Row],[Player ID]],Table5[[#All],[PID]],0)))</f>
        <v>Jeffery</v>
      </c>
      <c r="K9" t="str">
        <f>IF(DraftResults[[#This Row],[Player ID]]=0,"",INDEX(Table5[[#All],[Last]],MATCH(DraftResults[[#This Row],[Player ID]],Table5[[#All],[PID]],0)))</f>
        <v>Owen</v>
      </c>
    </row>
    <row r="10" spans="1:11" x14ac:dyDescent="0.3">
      <c r="A10">
        <v>1</v>
      </c>
      <c r="B10">
        <v>0</v>
      </c>
      <c r="C10">
        <v>7</v>
      </c>
      <c r="D10" t="s">
        <v>419</v>
      </c>
      <c r="E10">
        <v>18</v>
      </c>
      <c r="F10">
        <v>20319</v>
      </c>
      <c r="G10" t="s">
        <v>303</v>
      </c>
      <c r="H10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7</v>
      </c>
      <c r="I10" t="str">
        <f>IF(DraftResults[[#This Row],[Player ID]]=0,"",INDEX(Table5[[#All],[Pos]],MATCH(DraftResults[[#This Row],[Player ID]],Table5[[#All],[PID]],0)))</f>
        <v>LF</v>
      </c>
      <c r="J10" t="str">
        <f>IF(DraftResults[[#This Row],[Player ID]]=0,"",INDEX(Table5[[#All],[First]],MATCH(DraftResults[[#This Row],[Player ID]],Table5[[#All],[PID]],0)))</f>
        <v>Young-pil</v>
      </c>
      <c r="K10" t="str">
        <f>IF(DraftResults[[#This Row],[Player ID]]=0,"",INDEX(Table5[[#All],[Last]],MATCH(DraftResults[[#This Row],[Player ID]],Table5[[#All],[PID]],0)))</f>
        <v>Yi</v>
      </c>
    </row>
    <row r="11" spans="1:11" x14ac:dyDescent="0.3">
      <c r="A11">
        <v>1</v>
      </c>
      <c r="B11">
        <v>0</v>
      </c>
      <c r="C11">
        <v>8</v>
      </c>
      <c r="D11" t="s">
        <v>238</v>
      </c>
      <c r="E11">
        <v>11</v>
      </c>
      <c r="F11">
        <v>20292</v>
      </c>
      <c r="G11" t="s">
        <v>303</v>
      </c>
      <c r="H11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8</v>
      </c>
      <c r="I11" t="str">
        <f>IF(DraftResults[[#This Row],[Player ID]]=0,"",INDEX(Table5[[#All],[Pos]],MATCH(DraftResults[[#This Row],[Player ID]],Table5[[#All],[PID]],0)))</f>
        <v>SP</v>
      </c>
      <c r="J11" t="str">
        <f>IF(DraftResults[[#This Row],[Player ID]]=0,"",INDEX(Table5[[#All],[First]],MATCH(DraftResults[[#This Row],[Player ID]],Table5[[#All],[PID]],0)))</f>
        <v>Zi-jing</v>
      </c>
      <c r="K11" t="str">
        <f>IF(DraftResults[[#This Row],[Player ID]]=0,"",INDEX(Table5[[#All],[Last]],MATCH(DraftResults[[#This Row],[Player ID]],Table5[[#All],[PID]],0)))</f>
        <v>Xian</v>
      </c>
    </row>
    <row r="12" spans="1:11" x14ac:dyDescent="0.3">
      <c r="A12">
        <v>1</v>
      </c>
      <c r="B12">
        <v>0</v>
      </c>
      <c r="C12">
        <v>9</v>
      </c>
      <c r="D12" t="s">
        <v>1614</v>
      </c>
      <c r="E12">
        <v>6</v>
      </c>
      <c r="F12">
        <v>9501</v>
      </c>
      <c r="G12" t="s">
        <v>303</v>
      </c>
      <c r="H12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9</v>
      </c>
      <c r="I12" t="str">
        <f>IF(DraftResults[[#This Row],[Player ID]]=0,"",INDEX(Table5[[#All],[Pos]],MATCH(DraftResults[[#This Row],[Player ID]],Table5[[#All],[PID]],0)))</f>
        <v>CL</v>
      </c>
      <c r="J12" t="str">
        <f>IF(DraftResults[[#This Row],[Player ID]]=0,"",INDEX(Table5[[#All],[First]],MATCH(DraftResults[[#This Row],[Player ID]],Table5[[#All],[PID]],0)))</f>
        <v>Bradley</v>
      </c>
      <c r="K12" t="str">
        <f>IF(DraftResults[[#This Row],[Player ID]]=0,"",INDEX(Table5[[#All],[Last]],MATCH(DraftResults[[#This Row],[Player ID]],Table5[[#All],[PID]],0)))</f>
        <v>Cline</v>
      </c>
    </row>
    <row r="13" spans="1:11" x14ac:dyDescent="0.3">
      <c r="A13">
        <v>1</v>
      </c>
      <c r="B13">
        <v>0</v>
      </c>
      <c r="C13">
        <v>10</v>
      </c>
      <c r="D13" t="s">
        <v>1614</v>
      </c>
      <c r="E13">
        <v>6</v>
      </c>
      <c r="F13">
        <v>10538</v>
      </c>
      <c r="G13" t="s">
        <v>303</v>
      </c>
      <c r="H13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10</v>
      </c>
      <c r="I13" t="str">
        <f>IF(DraftResults[[#This Row],[Player ID]]=0,"",INDEX(Table5[[#All],[Pos]],MATCH(DraftResults[[#This Row],[Player ID]],Table5[[#All],[PID]],0)))</f>
        <v>CF</v>
      </c>
      <c r="J13" t="str">
        <f>IF(DraftResults[[#This Row],[Player ID]]=0,"",INDEX(Table5[[#All],[First]],MATCH(DraftResults[[#This Row],[Player ID]],Table5[[#All],[PID]],0)))</f>
        <v>Gerald</v>
      </c>
      <c r="K13" t="str">
        <f>IF(DraftResults[[#This Row],[Player ID]]=0,"",INDEX(Table5[[#All],[Last]],MATCH(DraftResults[[#This Row],[Player ID]],Table5[[#All],[PID]],0)))</f>
        <v>Wolfe</v>
      </c>
    </row>
    <row r="14" spans="1:11" x14ac:dyDescent="0.3">
      <c r="A14">
        <v>1</v>
      </c>
      <c r="B14">
        <v>0</v>
      </c>
      <c r="C14">
        <v>11</v>
      </c>
      <c r="D14" t="s">
        <v>240</v>
      </c>
      <c r="E14">
        <v>3</v>
      </c>
      <c r="F14">
        <v>9631</v>
      </c>
      <c r="G14" t="s">
        <v>303</v>
      </c>
      <c r="H14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11</v>
      </c>
      <c r="I14" t="str">
        <f>IF(DraftResults[[#This Row],[Player ID]]=0,"",INDEX(Table5[[#All],[Pos]],MATCH(DraftResults[[#This Row],[Player ID]],Table5[[#All],[PID]],0)))</f>
        <v>SP</v>
      </c>
      <c r="J14" t="str">
        <f>IF(DraftResults[[#This Row],[Player ID]]=0,"",INDEX(Table5[[#All],[First]],MATCH(DraftResults[[#This Row],[Player ID]],Table5[[#All],[PID]],0)))</f>
        <v>Juan</v>
      </c>
      <c r="K14" t="str">
        <f>IF(DraftResults[[#This Row],[Player ID]]=0,"",INDEX(Table5[[#All],[Last]],MATCH(DraftResults[[#This Row],[Player ID]],Table5[[#All],[PID]],0)))</f>
        <v>Meeks</v>
      </c>
    </row>
    <row r="15" spans="1:11" x14ac:dyDescent="0.3">
      <c r="A15">
        <v>1</v>
      </c>
      <c r="B15">
        <v>0</v>
      </c>
      <c r="C15">
        <v>12</v>
      </c>
      <c r="D15" t="s">
        <v>543</v>
      </c>
      <c r="E15">
        <v>160</v>
      </c>
      <c r="F15">
        <v>13315</v>
      </c>
      <c r="G15" t="s">
        <v>303</v>
      </c>
      <c r="H15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12</v>
      </c>
      <c r="I15" t="str">
        <f>IF(DraftResults[[#This Row],[Player ID]]=0,"",INDEX(Table5[[#All],[Pos]],MATCH(DraftResults[[#This Row],[Player ID]],Table5[[#All],[PID]],0)))</f>
        <v>3B</v>
      </c>
      <c r="J15" t="str">
        <f>IF(DraftResults[[#This Row],[Player ID]]=0,"",INDEX(Table5[[#All],[First]],MATCH(DraftResults[[#This Row],[Player ID]],Table5[[#All],[PID]],0)))</f>
        <v>Yoshikazu</v>
      </c>
      <c r="K15" t="str">
        <f>IF(DraftResults[[#This Row],[Player ID]]=0,"",INDEX(Table5[[#All],[Last]],MATCH(DraftResults[[#This Row],[Player ID]],Table5[[#All],[PID]],0)))</f>
        <v>Nakayama</v>
      </c>
    </row>
    <row r="16" spans="1:11" x14ac:dyDescent="0.3">
      <c r="A16">
        <v>1</v>
      </c>
      <c r="B16">
        <v>0</v>
      </c>
      <c r="C16">
        <v>13</v>
      </c>
      <c r="D16" t="s">
        <v>489</v>
      </c>
      <c r="E16">
        <v>4</v>
      </c>
      <c r="F16">
        <v>9306</v>
      </c>
      <c r="G16" t="s">
        <v>303</v>
      </c>
      <c r="H16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13</v>
      </c>
      <c r="I16" t="str">
        <f>IF(DraftResults[[#This Row],[Player ID]]=0,"",INDEX(Table5[[#All],[Pos]],MATCH(DraftResults[[#This Row],[Player ID]],Table5[[#All],[PID]],0)))</f>
        <v>LF</v>
      </c>
      <c r="J16" t="str">
        <f>IF(DraftResults[[#This Row],[Player ID]]=0,"",INDEX(Table5[[#All],[First]],MATCH(DraftResults[[#This Row],[Player ID]],Table5[[#All],[PID]],0)))</f>
        <v>Tony</v>
      </c>
      <c r="K16" t="str">
        <f>IF(DraftResults[[#This Row],[Player ID]]=0,"",INDEX(Table5[[#All],[Last]],MATCH(DraftResults[[#This Row],[Player ID]],Table5[[#All],[PID]],0)))</f>
        <v>Mesa</v>
      </c>
    </row>
    <row r="17" spans="1:11" x14ac:dyDescent="0.3">
      <c r="A17">
        <v>1</v>
      </c>
      <c r="B17">
        <v>0</v>
      </c>
      <c r="C17">
        <v>14</v>
      </c>
      <c r="D17" t="s">
        <v>414</v>
      </c>
      <c r="E17">
        <v>164</v>
      </c>
      <c r="F17">
        <v>20597</v>
      </c>
      <c r="G17" t="s">
        <v>303</v>
      </c>
      <c r="H17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14</v>
      </c>
      <c r="I17" t="str">
        <f>IF(DraftResults[[#This Row],[Player ID]]=0,"",INDEX(Table5[[#All],[Pos]],MATCH(DraftResults[[#This Row],[Player ID]],Table5[[#All],[PID]],0)))</f>
        <v>SS</v>
      </c>
      <c r="J17" t="str">
        <f>IF(DraftResults[[#This Row],[Player ID]]=0,"",INDEX(Table5[[#All],[First]],MATCH(DraftResults[[#This Row],[Player ID]],Table5[[#All],[PID]],0)))</f>
        <v>Yu-eh</v>
      </c>
      <c r="K17" t="str">
        <f>IF(DraftResults[[#This Row],[Player ID]]=0,"",INDEX(Table5[[#All],[Last]],MATCH(DraftResults[[#This Row],[Player ID]],Table5[[#All],[PID]],0)))</f>
        <v>Bao</v>
      </c>
    </row>
    <row r="18" spans="1:11" x14ac:dyDescent="0.3">
      <c r="A18">
        <v>1</v>
      </c>
      <c r="B18">
        <v>0</v>
      </c>
      <c r="C18">
        <v>15</v>
      </c>
      <c r="D18" t="s">
        <v>251</v>
      </c>
      <c r="E18">
        <v>12</v>
      </c>
      <c r="F18">
        <v>20206</v>
      </c>
      <c r="G18" t="s">
        <v>303</v>
      </c>
      <c r="H18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15</v>
      </c>
      <c r="I18" t="str">
        <f>IF(DraftResults[[#This Row],[Player ID]]=0,"",INDEX(Table5[[#All],[Pos]],MATCH(DraftResults[[#This Row],[Player ID]],Table5[[#All],[PID]],0)))</f>
        <v>SS</v>
      </c>
      <c r="J18" t="str">
        <f>IF(DraftResults[[#This Row],[Player ID]]=0,"",INDEX(Table5[[#All],[First]],MATCH(DraftResults[[#This Row],[Player ID]],Table5[[#All],[PID]],0)))</f>
        <v>Norm</v>
      </c>
      <c r="K18" t="str">
        <f>IF(DraftResults[[#This Row],[Player ID]]=0,"",INDEX(Table5[[#All],[Last]],MATCH(DraftResults[[#This Row],[Player ID]],Table5[[#All],[PID]],0)))</f>
        <v>Leseberg</v>
      </c>
    </row>
    <row r="19" spans="1:11" x14ac:dyDescent="0.3">
      <c r="A19">
        <v>1</v>
      </c>
      <c r="B19">
        <v>0</v>
      </c>
      <c r="C19">
        <v>16</v>
      </c>
      <c r="D19" t="s">
        <v>543</v>
      </c>
      <c r="E19">
        <v>160</v>
      </c>
      <c r="F19">
        <v>11849</v>
      </c>
      <c r="G19" t="s">
        <v>303</v>
      </c>
      <c r="H19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16</v>
      </c>
      <c r="I19" t="str">
        <f>IF(DraftResults[[#This Row],[Player ID]]=0,"",INDEX(Table5[[#All],[Pos]],MATCH(DraftResults[[#This Row],[Player ID]],Table5[[#All],[PID]],0)))</f>
        <v>SP</v>
      </c>
      <c r="J19" t="str">
        <f>IF(DraftResults[[#This Row],[Player ID]]=0,"",INDEX(Table5[[#All],[First]],MATCH(DraftResults[[#This Row],[Player ID]],Table5[[#All],[PID]],0)))</f>
        <v>Bill</v>
      </c>
      <c r="K19" t="str">
        <f>IF(DraftResults[[#This Row],[Player ID]]=0,"",INDEX(Table5[[#All],[Last]],MATCH(DraftResults[[#This Row],[Player ID]],Table5[[#All],[PID]],0)))</f>
        <v>Manley</v>
      </c>
    </row>
    <row r="20" spans="1:11" x14ac:dyDescent="0.3">
      <c r="A20">
        <v>1</v>
      </c>
      <c r="B20">
        <v>0</v>
      </c>
      <c r="C20">
        <v>17</v>
      </c>
      <c r="D20" t="s">
        <v>544</v>
      </c>
      <c r="E20">
        <v>13</v>
      </c>
      <c r="F20">
        <v>7532</v>
      </c>
      <c r="G20" t="s">
        <v>303</v>
      </c>
      <c r="H20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17</v>
      </c>
      <c r="I20" t="str">
        <f>IF(DraftResults[[#This Row],[Player ID]]=0,"",INDEX(Table5[[#All],[Pos]],MATCH(DraftResults[[#This Row],[Player ID]],Table5[[#All],[PID]],0)))</f>
        <v>SP</v>
      </c>
      <c r="J20" t="str">
        <f>IF(DraftResults[[#This Row],[Player ID]]=0,"",INDEX(Table5[[#All],[First]],MATCH(DraftResults[[#This Row],[Player ID]],Table5[[#All],[PID]],0)))</f>
        <v>Orlando</v>
      </c>
      <c r="K20" t="str">
        <f>IF(DraftResults[[#This Row],[Player ID]]=0,"",INDEX(Table5[[#All],[Last]],MATCH(DraftResults[[#This Row],[Player ID]],Table5[[#All],[PID]],0)))</f>
        <v>Ávila</v>
      </c>
    </row>
    <row r="21" spans="1:11" x14ac:dyDescent="0.3">
      <c r="A21">
        <v>1</v>
      </c>
      <c r="B21">
        <v>0</v>
      </c>
      <c r="C21">
        <v>18</v>
      </c>
      <c r="D21" t="s">
        <v>243</v>
      </c>
      <c r="E21">
        <v>15</v>
      </c>
      <c r="F21">
        <v>20967</v>
      </c>
      <c r="G21" t="s">
        <v>303</v>
      </c>
      <c r="H21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18</v>
      </c>
      <c r="I21" t="str">
        <f>IF(DraftResults[[#This Row],[Player ID]]=0,"",INDEX(Table5[[#All],[Pos]],MATCH(DraftResults[[#This Row],[Player ID]],Table5[[#All],[PID]],0)))</f>
        <v>3B</v>
      </c>
      <c r="J21" t="str">
        <f>IF(DraftResults[[#This Row],[Player ID]]=0,"",INDEX(Table5[[#All],[First]],MATCH(DraftResults[[#This Row],[Player ID]],Table5[[#All],[PID]],0)))</f>
        <v>Will</v>
      </c>
      <c r="K21" t="str">
        <f>IF(DraftResults[[#This Row],[Player ID]]=0,"",INDEX(Table5[[#All],[Last]],MATCH(DraftResults[[#This Row],[Player ID]],Table5[[#All],[PID]],0)))</f>
        <v>Dingle</v>
      </c>
    </row>
    <row r="22" spans="1:11" x14ac:dyDescent="0.3">
      <c r="A22">
        <v>1</v>
      </c>
      <c r="B22">
        <v>0</v>
      </c>
      <c r="C22">
        <v>19</v>
      </c>
      <c r="D22" t="s">
        <v>412</v>
      </c>
      <c r="E22">
        <v>162</v>
      </c>
      <c r="F22">
        <v>14912</v>
      </c>
      <c r="G22" t="s">
        <v>303</v>
      </c>
      <c r="H22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19</v>
      </c>
      <c r="I22" t="str">
        <f>IF(DraftResults[[#This Row],[Player ID]]=0,"",INDEX(Table5[[#All],[Pos]],MATCH(DraftResults[[#This Row],[Player ID]],Table5[[#All],[PID]],0)))</f>
        <v>CL</v>
      </c>
      <c r="J22" t="str">
        <f>IF(DraftResults[[#This Row],[Player ID]]=0,"",INDEX(Table5[[#All],[First]],MATCH(DraftResults[[#This Row],[Player ID]],Table5[[#All],[PID]],0)))</f>
        <v>Tom</v>
      </c>
      <c r="K22" t="str">
        <f>IF(DraftResults[[#This Row],[Player ID]]=0,"",INDEX(Table5[[#All],[Last]],MATCH(DraftResults[[#This Row],[Player ID]],Table5[[#All],[PID]],0)))</f>
        <v>Ray</v>
      </c>
    </row>
    <row r="23" spans="1:11" x14ac:dyDescent="0.3">
      <c r="A23">
        <v>1</v>
      </c>
      <c r="B23">
        <v>0</v>
      </c>
      <c r="C23">
        <v>20</v>
      </c>
      <c r="D23" t="s">
        <v>247</v>
      </c>
      <c r="E23">
        <v>16</v>
      </c>
      <c r="F23">
        <v>12025</v>
      </c>
      <c r="G23" t="s">
        <v>303</v>
      </c>
      <c r="H23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20</v>
      </c>
      <c r="I23" t="str">
        <f>IF(DraftResults[[#This Row],[Player ID]]=0,"",INDEX(Table5[[#All],[Pos]],MATCH(DraftResults[[#This Row],[Player ID]],Table5[[#All],[PID]],0)))</f>
        <v>SP</v>
      </c>
      <c r="J23" t="str">
        <f>IF(DraftResults[[#This Row],[Player ID]]=0,"",INDEX(Table5[[#All],[First]],MATCH(DraftResults[[#This Row],[Player ID]],Table5[[#All],[PID]],0)))</f>
        <v>Alberto</v>
      </c>
      <c r="K23" t="str">
        <f>IF(DraftResults[[#This Row],[Player ID]]=0,"",INDEX(Table5[[#All],[Last]],MATCH(DraftResults[[#This Row],[Player ID]],Table5[[#All],[PID]],0)))</f>
        <v>Montaño</v>
      </c>
    </row>
    <row r="24" spans="1:11" x14ac:dyDescent="0.3">
      <c r="A24">
        <v>1</v>
      </c>
      <c r="B24">
        <v>0</v>
      </c>
      <c r="C24">
        <v>21</v>
      </c>
      <c r="D24" t="s">
        <v>419</v>
      </c>
      <c r="E24">
        <v>18</v>
      </c>
      <c r="F24">
        <v>12866</v>
      </c>
      <c r="G24" t="s">
        <v>303</v>
      </c>
      <c r="H24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21</v>
      </c>
      <c r="I24" t="str">
        <f>IF(DraftResults[[#This Row],[Player ID]]=0,"",INDEX(Table5[[#All],[Pos]],MATCH(DraftResults[[#This Row],[Player ID]],Table5[[#All],[PID]],0)))</f>
        <v>C</v>
      </c>
      <c r="J24" t="str">
        <f>IF(DraftResults[[#This Row],[Player ID]]=0,"",INDEX(Table5[[#All],[First]],MATCH(DraftResults[[#This Row],[Player ID]],Table5[[#All],[PID]],0)))</f>
        <v>Rheinhardt</v>
      </c>
      <c r="K24" t="str">
        <f>IF(DraftResults[[#This Row],[Player ID]]=0,"",INDEX(Table5[[#All],[Last]],MATCH(DraftResults[[#This Row],[Player ID]],Table5[[#All],[PID]],0)))</f>
        <v>Heine</v>
      </c>
    </row>
    <row r="25" spans="1:11" x14ac:dyDescent="0.3">
      <c r="A25">
        <v>1</v>
      </c>
      <c r="B25">
        <v>0</v>
      </c>
      <c r="C25">
        <v>22</v>
      </c>
      <c r="D25" t="s">
        <v>238</v>
      </c>
      <c r="E25">
        <v>11</v>
      </c>
      <c r="F25">
        <v>9906</v>
      </c>
      <c r="G25" t="s">
        <v>303</v>
      </c>
      <c r="H25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22</v>
      </c>
      <c r="I25" t="str">
        <f>IF(DraftResults[[#This Row],[Player ID]]=0,"",INDEX(Table5[[#All],[Pos]],MATCH(DraftResults[[#This Row],[Player ID]],Table5[[#All],[PID]],0)))</f>
        <v>RP</v>
      </c>
      <c r="J25" t="str">
        <f>IF(DraftResults[[#This Row],[Player ID]]=0,"",INDEX(Table5[[#All],[First]],MATCH(DraftResults[[#This Row],[Player ID]],Table5[[#All],[PID]],0)))</f>
        <v>Wesley</v>
      </c>
      <c r="K25" t="str">
        <f>IF(DraftResults[[#This Row],[Player ID]]=0,"",INDEX(Table5[[#All],[Last]],MATCH(DraftResults[[#This Row],[Player ID]],Table5[[#All],[PID]],0)))</f>
        <v>Carter</v>
      </c>
    </row>
    <row r="26" spans="1:11" x14ac:dyDescent="0.3">
      <c r="A26">
        <v>1</v>
      </c>
      <c r="B26">
        <v>0</v>
      </c>
      <c r="C26">
        <v>23</v>
      </c>
      <c r="D26" t="s">
        <v>244</v>
      </c>
      <c r="E26">
        <v>20</v>
      </c>
      <c r="F26">
        <v>9880</v>
      </c>
      <c r="G26" t="s">
        <v>303</v>
      </c>
      <c r="H26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23</v>
      </c>
      <c r="I26" t="str">
        <f>IF(DraftResults[[#This Row],[Player ID]]=0,"",INDEX(Table5[[#All],[Pos]],MATCH(DraftResults[[#This Row],[Player ID]],Table5[[#All],[PID]],0)))</f>
        <v>CL</v>
      </c>
      <c r="J26" t="str">
        <f>IF(DraftResults[[#This Row],[Player ID]]=0,"",INDEX(Table5[[#All],[First]],MATCH(DraftResults[[#This Row],[Player ID]],Table5[[#All],[PID]],0)))</f>
        <v>Don</v>
      </c>
      <c r="K26" t="str">
        <f>IF(DraftResults[[#This Row],[Player ID]]=0,"",INDEX(Table5[[#All],[Last]],MATCH(DraftResults[[#This Row],[Player ID]],Table5[[#All],[PID]],0)))</f>
        <v>Darragh</v>
      </c>
    </row>
    <row r="27" spans="1:11" x14ac:dyDescent="0.3">
      <c r="A27">
        <v>1</v>
      </c>
      <c r="B27">
        <v>0</v>
      </c>
      <c r="C27">
        <v>24</v>
      </c>
      <c r="D27" t="s">
        <v>238</v>
      </c>
      <c r="E27">
        <v>11</v>
      </c>
      <c r="F27">
        <v>12423</v>
      </c>
      <c r="G27" t="s">
        <v>303</v>
      </c>
      <c r="H27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24</v>
      </c>
      <c r="I27" t="str">
        <f>IF(DraftResults[[#This Row],[Player ID]]=0,"",INDEX(Table5[[#All],[Pos]],MATCH(DraftResults[[#This Row],[Player ID]],Table5[[#All],[PID]],0)))</f>
        <v>RF</v>
      </c>
      <c r="J27" t="str">
        <f>IF(DraftResults[[#This Row],[Player ID]]=0,"",INDEX(Table5[[#All],[First]],MATCH(DraftResults[[#This Row],[Player ID]],Table5[[#All],[PID]],0)))</f>
        <v>José</v>
      </c>
      <c r="K27" t="str">
        <f>IF(DraftResults[[#This Row],[Player ID]]=0,"",INDEX(Table5[[#All],[Last]],MATCH(DraftResults[[#This Row],[Player ID]],Table5[[#All],[PID]],0)))</f>
        <v>Ramos</v>
      </c>
    </row>
    <row r="28" spans="1:11" ht="15.75" customHeight="1" x14ac:dyDescent="0.3">
      <c r="A28">
        <v>1</v>
      </c>
      <c r="B28">
        <v>0</v>
      </c>
      <c r="C28">
        <v>25</v>
      </c>
      <c r="D28" t="s">
        <v>542</v>
      </c>
      <c r="E28">
        <v>24</v>
      </c>
      <c r="F28">
        <v>20521</v>
      </c>
      <c r="G28" t="s">
        <v>303</v>
      </c>
      <c r="H28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25</v>
      </c>
      <c r="I28" t="str">
        <f>IF(DraftResults[[#This Row],[Player ID]]=0,"",INDEX(Table5[[#All],[Pos]],MATCH(DraftResults[[#This Row],[Player ID]],Table5[[#All],[PID]],0)))</f>
        <v>RF</v>
      </c>
      <c r="J28" t="str">
        <f>IF(DraftResults[[#This Row],[Player ID]]=0,"",INDEX(Table5[[#All],[First]],MATCH(DraftResults[[#This Row],[Player ID]],Table5[[#All],[PID]],0)))</f>
        <v>Paterno</v>
      </c>
      <c r="K28" t="str">
        <f>IF(DraftResults[[#This Row],[Player ID]]=0,"",INDEX(Table5[[#All],[Last]],MATCH(DraftResults[[#This Row],[Player ID]],Table5[[#All],[PID]],0)))</f>
        <v>Olaires</v>
      </c>
    </row>
    <row r="29" spans="1:11" x14ac:dyDescent="0.3">
      <c r="A29">
        <v>1</v>
      </c>
      <c r="B29">
        <v>0</v>
      </c>
      <c r="C29">
        <v>26</v>
      </c>
      <c r="D29" t="s">
        <v>546</v>
      </c>
      <c r="E29">
        <v>9</v>
      </c>
      <c r="F29">
        <v>21027</v>
      </c>
      <c r="G29" t="s">
        <v>303</v>
      </c>
      <c r="H29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26</v>
      </c>
      <c r="I29" t="str">
        <f>IF(DraftResults[[#This Row],[Player ID]]=0,"",INDEX(Table5[[#All],[Pos]],MATCH(DraftResults[[#This Row],[Player ID]],Table5[[#All],[PID]],0)))</f>
        <v>SP</v>
      </c>
      <c r="J29" t="str">
        <f>IF(DraftResults[[#This Row],[Player ID]]=0,"",INDEX(Table5[[#All],[First]],MATCH(DraftResults[[#This Row],[Player ID]],Table5[[#All],[PID]],0)))</f>
        <v>Troy</v>
      </c>
      <c r="K29" t="str">
        <f>IF(DraftResults[[#This Row],[Player ID]]=0,"",INDEX(Table5[[#All],[Last]],MATCH(DraftResults[[#This Row],[Player ID]],Table5[[#All],[PID]],0)))</f>
        <v>Thomas</v>
      </c>
    </row>
    <row r="30" spans="1:11" x14ac:dyDescent="0.3">
      <c r="A30">
        <v>1</v>
      </c>
      <c r="B30">
        <v>0</v>
      </c>
      <c r="C30">
        <v>27</v>
      </c>
      <c r="D30" t="s">
        <v>542</v>
      </c>
      <c r="E30">
        <v>24</v>
      </c>
      <c r="F30">
        <v>8835</v>
      </c>
      <c r="G30" t="s">
        <v>303</v>
      </c>
      <c r="H30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27</v>
      </c>
      <c r="I30" t="str">
        <f>IF(DraftResults[[#This Row],[Player ID]]=0,"",INDEX(Table5[[#All],[Pos]],MATCH(DraftResults[[#This Row],[Player ID]],Table5[[#All],[PID]],0)))</f>
        <v>C</v>
      </c>
      <c r="J30" t="str">
        <f>IF(DraftResults[[#This Row],[Player ID]]=0,"",INDEX(Table5[[#All],[First]],MATCH(DraftResults[[#This Row],[Player ID]],Table5[[#All],[PID]],0)))</f>
        <v>Misao</v>
      </c>
      <c r="K30" t="str">
        <f>IF(DraftResults[[#This Row],[Player ID]]=0,"",INDEX(Table5[[#All],[Last]],MATCH(DraftResults[[#This Row],[Player ID]],Table5[[#All],[PID]],0)))</f>
        <v>Takahashi</v>
      </c>
    </row>
    <row r="31" spans="1:11" x14ac:dyDescent="0.3">
      <c r="A31">
        <v>1</v>
      </c>
      <c r="B31">
        <v>0</v>
      </c>
      <c r="C31">
        <v>28</v>
      </c>
      <c r="D31" t="s">
        <v>417</v>
      </c>
      <c r="E31">
        <v>163</v>
      </c>
      <c r="F31">
        <v>8989</v>
      </c>
      <c r="G31" t="s">
        <v>303</v>
      </c>
      <c r="H31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28</v>
      </c>
      <c r="I31" t="str">
        <f>IF(DraftResults[[#This Row],[Player ID]]=0,"",INDEX(Table5[[#All],[Pos]],MATCH(DraftResults[[#This Row],[Player ID]],Table5[[#All],[PID]],0)))</f>
        <v>CF</v>
      </c>
      <c r="J31" t="str">
        <f>IF(DraftResults[[#This Row],[Player ID]]=0,"",INDEX(Table5[[#All],[First]],MATCH(DraftResults[[#This Row],[Player ID]],Table5[[#All],[PID]],0)))</f>
        <v>Steven</v>
      </c>
      <c r="K31" t="str">
        <f>IF(DraftResults[[#This Row],[Player ID]]=0,"",INDEX(Table5[[#All],[Last]],MATCH(DraftResults[[#This Row],[Player ID]],Table5[[#All],[PID]],0)))</f>
        <v>Basnett</v>
      </c>
    </row>
    <row r="32" spans="1:11" x14ac:dyDescent="0.3">
      <c r="A32">
        <v>1</v>
      </c>
      <c r="B32">
        <v>0</v>
      </c>
      <c r="C32">
        <v>29</v>
      </c>
      <c r="D32" t="s">
        <v>1614</v>
      </c>
      <c r="E32">
        <v>6</v>
      </c>
      <c r="F32">
        <v>14598</v>
      </c>
      <c r="G32" t="s">
        <v>303</v>
      </c>
      <c r="H32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29</v>
      </c>
      <c r="I32" t="str">
        <f>IF(DraftResults[[#This Row],[Player ID]]=0,"",INDEX(Table5[[#All],[Pos]],MATCH(DraftResults[[#This Row],[Player ID]],Table5[[#All],[PID]],0)))</f>
        <v>CL</v>
      </c>
      <c r="J32" t="str">
        <f>IF(DraftResults[[#This Row],[Player ID]]=0,"",INDEX(Table5[[#All],[First]],MATCH(DraftResults[[#This Row],[Player ID]],Table5[[#All],[PID]],0)))</f>
        <v>Joshua</v>
      </c>
      <c r="K32" t="str">
        <f>IF(DraftResults[[#This Row],[Player ID]]=0,"",INDEX(Table5[[#All],[Last]],MATCH(DraftResults[[#This Row],[Player ID]],Table5[[#All],[PID]],0)))</f>
        <v>Watkins</v>
      </c>
    </row>
    <row r="33" spans="1:11" x14ac:dyDescent="0.3">
      <c r="A33">
        <v>1</v>
      </c>
      <c r="B33">
        <v>0</v>
      </c>
      <c r="C33">
        <v>30</v>
      </c>
      <c r="D33" t="s">
        <v>488</v>
      </c>
      <c r="E33">
        <v>7</v>
      </c>
      <c r="F33">
        <v>11539</v>
      </c>
      <c r="G33" t="s">
        <v>303</v>
      </c>
      <c r="H33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30</v>
      </c>
      <c r="I33" t="str">
        <f>IF(DraftResults[[#This Row],[Player ID]]=0,"",INDEX(Table5[[#All],[Pos]],MATCH(DraftResults[[#This Row],[Player ID]],Table5[[#All],[PID]],0)))</f>
        <v>SS</v>
      </c>
      <c r="J33" t="str">
        <f>IF(DraftResults[[#This Row],[Player ID]]=0,"",INDEX(Table5[[#All],[First]],MATCH(DraftResults[[#This Row],[Player ID]],Table5[[#All],[PID]],0)))</f>
        <v>Dan</v>
      </c>
      <c r="K33" t="str">
        <f>IF(DraftResults[[#This Row],[Player ID]]=0,"",INDEX(Table5[[#All],[Last]],MATCH(DraftResults[[#This Row],[Player ID]],Table5[[#All],[PID]],0)))</f>
        <v>Sheehan</v>
      </c>
    </row>
    <row r="34" spans="1:11" x14ac:dyDescent="0.3">
      <c r="A34">
        <v>1</v>
      </c>
      <c r="B34">
        <v>0</v>
      </c>
      <c r="C34">
        <v>31</v>
      </c>
      <c r="D34" t="s">
        <v>415</v>
      </c>
      <c r="E34">
        <v>166</v>
      </c>
      <c r="F34">
        <v>13376</v>
      </c>
      <c r="G34" t="s">
        <v>303</v>
      </c>
      <c r="H34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31</v>
      </c>
      <c r="I34" t="str">
        <f>IF(DraftResults[[#This Row],[Player ID]]=0,"",INDEX(Table5[[#All],[Pos]],MATCH(DraftResults[[#This Row],[Player ID]],Table5[[#All],[PID]],0)))</f>
        <v>SP</v>
      </c>
      <c r="J34" t="str">
        <f>IF(DraftResults[[#This Row],[Player ID]]=0,"",INDEX(Table5[[#All],[First]],MATCH(DraftResults[[#This Row],[Player ID]],Table5[[#All],[PID]],0)))</f>
        <v>Toru</v>
      </c>
      <c r="K34" t="str">
        <f>IF(DraftResults[[#This Row],[Player ID]]=0,"",INDEX(Table5[[#All],[Last]],MATCH(DraftResults[[#This Row],[Player ID]],Table5[[#All],[PID]],0)))</f>
        <v>Suzuki</v>
      </c>
    </row>
    <row r="35" spans="1:11" x14ac:dyDescent="0.3">
      <c r="A35">
        <v>1</v>
      </c>
      <c r="B35">
        <v>0</v>
      </c>
      <c r="C35">
        <v>32</v>
      </c>
      <c r="D35" t="s">
        <v>238</v>
      </c>
      <c r="E35">
        <v>11</v>
      </c>
      <c r="F35">
        <v>12905</v>
      </c>
      <c r="G35" t="s">
        <v>303</v>
      </c>
      <c r="H35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32</v>
      </c>
      <c r="I35" t="str">
        <f>IF(DraftResults[[#This Row],[Player ID]]=0,"",INDEX(Table5[[#All],[Pos]],MATCH(DraftResults[[#This Row],[Player ID]],Table5[[#All],[PID]],0)))</f>
        <v>CF</v>
      </c>
      <c r="J35" t="str">
        <f>IF(DraftResults[[#This Row],[Player ID]]=0,"",INDEX(Table5[[#All],[First]],MATCH(DraftResults[[#This Row],[Player ID]],Table5[[#All],[PID]],0)))</f>
        <v>Maxime</v>
      </c>
      <c r="K35" t="str">
        <f>IF(DraftResults[[#This Row],[Player ID]]=0,"",INDEX(Table5[[#All],[Last]],MATCH(DraftResults[[#This Row],[Player ID]],Table5[[#All],[PID]],0)))</f>
        <v>Astier</v>
      </c>
    </row>
    <row r="36" spans="1:11" x14ac:dyDescent="0.3">
      <c r="A36">
        <v>1</v>
      </c>
      <c r="B36">
        <v>0</v>
      </c>
      <c r="C36">
        <v>33</v>
      </c>
      <c r="D36" t="s">
        <v>236</v>
      </c>
      <c r="E36">
        <v>17</v>
      </c>
      <c r="F36">
        <v>15995</v>
      </c>
      <c r="G36" t="s">
        <v>303</v>
      </c>
      <c r="H36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33</v>
      </c>
      <c r="I36" t="str">
        <f>IF(DraftResults[[#This Row],[Player ID]]=0,"",INDEX(Table5[[#All],[Pos]],MATCH(DraftResults[[#This Row],[Player ID]],Table5[[#All],[PID]],0)))</f>
        <v>SP</v>
      </c>
      <c r="J36" t="str">
        <f>IF(DraftResults[[#This Row],[Player ID]]=0,"",INDEX(Table5[[#All],[First]],MATCH(DraftResults[[#This Row],[Player ID]],Table5[[#All],[PID]],0)))</f>
        <v>José</v>
      </c>
      <c r="K36" t="str">
        <f>IF(DraftResults[[#This Row],[Player ID]]=0,"",INDEX(Table5[[#All],[Last]],MATCH(DraftResults[[#This Row],[Player ID]],Table5[[#All],[PID]],0)))</f>
        <v>Espinosa</v>
      </c>
    </row>
    <row r="37" spans="1:11" x14ac:dyDescent="0.3">
      <c r="A37">
        <v>1</v>
      </c>
      <c r="B37">
        <v>1</v>
      </c>
      <c r="C37">
        <v>1</v>
      </c>
      <c r="D37" t="s">
        <v>413</v>
      </c>
      <c r="E37">
        <v>2</v>
      </c>
      <c r="F37">
        <v>10479</v>
      </c>
      <c r="G37" t="s">
        <v>303</v>
      </c>
      <c r="H37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34</v>
      </c>
      <c r="I37" t="str">
        <f>IF(DraftResults[[#This Row],[Player ID]]=0,"",INDEX(Table5[[#All],[Pos]],MATCH(DraftResults[[#This Row],[Player ID]],Table5[[#All],[PID]],0)))</f>
        <v>2B</v>
      </c>
      <c r="J37" t="str">
        <f>IF(DraftResults[[#This Row],[Player ID]]=0,"",INDEX(Table5[[#All],[First]],MATCH(DraftResults[[#This Row],[Player ID]],Table5[[#All],[PID]],0)))</f>
        <v>Ignacio</v>
      </c>
      <c r="K37" t="str">
        <f>IF(DraftResults[[#This Row],[Player ID]]=0,"",INDEX(Table5[[#All],[Last]],MATCH(DraftResults[[#This Row],[Player ID]],Table5[[#All],[PID]],0)))</f>
        <v>Jaramillo</v>
      </c>
    </row>
    <row r="38" spans="1:11" x14ac:dyDescent="0.3">
      <c r="A38">
        <v>1</v>
      </c>
      <c r="B38">
        <v>1</v>
      </c>
      <c r="C38">
        <v>2</v>
      </c>
      <c r="D38" t="s">
        <v>238</v>
      </c>
      <c r="E38">
        <v>11</v>
      </c>
      <c r="F38">
        <v>20985</v>
      </c>
      <c r="G38" t="s">
        <v>303</v>
      </c>
      <c r="H38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35</v>
      </c>
      <c r="I38" t="str">
        <f>IF(DraftResults[[#This Row],[Player ID]]=0,"",INDEX(Table5[[#All],[Pos]],MATCH(DraftResults[[#This Row],[Player ID]],Table5[[#All],[PID]],0)))</f>
        <v>CL</v>
      </c>
      <c r="J38" t="str">
        <f>IF(DraftResults[[#This Row],[Player ID]]=0,"",INDEX(Table5[[#All],[First]],MATCH(DraftResults[[#This Row],[Player ID]],Table5[[#All],[PID]],0)))</f>
        <v>Mitch</v>
      </c>
      <c r="K38" t="str">
        <f>IF(DraftResults[[#This Row],[Player ID]]=0,"",INDEX(Table5[[#All],[Last]],MATCH(DraftResults[[#This Row],[Player ID]],Table5[[#All],[PID]],0)))</f>
        <v>Hall</v>
      </c>
    </row>
    <row r="39" spans="1:11" x14ac:dyDescent="0.3">
      <c r="A39">
        <v>1</v>
      </c>
      <c r="B39">
        <v>1</v>
      </c>
      <c r="C39">
        <v>3</v>
      </c>
      <c r="D39" t="s">
        <v>413</v>
      </c>
      <c r="E39">
        <v>2</v>
      </c>
      <c r="F39">
        <v>13255</v>
      </c>
      <c r="G39" t="s">
        <v>303</v>
      </c>
      <c r="H39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36</v>
      </c>
      <c r="I39" t="str">
        <f>IF(DraftResults[[#This Row],[Player ID]]=0,"",INDEX(Table5[[#All],[Pos]],MATCH(DraftResults[[#This Row],[Player ID]],Table5[[#All],[PID]],0)))</f>
        <v>C</v>
      </c>
      <c r="J39" t="str">
        <f>IF(DraftResults[[#This Row],[Player ID]]=0,"",INDEX(Table5[[#All],[First]],MATCH(DraftResults[[#This Row],[Player ID]],Table5[[#All],[PID]],0)))</f>
        <v>Masaki</v>
      </c>
      <c r="K39" t="str">
        <f>IF(DraftResults[[#This Row],[Player ID]]=0,"",INDEX(Table5[[#All],[Last]],MATCH(DraftResults[[#This Row],[Player ID]],Table5[[#All],[PID]],0)))</f>
        <v>Kouki</v>
      </c>
    </row>
    <row r="40" spans="1:11" ht="15.75" customHeight="1" x14ac:dyDescent="0.3">
      <c r="A40">
        <v>2</v>
      </c>
      <c r="B40">
        <v>0</v>
      </c>
      <c r="C40">
        <v>1</v>
      </c>
      <c r="D40" t="s">
        <v>238</v>
      </c>
      <c r="E40">
        <v>11</v>
      </c>
      <c r="F40">
        <v>11707</v>
      </c>
      <c r="G40" t="s">
        <v>303</v>
      </c>
      <c r="H40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37</v>
      </c>
      <c r="I40" t="str">
        <f>IF(DraftResults[[#This Row],[Player ID]]=0,"",INDEX(Table5[[#All],[Pos]],MATCH(DraftResults[[#This Row],[Player ID]],Table5[[#All],[PID]],0)))</f>
        <v>2B</v>
      </c>
      <c r="J40" t="str">
        <f>IF(DraftResults[[#This Row],[Player ID]]=0,"",INDEX(Table5[[#All],[First]],MATCH(DraftResults[[#This Row],[Player ID]],Table5[[#All],[PID]],0)))</f>
        <v>Corey</v>
      </c>
      <c r="K40" t="str">
        <f>IF(DraftResults[[#This Row],[Player ID]]=0,"",INDEX(Table5[[#All],[Last]],MATCH(DraftResults[[#This Row],[Player ID]],Table5[[#All],[PID]],0)))</f>
        <v>Gorman</v>
      </c>
    </row>
    <row r="41" spans="1:11" x14ac:dyDescent="0.3">
      <c r="A41">
        <v>2</v>
      </c>
      <c r="B41">
        <v>0</v>
      </c>
      <c r="C41">
        <v>2</v>
      </c>
      <c r="D41" t="s">
        <v>488</v>
      </c>
      <c r="E41">
        <v>7</v>
      </c>
      <c r="F41">
        <v>10920</v>
      </c>
      <c r="G41" t="s">
        <v>303</v>
      </c>
      <c r="H41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38</v>
      </c>
      <c r="I41" t="str">
        <f>IF(DraftResults[[#This Row],[Player ID]]=0,"",INDEX(Table5[[#All],[Pos]],MATCH(DraftResults[[#This Row],[Player ID]],Table5[[#All],[PID]],0)))</f>
        <v>SP</v>
      </c>
      <c r="J41" t="str">
        <f>IF(DraftResults[[#This Row],[Player ID]]=0,"",INDEX(Table5[[#All],[First]],MATCH(DraftResults[[#This Row],[Player ID]],Table5[[#All],[PID]],0)))</f>
        <v>Juan</v>
      </c>
      <c r="K41" t="str">
        <f>IF(DraftResults[[#This Row],[Player ID]]=0,"",INDEX(Table5[[#All],[Last]],MATCH(DraftResults[[#This Row],[Player ID]],Table5[[#All],[PID]],0)))</f>
        <v>Menéndez</v>
      </c>
    </row>
    <row r="42" spans="1:11" x14ac:dyDescent="0.3">
      <c r="A42">
        <v>2</v>
      </c>
      <c r="B42">
        <v>0</v>
      </c>
      <c r="C42">
        <v>3</v>
      </c>
      <c r="D42" t="s">
        <v>420</v>
      </c>
      <c r="E42">
        <v>167</v>
      </c>
      <c r="F42">
        <v>10522</v>
      </c>
      <c r="G42" t="s">
        <v>303</v>
      </c>
      <c r="H42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39</v>
      </c>
      <c r="I42" t="str">
        <f>IF(DraftResults[[#This Row],[Player ID]]=0,"",INDEX(Table5[[#All],[Pos]],MATCH(DraftResults[[#This Row],[Player ID]],Table5[[#All],[PID]],0)))</f>
        <v>1B</v>
      </c>
      <c r="J42" t="str">
        <f>IF(DraftResults[[#This Row],[Player ID]]=0,"",INDEX(Table5[[#All],[First]],MATCH(DraftResults[[#This Row],[Player ID]],Table5[[#All],[PID]],0)))</f>
        <v>Juan Carlos</v>
      </c>
      <c r="K42" t="str">
        <f>IF(DraftResults[[#This Row],[Player ID]]=0,"",INDEX(Table5[[#All],[Last]],MATCH(DraftResults[[#This Row],[Player ID]],Table5[[#All],[PID]],0)))</f>
        <v>Sánchez</v>
      </c>
    </row>
    <row r="43" spans="1:11" x14ac:dyDescent="0.3">
      <c r="A43">
        <v>2</v>
      </c>
      <c r="B43">
        <v>0</v>
      </c>
      <c r="C43">
        <v>4</v>
      </c>
      <c r="D43" t="s">
        <v>235</v>
      </c>
      <c r="E43">
        <v>21</v>
      </c>
      <c r="F43">
        <v>21052</v>
      </c>
      <c r="G43" t="s">
        <v>303</v>
      </c>
      <c r="H43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40</v>
      </c>
      <c r="I43" t="str">
        <f>IF(DraftResults[[#This Row],[Player ID]]=0,"",INDEX(Table5[[#All],[Pos]],MATCH(DraftResults[[#This Row],[Player ID]],Table5[[#All],[PID]],0)))</f>
        <v>SP</v>
      </c>
      <c r="J43" t="str">
        <f>IF(DraftResults[[#This Row],[Player ID]]=0,"",INDEX(Table5[[#All],[First]],MATCH(DraftResults[[#This Row],[Player ID]],Table5[[#All],[PID]],0)))</f>
        <v>Weston</v>
      </c>
      <c r="K43" t="str">
        <f>IF(DraftResults[[#This Row],[Player ID]]=0,"",INDEX(Table5[[#All],[Last]],MATCH(DraftResults[[#This Row],[Player ID]],Table5[[#All],[PID]],0)))</f>
        <v>Harris</v>
      </c>
    </row>
    <row r="44" spans="1:11" x14ac:dyDescent="0.3">
      <c r="A44">
        <v>2</v>
      </c>
      <c r="B44">
        <v>0</v>
      </c>
      <c r="C44">
        <v>5</v>
      </c>
      <c r="D44" t="s">
        <v>545</v>
      </c>
      <c r="E44">
        <v>23</v>
      </c>
      <c r="F44">
        <v>12132</v>
      </c>
      <c r="G44" t="s">
        <v>303</v>
      </c>
      <c r="H44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41</v>
      </c>
      <c r="I44" t="str">
        <f>IF(DraftResults[[#This Row],[Player ID]]=0,"",INDEX(Table5[[#All],[Pos]],MATCH(DraftResults[[#This Row],[Player ID]],Table5[[#All],[PID]],0)))</f>
        <v>RF</v>
      </c>
      <c r="J44" t="str">
        <f>IF(DraftResults[[#This Row],[Player ID]]=0,"",INDEX(Table5[[#All],[First]],MATCH(DraftResults[[#This Row],[Player ID]],Table5[[#All],[PID]],0)))</f>
        <v>Gael</v>
      </c>
      <c r="K44" t="str">
        <f>IF(DraftResults[[#This Row],[Player ID]]=0,"",INDEX(Table5[[#All],[Last]],MATCH(DraftResults[[#This Row],[Player ID]],Table5[[#All],[PID]],0)))</f>
        <v>Hollingsworth</v>
      </c>
    </row>
    <row r="45" spans="1:11" x14ac:dyDescent="0.3">
      <c r="A45">
        <v>2</v>
      </c>
      <c r="B45">
        <v>0</v>
      </c>
      <c r="C45">
        <v>6</v>
      </c>
      <c r="D45" t="s">
        <v>246</v>
      </c>
      <c r="E45">
        <v>8</v>
      </c>
      <c r="F45">
        <v>20950</v>
      </c>
      <c r="G45" t="s">
        <v>303</v>
      </c>
      <c r="H45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42</v>
      </c>
      <c r="I45" t="str">
        <f>IF(DraftResults[[#This Row],[Player ID]]=0,"",INDEX(Table5[[#All],[Pos]],MATCH(DraftResults[[#This Row],[Player ID]],Table5[[#All],[PID]],0)))</f>
        <v>SP</v>
      </c>
      <c r="J45" t="str">
        <f>IF(DraftResults[[#This Row],[Player ID]]=0,"",INDEX(Table5[[#All],[First]],MATCH(DraftResults[[#This Row],[Player ID]],Table5[[#All],[PID]],0)))</f>
        <v>León</v>
      </c>
      <c r="K45" t="str">
        <f>IF(DraftResults[[#This Row],[Player ID]]=0,"",INDEX(Table5[[#All],[Last]],MATCH(DraftResults[[#This Row],[Player ID]],Table5[[#All],[PID]],0)))</f>
        <v>Pérez</v>
      </c>
    </row>
    <row r="46" spans="1:11" x14ac:dyDescent="0.3">
      <c r="A46">
        <v>2</v>
      </c>
      <c r="B46">
        <v>0</v>
      </c>
      <c r="C46">
        <v>7</v>
      </c>
      <c r="D46" t="s">
        <v>419</v>
      </c>
      <c r="E46">
        <v>18</v>
      </c>
      <c r="F46">
        <v>8633</v>
      </c>
      <c r="G46" t="s">
        <v>303</v>
      </c>
      <c r="H46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43</v>
      </c>
      <c r="I46" t="str">
        <f>IF(DraftResults[[#This Row],[Player ID]]=0,"",INDEX(Table5[[#All],[Pos]],MATCH(DraftResults[[#This Row],[Player ID]],Table5[[#All],[PID]],0)))</f>
        <v>1B</v>
      </c>
      <c r="J46" t="str">
        <f>IF(DraftResults[[#This Row],[Player ID]]=0,"",INDEX(Table5[[#All],[First]],MATCH(DraftResults[[#This Row],[Player ID]],Table5[[#All],[PID]],0)))</f>
        <v>Sadakuno</v>
      </c>
      <c r="K46" t="str">
        <f>IF(DraftResults[[#This Row],[Player ID]]=0,"",INDEX(Table5[[#All],[Last]],MATCH(DraftResults[[#This Row],[Player ID]],Table5[[#All],[PID]],0)))</f>
        <v>Sai</v>
      </c>
    </row>
    <row r="47" spans="1:11" x14ac:dyDescent="0.3">
      <c r="A47">
        <v>2</v>
      </c>
      <c r="B47">
        <v>0</v>
      </c>
      <c r="C47">
        <v>8</v>
      </c>
      <c r="D47" t="s">
        <v>1614</v>
      </c>
      <c r="E47">
        <v>6</v>
      </c>
      <c r="F47">
        <v>20671</v>
      </c>
      <c r="G47" t="s">
        <v>303</v>
      </c>
      <c r="H47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44</v>
      </c>
      <c r="I47" t="str">
        <f>IF(DraftResults[[#This Row],[Player ID]]=0,"",INDEX(Table5[[#All],[Pos]],MATCH(DraftResults[[#This Row],[Player ID]],Table5[[#All],[PID]],0)))</f>
        <v>LF</v>
      </c>
      <c r="J47" t="str">
        <f>IF(DraftResults[[#This Row],[Player ID]]=0,"",INDEX(Table5[[#All],[First]],MATCH(DraftResults[[#This Row],[Player ID]],Table5[[#All],[PID]],0)))</f>
        <v>Won-sik</v>
      </c>
      <c r="K47" t="str">
        <f>IF(DraftResults[[#This Row],[Player ID]]=0,"",INDEX(Table5[[#All],[Last]],MATCH(DraftResults[[#This Row],[Player ID]],Table5[[#All],[PID]],0)))</f>
        <v>Kim</v>
      </c>
    </row>
    <row r="48" spans="1:11" x14ac:dyDescent="0.3">
      <c r="A48">
        <v>2</v>
      </c>
      <c r="B48">
        <v>0</v>
      </c>
      <c r="C48">
        <v>9</v>
      </c>
      <c r="D48" t="s">
        <v>1614</v>
      </c>
      <c r="E48">
        <v>6</v>
      </c>
      <c r="F48">
        <v>13181</v>
      </c>
      <c r="G48" t="s">
        <v>303</v>
      </c>
      <c r="H48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45</v>
      </c>
      <c r="I48" t="str">
        <f>IF(DraftResults[[#This Row],[Player ID]]=0,"",INDEX(Table5[[#All],[Pos]],MATCH(DraftResults[[#This Row],[Player ID]],Table5[[#All],[PID]],0)))</f>
        <v>2B</v>
      </c>
      <c r="J48" t="str">
        <f>IF(DraftResults[[#This Row],[Player ID]]=0,"",INDEX(Table5[[#All],[First]],MATCH(DraftResults[[#This Row],[Player ID]],Table5[[#All],[PID]],0)))</f>
        <v>Toshiro</v>
      </c>
      <c r="K48" t="str">
        <f>IF(DraftResults[[#This Row],[Player ID]]=0,"",INDEX(Table5[[#All],[Last]],MATCH(DraftResults[[#This Row],[Player ID]],Table5[[#All],[PID]],0)))</f>
        <v>Motsuzuki</v>
      </c>
    </row>
    <row r="49" spans="1:11" x14ac:dyDescent="0.3">
      <c r="A49">
        <v>2</v>
      </c>
      <c r="B49">
        <v>0</v>
      </c>
      <c r="C49">
        <v>10</v>
      </c>
      <c r="D49" t="s">
        <v>240</v>
      </c>
      <c r="E49">
        <v>3</v>
      </c>
      <c r="F49">
        <v>13064</v>
      </c>
      <c r="G49" t="s">
        <v>303</v>
      </c>
      <c r="H49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46</v>
      </c>
      <c r="I49" t="str">
        <f>IF(DraftResults[[#This Row],[Player ID]]=0,"",INDEX(Table5[[#All],[Pos]],MATCH(DraftResults[[#This Row],[Player ID]],Table5[[#All],[PID]],0)))</f>
        <v>SP</v>
      </c>
      <c r="J49" t="str">
        <f>IF(DraftResults[[#This Row],[Player ID]]=0,"",INDEX(Table5[[#All],[First]],MATCH(DraftResults[[#This Row],[Player ID]],Table5[[#All],[PID]],0)))</f>
        <v>Petro</v>
      </c>
      <c r="K49" t="str">
        <f>IF(DraftResults[[#This Row],[Player ID]]=0,"",INDEX(Table5[[#All],[Last]],MATCH(DraftResults[[#This Row],[Player ID]],Table5[[#All],[PID]],0)))</f>
        <v>Bouchard</v>
      </c>
    </row>
    <row r="50" spans="1:11" x14ac:dyDescent="0.3">
      <c r="A50">
        <v>2</v>
      </c>
      <c r="B50">
        <v>0</v>
      </c>
      <c r="C50">
        <v>11</v>
      </c>
      <c r="D50" t="s">
        <v>414</v>
      </c>
      <c r="E50">
        <v>164</v>
      </c>
      <c r="F50">
        <v>9156</v>
      </c>
      <c r="G50" t="s">
        <v>303</v>
      </c>
      <c r="H50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47</v>
      </c>
      <c r="I50" t="str">
        <f>IF(DraftResults[[#This Row],[Player ID]]=0,"",INDEX(Table5[[#All],[Pos]],MATCH(DraftResults[[#This Row],[Player ID]],Table5[[#All],[PID]],0)))</f>
        <v>LF</v>
      </c>
      <c r="J50" t="str">
        <f>IF(DraftResults[[#This Row],[Player ID]]=0,"",INDEX(Table5[[#All],[First]],MATCH(DraftResults[[#This Row],[Player ID]],Table5[[#All],[PID]],0)))</f>
        <v>Scott</v>
      </c>
      <c r="K50" t="str">
        <f>IF(DraftResults[[#This Row],[Player ID]]=0,"",INDEX(Table5[[#All],[Last]],MATCH(DraftResults[[#This Row],[Player ID]],Table5[[#All],[PID]],0)))</f>
        <v>Zimmerman</v>
      </c>
    </row>
    <row r="51" spans="1:11" x14ac:dyDescent="0.3">
      <c r="A51">
        <v>2</v>
      </c>
      <c r="B51">
        <v>0</v>
      </c>
      <c r="C51">
        <v>12</v>
      </c>
      <c r="D51" t="s">
        <v>232</v>
      </c>
      <c r="E51">
        <v>19</v>
      </c>
      <c r="F51">
        <v>20532</v>
      </c>
      <c r="G51" t="s">
        <v>303</v>
      </c>
      <c r="H51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48</v>
      </c>
      <c r="I51" t="str">
        <f>IF(DraftResults[[#This Row],[Player ID]]=0,"",INDEX(Table5[[#All],[Pos]],MATCH(DraftResults[[#This Row],[Player ID]],Table5[[#All],[PID]],0)))</f>
        <v>CL</v>
      </c>
      <c r="J51" t="str">
        <f>IF(DraftResults[[#This Row],[Player ID]]=0,"",INDEX(Table5[[#All],[First]],MATCH(DraftResults[[#This Row],[Player ID]],Table5[[#All],[PID]],0)))</f>
        <v>Vince</v>
      </c>
      <c r="K51" t="str">
        <f>IF(DraftResults[[#This Row],[Player ID]]=0,"",INDEX(Table5[[#All],[Last]],MATCH(DraftResults[[#This Row],[Player ID]],Table5[[#All],[PID]],0)))</f>
        <v>Rayner</v>
      </c>
    </row>
    <row r="52" spans="1:11" x14ac:dyDescent="0.3">
      <c r="A52">
        <v>2</v>
      </c>
      <c r="B52">
        <v>0</v>
      </c>
      <c r="C52">
        <v>13</v>
      </c>
      <c r="D52" t="s">
        <v>243</v>
      </c>
      <c r="E52">
        <v>15</v>
      </c>
      <c r="F52">
        <v>12639</v>
      </c>
      <c r="G52" t="s">
        <v>303</v>
      </c>
      <c r="H52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49</v>
      </c>
      <c r="I52" t="str">
        <f>IF(DraftResults[[#This Row],[Player ID]]=0,"",INDEX(Table5[[#All],[Pos]],MATCH(DraftResults[[#This Row],[Player ID]],Table5[[#All],[PID]],0)))</f>
        <v>SP</v>
      </c>
      <c r="J52" t="str">
        <f>IF(DraftResults[[#This Row],[Player ID]]=0,"",INDEX(Table5[[#All],[First]],MATCH(DraftResults[[#This Row],[Player ID]],Table5[[#All],[PID]],0)))</f>
        <v>Wilbert</v>
      </c>
      <c r="K52" t="str">
        <f>IF(DraftResults[[#This Row],[Player ID]]=0,"",INDEX(Table5[[#All],[Last]],MATCH(DraftResults[[#This Row],[Player ID]],Table5[[#All],[PID]],0)))</f>
        <v>Dugles</v>
      </c>
    </row>
    <row r="53" spans="1:11" x14ac:dyDescent="0.3">
      <c r="A53">
        <v>2</v>
      </c>
      <c r="B53">
        <v>0</v>
      </c>
      <c r="C53">
        <v>14</v>
      </c>
      <c r="D53" t="s">
        <v>489</v>
      </c>
      <c r="E53">
        <v>4</v>
      </c>
      <c r="F53">
        <v>13635</v>
      </c>
      <c r="G53" t="s">
        <v>303</v>
      </c>
      <c r="H53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50</v>
      </c>
      <c r="I53" t="str">
        <f>IF(DraftResults[[#This Row],[Player ID]]=0,"",INDEX(Table5[[#All],[Pos]],MATCH(DraftResults[[#This Row],[Player ID]],Table5[[#All],[PID]],0)))</f>
        <v>LF</v>
      </c>
      <c r="J53" t="str">
        <f>IF(DraftResults[[#This Row],[Player ID]]=0,"",INDEX(Table5[[#All],[First]],MATCH(DraftResults[[#This Row],[Player ID]],Table5[[#All],[PID]],0)))</f>
        <v>Donald</v>
      </c>
      <c r="K53" t="str">
        <f>IF(DraftResults[[#This Row],[Player ID]]=0,"",INDEX(Table5[[#All],[Last]],MATCH(DraftResults[[#This Row],[Player ID]],Table5[[#All],[PID]],0)))</f>
        <v>Horne</v>
      </c>
    </row>
    <row r="54" spans="1:11" x14ac:dyDescent="0.3">
      <c r="A54">
        <v>2</v>
      </c>
      <c r="B54">
        <v>0</v>
      </c>
      <c r="C54">
        <v>15</v>
      </c>
      <c r="D54" t="s">
        <v>414</v>
      </c>
      <c r="E54">
        <v>164</v>
      </c>
      <c r="F54">
        <v>13171</v>
      </c>
      <c r="G54" t="s">
        <v>303</v>
      </c>
      <c r="H54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51</v>
      </c>
      <c r="I54" t="str">
        <f>IF(DraftResults[[#This Row],[Player ID]]=0,"",INDEX(Table5[[#All],[Pos]],MATCH(DraftResults[[#This Row],[Player ID]],Table5[[#All],[PID]],0)))</f>
        <v>1B</v>
      </c>
      <c r="J54" t="str">
        <f>IF(DraftResults[[#This Row],[Player ID]]=0,"",INDEX(Table5[[#All],[First]],MATCH(DraftResults[[#This Row],[Player ID]],Table5[[#All],[PID]],0)))</f>
        <v>Yoshi</v>
      </c>
      <c r="K54" t="str">
        <f>IF(DraftResults[[#This Row],[Player ID]]=0,"",INDEX(Table5[[#All],[Last]],MATCH(DraftResults[[#This Row],[Player ID]],Table5[[#All],[PID]],0)))</f>
        <v>Ishikawa</v>
      </c>
    </row>
    <row r="55" spans="1:11" x14ac:dyDescent="0.3">
      <c r="A55">
        <v>2</v>
      </c>
      <c r="B55">
        <v>0</v>
      </c>
      <c r="C55">
        <v>16</v>
      </c>
      <c r="D55" t="s">
        <v>251</v>
      </c>
      <c r="E55">
        <v>12</v>
      </c>
      <c r="F55">
        <v>20733</v>
      </c>
      <c r="G55" t="s">
        <v>303</v>
      </c>
      <c r="H55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52</v>
      </c>
      <c r="I55" t="str">
        <f>IF(DraftResults[[#This Row],[Player ID]]=0,"",INDEX(Table5[[#All],[Pos]],MATCH(DraftResults[[#This Row],[Player ID]],Table5[[#All],[PID]],0)))</f>
        <v>RP</v>
      </c>
      <c r="J55" t="str">
        <f>IF(DraftResults[[#This Row],[Player ID]]=0,"",INDEX(Table5[[#All],[First]],MATCH(DraftResults[[#This Row],[Player ID]],Table5[[#All],[PID]],0)))</f>
        <v>Jack</v>
      </c>
      <c r="K55" t="str">
        <f>IF(DraftResults[[#This Row],[Player ID]]=0,"",INDEX(Table5[[#All],[Last]],MATCH(DraftResults[[#This Row],[Player ID]],Table5[[#All],[PID]],0)))</f>
        <v>Harris</v>
      </c>
    </row>
    <row r="56" spans="1:11" x14ac:dyDescent="0.3">
      <c r="A56">
        <v>2</v>
      </c>
      <c r="B56">
        <v>0</v>
      </c>
      <c r="C56">
        <v>17</v>
      </c>
      <c r="D56" t="s">
        <v>546</v>
      </c>
      <c r="E56">
        <v>9</v>
      </c>
      <c r="F56">
        <v>20699</v>
      </c>
      <c r="G56" t="s">
        <v>303</v>
      </c>
      <c r="H56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53</v>
      </c>
      <c r="I56" t="str">
        <f>IF(DraftResults[[#This Row],[Player ID]]=0,"",INDEX(Table5[[#All],[Pos]],MATCH(DraftResults[[#This Row],[Player ID]],Table5[[#All],[PID]],0)))</f>
        <v>3B</v>
      </c>
      <c r="J56" t="str">
        <f>IF(DraftResults[[#This Row],[Player ID]]=0,"",INDEX(Table5[[#All],[First]],MATCH(DraftResults[[#This Row],[Player ID]],Table5[[#All],[PID]],0)))</f>
        <v>Pu-feng</v>
      </c>
      <c r="K56" t="str">
        <f>IF(DraftResults[[#This Row],[Player ID]]=0,"",INDEX(Table5[[#All],[Last]],MATCH(DraftResults[[#This Row],[Player ID]],Table5[[#All],[PID]],0)))</f>
        <v>Shuo</v>
      </c>
    </row>
    <row r="57" spans="1:11" x14ac:dyDescent="0.3">
      <c r="A57">
        <v>2</v>
      </c>
      <c r="B57">
        <v>0</v>
      </c>
      <c r="C57">
        <v>18</v>
      </c>
      <c r="D57" t="s">
        <v>251</v>
      </c>
      <c r="E57">
        <v>12</v>
      </c>
      <c r="F57">
        <v>11536</v>
      </c>
      <c r="G57" t="s">
        <v>303</v>
      </c>
      <c r="H57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54</v>
      </c>
      <c r="I57" t="str">
        <f>IF(DraftResults[[#This Row],[Player ID]]=0,"",INDEX(Table5[[#All],[Pos]],MATCH(DraftResults[[#This Row],[Player ID]],Table5[[#All],[PID]],0)))</f>
        <v>1B</v>
      </c>
      <c r="J57" t="str">
        <f>IF(DraftResults[[#This Row],[Player ID]]=0,"",INDEX(Table5[[#All],[First]],MATCH(DraftResults[[#This Row],[Player ID]],Table5[[#All],[PID]],0)))</f>
        <v>Rodney</v>
      </c>
      <c r="K57" t="str">
        <f>IF(DraftResults[[#This Row],[Player ID]]=0,"",INDEX(Table5[[#All],[Last]],MATCH(DraftResults[[#This Row],[Player ID]],Table5[[#All],[PID]],0)))</f>
        <v>Bowers</v>
      </c>
    </row>
    <row r="58" spans="1:11" x14ac:dyDescent="0.3">
      <c r="A58">
        <v>2</v>
      </c>
      <c r="B58">
        <v>0</v>
      </c>
      <c r="C58">
        <v>19</v>
      </c>
      <c r="D58" t="s">
        <v>544</v>
      </c>
      <c r="E58">
        <v>13</v>
      </c>
      <c r="F58">
        <v>11861</v>
      </c>
      <c r="G58" t="s">
        <v>303</v>
      </c>
      <c r="H58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55</v>
      </c>
      <c r="I58" t="str">
        <f>IF(DraftResults[[#This Row],[Player ID]]=0,"",INDEX(Table5[[#All],[Pos]],MATCH(DraftResults[[#This Row],[Player ID]],Table5[[#All],[PID]],0)))</f>
        <v>3B</v>
      </c>
      <c r="J58" t="str">
        <f>IF(DraftResults[[#This Row],[Player ID]]=0,"",INDEX(Table5[[#All],[First]],MATCH(DraftResults[[#This Row],[Player ID]],Table5[[#All],[PID]],0)))</f>
        <v>Manuel</v>
      </c>
      <c r="K58" t="str">
        <f>IF(DraftResults[[#This Row],[Player ID]]=0,"",INDEX(Table5[[#All],[Last]],MATCH(DraftResults[[#This Row],[Player ID]],Table5[[#All],[PID]],0)))</f>
        <v>Márquez</v>
      </c>
    </row>
    <row r="59" spans="1:11" x14ac:dyDescent="0.3">
      <c r="A59">
        <v>2</v>
      </c>
      <c r="B59">
        <v>0</v>
      </c>
      <c r="C59">
        <v>20</v>
      </c>
      <c r="D59" t="s">
        <v>243</v>
      </c>
      <c r="E59">
        <v>15</v>
      </c>
      <c r="F59">
        <v>20230</v>
      </c>
      <c r="G59" t="s">
        <v>303</v>
      </c>
      <c r="H59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56</v>
      </c>
      <c r="I59" t="str">
        <f>IF(DraftResults[[#This Row],[Player ID]]=0,"",INDEX(Table5[[#All],[Pos]],MATCH(DraftResults[[#This Row],[Player ID]],Table5[[#All],[PID]],0)))</f>
        <v>LF</v>
      </c>
      <c r="J59" t="str">
        <f>IF(DraftResults[[#This Row],[Player ID]]=0,"",INDEX(Table5[[#All],[First]],MATCH(DraftResults[[#This Row],[Player ID]],Table5[[#All],[PID]],0)))</f>
        <v>Dave</v>
      </c>
      <c r="K59" t="str">
        <f>IF(DraftResults[[#This Row],[Player ID]]=0,"",INDEX(Table5[[#All],[Last]],MATCH(DraftResults[[#This Row],[Player ID]],Table5[[#All],[PID]],0)))</f>
        <v>Docherty</v>
      </c>
    </row>
    <row r="60" spans="1:11" x14ac:dyDescent="0.3">
      <c r="A60">
        <v>2</v>
      </c>
      <c r="B60">
        <v>0</v>
      </c>
      <c r="C60">
        <v>21</v>
      </c>
      <c r="D60" t="s">
        <v>412</v>
      </c>
      <c r="E60">
        <v>162</v>
      </c>
      <c r="F60">
        <v>14458</v>
      </c>
      <c r="G60" t="s">
        <v>303</v>
      </c>
      <c r="H60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57</v>
      </c>
      <c r="I60" t="str">
        <f>IF(DraftResults[[#This Row],[Player ID]]=0,"",INDEX(Table5[[#All],[Pos]],MATCH(DraftResults[[#This Row],[Player ID]],Table5[[#All],[PID]],0)))</f>
        <v>CL</v>
      </c>
      <c r="J60" t="str">
        <f>IF(DraftResults[[#This Row],[Player ID]]=0,"",INDEX(Table5[[#All],[First]],MATCH(DraftResults[[#This Row],[Player ID]],Table5[[#All],[PID]],0)))</f>
        <v>Melvin</v>
      </c>
      <c r="K60" t="str">
        <f>IF(DraftResults[[#This Row],[Player ID]]=0,"",INDEX(Table5[[#All],[Last]],MATCH(DraftResults[[#This Row],[Player ID]],Table5[[#All],[PID]],0)))</f>
        <v>Romero</v>
      </c>
    </row>
    <row r="61" spans="1:11" x14ac:dyDescent="0.3">
      <c r="A61">
        <v>2</v>
      </c>
      <c r="B61">
        <v>0</v>
      </c>
      <c r="C61">
        <v>22</v>
      </c>
      <c r="D61" t="s">
        <v>546</v>
      </c>
      <c r="E61">
        <v>9</v>
      </c>
      <c r="F61">
        <v>9825</v>
      </c>
      <c r="G61" t="s">
        <v>303</v>
      </c>
      <c r="H61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58</v>
      </c>
      <c r="I61" t="str">
        <f>IF(DraftResults[[#This Row],[Player ID]]=0,"",INDEX(Table5[[#All],[Pos]],MATCH(DraftResults[[#This Row],[Player ID]],Table5[[#All],[PID]],0)))</f>
        <v>SP</v>
      </c>
      <c r="J61" t="str">
        <f>IF(DraftResults[[#This Row],[Player ID]]=0,"",INDEX(Table5[[#All],[First]],MATCH(DraftResults[[#This Row],[Player ID]],Table5[[#All],[PID]],0)))</f>
        <v>Ken</v>
      </c>
      <c r="K61" t="str">
        <f>IF(DraftResults[[#This Row],[Player ID]]=0,"",INDEX(Table5[[#All],[Last]],MATCH(DraftResults[[#This Row],[Player ID]],Table5[[#All],[PID]],0)))</f>
        <v>Marshall</v>
      </c>
    </row>
    <row r="62" spans="1:11" x14ac:dyDescent="0.3">
      <c r="A62">
        <v>2</v>
      </c>
      <c r="B62">
        <v>0</v>
      </c>
      <c r="C62">
        <v>23</v>
      </c>
      <c r="D62" t="s">
        <v>232</v>
      </c>
      <c r="E62">
        <v>19</v>
      </c>
      <c r="F62">
        <v>9371</v>
      </c>
      <c r="G62" t="s">
        <v>303</v>
      </c>
      <c r="H62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59</v>
      </c>
      <c r="I62" t="str">
        <f>IF(DraftResults[[#This Row],[Player ID]]=0,"",INDEX(Table5[[#All],[Pos]],MATCH(DraftResults[[#This Row],[Player ID]],Table5[[#All],[PID]],0)))</f>
        <v>SP</v>
      </c>
      <c r="J62" t="str">
        <f>IF(DraftResults[[#This Row],[Player ID]]=0,"",INDEX(Table5[[#All],[First]],MATCH(DraftResults[[#This Row],[Player ID]],Table5[[#All],[PID]],0)))</f>
        <v>Ken</v>
      </c>
      <c r="K62" t="str">
        <f>IF(DraftResults[[#This Row],[Player ID]]=0,"",INDEX(Table5[[#All],[Last]],MATCH(DraftResults[[#This Row],[Player ID]],Table5[[#All],[PID]],0)))</f>
        <v>Berrios</v>
      </c>
    </row>
    <row r="63" spans="1:11" x14ac:dyDescent="0.3">
      <c r="A63">
        <v>2</v>
      </c>
      <c r="B63">
        <v>0</v>
      </c>
      <c r="C63">
        <v>24</v>
      </c>
      <c r="D63" t="s">
        <v>546</v>
      </c>
      <c r="E63">
        <v>9</v>
      </c>
      <c r="F63">
        <v>14511</v>
      </c>
      <c r="G63" t="s">
        <v>303</v>
      </c>
      <c r="H63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60</v>
      </c>
      <c r="I63" t="str">
        <f>IF(DraftResults[[#This Row],[Player ID]]=0,"",INDEX(Table5[[#All],[Pos]],MATCH(DraftResults[[#This Row],[Player ID]],Table5[[#All],[PID]],0)))</f>
        <v>1B</v>
      </c>
      <c r="J63" t="str">
        <f>IF(DraftResults[[#This Row],[Player ID]]=0,"",INDEX(Table5[[#All],[First]],MATCH(DraftResults[[#This Row],[Player ID]],Table5[[#All],[PID]],0)))</f>
        <v>Don</v>
      </c>
      <c r="K63" t="str">
        <f>IF(DraftResults[[#This Row],[Player ID]]=0,"",INDEX(Table5[[#All],[Last]],MATCH(DraftResults[[#This Row],[Player ID]],Table5[[#All],[PID]],0)))</f>
        <v>Anderson</v>
      </c>
    </row>
    <row r="64" spans="1:11" x14ac:dyDescent="0.3">
      <c r="A64">
        <v>2</v>
      </c>
      <c r="B64">
        <v>0</v>
      </c>
      <c r="C64">
        <v>25</v>
      </c>
      <c r="D64" t="s">
        <v>244</v>
      </c>
      <c r="E64">
        <v>20</v>
      </c>
      <c r="F64">
        <v>10465</v>
      </c>
      <c r="G64" t="s">
        <v>303</v>
      </c>
      <c r="H64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61</v>
      </c>
      <c r="I64" t="str">
        <f>IF(DraftResults[[#This Row],[Player ID]]=0,"",INDEX(Table5[[#All],[Pos]],MATCH(DraftResults[[#This Row],[Player ID]],Table5[[#All],[PID]],0)))</f>
        <v>SP</v>
      </c>
      <c r="J64" t="str">
        <f>IF(DraftResults[[#This Row],[Player ID]]=0,"",INDEX(Table5[[#All],[First]],MATCH(DraftResults[[#This Row],[Player ID]],Table5[[#All],[PID]],0)))</f>
        <v>Ramón</v>
      </c>
      <c r="K64" t="str">
        <f>IF(DraftResults[[#This Row],[Player ID]]=0,"",INDEX(Table5[[#All],[Last]],MATCH(DraftResults[[#This Row],[Player ID]],Table5[[#All],[PID]],0)))</f>
        <v>Sandoval</v>
      </c>
    </row>
    <row r="65" spans="1:11" x14ac:dyDescent="0.3">
      <c r="A65">
        <v>2</v>
      </c>
      <c r="B65">
        <v>0</v>
      </c>
      <c r="C65">
        <v>26</v>
      </c>
      <c r="D65" t="s">
        <v>233</v>
      </c>
      <c r="E65">
        <v>22</v>
      </c>
      <c r="F65">
        <v>10013</v>
      </c>
      <c r="G65" t="s">
        <v>303</v>
      </c>
      <c r="H65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62</v>
      </c>
      <c r="I65" t="str">
        <f>IF(DraftResults[[#This Row],[Player ID]]=0,"",INDEX(Table5[[#All],[Pos]],MATCH(DraftResults[[#This Row],[Player ID]],Table5[[#All],[PID]],0)))</f>
        <v>SP</v>
      </c>
      <c r="J65" t="str">
        <f>IF(DraftResults[[#This Row],[Player ID]]=0,"",INDEX(Table5[[#All],[First]],MATCH(DraftResults[[#This Row],[Player ID]],Table5[[#All],[PID]],0)))</f>
        <v>Jimmy</v>
      </c>
      <c r="K65" t="str">
        <f>IF(DraftResults[[#This Row],[Player ID]]=0,"",INDEX(Table5[[#All],[Last]],MATCH(DraftResults[[#This Row],[Player ID]],Table5[[#All],[PID]],0)))</f>
        <v>Horne</v>
      </c>
    </row>
    <row r="66" spans="1:11" x14ac:dyDescent="0.3">
      <c r="A66">
        <v>2</v>
      </c>
      <c r="B66">
        <v>0</v>
      </c>
      <c r="C66">
        <v>27</v>
      </c>
      <c r="D66" t="s">
        <v>236</v>
      </c>
      <c r="E66">
        <v>17</v>
      </c>
      <c r="F66">
        <v>20665</v>
      </c>
      <c r="G66" t="s">
        <v>303</v>
      </c>
      <c r="H66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63</v>
      </c>
      <c r="I66" t="str">
        <f>IF(DraftResults[[#This Row],[Player ID]]=0,"",INDEX(Table5[[#All],[Pos]],MATCH(DraftResults[[#This Row],[Player ID]],Table5[[#All],[PID]],0)))</f>
        <v>1B</v>
      </c>
      <c r="J66" t="str">
        <f>IF(DraftResults[[#This Row],[Player ID]]=0,"",INDEX(Table5[[#All],[First]],MATCH(DraftResults[[#This Row],[Player ID]],Table5[[#All],[PID]],0)))</f>
        <v>Young-kyoo</v>
      </c>
      <c r="K66" t="str">
        <f>IF(DraftResults[[#This Row],[Player ID]]=0,"",INDEX(Table5[[#All],[Last]],MATCH(DraftResults[[#This Row],[Player ID]],Table5[[#All],[PID]],0)))</f>
        <v>Kang</v>
      </c>
    </row>
    <row r="67" spans="1:11" x14ac:dyDescent="0.3">
      <c r="A67">
        <v>2</v>
      </c>
      <c r="B67">
        <v>0</v>
      </c>
      <c r="C67">
        <v>28</v>
      </c>
      <c r="D67" t="s">
        <v>238</v>
      </c>
      <c r="E67">
        <v>11</v>
      </c>
      <c r="F67">
        <v>12767</v>
      </c>
      <c r="G67" t="s">
        <v>303</v>
      </c>
      <c r="H67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64</v>
      </c>
      <c r="I67" t="str">
        <f>IF(DraftResults[[#This Row],[Player ID]]=0,"",INDEX(Table5[[#All],[Pos]],MATCH(DraftResults[[#This Row],[Player ID]],Table5[[#All],[PID]],0)))</f>
        <v>CL</v>
      </c>
      <c r="J67" t="str">
        <f>IF(DraftResults[[#This Row],[Player ID]]=0,"",INDEX(Table5[[#All],[First]],MATCH(DraftResults[[#This Row],[Player ID]],Table5[[#All],[PID]],0)))</f>
        <v>Pete</v>
      </c>
      <c r="K67" t="str">
        <f>IF(DraftResults[[#This Row],[Player ID]]=0,"",INDEX(Table5[[#All],[Last]],MATCH(DraftResults[[#This Row],[Player ID]],Table5[[#All],[PID]],0)))</f>
        <v>Card</v>
      </c>
    </row>
    <row r="68" spans="1:11" x14ac:dyDescent="0.3">
      <c r="A68">
        <v>2</v>
      </c>
      <c r="B68">
        <v>0</v>
      </c>
      <c r="C68">
        <v>29</v>
      </c>
      <c r="D68" t="s">
        <v>416</v>
      </c>
      <c r="E68">
        <v>159</v>
      </c>
      <c r="F68">
        <v>14930</v>
      </c>
      <c r="G68" t="s">
        <v>303</v>
      </c>
      <c r="H68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65</v>
      </c>
      <c r="I68" t="str">
        <f>IF(DraftResults[[#This Row],[Player ID]]=0,"",INDEX(Table5[[#All],[Pos]],MATCH(DraftResults[[#This Row],[Player ID]],Table5[[#All],[PID]],0)))</f>
        <v>SP</v>
      </c>
      <c r="J68" t="str">
        <f>IF(DraftResults[[#This Row],[Player ID]]=0,"",INDEX(Table5[[#All],[First]],MATCH(DraftResults[[#This Row],[Player ID]],Table5[[#All],[PID]],0)))</f>
        <v>Doug</v>
      </c>
      <c r="K68" t="str">
        <f>IF(DraftResults[[#This Row],[Player ID]]=0,"",INDEX(Table5[[#All],[Last]],MATCH(DraftResults[[#This Row],[Player ID]],Table5[[#All],[PID]],0)))</f>
        <v>Vera</v>
      </c>
    </row>
    <row r="69" spans="1:11" x14ac:dyDescent="0.3">
      <c r="A69">
        <v>2</v>
      </c>
      <c r="B69">
        <v>0</v>
      </c>
      <c r="C69">
        <v>30</v>
      </c>
      <c r="D69" t="s">
        <v>420</v>
      </c>
      <c r="E69">
        <v>167</v>
      </c>
      <c r="F69">
        <v>10405</v>
      </c>
      <c r="G69" t="s">
        <v>303</v>
      </c>
      <c r="H69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66</v>
      </c>
      <c r="I69" t="str">
        <f>IF(DraftResults[[#This Row],[Player ID]]=0,"",INDEX(Table5[[#All],[Pos]],MATCH(DraftResults[[#This Row],[Player ID]],Table5[[#All],[PID]],0)))</f>
        <v>SP</v>
      </c>
      <c r="J69" t="str">
        <f>IF(DraftResults[[#This Row],[Player ID]]=0,"",INDEX(Table5[[#All],[First]],MATCH(DraftResults[[#This Row],[Player ID]],Table5[[#All],[PID]],0)))</f>
        <v>Michael</v>
      </c>
      <c r="K69" t="str">
        <f>IF(DraftResults[[#This Row],[Player ID]]=0,"",INDEX(Table5[[#All],[Last]],MATCH(DraftResults[[#This Row],[Player ID]],Table5[[#All],[PID]],0)))</f>
        <v>Johnson</v>
      </c>
    </row>
    <row r="70" spans="1:11" x14ac:dyDescent="0.3">
      <c r="A70">
        <v>2</v>
      </c>
      <c r="B70">
        <v>0</v>
      </c>
      <c r="C70">
        <v>31</v>
      </c>
      <c r="D70" t="s">
        <v>417</v>
      </c>
      <c r="E70">
        <v>163</v>
      </c>
      <c r="F70">
        <v>13441</v>
      </c>
      <c r="G70" t="s">
        <v>303</v>
      </c>
      <c r="H70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67</v>
      </c>
      <c r="I70" t="str">
        <f>IF(DraftResults[[#This Row],[Player ID]]=0,"",INDEX(Table5[[#All],[Pos]],MATCH(DraftResults[[#This Row],[Player ID]],Table5[[#All],[PID]],0)))</f>
        <v>1B</v>
      </c>
      <c r="J70" t="str">
        <f>IF(DraftResults[[#This Row],[Player ID]]=0,"",INDEX(Table5[[#All],[First]],MATCH(DraftResults[[#This Row],[Player ID]],Table5[[#All],[PID]],0)))</f>
        <v>Masafumi</v>
      </c>
      <c r="K70" t="str">
        <f>IF(DraftResults[[#This Row],[Player ID]]=0,"",INDEX(Table5[[#All],[Last]],MATCH(DraftResults[[#This Row],[Player ID]],Table5[[#All],[PID]],0)))</f>
        <v>Sakai</v>
      </c>
    </row>
    <row r="71" spans="1:11" x14ac:dyDescent="0.3">
      <c r="A71">
        <v>2</v>
      </c>
      <c r="B71">
        <v>0</v>
      </c>
      <c r="C71">
        <v>32</v>
      </c>
      <c r="D71" t="s">
        <v>1614</v>
      </c>
      <c r="E71">
        <v>6</v>
      </c>
      <c r="F71">
        <v>13245</v>
      </c>
      <c r="G71" t="s">
        <v>303</v>
      </c>
      <c r="H71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68</v>
      </c>
      <c r="I71" t="str">
        <f>IF(DraftResults[[#This Row],[Player ID]]=0,"",INDEX(Table5[[#All],[Pos]],MATCH(DraftResults[[#This Row],[Player ID]],Table5[[#All],[PID]],0)))</f>
        <v>2B</v>
      </c>
      <c r="J71" t="str">
        <f>IF(DraftResults[[#This Row],[Player ID]]=0,"",INDEX(Table5[[#All],[First]],MATCH(DraftResults[[#This Row],[Player ID]],Table5[[#All],[PID]],0)))</f>
        <v>Jun</v>
      </c>
      <c r="K71" t="str">
        <f>IF(DraftResults[[#This Row],[Player ID]]=0,"",INDEX(Table5[[#All],[Last]],MATCH(DraftResults[[#This Row],[Player ID]],Table5[[#All],[PID]],0)))</f>
        <v>Shibata</v>
      </c>
    </row>
    <row r="72" spans="1:11" ht="15.75" customHeight="1" x14ac:dyDescent="0.3">
      <c r="A72">
        <v>2</v>
      </c>
      <c r="B72">
        <v>0</v>
      </c>
      <c r="C72">
        <v>33</v>
      </c>
      <c r="D72" t="s">
        <v>488</v>
      </c>
      <c r="E72">
        <v>7</v>
      </c>
      <c r="F72">
        <v>9094</v>
      </c>
      <c r="G72" t="s">
        <v>303</v>
      </c>
      <c r="H72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69</v>
      </c>
      <c r="I72" t="str">
        <f>IF(DraftResults[[#This Row],[Player ID]]=0,"",INDEX(Table5[[#All],[Pos]],MATCH(DraftResults[[#This Row],[Player ID]],Table5[[#All],[PID]],0)))</f>
        <v>SP</v>
      </c>
      <c r="J72" t="str">
        <f>IF(DraftResults[[#This Row],[Player ID]]=0,"",INDEX(Table5[[#All],[First]],MATCH(DraftResults[[#This Row],[Player ID]],Table5[[#All],[PID]],0)))</f>
        <v>Chris</v>
      </c>
      <c r="K72" t="str">
        <f>IF(DraftResults[[#This Row],[Player ID]]=0,"",INDEX(Table5[[#All],[Last]],MATCH(DraftResults[[#This Row],[Player ID]],Table5[[#All],[PID]],0)))</f>
        <v>Hanson</v>
      </c>
    </row>
    <row r="73" spans="1:11" x14ac:dyDescent="0.3">
      <c r="A73">
        <v>2</v>
      </c>
      <c r="B73">
        <v>0</v>
      </c>
      <c r="C73">
        <v>34</v>
      </c>
      <c r="D73" t="s">
        <v>415</v>
      </c>
      <c r="E73">
        <v>166</v>
      </c>
      <c r="F73">
        <v>20285</v>
      </c>
      <c r="G73" t="s">
        <v>303</v>
      </c>
      <c r="H73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70</v>
      </c>
      <c r="I73" t="str">
        <f>IF(DraftResults[[#This Row],[Player ID]]=0,"",INDEX(Table5[[#All],[Pos]],MATCH(DraftResults[[#This Row],[Player ID]],Table5[[#All],[PID]],0)))</f>
        <v>LF</v>
      </c>
      <c r="J73" t="str">
        <f>IF(DraftResults[[#This Row],[Player ID]]=0,"",INDEX(Table5[[#All],[First]],MATCH(DraftResults[[#This Row],[Player ID]],Table5[[#All],[PID]],0)))</f>
        <v>Chua chay</v>
      </c>
      <c r="K73" t="str">
        <f>IF(DraftResults[[#This Row],[Player ID]]=0,"",INDEX(Table5[[#All],[Last]],MATCH(DraftResults[[#This Row],[Player ID]],Table5[[#All],[PID]],0)))</f>
        <v>Lo</v>
      </c>
    </row>
    <row r="74" spans="1:11" x14ac:dyDescent="0.3">
      <c r="A74">
        <v>2</v>
      </c>
      <c r="B74">
        <v>0</v>
      </c>
      <c r="C74">
        <v>35</v>
      </c>
      <c r="D74" t="s">
        <v>238</v>
      </c>
      <c r="E74">
        <v>11</v>
      </c>
      <c r="F74">
        <v>13271</v>
      </c>
      <c r="G74" t="s">
        <v>303</v>
      </c>
      <c r="H74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71</v>
      </c>
      <c r="I74" t="str">
        <f>IF(DraftResults[[#This Row],[Player ID]]=0,"",INDEX(Table5[[#All],[Pos]],MATCH(DraftResults[[#This Row],[Player ID]],Table5[[#All],[PID]],0)))</f>
        <v>3B</v>
      </c>
      <c r="J74" t="str">
        <f>IF(DraftResults[[#This Row],[Player ID]]=0,"",INDEX(Table5[[#All],[First]],MATCH(DraftResults[[#This Row],[Player ID]],Table5[[#All],[PID]],0)))</f>
        <v>Yoshimi</v>
      </c>
      <c r="K74" t="str">
        <f>IF(DraftResults[[#This Row],[Player ID]]=0,"",INDEX(Table5[[#All],[Last]],MATCH(DraftResults[[#This Row],[Player ID]],Table5[[#All],[PID]],0)))</f>
        <v>Yano</v>
      </c>
    </row>
    <row r="75" spans="1:11" x14ac:dyDescent="0.3">
      <c r="A75">
        <v>2</v>
      </c>
      <c r="B75">
        <v>0</v>
      </c>
      <c r="C75">
        <v>36</v>
      </c>
      <c r="D75" t="s">
        <v>239</v>
      </c>
      <c r="E75">
        <v>10</v>
      </c>
      <c r="F75">
        <v>10290</v>
      </c>
      <c r="G75" t="s">
        <v>303</v>
      </c>
      <c r="H75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72</v>
      </c>
      <c r="I75" t="str">
        <f>IF(DraftResults[[#This Row],[Player ID]]=0,"",INDEX(Table5[[#All],[Pos]],MATCH(DraftResults[[#This Row],[Player ID]],Table5[[#All],[PID]],0)))</f>
        <v>SP</v>
      </c>
      <c r="J75" t="str">
        <f>IF(DraftResults[[#This Row],[Player ID]]=0,"",INDEX(Table5[[#All],[First]],MATCH(DraftResults[[#This Row],[Player ID]],Table5[[#All],[PID]],0)))</f>
        <v>John</v>
      </c>
      <c r="K75" t="str">
        <f>IF(DraftResults[[#This Row],[Player ID]]=0,"",INDEX(Table5[[#All],[Last]],MATCH(DraftResults[[#This Row],[Player ID]],Table5[[#All],[PID]],0)))</f>
        <v>Sharp</v>
      </c>
    </row>
    <row r="76" spans="1:11" x14ac:dyDescent="0.3">
      <c r="A76">
        <v>3</v>
      </c>
      <c r="B76">
        <v>0</v>
      </c>
      <c r="C76">
        <v>1</v>
      </c>
      <c r="D76" t="s">
        <v>232</v>
      </c>
      <c r="E76">
        <v>19</v>
      </c>
      <c r="F76">
        <v>12919</v>
      </c>
      <c r="G76" t="s">
        <v>303</v>
      </c>
      <c r="H76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73</v>
      </c>
      <c r="I76" t="str">
        <f>IF(DraftResults[[#This Row],[Player ID]]=0,"",INDEX(Table5[[#All],[Pos]],MATCH(DraftResults[[#This Row],[Player ID]],Table5[[#All],[PID]],0)))</f>
        <v>SS</v>
      </c>
      <c r="J76" t="str">
        <f>IF(DraftResults[[#This Row],[Player ID]]=0,"",INDEX(Table5[[#All],[First]],MATCH(DraftResults[[#This Row],[Player ID]],Table5[[#All],[PID]],0)))</f>
        <v>Robert</v>
      </c>
      <c r="K76" t="str">
        <f>IF(DraftResults[[#This Row],[Player ID]]=0,"",INDEX(Table5[[#All],[Last]],MATCH(DraftResults[[#This Row],[Player ID]],Table5[[#All],[PID]],0)))</f>
        <v>Godefroy</v>
      </c>
    </row>
    <row r="77" spans="1:11" x14ac:dyDescent="0.3">
      <c r="A77">
        <v>3</v>
      </c>
      <c r="B77">
        <v>0</v>
      </c>
      <c r="C77">
        <v>2</v>
      </c>
      <c r="D77" t="s">
        <v>488</v>
      </c>
      <c r="E77">
        <v>7</v>
      </c>
      <c r="F77">
        <v>11752</v>
      </c>
      <c r="G77" t="s">
        <v>303</v>
      </c>
      <c r="H77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74</v>
      </c>
      <c r="I77" t="str">
        <f>IF(DraftResults[[#This Row],[Player ID]]=0,"",INDEX(Table5[[#All],[Pos]],MATCH(DraftResults[[#This Row],[Player ID]],Table5[[#All],[PID]],0)))</f>
        <v>C</v>
      </c>
      <c r="J77" t="str">
        <f>IF(DraftResults[[#This Row],[Player ID]]=0,"",INDEX(Table5[[#All],[First]],MATCH(DraftResults[[#This Row],[Player ID]],Table5[[#All],[PID]],0)))</f>
        <v>Frank</v>
      </c>
      <c r="K77" t="str">
        <f>IF(DraftResults[[#This Row],[Player ID]]=0,"",INDEX(Table5[[#All],[Last]],MATCH(DraftResults[[#This Row],[Player ID]],Table5[[#All],[PID]],0)))</f>
        <v>Walker</v>
      </c>
    </row>
    <row r="78" spans="1:11" x14ac:dyDescent="0.3">
      <c r="A78">
        <v>3</v>
      </c>
      <c r="B78">
        <v>0</v>
      </c>
      <c r="C78">
        <v>3</v>
      </c>
      <c r="D78" t="s">
        <v>420</v>
      </c>
      <c r="E78">
        <v>167</v>
      </c>
      <c r="F78">
        <v>20916</v>
      </c>
      <c r="G78" t="s">
        <v>303</v>
      </c>
      <c r="H78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75</v>
      </c>
      <c r="I78" t="str">
        <f>IF(DraftResults[[#This Row],[Player ID]]=0,"",INDEX(Table5[[#All],[Pos]],MATCH(DraftResults[[#This Row],[Player ID]],Table5[[#All],[PID]],0)))</f>
        <v>2B</v>
      </c>
      <c r="J78" t="str">
        <f>IF(DraftResults[[#This Row],[Player ID]]=0,"",INDEX(Table5[[#All],[First]],MATCH(DraftResults[[#This Row],[Player ID]],Table5[[#All],[PID]],0)))</f>
        <v>Máximo</v>
      </c>
      <c r="K78" t="str">
        <f>IF(DraftResults[[#This Row],[Player ID]]=0,"",INDEX(Table5[[#All],[Last]],MATCH(DraftResults[[#This Row],[Player ID]],Table5[[#All],[PID]],0)))</f>
        <v>Sánchez</v>
      </c>
    </row>
    <row r="79" spans="1:11" x14ac:dyDescent="0.3">
      <c r="A79">
        <v>3</v>
      </c>
      <c r="B79">
        <v>0</v>
      </c>
      <c r="C79">
        <v>4</v>
      </c>
      <c r="D79" t="s">
        <v>235</v>
      </c>
      <c r="E79">
        <v>21</v>
      </c>
      <c r="F79">
        <v>11914</v>
      </c>
      <c r="G79" t="s">
        <v>303</v>
      </c>
      <c r="H79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76</v>
      </c>
      <c r="I79" t="str">
        <f>IF(DraftResults[[#This Row],[Player ID]]=0,"",INDEX(Table5[[#All],[Pos]],MATCH(DraftResults[[#This Row],[Player ID]],Table5[[#All],[PID]],0)))</f>
        <v>LF</v>
      </c>
      <c r="J79" t="str">
        <f>IF(DraftResults[[#This Row],[Player ID]]=0,"",INDEX(Table5[[#All],[First]],MATCH(DraftResults[[#This Row],[Player ID]],Table5[[#All],[PID]],0)))</f>
        <v>Miguel</v>
      </c>
      <c r="K79" t="str">
        <f>IF(DraftResults[[#This Row],[Player ID]]=0,"",INDEX(Table5[[#All],[Last]],MATCH(DraftResults[[#This Row],[Player ID]],Table5[[#All],[PID]],0)))</f>
        <v>Ortega</v>
      </c>
    </row>
    <row r="80" spans="1:11" x14ac:dyDescent="0.3">
      <c r="A80">
        <v>3</v>
      </c>
      <c r="B80">
        <v>0</v>
      </c>
      <c r="C80">
        <v>5</v>
      </c>
      <c r="D80" t="s">
        <v>545</v>
      </c>
      <c r="E80">
        <v>23</v>
      </c>
      <c r="F80">
        <v>12752</v>
      </c>
      <c r="G80" t="s">
        <v>303</v>
      </c>
      <c r="H80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77</v>
      </c>
      <c r="I80" t="str">
        <f>IF(DraftResults[[#This Row],[Player ID]]=0,"",INDEX(Table5[[#All],[Pos]],MATCH(DraftResults[[#This Row],[Player ID]],Table5[[#All],[PID]],0)))</f>
        <v>RP</v>
      </c>
      <c r="J80" t="str">
        <f>IF(DraftResults[[#This Row],[Player ID]]=0,"",INDEX(Table5[[#All],[First]],MATCH(DraftResults[[#This Row],[Player ID]],Table5[[#All],[PID]],0)))</f>
        <v>Bill</v>
      </c>
      <c r="K80" t="str">
        <f>IF(DraftResults[[#This Row],[Player ID]]=0,"",INDEX(Table5[[#All],[Last]],MATCH(DraftResults[[#This Row],[Player ID]],Table5[[#All],[PID]],0)))</f>
        <v>Livingston</v>
      </c>
    </row>
    <row r="81" spans="1:11" x14ac:dyDescent="0.3">
      <c r="A81">
        <v>3</v>
      </c>
      <c r="B81">
        <v>0</v>
      </c>
      <c r="C81">
        <v>6</v>
      </c>
      <c r="D81" t="s">
        <v>246</v>
      </c>
      <c r="E81">
        <v>8</v>
      </c>
      <c r="F81">
        <v>8928</v>
      </c>
      <c r="G81" t="s">
        <v>303</v>
      </c>
      <c r="H81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78</v>
      </c>
      <c r="I81" t="str">
        <f>IF(DraftResults[[#This Row],[Player ID]]=0,"",INDEX(Table5[[#All],[Pos]],MATCH(DraftResults[[#This Row],[Player ID]],Table5[[#All],[PID]],0)))</f>
        <v>SP</v>
      </c>
      <c r="J81" t="str">
        <f>IF(DraftResults[[#This Row],[Player ID]]=0,"",INDEX(Table5[[#All],[First]],MATCH(DraftResults[[#This Row],[Player ID]],Table5[[#All],[PID]],0)))</f>
        <v>Masaaki</v>
      </c>
      <c r="K81" t="str">
        <f>IF(DraftResults[[#This Row],[Player ID]]=0,"",INDEX(Table5[[#All],[Last]],MATCH(DraftResults[[#This Row],[Player ID]],Table5[[#All],[PID]],0)))</f>
        <v>Watanabe</v>
      </c>
    </row>
    <row r="82" spans="1:11" x14ac:dyDescent="0.3">
      <c r="A82">
        <v>3</v>
      </c>
      <c r="B82">
        <v>0</v>
      </c>
      <c r="C82">
        <v>7</v>
      </c>
      <c r="D82" t="s">
        <v>419</v>
      </c>
      <c r="E82">
        <v>18</v>
      </c>
      <c r="F82">
        <v>18077</v>
      </c>
      <c r="G82" t="s">
        <v>303</v>
      </c>
      <c r="H82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79</v>
      </c>
      <c r="I82" t="str">
        <f>IF(DraftResults[[#This Row],[Player ID]]=0,"",INDEX(Table5[[#All],[Pos]],MATCH(DraftResults[[#This Row],[Player ID]],Table5[[#All],[PID]],0)))</f>
        <v>2B</v>
      </c>
      <c r="J82" t="str">
        <f>IF(DraftResults[[#This Row],[Player ID]]=0,"",INDEX(Table5[[#All],[First]],MATCH(DraftResults[[#This Row],[Player ID]],Table5[[#All],[PID]],0)))</f>
        <v>Artie</v>
      </c>
      <c r="K82" t="str">
        <f>IF(DraftResults[[#This Row],[Player ID]]=0,"",INDEX(Table5[[#All],[Last]],MATCH(DraftResults[[#This Row],[Player ID]],Table5[[#All],[PID]],0)))</f>
        <v>Cartwright</v>
      </c>
    </row>
    <row r="83" spans="1:11" x14ac:dyDescent="0.3">
      <c r="A83">
        <v>3</v>
      </c>
      <c r="B83">
        <v>0</v>
      </c>
      <c r="C83">
        <v>8</v>
      </c>
      <c r="D83" t="s">
        <v>1614</v>
      </c>
      <c r="E83">
        <v>6</v>
      </c>
      <c r="F83">
        <v>15046</v>
      </c>
      <c r="G83" t="s">
        <v>303</v>
      </c>
      <c r="H83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80</v>
      </c>
      <c r="I83" t="str">
        <f>IF(DraftResults[[#This Row],[Player ID]]=0,"",INDEX(Table5[[#All],[Pos]],MATCH(DraftResults[[#This Row],[Player ID]],Table5[[#All],[PID]],0)))</f>
        <v>CL</v>
      </c>
      <c r="J83" t="str">
        <f>IF(DraftResults[[#This Row],[Player ID]]=0,"",INDEX(Table5[[#All],[First]],MATCH(DraftResults[[#This Row],[Player ID]],Table5[[#All],[PID]],0)))</f>
        <v>Daan</v>
      </c>
      <c r="K83" t="str">
        <f>IF(DraftResults[[#This Row],[Player ID]]=0,"",INDEX(Table5[[#All],[Last]],MATCH(DraftResults[[#This Row],[Player ID]],Table5[[#All],[PID]],0)))</f>
        <v>Mastenbroek</v>
      </c>
    </row>
    <row r="84" spans="1:11" x14ac:dyDescent="0.3">
      <c r="A84">
        <v>3</v>
      </c>
      <c r="B84">
        <v>0</v>
      </c>
      <c r="C84">
        <v>9</v>
      </c>
      <c r="D84" t="s">
        <v>1614</v>
      </c>
      <c r="E84">
        <v>6</v>
      </c>
      <c r="F84">
        <v>13282</v>
      </c>
      <c r="G84" t="s">
        <v>303</v>
      </c>
      <c r="H84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81</v>
      </c>
      <c r="I84" t="str">
        <f>IF(DraftResults[[#This Row],[Player ID]]=0,"",INDEX(Table5[[#All],[Pos]],MATCH(DraftResults[[#This Row],[Player ID]],Table5[[#All],[PID]],0)))</f>
        <v>C</v>
      </c>
      <c r="J84" t="str">
        <f>IF(DraftResults[[#This Row],[Player ID]]=0,"",INDEX(Table5[[#All],[First]],MATCH(DraftResults[[#This Row],[Player ID]],Table5[[#All],[PID]],0)))</f>
        <v>Tadaaki</v>
      </c>
      <c r="K84" t="str">
        <f>IF(DraftResults[[#This Row],[Player ID]]=0,"",INDEX(Table5[[#All],[Last]],MATCH(DraftResults[[#This Row],[Player ID]],Table5[[#All],[PID]],0)))</f>
        <v>Sakamoto</v>
      </c>
    </row>
    <row r="85" spans="1:11" x14ac:dyDescent="0.3">
      <c r="A85">
        <v>3</v>
      </c>
      <c r="B85">
        <v>0</v>
      </c>
      <c r="C85">
        <v>10</v>
      </c>
      <c r="D85" t="s">
        <v>240</v>
      </c>
      <c r="E85">
        <v>3</v>
      </c>
      <c r="F85">
        <v>12116</v>
      </c>
      <c r="G85" t="s">
        <v>303</v>
      </c>
      <c r="H85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82</v>
      </c>
      <c r="I85" t="str">
        <f>IF(DraftResults[[#This Row],[Player ID]]=0,"",INDEX(Table5[[#All],[Pos]],MATCH(DraftResults[[#This Row],[Player ID]],Table5[[#All],[PID]],0)))</f>
        <v>SS</v>
      </c>
      <c r="J85" t="str">
        <f>IF(DraftResults[[#This Row],[Player ID]]=0,"",INDEX(Table5[[#All],[First]],MATCH(DraftResults[[#This Row],[Player ID]],Table5[[#All],[PID]],0)))</f>
        <v>Rio</v>
      </c>
      <c r="K85" t="str">
        <f>IF(DraftResults[[#This Row],[Player ID]]=0,"",INDEX(Table5[[#All],[Last]],MATCH(DraftResults[[#This Row],[Player ID]],Table5[[#All],[PID]],0)))</f>
        <v>Fellick</v>
      </c>
    </row>
    <row r="86" spans="1:11" x14ac:dyDescent="0.3">
      <c r="A86">
        <v>3</v>
      </c>
      <c r="B86">
        <v>0</v>
      </c>
      <c r="C86">
        <v>11</v>
      </c>
      <c r="D86" t="s">
        <v>236</v>
      </c>
      <c r="E86">
        <v>17</v>
      </c>
      <c r="F86">
        <v>20568</v>
      </c>
      <c r="G86" t="s">
        <v>303</v>
      </c>
      <c r="H86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83</v>
      </c>
      <c r="I86" t="str">
        <f>IF(DraftResults[[#This Row],[Player ID]]=0,"",INDEX(Table5[[#All],[Pos]],MATCH(DraftResults[[#This Row],[Player ID]],Table5[[#All],[PID]],0)))</f>
        <v>SS</v>
      </c>
      <c r="J86" t="str">
        <f>IF(DraftResults[[#This Row],[Player ID]]=0,"",INDEX(Table5[[#All],[First]],MATCH(DraftResults[[#This Row],[Player ID]],Table5[[#All],[PID]],0)))</f>
        <v>Kyle</v>
      </c>
      <c r="K86" t="str">
        <f>IF(DraftResults[[#This Row],[Player ID]]=0,"",INDEX(Table5[[#All],[Last]],MATCH(DraftResults[[#This Row],[Player ID]],Table5[[#All],[PID]],0)))</f>
        <v>Cooper</v>
      </c>
    </row>
    <row r="87" spans="1:11" x14ac:dyDescent="0.3">
      <c r="A87">
        <v>3</v>
      </c>
      <c r="B87">
        <v>0</v>
      </c>
      <c r="C87">
        <v>12</v>
      </c>
      <c r="D87" t="s">
        <v>489</v>
      </c>
      <c r="E87">
        <v>4</v>
      </c>
      <c r="F87">
        <v>20774</v>
      </c>
      <c r="G87" t="s">
        <v>303</v>
      </c>
      <c r="H87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84</v>
      </c>
      <c r="I87" t="str">
        <f>IF(DraftResults[[#This Row],[Player ID]]=0,"",INDEX(Table5[[#All],[Pos]],MATCH(DraftResults[[#This Row],[Player ID]],Table5[[#All],[PID]],0)))</f>
        <v>LF</v>
      </c>
      <c r="J87" t="str">
        <f>IF(DraftResults[[#This Row],[Player ID]]=0,"",INDEX(Table5[[#All],[First]],MATCH(DraftResults[[#This Row],[Player ID]],Table5[[#All],[PID]],0)))</f>
        <v>Edward</v>
      </c>
      <c r="K87" t="str">
        <f>IF(DraftResults[[#This Row],[Player ID]]=0,"",INDEX(Table5[[#All],[Last]],MATCH(DraftResults[[#This Row],[Player ID]],Table5[[#All],[PID]],0)))</f>
        <v>Allen</v>
      </c>
    </row>
    <row r="88" spans="1:11" x14ac:dyDescent="0.3">
      <c r="A88">
        <v>3</v>
      </c>
      <c r="B88">
        <v>0</v>
      </c>
      <c r="C88">
        <v>13</v>
      </c>
      <c r="D88" t="s">
        <v>414</v>
      </c>
      <c r="E88">
        <v>164</v>
      </c>
      <c r="F88">
        <v>14624</v>
      </c>
      <c r="G88" t="s">
        <v>303</v>
      </c>
      <c r="H88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85</v>
      </c>
      <c r="I88" t="str">
        <f>IF(DraftResults[[#This Row],[Player ID]]=0,"",INDEX(Table5[[#All],[Pos]],MATCH(DraftResults[[#This Row],[Player ID]],Table5[[#All],[PID]],0)))</f>
        <v>LF</v>
      </c>
      <c r="J88" t="str">
        <f>IF(DraftResults[[#This Row],[Player ID]]=0,"",INDEX(Table5[[#All],[First]],MATCH(DraftResults[[#This Row],[Player ID]],Table5[[#All],[PID]],0)))</f>
        <v>Pat</v>
      </c>
      <c r="K88" t="str">
        <f>IF(DraftResults[[#This Row],[Player ID]]=0,"",INDEX(Table5[[#All],[Last]],MATCH(DraftResults[[#This Row],[Player ID]],Table5[[#All],[PID]],0)))</f>
        <v>Anderson</v>
      </c>
    </row>
    <row r="89" spans="1:11" x14ac:dyDescent="0.3">
      <c r="A89">
        <v>3</v>
      </c>
      <c r="B89">
        <v>0</v>
      </c>
      <c r="C89">
        <v>14</v>
      </c>
      <c r="D89" t="s">
        <v>251</v>
      </c>
      <c r="E89">
        <v>12</v>
      </c>
      <c r="F89">
        <v>12929</v>
      </c>
      <c r="G89" t="s">
        <v>303</v>
      </c>
      <c r="H89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86</v>
      </c>
      <c r="I89" t="str">
        <f>IF(DraftResults[[#This Row],[Player ID]]=0,"",INDEX(Table5[[#All],[Pos]],MATCH(DraftResults[[#This Row],[Player ID]],Table5[[#All],[PID]],0)))</f>
        <v>3B</v>
      </c>
      <c r="J89" t="str">
        <f>IF(DraftResults[[#This Row],[Player ID]]=0,"",INDEX(Table5[[#All],[First]],MATCH(DraftResults[[#This Row],[Player ID]],Table5[[#All],[PID]],0)))</f>
        <v>James</v>
      </c>
      <c r="K89" t="str">
        <f>IF(DraftResults[[#This Row],[Player ID]]=0,"",INDEX(Table5[[#All],[Last]],MATCH(DraftResults[[#This Row],[Player ID]],Table5[[#All],[PID]],0)))</f>
        <v>Boyle</v>
      </c>
    </row>
    <row r="90" spans="1:11" x14ac:dyDescent="0.3">
      <c r="A90">
        <v>3</v>
      </c>
      <c r="B90">
        <v>0</v>
      </c>
      <c r="C90">
        <v>15</v>
      </c>
      <c r="D90" t="s">
        <v>251</v>
      </c>
      <c r="E90">
        <v>12</v>
      </c>
      <c r="F90">
        <v>14331</v>
      </c>
      <c r="G90" t="s">
        <v>303</v>
      </c>
      <c r="H90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87</v>
      </c>
      <c r="I90" t="str">
        <f>IF(DraftResults[[#This Row],[Player ID]]=0,"",INDEX(Table5[[#All],[Pos]],MATCH(DraftResults[[#This Row],[Player ID]],Table5[[#All],[PID]],0)))</f>
        <v>SP</v>
      </c>
      <c r="J90" t="str">
        <f>IF(DraftResults[[#This Row],[Player ID]]=0,"",INDEX(Table5[[#All],[First]],MATCH(DraftResults[[#This Row],[Player ID]],Table5[[#All],[PID]],0)))</f>
        <v>Ricky</v>
      </c>
      <c r="K90" t="str">
        <f>IF(DraftResults[[#This Row],[Player ID]]=0,"",INDEX(Table5[[#All],[Last]],MATCH(DraftResults[[#This Row],[Player ID]],Table5[[#All],[PID]],0)))</f>
        <v>Chavez</v>
      </c>
    </row>
    <row r="91" spans="1:11" x14ac:dyDescent="0.3">
      <c r="A91">
        <v>3</v>
      </c>
      <c r="B91">
        <v>0</v>
      </c>
      <c r="C91">
        <v>16</v>
      </c>
      <c r="D91" t="s">
        <v>543</v>
      </c>
      <c r="E91">
        <v>160</v>
      </c>
      <c r="F91">
        <v>10557</v>
      </c>
      <c r="G91" t="s">
        <v>303</v>
      </c>
      <c r="H91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88</v>
      </c>
      <c r="I91" t="str">
        <f>IF(DraftResults[[#This Row],[Player ID]]=0,"",INDEX(Table5[[#All],[Pos]],MATCH(DraftResults[[#This Row],[Player ID]],Table5[[#All],[PID]],0)))</f>
        <v>C</v>
      </c>
      <c r="J91" t="str">
        <f>IF(DraftResults[[#This Row],[Player ID]]=0,"",INDEX(Table5[[#All],[First]],MATCH(DraftResults[[#This Row],[Player ID]],Table5[[#All],[PID]],0)))</f>
        <v>Brian</v>
      </c>
      <c r="K91" t="str">
        <f>IF(DraftResults[[#This Row],[Player ID]]=0,"",INDEX(Table5[[#All],[Last]],MATCH(DraftResults[[#This Row],[Player ID]],Table5[[#All],[PID]],0)))</f>
        <v>Phipps</v>
      </c>
    </row>
    <row r="92" spans="1:11" x14ac:dyDescent="0.3">
      <c r="A92">
        <v>3</v>
      </c>
      <c r="B92">
        <v>0</v>
      </c>
      <c r="C92">
        <v>17</v>
      </c>
      <c r="D92" t="s">
        <v>544</v>
      </c>
      <c r="E92">
        <v>13</v>
      </c>
      <c r="F92">
        <v>11196</v>
      </c>
      <c r="G92" t="s">
        <v>303</v>
      </c>
      <c r="H92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89</v>
      </c>
      <c r="I92" t="str">
        <f>IF(DraftResults[[#This Row],[Player ID]]=0,"",INDEX(Table5[[#All],[Pos]],MATCH(DraftResults[[#This Row],[Player ID]],Table5[[#All],[PID]],0)))</f>
        <v>SS</v>
      </c>
      <c r="J92" t="str">
        <f>IF(DraftResults[[#This Row],[Player ID]]=0,"",INDEX(Table5[[#All],[First]],MATCH(DraftResults[[#This Row],[Player ID]],Table5[[#All],[PID]],0)))</f>
        <v>Ron</v>
      </c>
      <c r="K92" t="str">
        <f>IF(DraftResults[[#This Row],[Player ID]]=0,"",INDEX(Table5[[#All],[Last]],MATCH(DraftResults[[#This Row],[Player ID]],Table5[[#All],[PID]],0)))</f>
        <v>Lowery</v>
      </c>
    </row>
    <row r="93" spans="1:11" x14ac:dyDescent="0.3">
      <c r="A93">
        <v>3</v>
      </c>
      <c r="B93">
        <v>0</v>
      </c>
      <c r="C93">
        <v>18</v>
      </c>
      <c r="D93" t="s">
        <v>243</v>
      </c>
      <c r="E93">
        <v>15</v>
      </c>
      <c r="F93">
        <v>9755</v>
      </c>
      <c r="G93" t="s">
        <v>303</v>
      </c>
      <c r="H93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90</v>
      </c>
      <c r="I93" t="str">
        <f>IF(DraftResults[[#This Row],[Player ID]]=0,"",INDEX(Table5[[#All],[Pos]],MATCH(DraftResults[[#This Row],[Player ID]],Table5[[#All],[PID]],0)))</f>
        <v>SP</v>
      </c>
      <c r="J93" t="str">
        <f>IF(DraftResults[[#This Row],[Player ID]]=0,"",INDEX(Table5[[#All],[First]],MATCH(DraftResults[[#This Row],[Player ID]],Table5[[#All],[PID]],0)))</f>
        <v>Gerard</v>
      </c>
      <c r="K93" t="str">
        <f>IF(DraftResults[[#This Row],[Player ID]]=0,"",INDEX(Table5[[#All],[Last]],MATCH(DraftResults[[#This Row],[Player ID]],Table5[[#All],[PID]],0)))</f>
        <v>Scott</v>
      </c>
    </row>
    <row r="94" spans="1:11" x14ac:dyDescent="0.3">
      <c r="A94">
        <v>3</v>
      </c>
      <c r="B94">
        <v>0</v>
      </c>
      <c r="C94">
        <v>19</v>
      </c>
      <c r="D94" t="s">
        <v>412</v>
      </c>
      <c r="E94">
        <v>162</v>
      </c>
      <c r="F94">
        <v>12431</v>
      </c>
      <c r="G94" t="s">
        <v>303</v>
      </c>
      <c r="H94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91</v>
      </c>
      <c r="I94" t="str">
        <f>IF(DraftResults[[#This Row],[Player ID]]=0,"",INDEX(Table5[[#All],[Pos]],MATCH(DraftResults[[#This Row],[Player ID]],Table5[[#All],[PID]],0)))</f>
        <v>2B</v>
      </c>
      <c r="J94" t="str">
        <f>IF(DraftResults[[#This Row],[Player ID]]=0,"",INDEX(Table5[[#All],[First]],MATCH(DraftResults[[#This Row],[Player ID]],Table5[[#All],[PID]],0)))</f>
        <v>Jorge</v>
      </c>
      <c r="K94" t="str">
        <f>IF(DraftResults[[#This Row],[Player ID]]=0,"",INDEX(Table5[[#All],[Last]],MATCH(DraftResults[[#This Row],[Player ID]],Table5[[#All],[PID]],0)))</f>
        <v>Nevárez</v>
      </c>
    </row>
    <row r="95" spans="1:11" x14ac:dyDescent="0.3">
      <c r="A95">
        <v>3</v>
      </c>
      <c r="B95">
        <v>0</v>
      </c>
      <c r="C95">
        <v>20</v>
      </c>
      <c r="D95" t="s">
        <v>247</v>
      </c>
      <c r="E95">
        <v>16</v>
      </c>
      <c r="F95">
        <v>20316</v>
      </c>
      <c r="G95" t="s">
        <v>303</v>
      </c>
      <c r="H95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92</v>
      </c>
      <c r="I95" t="str">
        <f>IF(DraftResults[[#This Row],[Player ID]]=0,"",INDEX(Table5[[#All],[Pos]],MATCH(DraftResults[[#This Row],[Player ID]],Table5[[#All],[PID]],0)))</f>
        <v>CF</v>
      </c>
      <c r="J95" t="str">
        <f>IF(DraftResults[[#This Row],[Player ID]]=0,"",INDEX(Table5[[#All],[First]],MATCH(DraftResults[[#This Row],[Player ID]],Table5[[#All],[PID]],0)))</f>
        <v>Min-han</v>
      </c>
      <c r="K95" t="str">
        <f>IF(DraftResults[[#This Row],[Player ID]]=0,"",INDEX(Table5[[#All],[Last]],MATCH(DraftResults[[#This Row],[Player ID]],Table5[[#All],[PID]],0)))</f>
        <v>Yu</v>
      </c>
    </row>
    <row r="96" spans="1:11" x14ac:dyDescent="0.3">
      <c r="A96">
        <v>3</v>
      </c>
      <c r="B96">
        <v>0</v>
      </c>
      <c r="C96">
        <v>21</v>
      </c>
      <c r="D96" t="s">
        <v>232</v>
      </c>
      <c r="E96">
        <v>19</v>
      </c>
      <c r="F96">
        <v>7817</v>
      </c>
      <c r="G96" t="s">
        <v>303</v>
      </c>
      <c r="H96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93</v>
      </c>
      <c r="I96" t="str">
        <f>IF(DraftResults[[#This Row],[Player ID]]=0,"",INDEX(Table5[[#All],[Pos]],MATCH(DraftResults[[#This Row],[Player ID]],Table5[[#All],[PID]],0)))</f>
        <v>C</v>
      </c>
      <c r="J96" t="str">
        <f>IF(DraftResults[[#This Row],[Player ID]]=0,"",INDEX(Table5[[#All],[First]],MATCH(DraftResults[[#This Row],[Player ID]],Table5[[#All],[PID]],0)))</f>
        <v>Joshua</v>
      </c>
      <c r="K96" t="str">
        <f>IF(DraftResults[[#This Row],[Player ID]]=0,"",INDEX(Table5[[#All],[Last]],MATCH(DraftResults[[#This Row],[Player ID]],Table5[[#All],[PID]],0)))</f>
        <v>Lemercier</v>
      </c>
    </row>
    <row r="97" spans="1:11" x14ac:dyDescent="0.3">
      <c r="A97">
        <v>3</v>
      </c>
      <c r="B97">
        <v>0</v>
      </c>
      <c r="C97">
        <v>22</v>
      </c>
      <c r="D97" t="s">
        <v>416</v>
      </c>
      <c r="E97">
        <v>159</v>
      </c>
      <c r="F97">
        <v>10137</v>
      </c>
      <c r="G97" t="s">
        <v>303</v>
      </c>
      <c r="H97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94</v>
      </c>
      <c r="I97" t="str">
        <f>IF(DraftResults[[#This Row],[Player ID]]=0,"",INDEX(Table5[[#All],[Pos]],MATCH(DraftResults[[#This Row],[Player ID]],Table5[[#All],[PID]],0)))</f>
        <v>LF</v>
      </c>
      <c r="J97" t="str">
        <f>IF(DraftResults[[#This Row],[Player ID]]=0,"",INDEX(Table5[[#All],[First]],MATCH(DraftResults[[#This Row],[Player ID]],Table5[[#All],[PID]],0)))</f>
        <v>Pete</v>
      </c>
      <c r="K97" t="str">
        <f>IF(DraftResults[[#This Row],[Player ID]]=0,"",INDEX(Table5[[#All],[Last]],MATCH(DraftResults[[#This Row],[Player ID]],Table5[[#All],[PID]],0)))</f>
        <v>Bell</v>
      </c>
    </row>
    <row r="98" spans="1:11" x14ac:dyDescent="0.3">
      <c r="A98">
        <v>3</v>
      </c>
      <c r="B98">
        <v>0</v>
      </c>
      <c r="C98">
        <v>23</v>
      </c>
      <c r="D98" t="s">
        <v>244</v>
      </c>
      <c r="E98">
        <v>20</v>
      </c>
      <c r="F98">
        <v>10913</v>
      </c>
      <c r="G98" t="s">
        <v>303</v>
      </c>
      <c r="H98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95</v>
      </c>
      <c r="I98" t="str">
        <f>IF(DraftResults[[#This Row],[Player ID]]=0,"",INDEX(Table5[[#All],[Pos]],MATCH(DraftResults[[#This Row],[Player ID]],Table5[[#All],[PID]],0)))</f>
        <v>RP</v>
      </c>
      <c r="J98" t="str">
        <f>IF(DraftResults[[#This Row],[Player ID]]=0,"",INDEX(Table5[[#All],[First]],MATCH(DraftResults[[#This Row],[Player ID]],Table5[[#All],[PID]],0)))</f>
        <v>Sean</v>
      </c>
      <c r="K98" t="str">
        <f>IF(DraftResults[[#This Row],[Player ID]]=0,"",INDEX(Table5[[#All],[Last]],MATCH(DraftResults[[#This Row],[Player ID]],Table5[[#All],[PID]],0)))</f>
        <v>Martin</v>
      </c>
    </row>
    <row r="99" spans="1:11" x14ac:dyDescent="0.3">
      <c r="A99">
        <v>3</v>
      </c>
      <c r="B99">
        <v>0</v>
      </c>
      <c r="C99">
        <v>24</v>
      </c>
      <c r="D99" t="s">
        <v>239</v>
      </c>
      <c r="E99">
        <v>10</v>
      </c>
      <c r="F99">
        <v>13436</v>
      </c>
      <c r="G99" t="s">
        <v>303</v>
      </c>
      <c r="H99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96</v>
      </c>
      <c r="I99" t="str">
        <f>IF(DraftResults[[#This Row],[Player ID]]=0,"",INDEX(Table5[[#All],[Pos]],MATCH(DraftResults[[#This Row],[Player ID]],Table5[[#All],[PID]],0)))</f>
        <v>3B</v>
      </c>
      <c r="J99" t="str">
        <f>IF(DraftResults[[#This Row],[Player ID]]=0,"",INDEX(Table5[[#All],[First]],MATCH(DraftResults[[#This Row],[Player ID]],Table5[[#All],[PID]],0)))</f>
        <v>Tsunesaburo</v>
      </c>
      <c r="K99" t="str">
        <f>IF(DraftResults[[#This Row],[Player ID]]=0,"",INDEX(Table5[[#All],[Last]],MATCH(DraftResults[[#This Row],[Player ID]],Table5[[#All],[PID]],0)))</f>
        <v>Suzuki</v>
      </c>
    </row>
    <row r="100" spans="1:11" x14ac:dyDescent="0.3">
      <c r="A100">
        <v>3</v>
      </c>
      <c r="B100">
        <v>0</v>
      </c>
      <c r="C100">
        <v>25</v>
      </c>
      <c r="D100" t="s">
        <v>233</v>
      </c>
      <c r="E100">
        <v>22</v>
      </c>
      <c r="F100">
        <v>11418</v>
      </c>
      <c r="G100" t="s">
        <v>303</v>
      </c>
      <c r="H100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97</v>
      </c>
      <c r="I100" t="str">
        <f>IF(DraftResults[[#This Row],[Player ID]]=0,"",INDEX(Table5[[#All],[Pos]],MATCH(DraftResults[[#This Row],[Player ID]],Table5[[#All],[PID]],0)))</f>
        <v>C</v>
      </c>
      <c r="J100" t="str">
        <f>IF(DraftResults[[#This Row],[Player ID]]=0,"",INDEX(Table5[[#All],[First]],MATCH(DraftResults[[#This Row],[Player ID]],Table5[[#All],[PID]],0)))</f>
        <v>Mathew</v>
      </c>
      <c r="K100" t="str">
        <f>IF(DraftResults[[#This Row],[Player ID]]=0,"",INDEX(Table5[[#All],[Last]],MATCH(DraftResults[[#This Row],[Player ID]],Table5[[#All],[PID]],0)))</f>
        <v>Burkett</v>
      </c>
    </row>
    <row r="101" spans="1:11" x14ac:dyDescent="0.3">
      <c r="A101">
        <v>3</v>
      </c>
      <c r="B101">
        <v>0</v>
      </c>
      <c r="C101">
        <v>26</v>
      </c>
      <c r="D101" t="s">
        <v>244</v>
      </c>
      <c r="E101">
        <v>20</v>
      </c>
      <c r="F101">
        <v>11747</v>
      </c>
      <c r="G101" t="s">
        <v>303</v>
      </c>
      <c r="H101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98</v>
      </c>
      <c r="I101" t="str">
        <f>IF(DraftResults[[#This Row],[Player ID]]=0,"",INDEX(Table5[[#All],[Pos]],MATCH(DraftResults[[#This Row],[Player ID]],Table5[[#All],[PID]],0)))</f>
        <v>SS</v>
      </c>
      <c r="J101" t="str">
        <f>IF(DraftResults[[#This Row],[Player ID]]=0,"",INDEX(Table5[[#All],[First]],MATCH(DraftResults[[#This Row],[Player ID]],Table5[[#All],[PID]],0)))</f>
        <v>Matt</v>
      </c>
      <c r="K101" t="str">
        <f>IF(DraftResults[[#This Row],[Player ID]]=0,"",INDEX(Table5[[#All],[Last]],MATCH(DraftResults[[#This Row],[Player ID]],Table5[[#All],[PID]],0)))</f>
        <v>Williams</v>
      </c>
    </row>
    <row r="102" spans="1:11" ht="15.75" customHeight="1" x14ac:dyDescent="0.3">
      <c r="A102">
        <v>3</v>
      </c>
      <c r="B102">
        <v>0</v>
      </c>
      <c r="C102">
        <v>27</v>
      </c>
      <c r="D102" t="s">
        <v>232</v>
      </c>
      <c r="E102">
        <v>19</v>
      </c>
      <c r="F102">
        <v>20569</v>
      </c>
      <c r="G102" t="s">
        <v>303</v>
      </c>
      <c r="H102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99</v>
      </c>
      <c r="I102" t="str">
        <f>IF(DraftResults[[#This Row],[Player ID]]=0,"",INDEX(Table5[[#All],[Pos]],MATCH(DraftResults[[#This Row],[Player ID]],Table5[[#All],[PID]],0)))</f>
        <v>1B</v>
      </c>
      <c r="J102" t="str">
        <f>IF(DraftResults[[#This Row],[Player ID]]=0,"",INDEX(Table5[[#All],[First]],MATCH(DraftResults[[#This Row],[Player ID]],Table5[[#All],[PID]],0)))</f>
        <v>Josh</v>
      </c>
      <c r="K102" t="str">
        <f>IF(DraftResults[[#This Row],[Player ID]]=0,"",INDEX(Table5[[#All],[Last]],MATCH(DraftResults[[#This Row],[Player ID]],Table5[[#All],[PID]],0)))</f>
        <v>Whiskin</v>
      </c>
    </row>
    <row r="103" spans="1:11" x14ac:dyDescent="0.3">
      <c r="A103">
        <v>3</v>
      </c>
      <c r="B103">
        <v>0</v>
      </c>
      <c r="C103">
        <v>28</v>
      </c>
      <c r="D103" t="s">
        <v>417</v>
      </c>
      <c r="E103">
        <v>163</v>
      </c>
      <c r="F103">
        <v>7783</v>
      </c>
      <c r="G103" t="s">
        <v>303</v>
      </c>
      <c r="H103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100</v>
      </c>
      <c r="I103" t="str">
        <f>IF(DraftResults[[#This Row],[Player ID]]=0,"",INDEX(Table5[[#All],[Pos]],MATCH(DraftResults[[#This Row],[Player ID]],Table5[[#All],[PID]],0)))</f>
        <v>SP</v>
      </c>
      <c r="J103" t="str">
        <f>IF(DraftResults[[#This Row],[Player ID]]=0,"",INDEX(Table5[[#All],[First]],MATCH(DraftResults[[#This Row],[Player ID]],Table5[[#All],[PID]],0)))</f>
        <v>Nelson</v>
      </c>
      <c r="K103" t="str">
        <f>IF(DraftResults[[#This Row],[Player ID]]=0,"",INDEX(Table5[[#All],[Last]],MATCH(DraftResults[[#This Row],[Player ID]],Table5[[#All],[PID]],0)))</f>
        <v>García</v>
      </c>
    </row>
    <row r="104" spans="1:11" x14ac:dyDescent="0.3">
      <c r="A104">
        <v>3</v>
      </c>
      <c r="B104">
        <v>0</v>
      </c>
      <c r="C104">
        <v>29</v>
      </c>
      <c r="D104" t="s">
        <v>413</v>
      </c>
      <c r="E104">
        <v>2</v>
      </c>
      <c r="F104">
        <v>13434</v>
      </c>
      <c r="G104" t="s">
        <v>303</v>
      </c>
      <c r="H104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101</v>
      </c>
      <c r="I104" t="str">
        <f>IF(DraftResults[[#This Row],[Player ID]]=0,"",INDEX(Table5[[#All],[Pos]],MATCH(DraftResults[[#This Row],[Player ID]],Table5[[#All],[PID]],0)))</f>
        <v>RF</v>
      </c>
      <c r="J104" t="str">
        <f>IF(DraftResults[[#This Row],[Player ID]]=0,"",INDEX(Table5[[#All],[First]],MATCH(DraftResults[[#This Row],[Player ID]],Table5[[#All],[PID]],0)))</f>
        <v>Takamasa</v>
      </c>
      <c r="K104" t="str">
        <f>IF(DraftResults[[#This Row],[Player ID]]=0,"",INDEX(Table5[[#All],[Last]],MATCH(DraftResults[[#This Row],[Player ID]],Table5[[#All],[PID]],0)))</f>
        <v>Kohara</v>
      </c>
    </row>
    <row r="105" spans="1:11" x14ac:dyDescent="0.3">
      <c r="A105">
        <v>3</v>
      </c>
      <c r="B105">
        <v>0</v>
      </c>
      <c r="C105">
        <v>30</v>
      </c>
      <c r="D105" t="s">
        <v>543</v>
      </c>
      <c r="E105">
        <v>160</v>
      </c>
      <c r="F105">
        <v>20703</v>
      </c>
      <c r="G105" t="s">
        <v>303</v>
      </c>
      <c r="H105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102</v>
      </c>
      <c r="I105" t="str">
        <f>IF(DraftResults[[#This Row],[Player ID]]=0,"",INDEX(Table5[[#All],[Pos]],MATCH(DraftResults[[#This Row],[Player ID]],Table5[[#All],[PID]],0)))</f>
        <v>SP</v>
      </c>
      <c r="J105" t="str">
        <f>IF(DraftResults[[#This Row],[Player ID]]=0,"",INDEX(Table5[[#All],[First]],MATCH(DraftResults[[#This Row],[Player ID]],Table5[[#All],[PID]],0)))</f>
        <v>Bob</v>
      </c>
      <c r="K105" t="str">
        <f>IF(DraftResults[[#This Row],[Player ID]]=0,"",INDEX(Table5[[#All],[Last]],MATCH(DraftResults[[#This Row],[Player ID]],Table5[[#All],[PID]],0)))</f>
        <v>Brewster</v>
      </c>
    </row>
    <row r="106" spans="1:11" x14ac:dyDescent="0.3">
      <c r="A106">
        <v>3</v>
      </c>
      <c r="B106">
        <v>0</v>
      </c>
      <c r="C106">
        <v>31</v>
      </c>
      <c r="D106" t="s">
        <v>415</v>
      </c>
      <c r="E106">
        <v>166</v>
      </c>
      <c r="F106">
        <v>9776</v>
      </c>
      <c r="G106" t="s">
        <v>303</v>
      </c>
      <c r="H106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103</v>
      </c>
      <c r="I106" t="str">
        <f>IF(DraftResults[[#This Row],[Player ID]]=0,"",INDEX(Table5[[#All],[Pos]],MATCH(DraftResults[[#This Row],[Player ID]],Table5[[#All],[PID]],0)))</f>
        <v>LF</v>
      </c>
      <c r="J106" t="str">
        <f>IF(DraftResults[[#This Row],[Player ID]]=0,"",INDEX(Table5[[#All],[First]],MATCH(DraftResults[[#This Row],[Player ID]],Table5[[#All],[PID]],0)))</f>
        <v>Michael</v>
      </c>
      <c r="K106" t="str">
        <f>IF(DraftResults[[#This Row],[Player ID]]=0,"",INDEX(Table5[[#All],[Last]],MATCH(DraftResults[[#This Row],[Player ID]],Table5[[#All],[PID]],0)))</f>
        <v>Eubank</v>
      </c>
    </row>
    <row r="107" spans="1:11" x14ac:dyDescent="0.3">
      <c r="A107">
        <v>3</v>
      </c>
      <c r="B107">
        <v>0</v>
      </c>
      <c r="C107">
        <v>32</v>
      </c>
      <c r="D107" t="s">
        <v>238</v>
      </c>
      <c r="E107">
        <v>11</v>
      </c>
      <c r="F107">
        <v>20462</v>
      </c>
      <c r="G107" t="s">
        <v>303</v>
      </c>
      <c r="H107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104</v>
      </c>
      <c r="I107" t="str">
        <f>IF(DraftResults[[#This Row],[Player ID]]=0,"",INDEX(Table5[[#All],[Pos]],MATCH(DraftResults[[#This Row],[Player ID]],Table5[[#All],[PID]],0)))</f>
        <v>C</v>
      </c>
      <c r="J107" t="str">
        <f>IF(DraftResults[[#This Row],[Player ID]]=0,"",INDEX(Table5[[#All],[First]],MATCH(DraftResults[[#This Row],[Player ID]],Table5[[#All],[PID]],0)))</f>
        <v>Netro</v>
      </c>
      <c r="K107" t="str">
        <f>IF(DraftResults[[#This Row],[Player ID]]=0,"",INDEX(Table5[[#All],[Last]],MATCH(DraftResults[[#This Row],[Player ID]],Table5[[#All],[PID]],0)))</f>
        <v>Ananas</v>
      </c>
    </row>
    <row r="108" spans="1:11" x14ac:dyDescent="0.3">
      <c r="A108">
        <v>3</v>
      </c>
      <c r="B108">
        <v>0</v>
      </c>
      <c r="C108">
        <v>33</v>
      </c>
      <c r="D108" t="s">
        <v>488</v>
      </c>
      <c r="E108">
        <v>7</v>
      </c>
      <c r="F108">
        <v>11454</v>
      </c>
      <c r="G108" t="s">
        <v>303</v>
      </c>
      <c r="H108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105</v>
      </c>
      <c r="I108" t="str">
        <f>IF(DraftResults[[#This Row],[Player ID]]=0,"",INDEX(Table5[[#All],[Pos]],MATCH(DraftResults[[#This Row],[Player ID]],Table5[[#All],[PID]],0)))</f>
        <v>SP</v>
      </c>
      <c r="J108" t="str">
        <f>IF(DraftResults[[#This Row],[Player ID]]=0,"",INDEX(Table5[[#All],[First]],MATCH(DraftResults[[#This Row],[Player ID]],Table5[[#All],[PID]],0)))</f>
        <v>Jorge</v>
      </c>
      <c r="K108" t="str">
        <f>IF(DraftResults[[#This Row],[Player ID]]=0,"",INDEX(Table5[[#All],[Last]],MATCH(DraftResults[[#This Row],[Player ID]],Table5[[#All],[PID]],0)))</f>
        <v>De Los Santos</v>
      </c>
    </row>
    <row r="109" spans="1:11" x14ac:dyDescent="0.3">
      <c r="A109">
        <v>4</v>
      </c>
      <c r="B109">
        <v>0</v>
      </c>
      <c r="C109">
        <v>1</v>
      </c>
      <c r="D109" t="s">
        <v>232</v>
      </c>
      <c r="E109">
        <v>19</v>
      </c>
      <c r="F109">
        <v>9385</v>
      </c>
      <c r="G109" t="s">
        <v>303</v>
      </c>
      <c r="H109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106</v>
      </c>
      <c r="I109" t="str">
        <f>IF(DraftResults[[#This Row],[Player ID]]=0,"",INDEX(Table5[[#All],[Pos]],MATCH(DraftResults[[#This Row],[Player ID]],Table5[[#All],[PID]],0)))</f>
        <v>SS</v>
      </c>
      <c r="J109" t="str">
        <f>IF(DraftResults[[#This Row],[Player ID]]=0,"",INDEX(Table5[[#All],[First]],MATCH(DraftResults[[#This Row],[Player ID]],Table5[[#All],[PID]],0)))</f>
        <v>Roger</v>
      </c>
      <c r="K109" t="str">
        <f>IF(DraftResults[[#This Row],[Player ID]]=0,"",INDEX(Table5[[#All],[Last]],MATCH(DraftResults[[#This Row],[Player ID]],Table5[[#All],[PID]],0)))</f>
        <v>Miller</v>
      </c>
    </row>
    <row r="110" spans="1:11" x14ac:dyDescent="0.3">
      <c r="A110">
        <v>4</v>
      </c>
      <c r="B110">
        <v>0</v>
      </c>
      <c r="C110">
        <v>2</v>
      </c>
      <c r="D110" t="s">
        <v>488</v>
      </c>
      <c r="E110">
        <v>7</v>
      </c>
      <c r="F110">
        <v>9571</v>
      </c>
      <c r="G110" t="s">
        <v>303</v>
      </c>
      <c r="H110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107</v>
      </c>
      <c r="I110" t="str">
        <f>IF(DraftResults[[#This Row],[Player ID]]=0,"",INDEX(Table5[[#All],[Pos]],MATCH(DraftResults[[#This Row],[Player ID]],Table5[[#All],[PID]],0)))</f>
        <v>LF</v>
      </c>
      <c r="J110" t="str">
        <f>IF(DraftResults[[#This Row],[Player ID]]=0,"",INDEX(Table5[[#All],[First]],MATCH(DraftResults[[#This Row],[Player ID]],Table5[[#All],[PID]],0)))</f>
        <v>António</v>
      </c>
      <c r="K110" t="str">
        <f>IF(DraftResults[[#This Row],[Player ID]]=0,"",INDEX(Table5[[#All],[Last]],MATCH(DraftResults[[#This Row],[Player ID]],Table5[[#All],[PID]],0)))</f>
        <v>Fernández</v>
      </c>
    </row>
    <row r="111" spans="1:11" x14ac:dyDescent="0.3">
      <c r="A111">
        <v>4</v>
      </c>
      <c r="B111">
        <v>0</v>
      </c>
      <c r="C111">
        <v>3</v>
      </c>
      <c r="D111" t="s">
        <v>420</v>
      </c>
      <c r="E111">
        <v>167</v>
      </c>
      <c r="F111">
        <v>10801</v>
      </c>
      <c r="G111" t="s">
        <v>303</v>
      </c>
      <c r="H111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108</v>
      </c>
      <c r="I111" t="str">
        <f>IF(DraftResults[[#This Row],[Player ID]]=0,"",INDEX(Table5[[#All],[Pos]],MATCH(DraftResults[[#This Row],[Player ID]],Table5[[#All],[PID]],0)))</f>
        <v>CL</v>
      </c>
      <c r="J111" t="str">
        <f>IF(DraftResults[[#This Row],[Player ID]]=0,"",INDEX(Table5[[#All],[First]],MATCH(DraftResults[[#This Row],[Player ID]],Table5[[#All],[PID]],0)))</f>
        <v>Kevin</v>
      </c>
      <c r="K111" t="str">
        <f>IF(DraftResults[[#This Row],[Player ID]]=0,"",INDEX(Table5[[#All],[Last]],MATCH(DraftResults[[#This Row],[Player ID]],Table5[[#All],[PID]],0)))</f>
        <v>Brickey</v>
      </c>
    </row>
    <row r="112" spans="1:11" x14ac:dyDescent="0.3">
      <c r="A112">
        <v>4</v>
      </c>
      <c r="B112">
        <v>0</v>
      </c>
      <c r="C112">
        <v>4</v>
      </c>
      <c r="D112" t="s">
        <v>235</v>
      </c>
      <c r="E112">
        <v>21</v>
      </c>
      <c r="F112">
        <v>7728</v>
      </c>
      <c r="G112" t="s">
        <v>303</v>
      </c>
      <c r="H112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109</v>
      </c>
      <c r="I112" t="str">
        <f>IF(DraftResults[[#This Row],[Player ID]]=0,"",INDEX(Table5[[#All],[Pos]],MATCH(DraftResults[[#This Row],[Player ID]],Table5[[#All],[PID]],0)))</f>
        <v>CL</v>
      </c>
      <c r="J112" t="str">
        <f>IF(DraftResults[[#This Row],[Player ID]]=0,"",INDEX(Table5[[#All],[First]],MATCH(DraftResults[[#This Row],[Player ID]],Table5[[#All],[PID]],0)))</f>
        <v>Greg</v>
      </c>
      <c r="K112" t="str">
        <f>IF(DraftResults[[#This Row],[Player ID]]=0,"",INDEX(Table5[[#All],[Last]],MATCH(DraftResults[[#This Row],[Player ID]],Table5[[#All],[PID]],0)))</f>
        <v>MacDuffie</v>
      </c>
    </row>
    <row r="113" spans="1:11" x14ac:dyDescent="0.3">
      <c r="A113">
        <v>4</v>
      </c>
      <c r="B113">
        <v>0</v>
      </c>
      <c r="C113">
        <v>5</v>
      </c>
      <c r="D113" t="s">
        <v>545</v>
      </c>
      <c r="E113">
        <v>23</v>
      </c>
      <c r="F113">
        <v>20535</v>
      </c>
      <c r="G113" t="s">
        <v>303</v>
      </c>
      <c r="H113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110</v>
      </c>
      <c r="I113" t="str">
        <f>IF(DraftResults[[#This Row],[Player ID]]=0,"",INDEX(Table5[[#All],[Pos]],MATCH(DraftResults[[#This Row],[Player ID]],Table5[[#All],[PID]],0)))</f>
        <v>SP</v>
      </c>
      <c r="J113" t="str">
        <f>IF(DraftResults[[#This Row],[Player ID]]=0,"",INDEX(Table5[[#All],[First]],MATCH(DraftResults[[#This Row],[Player ID]],Table5[[#All],[PID]],0)))</f>
        <v>Edwin</v>
      </c>
      <c r="K113" t="str">
        <f>IF(DraftResults[[#This Row],[Player ID]]=0,"",INDEX(Table5[[#All],[Last]],MATCH(DraftResults[[#This Row],[Player ID]],Table5[[#All],[PID]],0)))</f>
        <v>Nunn</v>
      </c>
    </row>
    <row r="114" spans="1:11" x14ac:dyDescent="0.3">
      <c r="A114">
        <v>4</v>
      </c>
      <c r="B114">
        <v>0</v>
      </c>
      <c r="C114">
        <v>6</v>
      </c>
      <c r="D114" t="s">
        <v>246</v>
      </c>
      <c r="E114">
        <v>8</v>
      </c>
      <c r="F114">
        <v>13764</v>
      </c>
      <c r="G114" t="s">
        <v>303</v>
      </c>
      <c r="H114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111</v>
      </c>
      <c r="I114" t="str">
        <f>IF(DraftResults[[#This Row],[Player ID]]=0,"",INDEX(Table5[[#All],[Pos]],MATCH(DraftResults[[#This Row],[Player ID]],Table5[[#All],[PID]],0)))</f>
        <v>SP</v>
      </c>
      <c r="J114" t="str">
        <f>IF(DraftResults[[#This Row],[Player ID]]=0,"",INDEX(Table5[[#All],[First]],MATCH(DraftResults[[#This Row],[Player ID]],Table5[[#All],[PID]],0)))</f>
        <v>Adam</v>
      </c>
      <c r="K114" t="str">
        <f>IF(DraftResults[[#This Row],[Player ID]]=0,"",INDEX(Table5[[#All],[Last]],MATCH(DraftResults[[#This Row],[Player ID]],Table5[[#All],[PID]],0)))</f>
        <v>Marshall</v>
      </c>
    </row>
    <row r="115" spans="1:11" x14ac:dyDescent="0.3">
      <c r="A115">
        <v>4</v>
      </c>
      <c r="B115">
        <v>0</v>
      </c>
      <c r="C115">
        <v>7</v>
      </c>
      <c r="D115" t="s">
        <v>419</v>
      </c>
      <c r="E115">
        <v>18</v>
      </c>
      <c r="F115">
        <v>13474</v>
      </c>
      <c r="G115" t="s">
        <v>303</v>
      </c>
      <c r="H115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112</v>
      </c>
      <c r="I115" t="str">
        <f>IF(DraftResults[[#This Row],[Player ID]]=0,"",INDEX(Table5[[#All],[Pos]],MATCH(DraftResults[[#This Row],[Player ID]],Table5[[#All],[PID]],0)))</f>
        <v>C</v>
      </c>
      <c r="J115" t="str">
        <f>IF(DraftResults[[#This Row],[Player ID]]=0,"",INDEX(Table5[[#All],[First]],MATCH(DraftResults[[#This Row],[Player ID]],Table5[[#All],[PID]],0)))</f>
        <v>Hirotada</v>
      </c>
      <c r="K115" t="str">
        <f>IF(DraftResults[[#This Row],[Player ID]]=0,"",INDEX(Table5[[#All],[Last]],MATCH(DraftResults[[#This Row],[Player ID]],Table5[[#All],[PID]],0)))</f>
        <v>Hirano</v>
      </c>
    </row>
    <row r="116" spans="1:11" x14ac:dyDescent="0.3">
      <c r="A116">
        <v>4</v>
      </c>
      <c r="B116">
        <v>0</v>
      </c>
      <c r="C116">
        <v>8</v>
      </c>
      <c r="D116" t="s">
        <v>1614</v>
      </c>
      <c r="E116">
        <v>6</v>
      </c>
      <c r="F116">
        <v>20817</v>
      </c>
      <c r="G116" t="s">
        <v>303</v>
      </c>
      <c r="H116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113</v>
      </c>
      <c r="I116" t="str">
        <f>IF(DraftResults[[#This Row],[Player ID]]=0,"",INDEX(Table5[[#All],[Pos]],MATCH(DraftResults[[#This Row],[Player ID]],Table5[[#All],[PID]],0)))</f>
        <v>3B</v>
      </c>
      <c r="J116" t="str">
        <f>IF(DraftResults[[#This Row],[Player ID]]=0,"",INDEX(Table5[[#All],[First]],MATCH(DraftResults[[#This Row],[Player ID]],Table5[[#All],[PID]],0)))</f>
        <v>Stephen</v>
      </c>
      <c r="K116" t="str">
        <f>IF(DraftResults[[#This Row],[Player ID]]=0,"",INDEX(Table5[[#All],[Last]],MATCH(DraftResults[[#This Row],[Player ID]],Table5[[#All],[PID]],0)))</f>
        <v>Davis</v>
      </c>
    </row>
    <row r="117" spans="1:11" x14ac:dyDescent="0.3">
      <c r="A117">
        <v>4</v>
      </c>
      <c r="B117">
        <v>0</v>
      </c>
      <c r="C117">
        <v>9</v>
      </c>
      <c r="D117" t="s">
        <v>545</v>
      </c>
      <c r="E117">
        <v>23</v>
      </c>
      <c r="F117">
        <v>13273</v>
      </c>
      <c r="G117" t="s">
        <v>303</v>
      </c>
      <c r="H117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114</v>
      </c>
      <c r="I117" t="str">
        <f>IF(DraftResults[[#This Row],[Player ID]]=0,"",INDEX(Table5[[#All],[Pos]],MATCH(DraftResults[[#This Row],[Player ID]],Table5[[#All],[PID]],0)))</f>
        <v>2B</v>
      </c>
      <c r="J117" t="str">
        <f>IF(DraftResults[[#This Row],[Player ID]]=0,"",INDEX(Table5[[#All],[First]],MATCH(DraftResults[[#This Row],[Player ID]],Table5[[#All],[PID]],0)))</f>
        <v>Yoshitora</v>
      </c>
      <c r="K117" t="str">
        <f>IF(DraftResults[[#This Row],[Player ID]]=0,"",INDEX(Table5[[#All],[Last]],MATCH(DraftResults[[#This Row],[Player ID]],Table5[[#All],[PID]],0)))</f>
        <v>Ando</v>
      </c>
    </row>
    <row r="118" spans="1:11" x14ac:dyDescent="0.3">
      <c r="A118">
        <v>4</v>
      </c>
      <c r="B118">
        <v>0</v>
      </c>
      <c r="C118">
        <v>10</v>
      </c>
      <c r="D118" t="s">
        <v>240</v>
      </c>
      <c r="E118">
        <v>3</v>
      </c>
      <c r="F118">
        <v>11619</v>
      </c>
      <c r="G118" t="s">
        <v>303</v>
      </c>
      <c r="H118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115</v>
      </c>
      <c r="I118" t="str">
        <f>IF(DraftResults[[#This Row],[Player ID]]=0,"",INDEX(Table5[[#All],[Pos]],MATCH(DraftResults[[#This Row],[Player ID]],Table5[[#All],[PID]],0)))</f>
        <v>1B</v>
      </c>
      <c r="J118" t="str">
        <f>IF(DraftResults[[#This Row],[Player ID]]=0,"",INDEX(Table5[[#All],[First]],MATCH(DraftResults[[#This Row],[Player ID]],Table5[[#All],[PID]],0)))</f>
        <v>Juan</v>
      </c>
      <c r="K118" t="str">
        <f>IF(DraftResults[[#This Row],[Player ID]]=0,"",INDEX(Table5[[#All],[Last]],MATCH(DraftResults[[#This Row],[Player ID]],Table5[[#All],[PID]],0)))</f>
        <v>Márquez</v>
      </c>
    </row>
    <row r="119" spans="1:11" x14ac:dyDescent="0.3">
      <c r="A119">
        <v>4</v>
      </c>
      <c r="B119">
        <v>0</v>
      </c>
      <c r="C119">
        <v>11</v>
      </c>
      <c r="D119" t="s">
        <v>240</v>
      </c>
      <c r="E119">
        <v>3</v>
      </c>
      <c r="F119">
        <v>9260</v>
      </c>
      <c r="G119" t="s">
        <v>303</v>
      </c>
      <c r="H119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116</v>
      </c>
      <c r="I119" t="str">
        <f>IF(DraftResults[[#This Row],[Player ID]]=0,"",INDEX(Table5[[#All],[Pos]],MATCH(DraftResults[[#This Row],[Player ID]],Table5[[#All],[PID]],0)))</f>
        <v>CL</v>
      </c>
      <c r="J119" t="str">
        <f>IF(DraftResults[[#This Row],[Player ID]]=0,"",INDEX(Table5[[#All],[First]],MATCH(DraftResults[[#This Row],[Player ID]],Table5[[#All],[PID]],0)))</f>
        <v>James</v>
      </c>
      <c r="K119" t="str">
        <f>IF(DraftResults[[#This Row],[Player ID]]=0,"",INDEX(Table5[[#All],[Last]],MATCH(DraftResults[[#This Row],[Player ID]],Table5[[#All],[PID]],0)))</f>
        <v>Johnson</v>
      </c>
    </row>
    <row r="120" spans="1:11" x14ac:dyDescent="0.3">
      <c r="A120">
        <v>4</v>
      </c>
      <c r="B120">
        <v>0</v>
      </c>
      <c r="C120">
        <v>12</v>
      </c>
      <c r="D120" t="s">
        <v>489</v>
      </c>
      <c r="E120">
        <v>4</v>
      </c>
      <c r="F120">
        <v>9783</v>
      </c>
      <c r="G120" t="s">
        <v>303</v>
      </c>
      <c r="H120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117</v>
      </c>
      <c r="I120" t="str">
        <f>IF(DraftResults[[#This Row],[Player ID]]=0,"",INDEX(Table5[[#All],[Pos]],MATCH(DraftResults[[#This Row],[Player ID]],Table5[[#All],[PID]],0)))</f>
        <v>RF</v>
      </c>
      <c r="J120" t="str">
        <f>IF(DraftResults[[#This Row],[Player ID]]=0,"",INDEX(Table5[[#All],[First]],MATCH(DraftResults[[#This Row],[Player ID]],Table5[[#All],[PID]],0)))</f>
        <v>Jesús</v>
      </c>
      <c r="K120" t="str">
        <f>IF(DraftResults[[#This Row],[Player ID]]=0,"",INDEX(Table5[[#All],[Last]],MATCH(DraftResults[[#This Row],[Player ID]],Table5[[#All],[PID]],0)))</f>
        <v>Chávez</v>
      </c>
    </row>
    <row r="121" spans="1:11" x14ac:dyDescent="0.3">
      <c r="A121">
        <v>4</v>
      </c>
      <c r="B121">
        <v>0</v>
      </c>
      <c r="C121">
        <v>13</v>
      </c>
      <c r="D121" t="s">
        <v>414</v>
      </c>
      <c r="E121">
        <v>164</v>
      </c>
      <c r="F121">
        <v>10222</v>
      </c>
      <c r="G121" t="s">
        <v>303</v>
      </c>
      <c r="H121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118</v>
      </c>
      <c r="I121" t="str">
        <f>IF(DraftResults[[#This Row],[Player ID]]=0,"",INDEX(Table5[[#All],[Pos]],MATCH(DraftResults[[#This Row],[Player ID]],Table5[[#All],[PID]],0)))</f>
        <v>RF</v>
      </c>
      <c r="J121" t="str">
        <f>IF(DraftResults[[#This Row],[Player ID]]=0,"",INDEX(Table5[[#All],[First]],MATCH(DraftResults[[#This Row],[Player ID]],Table5[[#All],[PID]],0)))</f>
        <v>Shawn</v>
      </c>
      <c r="K121" t="str">
        <f>IF(DraftResults[[#This Row],[Player ID]]=0,"",INDEX(Table5[[#All],[Last]],MATCH(DraftResults[[#This Row],[Player ID]],Table5[[#All],[PID]],0)))</f>
        <v>Bailey</v>
      </c>
    </row>
    <row r="122" spans="1:11" x14ac:dyDescent="0.3">
      <c r="A122">
        <v>4</v>
      </c>
      <c r="B122">
        <v>0</v>
      </c>
      <c r="C122">
        <v>14</v>
      </c>
      <c r="D122" t="s">
        <v>251</v>
      </c>
      <c r="E122">
        <v>12</v>
      </c>
      <c r="F122">
        <v>11172</v>
      </c>
      <c r="G122" t="s">
        <v>303</v>
      </c>
      <c r="H122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119</v>
      </c>
      <c r="I122" t="str">
        <f>IF(DraftResults[[#This Row],[Player ID]]=0,"",INDEX(Table5[[#All],[Pos]],MATCH(DraftResults[[#This Row],[Player ID]],Table5[[#All],[PID]],0)))</f>
        <v>1B</v>
      </c>
      <c r="J122" t="str">
        <f>IF(DraftResults[[#This Row],[Player ID]]=0,"",INDEX(Table5[[#All],[First]],MATCH(DraftResults[[#This Row],[Player ID]],Table5[[#All],[PID]],0)))</f>
        <v>Leonard</v>
      </c>
      <c r="K122" t="str">
        <f>IF(DraftResults[[#This Row],[Player ID]]=0,"",INDEX(Table5[[#All],[Last]],MATCH(DraftResults[[#This Row],[Player ID]],Table5[[#All],[PID]],0)))</f>
        <v>Ryan</v>
      </c>
    </row>
    <row r="123" spans="1:11" x14ac:dyDescent="0.3">
      <c r="A123">
        <v>4</v>
      </c>
      <c r="B123">
        <v>0</v>
      </c>
      <c r="C123">
        <v>15</v>
      </c>
      <c r="D123" t="s">
        <v>232</v>
      </c>
      <c r="E123">
        <v>19</v>
      </c>
      <c r="F123">
        <v>11895</v>
      </c>
      <c r="G123" t="s">
        <v>303</v>
      </c>
      <c r="H123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120</v>
      </c>
      <c r="I123" t="str">
        <f>IF(DraftResults[[#This Row],[Player ID]]=0,"",INDEX(Table5[[#All],[Pos]],MATCH(DraftResults[[#This Row],[Player ID]],Table5[[#All],[PID]],0)))</f>
        <v>CF</v>
      </c>
      <c r="J123" t="str">
        <f>IF(DraftResults[[#This Row],[Player ID]]=0,"",INDEX(Table5[[#All],[First]],MATCH(DraftResults[[#This Row],[Player ID]],Table5[[#All],[PID]],0)))</f>
        <v>Carlos</v>
      </c>
      <c r="K123" t="str">
        <f>IF(DraftResults[[#This Row],[Player ID]]=0,"",INDEX(Table5[[#All],[Last]],MATCH(DraftResults[[#This Row],[Player ID]],Table5[[#All],[PID]],0)))</f>
        <v>Martínez</v>
      </c>
    </row>
    <row r="124" spans="1:11" x14ac:dyDescent="0.3">
      <c r="A124">
        <v>4</v>
      </c>
      <c r="B124">
        <v>0</v>
      </c>
      <c r="C124">
        <v>16</v>
      </c>
      <c r="D124" t="s">
        <v>544</v>
      </c>
      <c r="E124">
        <v>13</v>
      </c>
      <c r="F124">
        <v>11101</v>
      </c>
      <c r="G124" t="s">
        <v>303</v>
      </c>
      <c r="H124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121</v>
      </c>
      <c r="I124" t="str">
        <f>IF(DraftResults[[#This Row],[Player ID]]=0,"",INDEX(Table5[[#All],[Pos]],MATCH(DraftResults[[#This Row],[Player ID]],Table5[[#All],[PID]],0)))</f>
        <v>RP</v>
      </c>
      <c r="J124" t="str">
        <f>IF(DraftResults[[#This Row],[Player ID]]=0,"",INDEX(Table5[[#All],[First]],MATCH(DraftResults[[#This Row],[Player ID]],Table5[[#All],[PID]],0)))</f>
        <v>Roberto</v>
      </c>
      <c r="K124" t="str">
        <f>IF(DraftResults[[#This Row],[Player ID]]=0,"",INDEX(Table5[[#All],[Last]],MATCH(DraftResults[[#This Row],[Player ID]],Table5[[#All],[PID]],0)))</f>
        <v>Franco</v>
      </c>
    </row>
    <row r="125" spans="1:11" x14ac:dyDescent="0.3">
      <c r="A125">
        <v>4</v>
      </c>
      <c r="B125">
        <v>0</v>
      </c>
      <c r="C125">
        <v>17</v>
      </c>
      <c r="D125" t="s">
        <v>243</v>
      </c>
      <c r="E125">
        <v>15</v>
      </c>
      <c r="F125">
        <v>8961</v>
      </c>
      <c r="G125" t="s">
        <v>303</v>
      </c>
      <c r="H125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122</v>
      </c>
      <c r="I125" t="str">
        <f>IF(DraftResults[[#This Row],[Player ID]]=0,"",INDEX(Table5[[#All],[Pos]],MATCH(DraftResults[[#This Row],[Player ID]],Table5[[#All],[PID]],0)))</f>
        <v>LF</v>
      </c>
      <c r="J125" t="str">
        <f>IF(DraftResults[[#This Row],[Player ID]]=0,"",INDEX(Table5[[#All],[First]],MATCH(DraftResults[[#This Row],[Player ID]],Table5[[#All],[PID]],0)))</f>
        <v>Ricardo</v>
      </c>
      <c r="K125" t="str">
        <f>IF(DraftResults[[#This Row],[Player ID]]=0,"",INDEX(Table5[[#All],[Last]],MATCH(DraftResults[[#This Row],[Player ID]],Table5[[#All],[PID]],0)))</f>
        <v>Rowland</v>
      </c>
    </row>
    <row r="126" spans="1:11" x14ac:dyDescent="0.3">
      <c r="A126">
        <v>4</v>
      </c>
      <c r="B126">
        <v>0</v>
      </c>
      <c r="C126">
        <v>18</v>
      </c>
      <c r="D126" t="s">
        <v>412</v>
      </c>
      <c r="E126">
        <v>162</v>
      </c>
      <c r="F126">
        <v>20988</v>
      </c>
      <c r="G126" t="s">
        <v>303</v>
      </c>
      <c r="H126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123</v>
      </c>
      <c r="I126" t="str">
        <f>IF(DraftResults[[#This Row],[Player ID]]=0,"",INDEX(Table5[[#All],[Pos]],MATCH(DraftResults[[#This Row],[Player ID]],Table5[[#All],[PID]],0)))</f>
        <v>C</v>
      </c>
      <c r="J126" t="str">
        <f>IF(DraftResults[[#This Row],[Player ID]]=0,"",INDEX(Table5[[#All],[First]],MATCH(DraftResults[[#This Row],[Player ID]],Table5[[#All],[PID]],0)))</f>
        <v>Juan</v>
      </c>
      <c r="K126" t="str">
        <f>IF(DraftResults[[#This Row],[Player ID]]=0,"",INDEX(Table5[[#All],[Last]],MATCH(DraftResults[[#This Row],[Player ID]],Table5[[#All],[PID]],0)))</f>
        <v>Mojica</v>
      </c>
    </row>
    <row r="127" spans="1:11" x14ac:dyDescent="0.3">
      <c r="A127">
        <v>4</v>
      </c>
      <c r="B127">
        <v>0</v>
      </c>
      <c r="C127">
        <v>19</v>
      </c>
      <c r="D127" t="s">
        <v>247</v>
      </c>
      <c r="E127">
        <v>16</v>
      </c>
      <c r="F127">
        <v>20288</v>
      </c>
      <c r="G127" t="s">
        <v>303</v>
      </c>
      <c r="H127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124</v>
      </c>
      <c r="I127" t="str">
        <f>IF(DraftResults[[#This Row],[Player ID]]=0,"",INDEX(Table5[[#All],[Pos]],MATCH(DraftResults[[#This Row],[Player ID]],Table5[[#All],[PID]],0)))</f>
        <v>1B</v>
      </c>
      <c r="J127" t="str">
        <f>IF(DraftResults[[#This Row],[Player ID]]=0,"",INDEX(Table5[[#All],[First]],MATCH(DraftResults[[#This Row],[Player ID]],Table5[[#All],[PID]],0)))</f>
        <v>Rhys</v>
      </c>
      <c r="K127" t="str">
        <f>IF(DraftResults[[#This Row],[Player ID]]=0,"",INDEX(Table5[[#All],[Last]],MATCH(DraftResults[[#This Row],[Player ID]],Table5[[#All],[PID]],0)))</f>
        <v>Whinnett</v>
      </c>
    </row>
    <row r="128" spans="1:11" ht="15.75" customHeight="1" x14ac:dyDescent="0.3">
      <c r="A128">
        <v>4</v>
      </c>
      <c r="B128">
        <v>0</v>
      </c>
      <c r="C128">
        <v>20</v>
      </c>
      <c r="D128" t="s">
        <v>419</v>
      </c>
      <c r="E128">
        <v>18</v>
      </c>
      <c r="F128">
        <v>11142</v>
      </c>
      <c r="G128" t="s">
        <v>303</v>
      </c>
      <c r="H128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125</v>
      </c>
      <c r="I128" t="str">
        <f>IF(DraftResults[[#This Row],[Player ID]]=0,"",INDEX(Table5[[#All],[Pos]],MATCH(DraftResults[[#This Row],[Player ID]],Table5[[#All],[PID]],0)))</f>
        <v>LF</v>
      </c>
      <c r="J128" t="str">
        <f>IF(DraftResults[[#This Row],[Player ID]]=0,"",INDEX(Table5[[#All],[First]],MATCH(DraftResults[[#This Row],[Player ID]],Table5[[#All],[PID]],0)))</f>
        <v>Jim</v>
      </c>
      <c r="K128" t="str">
        <f>IF(DraftResults[[#This Row],[Player ID]]=0,"",INDEX(Table5[[#All],[Last]],MATCH(DraftResults[[#This Row],[Player ID]],Table5[[#All],[PID]],0)))</f>
        <v>Gilbuena</v>
      </c>
    </row>
    <row r="129" spans="1:11" x14ac:dyDescent="0.3">
      <c r="A129">
        <v>4</v>
      </c>
      <c r="B129">
        <v>0</v>
      </c>
      <c r="C129">
        <v>21</v>
      </c>
      <c r="D129" t="s">
        <v>416</v>
      </c>
      <c r="E129">
        <v>159</v>
      </c>
      <c r="F129">
        <v>11334</v>
      </c>
      <c r="G129" t="s">
        <v>303</v>
      </c>
      <c r="H129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126</v>
      </c>
      <c r="I129" t="str">
        <f>IF(DraftResults[[#This Row],[Player ID]]=0,"",INDEX(Table5[[#All],[Pos]],MATCH(DraftResults[[#This Row],[Player ID]],Table5[[#All],[PID]],0)))</f>
        <v>SP</v>
      </c>
      <c r="J129" t="str">
        <f>IF(DraftResults[[#This Row],[Player ID]]=0,"",INDEX(Table5[[#All],[First]],MATCH(DraftResults[[#This Row],[Player ID]],Table5[[#All],[PID]],0)))</f>
        <v>Leonard</v>
      </c>
      <c r="K129" t="str">
        <f>IF(DraftResults[[#This Row],[Player ID]]=0,"",INDEX(Table5[[#All],[Last]],MATCH(DraftResults[[#This Row],[Player ID]],Table5[[#All],[PID]],0)))</f>
        <v>Bullard</v>
      </c>
    </row>
    <row r="130" spans="1:11" x14ac:dyDescent="0.3">
      <c r="A130">
        <v>4</v>
      </c>
      <c r="B130">
        <v>0</v>
      </c>
      <c r="C130">
        <v>22</v>
      </c>
      <c r="D130" t="s">
        <v>244</v>
      </c>
      <c r="E130">
        <v>20</v>
      </c>
      <c r="F130">
        <v>7170</v>
      </c>
      <c r="G130" t="s">
        <v>303</v>
      </c>
      <c r="H130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127</v>
      </c>
      <c r="I130" t="str">
        <f>IF(DraftResults[[#This Row],[Player ID]]=0,"",INDEX(Table5[[#All],[Pos]],MATCH(DraftResults[[#This Row],[Player ID]],Table5[[#All],[PID]],0)))</f>
        <v>C</v>
      </c>
      <c r="J130" t="str">
        <f>IF(DraftResults[[#This Row],[Player ID]]=0,"",INDEX(Table5[[#All],[First]],MATCH(DraftResults[[#This Row],[Player ID]],Table5[[#All],[PID]],0)))</f>
        <v>Javier</v>
      </c>
      <c r="K130" t="str">
        <f>IF(DraftResults[[#This Row],[Player ID]]=0,"",INDEX(Table5[[#All],[Last]],MATCH(DraftResults[[#This Row],[Player ID]],Table5[[#All],[PID]],0)))</f>
        <v>Leal</v>
      </c>
    </row>
    <row r="131" spans="1:11" x14ac:dyDescent="0.3">
      <c r="A131">
        <v>4</v>
      </c>
      <c r="B131">
        <v>0</v>
      </c>
      <c r="C131">
        <v>23</v>
      </c>
      <c r="D131" t="s">
        <v>239</v>
      </c>
      <c r="E131">
        <v>10</v>
      </c>
      <c r="F131">
        <v>10897</v>
      </c>
      <c r="G131" t="s">
        <v>303</v>
      </c>
      <c r="H131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128</v>
      </c>
      <c r="I131" t="str">
        <f>IF(DraftResults[[#This Row],[Player ID]]=0,"",INDEX(Table5[[#All],[Pos]],MATCH(DraftResults[[#This Row],[Player ID]],Table5[[#All],[PID]],0)))</f>
        <v>1B</v>
      </c>
      <c r="J131" t="str">
        <f>IF(DraftResults[[#This Row],[Player ID]]=0,"",INDEX(Table5[[#All],[First]],MATCH(DraftResults[[#This Row],[Player ID]],Table5[[#All],[PID]],0)))</f>
        <v>Curt</v>
      </c>
      <c r="K131" t="str">
        <f>IF(DraftResults[[#This Row],[Player ID]]=0,"",INDEX(Table5[[#All],[Last]],MATCH(DraftResults[[#This Row],[Player ID]],Table5[[#All],[PID]],0)))</f>
        <v>Sharp</v>
      </c>
    </row>
    <row r="132" spans="1:11" x14ac:dyDescent="0.3">
      <c r="A132">
        <v>4</v>
      </c>
      <c r="B132">
        <v>0</v>
      </c>
      <c r="C132">
        <v>24</v>
      </c>
      <c r="D132" t="s">
        <v>545</v>
      </c>
      <c r="E132">
        <v>23</v>
      </c>
      <c r="F132">
        <v>9871</v>
      </c>
      <c r="G132" t="s">
        <v>303</v>
      </c>
      <c r="H132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129</v>
      </c>
      <c r="I132" t="str">
        <f>IF(DraftResults[[#This Row],[Player ID]]=0,"",INDEX(Table5[[#All],[Pos]],MATCH(DraftResults[[#This Row],[Player ID]],Table5[[#All],[PID]],0)))</f>
        <v>SP</v>
      </c>
      <c r="J132" t="str">
        <f>IF(DraftResults[[#This Row],[Player ID]]=0,"",INDEX(Table5[[#All],[First]],MATCH(DraftResults[[#This Row],[Player ID]],Table5[[#All],[PID]],0)))</f>
        <v>Bernardo</v>
      </c>
      <c r="K132" t="str">
        <f>IF(DraftResults[[#This Row],[Player ID]]=0,"",INDEX(Table5[[#All],[Last]],MATCH(DraftResults[[#This Row],[Player ID]],Table5[[#All],[PID]],0)))</f>
        <v>Peña</v>
      </c>
    </row>
    <row r="133" spans="1:11" x14ac:dyDescent="0.3">
      <c r="A133">
        <v>4</v>
      </c>
      <c r="B133">
        <v>0</v>
      </c>
      <c r="C133">
        <v>25</v>
      </c>
      <c r="D133" t="s">
        <v>238</v>
      </c>
      <c r="E133">
        <v>11</v>
      </c>
      <c r="F133">
        <v>11580</v>
      </c>
      <c r="G133" t="s">
        <v>303</v>
      </c>
      <c r="H133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130</v>
      </c>
      <c r="I133" t="str">
        <f>IF(DraftResults[[#This Row],[Player ID]]=0,"",INDEX(Table5[[#All],[Pos]],MATCH(DraftResults[[#This Row],[Player ID]],Table5[[#All],[PID]],0)))</f>
        <v>1B</v>
      </c>
      <c r="J133" t="str">
        <f>IF(DraftResults[[#This Row],[Player ID]]=0,"",INDEX(Table5[[#All],[First]],MATCH(DraftResults[[#This Row],[Player ID]],Table5[[#All],[PID]],0)))</f>
        <v>Robert</v>
      </c>
      <c r="K133" t="str">
        <f>IF(DraftResults[[#This Row],[Player ID]]=0,"",INDEX(Table5[[#All],[Last]],MATCH(DraftResults[[#This Row],[Player ID]],Table5[[#All],[PID]],0)))</f>
        <v>Webb</v>
      </c>
    </row>
    <row r="134" spans="1:11" x14ac:dyDescent="0.3">
      <c r="A134">
        <v>4</v>
      </c>
      <c r="B134">
        <v>0</v>
      </c>
      <c r="C134">
        <v>26</v>
      </c>
      <c r="D134" t="s">
        <v>544</v>
      </c>
      <c r="E134">
        <v>13</v>
      </c>
      <c r="F134">
        <v>9457</v>
      </c>
      <c r="G134" t="s">
        <v>303</v>
      </c>
      <c r="H134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131</v>
      </c>
      <c r="I134" t="str">
        <f>IF(DraftResults[[#This Row],[Player ID]]=0,"",INDEX(Table5[[#All],[Pos]],MATCH(DraftResults[[#This Row],[Player ID]],Table5[[#All],[PID]],0)))</f>
        <v>SP</v>
      </c>
      <c r="J134" t="str">
        <f>IF(DraftResults[[#This Row],[Player ID]]=0,"",INDEX(Table5[[#All],[First]],MATCH(DraftResults[[#This Row],[Player ID]],Table5[[#All],[PID]],0)))</f>
        <v>Peter</v>
      </c>
      <c r="K134" t="str">
        <f>IF(DraftResults[[#This Row],[Player ID]]=0,"",INDEX(Table5[[#All],[Last]],MATCH(DraftResults[[#This Row],[Player ID]],Table5[[#All],[PID]],0)))</f>
        <v>Hill</v>
      </c>
    </row>
    <row r="135" spans="1:11" x14ac:dyDescent="0.3">
      <c r="A135">
        <v>4</v>
      </c>
      <c r="B135">
        <v>0</v>
      </c>
      <c r="C135">
        <v>27</v>
      </c>
      <c r="D135" t="s">
        <v>417</v>
      </c>
      <c r="E135">
        <v>163</v>
      </c>
      <c r="F135">
        <v>13266</v>
      </c>
      <c r="G135" t="s">
        <v>303</v>
      </c>
      <c r="H135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132</v>
      </c>
      <c r="I135" t="str">
        <f>IF(DraftResults[[#This Row],[Player ID]]=0,"",INDEX(Table5[[#All],[Pos]],MATCH(DraftResults[[#This Row],[Player ID]],Table5[[#All],[PID]],0)))</f>
        <v>1B</v>
      </c>
      <c r="J135" t="str">
        <f>IF(DraftResults[[#This Row],[Player ID]]=0,"",INDEX(Table5[[#All],[First]],MATCH(DraftResults[[#This Row],[Player ID]],Table5[[#All],[PID]],0)))</f>
        <v>Gregor</v>
      </c>
      <c r="K135" t="str">
        <f>IF(DraftResults[[#This Row],[Player ID]]=0,"",INDEX(Table5[[#All],[Last]],MATCH(DraftResults[[#This Row],[Player ID]],Table5[[#All],[PID]],0)))</f>
        <v>Angus</v>
      </c>
    </row>
    <row r="136" spans="1:11" x14ac:dyDescent="0.3">
      <c r="A136">
        <v>4</v>
      </c>
      <c r="B136">
        <v>0</v>
      </c>
      <c r="C136">
        <v>28</v>
      </c>
      <c r="D136" t="s">
        <v>413</v>
      </c>
      <c r="E136">
        <v>2</v>
      </c>
      <c r="F136">
        <v>11826</v>
      </c>
      <c r="G136" t="s">
        <v>303</v>
      </c>
      <c r="H136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133</v>
      </c>
      <c r="I136" t="str">
        <f>IF(DraftResults[[#This Row],[Player ID]]=0,"",INDEX(Table5[[#All],[Pos]],MATCH(DraftResults[[#This Row],[Player ID]],Table5[[#All],[PID]],0)))</f>
        <v>C</v>
      </c>
      <c r="J136" t="str">
        <f>IF(DraftResults[[#This Row],[Player ID]]=0,"",INDEX(Table5[[#All],[First]],MATCH(DraftResults[[#This Row],[Player ID]],Table5[[#All],[PID]],0)))</f>
        <v>Dave</v>
      </c>
      <c r="K136" t="str">
        <f>IF(DraftResults[[#This Row],[Player ID]]=0,"",INDEX(Table5[[#All],[Last]],MATCH(DraftResults[[#This Row],[Player ID]],Table5[[#All],[PID]],0)))</f>
        <v>Porter</v>
      </c>
    </row>
    <row r="137" spans="1:11" x14ac:dyDescent="0.3">
      <c r="A137">
        <v>4</v>
      </c>
      <c r="B137">
        <v>0</v>
      </c>
      <c r="C137">
        <v>29</v>
      </c>
      <c r="D137" t="s">
        <v>488</v>
      </c>
      <c r="E137">
        <v>7</v>
      </c>
      <c r="F137">
        <v>9863</v>
      </c>
      <c r="G137" t="s">
        <v>303</v>
      </c>
      <c r="H137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134</v>
      </c>
      <c r="I137" t="str">
        <f>IF(DraftResults[[#This Row],[Player ID]]=0,"",INDEX(Table5[[#All],[Pos]],MATCH(DraftResults[[#This Row],[Player ID]],Table5[[#All],[PID]],0)))</f>
        <v>SS</v>
      </c>
      <c r="J137" t="str">
        <f>IF(DraftResults[[#This Row],[Player ID]]=0,"",INDEX(Table5[[#All],[First]],MATCH(DraftResults[[#This Row],[Player ID]],Table5[[#All],[PID]],0)))</f>
        <v>Fernando</v>
      </c>
      <c r="K137" t="str">
        <f>IF(DraftResults[[#This Row],[Player ID]]=0,"",INDEX(Table5[[#All],[Last]],MATCH(DraftResults[[#This Row],[Player ID]],Table5[[#All],[PID]],0)))</f>
        <v>Martínez</v>
      </c>
    </row>
    <row r="138" spans="1:11" x14ac:dyDescent="0.3">
      <c r="A138">
        <v>4</v>
      </c>
      <c r="B138">
        <v>0</v>
      </c>
      <c r="C138">
        <v>30</v>
      </c>
      <c r="D138" t="s">
        <v>415</v>
      </c>
      <c r="E138">
        <v>166</v>
      </c>
      <c r="F138">
        <v>20596</v>
      </c>
      <c r="G138" t="s">
        <v>303</v>
      </c>
      <c r="H138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135</v>
      </c>
      <c r="I138" t="str">
        <f>IF(DraftResults[[#This Row],[Player ID]]=0,"",INDEX(Table5[[#All],[Pos]],MATCH(DraftResults[[#This Row],[Player ID]],Table5[[#All],[PID]],0)))</f>
        <v>RF</v>
      </c>
      <c r="J138" t="str">
        <f>IF(DraftResults[[#This Row],[Player ID]]=0,"",INDEX(Table5[[#All],[First]],MATCH(DraftResults[[#This Row],[Player ID]],Table5[[#All],[PID]],0)))</f>
        <v>Chin-yau</v>
      </c>
      <c r="K138" t="str">
        <f>IF(DraftResults[[#This Row],[Player ID]]=0,"",INDEX(Table5[[#All],[Last]],MATCH(DraftResults[[#This Row],[Player ID]],Table5[[#All],[PID]],0)))</f>
        <v>Su</v>
      </c>
    </row>
    <row r="139" spans="1:11" x14ac:dyDescent="0.3">
      <c r="A139">
        <v>4</v>
      </c>
      <c r="B139">
        <v>0</v>
      </c>
      <c r="C139">
        <v>31</v>
      </c>
      <c r="D139" t="s">
        <v>238</v>
      </c>
      <c r="E139">
        <v>11</v>
      </c>
      <c r="F139">
        <v>12589</v>
      </c>
      <c r="G139" t="s">
        <v>303</v>
      </c>
      <c r="H139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136</v>
      </c>
      <c r="I139" t="str">
        <f>IF(DraftResults[[#This Row],[Player ID]]=0,"",INDEX(Table5[[#All],[Pos]],MATCH(DraftResults[[#This Row],[Player ID]],Table5[[#All],[PID]],0)))</f>
        <v>LF</v>
      </c>
      <c r="J139" t="str">
        <f>IF(DraftResults[[#This Row],[Player ID]]=0,"",INDEX(Table5[[#All],[First]],MATCH(DraftResults[[#This Row],[Player ID]],Table5[[#All],[PID]],0)))</f>
        <v>Walker</v>
      </c>
      <c r="K139" t="str">
        <f>IF(DraftResults[[#This Row],[Player ID]]=0,"",INDEX(Table5[[#All],[Last]],MATCH(DraftResults[[#This Row],[Player ID]],Table5[[#All],[PID]],0)))</f>
        <v>Sandhoff</v>
      </c>
    </row>
    <row r="140" spans="1:11" x14ac:dyDescent="0.3">
      <c r="A140">
        <v>4</v>
      </c>
      <c r="B140">
        <v>0</v>
      </c>
      <c r="C140">
        <v>32</v>
      </c>
      <c r="D140" t="s">
        <v>489</v>
      </c>
      <c r="E140">
        <v>4</v>
      </c>
      <c r="F140">
        <v>20690</v>
      </c>
      <c r="G140" t="s">
        <v>303</v>
      </c>
      <c r="H140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137</v>
      </c>
      <c r="I140" t="str">
        <f>IF(DraftResults[[#This Row],[Player ID]]=0,"",INDEX(Table5[[#All],[Pos]],MATCH(DraftResults[[#This Row],[Player ID]],Table5[[#All],[PID]],0)))</f>
        <v>1B</v>
      </c>
      <c r="J140" t="str">
        <f>IF(DraftResults[[#This Row],[Player ID]]=0,"",INDEX(Table5[[#All],[First]],MATCH(DraftResults[[#This Row],[Player ID]],Table5[[#All],[PID]],0)))</f>
        <v>Ai-de</v>
      </c>
      <c r="K140" t="str">
        <f>IF(DraftResults[[#This Row],[Player ID]]=0,"",INDEX(Table5[[#All],[Last]],MATCH(DraftResults[[#This Row],[Player ID]],Table5[[#All],[PID]],0)))</f>
        <v>Ong</v>
      </c>
    </row>
    <row r="141" spans="1:11" x14ac:dyDescent="0.3">
      <c r="A141">
        <v>5</v>
      </c>
      <c r="B141">
        <v>0</v>
      </c>
      <c r="C141">
        <v>1</v>
      </c>
      <c r="D141" t="s">
        <v>542</v>
      </c>
      <c r="E141">
        <v>24</v>
      </c>
      <c r="F141">
        <v>20444</v>
      </c>
      <c r="G141" t="s">
        <v>303</v>
      </c>
      <c r="H141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138</v>
      </c>
      <c r="I141" t="str">
        <f>IF(DraftResults[[#This Row],[Player ID]]=0,"",INDEX(Table5[[#All],[Pos]],MATCH(DraftResults[[#This Row],[Player ID]],Table5[[#All],[PID]],0)))</f>
        <v>RF</v>
      </c>
      <c r="J141" t="str">
        <f>IF(DraftResults[[#This Row],[Player ID]]=0,"",INDEX(Table5[[#All],[First]],MATCH(DraftResults[[#This Row],[Player ID]],Table5[[#All],[PID]],0)))</f>
        <v>Lien-ying</v>
      </c>
      <c r="K141" t="str">
        <f>IF(DraftResults[[#This Row],[Player ID]]=0,"",INDEX(Table5[[#All],[Last]],MATCH(DraftResults[[#This Row],[Player ID]],Table5[[#All],[PID]],0)))</f>
        <v>Kang</v>
      </c>
    </row>
    <row r="142" spans="1:11" x14ac:dyDescent="0.3">
      <c r="A142">
        <v>5</v>
      </c>
      <c r="B142">
        <v>0</v>
      </c>
      <c r="C142">
        <v>2</v>
      </c>
      <c r="D142" t="s">
        <v>488</v>
      </c>
      <c r="E142">
        <v>7</v>
      </c>
      <c r="F142">
        <v>7645</v>
      </c>
      <c r="G142" t="s">
        <v>303</v>
      </c>
      <c r="H142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139</v>
      </c>
      <c r="I142" t="str">
        <f>IF(DraftResults[[#This Row],[Player ID]]=0,"",INDEX(Table5[[#All],[Pos]],MATCH(DraftResults[[#This Row],[Player ID]],Table5[[#All],[PID]],0)))</f>
        <v>CF</v>
      </c>
      <c r="J142" t="str">
        <f>IF(DraftResults[[#This Row],[Player ID]]=0,"",INDEX(Table5[[#All],[First]],MATCH(DraftResults[[#This Row],[Player ID]],Table5[[#All],[PID]],0)))</f>
        <v>Toshiki</v>
      </c>
      <c r="K142" t="str">
        <f>IF(DraftResults[[#This Row],[Player ID]]=0,"",INDEX(Table5[[#All],[Last]],MATCH(DraftResults[[#This Row],[Player ID]],Table5[[#All],[PID]],0)))</f>
        <v>Asai</v>
      </c>
    </row>
    <row r="143" spans="1:11" x14ac:dyDescent="0.3">
      <c r="A143">
        <v>5</v>
      </c>
      <c r="B143">
        <v>0</v>
      </c>
      <c r="C143">
        <v>3</v>
      </c>
      <c r="D143" t="s">
        <v>238</v>
      </c>
      <c r="E143">
        <v>11</v>
      </c>
      <c r="F143">
        <v>21008</v>
      </c>
      <c r="G143" t="s">
        <v>303</v>
      </c>
      <c r="H143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140</v>
      </c>
      <c r="I143" t="str">
        <f>IF(DraftResults[[#This Row],[Player ID]]=0,"",INDEX(Table5[[#All],[Pos]],MATCH(DraftResults[[#This Row],[Player ID]],Table5[[#All],[PID]],0)))</f>
        <v>CL</v>
      </c>
      <c r="J143" t="str">
        <f>IF(DraftResults[[#This Row],[Player ID]]=0,"",INDEX(Table5[[#All],[First]],MATCH(DraftResults[[#This Row],[Player ID]],Table5[[#All],[PID]],0)))</f>
        <v>Liam</v>
      </c>
      <c r="K143" t="str">
        <f>IF(DraftResults[[#This Row],[Player ID]]=0,"",INDEX(Table5[[#All],[Last]],MATCH(DraftResults[[#This Row],[Player ID]],Table5[[#All],[PID]],0)))</f>
        <v>Pennington</v>
      </c>
    </row>
    <row r="144" spans="1:11" x14ac:dyDescent="0.3">
      <c r="A144">
        <v>5</v>
      </c>
      <c r="B144">
        <v>0</v>
      </c>
      <c r="C144">
        <v>4</v>
      </c>
      <c r="D144" t="s">
        <v>235</v>
      </c>
      <c r="E144">
        <v>21</v>
      </c>
      <c r="F144">
        <v>21033</v>
      </c>
      <c r="G144" t="s">
        <v>303</v>
      </c>
      <c r="H144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141</v>
      </c>
      <c r="I144" t="str">
        <f>IF(DraftResults[[#This Row],[Player ID]]=0,"",INDEX(Table5[[#All],[Pos]],MATCH(DraftResults[[#This Row],[Player ID]],Table5[[#All],[PID]],0)))</f>
        <v>SP</v>
      </c>
      <c r="J144" t="str">
        <f>IF(DraftResults[[#This Row],[Player ID]]=0,"",INDEX(Table5[[#All],[First]],MATCH(DraftResults[[#This Row],[Player ID]],Table5[[#All],[PID]],0)))</f>
        <v>Terrence</v>
      </c>
      <c r="K144" t="str">
        <f>IF(DraftResults[[#This Row],[Player ID]]=0,"",INDEX(Table5[[#All],[Last]],MATCH(DraftResults[[#This Row],[Player ID]],Table5[[#All],[PID]],0)))</f>
        <v>Brown</v>
      </c>
    </row>
    <row r="145" spans="1:11" x14ac:dyDescent="0.3">
      <c r="A145">
        <v>5</v>
      </c>
      <c r="B145">
        <v>0</v>
      </c>
      <c r="C145">
        <v>5</v>
      </c>
      <c r="D145" t="s">
        <v>545</v>
      </c>
      <c r="E145">
        <v>23</v>
      </c>
      <c r="F145">
        <v>12985</v>
      </c>
      <c r="G145" t="s">
        <v>303</v>
      </c>
      <c r="H145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142</v>
      </c>
      <c r="I145" t="str">
        <f>IF(DraftResults[[#This Row],[Player ID]]=0,"",INDEX(Table5[[#All],[Pos]],MATCH(DraftResults[[#This Row],[Player ID]],Table5[[#All],[PID]],0)))</f>
        <v>SS</v>
      </c>
      <c r="J145" t="str">
        <f>IF(DraftResults[[#This Row],[Player ID]]=0,"",INDEX(Table5[[#All],[First]],MATCH(DraftResults[[#This Row],[Player ID]],Table5[[#All],[PID]],0)))</f>
        <v>Jesús</v>
      </c>
      <c r="K145" t="str">
        <f>IF(DraftResults[[#This Row],[Player ID]]=0,"",INDEX(Table5[[#All],[Last]],MATCH(DraftResults[[#This Row],[Player ID]],Table5[[#All],[PID]],0)))</f>
        <v>Morales</v>
      </c>
    </row>
    <row r="146" spans="1:11" x14ac:dyDescent="0.3">
      <c r="A146">
        <v>5</v>
      </c>
      <c r="B146">
        <v>0</v>
      </c>
      <c r="C146">
        <v>6</v>
      </c>
      <c r="D146" t="s">
        <v>246</v>
      </c>
      <c r="E146">
        <v>8</v>
      </c>
      <c r="F146">
        <v>11865</v>
      </c>
      <c r="G146" t="s">
        <v>303</v>
      </c>
      <c r="H146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143</v>
      </c>
      <c r="I146" t="str">
        <f>IF(DraftResults[[#This Row],[Player ID]]=0,"",INDEX(Table5[[#All],[Pos]],MATCH(DraftResults[[#This Row],[Player ID]],Table5[[#All],[PID]],0)))</f>
        <v>CL</v>
      </c>
      <c r="J146" t="str">
        <f>IF(DraftResults[[#This Row],[Player ID]]=0,"",INDEX(Table5[[#All],[First]],MATCH(DraftResults[[#This Row],[Player ID]],Table5[[#All],[PID]],0)))</f>
        <v>Kosami</v>
      </c>
      <c r="K146" t="str">
        <f>IF(DraftResults[[#This Row],[Player ID]]=0,"",INDEX(Table5[[#All],[Last]],MATCH(DraftResults[[#This Row],[Player ID]],Table5[[#All],[PID]],0)))</f>
        <v>Yamaguchi</v>
      </c>
    </row>
    <row r="147" spans="1:11" x14ac:dyDescent="0.3">
      <c r="A147">
        <v>5</v>
      </c>
      <c r="B147">
        <v>0</v>
      </c>
      <c r="C147">
        <v>7</v>
      </c>
      <c r="D147" t="s">
        <v>419</v>
      </c>
      <c r="E147">
        <v>18</v>
      </c>
      <c r="F147">
        <v>12903</v>
      </c>
      <c r="G147" t="s">
        <v>303</v>
      </c>
      <c r="H147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144</v>
      </c>
      <c r="I147" t="str">
        <f>IF(DraftResults[[#This Row],[Player ID]]=0,"",INDEX(Table5[[#All],[Pos]],MATCH(DraftResults[[#This Row],[Player ID]],Table5[[#All],[PID]],0)))</f>
        <v>LF</v>
      </c>
      <c r="J147" t="str">
        <f>IF(DraftResults[[#This Row],[Player ID]]=0,"",INDEX(Table5[[#All],[First]],MATCH(DraftResults[[#This Row],[Player ID]],Table5[[#All],[PID]],0)))</f>
        <v>Ronald</v>
      </c>
      <c r="K147" t="str">
        <f>IF(DraftResults[[#This Row],[Player ID]]=0,"",INDEX(Table5[[#All],[Last]],MATCH(DraftResults[[#This Row],[Player ID]],Table5[[#All],[PID]],0)))</f>
        <v>Caminos</v>
      </c>
    </row>
    <row r="148" spans="1:11" x14ac:dyDescent="0.3">
      <c r="A148">
        <v>5</v>
      </c>
      <c r="B148">
        <v>0</v>
      </c>
      <c r="C148">
        <v>8</v>
      </c>
      <c r="D148" t="s">
        <v>1614</v>
      </c>
      <c r="E148">
        <v>6</v>
      </c>
      <c r="F148">
        <v>11980</v>
      </c>
      <c r="G148" t="s">
        <v>303</v>
      </c>
      <c r="H148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145</v>
      </c>
      <c r="I148" t="str">
        <f>IF(DraftResults[[#This Row],[Player ID]]=0,"",INDEX(Table5[[#All],[Pos]],MATCH(DraftResults[[#This Row],[Player ID]],Table5[[#All],[PID]],0)))</f>
        <v>CF</v>
      </c>
      <c r="J148" t="str">
        <f>IF(DraftResults[[#This Row],[Player ID]]=0,"",INDEX(Table5[[#All],[First]],MATCH(DraftResults[[#This Row],[Player ID]],Table5[[#All],[PID]],0)))</f>
        <v>Alfredo</v>
      </c>
      <c r="K148" t="str">
        <f>IF(DraftResults[[#This Row],[Player ID]]=0,"",INDEX(Table5[[#All],[Last]],MATCH(DraftResults[[#This Row],[Player ID]],Table5[[#All],[PID]],0)))</f>
        <v>Domínguez</v>
      </c>
    </row>
    <row r="149" spans="1:11" x14ac:dyDescent="0.3">
      <c r="A149">
        <v>5</v>
      </c>
      <c r="B149">
        <v>0</v>
      </c>
      <c r="C149">
        <v>9</v>
      </c>
      <c r="D149" t="s">
        <v>247</v>
      </c>
      <c r="E149">
        <v>16</v>
      </c>
      <c r="F149">
        <v>13239</v>
      </c>
      <c r="G149" t="s">
        <v>303</v>
      </c>
      <c r="H149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146</v>
      </c>
      <c r="I149" t="str">
        <f>IF(DraftResults[[#This Row],[Player ID]]=0,"",INDEX(Table5[[#All],[Pos]],MATCH(DraftResults[[#This Row],[Player ID]],Table5[[#All],[PID]],0)))</f>
        <v>RF</v>
      </c>
      <c r="J149" t="str">
        <f>IF(DraftResults[[#This Row],[Player ID]]=0,"",INDEX(Table5[[#All],[First]],MATCH(DraftResults[[#This Row],[Player ID]],Table5[[#All],[PID]],0)))</f>
        <v>Kazu</v>
      </c>
      <c r="K149" t="str">
        <f>IF(DraftResults[[#This Row],[Player ID]]=0,"",INDEX(Table5[[#All],[Last]],MATCH(DraftResults[[#This Row],[Player ID]],Table5[[#All],[PID]],0)))</f>
        <v>Morimoto</v>
      </c>
    </row>
    <row r="150" spans="1:11" x14ac:dyDescent="0.3">
      <c r="A150">
        <v>5</v>
      </c>
      <c r="B150">
        <v>0</v>
      </c>
      <c r="C150">
        <v>10</v>
      </c>
      <c r="D150" t="s">
        <v>240</v>
      </c>
      <c r="E150">
        <v>3</v>
      </c>
      <c r="F150">
        <v>20264</v>
      </c>
      <c r="G150" t="s">
        <v>303</v>
      </c>
      <c r="H150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147</v>
      </c>
      <c r="I150" t="str">
        <f>IF(DraftResults[[#This Row],[Player ID]]=0,"",INDEX(Table5[[#All],[Pos]],MATCH(DraftResults[[#This Row],[Player ID]],Table5[[#All],[PID]],0)))</f>
        <v>SP</v>
      </c>
      <c r="J150" t="str">
        <f>IF(DraftResults[[#This Row],[Player ID]]=0,"",INDEX(Table5[[#All],[First]],MATCH(DraftResults[[#This Row],[Player ID]],Table5[[#All],[PID]],0)))</f>
        <v>Jim</v>
      </c>
      <c r="K150" t="str">
        <f>IF(DraftResults[[#This Row],[Player ID]]=0,"",INDEX(Table5[[#All],[Last]],MATCH(DraftResults[[#This Row],[Player ID]],Table5[[#All],[PID]],0)))</f>
        <v>Xú</v>
      </c>
    </row>
    <row r="151" spans="1:11" x14ac:dyDescent="0.3">
      <c r="A151">
        <v>5</v>
      </c>
      <c r="B151">
        <v>0</v>
      </c>
      <c r="C151">
        <v>11</v>
      </c>
      <c r="D151" t="s">
        <v>232</v>
      </c>
      <c r="E151">
        <v>19</v>
      </c>
      <c r="F151">
        <v>7878</v>
      </c>
      <c r="G151" t="s">
        <v>303</v>
      </c>
      <c r="H151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148</v>
      </c>
      <c r="I151" t="str">
        <f>IF(DraftResults[[#This Row],[Player ID]]=0,"",INDEX(Table5[[#All],[Pos]],MATCH(DraftResults[[#This Row],[Player ID]],Table5[[#All],[PID]],0)))</f>
        <v>SS</v>
      </c>
      <c r="J151" t="str">
        <f>IF(DraftResults[[#This Row],[Player ID]]=0,"",INDEX(Table5[[#All],[First]],MATCH(DraftResults[[#This Row],[Player ID]],Table5[[#All],[PID]],0)))</f>
        <v>Gabriel</v>
      </c>
      <c r="K151" t="str">
        <f>IF(DraftResults[[#This Row],[Player ID]]=0,"",INDEX(Table5[[#All],[Last]],MATCH(DraftResults[[#This Row],[Player ID]],Table5[[#All],[PID]],0)))</f>
        <v>Galván</v>
      </c>
    </row>
    <row r="152" spans="1:11" x14ac:dyDescent="0.3">
      <c r="A152">
        <v>5</v>
      </c>
      <c r="B152">
        <v>0</v>
      </c>
      <c r="C152">
        <v>12</v>
      </c>
      <c r="D152" t="s">
        <v>543</v>
      </c>
      <c r="E152">
        <v>160</v>
      </c>
      <c r="F152">
        <v>20183</v>
      </c>
      <c r="G152" t="s">
        <v>303</v>
      </c>
      <c r="H152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149</v>
      </c>
      <c r="I152" t="str">
        <f>IF(DraftResults[[#This Row],[Player ID]]=0,"",INDEX(Table5[[#All],[Pos]],MATCH(DraftResults[[#This Row],[Player ID]],Table5[[#All],[PID]],0)))</f>
        <v>SP</v>
      </c>
      <c r="J152" t="str">
        <f>IF(DraftResults[[#This Row],[Player ID]]=0,"",INDEX(Table5[[#All],[First]],MATCH(DraftResults[[#This Row],[Player ID]],Table5[[#All],[PID]],0)))</f>
        <v>Joshua</v>
      </c>
      <c r="K152" t="str">
        <f>IF(DraftResults[[#This Row],[Player ID]]=0,"",INDEX(Table5[[#All],[Last]],MATCH(DraftResults[[#This Row],[Player ID]],Table5[[#All],[PID]],0)))</f>
        <v>MacLaine</v>
      </c>
    </row>
    <row r="153" spans="1:11" x14ac:dyDescent="0.3">
      <c r="A153">
        <v>5</v>
      </c>
      <c r="B153">
        <v>0</v>
      </c>
      <c r="C153">
        <v>13</v>
      </c>
      <c r="D153" t="s">
        <v>414</v>
      </c>
      <c r="E153">
        <v>164</v>
      </c>
      <c r="F153">
        <v>20771</v>
      </c>
      <c r="G153" t="s">
        <v>303</v>
      </c>
      <c r="H153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150</v>
      </c>
      <c r="I153" t="str">
        <f>IF(DraftResults[[#This Row],[Player ID]]=0,"",INDEX(Table5[[#All],[Pos]],MATCH(DraftResults[[#This Row],[Player ID]],Table5[[#All],[PID]],0)))</f>
        <v>RF</v>
      </c>
      <c r="J153" t="str">
        <f>IF(DraftResults[[#This Row],[Player ID]]=0,"",INDEX(Table5[[#All],[First]],MATCH(DraftResults[[#This Row],[Player ID]],Table5[[#All],[PID]],0)))</f>
        <v>David</v>
      </c>
      <c r="K153" t="str">
        <f>IF(DraftResults[[#This Row],[Player ID]]=0,"",INDEX(Table5[[#All],[Last]],MATCH(DraftResults[[#This Row],[Player ID]],Table5[[#All],[PID]],0)))</f>
        <v>Miller</v>
      </c>
    </row>
    <row r="154" spans="1:11" ht="15.75" customHeight="1" x14ac:dyDescent="0.3">
      <c r="A154">
        <v>5</v>
      </c>
      <c r="B154">
        <v>0</v>
      </c>
      <c r="C154">
        <v>14</v>
      </c>
      <c r="D154" t="s">
        <v>251</v>
      </c>
      <c r="E154">
        <v>12</v>
      </c>
      <c r="F154">
        <v>13736</v>
      </c>
      <c r="G154" t="s">
        <v>303</v>
      </c>
      <c r="H154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151</v>
      </c>
      <c r="I154" t="str">
        <f>IF(DraftResults[[#This Row],[Player ID]]=0,"",INDEX(Table5[[#All],[Pos]],MATCH(DraftResults[[#This Row],[Player ID]],Table5[[#All],[PID]],0)))</f>
        <v>SP</v>
      </c>
      <c r="J154" t="str">
        <f>IF(DraftResults[[#This Row],[Player ID]]=0,"",INDEX(Table5[[#All],[First]],MATCH(DraftResults[[#This Row],[Player ID]],Table5[[#All],[PID]],0)))</f>
        <v>Will</v>
      </c>
      <c r="K154" t="str">
        <f>IF(DraftResults[[#This Row],[Player ID]]=0,"",INDEX(Table5[[#All],[Last]],MATCH(DraftResults[[#This Row],[Player ID]],Table5[[#All],[PID]],0)))</f>
        <v>Hawkins</v>
      </c>
    </row>
    <row r="155" spans="1:11" x14ac:dyDescent="0.3">
      <c r="A155">
        <v>5</v>
      </c>
      <c r="B155">
        <v>0</v>
      </c>
      <c r="C155">
        <v>15</v>
      </c>
      <c r="D155" t="s">
        <v>240</v>
      </c>
      <c r="E155">
        <v>3</v>
      </c>
      <c r="F155">
        <v>20219</v>
      </c>
      <c r="G155" t="s">
        <v>303</v>
      </c>
      <c r="H155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152</v>
      </c>
      <c r="I155" t="str">
        <f>IF(DraftResults[[#This Row],[Player ID]]=0,"",INDEX(Table5[[#All],[Pos]],MATCH(DraftResults[[#This Row],[Player ID]],Table5[[#All],[PID]],0)))</f>
        <v>CL</v>
      </c>
      <c r="J155" t="str">
        <f>IF(DraftResults[[#This Row],[Player ID]]=0,"",INDEX(Table5[[#All],[First]],MATCH(DraftResults[[#This Row],[Player ID]],Table5[[#All],[PID]],0)))</f>
        <v>Troy</v>
      </c>
      <c r="K155" t="str">
        <f>IF(DraftResults[[#This Row],[Player ID]]=0,"",INDEX(Table5[[#All],[Last]],MATCH(DraftResults[[#This Row],[Player ID]],Table5[[#All],[PID]],0)))</f>
        <v>Sheppard</v>
      </c>
    </row>
    <row r="156" spans="1:11" x14ac:dyDescent="0.3">
      <c r="A156">
        <v>5</v>
      </c>
      <c r="B156">
        <v>0</v>
      </c>
      <c r="C156">
        <v>16</v>
      </c>
      <c r="D156" t="s">
        <v>544</v>
      </c>
      <c r="E156">
        <v>13</v>
      </c>
      <c r="F156">
        <v>5840</v>
      </c>
      <c r="G156" t="s">
        <v>303</v>
      </c>
      <c r="H156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153</v>
      </c>
      <c r="I156" t="str">
        <f>IF(DraftResults[[#This Row],[Player ID]]=0,"",INDEX(Table5[[#All],[Pos]],MATCH(DraftResults[[#This Row],[Player ID]],Table5[[#All],[PID]],0)))</f>
        <v>SP</v>
      </c>
      <c r="J156" t="str">
        <f>IF(DraftResults[[#This Row],[Player ID]]=0,"",INDEX(Table5[[#All],[First]],MATCH(DraftResults[[#This Row],[Player ID]],Table5[[#All],[PID]],0)))</f>
        <v>Sebastian</v>
      </c>
      <c r="K156" t="str">
        <f>IF(DraftResults[[#This Row],[Player ID]]=0,"",INDEX(Table5[[#All],[Last]],MATCH(DraftResults[[#This Row],[Player ID]],Table5[[#All],[PID]],0)))</f>
        <v>Golby</v>
      </c>
    </row>
    <row r="157" spans="1:11" x14ac:dyDescent="0.3">
      <c r="A157">
        <v>5</v>
      </c>
      <c r="B157">
        <v>0</v>
      </c>
      <c r="C157">
        <v>17</v>
      </c>
      <c r="D157" t="s">
        <v>543</v>
      </c>
      <c r="E157">
        <v>160</v>
      </c>
      <c r="F157">
        <v>12332</v>
      </c>
      <c r="G157" t="s">
        <v>303</v>
      </c>
      <c r="H157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154</v>
      </c>
      <c r="I157" t="str">
        <f>IF(DraftResults[[#This Row],[Player ID]]=0,"",INDEX(Table5[[#All],[Pos]],MATCH(DraftResults[[#This Row],[Player ID]],Table5[[#All],[PID]],0)))</f>
        <v>LF</v>
      </c>
      <c r="J157" t="str">
        <f>IF(DraftResults[[#This Row],[Player ID]]=0,"",INDEX(Table5[[#All],[First]],MATCH(DraftResults[[#This Row],[Player ID]],Table5[[#All],[PID]],0)))</f>
        <v>Pedro</v>
      </c>
      <c r="K157" t="str">
        <f>IF(DraftResults[[#This Row],[Player ID]]=0,"",INDEX(Table5[[#All],[Last]],MATCH(DraftResults[[#This Row],[Player ID]],Table5[[#All],[PID]],0)))</f>
        <v>Hernández</v>
      </c>
    </row>
    <row r="158" spans="1:11" x14ac:dyDescent="0.3">
      <c r="A158">
        <v>5</v>
      </c>
      <c r="B158">
        <v>0</v>
      </c>
      <c r="C158">
        <v>18</v>
      </c>
      <c r="D158" t="s">
        <v>412</v>
      </c>
      <c r="E158">
        <v>162</v>
      </c>
      <c r="F158">
        <v>21021</v>
      </c>
      <c r="G158" t="s">
        <v>303</v>
      </c>
      <c r="H158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155</v>
      </c>
      <c r="I158" t="str">
        <f>IF(DraftResults[[#This Row],[Player ID]]=0,"",INDEX(Table5[[#All],[Pos]],MATCH(DraftResults[[#This Row],[Player ID]],Table5[[#All],[PID]],0)))</f>
        <v>RF</v>
      </c>
      <c r="J158" t="str">
        <f>IF(DraftResults[[#This Row],[Player ID]]=0,"",INDEX(Table5[[#All],[First]],MATCH(DraftResults[[#This Row],[Player ID]],Table5[[#All],[PID]],0)))</f>
        <v>Reese</v>
      </c>
      <c r="K158" t="str">
        <f>IF(DraftResults[[#This Row],[Player ID]]=0,"",INDEX(Table5[[#All],[Last]],MATCH(DraftResults[[#This Row],[Player ID]],Table5[[#All],[PID]],0)))</f>
        <v>Paredes</v>
      </c>
    </row>
    <row r="159" spans="1:11" x14ac:dyDescent="0.3">
      <c r="A159">
        <v>5</v>
      </c>
      <c r="B159">
        <v>0</v>
      </c>
      <c r="C159">
        <v>19</v>
      </c>
      <c r="D159" t="s">
        <v>247</v>
      </c>
      <c r="E159">
        <v>16</v>
      </c>
      <c r="F159">
        <v>7914</v>
      </c>
      <c r="G159" t="s">
        <v>303</v>
      </c>
      <c r="H159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156</v>
      </c>
      <c r="I159" t="str">
        <f>IF(DraftResults[[#This Row],[Player ID]]=0,"",INDEX(Table5[[#All],[Pos]],MATCH(DraftResults[[#This Row],[Player ID]],Table5[[#All],[PID]],0)))</f>
        <v>C</v>
      </c>
      <c r="J159" t="str">
        <f>IF(DraftResults[[#This Row],[Player ID]]=0,"",INDEX(Table5[[#All],[First]],MATCH(DraftResults[[#This Row],[Player ID]],Table5[[#All],[PID]],0)))</f>
        <v>Terry</v>
      </c>
      <c r="K159" t="str">
        <f>IF(DraftResults[[#This Row],[Player ID]]=0,"",INDEX(Table5[[#All],[Last]],MATCH(DraftResults[[#This Row],[Player ID]],Table5[[#All],[PID]],0)))</f>
        <v>Evers</v>
      </c>
    </row>
    <row r="160" spans="1:11" x14ac:dyDescent="0.3">
      <c r="A160">
        <v>5</v>
      </c>
      <c r="B160">
        <v>0</v>
      </c>
      <c r="C160">
        <v>20</v>
      </c>
      <c r="D160" t="s">
        <v>242</v>
      </c>
      <c r="E160">
        <v>14</v>
      </c>
      <c r="F160">
        <v>5636</v>
      </c>
      <c r="G160" t="s">
        <v>303</v>
      </c>
      <c r="H160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157</v>
      </c>
      <c r="I160" t="str">
        <f>IF(DraftResults[[#This Row],[Player ID]]=0,"",INDEX(Table5[[#All],[Pos]],MATCH(DraftResults[[#This Row],[Player ID]],Table5[[#All],[PID]],0)))</f>
        <v>SS</v>
      </c>
      <c r="J160" t="str">
        <f>IF(DraftResults[[#This Row],[Player ID]]=0,"",INDEX(Table5[[#All],[First]],MATCH(DraftResults[[#This Row],[Player ID]],Table5[[#All],[PID]],0)))</f>
        <v>Miguel</v>
      </c>
      <c r="K160" t="str">
        <f>IF(DraftResults[[#This Row],[Player ID]]=0,"",INDEX(Table5[[#All],[Last]],MATCH(DraftResults[[#This Row],[Player ID]],Table5[[#All],[PID]],0)))</f>
        <v>Romero</v>
      </c>
    </row>
    <row r="161" spans="1:11" x14ac:dyDescent="0.3">
      <c r="A161">
        <v>5</v>
      </c>
      <c r="B161">
        <v>0</v>
      </c>
      <c r="C161">
        <v>21</v>
      </c>
      <c r="D161" t="s">
        <v>416</v>
      </c>
      <c r="E161">
        <v>159</v>
      </c>
      <c r="F161">
        <v>13933</v>
      </c>
      <c r="G161" t="s">
        <v>303</v>
      </c>
      <c r="H161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158</v>
      </c>
      <c r="I161" t="str">
        <f>IF(DraftResults[[#This Row],[Player ID]]=0,"",INDEX(Table5[[#All],[Pos]],MATCH(DraftResults[[#This Row],[Player ID]],Table5[[#All],[PID]],0)))</f>
        <v>C</v>
      </c>
      <c r="J161" t="str">
        <f>IF(DraftResults[[#This Row],[Player ID]]=0,"",INDEX(Table5[[#All],[First]],MATCH(DraftResults[[#This Row],[Player ID]],Table5[[#All],[PID]],0)))</f>
        <v>Noel</v>
      </c>
      <c r="K161" t="str">
        <f>IF(DraftResults[[#This Row],[Player ID]]=0,"",INDEX(Table5[[#All],[Last]],MATCH(DraftResults[[#This Row],[Player ID]],Table5[[#All],[PID]],0)))</f>
        <v>Hill</v>
      </c>
    </row>
    <row r="162" spans="1:11" x14ac:dyDescent="0.3">
      <c r="A162">
        <v>5</v>
      </c>
      <c r="B162">
        <v>0</v>
      </c>
      <c r="C162">
        <v>22</v>
      </c>
      <c r="D162" t="s">
        <v>244</v>
      </c>
      <c r="E162">
        <v>20</v>
      </c>
      <c r="F162">
        <v>21011</v>
      </c>
      <c r="G162" t="s">
        <v>303</v>
      </c>
      <c r="H162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159</v>
      </c>
      <c r="I162" t="str">
        <f>IF(DraftResults[[#This Row],[Player ID]]=0,"",INDEX(Table5[[#All],[Pos]],MATCH(DraftResults[[#This Row],[Player ID]],Table5[[#All],[PID]],0)))</f>
        <v>RP</v>
      </c>
      <c r="J162" t="str">
        <f>IF(DraftResults[[#This Row],[Player ID]]=0,"",INDEX(Table5[[#All],[First]],MATCH(DraftResults[[#This Row],[Player ID]],Table5[[#All],[PID]],0)))</f>
        <v>Ricardo</v>
      </c>
      <c r="K162" t="str">
        <f>IF(DraftResults[[#This Row],[Player ID]]=0,"",INDEX(Table5[[#All],[Last]],MATCH(DraftResults[[#This Row],[Player ID]],Table5[[#All],[PID]],0)))</f>
        <v>López</v>
      </c>
    </row>
    <row r="163" spans="1:11" x14ac:dyDescent="0.3">
      <c r="A163">
        <v>5</v>
      </c>
      <c r="B163">
        <v>0</v>
      </c>
      <c r="C163">
        <v>23</v>
      </c>
      <c r="D163" t="s">
        <v>239</v>
      </c>
      <c r="E163">
        <v>10</v>
      </c>
      <c r="F163">
        <v>20369</v>
      </c>
      <c r="G163" t="s">
        <v>303</v>
      </c>
      <c r="H163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160</v>
      </c>
      <c r="I163" t="str">
        <f>IF(DraftResults[[#This Row],[Player ID]]=0,"",INDEX(Table5[[#All],[Pos]],MATCH(DraftResults[[#This Row],[Player ID]],Table5[[#All],[PID]],0)))</f>
        <v>RF</v>
      </c>
      <c r="J163" t="str">
        <f>IF(DraftResults[[#This Row],[Player ID]]=0,"",INDEX(Table5[[#All],[First]],MATCH(DraftResults[[#This Row],[Player ID]],Table5[[#All],[PID]],0)))</f>
        <v>Keith</v>
      </c>
      <c r="K163" t="str">
        <f>IF(DraftResults[[#This Row],[Player ID]]=0,"",INDEX(Table5[[#All],[Last]],MATCH(DraftResults[[#This Row],[Player ID]],Table5[[#All],[PID]],0)))</f>
        <v>O'Neal</v>
      </c>
    </row>
    <row r="164" spans="1:11" x14ac:dyDescent="0.3">
      <c r="A164">
        <v>5</v>
      </c>
      <c r="B164">
        <v>0</v>
      </c>
      <c r="C164">
        <v>24</v>
      </c>
      <c r="D164" t="s">
        <v>233</v>
      </c>
      <c r="E164">
        <v>22</v>
      </c>
      <c r="F164">
        <v>12648</v>
      </c>
      <c r="G164" t="s">
        <v>303</v>
      </c>
      <c r="H164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161</v>
      </c>
      <c r="I164" t="str">
        <f>IF(DraftResults[[#This Row],[Player ID]]=0,"",INDEX(Table5[[#All],[Pos]],MATCH(DraftResults[[#This Row],[Player ID]],Table5[[#All],[PID]],0)))</f>
        <v>3B</v>
      </c>
      <c r="J164" t="str">
        <f>IF(DraftResults[[#This Row],[Player ID]]=0,"",INDEX(Table5[[#All],[First]],MATCH(DraftResults[[#This Row],[Player ID]],Table5[[#All],[PID]],0)))</f>
        <v>Charley</v>
      </c>
      <c r="K164" t="str">
        <f>IF(DraftResults[[#This Row],[Player ID]]=0,"",INDEX(Table5[[#All],[Last]],MATCH(DraftResults[[#This Row],[Player ID]],Table5[[#All],[PID]],0)))</f>
        <v>Moore</v>
      </c>
    </row>
    <row r="165" spans="1:11" x14ac:dyDescent="0.3">
      <c r="A165">
        <v>5</v>
      </c>
      <c r="B165">
        <v>0</v>
      </c>
      <c r="C165">
        <v>25</v>
      </c>
      <c r="D165" t="s">
        <v>240</v>
      </c>
      <c r="E165">
        <v>3</v>
      </c>
      <c r="F165">
        <v>13982</v>
      </c>
      <c r="G165" t="s">
        <v>303</v>
      </c>
      <c r="H165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162</v>
      </c>
      <c r="I165" t="str">
        <f>IF(DraftResults[[#This Row],[Player ID]]=0,"",INDEX(Table5[[#All],[Pos]],MATCH(DraftResults[[#This Row],[Player ID]],Table5[[#All],[PID]],0)))</f>
        <v>LF</v>
      </c>
      <c r="J165" t="str">
        <f>IF(DraftResults[[#This Row],[Player ID]]=0,"",INDEX(Table5[[#All],[First]],MATCH(DraftResults[[#This Row],[Player ID]],Table5[[#All],[PID]],0)))</f>
        <v>Scott</v>
      </c>
      <c r="K165" t="str">
        <f>IF(DraftResults[[#This Row],[Player ID]]=0,"",INDEX(Table5[[#All],[Last]],MATCH(DraftResults[[#This Row],[Player ID]],Table5[[#All],[PID]],0)))</f>
        <v>García</v>
      </c>
    </row>
    <row r="166" spans="1:11" x14ac:dyDescent="0.3">
      <c r="A166">
        <v>5</v>
      </c>
      <c r="B166">
        <v>0</v>
      </c>
      <c r="C166">
        <v>26</v>
      </c>
      <c r="D166" t="s">
        <v>416</v>
      </c>
      <c r="E166">
        <v>159</v>
      </c>
      <c r="F166">
        <v>21047</v>
      </c>
      <c r="G166" t="s">
        <v>303</v>
      </c>
      <c r="H166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163</v>
      </c>
      <c r="I166" t="str">
        <f>IF(DraftResults[[#This Row],[Player ID]]=0,"",INDEX(Table5[[#All],[Pos]],MATCH(DraftResults[[#This Row],[Player ID]],Table5[[#All],[PID]],0)))</f>
        <v>3B</v>
      </c>
      <c r="J166" t="str">
        <f>IF(DraftResults[[#This Row],[Player ID]]=0,"",INDEX(Table5[[#All],[First]],MATCH(DraftResults[[#This Row],[Player ID]],Table5[[#All],[PID]],0)))</f>
        <v>John</v>
      </c>
      <c r="K166" t="str">
        <f>IF(DraftResults[[#This Row],[Player ID]]=0,"",INDEX(Table5[[#All],[Last]],MATCH(DraftResults[[#This Row],[Player ID]],Table5[[#All],[PID]],0)))</f>
        <v>Myers</v>
      </c>
    </row>
    <row r="167" spans="1:11" x14ac:dyDescent="0.3">
      <c r="A167">
        <v>5</v>
      </c>
      <c r="B167">
        <v>0</v>
      </c>
      <c r="C167">
        <v>27</v>
      </c>
      <c r="D167" t="s">
        <v>417</v>
      </c>
      <c r="E167">
        <v>163</v>
      </c>
      <c r="F167">
        <v>20668</v>
      </c>
      <c r="G167" t="s">
        <v>303</v>
      </c>
      <c r="H167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164</v>
      </c>
      <c r="I167" t="str">
        <f>IF(DraftResults[[#This Row],[Player ID]]=0,"",INDEX(Table5[[#All],[Pos]],MATCH(DraftResults[[#This Row],[Player ID]],Table5[[#All],[PID]],0)))</f>
        <v>SS</v>
      </c>
      <c r="J167" t="str">
        <f>IF(DraftResults[[#This Row],[Player ID]]=0,"",INDEX(Table5[[#All],[First]],MATCH(DraftResults[[#This Row],[Player ID]],Table5[[#All],[PID]],0)))</f>
        <v>Myung-bak</v>
      </c>
      <c r="K167" t="str">
        <f>IF(DraftResults[[#This Row],[Player ID]]=0,"",INDEX(Table5[[#All],[Last]],MATCH(DraftResults[[#This Row],[Player ID]],Table5[[#All],[PID]],0)))</f>
        <v>Chup</v>
      </c>
    </row>
    <row r="168" spans="1:11" x14ac:dyDescent="0.3">
      <c r="A168">
        <v>5</v>
      </c>
      <c r="B168">
        <v>0</v>
      </c>
      <c r="C168">
        <v>28</v>
      </c>
      <c r="D168" t="s">
        <v>1614</v>
      </c>
      <c r="E168">
        <v>6</v>
      </c>
      <c r="F168">
        <v>11804</v>
      </c>
      <c r="G168" t="s">
        <v>303</v>
      </c>
      <c r="H168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165</v>
      </c>
      <c r="I168" t="str">
        <f>IF(DraftResults[[#This Row],[Player ID]]=0,"",INDEX(Table5[[#All],[Pos]],MATCH(DraftResults[[#This Row],[Player ID]],Table5[[#All],[PID]],0)))</f>
        <v>RP</v>
      </c>
      <c r="J168" t="str">
        <f>IF(DraftResults[[#This Row],[Player ID]]=0,"",INDEX(Table5[[#All],[First]],MATCH(DraftResults[[#This Row],[Player ID]],Table5[[#All],[PID]],0)))</f>
        <v>Junior</v>
      </c>
      <c r="K168" t="str">
        <f>IF(DraftResults[[#This Row],[Player ID]]=0,"",INDEX(Table5[[#All],[Last]],MATCH(DraftResults[[#This Row],[Player ID]],Table5[[#All],[PID]],0)))</f>
        <v>Houck</v>
      </c>
    </row>
    <row r="169" spans="1:11" x14ac:dyDescent="0.3">
      <c r="A169">
        <v>5</v>
      </c>
      <c r="B169">
        <v>0</v>
      </c>
      <c r="C169">
        <v>29</v>
      </c>
      <c r="D169" t="s">
        <v>488</v>
      </c>
      <c r="E169">
        <v>7</v>
      </c>
      <c r="F169">
        <v>13155</v>
      </c>
      <c r="G169" t="s">
        <v>303</v>
      </c>
      <c r="H169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166</v>
      </c>
      <c r="I169" t="str">
        <f>IF(DraftResults[[#This Row],[Player ID]]=0,"",INDEX(Table5[[#All],[Pos]],MATCH(DraftResults[[#This Row],[Player ID]],Table5[[#All],[PID]],0)))</f>
        <v>SP</v>
      </c>
      <c r="J169" t="str">
        <f>IF(DraftResults[[#This Row],[Player ID]]=0,"",INDEX(Table5[[#All],[First]],MATCH(DraftResults[[#This Row],[Player ID]],Table5[[#All],[PID]],0)))</f>
        <v>Scott</v>
      </c>
      <c r="K169" t="str">
        <f>IF(DraftResults[[#This Row],[Player ID]]=0,"",INDEX(Table5[[#All],[Last]],MATCH(DraftResults[[#This Row],[Player ID]],Table5[[#All],[PID]],0)))</f>
        <v>Fitter</v>
      </c>
    </row>
    <row r="170" spans="1:11" x14ac:dyDescent="0.3">
      <c r="A170">
        <v>5</v>
      </c>
      <c r="B170">
        <v>0</v>
      </c>
      <c r="C170">
        <v>30</v>
      </c>
      <c r="D170" t="s">
        <v>415</v>
      </c>
      <c r="E170">
        <v>166</v>
      </c>
      <c r="F170">
        <v>7716</v>
      </c>
      <c r="G170" t="s">
        <v>303</v>
      </c>
      <c r="H170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167</v>
      </c>
      <c r="I170" t="str">
        <f>IF(DraftResults[[#This Row],[Player ID]]=0,"",INDEX(Table5[[#All],[Pos]],MATCH(DraftResults[[#This Row],[Player ID]],Table5[[#All],[PID]],0)))</f>
        <v>SS</v>
      </c>
      <c r="J170" t="str">
        <f>IF(DraftResults[[#This Row],[Player ID]]=0,"",INDEX(Table5[[#All],[First]],MATCH(DraftResults[[#This Row],[Player ID]],Table5[[#All],[PID]],0)))</f>
        <v>Bernard</v>
      </c>
      <c r="K170" t="str">
        <f>IF(DraftResults[[#This Row],[Player ID]]=0,"",INDEX(Table5[[#All],[Last]],MATCH(DraftResults[[#This Row],[Player ID]],Table5[[#All],[PID]],0)))</f>
        <v>McIntosh</v>
      </c>
    </row>
    <row r="171" spans="1:11" x14ac:dyDescent="0.3">
      <c r="A171">
        <v>5</v>
      </c>
      <c r="B171">
        <v>0</v>
      </c>
      <c r="C171">
        <v>31</v>
      </c>
      <c r="D171" t="s">
        <v>239</v>
      </c>
      <c r="E171">
        <v>10</v>
      </c>
      <c r="F171">
        <v>20900</v>
      </c>
      <c r="G171" t="s">
        <v>303</v>
      </c>
      <c r="H171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168</v>
      </c>
      <c r="I171" t="str">
        <f>IF(DraftResults[[#This Row],[Player ID]]=0,"",INDEX(Table5[[#All],[Pos]],MATCH(DraftResults[[#This Row],[Player ID]],Table5[[#All],[PID]],0)))</f>
        <v>RP</v>
      </c>
      <c r="J171" t="str">
        <f>IF(DraftResults[[#This Row],[Player ID]]=0,"",INDEX(Table5[[#All],[First]],MATCH(DraftResults[[#This Row],[Player ID]],Table5[[#All],[PID]],0)))</f>
        <v>Bob</v>
      </c>
      <c r="K171" t="str">
        <f>IF(DraftResults[[#This Row],[Player ID]]=0,"",INDEX(Table5[[#All],[Last]],MATCH(DraftResults[[#This Row],[Player ID]],Table5[[#All],[PID]],0)))</f>
        <v>Bates</v>
      </c>
    </row>
    <row r="172" spans="1:11" x14ac:dyDescent="0.3">
      <c r="A172">
        <v>5</v>
      </c>
      <c r="B172">
        <v>0</v>
      </c>
      <c r="C172">
        <v>32</v>
      </c>
      <c r="D172" t="s">
        <v>546</v>
      </c>
      <c r="E172">
        <v>9</v>
      </c>
      <c r="F172">
        <v>9138</v>
      </c>
      <c r="G172" t="s">
        <v>303</v>
      </c>
      <c r="H172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169</v>
      </c>
      <c r="I172" t="str">
        <f>IF(DraftResults[[#This Row],[Player ID]]=0,"",INDEX(Table5[[#All],[Pos]],MATCH(DraftResults[[#This Row],[Player ID]],Table5[[#All],[PID]],0)))</f>
        <v>RF</v>
      </c>
      <c r="J172" t="str">
        <f>IF(DraftResults[[#This Row],[Player ID]]=0,"",INDEX(Table5[[#All],[First]],MATCH(DraftResults[[#This Row],[Player ID]],Table5[[#All],[PID]],0)))</f>
        <v>Jesús</v>
      </c>
      <c r="K172" t="str">
        <f>IF(DraftResults[[#This Row],[Player ID]]=0,"",INDEX(Table5[[#All],[Last]],MATCH(DraftResults[[#This Row],[Player ID]],Table5[[#All],[PID]],0)))</f>
        <v>Molina</v>
      </c>
    </row>
    <row r="173" spans="1:11" x14ac:dyDescent="0.3">
      <c r="A173">
        <v>6</v>
      </c>
      <c r="B173">
        <v>0</v>
      </c>
      <c r="C173">
        <v>1</v>
      </c>
      <c r="D173" t="s">
        <v>543</v>
      </c>
      <c r="E173">
        <v>160</v>
      </c>
      <c r="F173">
        <v>12128</v>
      </c>
      <c r="G173" t="s">
        <v>303</v>
      </c>
      <c r="H173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170</v>
      </c>
      <c r="I173" t="str">
        <f>IF(DraftResults[[#This Row],[Player ID]]=0,"",INDEX(Table5[[#All],[Pos]],MATCH(DraftResults[[#This Row],[Player ID]],Table5[[#All],[PID]],0)))</f>
        <v>1B</v>
      </c>
      <c r="J173" t="str">
        <f>IF(DraftResults[[#This Row],[Player ID]]=0,"",INDEX(Table5[[#All],[First]],MATCH(DraftResults[[#This Row],[Player ID]],Table5[[#All],[PID]],0)))</f>
        <v>Jonathan</v>
      </c>
      <c r="K173" t="str">
        <f>IF(DraftResults[[#This Row],[Player ID]]=0,"",INDEX(Table5[[#All],[Last]],MATCH(DraftResults[[#This Row],[Player ID]],Table5[[#All],[PID]],0)))</f>
        <v>Poskitt</v>
      </c>
    </row>
    <row r="174" spans="1:11" x14ac:dyDescent="0.3">
      <c r="A174">
        <v>6</v>
      </c>
      <c r="B174">
        <v>0</v>
      </c>
      <c r="C174">
        <v>2</v>
      </c>
      <c r="D174" t="s">
        <v>488</v>
      </c>
      <c r="E174">
        <v>7</v>
      </c>
      <c r="F174">
        <v>10473</v>
      </c>
      <c r="G174" t="s">
        <v>303</v>
      </c>
      <c r="H174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171</v>
      </c>
      <c r="I174" t="str">
        <f>IF(DraftResults[[#This Row],[Player ID]]=0,"",INDEX(Table5[[#All],[Pos]],MATCH(DraftResults[[#This Row],[Player ID]],Table5[[#All],[PID]],0)))</f>
        <v>SP</v>
      </c>
      <c r="J174" t="str">
        <f>IF(DraftResults[[#This Row],[Player ID]]=0,"",INDEX(Table5[[#All],[First]],MATCH(DraftResults[[#This Row],[Player ID]],Table5[[#All],[PID]],0)))</f>
        <v>Doug</v>
      </c>
      <c r="K174" t="str">
        <f>IF(DraftResults[[#This Row],[Player ID]]=0,"",INDEX(Table5[[#All],[Last]],MATCH(DraftResults[[#This Row],[Player ID]],Table5[[#All],[PID]],0)))</f>
        <v>Bane</v>
      </c>
    </row>
    <row r="175" spans="1:11" x14ac:dyDescent="0.3">
      <c r="A175">
        <v>6</v>
      </c>
      <c r="B175">
        <v>0</v>
      </c>
      <c r="C175">
        <v>3</v>
      </c>
      <c r="D175" t="s">
        <v>420</v>
      </c>
      <c r="E175">
        <v>167</v>
      </c>
      <c r="F175">
        <v>11075</v>
      </c>
      <c r="G175" t="s">
        <v>303</v>
      </c>
      <c r="H175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172</v>
      </c>
      <c r="I175" t="str">
        <f>IF(DraftResults[[#This Row],[Player ID]]=0,"",INDEX(Table5[[#All],[Pos]],MATCH(DraftResults[[#This Row],[Player ID]],Table5[[#All],[PID]],0)))</f>
        <v>CL</v>
      </c>
      <c r="J175" t="str">
        <f>IF(DraftResults[[#This Row],[Player ID]]=0,"",INDEX(Table5[[#All],[First]],MATCH(DraftResults[[#This Row],[Player ID]],Table5[[#All],[PID]],0)))</f>
        <v>Lanny</v>
      </c>
      <c r="K175" t="str">
        <f>IF(DraftResults[[#This Row],[Player ID]]=0,"",INDEX(Table5[[#All],[Last]],MATCH(DraftResults[[#This Row],[Player ID]],Table5[[#All],[PID]],0)))</f>
        <v>Donovan</v>
      </c>
    </row>
    <row r="176" spans="1:11" x14ac:dyDescent="0.3">
      <c r="A176">
        <v>6</v>
      </c>
      <c r="B176">
        <v>0</v>
      </c>
      <c r="C176">
        <v>4</v>
      </c>
      <c r="D176" t="s">
        <v>235</v>
      </c>
      <c r="E176">
        <v>21</v>
      </c>
      <c r="F176">
        <v>11068</v>
      </c>
      <c r="G176" t="s">
        <v>303</v>
      </c>
      <c r="H176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173</v>
      </c>
      <c r="I176" t="str">
        <f>IF(DraftResults[[#This Row],[Player ID]]=0,"",INDEX(Table5[[#All],[Pos]],MATCH(DraftResults[[#This Row],[Player ID]],Table5[[#All],[PID]],0)))</f>
        <v>1B</v>
      </c>
      <c r="J176" t="str">
        <f>IF(DraftResults[[#This Row],[Player ID]]=0,"",INDEX(Table5[[#All],[First]],MATCH(DraftResults[[#This Row],[Player ID]],Table5[[#All],[PID]],0)))</f>
        <v>Eric</v>
      </c>
      <c r="K176" t="str">
        <f>IF(DraftResults[[#This Row],[Player ID]]=0,"",INDEX(Table5[[#All],[Last]],MATCH(DraftResults[[#This Row],[Player ID]],Table5[[#All],[PID]],0)))</f>
        <v>Wallace</v>
      </c>
    </row>
    <row r="177" spans="1:11" x14ac:dyDescent="0.3">
      <c r="A177">
        <v>6</v>
      </c>
      <c r="B177">
        <v>0</v>
      </c>
      <c r="C177">
        <v>5</v>
      </c>
      <c r="D177" t="s">
        <v>545</v>
      </c>
      <c r="E177">
        <v>23</v>
      </c>
      <c r="F177">
        <v>13400</v>
      </c>
      <c r="G177" t="s">
        <v>303</v>
      </c>
      <c r="H177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174</v>
      </c>
      <c r="I177" t="str">
        <f>IF(DraftResults[[#This Row],[Player ID]]=0,"",INDEX(Table5[[#All],[Pos]],MATCH(DraftResults[[#This Row],[Player ID]],Table5[[#All],[PID]],0)))</f>
        <v>C</v>
      </c>
      <c r="J177" t="str">
        <f>IF(DraftResults[[#This Row],[Player ID]]=0,"",INDEX(Table5[[#All],[First]],MATCH(DraftResults[[#This Row],[Player ID]],Table5[[#All],[PID]],0)))</f>
        <v>Natsume</v>
      </c>
      <c r="K177" t="str">
        <f>IF(DraftResults[[#This Row],[Player ID]]=0,"",INDEX(Table5[[#All],[Last]],MATCH(DraftResults[[#This Row],[Player ID]],Table5[[#All],[PID]],0)))</f>
        <v>Yamamoto</v>
      </c>
    </row>
    <row r="178" spans="1:11" x14ac:dyDescent="0.3">
      <c r="A178">
        <v>6</v>
      </c>
      <c r="B178">
        <v>0</v>
      </c>
      <c r="C178">
        <v>6</v>
      </c>
      <c r="D178" t="s">
        <v>246</v>
      </c>
      <c r="E178">
        <v>8</v>
      </c>
      <c r="F178">
        <v>12268</v>
      </c>
      <c r="G178" t="s">
        <v>303</v>
      </c>
      <c r="H178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175</v>
      </c>
      <c r="I178" t="str">
        <f>IF(DraftResults[[#This Row],[Player ID]]=0,"",INDEX(Table5[[#All],[Pos]],MATCH(DraftResults[[#This Row],[Player ID]],Table5[[#All],[PID]],0)))</f>
        <v>CF</v>
      </c>
      <c r="J178" t="str">
        <f>IF(DraftResults[[#This Row],[Player ID]]=0,"",INDEX(Table5[[#All],[First]],MATCH(DraftResults[[#This Row],[Player ID]],Table5[[#All],[PID]],0)))</f>
        <v>Greg</v>
      </c>
      <c r="K178" t="str">
        <f>IF(DraftResults[[#This Row],[Player ID]]=0,"",INDEX(Table5[[#All],[Last]],MATCH(DraftResults[[#This Row],[Player ID]],Table5[[#All],[PID]],0)))</f>
        <v>Waters</v>
      </c>
    </row>
    <row r="179" spans="1:11" x14ac:dyDescent="0.3">
      <c r="A179">
        <v>6</v>
      </c>
      <c r="B179">
        <v>0</v>
      </c>
      <c r="C179">
        <v>7</v>
      </c>
      <c r="D179" t="s">
        <v>546</v>
      </c>
      <c r="E179">
        <v>9</v>
      </c>
      <c r="F179">
        <v>12616</v>
      </c>
      <c r="G179" t="s">
        <v>303</v>
      </c>
      <c r="H179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176</v>
      </c>
      <c r="I179" t="str">
        <f>IF(DraftResults[[#This Row],[Player ID]]=0,"",INDEX(Table5[[#All],[Pos]],MATCH(DraftResults[[#This Row],[Player ID]],Table5[[#All],[PID]],0)))</f>
        <v>C</v>
      </c>
      <c r="J179" t="str">
        <f>IF(DraftResults[[#This Row],[Player ID]]=0,"",INDEX(Table5[[#All],[First]],MATCH(DraftResults[[#This Row],[Player ID]],Table5[[#All],[PID]],0)))</f>
        <v>Matt</v>
      </c>
      <c r="K179" t="str">
        <f>IF(DraftResults[[#This Row],[Player ID]]=0,"",INDEX(Table5[[#All],[Last]],MATCH(DraftResults[[#This Row],[Player ID]],Table5[[#All],[PID]],0)))</f>
        <v>Markle</v>
      </c>
    </row>
    <row r="180" spans="1:11" ht="15.75" customHeight="1" x14ac:dyDescent="0.3">
      <c r="A180">
        <v>6</v>
      </c>
      <c r="B180">
        <v>0</v>
      </c>
      <c r="C180">
        <v>8</v>
      </c>
      <c r="D180" t="s">
        <v>1614</v>
      </c>
      <c r="E180">
        <v>6</v>
      </c>
      <c r="F180">
        <v>8242</v>
      </c>
      <c r="G180" t="s">
        <v>303</v>
      </c>
      <c r="H180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177</v>
      </c>
      <c r="I180" t="str">
        <f>IF(DraftResults[[#This Row],[Player ID]]=0,"",INDEX(Table5[[#All],[Pos]],MATCH(DraftResults[[#This Row],[Player ID]],Table5[[#All],[PID]],0)))</f>
        <v>1B</v>
      </c>
      <c r="J180" t="str">
        <f>IF(DraftResults[[#This Row],[Player ID]]=0,"",INDEX(Table5[[#All],[First]],MATCH(DraftResults[[#This Row],[Player ID]],Table5[[#All],[PID]],0)))</f>
        <v>Bert</v>
      </c>
      <c r="K180" t="str">
        <f>IF(DraftResults[[#This Row],[Player ID]]=0,"",INDEX(Table5[[#All],[Last]],MATCH(DraftResults[[#This Row],[Player ID]],Table5[[#All],[PID]],0)))</f>
        <v>Loetzsch</v>
      </c>
    </row>
    <row r="181" spans="1:11" x14ac:dyDescent="0.3">
      <c r="A181">
        <v>6</v>
      </c>
      <c r="B181">
        <v>0</v>
      </c>
      <c r="C181">
        <v>9</v>
      </c>
      <c r="D181" t="s">
        <v>419</v>
      </c>
      <c r="E181">
        <v>18</v>
      </c>
      <c r="F181">
        <v>6127</v>
      </c>
      <c r="G181" t="s">
        <v>303</v>
      </c>
      <c r="H181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178</v>
      </c>
      <c r="I181" t="str">
        <f>IF(DraftResults[[#This Row],[Player ID]]=0,"",INDEX(Table5[[#All],[Pos]],MATCH(DraftResults[[#This Row],[Player ID]],Table5[[#All],[PID]],0)))</f>
        <v>SP</v>
      </c>
      <c r="J181" t="str">
        <f>IF(DraftResults[[#This Row],[Player ID]]=0,"",INDEX(Table5[[#All],[First]],MATCH(DraftResults[[#This Row],[Player ID]],Table5[[#All],[PID]],0)))</f>
        <v>Stuart</v>
      </c>
      <c r="K181" t="str">
        <f>IF(DraftResults[[#This Row],[Player ID]]=0,"",INDEX(Table5[[#All],[Last]],MATCH(DraftResults[[#This Row],[Player ID]],Table5[[#All],[PID]],0)))</f>
        <v>Meriken</v>
      </c>
    </row>
    <row r="182" spans="1:11" x14ac:dyDescent="0.3">
      <c r="A182">
        <v>6</v>
      </c>
      <c r="B182">
        <v>0</v>
      </c>
      <c r="C182">
        <v>10</v>
      </c>
      <c r="D182" t="s">
        <v>240</v>
      </c>
      <c r="E182">
        <v>3</v>
      </c>
      <c r="F182">
        <v>20917</v>
      </c>
      <c r="G182" t="s">
        <v>303</v>
      </c>
      <c r="H182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179</v>
      </c>
      <c r="I182" t="str">
        <f>IF(DraftResults[[#This Row],[Player ID]]=0,"",INDEX(Table5[[#All],[Pos]],MATCH(DraftResults[[#This Row],[Player ID]],Table5[[#All],[PID]],0)))</f>
        <v>3B</v>
      </c>
      <c r="J182" t="str">
        <f>IF(DraftResults[[#This Row],[Player ID]]=0,"",INDEX(Table5[[#All],[First]],MATCH(DraftResults[[#This Row],[Player ID]],Table5[[#All],[PID]],0)))</f>
        <v>Chris</v>
      </c>
      <c r="K182" t="str">
        <f>IF(DraftResults[[#This Row],[Player ID]]=0,"",INDEX(Table5[[#All],[Last]],MATCH(DraftResults[[#This Row],[Player ID]],Table5[[#All],[PID]],0)))</f>
        <v>Wright</v>
      </c>
    </row>
    <row r="183" spans="1:11" x14ac:dyDescent="0.3">
      <c r="A183">
        <v>6</v>
      </c>
      <c r="B183">
        <v>0</v>
      </c>
      <c r="C183">
        <v>11</v>
      </c>
      <c r="D183" t="s">
        <v>546</v>
      </c>
      <c r="E183">
        <v>9</v>
      </c>
      <c r="F183">
        <v>20845</v>
      </c>
      <c r="G183" t="s">
        <v>303</v>
      </c>
      <c r="H183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180</v>
      </c>
      <c r="I183" t="str">
        <f>IF(DraftResults[[#This Row],[Player ID]]=0,"",INDEX(Table5[[#All],[Pos]],MATCH(DraftResults[[#This Row],[Player ID]],Table5[[#All],[PID]],0)))</f>
        <v>CF</v>
      </c>
      <c r="J183" t="str">
        <f>IF(DraftResults[[#This Row],[Player ID]]=0,"",INDEX(Table5[[#All],[First]],MATCH(DraftResults[[#This Row],[Player ID]],Table5[[#All],[PID]],0)))</f>
        <v>Juan</v>
      </c>
      <c r="K183" t="str">
        <f>IF(DraftResults[[#This Row],[Player ID]]=0,"",INDEX(Table5[[#All],[Last]],MATCH(DraftResults[[#This Row],[Player ID]],Table5[[#All],[PID]],0)))</f>
        <v>Sandoval</v>
      </c>
    </row>
    <row r="184" spans="1:11" x14ac:dyDescent="0.3">
      <c r="A184">
        <v>6</v>
      </c>
      <c r="B184">
        <v>0</v>
      </c>
      <c r="C184">
        <v>12</v>
      </c>
      <c r="D184" t="s">
        <v>489</v>
      </c>
      <c r="E184">
        <v>4</v>
      </c>
      <c r="F184">
        <v>20833</v>
      </c>
      <c r="G184" t="s">
        <v>303</v>
      </c>
      <c r="H184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181</v>
      </c>
      <c r="I184" t="str">
        <f>IF(DraftResults[[#This Row],[Player ID]]=0,"",INDEX(Table5[[#All],[Pos]],MATCH(DraftResults[[#This Row],[Player ID]],Table5[[#All],[PID]],0)))</f>
        <v>SP</v>
      </c>
      <c r="J184" t="str">
        <f>IF(DraftResults[[#This Row],[Player ID]]=0,"",INDEX(Table5[[#All],[First]],MATCH(DraftResults[[#This Row],[Player ID]],Table5[[#All],[PID]],0)))</f>
        <v>Jude</v>
      </c>
      <c r="K184" t="str">
        <f>IF(DraftResults[[#This Row],[Player ID]]=0,"",INDEX(Table5[[#All],[Last]],MATCH(DraftResults[[#This Row],[Player ID]],Table5[[#All],[PID]],0)))</f>
        <v>Everett</v>
      </c>
    </row>
    <row r="185" spans="1:11" x14ac:dyDescent="0.3">
      <c r="A185">
        <v>6</v>
      </c>
      <c r="B185">
        <v>0</v>
      </c>
      <c r="C185">
        <v>13</v>
      </c>
      <c r="D185" t="s">
        <v>414</v>
      </c>
      <c r="E185">
        <v>164</v>
      </c>
      <c r="F185">
        <v>10254</v>
      </c>
      <c r="G185" t="s">
        <v>303</v>
      </c>
      <c r="H185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182</v>
      </c>
      <c r="I185" t="str">
        <f>IF(DraftResults[[#This Row],[Player ID]]=0,"",INDEX(Table5[[#All],[Pos]],MATCH(DraftResults[[#This Row],[Player ID]],Table5[[#All],[PID]],0)))</f>
        <v>SP</v>
      </c>
      <c r="J185" t="str">
        <f>IF(DraftResults[[#This Row],[Player ID]]=0,"",INDEX(Table5[[#All],[First]],MATCH(DraftResults[[#This Row],[Player ID]],Table5[[#All],[PID]],0)))</f>
        <v>Tim</v>
      </c>
      <c r="K185" t="str">
        <f>IF(DraftResults[[#This Row],[Player ID]]=0,"",INDEX(Table5[[#All],[Last]],MATCH(DraftResults[[#This Row],[Player ID]],Table5[[#All],[PID]],0)))</f>
        <v>Simmons</v>
      </c>
    </row>
    <row r="186" spans="1:11" x14ac:dyDescent="0.3">
      <c r="A186">
        <v>6</v>
      </c>
      <c r="B186">
        <v>0</v>
      </c>
      <c r="C186">
        <v>14</v>
      </c>
      <c r="D186" t="s">
        <v>251</v>
      </c>
      <c r="E186">
        <v>12</v>
      </c>
      <c r="F186">
        <v>5484</v>
      </c>
      <c r="G186" t="s">
        <v>303</v>
      </c>
      <c r="H186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183</v>
      </c>
      <c r="I186" t="str">
        <f>IF(DraftResults[[#This Row],[Player ID]]=0,"",INDEX(Table5[[#All],[Pos]],MATCH(DraftResults[[#This Row],[Player ID]],Table5[[#All],[PID]],0)))</f>
        <v>CF</v>
      </c>
      <c r="J186" t="str">
        <f>IF(DraftResults[[#This Row],[Player ID]]=0,"",INDEX(Table5[[#All],[First]],MATCH(DraftResults[[#This Row],[Player ID]],Table5[[#All],[PID]],0)))</f>
        <v>Andy</v>
      </c>
      <c r="K186" t="str">
        <f>IF(DraftResults[[#This Row],[Player ID]]=0,"",INDEX(Table5[[#All],[Last]],MATCH(DraftResults[[#This Row],[Player ID]],Table5[[#All],[PID]],0)))</f>
        <v>Shaw</v>
      </c>
    </row>
    <row r="187" spans="1:11" x14ac:dyDescent="0.3">
      <c r="A187">
        <v>6</v>
      </c>
      <c r="B187">
        <v>0</v>
      </c>
      <c r="C187">
        <v>15</v>
      </c>
      <c r="D187" t="s">
        <v>414</v>
      </c>
      <c r="E187">
        <v>164</v>
      </c>
      <c r="F187">
        <v>9579</v>
      </c>
      <c r="G187" t="s">
        <v>303</v>
      </c>
      <c r="H187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184</v>
      </c>
      <c r="I187" t="str">
        <f>IF(DraftResults[[#This Row],[Player ID]]=0,"",INDEX(Table5[[#All],[Pos]],MATCH(DraftResults[[#This Row],[Player ID]],Table5[[#All],[PID]],0)))</f>
        <v>SP</v>
      </c>
      <c r="J187" t="str">
        <f>IF(DraftResults[[#This Row],[Player ID]]=0,"",INDEX(Table5[[#All],[First]],MATCH(DraftResults[[#This Row],[Player ID]],Table5[[#All],[PID]],0)))</f>
        <v>Austin</v>
      </c>
      <c r="K187" t="str">
        <f>IF(DraftResults[[#This Row],[Player ID]]=0,"",INDEX(Table5[[#All],[Last]],MATCH(DraftResults[[#This Row],[Player ID]],Table5[[#All],[PID]],0)))</f>
        <v>Hawkins</v>
      </c>
    </row>
    <row r="188" spans="1:11" x14ac:dyDescent="0.3">
      <c r="A188">
        <v>6</v>
      </c>
      <c r="B188">
        <v>0</v>
      </c>
      <c r="C188">
        <v>16</v>
      </c>
      <c r="D188" t="s">
        <v>544</v>
      </c>
      <c r="E188">
        <v>13</v>
      </c>
      <c r="F188">
        <v>12264</v>
      </c>
      <c r="G188" t="s">
        <v>303</v>
      </c>
      <c r="H188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185</v>
      </c>
      <c r="I188" t="str">
        <f>IF(DraftResults[[#This Row],[Player ID]]=0,"",INDEX(Table5[[#All],[Pos]],MATCH(DraftResults[[#This Row],[Player ID]],Table5[[#All],[PID]],0)))</f>
        <v>RP</v>
      </c>
      <c r="J188" t="str">
        <f>IF(DraftResults[[#This Row],[Player ID]]=0,"",INDEX(Table5[[#All],[First]],MATCH(DraftResults[[#This Row],[Player ID]],Table5[[#All],[PID]],0)))</f>
        <v>Mitchell</v>
      </c>
      <c r="K188" t="str">
        <f>IF(DraftResults[[#This Row],[Player ID]]=0,"",INDEX(Table5[[#All],[Last]],MATCH(DraftResults[[#This Row],[Player ID]],Table5[[#All],[PID]],0)))</f>
        <v>Grimes</v>
      </c>
    </row>
    <row r="189" spans="1:11" x14ac:dyDescent="0.3">
      <c r="A189">
        <v>6</v>
      </c>
      <c r="B189">
        <v>0</v>
      </c>
      <c r="C189">
        <v>17</v>
      </c>
      <c r="D189" t="s">
        <v>243</v>
      </c>
      <c r="E189">
        <v>15</v>
      </c>
      <c r="F189">
        <v>20721</v>
      </c>
      <c r="G189" t="s">
        <v>303</v>
      </c>
      <c r="H189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186</v>
      </c>
      <c r="I189" t="str">
        <f>IF(DraftResults[[#This Row],[Player ID]]=0,"",INDEX(Table5[[#All],[Pos]],MATCH(DraftResults[[#This Row],[Player ID]],Table5[[#All],[PID]],0)))</f>
        <v>RF</v>
      </c>
      <c r="J189" t="str">
        <f>IF(DraftResults[[#This Row],[Player ID]]=0,"",INDEX(Table5[[#All],[First]],MATCH(DraftResults[[#This Row],[Player ID]],Table5[[#All],[PID]],0)))</f>
        <v>António</v>
      </c>
      <c r="K189" t="str">
        <f>IF(DraftResults[[#This Row],[Player ID]]=0,"",INDEX(Table5[[#All],[Last]],MATCH(DraftResults[[#This Row],[Player ID]],Table5[[#All],[PID]],0)))</f>
        <v>Castillo</v>
      </c>
    </row>
    <row r="190" spans="1:11" x14ac:dyDescent="0.3">
      <c r="A190">
        <v>6</v>
      </c>
      <c r="B190">
        <v>0</v>
      </c>
      <c r="C190">
        <v>18</v>
      </c>
      <c r="D190" t="s">
        <v>412</v>
      </c>
      <c r="E190">
        <v>162</v>
      </c>
      <c r="F190">
        <v>5230</v>
      </c>
      <c r="G190" t="s">
        <v>303</v>
      </c>
      <c r="H190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187</v>
      </c>
      <c r="I190" t="str">
        <f>IF(DraftResults[[#This Row],[Player ID]]=0,"",INDEX(Table5[[#All],[Pos]],MATCH(DraftResults[[#This Row],[Player ID]],Table5[[#All],[PID]],0)))</f>
        <v>3B</v>
      </c>
      <c r="J190" t="str">
        <f>IF(DraftResults[[#This Row],[Player ID]]=0,"",INDEX(Table5[[#All],[First]],MATCH(DraftResults[[#This Row],[Player ID]],Table5[[#All],[PID]],0)))</f>
        <v>Jerry</v>
      </c>
      <c r="K190" t="str">
        <f>IF(DraftResults[[#This Row],[Player ID]]=0,"",INDEX(Table5[[#All],[Last]],MATCH(DraftResults[[#This Row],[Player ID]],Table5[[#All],[PID]],0)))</f>
        <v>Garner</v>
      </c>
    </row>
    <row r="191" spans="1:11" x14ac:dyDescent="0.3">
      <c r="A191">
        <v>6</v>
      </c>
      <c r="B191">
        <v>0</v>
      </c>
      <c r="C191">
        <v>19</v>
      </c>
      <c r="D191" t="s">
        <v>247</v>
      </c>
      <c r="E191">
        <v>16</v>
      </c>
      <c r="F191">
        <v>20228</v>
      </c>
      <c r="G191" t="s">
        <v>303</v>
      </c>
      <c r="H191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188</v>
      </c>
      <c r="I191" t="str">
        <f>IF(DraftResults[[#This Row],[Player ID]]=0,"",INDEX(Table5[[#All],[Pos]],MATCH(DraftResults[[#This Row],[Player ID]],Table5[[#All],[PID]],0)))</f>
        <v>SS</v>
      </c>
      <c r="J191" t="str">
        <f>IF(DraftResults[[#This Row],[Player ID]]=0,"",INDEX(Table5[[#All],[First]],MATCH(DraftResults[[#This Row],[Player ID]],Table5[[#All],[PID]],0)))</f>
        <v>Doug</v>
      </c>
      <c r="K191" t="str">
        <f>IF(DraftResults[[#This Row],[Player ID]]=0,"",INDEX(Table5[[#All],[Last]],MATCH(DraftResults[[#This Row],[Player ID]],Table5[[#All],[PID]],0)))</f>
        <v>Hamilton</v>
      </c>
    </row>
    <row r="192" spans="1:11" x14ac:dyDescent="0.3">
      <c r="A192">
        <v>6</v>
      </c>
      <c r="B192">
        <v>0</v>
      </c>
      <c r="C192">
        <v>20</v>
      </c>
      <c r="D192" t="s">
        <v>242</v>
      </c>
      <c r="E192">
        <v>14</v>
      </c>
      <c r="F192">
        <v>11911</v>
      </c>
      <c r="G192" t="s">
        <v>303</v>
      </c>
      <c r="H192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189</v>
      </c>
      <c r="I192" t="str">
        <f>IF(DraftResults[[#This Row],[Player ID]]=0,"",INDEX(Table5[[#All],[Pos]],MATCH(DraftResults[[#This Row],[Player ID]],Table5[[#All],[PID]],0)))</f>
        <v>SS</v>
      </c>
      <c r="J192" t="str">
        <f>IF(DraftResults[[#This Row],[Player ID]]=0,"",INDEX(Table5[[#All],[First]],MATCH(DraftResults[[#This Row],[Player ID]],Table5[[#All],[PID]],0)))</f>
        <v>Akinori</v>
      </c>
      <c r="K192" t="str">
        <f>IF(DraftResults[[#This Row],[Player ID]]=0,"",INDEX(Table5[[#All],[Last]],MATCH(DraftResults[[#This Row],[Player ID]],Table5[[#All],[PID]],0)))</f>
        <v>Gato</v>
      </c>
    </row>
    <row r="193" spans="1:11" x14ac:dyDescent="0.3">
      <c r="A193">
        <v>6</v>
      </c>
      <c r="B193">
        <v>0</v>
      </c>
      <c r="C193">
        <v>21</v>
      </c>
      <c r="D193" t="s">
        <v>416</v>
      </c>
      <c r="E193">
        <v>159</v>
      </c>
      <c r="F193">
        <v>11270</v>
      </c>
      <c r="G193" t="s">
        <v>303</v>
      </c>
      <c r="H193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190</v>
      </c>
      <c r="I193" t="str">
        <f>IF(DraftResults[[#This Row],[Player ID]]=0,"",INDEX(Table5[[#All],[Pos]],MATCH(DraftResults[[#This Row],[Player ID]],Table5[[#All],[PID]],0)))</f>
        <v>LF</v>
      </c>
      <c r="J193" t="str">
        <f>IF(DraftResults[[#This Row],[Player ID]]=0,"",INDEX(Table5[[#All],[First]],MATCH(DraftResults[[#This Row],[Player ID]],Table5[[#All],[PID]],0)))</f>
        <v>Dave</v>
      </c>
      <c r="K193" t="str">
        <f>IF(DraftResults[[#This Row],[Player ID]]=0,"",INDEX(Table5[[#All],[Last]],MATCH(DraftResults[[#This Row],[Player ID]],Table5[[#All],[PID]],0)))</f>
        <v>Hall</v>
      </c>
    </row>
    <row r="194" spans="1:11" x14ac:dyDescent="0.3">
      <c r="A194">
        <v>6</v>
      </c>
      <c r="B194">
        <v>0</v>
      </c>
      <c r="C194">
        <v>22</v>
      </c>
      <c r="D194" t="s">
        <v>244</v>
      </c>
      <c r="E194">
        <v>20</v>
      </c>
      <c r="F194">
        <v>20941</v>
      </c>
      <c r="G194" t="s">
        <v>303</v>
      </c>
      <c r="H194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191</v>
      </c>
      <c r="I194" t="str">
        <f>IF(DraftResults[[#This Row],[Player ID]]=0,"",INDEX(Table5[[#All],[Pos]],MATCH(DraftResults[[#This Row],[Player ID]],Table5[[#All],[PID]],0)))</f>
        <v>2B</v>
      </c>
      <c r="J194" t="str">
        <f>IF(DraftResults[[#This Row],[Player ID]]=0,"",INDEX(Table5[[#All],[First]],MATCH(DraftResults[[#This Row],[Player ID]],Table5[[#All],[PID]],0)))</f>
        <v>Allen</v>
      </c>
      <c r="K194" t="str">
        <f>IF(DraftResults[[#This Row],[Player ID]]=0,"",INDEX(Table5[[#All],[Last]],MATCH(DraftResults[[#This Row],[Player ID]],Table5[[#All],[PID]],0)))</f>
        <v>Clark</v>
      </c>
    </row>
    <row r="195" spans="1:11" x14ac:dyDescent="0.3">
      <c r="A195">
        <v>6</v>
      </c>
      <c r="B195">
        <v>0</v>
      </c>
      <c r="C195">
        <v>23</v>
      </c>
      <c r="D195" t="s">
        <v>239</v>
      </c>
      <c r="E195">
        <v>10</v>
      </c>
      <c r="F195">
        <v>14404</v>
      </c>
      <c r="G195" t="s">
        <v>303</v>
      </c>
      <c r="H195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192</v>
      </c>
      <c r="I195" t="str">
        <f>IF(DraftResults[[#This Row],[Player ID]]=0,"",INDEX(Table5[[#All],[Pos]],MATCH(DraftResults[[#This Row],[Player ID]],Table5[[#All],[PID]],0)))</f>
        <v>3B</v>
      </c>
      <c r="J195" t="str">
        <f>IF(DraftResults[[#This Row],[Player ID]]=0,"",INDEX(Table5[[#All],[First]],MATCH(DraftResults[[#This Row],[Player ID]],Table5[[#All],[PID]],0)))</f>
        <v>Gary</v>
      </c>
      <c r="K195" t="str">
        <f>IF(DraftResults[[#This Row],[Player ID]]=0,"",INDEX(Table5[[#All],[Last]],MATCH(DraftResults[[#This Row],[Player ID]],Table5[[#All],[PID]],0)))</f>
        <v>Taylor</v>
      </c>
    </row>
    <row r="196" spans="1:11" x14ac:dyDescent="0.3">
      <c r="A196">
        <v>6</v>
      </c>
      <c r="B196">
        <v>0</v>
      </c>
      <c r="C196">
        <v>24</v>
      </c>
      <c r="D196" t="s">
        <v>233</v>
      </c>
      <c r="E196">
        <v>22</v>
      </c>
      <c r="F196">
        <v>20600</v>
      </c>
      <c r="G196" t="s">
        <v>303</v>
      </c>
      <c r="H196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193</v>
      </c>
      <c r="I196" t="str">
        <f>IF(DraftResults[[#This Row],[Player ID]]=0,"",INDEX(Table5[[#All],[Pos]],MATCH(DraftResults[[#This Row],[Player ID]],Table5[[#All],[PID]],0)))</f>
        <v>1B</v>
      </c>
      <c r="J196" t="str">
        <f>IF(DraftResults[[#This Row],[Player ID]]=0,"",INDEX(Table5[[#All],[First]],MATCH(DraftResults[[#This Row],[Player ID]],Table5[[#All],[PID]],0)))</f>
        <v>Dwaine</v>
      </c>
      <c r="K196" t="str">
        <f>IF(DraftResults[[#This Row],[Player ID]]=0,"",INDEX(Table5[[#All],[Last]],MATCH(DraftResults[[#This Row],[Player ID]],Table5[[#All],[PID]],0)))</f>
        <v>Truslove</v>
      </c>
    </row>
    <row r="197" spans="1:11" x14ac:dyDescent="0.3">
      <c r="A197">
        <v>6</v>
      </c>
      <c r="B197">
        <v>0</v>
      </c>
      <c r="C197">
        <v>25</v>
      </c>
      <c r="D197" t="s">
        <v>244</v>
      </c>
      <c r="E197">
        <v>20</v>
      </c>
      <c r="F197">
        <v>16410</v>
      </c>
      <c r="G197" t="s">
        <v>303</v>
      </c>
      <c r="H197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194</v>
      </c>
      <c r="I197" t="str">
        <f>IF(DraftResults[[#This Row],[Player ID]]=0,"",INDEX(Table5[[#All],[Pos]],MATCH(DraftResults[[#This Row],[Player ID]],Table5[[#All],[PID]],0)))</f>
        <v>RP</v>
      </c>
      <c r="J197" t="str">
        <f>IF(DraftResults[[#This Row],[Player ID]]=0,"",INDEX(Table5[[#All],[First]],MATCH(DraftResults[[#This Row],[Player ID]],Table5[[#All],[PID]],0)))</f>
        <v>Katsuyuki</v>
      </c>
      <c r="K197" t="str">
        <f>IF(DraftResults[[#This Row],[Player ID]]=0,"",INDEX(Table5[[#All],[Last]],MATCH(DraftResults[[#This Row],[Player ID]],Table5[[#All],[PID]],0)))</f>
        <v>Takahashi</v>
      </c>
    </row>
    <row r="198" spans="1:11" x14ac:dyDescent="0.3">
      <c r="A198">
        <v>6</v>
      </c>
      <c r="B198">
        <v>0</v>
      </c>
      <c r="C198">
        <v>26</v>
      </c>
      <c r="D198" t="s">
        <v>232</v>
      </c>
      <c r="E198">
        <v>19</v>
      </c>
      <c r="F198">
        <v>9714</v>
      </c>
      <c r="G198" t="s">
        <v>303</v>
      </c>
      <c r="H198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195</v>
      </c>
      <c r="I198" t="str">
        <f>IF(DraftResults[[#This Row],[Player ID]]=0,"",INDEX(Table5[[#All],[Pos]],MATCH(DraftResults[[#This Row],[Player ID]],Table5[[#All],[PID]],0)))</f>
        <v>C</v>
      </c>
      <c r="J198" t="str">
        <f>IF(DraftResults[[#This Row],[Player ID]]=0,"",INDEX(Table5[[#All],[First]],MATCH(DraftResults[[#This Row],[Player ID]],Table5[[#All],[PID]],0)))</f>
        <v>Todd</v>
      </c>
      <c r="K198" t="str">
        <f>IF(DraftResults[[#This Row],[Player ID]]=0,"",INDEX(Table5[[#All],[Last]],MATCH(DraftResults[[#This Row],[Player ID]],Table5[[#All],[PID]],0)))</f>
        <v>Melton</v>
      </c>
    </row>
    <row r="199" spans="1:11" x14ac:dyDescent="0.3">
      <c r="A199">
        <v>6</v>
      </c>
      <c r="B199">
        <v>0</v>
      </c>
      <c r="C199">
        <v>27</v>
      </c>
      <c r="D199" t="s">
        <v>417</v>
      </c>
      <c r="E199">
        <v>163</v>
      </c>
      <c r="F199">
        <v>14529</v>
      </c>
      <c r="G199" t="s">
        <v>303</v>
      </c>
      <c r="H199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196</v>
      </c>
      <c r="I199" t="str">
        <f>IF(DraftResults[[#This Row],[Player ID]]=0,"",INDEX(Table5[[#All],[Pos]],MATCH(DraftResults[[#This Row],[Player ID]],Table5[[#All],[PID]],0)))</f>
        <v>RF</v>
      </c>
      <c r="J199" t="str">
        <f>IF(DraftResults[[#This Row],[Player ID]]=0,"",INDEX(Table5[[#All],[First]],MATCH(DraftResults[[#This Row],[Player ID]],Table5[[#All],[PID]],0)))</f>
        <v>Cris</v>
      </c>
      <c r="K199" t="str">
        <f>IF(DraftResults[[#This Row],[Player ID]]=0,"",INDEX(Table5[[#All],[Last]],MATCH(DraftResults[[#This Row],[Player ID]],Table5[[#All],[PID]],0)))</f>
        <v>Vargas</v>
      </c>
    </row>
    <row r="200" spans="1:11" x14ac:dyDescent="0.3">
      <c r="A200">
        <v>6</v>
      </c>
      <c r="B200">
        <v>0</v>
      </c>
      <c r="C200">
        <v>28</v>
      </c>
      <c r="D200" t="s">
        <v>419</v>
      </c>
      <c r="E200">
        <v>18</v>
      </c>
      <c r="F200">
        <v>12114</v>
      </c>
      <c r="G200" t="s">
        <v>303</v>
      </c>
      <c r="H200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197</v>
      </c>
      <c r="I200" t="str">
        <f>IF(DraftResults[[#This Row],[Player ID]]=0,"",INDEX(Table5[[#All],[Pos]],MATCH(DraftResults[[#This Row],[Player ID]],Table5[[#All],[PID]],0)))</f>
        <v>2B</v>
      </c>
      <c r="J200" t="str">
        <f>IF(DraftResults[[#This Row],[Player ID]]=0,"",INDEX(Table5[[#All],[First]],MATCH(DraftResults[[#This Row],[Player ID]],Table5[[#All],[PID]],0)))</f>
        <v>Andrew</v>
      </c>
      <c r="K200" t="str">
        <f>IF(DraftResults[[#This Row],[Player ID]]=0,"",INDEX(Table5[[#All],[Last]],MATCH(DraftResults[[#This Row],[Player ID]],Table5[[#All],[PID]],0)))</f>
        <v>Trewhitt</v>
      </c>
    </row>
    <row r="201" spans="1:11" x14ac:dyDescent="0.3">
      <c r="A201">
        <v>6</v>
      </c>
      <c r="B201">
        <v>0</v>
      </c>
      <c r="C201">
        <v>29</v>
      </c>
      <c r="D201" t="s">
        <v>244</v>
      </c>
      <c r="E201">
        <v>20</v>
      </c>
      <c r="F201">
        <v>20516</v>
      </c>
      <c r="G201" t="s">
        <v>303</v>
      </c>
      <c r="H201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198</v>
      </c>
      <c r="I201" t="str">
        <f>IF(DraftResults[[#This Row],[Player ID]]=0,"",INDEX(Table5[[#All],[Pos]],MATCH(DraftResults[[#This Row],[Player ID]],Table5[[#All],[PID]],0)))</f>
        <v>2B</v>
      </c>
      <c r="J201" t="str">
        <f>IF(DraftResults[[#This Row],[Player ID]]=0,"",INDEX(Table5[[#All],[First]],MATCH(DraftResults[[#This Row],[Player ID]],Table5[[#All],[PID]],0)))</f>
        <v>Sinfronio</v>
      </c>
      <c r="K201" t="str">
        <f>IF(DraftResults[[#This Row],[Player ID]]=0,"",INDEX(Table5[[#All],[Last]],MATCH(DraftResults[[#This Row],[Player ID]],Table5[[#All],[PID]],0)))</f>
        <v>Mar</v>
      </c>
    </row>
    <row r="202" spans="1:11" x14ac:dyDescent="0.3">
      <c r="A202">
        <v>6</v>
      </c>
      <c r="B202">
        <v>0</v>
      </c>
      <c r="C202">
        <v>30</v>
      </c>
      <c r="D202" t="s">
        <v>415</v>
      </c>
      <c r="E202">
        <v>166</v>
      </c>
      <c r="F202">
        <v>10552</v>
      </c>
      <c r="G202" t="s">
        <v>303</v>
      </c>
      <c r="H202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199</v>
      </c>
      <c r="I202" t="str">
        <f>IF(DraftResults[[#This Row],[Player ID]]=0,"",INDEX(Table5[[#All],[Pos]],MATCH(DraftResults[[#This Row],[Player ID]],Table5[[#All],[PID]],0)))</f>
        <v>2B</v>
      </c>
      <c r="J202" t="str">
        <f>IF(DraftResults[[#This Row],[Player ID]]=0,"",INDEX(Table5[[#All],[First]],MATCH(DraftResults[[#This Row],[Player ID]],Table5[[#All],[PID]],0)))</f>
        <v>Augusto</v>
      </c>
      <c r="K202" t="str">
        <f>IF(DraftResults[[#This Row],[Player ID]]=0,"",INDEX(Table5[[#All],[Last]],MATCH(DraftResults[[#This Row],[Player ID]],Table5[[#All],[PID]],0)))</f>
        <v>Peña</v>
      </c>
    </row>
    <row r="203" spans="1:11" x14ac:dyDescent="0.3">
      <c r="A203">
        <v>6</v>
      </c>
      <c r="B203">
        <v>0</v>
      </c>
      <c r="C203">
        <v>31</v>
      </c>
      <c r="D203" t="s">
        <v>239</v>
      </c>
      <c r="E203">
        <v>10</v>
      </c>
      <c r="F203">
        <v>7644</v>
      </c>
      <c r="G203" t="s">
        <v>303</v>
      </c>
      <c r="H203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200</v>
      </c>
      <c r="I203" t="str">
        <f>IF(DraftResults[[#This Row],[Player ID]]=0,"",INDEX(Table5[[#All],[Pos]],MATCH(DraftResults[[#This Row],[Player ID]],Table5[[#All],[PID]],0)))</f>
        <v>1B</v>
      </c>
      <c r="J203" t="str">
        <f>IF(DraftResults[[#This Row],[Player ID]]=0,"",INDEX(Table5[[#All],[First]],MATCH(DraftResults[[#This Row],[Player ID]],Table5[[#All],[PID]],0)))</f>
        <v>Enrique</v>
      </c>
      <c r="K203" t="str">
        <f>IF(DraftResults[[#This Row],[Player ID]]=0,"",INDEX(Table5[[#All],[Last]],MATCH(DraftResults[[#This Row],[Player ID]],Table5[[#All],[PID]],0)))</f>
        <v>Ramírez</v>
      </c>
    </row>
    <row r="204" spans="1:11" x14ac:dyDescent="0.3">
      <c r="A204">
        <v>6</v>
      </c>
      <c r="B204">
        <v>0</v>
      </c>
      <c r="C204">
        <v>32</v>
      </c>
      <c r="D204" t="s">
        <v>247</v>
      </c>
      <c r="E204">
        <v>16</v>
      </c>
      <c r="F204">
        <v>20394</v>
      </c>
      <c r="G204" t="s">
        <v>303</v>
      </c>
      <c r="H204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201</v>
      </c>
      <c r="I204" t="str">
        <f>IF(DraftResults[[#This Row],[Player ID]]=0,"",INDEX(Table5[[#All],[Pos]],MATCH(DraftResults[[#This Row],[Player ID]],Table5[[#All],[PID]],0)))</f>
        <v>1B</v>
      </c>
      <c r="J204" t="str">
        <f>IF(DraftResults[[#This Row],[Player ID]]=0,"",INDEX(Table5[[#All],[First]],MATCH(DraftResults[[#This Row],[Player ID]],Table5[[#All],[PID]],0)))</f>
        <v>Canice</v>
      </c>
      <c r="K204" t="str">
        <f>IF(DraftResults[[#This Row],[Player ID]]=0,"",INDEX(Table5[[#All],[Last]],MATCH(DraftResults[[#This Row],[Player ID]],Table5[[#All],[PID]],0)))</f>
        <v>Empson</v>
      </c>
    </row>
    <row r="205" spans="1:11" x14ac:dyDescent="0.3">
      <c r="A205">
        <v>7</v>
      </c>
      <c r="B205">
        <v>0</v>
      </c>
      <c r="C205">
        <v>1</v>
      </c>
      <c r="D205" t="s">
        <v>542</v>
      </c>
      <c r="E205">
        <v>24</v>
      </c>
      <c r="F205">
        <v>20624</v>
      </c>
      <c r="G205" t="s">
        <v>303</v>
      </c>
      <c r="H205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202</v>
      </c>
      <c r="I205" t="str">
        <f>IF(DraftResults[[#This Row],[Player ID]]=0,"",INDEX(Table5[[#All],[Pos]],MATCH(DraftResults[[#This Row],[Player ID]],Table5[[#All],[PID]],0)))</f>
        <v>3B</v>
      </c>
      <c r="J205" t="str">
        <f>IF(DraftResults[[#This Row],[Player ID]]=0,"",INDEX(Table5[[#All],[First]],MATCH(DraftResults[[#This Row],[Player ID]],Table5[[#All],[PID]],0)))</f>
        <v>Shan-bo</v>
      </c>
      <c r="K205" t="str">
        <f>IF(DraftResults[[#This Row],[Player ID]]=0,"",INDEX(Table5[[#All],[Last]],MATCH(DraftResults[[#This Row],[Player ID]],Table5[[#All],[PID]],0)))</f>
        <v>Chen</v>
      </c>
    </row>
    <row r="206" spans="1:11" ht="15.75" customHeight="1" x14ac:dyDescent="0.3">
      <c r="A206">
        <v>7</v>
      </c>
      <c r="B206">
        <v>0</v>
      </c>
      <c r="C206">
        <v>2</v>
      </c>
      <c r="D206" t="s">
        <v>488</v>
      </c>
      <c r="E206">
        <v>7</v>
      </c>
      <c r="F206">
        <v>11355</v>
      </c>
      <c r="G206" t="s">
        <v>303</v>
      </c>
      <c r="H206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203</v>
      </c>
      <c r="I206" t="str">
        <f>IF(DraftResults[[#This Row],[Player ID]]=0,"",INDEX(Table5[[#All],[Pos]],MATCH(DraftResults[[#This Row],[Player ID]],Table5[[#All],[PID]],0)))</f>
        <v>SP</v>
      </c>
      <c r="J206" t="str">
        <f>IF(DraftResults[[#This Row],[Player ID]]=0,"",INDEX(Table5[[#All],[First]],MATCH(DraftResults[[#This Row],[Player ID]],Table5[[#All],[PID]],0)))</f>
        <v>Mark</v>
      </c>
      <c r="K206" t="str">
        <f>IF(DraftResults[[#This Row],[Player ID]]=0,"",INDEX(Table5[[#All],[Last]],MATCH(DraftResults[[#This Row],[Player ID]],Table5[[#All],[PID]],0)))</f>
        <v>Gwilt</v>
      </c>
    </row>
    <row r="207" spans="1:11" x14ac:dyDescent="0.3">
      <c r="A207">
        <v>7</v>
      </c>
      <c r="B207">
        <v>0</v>
      </c>
      <c r="C207">
        <v>3</v>
      </c>
      <c r="D207" t="s">
        <v>420</v>
      </c>
      <c r="E207">
        <v>167</v>
      </c>
      <c r="F207">
        <v>9607</v>
      </c>
      <c r="G207" t="s">
        <v>303</v>
      </c>
      <c r="H207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204</v>
      </c>
      <c r="I207" t="str">
        <f>IF(DraftResults[[#This Row],[Player ID]]=0,"",INDEX(Table5[[#All],[Pos]],MATCH(DraftResults[[#This Row],[Player ID]],Table5[[#All],[PID]],0)))</f>
        <v>CL</v>
      </c>
      <c r="J207" t="str">
        <f>IF(DraftResults[[#This Row],[Player ID]]=0,"",INDEX(Table5[[#All],[First]],MATCH(DraftResults[[#This Row],[Player ID]],Table5[[#All],[PID]],0)))</f>
        <v>Steven</v>
      </c>
      <c r="K207" t="str">
        <f>IF(DraftResults[[#This Row],[Player ID]]=0,"",INDEX(Table5[[#All],[Last]],MATCH(DraftResults[[#This Row],[Player ID]],Table5[[#All],[PID]],0)))</f>
        <v>Connor</v>
      </c>
    </row>
    <row r="208" spans="1:11" x14ac:dyDescent="0.3">
      <c r="A208">
        <v>7</v>
      </c>
      <c r="B208">
        <v>0</v>
      </c>
      <c r="C208">
        <v>4</v>
      </c>
      <c r="D208" t="s">
        <v>235</v>
      </c>
      <c r="E208">
        <v>21</v>
      </c>
      <c r="F208">
        <v>12671</v>
      </c>
      <c r="G208" t="s">
        <v>303</v>
      </c>
      <c r="H208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205</v>
      </c>
      <c r="I208" t="str">
        <f>IF(DraftResults[[#This Row],[Player ID]]=0,"",INDEX(Table5[[#All],[Pos]],MATCH(DraftResults[[#This Row],[Player ID]],Table5[[#All],[PID]],0)))</f>
        <v>LF</v>
      </c>
      <c r="J208" t="str">
        <f>IF(DraftResults[[#This Row],[Player ID]]=0,"",INDEX(Table5[[#All],[First]],MATCH(DraftResults[[#This Row],[Player ID]],Table5[[#All],[PID]],0)))</f>
        <v>Madison</v>
      </c>
      <c r="K208" t="str">
        <f>IF(DraftResults[[#This Row],[Player ID]]=0,"",INDEX(Table5[[#All],[Last]],MATCH(DraftResults[[#This Row],[Player ID]],Table5[[#All],[PID]],0)))</f>
        <v>Hollett</v>
      </c>
    </row>
    <row r="209" spans="1:11" x14ac:dyDescent="0.3">
      <c r="A209">
        <v>7</v>
      </c>
      <c r="B209">
        <v>0</v>
      </c>
      <c r="C209">
        <v>5</v>
      </c>
      <c r="D209" t="s">
        <v>545</v>
      </c>
      <c r="E209">
        <v>23</v>
      </c>
      <c r="F209">
        <v>12710</v>
      </c>
      <c r="G209" t="s">
        <v>303</v>
      </c>
      <c r="H209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206</v>
      </c>
      <c r="I209" t="str">
        <f>IF(DraftResults[[#This Row],[Player ID]]=0,"",INDEX(Table5[[#All],[Pos]],MATCH(DraftResults[[#This Row],[Player ID]],Table5[[#All],[PID]],0)))</f>
        <v>RP</v>
      </c>
      <c r="J209" t="str">
        <f>IF(DraftResults[[#This Row],[Player ID]]=0,"",INDEX(Table5[[#All],[First]],MATCH(DraftResults[[#This Row],[Player ID]],Table5[[#All],[PID]],0)))</f>
        <v>Maddox</v>
      </c>
      <c r="K209" t="str">
        <f>IF(DraftResults[[#This Row],[Player ID]]=0,"",INDEX(Table5[[#All],[Last]],MATCH(DraftResults[[#This Row],[Player ID]],Table5[[#All],[PID]],0)))</f>
        <v>Garrett</v>
      </c>
    </row>
    <row r="210" spans="1:11" x14ac:dyDescent="0.3">
      <c r="A210">
        <v>7</v>
      </c>
      <c r="B210">
        <v>0</v>
      </c>
      <c r="C210">
        <v>6</v>
      </c>
      <c r="D210" t="s">
        <v>246</v>
      </c>
      <c r="E210">
        <v>8</v>
      </c>
      <c r="F210">
        <v>14788</v>
      </c>
      <c r="G210" t="s">
        <v>303</v>
      </c>
      <c r="H210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207</v>
      </c>
      <c r="I210" t="str">
        <f>IF(DraftResults[[#This Row],[Player ID]]=0,"",INDEX(Table5[[#All],[Pos]],MATCH(DraftResults[[#This Row],[Player ID]],Table5[[#All],[PID]],0)))</f>
        <v>RF</v>
      </c>
      <c r="J210" t="str">
        <f>IF(DraftResults[[#This Row],[Player ID]]=0,"",INDEX(Table5[[#All],[First]],MATCH(DraftResults[[#This Row],[Player ID]],Table5[[#All],[PID]],0)))</f>
        <v>Jaime</v>
      </c>
      <c r="K210" t="str">
        <f>IF(DraftResults[[#This Row],[Player ID]]=0,"",INDEX(Table5[[#All],[Last]],MATCH(DraftResults[[#This Row],[Player ID]],Table5[[#All],[PID]],0)))</f>
        <v>Miranda</v>
      </c>
    </row>
    <row r="211" spans="1:11" x14ac:dyDescent="0.3">
      <c r="A211">
        <v>7</v>
      </c>
      <c r="B211">
        <v>0</v>
      </c>
      <c r="C211">
        <v>7</v>
      </c>
      <c r="D211" t="s">
        <v>419</v>
      </c>
      <c r="E211">
        <v>18</v>
      </c>
      <c r="F211">
        <v>14676</v>
      </c>
      <c r="G211" t="s">
        <v>303</v>
      </c>
      <c r="H211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208</v>
      </c>
      <c r="I211" t="str">
        <f>IF(DraftResults[[#This Row],[Player ID]]=0,"",INDEX(Table5[[#All],[Pos]],MATCH(DraftResults[[#This Row],[Player ID]],Table5[[#All],[PID]],0)))</f>
        <v>2B</v>
      </c>
      <c r="J211" t="str">
        <f>IF(DraftResults[[#This Row],[Player ID]]=0,"",INDEX(Table5[[#All],[First]],MATCH(DraftResults[[#This Row],[Player ID]],Table5[[#All],[PID]],0)))</f>
        <v>Steve</v>
      </c>
      <c r="K211" t="str">
        <f>IF(DraftResults[[#This Row],[Player ID]]=0,"",INDEX(Table5[[#All],[Last]],MATCH(DraftResults[[#This Row],[Player ID]],Table5[[#All],[PID]],0)))</f>
        <v>Johnson</v>
      </c>
    </row>
    <row r="212" spans="1:11" x14ac:dyDescent="0.3">
      <c r="A212">
        <v>7</v>
      </c>
      <c r="B212">
        <v>0</v>
      </c>
      <c r="C212">
        <v>8</v>
      </c>
      <c r="D212" t="s">
        <v>1614</v>
      </c>
      <c r="E212">
        <v>6</v>
      </c>
      <c r="F212">
        <v>14993</v>
      </c>
      <c r="G212" t="s">
        <v>303</v>
      </c>
      <c r="H212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209</v>
      </c>
      <c r="I212" t="str">
        <f>IF(DraftResults[[#This Row],[Player ID]]=0,"",INDEX(Table5[[#All],[Pos]],MATCH(DraftResults[[#This Row],[Player ID]],Table5[[#All],[PID]],0)))</f>
        <v>SP</v>
      </c>
      <c r="J212" t="str">
        <f>IF(DraftResults[[#This Row],[Player ID]]=0,"",INDEX(Table5[[#All],[First]],MATCH(DraftResults[[#This Row],[Player ID]],Table5[[#All],[PID]],0)))</f>
        <v>Sugimoto</v>
      </c>
      <c r="K212" t="str">
        <f>IF(DraftResults[[#This Row],[Player ID]]=0,"",INDEX(Table5[[#All],[Last]],MATCH(DraftResults[[#This Row],[Player ID]],Table5[[#All],[PID]],0)))</f>
        <v>Nakano</v>
      </c>
    </row>
    <row r="213" spans="1:11" x14ac:dyDescent="0.3">
      <c r="A213">
        <v>7</v>
      </c>
      <c r="B213">
        <v>0</v>
      </c>
      <c r="C213">
        <v>9</v>
      </c>
      <c r="D213" t="s">
        <v>1615</v>
      </c>
      <c r="E213">
        <v>5</v>
      </c>
      <c r="F213">
        <v>12715</v>
      </c>
      <c r="G213" t="s">
        <v>303</v>
      </c>
      <c r="H213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210</v>
      </c>
      <c r="I213" t="str">
        <f>IF(DraftResults[[#This Row],[Player ID]]=0,"",INDEX(Table5[[#All],[Pos]],MATCH(DraftResults[[#This Row],[Player ID]],Table5[[#All],[PID]],0)))</f>
        <v>RF</v>
      </c>
      <c r="J213" t="str">
        <f>IF(DraftResults[[#This Row],[Player ID]]=0,"",INDEX(Table5[[#All],[First]],MATCH(DraftResults[[#This Row],[Player ID]],Table5[[#All],[PID]],0)))</f>
        <v>John</v>
      </c>
      <c r="K213" t="str">
        <f>IF(DraftResults[[#This Row],[Player ID]]=0,"",INDEX(Table5[[#All],[Last]],MATCH(DraftResults[[#This Row],[Player ID]],Table5[[#All],[PID]],0)))</f>
        <v>Bayles</v>
      </c>
    </row>
    <row r="214" spans="1:11" x14ac:dyDescent="0.3">
      <c r="A214">
        <v>7</v>
      </c>
      <c r="B214">
        <v>0</v>
      </c>
      <c r="C214">
        <v>10</v>
      </c>
      <c r="D214" t="s">
        <v>240</v>
      </c>
      <c r="E214">
        <v>3</v>
      </c>
      <c r="F214">
        <v>12982</v>
      </c>
      <c r="G214" t="s">
        <v>303</v>
      </c>
      <c r="H214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211</v>
      </c>
      <c r="I214" t="str">
        <f>IF(DraftResults[[#This Row],[Player ID]]=0,"",INDEX(Table5[[#All],[Pos]],MATCH(DraftResults[[#This Row],[Player ID]],Table5[[#All],[PID]],0)))</f>
        <v>CF</v>
      </c>
      <c r="J214" t="str">
        <f>IF(DraftResults[[#This Row],[Player ID]]=0,"",INDEX(Table5[[#All],[First]],MATCH(DraftResults[[#This Row],[Player ID]],Table5[[#All],[PID]],0)))</f>
        <v>Vicente</v>
      </c>
      <c r="K214" t="str">
        <f>IF(DraftResults[[#This Row],[Player ID]]=0,"",INDEX(Table5[[#All],[Last]],MATCH(DraftResults[[#This Row],[Player ID]],Table5[[#All],[PID]],0)))</f>
        <v>Cortés</v>
      </c>
    </row>
    <row r="215" spans="1:11" x14ac:dyDescent="0.3">
      <c r="A215">
        <v>7</v>
      </c>
      <c r="B215">
        <v>0</v>
      </c>
      <c r="C215">
        <v>11</v>
      </c>
      <c r="D215" t="s">
        <v>238</v>
      </c>
      <c r="E215">
        <v>11</v>
      </c>
      <c r="F215">
        <v>20874</v>
      </c>
      <c r="G215" t="s">
        <v>303</v>
      </c>
      <c r="H215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212</v>
      </c>
      <c r="I215" t="str">
        <f>IF(DraftResults[[#This Row],[Player ID]]=0,"",INDEX(Table5[[#All],[Pos]],MATCH(DraftResults[[#This Row],[Player ID]],Table5[[#All],[PID]],0)))</f>
        <v>CF</v>
      </c>
      <c r="J215" t="str">
        <f>IF(DraftResults[[#This Row],[Player ID]]=0,"",INDEX(Table5[[#All],[First]],MATCH(DraftResults[[#This Row],[Player ID]],Table5[[#All],[PID]],0)))</f>
        <v>Michael</v>
      </c>
      <c r="K215" t="str">
        <f>IF(DraftResults[[#This Row],[Player ID]]=0,"",INDEX(Table5[[#All],[Last]],MATCH(DraftResults[[#This Row],[Player ID]],Table5[[#All],[PID]],0)))</f>
        <v>Turner</v>
      </c>
    </row>
    <row r="216" spans="1:11" x14ac:dyDescent="0.3">
      <c r="A216">
        <v>7</v>
      </c>
      <c r="B216">
        <v>0</v>
      </c>
      <c r="C216">
        <v>12</v>
      </c>
      <c r="D216" t="s">
        <v>489</v>
      </c>
      <c r="E216">
        <v>4</v>
      </c>
      <c r="F216">
        <v>20350</v>
      </c>
      <c r="G216" t="s">
        <v>303</v>
      </c>
      <c r="H216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213</v>
      </c>
      <c r="I216" t="str">
        <f>IF(DraftResults[[#This Row],[Player ID]]=0,"",INDEX(Table5[[#All],[Pos]],MATCH(DraftResults[[#This Row],[Player ID]],Table5[[#All],[PID]],0)))</f>
        <v>SP</v>
      </c>
      <c r="J216" t="str">
        <f>IF(DraftResults[[#This Row],[Player ID]]=0,"",INDEX(Table5[[#All],[First]],MATCH(DraftResults[[#This Row],[Player ID]],Table5[[#All],[PID]],0)))</f>
        <v>Mitsuo</v>
      </c>
      <c r="K216" t="str">
        <f>IF(DraftResults[[#This Row],[Player ID]]=0,"",INDEX(Table5[[#All],[Last]],MATCH(DraftResults[[#This Row],[Player ID]],Table5[[#All],[PID]],0)))</f>
        <v>Takuda</v>
      </c>
    </row>
    <row r="217" spans="1:11" x14ac:dyDescent="0.3">
      <c r="A217">
        <v>7</v>
      </c>
      <c r="B217">
        <v>0</v>
      </c>
      <c r="C217">
        <v>13</v>
      </c>
      <c r="D217" t="s">
        <v>414</v>
      </c>
      <c r="E217">
        <v>164</v>
      </c>
      <c r="F217">
        <v>20840</v>
      </c>
      <c r="G217" t="s">
        <v>303</v>
      </c>
      <c r="H217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214</v>
      </c>
      <c r="I217" t="str">
        <f>IF(DraftResults[[#This Row],[Player ID]]=0,"",INDEX(Table5[[#All],[Pos]],MATCH(DraftResults[[#This Row],[Player ID]],Table5[[#All],[PID]],0)))</f>
        <v>1B</v>
      </c>
      <c r="J217" t="str">
        <f>IF(DraftResults[[#This Row],[Player ID]]=0,"",INDEX(Table5[[#All],[First]],MATCH(DraftResults[[#This Row],[Player ID]],Table5[[#All],[PID]],0)))</f>
        <v>Armando</v>
      </c>
      <c r="K217" t="str">
        <f>IF(DraftResults[[#This Row],[Player ID]]=0,"",INDEX(Table5[[#All],[Last]],MATCH(DraftResults[[#This Row],[Player ID]],Table5[[#All],[PID]],0)))</f>
        <v>Hernández</v>
      </c>
    </row>
    <row r="218" spans="1:11" x14ac:dyDescent="0.3">
      <c r="A218">
        <v>7</v>
      </c>
      <c r="B218">
        <v>0</v>
      </c>
      <c r="C218">
        <v>14</v>
      </c>
      <c r="D218" t="s">
        <v>251</v>
      </c>
      <c r="E218">
        <v>12</v>
      </c>
      <c r="F218">
        <v>20254</v>
      </c>
      <c r="G218" t="s">
        <v>303</v>
      </c>
      <c r="H218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215</v>
      </c>
      <c r="I218" t="str">
        <f>IF(DraftResults[[#This Row],[Player ID]]=0,"",INDEX(Table5[[#All],[Pos]],MATCH(DraftResults[[#This Row],[Player ID]],Table5[[#All],[PID]],0)))</f>
        <v>2B</v>
      </c>
      <c r="J218" t="str">
        <f>IF(DraftResults[[#This Row],[Player ID]]=0,"",INDEX(Table5[[#All],[First]],MATCH(DraftResults[[#This Row],[Player ID]],Table5[[#All],[PID]],0)))</f>
        <v>Aaron</v>
      </c>
      <c r="K218" t="str">
        <f>IF(DraftResults[[#This Row],[Player ID]]=0,"",INDEX(Table5[[#All],[Last]],MATCH(DraftResults[[#This Row],[Player ID]],Table5[[#All],[PID]],0)))</f>
        <v>Smith</v>
      </c>
    </row>
    <row r="219" spans="1:11" x14ac:dyDescent="0.3">
      <c r="A219">
        <v>7</v>
      </c>
      <c r="B219">
        <v>0</v>
      </c>
      <c r="C219">
        <v>15</v>
      </c>
      <c r="D219" t="s">
        <v>414</v>
      </c>
      <c r="E219">
        <v>164</v>
      </c>
      <c r="F219">
        <v>20775</v>
      </c>
      <c r="G219" t="s">
        <v>303</v>
      </c>
      <c r="H219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216</v>
      </c>
      <c r="I219" t="str">
        <f>IF(DraftResults[[#This Row],[Player ID]]=0,"",INDEX(Table5[[#All],[Pos]],MATCH(DraftResults[[#This Row],[Player ID]],Table5[[#All],[PID]],0)))</f>
        <v>SP</v>
      </c>
      <c r="J219" t="str">
        <f>IF(DraftResults[[#This Row],[Player ID]]=0,"",INDEX(Table5[[#All],[First]],MATCH(DraftResults[[#This Row],[Player ID]],Table5[[#All],[PID]],0)))</f>
        <v>Frank</v>
      </c>
      <c r="K219" t="str">
        <f>IF(DraftResults[[#This Row],[Player ID]]=0,"",INDEX(Table5[[#All],[Last]],MATCH(DraftResults[[#This Row],[Player ID]],Table5[[#All],[PID]],0)))</f>
        <v>Riley</v>
      </c>
    </row>
    <row r="220" spans="1:11" x14ac:dyDescent="0.3">
      <c r="A220">
        <v>7</v>
      </c>
      <c r="B220">
        <v>0</v>
      </c>
      <c r="C220">
        <v>16</v>
      </c>
      <c r="D220" t="s">
        <v>544</v>
      </c>
      <c r="E220">
        <v>13</v>
      </c>
      <c r="F220">
        <v>13041</v>
      </c>
      <c r="G220" t="s">
        <v>303</v>
      </c>
      <c r="H220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217</v>
      </c>
      <c r="I220" t="str">
        <f>IF(DraftResults[[#This Row],[Player ID]]=0,"",INDEX(Table5[[#All],[Pos]],MATCH(DraftResults[[#This Row],[Player ID]],Table5[[#All],[PID]],0)))</f>
        <v>SP</v>
      </c>
      <c r="J220" t="str">
        <f>IF(DraftResults[[#This Row],[Player ID]]=0,"",INDEX(Table5[[#All],[First]],MATCH(DraftResults[[#This Row],[Player ID]],Table5[[#All],[PID]],0)))</f>
        <v>Gabriel</v>
      </c>
      <c r="K220" t="str">
        <f>IF(DraftResults[[#This Row],[Player ID]]=0,"",INDEX(Table5[[#All],[Last]],MATCH(DraftResults[[#This Row],[Player ID]],Table5[[#All],[PID]],0)))</f>
        <v>Martínez</v>
      </c>
    </row>
    <row r="221" spans="1:11" x14ac:dyDescent="0.3">
      <c r="A221">
        <v>7</v>
      </c>
      <c r="B221">
        <v>0</v>
      </c>
      <c r="C221">
        <v>17</v>
      </c>
      <c r="D221" t="s">
        <v>243</v>
      </c>
      <c r="E221">
        <v>15</v>
      </c>
      <c r="F221">
        <v>8130</v>
      </c>
      <c r="G221" t="s">
        <v>303</v>
      </c>
      <c r="H221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218</v>
      </c>
      <c r="I221" t="str">
        <f>IF(DraftResults[[#This Row],[Player ID]]=0,"",INDEX(Table5[[#All],[Pos]],MATCH(DraftResults[[#This Row],[Player ID]],Table5[[#All],[PID]],0)))</f>
        <v>2B</v>
      </c>
      <c r="J221" t="str">
        <f>IF(DraftResults[[#This Row],[Player ID]]=0,"",INDEX(Table5[[#All],[First]],MATCH(DraftResults[[#This Row],[Player ID]],Table5[[#All],[PID]],0)))</f>
        <v>An-shi</v>
      </c>
      <c r="K221" t="str">
        <f>IF(DraftResults[[#This Row],[Player ID]]=0,"",INDEX(Table5[[#All],[Last]],MATCH(DraftResults[[#This Row],[Player ID]],Table5[[#All],[PID]],0)))</f>
        <v>Lan</v>
      </c>
    </row>
    <row r="222" spans="1:11" x14ac:dyDescent="0.3">
      <c r="A222">
        <v>7</v>
      </c>
      <c r="B222">
        <v>0</v>
      </c>
      <c r="C222">
        <v>18</v>
      </c>
      <c r="D222" t="s">
        <v>412</v>
      </c>
      <c r="E222">
        <v>162</v>
      </c>
      <c r="F222">
        <v>13711</v>
      </c>
      <c r="G222" t="s">
        <v>303</v>
      </c>
      <c r="H222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219</v>
      </c>
      <c r="I222" t="str">
        <f>IF(DraftResults[[#This Row],[Player ID]]=0,"",INDEX(Table5[[#All],[Pos]],MATCH(DraftResults[[#This Row],[Player ID]],Table5[[#All],[PID]],0)))</f>
        <v>C</v>
      </c>
      <c r="J222" t="str">
        <f>IF(DraftResults[[#This Row],[Player ID]]=0,"",INDEX(Table5[[#All],[First]],MATCH(DraftResults[[#This Row],[Player ID]],Table5[[#All],[PID]],0)))</f>
        <v>Tony</v>
      </c>
      <c r="K222" t="str">
        <f>IF(DraftResults[[#This Row],[Player ID]]=0,"",INDEX(Table5[[#All],[Last]],MATCH(DraftResults[[#This Row],[Player ID]],Table5[[#All],[PID]],0)))</f>
        <v>Fuller</v>
      </c>
    </row>
    <row r="223" spans="1:11" x14ac:dyDescent="0.3">
      <c r="A223">
        <v>7</v>
      </c>
      <c r="B223">
        <v>0</v>
      </c>
      <c r="C223">
        <v>19</v>
      </c>
      <c r="D223" t="s">
        <v>247</v>
      </c>
      <c r="E223">
        <v>16</v>
      </c>
      <c r="F223">
        <v>10970</v>
      </c>
      <c r="G223" t="s">
        <v>303</v>
      </c>
      <c r="H223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220</v>
      </c>
      <c r="I223" t="str">
        <f>IF(DraftResults[[#This Row],[Player ID]]=0,"",INDEX(Table5[[#All],[Pos]],MATCH(DraftResults[[#This Row],[Player ID]],Table5[[#All],[PID]],0)))</f>
        <v>RP</v>
      </c>
      <c r="J223" t="str">
        <f>IF(DraftResults[[#This Row],[Player ID]]=0,"",INDEX(Table5[[#All],[First]],MATCH(DraftResults[[#This Row],[Player ID]],Table5[[#All],[PID]],0)))</f>
        <v>Oscar</v>
      </c>
      <c r="K223" t="str">
        <f>IF(DraftResults[[#This Row],[Player ID]]=0,"",INDEX(Table5[[#All],[Last]],MATCH(DraftResults[[#This Row],[Player ID]],Table5[[#All],[PID]],0)))</f>
        <v>Jarrold</v>
      </c>
    </row>
    <row r="224" spans="1:11" x14ac:dyDescent="0.3">
      <c r="A224">
        <v>7</v>
      </c>
      <c r="B224">
        <v>0</v>
      </c>
      <c r="C224">
        <v>20</v>
      </c>
      <c r="D224" t="s">
        <v>242</v>
      </c>
      <c r="E224">
        <v>14</v>
      </c>
      <c r="F224">
        <v>12052</v>
      </c>
      <c r="G224" t="s">
        <v>303</v>
      </c>
      <c r="H224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221</v>
      </c>
      <c r="I224" t="str">
        <f>IF(DraftResults[[#This Row],[Player ID]]=0,"",INDEX(Table5[[#All],[Pos]],MATCH(DraftResults[[#This Row],[Player ID]],Table5[[#All],[PID]],0)))</f>
        <v>3B</v>
      </c>
      <c r="J224" t="str">
        <f>IF(DraftResults[[#This Row],[Player ID]]=0,"",INDEX(Table5[[#All],[First]],MATCH(DraftResults[[#This Row],[Player ID]],Table5[[#All],[PID]],0)))</f>
        <v>Edward</v>
      </c>
      <c r="K224" t="str">
        <f>IF(DraftResults[[#This Row],[Player ID]]=0,"",INDEX(Table5[[#All],[Last]],MATCH(DraftResults[[#This Row],[Player ID]],Table5[[#All],[PID]],0)))</f>
        <v>Crawford</v>
      </c>
    </row>
    <row r="225" spans="1:11" x14ac:dyDescent="0.3">
      <c r="A225">
        <v>7</v>
      </c>
      <c r="B225">
        <v>0</v>
      </c>
      <c r="C225">
        <v>21</v>
      </c>
      <c r="D225" t="s">
        <v>416</v>
      </c>
      <c r="E225">
        <v>159</v>
      </c>
      <c r="F225">
        <v>14899</v>
      </c>
      <c r="G225" t="s">
        <v>303</v>
      </c>
      <c r="H225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222</v>
      </c>
      <c r="I225" t="str">
        <f>IF(DraftResults[[#This Row],[Player ID]]=0,"",INDEX(Table5[[#All],[Pos]],MATCH(DraftResults[[#This Row],[Player ID]],Table5[[#All],[PID]],0)))</f>
        <v>CL</v>
      </c>
      <c r="J225" t="str">
        <f>IF(DraftResults[[#This Row],[Player ID]]=0,"",INDEX(Table5[[#All],[First]],MATCH(DraftResults[[#This Row],[Player ID]],Table5[[#All],[PID]],0)))</f>
        <v>Cordell</v>
      </c>
      <c r="K225" t="str">
        <f>IF(DraftResults[[#This Row],[Player ID]]=0,"",INDEX(Table5[[#All],[Last]],MATCH(DraftResults[[#This Row],[Player ID]],Table5[[#All],[PID]],0)))</f>
        <v>Wallace</v>
      </c>
    </row>
    <row r="226" spans="1:11" x14ac:dyDescent="0.3">
      <c r="A226">
        <v>7</v>
      </c>
      <c r="B226">
        <v>0</v>
      </c>
      <c r="C226">
        <v>22</v>
      </c>
      <c r="D226" t="s">
        <v>244</v>
      </c>
      <c r="E226">
        <v>20</v>
      </c>
      <c r="F226">
        <v>13433</v>
      </c>
      <c r="G226" t="s">
        <v>303</v>
      </c>
      <c r="H226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223</v>
      </c>
      <c r="I226" t="str">
        <f>IF(DraftResults[[#This Row],[Player ID]]=0,"",INDEX(Table5[[#All],[Pos]],MATCH(DraftResults[[#This Row],[Player ID]],Table5[[#All],[PID]],0)))</f>
        <v>LF</v>
      </c>
      <c r="J226" t="str">
        <f>IF(DraftResults[[#This Row],[Player ID]]=0,"",INDEX(Table5[[#All],[First]],MATCH(DraftResults[[#This Row],[Player ID]],Table5[[#All],[PID]],0)))</f>
        <v>Akio</v>
      </c>
      <c r="K226" t="str">
        <f>IF(DraftResults[[#This Row],[Player ID]]=0,"",INDEX(Table5[[#All],[Last]],MATCH(DraftResults[[#This Row],[Player ID]],Table5[[#All],[PID]],0)))</f>
        <v>Takahashi</v>
      </c>
    </row>
    <row r="227" spans="1:11" x14ac:dyDescent="0.3">
      <c r="A227">
        <v>7</v>
      </c>
      <c r="B227">
        <v>0</v>
      </c>
      <c r="C227">
        <v>23</v>
      </c>
      <c r="D227" t="s">
        <v>239</v>
      </c>
      <c r="E227">
        <v>10</v>
      </c>
      <c r="F227">
        <v>11962</v>
      </c>
      <c r="G227" t="s">
        <v>303</v>
      </c>
      <c r="H227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224</v>
      </c>
      <c r="I227" t="str">
        <f>IF(DraftResults[[#This Row],[Player ID]]=0,"",INDEX(Table5[[#All],[Pos]],MATCH(DraftResults[[#This Row],[Player ID]],Table5[[#All],[PID]],0)))</f>
        <v>RP</v>
      </c>
      <c r="J227" t="str">
        <f>IF(DraftResults[[#This Row],[Player ID]]=0,"",INDEX(Table5[[#All],[First]],MATCH(DraftResults[[#This Row],[Player ID]],Table5[[#All],[PID]],0)))</f>
        <v>Makoto</v>
      </c>
      <c r="K227" t="str">
        <f>IF(DraftResults[[#This Row],[Player ID]]=0,"",INDEX(Table5[[#All],[Last]],MATCH(DraftResults[[#This Row],[Player ID]],Table5[[#All],[PID]],0)))</f>
        <v>Miura</v>
      </c>
    </row>
    <row r="228" spans="1:11" x14ac:dyDescent="0.3">
      <c r="A228">
        <v>7</v>
      </c>
      <c r="B228">
        <v>0</v>
      </c>
      <c r="C228">
        <v>24</v>
      </c>
      <c r="D228" t="s">
        <v>233</v>
      </c>
      <c r="E228">
        <v>22</v>
      </c>
      <c r="F228">
        <v>20868</v>
      </c>
      <c r="G228" t="s">
        <v>303</v>
      </c>
      <c r="H228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225</v>
      </c>
      <c r="I228" t="str">
        <f>IF(DraftResults[[#This Row],[Player ID]]=0,"",INDEX(Table5[[#All],[Pos]],MATCH(DraftResults[[#This Row],[Player ID]],Table5[[#All],[PID]],0)))</f>
        <v>SS</v>
      </c>
      <c r="J228" t="str">
        <f>IF(DraftResults[[#This Row],[Player ID]]=0,"",INDEX(Table5[[#All],[First]],MATCH(DraftResults[[#This Row],[Player ID]],Table5[[#All],[PID]],0)))</f>
        <v>Chad</v>
      </c>
      <c r="K228" t="str">
        <f>IF(DraftResults[[#This Row],[Player ID]]=0,"",INDEX(Table5[[#All],[Last]],MATCH(DraftResults[[#This Row],[Player ID]],Table5[[#All],[PID]],0)))</f>
        <v>Miles</v>
      </c>
    </row>
    <row r="229" spans="1:11" x14ac:dyDescent="0.3">
      <c r="A229">
        <v>7</v>
      </c>
      <c r="B229">
        <v>0</v>
      </c>
      <c r="C229">
        <v>25</v>
      </c>
      <c r="D229" t="s">
        <v>236</v>
      </c>
      <c r="E229">
        <v>17</v>
      </c>
      <c r="F229">
        <v>13140</v>
      </c>
      <c r="G229" t="s">
        <v>303</v>
      </c>
      <c r="H229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226</v>
      </c>
      <c r="I229" t="str">
        <f>IF(DraftResults[[#This Row],[Player ID]]=0,"",INDEX(Table5[[#All],[Pos]],MATCH(DraftResults[[#This Row],[Player ID]],Table5[[#All],[PID]],0)))</f>
        <v>2B</v>
      </c>
      <c r="J229" t="str">
        <f>IF(DraftResults[[#This Row],[Player ID]]=0,"",INDEX(Table5[[#All],[First]],MATCH(DraftResults[[#This Row],[Player ID]],Table5[[#All],[PID]],0)))</f>
        <v>Clyde</v>
      </c>
      <c r="K229" t="str">
        <f>IF(DraftResults[[#This Row],[Player ID]]=0,"",INDEX(Table5[[#All],[Last]],MATCH(DraftResults[[#This Row],[Player ID]],Table5[[#All],[PID]],0)))</f>
        <v>Hewer</v>
      </c>
    </row>
    <row r="230" spans="1:11" x14ac:dyDescent="0.3">
      <c r="A230">
        <v>7</v>
      </c>
      <c r="B230">
        <v>0</v>
      </c>
      <c r="C230">
        <v>26</v>
      </c>
      <c r="D230" t="s">
        <v>232</v>
      </c>
      <c r="E230">
        <v>19</v>
      </c>
      <c r="F230">
        <v>12097</v>
      </c>
      <c r="G230" t="s">
        <v>303</v>
      </c>
      <c r="H230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227</v>
      </c>
      <c r="I230" t="str">
        <f>IF(DraftResults[[#This Row],[Player ID]]=0,"",INDEX(Table5[[#All],[Pos]],MATCH(DraftResults[[#This Row],[Player ID]],Table5[[#All],[PID]],0)))</f>
        <v>SP</v>
      </c>
      <c r="J230" t="str">
        <f>IF(DraftResults[[#This Row],[Player ID]]=0,"",INDEX(Table5[[#All],[First]],MATCH(DraftResults[[#This Row],[Player ID]],Table5[[#All],[PID]],0)))</f>
        <v>Julien</v>
      </c>
      <c r="K230" t="str">
        <f>IF(DraftResults[[#This Row],[Player ID]]=0,"",INDEX(Table5[[#All],[Last]],MATCH(DraftResults[[#This Row],[Player ID]],Table5[[#All],[PID]],0)))</f>
        <v>Georges</v>
      </c>
    </row>
    <row r="231" spans="1:11" x14ac:dyDescent="0.3">
      <c r="A231">
        <v>7</v>
      </c>
      <c r="B231">
        <v>0</v>
      </c>
      <c r="C231">
        <v>27</v>
      </c>
      <c r="D231" t="s">
        <v>417</v>
      </c>
      <c r="E231">
        <v>163</v>
      </c>
      <c r="F231">
        <v>15124</v>
      </c>
      <c r="G231" t="s">
        <v>303</v>
      </c>
      <c r="H231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228</v>
      </c>
      <c r="I231" t="str">
        <f>IF(DraftResults[[#This Row],[Player ID]]=0,"",INDEX(Table5[[#All],[Pos]],MATCH(DraftResults[[#This Row],[Player ID]],Table5[[#All],[PID]],0)))</f>
        <v>C</v>
      </c>
      <c r="J231" t="str">
        <f>IF(DraftResults[[#This Row],[Player ID]]=0,"",INDEX(Table5[[#All],[First]],MATCH(DraftResults[[#This Row],[Player ID]],Table5[[#All],[PID]],0)))</f>
        <v>Dylan</v>
      </c>
      <c r="K231" t="str">
        <f>IF(DraftResults[[#This Row],[Player ID]]=0,"",INDEX(Table5[[#All],[Last]],MATCH(DraftResults[[#This Row],[Player ID]],Table5[[#All],[PID]],0)))</f>
        <v>MacIlroy</v>
      </c>
    </row>
    <row r="232" spans="1:11" ht="15.75" customHeight="1" x14ac:dyDescent="0.3">
      <c r="A232">
        <v>7</v>
      </c>
      <c r="B232">
        <v>0</v>
      </c>
      <c r="C232">
        <v>28</v>
      </c>
      <c r="D232" t="s">
        <v>413</v>
      </c>
      <c r="E232">
        <v>2</v>
      </c>
      <c r="F232">
        <v>20517</v>
      </c>
      <c r="G232" t="s">
        <v>303</v>
      </c>
      <c r="H232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229</v>
      </c>
      <c r="I232" t="str">
        <f>IF(DraftResults[[#This Row],[Player ID]]=0,"",INDEX(Table5[[#All],[Pos]],MATCH(DraftResults[[#This Row],[Player ID]],Table5[[#All],[PID]],0)))</f>
        <v>3B</v>
      </c>
      <c r="J232" t="str">
        <f>IF(DraftResults[[#This Row],[Player ID]]=0,"",INDEX(Table5[[#All],[First]],MATCH(DraftResults[[#This Row],[Player ID]],Table5[[#All],[PID]],0)))</f>
        <v>Amador</v>
      </c>
      <c r="K232" t="str">
        <f>IF(DraftResults[[#This Row],[Player ID]]=0,"",INDEX(Table5[[#All],[Last]],MATCH(DraftResults[[#This Row],[Player ID]],Table5[[#All],[PID]],0)))</f>
        <v>Mahusay</v>
      </c>
    </row>
    <row r="233" spans="1:11" x14ac:dyDescent="0.3">
      <c r="A233">
        <v>7</v>
      </c>
      <c r="B233">
        <v>0</v>
      </c>
      <c r="C233">
        <v>29</v>
      </c>
      <c r="D233" t="s">
        <v>244</v>
      </c>
      <c r="E233">
        <v>20</v>
      </c>
      <c r="F233">
        <v>14112</v>
      </c>
      <c r="G233" t="s">
        <v>303</v>
      </c>
      <c r="H233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230</v>
      </c>
      <c r="I233" t="str">
        <f>IF(DraftResults[[#This Row],[Player ID]]=0,"",INDEX(Table5[[#All],[Pos]],MATCH(DraftResults[[#This Row],[Player ID]],Table5[[#All],[PID]],0)))</f>
        <v>CL</v>
      </c>
      <c r="J233" t="str">
        <f>IF(DraftResults[[#This Row],[Player ID]]=0,"",INDEX(Table5[[#All],[First]],MATCH(DraftResults[[#This Row],[Player ID]],Table5[[#All],[PID]],0)))</f>
        <v>Pablo</v>
      </c>
      <c r="K233" t="str">
        <f>IF(DraftResults[[#This Row],[Player ID]]=0,"",INDEX(Table5[[#All],[Last]],MATCH(DraftResults[[#This Row],[Player ID]],Table5[[#All],[PID]],0)))</f>
        <v>Gonzáles</v>
      </c>
    </row>
    <row r="234" spans="1:11" x14ac:dyDescent="0.3">
      <c r="A234">
        <v>7</v>
      </c>
      <c r="B234">
        <v>0</v>
      </c>
      <c r="C234">
        <v>30</v>
      </c>
      <c r="D234" t="s">
        <v>415</v>
      </c>
      <c r="E234">
        <v>166</v>
      </c>
      <c r="F234">
        <v>13102</v>
      </c>
      <c r="G234" t="s">
        <v>303</v>
      </c>
      <c r="H234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231</v>
      </c>
      <c r="I234" t="str">
        <f>IF(DraftResults[[#This Row],[Player ID]]=0,"",INDEX(Table5[[#All],[Pos]],MATCH(DraftResults[[#This Row],[Player ID]],Table5[[#All],[PID]],0)))</f>
        <v>SP</v>
      </c>
      <c r="J234" t="str">
        <f>IF(DraftResults[[#This Row],[Player ID]]=0,"",INDEX(Table5[[#All],[First]],MATCH(DraftResults[[#This Row],[Player ID]],Table5[[#All],[PID]],0)))</f>
        <v>Perry</v>
      </c>
      <c r="K234" t="str">
        <f>IF(DraftResults[[#This Row],[Player ID]]=0,"",INDEX(Table5[[#All],[Last]],MATCH(DraftResults[[#This Row],[Player ID]],Table5[[#All],[PID]],0)))</f>
        <v>de Smet</v>
      </c>
    </row>
    <row r="235" spans="1:11" x14ac:dyDescent="0.3">
      <c r="A235">
        <v>7</v>
      </c>
      <c r="B235">
        <v>0</v>
      </c>
      <c r="C235">
        <v>31</v>
      </c>
      <c r="D235" t="s">
        <v>243</v>
      </c>
      <c r="E235">
        <v>15</v>
      </c>
      <c r="F235">
        <v>15523</v>
      </c>
      <c r="G235" t="s">
        <v>303</v>
      </c>
      <c r="H235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232</v>
      </c>
      <c r="I235" t="str">
        <f>IF(DraftResults[[#This Row],[Player ID]]=0,"",INDEX(Table5[[#All],[Pos]],MATCH(DraftResults[[#This Row],[Player ID]],Table5[[#All],[PID]],0)))</f>
        <v>SS</v>
      </c>
      <c r="J235" t="str">
        <f>IF(DraftResults[[#This Row],[Player ID]]=0,"",INDEX(Table5[[#All],[First]],MATCH(DraftResults[[#This Row],[Player ID]],Table5[[#All],[PID]],0)))</f>
        <v>António</v>
      </c>
      <c r="K235" t="str">
        <f>IF(DraftResults[[#This Row],[Player ID]]=0,"",INDEX(Table5[[#All],[Last]],MATCH(DraftResults[[#This Row],[Player ID]],Table5[[#All],[PID]],0)))</f>
        <v>Ortíz</v>
      </c>
    </row>
    <row r="236" spans="1:11" x14ac:dyDescent="0.3">
      <c r="A236">
        <v>7</v>
      </c>
      <c r="B236">
        <v>0</v>
      </c>
      <c r="C236">
        <v>32</v>
      </c>
      <c r="D236" t="s">
        <v>546</v>
      </c>
      <c r="E236">
        <v>9</v>
      </c>
      <c r="F236">
        <v>20493</v>
      </c>
      <c r="G236" t="s">
        <v>303</v>
      </c>
      <c r="H236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233</v>
      </c>
      <c r="I236" t="str">
        <f>IF(DraftResults[[#This Row],[Player ID]]=0,"",INDEX(Table5[[#All],[Pos]],MATCH(DraftResults[[#This Row],[Player ID]],Table5[[#All],[PID]],0)))</f>
        <v>2B</v>
      </c>
      <c r="J236" t="str">
        <f>IF(DraftResults[[#This Row],[Player ID]]=0,"",INDEX(Table5[[#All],[First]],MATCH(DraftResults[[#This Row],[Player ID]],Table5[[#All],[PID]],0)))</f>
        <v>Yasuo</v>
      </c>
      <c r="K236" t="str">
        <f>IF(DraftResults[[#This Row],[Player ID]]=0,"",INDEX(Table5[[#All],[Last]],MATCH(DraftResults[[#This Row],[Player ID]],Table5[[#All],[PID]],0)))</f>
        <v>Ishida</v>
      </c>
    </row>
    <row r="237" spans="1:11" x14ac:dyDescent="0.3">
      <c r="A237">
        <v>8</v>
      </c>
      <c r="B237">
        <v>0</v>
      </c>
      <c r="C237">
        <v>1</v>
      </c>
      <c r="D237" t="s">
        <v>542</v>
      </c>
      <c r="E237">
        <v>24</v>
      </c>
      <c r="F237">
        <v>14562</v>
      </c>
      <c r="G237" t="s">
        <v>303</v>
      </c>
      <c r="H237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234</v>
      </c>
      <c r="I237" t="str">
        <f>IF(DraftResults[[#This Row],[Player ID]]=0,"",INDEX(Table5[[#All],[Pos]],MATCH(DraftResults[[#This Row],[Player ID]],Table5[[#All],[PID]],0)))</f>
        <v>SP</v>
      </c>
      <c r="J237" t="str">
        <f>IF(DraftResults[[#This Row],[Player ID]]=0,"",INDEX(Table5[[#All],[First]],MATCH(DraftResults[[#This Row],[Player ID]],Table5[[#All],[PID]],0)))</f>
        <v>Ramón</v>
      </c>
      <c r="K237" t="str">
        <f>IF(DraftResults[[#This Row],[Player ID]]=0,"",INDEX(Table5[[#All],[Last]],MATCH(DraftResults[[#This Row],[Player ID]],Table5[[#All],[PID]],0)))</f>
        <v>González</v>
      </c>
    </row>
    <row r="238" spans="1:11" x14ac:dyDescent="0.3">
      <c r="A238">
        <v>8</v>
      </c>
      <c r="B238">
        <v>0</v>
      </c>
      <c r="C238">
        <v>2</v>
      </c>
      <c r="D238" t="s">
        <v>488</v>
      </c>
      <c r="E238">
        <v>7</v>
      </c>
      <c r="F238">
        <v>20927</v>
      </c>
      <c r="G238" t="s">
        <v>303</v>
      </c>
      <c r="H238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235</v>
      </c>
      <c r="I238" t="str">
        <f>IF(DraftResults[[#This Row],[Player ID]]=0,"",INDEX(Table5[[#All],[Pos]],MATCH(DraftResults[[#This Row],[Player ID]],Table5[[#All],[PID]],0)))</f>
        <v>SP</v>
      </c>
      <c r="J238" t="str">
        <f>IF(DraftResults[[#This Row],[Player ID]]=0,"",INDEX(Table5[[#All],[First]],MATCH(DraftResults[[#This Row],[Player ID]],Table5[[#All],[PID]],0)))</f>
        <v>Kevin</v>
      </c>
      <c r="K238" t="str">
        <f>IF(DraftResults[[#This Row],[Player ID]]=0,"",INDEX(Table5[[#All],[Last]],MATCH(DraftResults[[#This Row],[Player ID]],Table5[[#All],[PID]],0)))</f>
        <v>Soto</v>
      </c>
    </row>
    <row r="239" spans="1:11" x14ac:dyDescent="0.3">
      <c r="A239">
        <v>8</v>
      </c>
      <c r="B239">
        <v>0</v>
      </c>
      <c r="C239">
        <v>3</v>
      </c>
      <c r="D239" t="s">
        <v>420</v>
      </c>
      <c r="E239">
        <v>167</v>
      </c>
      <c r="F239">
        <v>13516</v>
      </c>
      <c r="G239" t="s">
        <v>303</v>
      </c>
      <c r="H239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236</v>
      </c>
      <c r="I239" t="str">
        <f>IF(DraftResults[[#This Row],[Player ID]]=0,"",INDEX(Table5[[#All],[Pos]],MATCH(DraftResults[[#This Row],[Player ID]],Table5[[#All],[PID]],0)))</f>
        <v>RP</v>
      </c>
      <c r="J239" t="str">
        <f>IF(DraftResults[[#This Row],[Player ID]]=0,"",INDEX(Table5[[#All],[First]],MATCH(DraftResults[[#This Row],[Player ID]],Table5[[#All],[PID]],0)))</f>
        <v>Tsumemasa</v>
      </c>
      <c r="K239" t="str">
        <f>IF(DraftResults[[#This Row],[Player ID]]=0,"",INDEX(Table5[[#All],[Last]],MATCH(DraftResults[[#This Row],[Player ID]],Table5[[#All],[PID]],0)))</f>
        <v>Yamada</v>
      </c>
    </row>
    <row r="240" spans="1:11" x14ac:dyDescent="0.3">
      <c r="A240">
        <v>8</v>
      </c>
      <c r="B240">
        <v>0</v>
      </c>
      <c r="C240">
        <v>4</v>
      </c>
      <c r="D240" t="s">
        <v>235</v>
      </c>
      <c r="E240">
        <v>21</v>
      </c>
      <c r="F240">
        <v>11293</v>
      </c>
      <c r="G240" t="s">
        <v>303</v>
      </c>
      <c r="H240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237</v>
      </c>
      <c r="I240" t="str">
        <f>IF(DraftResults[[#This Row],[Player ID]]=0,"",INDEX(Table5[[#All],[Pos]],MATCH(DraftResults[[#This Row],[Player ID]],Table5[[#All],[PID]],0)))</f>
        <v>1B</v>
      </c>
      <c r="J240" t="str">
        <f>IF(DraftResults[[#This Row],[Player ID]]=0,"",INDEX(Table5[[#All],[First]],MATCH(DraftResults[[#This Row],[Player ID]],Table5[[#All],[PID]],0)))</f>
        <v>Aaron</v>
      </c>
      <c r="K240" t="str">
        <f>IF(DraftResults[[#This Row],[Player ID]]=0,"",INDEX(Table5[[#All],[Last]],MATCH(DraftResults[[#This Row],[Player ID]],Table5[[#All],[PID]],0)))</f>
        <v>Stevens</v>
      </c>
    </row>
    <row r="241" spans="1:11" x14ac:dyDescent="0.3">
      <c r="A241">
        <v>8</v>
      </c>
      <c r="B241">
        <v>0</v>
      </c>
      <c r="C241">
        <v>5</v>
      </c>
      <c r="D241" t="s">
        <v>545</v>
      </c>
      <c r="E241">
        <v>23</v>
      </c>
      <c r="F241">
        <v>20293</v>
      </c>
      <c r="G241" t="s">
        <v>303</v>
      </c>
      <c r="H241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238</v>
      </c>
      <c r="I241" t="str">
        <f>IF(DraftResults[[#This Row],[Player ID]]=0,"",INDEX(Table5[[#All],[Pos]],MATCH(DraftResults[[#This Row],[Player ID]],Table5[[#All],[PID]],0)))</f>
        <v>SP</v>
      </c>
      <c r="J241" t="str">
        <f>IF(DraftResults[[#This Row],[Player ID]]=0,"",INDEX(Table5[[#All],[First]],MATCH(DraftResults[[#This Row],[Player ID]],Table5[[#All],[PID]],0)))</f>
        <v>Zhu-lan</v>
      </c>
      <c r="K241" t="str">
        <f>IF(DraftResults[[#This Row],[Player ID]]=0,"",INDEX(Table5[[#All],[Last]],MATCH(DraftResults[[#This Row],[Player ID]],Table5[[#All],[PID]],0)))</f>
        <v>Su</v>
      </c>
    </row>
    <row r="242" spans="1:11" x14ac:dyDescent="0.3">
      <c r="A242">
        <v>8</v>
      </c>
      <c r="B242">
        <v>0</v>
      </c>
      <c r="C242">
        <v>6</v>
      </c>
      <c r="D242" t="s">
        <v>246</v>
      </c>
      <c r="E242">
        <v>8</v>
      </c>
      <c r="F242">
        <v>5364</v>
      </c>
      <c r="G242" t="s">
        <v>303</v>
      </c>
      <c r="H242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239</v>
      </c>
      <c r="I242" t="str">
        <f>IF(DraftResults[[#This Row],[Player ID]]=0,"",INDEX(Table5[[#All],[Pos]],MATCH(DraftResults[[#This Row],[Player ID]],Table5[[#All],[PID]],0)))</f>
        <v>1B</v>
      </c>
      <c r="J242" t="str">
        <f>IF(DraftResults[[#This Row],[Player ID]]=0,"",INDEX(Table5[[#All],[First]],MATCH(DraftResults[[#This Row],[Player ID]],Table5[[#All],[PID]],0)))</f>
        <v>River</v>
      </c>
      <c r="K242" t="str">
        <f>IF(DraftResults[[#This Row],[Player ID]]=0,"",INDEX(Table5[[#All],[Last]],MATCH(DraftResults[[#This Row],[Player ID]],Table5[[#All],[PID]],0)))</f>
        <v>Powell</v>
      </c>
    </row>
    <row r="243" spans="1:11" x14ac:dyDescent="0.3">
      <c r="A243">
        <v>8</v>
      </c>
      <c r="B243">
        <v>0</v>
      </c>
      <c r="C243">
        <v>7</v>
      </c>
      <c r="D243" t="s">
        <v>419</v>
      </c>
      <c r="E243">
        <v>18</v>
      </c>
      <c r="F243">
        <v>10394</v>
      </c>
      <c r="G243" t="s">
        <v>303</v>
      </c>
      <c r="H243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240</v>
      </c>
      <c r="I243" t="str">
        <f>IF(DraftResults[[#This Row],[Player ID]]=0,"",INDEX(Table5[[#All],[Pos]],MATCH(DraftResults[[#This Row],[Player ID]],Table5[[#All],[PID]],0)))</f>
        <v>SP</v>
      </c>
      <c r="J243" t="str">
        <f>IF(DraftResults[[#This Row],[Player ID]]=0,"",INDEX(Table5[[#All],[First]],MATCH(DraftResults[[#This Row],[Player ID]],Table5[[#All],[PID]],0)))</f>
        <v>Mark</v>
      </c>
      <c r="K243" t="str">
        <f>IF(DraftResults[[#This Row],[Player ID]]=0,"",INDEX(Table5[[#All],[Last]],MATCH(DraftResults[[#This Row],[Player ID]],Table5[[#All],[PID]],0)))</f>
        <v>Watson</v>
      </c>
    </row>
    <row r="244" spans="1:11" x14ac:dyDescent="0.3">
      <c r="A244">
        <v>8</v>
      </c>
      <c r="B244">
        <v>0</v>
      </c>
      <c r="C244">
        <v>8</v>
      </c>
      <c r="D244" t="s">
        <v>1614</v>
      </c>
      <c r="E244">
        <v>6</v>
      </c>
      <c r="F244">
        <v>8594</v>
      </c>
      <c r="G244" t="s">
        <v>303</v>
      </c>
      <c r="H244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241</v>
      </c>
      <c r="I244" t="str">
        <f>IF(DraftResults[[#This Row],[Player ID]]=0,"",INDEX(Table5[[#All],[Pos]],MATCH(DraftResults[[#This Row],[Player ID]],Table5[[#All],[PID]],0)))</f>
        <v>RF</v>
      </c>
      <c r="J244" t="str">
        <f>IF(DraftResults[[#This Row],[Player ID]]=0,"",INDEX(Table5[[#All],[First]],MATCH(DraftResults[[#This Row],[Player ID]],Table5[[#All],[PID]],0)))</f>
        <v>Cristián</v>
      </c>
      <c r="K244" t="str">
        <f>IF(DraftResults[[#This Row],[Player ID]]=0,"",INDEX(Table5[[#All],[Last]],MATCH(DraftResults[[#This Row],[Player ID]],Table5[[#All],[PID]],0)))</f>
        <v>Acevedo</v>
      </c>
    </row>
    <row r="245" spans="1:11" x14ac:dyDescent="0.3">
      <c r="A245">
        <v>8</v>
      </c>
      <c r="B245">
        <v>0</v>
      </c>
      <c r="C245">
        <v>9</v>
      </c>
      <c r="D245" t="s">
        <v>1615</v>
      </c>
      <c r="E245">
        <v>5</v>
      </c>
      <c r="F245">
        <v>9982</v>
      </c>
      <c r="G245" t="s">
        <v>303</v>
      </c>
      <c r="H245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242</v>
      </c>
      <c r="I245" t="str">
        <f>IF(DraftResults[[#This Row],[Player ID]]=0,"",INDEX(Table5[[#All],[Pos]],MATCH(DraftResults[[#This Row],[Player ID]],Table5[[#All],[PID]],0)))</f>
        <v>SS</v>
      </c>
      <c r="J245" t="str">
        <f>IF(DraftResults[[#This Row],[Player ID]]=0,"",INDEX(Table5[[#All],[First]],MATCH(DraftResults[[#This Row],[Player ID]],Table5[[#All],[PID]],0)))</f>
        <v>Dave</v>
      </c>
      <c r="K245" t="str">
        <f>IF(DraftResults[[#This Row],[Player ID]]=0,"",INDEX(Table5[[#All],[Last]],MATCH(DraftResults[[#This Row],[Player ID]],Table5[[#All],[PID]],0)))</f>
        <v>Ramírez</v>
      </c>
    </row>
    <row r="246" spans="1:11" x14ac:dyDescent="0.3">
      <c r="A246">
        <v>8</v>
      </c>
      <c r="B246">
        <v>0</v>
      </c>
      <c r="C246">
        <v>10</v>
      </c>
      <c r="D246" t="s">
        <v>543</v>
      </c>
      <c r="E246">
        <v>160</v>
      </c>
      <c r="F246">
        <v>12834</v>
      </c>
      <c r="G246" t="s">
        <v>303</v>
      </c>
      <c r="H246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243</v>
      </c>
      <c r="I246" t="str">
        <f>IF(DraftResults[[#This Row],[Player ID]]=0,"",INDEX(Table5[[#All],[Pos]],MATCH(DraftResults[[#This Row],[Player ID]],Table5[[#All],[PID]],0)))</f>
        <v>1B</v>
      </c>
      <c r="J246" t="str">
        <f>IF(DraftResults[[#This Row],[Player ID]]=0,"",INDEX(Table5[[#All],[First]],MATCH(DraftResults[[#This Row],[Player ID]],Table5[[#All],[PID]],0)))</f>
        <v>Michel</v>
      </c>
      <c r="K246" t="str">
        <f>IF(DraftResults[[#This Row],[Player ID]]=0,"",INDEX(Table5[[#All],[Last]],MATCH(DraftResults[[#This Row],[Player ID]],Table5[[#All],[PID]],0)))</f>
        <v>Winckelmann</v>
      </c>
    </row>
    <row r="247" spans="1:11" x14ac:dyDescent="0.3">
      <c r="A247">
        <v>8</v>
      </c>
      <c r="B247">
        <v>0</v>
      </c>
      <c r="C247">
        <v>11</v>
      </c>
      <c r="D247" t="s">
        <v>238</v>
      </c>
      <c r="E247">
        <v>11</v>
      </c>
      <c r="F247">
        <v>11164</v>
      </c>
      <c r="G247" t="s">
        <v>303</v>
      </c>
      <c r="H247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244</v>
      </c>
      <c r="I247" t="str">
        <f>IF(DraftResults[[#This Row],[Player ID]]=0,"",INDEX(Table5[[#All],[Pos]],MATCH(DraftResults[[#This Row],[Player ID]],Table5[[#All],[PID]],0)))</f>
        <v>SS</v>
      </c>
      <c r="J247" t="str">
        <f>IF(DraftResults[[#This Row],[Player ID]]=0,"",INDEX(Table5[[#All],[First]],MATCH(DraftResults[[#This Row],[Player ID]],Table5[[#All],[PID]],0)))</f>
        <v>Bob</v>
      </c>
      <c r="K247" t="str">
        <f>IF(DraftResults[[#This Row],[Player ID]]=0,"",INDEX(Table5[[#All],[Last]],MATCH(DraftResults[[#This Row],[Player ID]],Table5[[#All],[PID]],0)))</f>
        <v>Jones</v>
      </c>
    </row>
    <row r="248" spans="1:11" x14ac:dyDescent="0.3">
      <c r="A248">
        <v>8</v>
      </c>
      <c r="B248">
        <v>0</v>
      </c>
      <c r="C248">
        <v>12</v>
      </c>
      <c r="D248" t="s">
        <v>489</v>
      </c>
      <c r="E248">
        <v>4</v>
      </c>
      <c r="F248">
        <v>20853</v>
      </c>
      <c r="G248" t="s">
        <v>303</v>
      </c>
      <c r="H248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245</v>
      </c>
      <c r="I248" t="str">
        <f>IF(DraftResults[[#This Row],[Player ID]]=0,"",INDEX(Table5[[#All],[Pos]],MATCH(DraftResults[[#This Row],[Player ID]],Table5[[#All],[PID]],0)))</f>
        <v>RP</v>
      </c>
      <c r="J248" t="str">
        <f>IF(DraftResults[[#This Row],[Player ID]]=0,"",INDEX(Table5[[#All],[First]],MATCH(DraftResults[[#This Row],[Player ID]],Table5[[#All],[PID]],0)))</f>
        <v>Joe</v>
      </c>
      <c r="K248" t="str">
        <f>IF(DraftResults[[#This Row],[Player ID]]=0,"",INDEX(Table5[[#All],[Last]],MATCH(DraftResults[[#This Row],[Player ID]],Table5[[#All],[PID]],0)))</f>
        <v>von Strantz</v>
      </c>
    </row>
    <row r="249" spans="1:11" x14ac:dyDescent="0.3">
      <c r="A249">
        <v>8</v>
      </c>
      <c r="B249">
        <v>0</v>
      </c>
      <c r="C249">
        <v>13</v>
      </c>
      <c r="D249" t="s">
        <v>414</v>
      </c>
      <c r="E249">
        <v>164</v>
      </c>
      <c r="F249">
        <v>10973</v>
      </c>
      <c r="G249" t="s">
        <v>303</v>
      </c>
      <c r="H249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246</v>
      </c>
      <c r="I249" t="str">
        <f>IF(DraftResults[[#This Row],[Player ID]]=0,"",INDEX(Table5[[#All],[Pos]],MATCH(DraftResults[[#This Row],[Player ID]],Table5[[#All],[PID]],0)))</f>
        <v>SP</v>
      </c>
      <c r="J249" t="str">
        <f>IF(DraftResults[[#This Row],[Player ID]]=0,"",INDEX(Table5[[#All],[First]],MATCH(DraftResults[[#This Row],[Player ID]],Table5[[#All],[PID]],0)))</f>
        <v>Ron</v>
      </c>
      <c r="K249" t="str">
        <f>IF(DraftResults[[#This Row],[Player ID]]=0,"",INDEX(Table5[[#All],[Last]],MATCH(DraftResults[[#This Row],[Player ID]],Table5[[#All],[PID]],0)))</f>
        <v>Young</v>
      </c>
    </row>
    <row r="250" spans="1:11" x14ac:dyDescent="0.3">
      <c r="A250">
        <v>8</v>
      </c>
      <c r="B250">
        <v>0</v>
      </c>
      <c r="C250">
        <v>14</v>
      </c>
      <c r="D250" t="s">
        <v>251</v>
      </c>
      <c r="E250">
        <v>12</v>
      </c>
      <c r="F250">
        <v>8032</v>
      </c>
      <c r="G250" t="s">
        <v>303</v>
      </c>
      <c r="H250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247</v>
      </c>
      <c r="I250" t="str">
        <f>IF(DraftResults[[#This Row],[Player ID]]=0,"",INDEX(Table5[[#All],[Pos]],MATCH(DraftResults[[#This Row],[Player ID]],Table5[[#All],[PID]],0)))</f>
        <v>CF</v>
      </c>
      <c r="J250" t="str">
        <f>IF(DraftResults[[#This Row],[Player ID]]=0,"",INDEX(Table5[[#All],[First]],MATCH(DraftResults[[#This Row],[Player ID]],Table5[[#All],[PID]],0)))</f>
        <v>Marcos</v>
      </c>
      <c r="K250" t="str">
        <f>IF(DraftResults[[#This Row],[Player ID]]=0,"",INDEX(Table5[[#All],[Last]],MATCH(DraftResults[[#This Row],[Player ID]],Table5[[#All],[PID]],0)))</f>
        <v>Rodríguez</v>
      </c>
    </row>
    <row r="251" spans="1:11" x14ac:dyDescent="0.3">
      <c r="A251">
        <v>8</v>
      </c>
      <c r="B251">
        <v>0</v>
      </c>
      <c r="C251">
        <v>15</v>
      </c>
      <c r="D251" t="s">
        <v>543</v>
      </c>
      <c r="E251">
        <v>160</v>
      </c>
      <c r="F251">
        <v>12056</v>
      </c>
      <c r="G251" t="s">
        <v>303</v>
      </c>
      <c r="H251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248</v>
      </c>
      <c r="I251" t="str">
        <f>IF(DraftResults[[#This Row],[Player ID]]=0,"",INDEX(Table5[[#All],[Pos]],MATCH(DraftResults[[#This Row],[Player ID]],Table5[[#All],[PID]],0)))</f>
        <v>2B</v>
      </c>
      <c r="J251" t="str">
        <f>IF(DraftResults[[#This Row],[Player ID]]=0,"",INDEX(Table5[[#All],[First]],MATCH(DraftResults[[#This Row],[Player ID]],Table5[[#All],[PID]],0)))</f>
        <v>Stéphane</v>
      </c>
      <c r="K251" t="str">
        <f>IF(DraftResults[[#This Row],[Player ID]]=0,"",INDEX(Table5[[#All],[Last]],MATCH(DraftResults[[#This Row],[Player ID]],Table5[[#All],[PID]],0)))</f>
        <v>Moreau</v>
      </c>
    </row>
    <row r="252" spans="1:11" x14ac:dyDescent="0.3">
      <c r="A252">
        <v>8</v>
      </c>
      <c r="B252">
        <v>0</v>
      </c>
      <c r="C252">
        <v>16</v>
      </c>
      <c r="D252" t="s">
        <v>544</v>
      </c>
      <c r="E252">
        <v>13</v>
      </c>
      <c r="F252">
        <v>20377</v>
      </c>
      <c r="G252" t="s">
        <v>303</v>
      </c>
      <c r="H252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249</v>
      </c>
      <c r="I252" t="str">
        <f>IF(DraftResults[[#This Row],[Player ID]]=0,"",INDEX(Table5[[#All],[Pos]],MATCH(DraftResults[[#This Row],[Player ID]],Table5[[#All],[PID]],0)))</f>
        <v>SP</v>
      </c>
      <c r="J252" t="str">
        <f>IF(DraftResults[[#This Row],[Player ID]]=0,"",INDEX(Table5[[#All],[First]],MATCH(DraftResults[[#This Row],[Player ID]],Table5[[#All],[PID]],0)))</f>
        <v>Feheen</v>
      </c>
      <c r="K252" t="str">
        <f>IF(DraftResults[[#This Row],[Player ID]]=0,"",INDEX(Table5[[#All],[Last]],MATCH(DraftResults[[#This Row],[Player ID]],Table5[[#All],[PID]],0)))</f>
        <v>Silversides</v>
      </c>
    </row>
    <row r="253" spans="1:11" x14ac:dyDescent="0.3">
      <c r="A253">
        <v>8</v>
      </c>
      <c r="B253">
        <v>0</v>
      </c>
      <c r="C253">
        <v>17</v>
      </c>
      <c r="D253" t="s">
        <v>243</v>
      </c>
      <c r="E253">
        <v>15</v>
      </c>
      <c r="F253">
        <v>12336</v>
      </c>
      <c r="G253" t="s">
        <v>303</v>
      </c>
      <c r="H253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250</v>
      </c>
      <c r="I253" t="str">
        <f>IF(DraftResults[[#This Row],[Player ID]]=0,"",INDEX(Table5[[#All],[Pos]],MATCH(DraftResults[[#This Row],[Player ID]],Table5[[#All],[PID]],0)))</f>
        <v>RF</v>
      </c>
      <c r="J253" t="str">
        <f>IF(DraftResults[[#This Row],[Player ID]]=0,"",INDEX(Table5[[#All],[First]],MATCH(DraftResults[[#This Row],[Player ID]],Table5[[#All],[PID]],0)))</f>
        <v>Mario</v>
      </c>
      <c r="K253" t="str">
        <f>IF(DraftResults[[#This Row],[Player ID]]=0,"",INDEX(Table5[[#All],[Last]],MATCH(DraftResults[[#This Row],[Player ID]],Table5[[#All],[PID]],0)))</f>
        <v>Rivera</v>
      </c>
    </row>
    <row r="254" spans="1:11" x14ac:dyDescent="0.3">
      <c r="A254">
        <v>8</v>
      </c>
      <c r="B254">
        <v>0</v>
      </c>
      <c r="C254">
        <v>18</v>
      </c>
      <c r="D254" t="s">
        <v>412</v>
      </c>
      <c r="E254">
        <v>162</v>
      </c>
      <c r="F254">
        <v>5541</v>
      </c>
      <c r="G254" t="s">
        <v>303</v>
      </c>
      <c r="H254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251</v>
      </c>
      <c r="I254" t="str">
        <f>IF(DraftResults[[#This Row],[Player ID]]=0,"",INDEX(Table5[[#All],[Pos]],MATCH(DraftResults[[#This Row],[Player ID]],Table5[[#All],[PID]],0)))</f>
        <v>C</v>
      </c>
      <c r="J254" t="str">
        <f>IF(DraftResults[[#This Row],[Player ID]]=0,"",INDEX(Table5[[#All],[First]],MATCH(DraftResults[[#This Row],[Player ID]],Table5[[#All],[PID]],0)))</f>
        <v>Michael</v>
      </c>
      <c r="K254" t="str">
        <f>IF(DraftResults[[#This Row],[Player ID]]=0,"",INDEX(Table5[[#All],[Last]],MATCH(DraftResults[[#This Row],[Player ID]],Table5[[#All],[PID]],0)))</f>
        <v>González</v>
      </c>
    </row>
    <row r="255" spans="1:11" x14ac:dyDescent="0.3">
      <c r="A255">
        <v>8</v>
      </c>
      <c r="B255">
        <v>0</v>
      </c>
      <c r="C255">
        <v>19</v>
      </c>
      <c r="D255" t="s">
        <v>247</v>
      </c>
      <c r="E255">
        <v>16</v>
      </c>
      <c r="F255">
        <v>15983</v>
      </c>
      <c r="G255" t="s">
        <v>303</v>
      </c>
      <c r="H255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252</v>
      </c>
      <c r="I255" t="str">
        <f>IF(DraftResults[[#This Row],[Player ID]]=0,"",INDEX(Table5[[#All],[Pos]],MATCH(DraftResults[[#This Row],[Player ID]],Table5[[#All],[PID]],0)))</f>
        <v>SS</v>
      </c>
      <c r="J255" t="str">
        <f>IF(DraftResults[[#This Row],[Player ID]]=0,"",INDEX(Table5[[#All],[First]],MATCH(DraftResults[[#This Row],[Player ID]],Table5[[#All],[PID]],0)))</f>
        <v>Naonobu</v>
      </c>
      <c r="K255" t="str">
        <f>IF(DraftResults[[#This Row],[Player ID]]=0,"",INDEX(Table5[[#All],[Last]],MATCH(DraftResults[[#This Row],[Player ID]],Table5[[#All],[PID]],0)))</f>
        <v>Okabe</v>
      </c>
    </row>
    <row r="256" spans="1:11" x14ac:dyDescent="0.3">
      <c r="A256">
        <v>8</v>
      </c>
      <c r="B256">
        <v>0</v>
      </c>
      <c r="C256">
        <v>20</v>
      </c>
      <c r="D256" t="s">
        <v>242</v>
      </c>
      <c r="E256">
        <v>14</v>
      </c>
      <c r="F256">
        <v>16929</v>
      </c>
      <c r="G256" t="s">
        <v>303</v>
      </c>
      <c r="H256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253</v>
      </c>
      <c r="I256" t="str">
        <f>IF(DraftResults[[#This Row],[Player ID]]=0,"",INDEX(Table5[[#All],[Pos]],MATCH(DraftResults[[#This Row],[Player ID]],Table5[[#All],[PID]],0)))</f>
        <v>3B</v>
      </c>
      <c r="J256" t="str">
        <f>IF(DraftResults[[#This Row],[Player ID]]=0,"",INDEX(Table5[[#All],[First]],MATCH(DraftResults[[#This Row],[Player ID]],Table5[[#All],[PID]],0)))</f>
        <v>Jim</v>
      </c>
      <c r="K256" t="str">
        <f>IF(DraftResults[[#This Row],[Player ID]]=0,"",INDEX(Table5[[#All],[Last]],MATCH(DraftResults[[#This Row],[Player ID]],Table5[[#All],[PID]],0)))</f>
        <v>Marshall</v>
      </c>
    </row>
    <row r="257" spans="1:11" x14ac:dyDescent="0.3">
      <c r="A257">
        <v>8</v>
      </c>
      <c r="B257">
        <v>0</v>
      </c>
      <c r="C257">
        <v>21</v>
      </c>
      <c r="D257" t="s">
        <v>416</v>
      </c>
      <c r="E257">
        <v>159</v>
      </c>
      <c r="F257">
        <v>11125</v>
      </c>
      <c r="G257" t="s">
        <v>303</v>
      </c>
      <c r="H257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254</v>
      </c>
      <c r="I257" t="str">
        <f>IF(DraftResults[[#This Row],[Player ID]]=0,"",INDEX(Table5[[#All],[Pos]],MATCH(DraftResults[[#This Row],[Player ID]],Table5[[#All],[PID]],0)))</f>
        <v>RP</v>
      </c>
      <c r="J257" t="str">
        <f>IF(DraftResults[[#This Row],[Player ID]]=0,"",INDEX(Table5[[#All],[First]],MATCH(DraftResults[[#This Row],[Player ID]],Table5[[#All],[PID]],0)))</f>
        <v>Dave</v>
      </c>
      <c r="K257" t="str">
        <f>IF(DraftResults[[#This Row],[Player ID]]=0,"",INDEX(Table5[[#All],[Last]],MATCH(DraftResults[[#This Row],[Player ID]],Table5[[#All],[PID]],0)))</f>
        <v>Crowhurst</v>
      </c>
    </row>
    <row r="258" spans="1:11" ht="15.75" customHeight="1" x14ac:dyDescent="0.3">
      <c r="A258">
        <v>8</v>
      </c>
      <c r="B258">
        <v>0</v>
      </c>
      <c r="C258">
        <v>22</v>
      </c>
      <c r="D258" t="s">
        <v>244</v>
      </c>
      <c r="E258">
        <v>20</v>
      </c>
      <c r="F258">
        <v>14874</v>
      </c>
      <c r="G258" t="s">
        <v>303</v>
      </c>
      <c r="H258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255</v>
      </c>
      <c r="I258" t="str">
        <f>IF(DraftResults[[#This Row],[Player ID]]=0,"",INDEX(Table5[[#All],[Pos]],MATCH(DraftResults[[#This Row],[Player ID]],Table5[[#All],[PID]],0)))</f>
        <v>RF</v>
      </c>
      <c r="J258" t="str">
        <f>IF(DraftResults[[#This Row],[Player ID]]=0,"",INDEX(Table5[[#All],[First]],MATCH(DraftResults[[#This Row],[Player ID]],Table5[[#All],[PID]],0)))</f>
        <v>Larry</v>
      </c>
      <c r="K258" t="str">
        <f>IF(DraftResults[[#This Row],[Player ID]]=0,"",INDEX(Table5[[#All],[Last]],MATCH(DraftResults[[#This Row],[Player ID]],Table5[[#All],[PID]],0)))</f>
        <v>Eaton</v>
      </c>
    </row>
    <row r="259" spans="1:11" x14ac:dyDescent="0.3">
      <c r="A259">
        <v>8</v>
      </c>
      <c r="B259">
        <v>0</v>
      </c>
      <c r="C259">
        <v>23</v>
      </c>
      <c r="D259" t="s">
        <v>239</v>
      </c>
      <c r="E259">
        <v>10</v>
      </c>
      <c r="F259">
        <v>10368</v>
      </c>
      <c r="G259" t="s">
        <v>303</v>
      </c>
      <c r="H259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256</v>
      </c>
      <c r="I259" t="str">
        <f>IF(DraftResults[[#This Row],[Player ID]]=0,"",INDEX(Table5[[#All],[Pos]],MATCH(DraftResults[[#This Row],[Player ID]],Table5[[#All],[PID]],0)))</f>
        <v>C</v>
      </c>
      <c r="J259" t="str">
        <f>IF(DraftResults[[#This Row],[Player ID]]=0,"",INDEX(Table5[[#All],[First]],MATCH(DraftResults[[#This Row],[Player ID]],Table5[[#All],[PID]],0)))</f>
        <v>Dave</v>
      </c>
      <c r="K259" t="str">
        <f>IF(DraftResults[[#This Row],[Player ID]]=0,"",INDEX(Table5[[#All],[Last]],MATCH(DraftResults[[#This Row],[Player ID]],Table5[[#All],[PID]],0)))</f>
        <v>Wilson</v>
      </c>
    </row>
    <row r="260" spans="1:11" x14ac:dyDescent="0.3">
      <c r="A260">
        <v>8</v>
      </c>
      <c r="B260">
        <v>0</v>
      </c>
      <c r="C260">
        <v>24</v>
      </c>
      <c r="D260" t="s">
        <v>233</v>
      </c>
      <c r="E260">
        <v>22</v>
      </c>
      <c r="F260">
        <v>9126</v>
      </c>
      <c r="G260" t="s">
        <v>303</v>
      </c>
      <c r="H260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257</v>
      </c>
      <c r="I260" t="str">
        <f>IF(DraftResults[[#This Row],[Player ID]]=0,"",INDEX(Table5[[#All],[Pos]],MATCH(DraftResults[[#This Row],[Player ID]],Table5[[#All],[PID]],0)))</f>
        <v>SP</v>
      </c>
      <c r="J260" t="str">
        <f>IF(DraftResults[[#This Row],[Player ID]]=0,"",INDEX(Table5[[#All],[First]],MATCH(DraftResults[[#This Row],[Player ID]],Table5[[#All],[PID]],0)))</f>
        <v>Jake</v>
      </c>
      <c r="K260" t="str">
        <f>IF(DraftResults[[#This Row],[Player ID]]=0,"",INDEX(Table5[[#All],[Last]],MATCH(DraftResults[[#This Row],[Player ID]],Table5[[#All],[PID]],0)))</f>
        <v>Souder</v>
      </c>
    </row>
    <row r="261" spans="1:11" x14ac:dyDescent="0.3">
      <c r="A261">
        <v>8</v>
      </c>
      <c r="B261">
        <v>0</v>
      </c>
      <c r="C261">
        <v>25</v>
      </c>
      <c r="D261" t="s">
        <v>236</v>
      </c>
      <c r="E261">
        <v>17</v>
      </c>
      <c r="F261">
        <v>12421</v>
      </c>
      <c r="G261" t="s">
        <v>303</v>
      </c>
      <c r="H261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258</v>
      </c>
      <c r="I261" t="str">
        <f>IF(DraftResults[[#This Row],[Player ID]]=0,"",INDEX(Table5[[#All],[Pos]],MATCH(DraftResults[[#This Row],[Player ID]],Table5[[#All],[PID]],0)))</f>
        <v>LF</v>
      </c>
      <c r="J261" t="str">
        <f>IF(DraftResults[[#This Row],[Player ID]]=0,"",INDEX(Table5[[#All],[First]],MATCH(DraftResults[[#This Row],[Player ID]],Table5[[#All],[PID]],0)))</f>
        <v>Vincente</v>
      </c>
      <c r="K261" t="str">
        <f>IF(DraftResults[[#This Row],[Player ID]]=0,"",INDEX(Table5[[#All],[Last]],MATCH(DraftResults[[#This Row],[Player ID]],Table5[[#All],[PID]],0)))</f>
        <v>Medellín</v>
      </c>
    </row>
    <row r="262" spans="1:11" x14ac:dyDescent="0.3">
      <c r="A262">
        <v>8</v>
      </c>
      <c r="B262">
        <v>0</v>
      </c>
      <c r="C262">
        <v>26</v>
      </c>
      <c r="D262" t="s">
        <v>232</v>
      </c>
      <c r="E262">
        <v>19</v>
      </c>
      <c r="F262">
        <v>12586</v>
      </c>
      <c r="G262" t="s">
        <v>303</v>
      </c>
      <c r="H262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259</v>
      </c>
      <c r="I262" t="str">
        <f>IF(DraftResults[[#This Row],[Player ID]]=0,"",INDEX(Table5[[#All],[Pos]],MATCH(DraftResults[[#This Row],[Player ID]],Table5[[#All],[PID]],0)))</f>
        <v>RF</v>
      </c>
      <c r="J262" t="str">
        <f>IF(DraftResults[[#This Row],[Player ID]]=0,"",INDEX(Table5[[#All],[First]],MATCH(DraftResults[[#This Row],[Player ID]],Table5[[#All],[PID]],0)))</f>
        <v>Mark</v>
      </c>
      <c r="K262" t="str">
        <f>IF(DraftResults[[#This Row],[Player ID]]=0,"",INDEX(Table5[[#All],[Last]],MATCH(DraftResults[[#This Row],[Player ID]],Table5[[#All],[PID]],0)))</f>
        <v>Bolen</v>
      </c>
    </row>
    <row r="263" spans="1:11" x14ac:dyDescent="0.3">
      <c r="A263">
        <v>8</v>
      </c>
      <c r="B263">
        <v>0</v>
      </c>
      <c r="C263">
        <v>27</v>
      </c>
      <c r="D263" t="s">
        <v>417</v>
      </c>
      <c r="E263">
        <v>163</v>
      </c>
      <c r="F263">
        <v>5814</v>
      </c>
      <c r="G263" t="s">
        <v>303</v>
      </c>
      <c r="H263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260</v>
      </c>
      <c r="I263" t="str">
        <f>IF(DraftResults[[#This Row],[Player ID]]=0,"",INDEX(Table5[[#All],[Pos]],MATCH(DraftResults[[#This Row],[Player ID]],Table5[[#All],[PID]],0)))</f>
        <v>SP</v>
      </c>
      <c r="J263" t="str">
        <f>IF(DraftResults[[#This Row],[Player ID]]=0,"",INDEX(Table5[[#All],[First]],MATCH(DraftResults[[#This Row],[Player ID]],Table5[[#All],[PID]],0)))</f>
        <v>Masazumi</v>
      </c>
      <c r="K263" t="str">
        <f>IF(DraftResults[[#This Row],[Player ID]]=0,"",INDEX(Table5[[#All],[Last]],MATCH(DraftResults[[#This Row],[Player ID]],Table5[[#All],[PID]],0)))</f>
        <v>Saikawa</v>
      </c>
    </row>
    <row r="264" spans="1:11" x14ac:dyDescent="0.3">
      <c r="A264">
        <v>8</v>
      </c>
      <c r="B264">
        <v>0</v>
      </c>
      <c r="C264">
        <v>28</v>
      </c>
      <c r="D264" t="s">
        <v>413</v>
      </c>
      <c r="E264">
        <v>2</v>
      </c>
      <c r="F264">
        <v>13312</v>
      </c>
      <c r="G264" t="s">
        <v>303</v>
      </c>
      <c r="H264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261</v>
      </c>
      <c r="I264" t="str">
        <f>IF(DraftResults[[#This Row],[Player ID]]=0,"",INDEX(Table5[[#All],[Pos]],MATCH(DraftResults[[#This Row],[Player ID]],Table5[[#All],[PID]],0)))</f>
        <v>RF</v>
      </c>
      <c r="J264" t="str">
        <f>IF(DraftResults[[#This Row],[Player ID]]=0,"",INDEX(Table5[[#All],[First]],MATCH(DraftResults[[#This Row],[Player ID]],Table5[[#All],[PID]],0)))</f>
        <v>Katsumi</v>
      </c>
      <c r="K264" t="str">
        <f>IF(DraftResults[[#This Row],[Player ID]]=0,"",INDEX(Table5[[#All],[Last]],MATCH(DraftResults[[#This Row],[Player ID]],Table5[[#All],[PID]],0)))</f>
        <v>Kobayashi</v>
      </c>
    </row>
    <row r="265" spans="1:11" x14ac:dyDescent="0.3">
      <c r="A265">
        <v>8</v>
      </c>
      <c r="B265">
        <v>0</v>
      </c>
      <c r="C265">
        <v>29</v>
      </c>
      <c r="D265" t="s">
        <v>488</v>
      </c>
      <c r="E265">
        <v>7</v>
      </c>
      <c r="F265">
        <v>9998</v>
      </c>
      <c r="G265" t="s">
        <v>303</v>
      </c>
      <c r="H265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262</v>
      </c>
      <c r="I265" t="str">
        <f>IF(DraftResults[[#This Row],[Player ID]]=0,"",INDEX(Table5[[#All],[Pos]],MATCH(DraftResults[[#This Row],[Player ID]],Table5[[#All],[PID]],0)))</f>
        <v>SP</v>
      </c>
      <c r="J265" t="str">
        <f>IF(DraftResults[[#This Row],[Player ID]]=0,"",INDEX(Table5[[#All],[First]],MATCH(DraftResults[[#This Row],[Player ID]],Table5[[#All],[PID]],0)))</f>
        <v>Ian</v>
      </c>
      <c r="K265" t="str">
        <f>IF(DraftResults[[#This Row],[Player ID]]=0,"",INDEX(Table5[[#All],[Last]],MATCH(DraftResults[[#This Row],[Player ID]],Table5[[#All],[PID]],0)))</f>
        <v>Nelson</v>
      </c>
    </row>
    <row r="266" spans="1:11" x14ac:dyDescent="0.3">
      <c r="A266">
        <v>8</v>
      </c>
      <c r="B266">
        <v>0</v>
      </c>
      <c r="C266">
        <v>30</v>
      </c>
      <c r="D266" t="s">
        <v>415</v>
      </c>
      <c r="E266">
        <v>166</v>
      </c>
      <c r="F266">
        <v>12479</v>
      </c>
      <c r="G266" t="s">
        <v>303</v>
      </c>
      <c r="H266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263</v>
      </c>
      <c r="I266" t="str">
        <f>IF(DraftResults[[#This Row],[Player ID]]=0,"",INDEX(Table5[[#All],[Pos]],MATCH(DraftResults[[#This Row],[Player ID]],Table5[[#All],[PID]],0)))</f>
        <v>CL</v>
      </c>
      <c r="J266" t="str">
        <f>IF(DraftResults[[#This Row],[Player ID]]=0,"",INDEX(Table5[[#All],[First]],MATCH(DraftResults[[#This Row],[Player ID]],Table5[[#All],[PID]],0)))</f>
        <v>Robbie</v>
      </c>
      <c r="K266" t="str">
        <f>IF(DraftResults[[#This Row],[Player ID]]=0,"",INDEX(Table5[[#All],[Last]],MATCH(DraftResults[[#This Row],[Player ID]],Table5[[#All],[PID]],0)))</f>
        <v>Williams</v>
      </c>
    </row>
    <row r="267" spans="1:11" x14ac:dyDescent="0.3">
      <c r="A267">
        <v>8</v>
      </c>
      <c r="B267">
        <v>0</v>
      </c>
      <c r="C267">
        <v>31</v>
      </c>
      <c r="D267" t="s">
        <v>238</v>
      </c>
      <c r="E267">
        <v>11</v>
      </c>
      <c r="F267">
        <v>20420</v>
      </c>
      <c r="G267" t="s">
        <v>303</v>
      </c>
      <c r="H267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264</v>
      </c>
      <c r="I267" t="str">
        <f>IF(DraftResults[[#This Row],[Player ID]]=0,"",INDEX(Table5[[#All],[Pos]],MATCH(DraftResults[[#This Row],[Player ID]],Table5[[#All],[PID]],0)))</f>
        <v>CF</v>
      </c>
      <c r="J267" t="str">
        <f>IF(DraftResults[[#This Row],[Player ID]]=0,"",INDEX(Table5[[#All],[First]],MATCH(DraftResults[[#This Row],[Player ID]],Table5[[#All],[PID]],0)))</f>
        <v>Edward</v>
      </c>
      <c r="K267" t="str">
        <f>IF(DraftResults[[#This Row],[Player ID]]=0,"",INDEX(Table5[[#All],[Last]],MATCH(DraftResults[[#This Row],[Player ID]],Table5[[#All],[PID]],0)))</f>
        <v>Frawley</v>
      </c>
    </row>
    <row r="268" spans="1:11" x14ac:dyDescent="0.3">
      <c r="A268">
        <v>8</v>
      </c>
      <c r="B268">
        <v>0</v>
      </c>
      <c r="C268">
        <v>32</v>
      </c>
      <c r="D268" t="s">
        <v>236</v>
      </c>
      <c r="E268">
        <v>17</v>
      </c>
      <c r="F268">
        <v>13286</v>
      </c>
      <c r="G268" t="s">
        <v>303</v>
      </c>
      <c r="H268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265</v>
      </c>
      <c r="I268" t="str">
        <f>IF(DraftResults[[#This Row],[Player ID]]=0,"",INDEX(Table5[[#All],[Pos]],MATCH(DraftResults[[#This Row],[Player ID]],Table5[[#All],[PID]],0)))</f>
        <v>SP</v>
      </c>
      <c r="J268" t="str">
        <f>IF(DraftResults[[#This Row],[Player ID]]=0,"",INDEX(Table5[[#All],[First]],MATCH(DraftResults[[#This Row],[Player ID]],Table5[[#All],[PID]],0)))</f>
        <v>Shigekazu</v>
      </c>
      <c r="K268" t="str">
        <f>IF(DraftResults[[#This Row],[Player ID]]=0,"",INDEX(Table5[[#All],[Last]],MATCH(DraftResults[[#This Row],[Player ID]],Table5[[#All],[PID]],0)))</f>
        <v>Goto</v>
      </c>
    </row>
    <row r="269" spans="1:11" x14ac:dyDescent="0.3">
      <c r="A269">
        <v>9</v>
      </c>
      <c r="B269">
        <v>0</v>
      </c>
      <c r="C269">
        <v>1</v>
      </c>
      <c r="D269" t="s">
        <v>542</v>
      </c>
      <c r="E269">
        <v>24</v>
      </c>
      <c r="F269">
        <v>15605</v>
      </c>
      <c r="G269" t="s">
        <v>303</v>
      </c>
      <c r="H269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266</v>
      </c>
      <c r="I269" t="str">
        <f>IF(DraftResults[[#This Row],[Player ID]]=0,"",INDEX(Table5[[#All],[Pos]],MATCH(DraftResults[[#This Row],[Player ID]],Table5[[#All],[PID]],0)))</f>
        <v>1B</v>
      </c>
      <c r="J269" t="str">
        <f>IF(DraftResults[[#This Row],[Player ID]]=0,"",INDEX(Table5[[#All],[First]],MATCH(DraftResults[[#This Row],[Player ID]],Table5[[#All],[PID]],0)))</f>
        <v>Kawanari</v>
      </c>
      <c r="K269" t="str">
        <f>IF(DraftResults[[#This Row],[Player ID]]=0,"",INDEX(Table5[[#All],[Last]],MATCH(DraftResults[[#This Row],[Player ID]],Table5[[#All],[PID]],0)))</f>
        <v>Katayama</v>
      </c>
    </row>
    <row r="270" spans="1:11" x14ac:dyDescent="0.3">
      <c r="A270">
        <v>9</v>
      </c>
      <c r="B270">
        <v>0</v>
      </c>
      <c r="C270">
        <v>2</v>
      </c>
      <c r="D270" t="s">
        <v>488</v>
      </c>
      <c r="E270">
        <v>7</v>
      </c>
      <c r="F270">
        <v>11364</v>
      </c>
      <c r="G270" t="s">
        <v>303</v>
      </c>
      <c r="H270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267</v>
      </c>
      <c r="I270" t="str">
        <f>IF(DraftResults[[#This Row],[Player ID]]=0,"",INDEX(Table5[[#All],[Pos]],MATCH(DraftResults[[#This Row],[Player ID]],Table5[[#All],[PID]],0)))</f>
        <v>SP</v>
      </c>
      <c r="J270" t="str">
        <f>IF(DraftResults[[#This Row],[Player ID]]=0,"",INDEX(Table5[[#All],[First]],MATCH(DraftResults[[#This Row],[Player ID]],Table5[[#All],[PID]],0)))</f>
        <v>Brandon</v>
      </c>
      <c r="K270" t="str">
        <f>IF(DraftResults[[#This Row],[Player ID]]=0,"",INDEX(Table5[[#All],[Last]],MATCH(DraftResults[[#This Row],[Player ID]],Table5[[#All],[PID]],0)))</f>
        <v>Knight</v>
      </c>
    </row>
    <row r="271" spans="1:11" x14ac:dyDescent="0.3">
      <c r="A271">
        <v>9</v>
      </c>
      <c r="B271">
        <v>0</v>
      </c>
      <c r="C271">
        <v>3</v>
      </c>
      <c r="D271" t="s">
        <v>420</v>
      </c>
      <c r="E271">
        <v>167</v>
      </c>
      <c r="F271">
        <v>20764</v>
      </c>
      <c r="G271" t="s">
        <v>303</v>
      </c>
      <c r="H271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268</v>
      </c>
      <c r="I271" t="str">
        <f>IF(DraftResults[[#This Row],[Player ID]]=0,"",INDEX(Table5[[#All],[Pos]],MATCH(DraftResults[[#This Row],[Player ID]],Table5[[#All],[PID]],0)))</f>
        <v>C</v>
      </c>
      <c r="J271" t="str">
        <f>IF(DraftResults[[#This Row],[Player ID]]=0,"",INDEX(Table5[[#All],[First]],MATCH(DraftResults[[#This Row],[Player ID]],Table5[[#All],[PID]],0)))</f>
        <v>Pat</v>
      </c>
      <c r="K271" t="str">
        <f>IF(DraftResults[[#This Row],[Player ID]]=0,"",INDEX(Table5[[#All],[Last]],MATCH(DraftResults[[#This Row],[Player ID]],Table5[[#All],[PID]],0)))</f>
        <v>Walker</v>
      </c>
    </row>
    <row r="272" spans="1:11" x14ac:dyDescent="0.3">
      <c r="A272">
        <v>9</v>
      </c>
      <c r="B272">
        <v>0</v>
      </c>
      <c r="C272">
        <v>4</v>
      </c>
      <c r="D272" t="s">
        <v>235</v>
      </c>
      <c r="E272">
        <v>21</v>
      </c>
      <c r="F272">
        <v>13528</v>
      </c>
      <c r="G272" t="s">
        <v>303</v>
      </c>
      <c r="H272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269</v>
      </c>
      <c r="I272" t="str">
        <f>IF(DraftResults[[#This Row],[Player ID]]=0,"",INDEX(Table5[[#All],[Pos]],MATCH(DraftResults[[#This Row],[Player ID]],Table5[[#All],[PID]],0)))</f>
        <v>SP</v>
      </c>
      <c r="J272" t="str">
        <f>IF(DraftResults[[#This Row],[Player ID]]=0,"",INDEX(Table5[[#All],[First]],MATCH(DraftResults[[#This Row],[Player ID]],Table5[[#All],[PID]],0)))</f>
        <v>Nathan</v>
      </c>
      <c r="K272" t="str">
        <f>IF(DraftResults[[#This Row],[Player ID]]=0,"",INDEX(Table5[[#All],[Last]],MATCH(DraftResults[[#This Row],[Player ID]],Table5[[#All],[PID]],0)))</f>
        <v>Carveth</v>
      </c>
    </row>
    <row r="273" spans="1:11" x14ac:dyDescent="0.3">
      <c r="A273">
        <v>9</v>
      </c>
      <c r="B273">
        <v>0</v>
      </c>
      <c r="C273">
        <v>5</v>
      </c>
      <c r="D273" t="s">
        <v>545</v>
      </c>
      <c r="E273">
        <v>23</v>
      </c>
      <c r="F273">
        <v>10971</v>
      </c>
      <c r="G273" t="s">
        <v>303</v>
      </c>
      <c r="H273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270</v>
      </c>
      <c r="I273" t="str">
        <f>IF(DraftResults[[#This Row],[Player ID]]=0,"",INDEX(Table5[[#All],[Pos]],MATCH(DraftResults[[#This Row],[Player ID]],Table5[[#All],[PID]],0)))</f>
        <v>RP</v>
      </c>
      <c r="J273" t="str">
        <f>IF(DraftResults[[#This Row],[Player ID]]=0,"",INDEX(Table5[[#All],[First]],MATCH(DraftResults[[#This Row],[Player ID]],Table5[[#All],[PID]],0)))</f>
        <v>Carl</v>
      </c>
      <c r="K273" t="str">
        <f>IF(DraftResults[[#This Row],[Player ID]]=0,"",INDEX(Table5[[#All],[Last]],MATCH(DraftResults[[#This Row],[Player ID]],Table5[[#All],[PID]],0)))</f>
        <v>Ramírez</v>
      </c>
    </row>
    <row r="274" spans="1:11" x14ac:dyDescent="0.3">
      <c r="A274">
        <v>9</v>
      </c>
      <c r="B274">
        <v>0</v>
      </c>
      <c r="C274">
        <v>6</v>
      </c>
      <c r="D274" t="s">
        <v>246</v>
      </c>
      <c r="E274">
        <v>8</v>
      </c>
      <c r="F274">
        <v>6165</v>
      </c>
      <c r="G274" t="s">
        <v>303</v>
      </c>
      <c r="H274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271</v>
      </c>
      <c r="I274" t="str">
        <f>IF(DraftResults[[#This Row],[Player ID]]=0,"",INDEX(Table5[[#All],[Pos]],MATCH(DraftResults[[#This Row],[Player ID]],Table5[[#All],[PID]],0)))</f>
        <v>LF</v>
      </c>
      <c r="J274" t="str">
        <f>IF(DraftResults[[#This Row],[Player ID]]=0,"",INDEX(Table5[[#All],[First]],MATCH(DraftResults[[#This Row],[Player ID]],Table5[[#All],[PID]],0)))</f>
        <v>Chris</v>
      </c>
      <c r="K274" t="str">
        <f>IF(DraftResults[[#This Row],[Player ID]]=0,"",INDEX(Table5[[#All],[Last]],MATCH(DraftResults[[#This Row],[Player ID]],Table5[[#All],[PID]],0)))</f>
        <v>Reyes</v>
      </c>
    </row>
    <row r="275" spans="1:11" x14ac:dyDescent="0.3">
      <c r="A275">
        <v>9</v>
      </c>
      <c r="B275">
        <v>0</v>
      </c>
      <c r="C275">
        <v>7</v>
      </c>
      <c r="D275" t="s">
        <v>419</v>
      </c>
      <c r="E275">
        <v>18</v>
      </c>
      <c r="F275">
        <v>20894</v>
      </c>
      <c r="G275" t="s">
        <v>303</v>
      </c>
      <c r="H275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272</v>
      </c>
      <c r="I275" t="str">
        <f>IF(DraftResults[[#This Row],[Player ID]]=0,"",INDEX(Table5[[#All],[Pos]],MATCH(DraftResults[[#This Row],[Player ID]],Table5[[#All],[PID]],0)))</f>
        <v>LF</v>
      </c>
      <c r="J275" t="str">
        <f>IF(DraftResults[[#This Row],[Player ID]]=0,"",INDEX(Table5[[#All],[First]],MATCH(DraftResults[[#This Row],[Player ID]],Table5[[#All],[PID]],0)))</f>
        <v>Craig</v>
      </c>
      <c r="K275" t="str">
        <f>IF(DraftResults[[#This Row],[Player ID]]=0,"",INDEX(Table5[[#All],[Last]],MATCH(DraftResults[[#This Row],[Player ID]],Table5[[#All],[PID]],0)))</f>
        <v>Isales</v>
      </c>
    </row>
    <row r="276" spans="1:11" x14ac:dyDescent="0.3">
      <c r="A276">
        <v>9</v>
      </c>
      <c r="B276">
        <v>0</v>
      </c>
      <c r="C276">
        <v>8</v>
      </c>
      <c r="D276" t="s">
        <v>1614</v>
      </c>
      <c r="E276">
        <v>6</v>
      </c>
      <c r="F276">
        <v>5780</v>
      </c>
      <c r="G276" t="s">
        <v>303</v>
      </c>
      <c r="H276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273</v>
      </c>
      <c r="I276" t="str">
        <f>IF(DraftResults[[#This Row],[Player ID]]=0,"",INDEX(Table5[[#All],[Pos]],MATCH(DraftResults[[#This Row],[Player ID]],Table5[[#All],[PID]],0)))</f>
        <v>RF</v>
      </c>
      <c r="J276" t="str">
        <f>IF(DraftResults[[#This Row],[Player ID]]=0,"",INDEX(Table5[[#All],[First]],MATCH(DraftResults[[#This Row],[Player ID]],Table5[[#All],[PID]],0)))</f>
        <v>Carlos</v>
      </c>
      <c r="K276" t="str">
        <f>IF(DraftResults[[#This Row],[Player ID]]=0,"",INDEX(Table5[[#All],[Last]],MATCH(DraftResults[[#This Row],[Player ID]],Table5[[#All],[PID]],0)))</f>
        <v>Pérez</v>
      </c>
    </row>
    <row r="277" spans="1:11" x14ac:dyDescent="0.3">
      <c r="A277">
        <v>9</v>
      </c>
      <c r="B277">
        <v>0</v>
      </c>
      <c r="C277">
        <v>9</v>
      </c>
      <c r="D277" t="s">
        <v>1615</v>
      </c>
      <c r="E277">
        <v>5</v>
      </c>
      <c r="F277">
        <v>20497</v>
      </c>
      <c r="G277" t="s">
        <v>303</v>
      </c>
      <c r="H277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274</v>
      </c>
      <c r="I277" t="str">
        <f>IF(DraftResults[[#This Row],[Player ID]]=0,"",INDEX(Table5[[#All],[Pos]],MATCH(DraftResults[[#This Row],[Player ID]],Table5[[#All],[PID]],0)))</f>
        <v>3B</v>
      </c>
      <c r="J277" t="str">
        <f>IF(DraftResults[[#This Row],[Player ID]]=0,"",INDEX(Table5[[#All],[First]],MATCH(DraftResults[[#This Row],[Player ID]],Table5[[#All],[PID]],0)))</f>
        <v>Kazunori</v>
      </c>
      <c r="K277" t="str">
        <f>IF(DraftResults[[#This Row],[Player ID]]=0,"",INDEX(Table5[[#All],[Last]],MATCH(DraftResults[[#This Row],[Player ID]],Table5[[#All],[PID]],0)))</f>
        <v>Ojima</v>
      </c>
    </row>
    <row r="278" spans="1:11" x14ac:dyDescent="0.3">
      <c r="A278">
        <v>9</v>
      </c>
      <c r="B278">
        <v>0</v>
      </c>
      <c r="C278">
        <v>10</v>
      </c>
      <c r="D278" t="s">
        <v>240</v>
      </c>
      <c r="E278">
        <v>3</v>
      </c>
      <c r="F278">
        <v>7607</v>
      </c>
      <c r="G278" t="s">
        <v>303</v>
      </c>
      <c r="H278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275</v>
      </c>
      <c r="I278" t="str">
        <f>IF(DraftResults[[#This Row],[Player ID]]=0,"",INDEX(Table5[[#All],[Pos]],MATCH(DraftResults[[#This Row],[Player ID]],Table5[[#All],[PID]],0)))</f>
        <v>C</v>
      </c>
      <c r="J278" t="str">
        <f>IF(DraftResults[[#This Row],[Player ID]]=0,"",INDEX(Table5[[#All],[First]],MATCH(DraftResults[[#This Row],[Player ID]],Table5[[#All],[PID]],0)))</f>
        <v>John</v>
      </c>
      <c r="K278" t="str">
        <f>IF(DraftResults[[#This Row],[Player ID]]=0,"",INDEX(Table5[[#All],[Last]],MATCH(DraftResults[[#This Row],[Player ID]],Table5[[#All],[PID]],0)))</f>
        <v>Graves</v>
      </c>
    </row>
    <row r="279" spans="1:11" x14ac:dyDescent="0.3">
      <c r="A279">
        <v>9</v>
      </c>
      <c r="B279">
        <v>0</v>
      </c>
      <c r="C279">
        <v>11</v>
      </c>
      <c r="D279" t="s">
        <v>241</v>
      </c>
      <c r="E279">
        <v>1</v>
      </c>
      <c r="F279">
        <v>20844</v>
      </c>
      <c r="G279" t="s">
        <v>303</v>
      </c>
      <c r="H279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276</v>
      </c>
      <c r="I279" t="str">
        <f>IF(DraftResults[[#This Row],[Player ID]]=0,"",INDEX(Table5[[#All],[Pos]],MATCH(DraftResults[[#This Row],[Player ID]],Table5[[#All],[PID]],0)))</f>
        <v>RF</v>
      </c>
      <c r="J279" t="str">
        <f>IF(DraftResults[[#This Row],[Player ID]]=0,"",INDEX(Table5[[#All],[First]],MATCH(DraftResults[[#This Row],[Player ID]],Table5[[#All],[PID]],0)))</f>
        <v>Anthony</v>
      </c>
      <c r="K279" t="str">
        <f>IF(DraftResults[[#This Row],[Player ID]]=0,"",INDEX(Table5[[#All],[Last]],MATCH(DraftResults[[#This Row],[Player ID]],Table5[[#All],[PID]],0)))</f>
        <v>Steele</v>
      </c>
    </row>
    <row r="280" spans="1:11" x14ac:dyDescent="0.3">
      <c r="A280">
        <v>9</v>
      </c>
      <c r="B280">
        <v>0</v>
      </c>
      <c r="C280">
        <v>12</v>
      </c>
      <c r="D280" t="s">
        <v>489</v>
      </c>
      <c r="E280">
        <v>4</v>
      </c>
      <c r="F280">
        <v>9242</v>
      </c>
      <c r="G280" t="s">
        <v>303</v>
      </c>
      <c r="H280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277</v>
      </c>
      <c r="I280" t="str">
        <f>IF(DraftResults[[#This Row],[Player ID]]=0,"",INDEX(Table5[[#All],[Pos]],MATCH(DraftResults[[#This Row],[Player ID]],Table5[[#All],[PID]],0)))</f>
        <v>RP</v>
      </c>
      <c r="J280" t="str">
        <f>IF(DraftResults[[#This Row],[Player ID]]=0,"",INDEX(Table5[[#All],[First]],MATCH(DraftResults[[#This Row],[Player ID]],Table5[[#All],[PID]],0)))</f>
        <v>Francisco</v>
      </c>
      <c r="K280" t="str">
        <f>IF(DraftResults[[#This Row],[Player ID]]=0,"",INDEX(Table5[[#All],[Last]],MATCH(DraftResults[[#This Row],[Player ID]],Table5[[#All],[PID]],0)))</f>
        <v>Gómez</v>
      </c>
    </row>
    <row r="281" spans="1:11" x14ac:dyDescent="0.3">
      <c r="A281">
        <v>9</v>
      </c>
      <c r="B281">
        <v>0</v>
      </c>
      <c r="C281">
        <v>13</v>
      </c>
      <c r="D281" t="s">
        <v>414</v>
      </c>
      <c r="E281">
        <v>164</v>
      </c>
      <c r="F281">
        <v>21076</v>
      </c>
      <c r="G281" t="s">
        <v>303</v>
      </c>
      <c r="H281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278</v>
      </c>
      <c r="I281" t="str">
        <f>IF(DraftResults[[#This Row],[Player ID]]=0,"",INDEX(Table5[[#All],[Pos]],MATCH(DraftResults[[#This Row],[Player ID]],Table5[[#All],[PID]],0)))</f>
        <v>RP</v>
      </c>
      <c r="J281" t="str">
        <f>IF(DraftResults[[#This Row],[Player ID]]=0,"",INDEX(Table5[[#All],[First]],MATCH(DraftResults[[#This Row],[Player ID]],Table5[[#All],[PID]],0)))</f>
        <v>Peter</v>
      </c>
      <c r="K281" t="str">
        <f>IF(DraftResults[[#This Row],[Player ID]]=0,"",INDEX(Table5[[#All],[Last]],MATCH(DraftResults[[#This Row],[Player ID]],Table5[[#All],[PID]],0)))</f>
        <v>Johnstone</v>
      </c>
    </row>
    <row r="282" spans="1:11" x14ac:dyDescent="0.3">
      <c r="A282">
        <v>9</v>
      </c>
      <c r="B282">
        <v>0</v>
      </c>
      <c r="C282">
        <v>14</v>
      </c>
      <c r="D282" t="s">
        <v>251</v>
      </c>
      <c r="E282">
        <v>12</v>
      </c>
      <c r="F282">
        <v>20250</v>
      </c>
      <c r="G282" t="s">
        <v>303</v>
      </c>
      <c r="H282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279</v>
      </c>
      <c r="I282" t="str">
        <f>IF(DraftResults[[#This Row],[Player ID]]=0,"",INDEX(Table5[[#All],[Pos]],MATCH(DraftResults[[#This Row],[Player ID]],Table5[[#All],[PID]],0)))</f>
        <v>C</v>
      </c>
      <c r="J282" t="str">
        <f>IF(DraftResults[[#This Row],[Player ID]]=0,"",INDEX(Table5[[#All],[First]],MATCH(DraftResults[[#This Row],[Player ID]],Table5[[#All],[PID]],0)))</f>
        <v>Joseph</v>
      </c>
      <c r="K282" t="str">
        <f>IF(DraftResults[[#This Row],[Player ID]]=0,"",INDEX(Table5[[#All],[Last]],MATCH(DraftResults[[#This Row],[Player ID]],Table5[[#All],[PID]],0)))</f>
        <v>Cowan</v>
      </c>
    </row>
    <row r="283" spans="1:11" x14ac:dyDescent="0.3">
      <c r="A283">
        <v>9</v>
      </c>
      <c r="B283">
        <v>0</v>
      </c>
      <c r="C283">
        <v>15</v>
      </c>
      <c r="D283" t="s">
        <v>543</v>
      </c>
      <c r="E283">
        <v>160</v>
      </c>
      <c r="F283">
        <v>13618</v>
      </c>
      <c r="G283" t="s">
        <v>303</v>
      </c>
      <c r="H283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280</v>
      </c>
      <c r="I283" t="str">
        <f>IF(DraftResults[[#This Row],[Player ID]]=0,"",INDEX(Table5[[#All],[Pos]],MATCH(DraftResults[[#This Row],[Player ID]],Table5[[#All],[PID]],0)))</f>
        <v>SP</v>
      </c>
      <c r="J283" t="str">
        <f>IF(DraftResults[[#This Row],[Player ID]]=0,"",INDEX(Table5[[#All],[First]],MATCH(DraftResults[[#This Row],[Player ID]],Table5[[#All],[PID]],0)))</f>
        <v>Ernest</v>
      </c>
      <c r="K283" t="str">
        <f>IF(DraftResults[[#This Row],[Player ID]]=0,"",INDEX(Table5[[#All],[Last]],MATCH(DraftResults[[#This Row],[Player ID]],Table5[[#All],[PID]],0)))</f>
        <v>Foster</v>
      </c>
    </row>
    <row r="284" spans="1:11" ht="15.75" customHeight="1" x14ac:dyDescent="0.3">
      <c r="A284">
        <v>9</v>
      </c>
      <c r="B284">
        <v>0</v>
      </c>
      <c r="C284">
        <v>16</v>
      </c>
      <c r="D284" t="s">
        <v>544</v>
      </c>
      <c r="E284">
        <v>13</v>
      </c>
      <c r="F284">
        <v>21005</v>
      </c>
      <c r="G284" t="s">
        <v>303</v>
      </c>
      <c r="H284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281</v>
      </c>
      <c r="I284" t="str">
        <f>IF(DraftResults[[#This Row],[Player ID]]=0,"",INDEX(Table5[[#All],[Pos]],MATCH(DraftResults[[#This Row],[Player ID]],Table5[[#All],[PID]],0)))</f>
        <v>RP</v>
      </c>
      <c r="J284" t="str">
        <f>IF(DraftResults[[#This Row],[Player ID]]=0,"",INDEX(Table5[[#All],[First]],MATCH(DraftResults[[#This Row],[Player ID]],Table5[[#All],[PID]],0)))</f>
        <v>Sonny</v>
      </c>
      <c r="K284" t="str">
        <f>IF(DraftResults[[#This Row],[Player ID]]=0,"",INDEX(Table5[[#All],[Last]],MATCH(DraftResults[[#This Row],[Player ID]],Table5[[#All],[PID]],0)))</f>
        <v>Ruíz</v>
      </c>
    </row>
    <row r="285" spans="1:11" x14ac:dyDescent="0.3">
      <c r="A285">
        <v>9</v>
      </c>
      <c r="B285">
        <v>0</v>
      </c>
      <c r="C285">
        <v>17</v>
      </c>
      <c r="D285" t="s">
        <v>243</v>
      </c>
      <c r="E285">
        <v>15</v>
      </c>
      <c r="F285">
        <v>14415</v>
      </c>
      <c r="G285" t="s">
        <v>303</v>
      </c>
      <c r="H285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282</v>
      </c>
      <c r="I285" t="str">
        <f>IF(DraftResults[[#This Row],[Player ID]]=0,"",INDEX(Table5[[#All],[Pos]],MATCH(DraftResults[[#This Row],[Player ID]],Table5[[#All],[PID]],0)))</f>
        <v>RF</v>
      </c>
      <c r="J285" t="str">
        <f>IF(DraftResults[[#This Row],[Player ID]]=0,"",INDEX(Table5[[#All],[First]],MATCH(DraftResults[[#This Row],[Player ID]],Table5[[#All],[PID]],0)))</f>
        <v>John</v>
      </c>
      <c r="K285" t="str">
        <f>IF(DraftResults[[#This Row],[Player ID]]=0,"",INDEX(Table5[[#All],[Last]],MATCH(DraftResults[[#This Row],[Player ID]],Table5[[#All],[PID]],0)))</f>
        <v>Carlson</v>
      </c>
    </row>
    <row r="286" spans="1:11" x14ac:dyDescent="0.3">
      <c r="A286">
        <v>9</v>
      </c>
      <c r="B286">
        <v>0</v>
      </c>
      <c r="C286">
        <v>18</v>
      </c>
      <c r="D286" t="s">
        <v>412</v>
      </c>
      <c r="E286">
        <v>162</v>
      </c>
      <c r="F286">
        <v>12121</v>
      </c>
      <c r="G286" t="s">
        <v>303</v>
      </c>
      <c r="H286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283</v>
      </c>
      <c r="I286" t="str">
        <f>IF(DraftResults[[#This Row],[Player ID]]=0,"",INDEX(Table5[[#All],[Pos]],MATCH(DraftResults[[#This Row],[Player ID]],Table5[[#All],[PID]],0)))</f>
        <v>3B</v>
      </c>
      <c r="J286" t="str">
        <f>IF(DraftResults[[#This Row],[Player ID]]=0,"",INDEX(Table5[[#All],[First]],MATCH(DraftResults[[#This Row],[Player ID]],Table5[[#All],[PID]],0)))</f>
        <v>José</v>
      </c>
      <c r="K286" t="str">
        <f>IF(DraftResults[[#This Row],[Player ID]]=0,"",INDEX(Table5[[#All],[Last]],MATCH(DraftResults[[#This Row],[Player ID]],Table5[[#All],[PID]],0)))</f>
        <v>Chacón</v>
      </c>
    </row>
    <row r="287" spans="1:11" x14ac:dyDescent="0.3">
      <c r="A287">
        <v>9</v>
      </c>
      <c r="B287">
        <v>0</v>
      </c>
      <c r="C287">
        <v>19</v>
      </c>
      <c r="D287" t="s">
        <v>247</v>
      </c>
      <c r="E287">
        <v>16</v>
      </c>
      <c r="F287">
        <v>12127</v>
      </c>
      <c r="G287" t="s">
        <v>303</v>
      </c>
      <c r="H287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284</v>
      </c>
      <c r="I287" t="str">
        <f>IF(DraftResults[[#This Row],[Player ID]]=0,"",INDEX(Table5[[#All],[Pos]],MATCH(DraftResults[[#This Row],[Player ID]],Table5[[#All],[PID]],0)))</f>
        <v>SP</v>
      </c>
      <c r="J287" t="str">
        <f>IF(DraftResults[[#This Row],[Player ID]]=0,"",INDEX(Table5[[#All],[First]],MATCH(DraftResults[[#This Row],[Player ID]],Table5[[#All],[PID]],0)))</f>
        <v>Adam</v>
      </c>
      <c r="K287" t="str">
        <f>IF(DraftResults[[#This Row],[Player ID]]=0,"",INDEX(Table5[[#All],[Last]],MATCH(DraftResults[[#This Row],[Player ID]],Table5[[#All],[PID]],0)))</f>
        <v>MacKay</v>
      </c>
    </row>
    <row r="288" spans="1:11" x14ac:dyDescent="0.3">
      <c r="A288">
        <v>9</v>
      </c>
      <c r="B288">
        <v>0</v>
      </c>
      <c r="C288">
        <v>20</v>
      </c>
      <c r="D288" t="s">
        <v>242</v>
      </c>
      <c r="E288">
        <v>14</v>
      </c>
      <c r="F288">
        <v>7227</v>
      </c>
      <c r="G288" t="s">
        <v>303</v>
      </c>
      <c r="H288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285</v>
      </c>
      <c r="I288" t="str">
        <f>IF(DraftResults[[#This Row],[Player ID]]=0,"",INDEX(Table5[[#All],[Pos]],MATCH(DraftResults[[#This Row],[Player ID]],Table5[[#All],[PID]],0)))</f>
        <v>SS</v>
      </c>
      <c r="J288" t="str">
        <f>IF(DraftResults[[#This Row],[Player ID]]=0,"",INDEX(Table5[[#All],[First]],MATCH(DraftResults[[#This Row],[Player ID]],Table5[[#All],[PID]],0)))</f>
        <v>Stanley</v>
      </c>
      <c r="K288" t="str">
        <f>IF(DraftResults[[#This Row],[Player ID]]=0,"",INDEX(Table5[[#All],[Last]],MATCH(DraftResults[[#This Row],[Player ID]],Table5[[#All],[PID]],0)))</f>
        <v>Jackson</v>
      </c>
    </row>
    <row r="289" spans="1:11" x14ac:dyDescent="0.3">
      <c r="A289">
        <v>9</v>
      </c>
      <c r="B289">
        <v>0</v>
      </c>
      <c r="C289">
        <v>21</v>
      </c>
      <c r="D289" t="s">
        <v>416</v>
      </c>
      <c r="E289">
        <v>159</v>
      </c>
      <c r="F289">
        <v>20519</v>
      </c>
      <c r="G289" t="s">
        <v>303</v>
      </c>
      <c r="H289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286</v>
      </c>
      <c r="I289" t="str">
        <f>IF(DraftResults[[#This Row],[Player ID]]=0,"",INDEX(Table5[[#All],[Pos]],MATCH(DraftResults[[#This Row],[Player ID]],Table5[[#All],[PID]],0)))</f>
        <v>LF</v>
      </c>
      <c r="J289" t="str">
        <f>IF(DraftResults[[#This Row],[Player ID]]=0,"",INDEX(Table5[[#All],[First]],MATCH(DraftResults[[#This Row],[Player ID]],Table5[[#All],[PID]],0)))</f>
        <v>Gorgonio</v>
      </c>
      <c r="K289" t="str">
        <f>IF(DraftResults[[#This Row],[Player ID]]=0,"",INDEX(Table5[[#All],[Last]],MATCH(DraftResults[[#This Row],[Player ID]],Table5[[#All],[PID]],0)))</f>
        <v>Nolasco</v>
      </c>
    </row>
    <row r="290" spans="1:11" x14ac:dyDescent="0.3">
      <c r="A290">
        <v>9</v>
      </c>
      <c r="B290">
        <v>0</v>
      </c>
      <c r="C290">
        <v>22</v>
      </c>
      <c r="D290" t="s">
        <v>244</v>
      </c>
      <c r="E290">
        <v>20</v>
      </c>
      <c r="F290">
        <v>13713</v>
      </c>
      <c r="G290" t="s">
        <v>303</v>
      </c>
      <c r="H290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287</v>
      </c>
      <c r="I290" t="str">
        <f>IF(DraftResults[[#This Row],[Player ID]]=0,"",INDEX(Table5[[#All],[Pos]],MATCH(DraftResults[[#This Row],[Player ID]],Table5[[#All],[PID]],0)))</f>
        <v>RF</v>
      </c>
      <c r="J290" t="str">
        <f>IF(DraftResults[[#This Row],[Player ID]]=0,"",INDEX(Table5[[#All],[First]],MATCH(DraftResults[[#This Row],[Player ID]],Table5[[#All],[PID]],0)))</f>
        <v>Hong-yeol</v>
      </c>
      <c r="K290" t="str">
        <f>IF(DraftResults[[#This Row],[Player ID]]=0,"",INDEX(Table5[[#All],[Last]],MATCH(DraftResults[[#This Row],[Player ID]],Table5[[#All],[PID]],0)))</f>
        <v>Paek</v>
      </c>
    </row>
    <row r="291" spans="1:11" x14ac:dyDescent="0.3">
      <c r="A291">
        <v>9</v>
      </c>
      <c r="B291">
        <v>0</v>
      </c>
      <c r="C291">
        <v>23</v>
      </c>
      <c r="D291" t="s">
        <v>239</v>
      </c>
      <c r="E291">
        <v>10</v>
      </c>
      <c r="F291">
        <v>11284</v>
      </c>
      <c r="G291" t="s">
        <v>303</v>
      </c>
      <c r="H291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288</v>
      </c>
      <c r="I291" t="str">
        <f>IF(DraftResults[[#This Row],[Player ID]]=0,"",INDEX(Table5[[#All],[Pos]],MATCH(DraftResults[[#This Row],[Player ID]],Table5[[#All],[PID]],0)))</f>
        <v>2B</v>
      </c>
      <c r="J291" t="str">
        <f>IF(DraftResults[[#This Row],[Player ID]]=0,"",INDEX(Table5[[#All],[First]],MATCH(DraftResults[[#This Row],[Player ID]],Table5[[#All],[PID]],0)))</f>
        <v>Jun</v>
      </c>
      <c r="K291" t="str">
        <f>IF(DraftResults[[#This Row],[Player ID]]=0,"",INDEX(Table5[[#All],[Last]],MATCH(DraftResults[[#This Row],[Player ID]],Table5[[#All],[PID]],0)))</f>
        <v>Suzuki</v>
      </c>
    </row>
    <row r="292" spans="1:11" x14ac:dyDescent="0.3">
      <c r="A292">
        <v>9</v>
      </c>
      <c r="B292">
        <v>0</v>
      </c>
      <c r="C292">
        <v>24</v>
      </c>
      <c r="D292" t="s">
        <v>233</v>
      </c>
      <c r="E292">
        <v>22</v>
      </c>
      <c r="F292">
        <v>20511</v>
      </c>
      <c r="G292" t="s">
        <v>303</v>
      </c>
      <c r="H292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289</v>
      </c>
      <c r="I292" t="str">
        <f>IF(DraftResults[[#This Row],[Player ID]]=0,"",INDEX(Table5[[#All],[Pos]],MATCH(DraftResults[[#This Row],[Player ID]],Table5[[#All],[PID]],0)))</f>
        <v>RP</v>
      </c>
      <c r="J292" t="str">
        <f>IF(DraftResults[[#This Row],[Player ID]]=0,"",INDEX(Table5[[#All],[First]],MATCH(DraftResults[[#This Row],[Player ID]],Table5[[#All],[PID]],0)))</f>
        <v>Tsuneari</v>
      </c>
      <c r="K292" t="str">
        <f>IF(DraftResults[[#This Row],[Player ID]]=0,"",INDEX(Table5[[#All],[Last]],MATCH(DraftResults[[#This Row],[Player ID]],Table5[[#All],[PID]],0)))</f>
        <v>Kitoaji</v>
      </c>
    </row>
    <row r="293" spans="1:11" x14ac:dyDescent="0.3">
      <c r="A293">
        <v>9</v>
      </c>
      <c r="B293">
        <v>0</v>
      </c>
      <c r="C293">
        <v>25</v>
      </c>
      <c r="D293" t="s">
        <v>236</v>
      </c>
      <c r="E293">
        <v>17</v>
      </c>
      <c r="F293">
        <v>20498</v>
      </c>
      <c r="G293" t="s">
        <v>303</v>
      </c>
      <c r="H293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290</v>
      </c>
      <c r="I293" t="str">
        <f>IF(DraftResults[[#This Row],[Player ID]]=0,"",INDEX(Table5[[#All],[Pos]],MATCH(DraftResults[[#This Row],[Player ID]],Table5[[#All],[PID]],0)))</f>
        <v>RF</v>
      </c>
      <c r="J293" t="str">
        <f>IF(DraftResults[[#This Row],[Player ID]]=0,"",INDEX(Table5[[#All],[First]],MATCH(DraftResults[[#This Row],[Player ID]],Table5[[#All],[PID]],0)))</f>
        <v>Nobuharu</v>
      </c>
      <c r="K293" t="str">
        <f>IF(DraftResults[[#This Row],[Player ID]]=0,"",INDEX(Table5[[#All],[Last]],MATCH(DraftResults[[#This Row],[Player ID]],Table5[[#All],[PID]],0)))</f>
        <v>Tashima</v>
      </c>
    </row>
    <row r="294" spans="1:11" x14ac:dyDescent="0.3">
      <c r="A294">
        <v>9</v>
      </c>
      <c r="B294">
        <v>0</v>
      </c>
      <c r="C294">
        <v>26</v>
      </c>
      <c r="D294" t="s">
        <v>232</v>
      </c>
      <c r="E294">
        <v>19</v>
      </c>
      <c r="F294">
        <v>12502</v>
      </c>
      <c r="G294" t="s">
        <v>303</v>
      </c>
      <c r="H294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291</v>
      </c>
      <c r="I294" t="str">
        <f>IF(DraftResults[[#This Row],[Player ID]]=0,"",INDEX(Table5[[#All],[Pos]],MATCH(DraftResults[[#This Row],[Player ID]],Table5[[#All],[PID]],0)))</f>
        <v>LF</v>
      </c>
      <c r="J294" t="str">
        <f>IF(DraftResults[[#This Row],[Player ID]]=0,"",INDEX(Table5[[#All],[First]],MATCH(DraftResults[[#This Row],[Player ID]],Table5[[#All],[PID]],0)))</f>
        <v>Norris</v>
      </c>
      <c r="K294" t="str">
        <f>IF(DraftResults[[#This Row],[Player ID]]=0,"",INDEX(Table5[[#All],[Last]],MATCH(DraftResults[[#This Row],[Player ID]],Table5[[#All],[PID]],0)))</f>
        <v>Hopkins</v>
      </c>
    </row>
    <row r="295" spans="1:11" x14ac:dyDescent="0.3">
      <c r="A295">
        <v>9</v>
      </c>
      <c r="B295">
        <v>0</v>
      </c>
      <c r="C295">
        <v>27</v>
      </c>
      <c r="D295" t="s">
        <v>417</v>
      </c>
      <c r="E295">
        <v>163</v>
      </c>
      <c r="F295">
        <v>14853</v>
      </c>
      <c r="G295" t="s">
        <v>303</v>
      </c>
      <c r="H295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292</v>
      </c>
      <c r="I295" t="str">
        <f>IF(DraftResults[[#This Row],[Player ID]]=0,"",INDEX(Table5[[#All],[Pos]],MATCH(DraftResults[[#This Row],[Player ID]],Table5[[#All],[PID]],0)))</f>
        <v>SP</v>
      </c>
      <c r="J295" t="str">
        <f>IF(DraftResults[[#This Row],[Player ID]]=0,"",INDEX(Table5[[#All],[First]],MATCH(DraftResults[[#This Row],[Player ID]],Table5[[#All],[PID]],0)))</f>
        <v>Kevin</v>
      </c>
      <c r="K295" t="str">
        <f>IF(DraftResults[[#This Row],[Player ID]]=0,"",INDEX(Table5[[#All],[Last]],MATCH(DraftResults[[#This Row],[Player ID]],Table5[[#All],[PID]],0)))</f>
        <v>Benjamin</v>
      </c>
    </row>
    <row r="296" spans="1:11" x14ac:dyDescent="0.3">
      <c r="A296">
        <v>9</v>
      </c>
      <c r="B296">
        <v>0</v>
      </c>
      <c r="C296">
        <v>28</v>
      </c>
      <c r="D296" t="s">
        <v>413</v>
      </c>
      <c r="E296">
        <v>2</v>
      </c>
      <c r="F296">
        <v>20467</v>
      </c>
      <c r="G296" t="s">
        <v>303</v>
      </c>
      <c r="H296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293</v>
      </c>
      <c r="I296" t="str">
        <f>IF(DraftResults[[#This Row],[Player ID]]=0,"",INDEX(Table5[[#All],[Pos]],MATCH(DraftResults[[#This Row],[Player ID]],Table5[[#All],[PID]],0)))</f>
        <v>3B</v>
      </c>
      <c r="J296" t="str">
        <f>IF(DraftResults[[#This Row],[Player ID]]=0,"",INDEX(Table5[[#All],[First]],MATCH(DraftResults[[#This Row],[Player ID]],Table5[[#All],[PID]],0)))</f>
        <v>Eka</v>
      </c>
      <c r="K296" t="str">
        <f>IF(DraftResults[[#This Row],[Player ID]]=0,"",INDEX(Table5[[#All],[Last]],MATCH(DraftResults[[#This Row],[Player ID]],Table5[[#All],[PID]],0)))</f>
        <v>Layar</v>
      </c>
    </row>
    <row r="297" spans="1:11" x14ac:dyDescent="0.3">
      <c r="A297">
        <v>9</v>
      </c>
      <c r="B297">
        <v>0</v>
      </c>
      <c r="C297">
        <v>29</v>
      </c>
      <c r="D297" t="s">
        <v>488</v>
      </c>
      <c r="E297">
        <v>7</v>
      </c>
      <c r="F297">
        <v>11689</v>
      </c>
      <c r="G297" t="s">
        <v>303</v>
      </c>
      <c r="H297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294</v>
      </c>
      <c r="I297" t="str">
        <f>IF(DraftResults[[#This Row],[Player ID]]=0,"",INDEX(Table5[[#All],[Pos]],MATCH(DraftResults[[#This Row],[Player ID]],Table5[[#All],[PID]],0)))</f>
        <v>SP</v>
      </c>
      <c r="J297" t="str">
        <f>IF(DraftResults[[#This Row],[Player ID]]=0,"",INDEX(Table5[[#All],[First]],MATCH(DraftResults[[#This Row],[Player ID]],Table5[[#All],[PID]],0)))</f>
        <v>Nick</v>
      </c>
      <c r="K297" t="str">
        <f>IF(DraftResults[[#This Row],[Player ID]]=0,"",INDEX(Table5[[#All],[Last]],MATCH(DraftResults[[#This Row],[Player ID]],Table5[[#All],[PID]],0)))</f>
        <v>Snyder</v>
      </c>
    </row>
    <row r="298" spans="1:11" x14ac:dyDescent="0.3">
      <c r="A298">
        <v>9</v>
      </c>
      <c r="B298">
        <v>0</v>
      </c>
      <c r="C298">
        <v>30</v>
      </c>
      <c r="D298" t="s">
        <v>415</v>
      </c>
      <c r="E298">
        <v>166</v>
      </c>
      <c r="F298">
        <v>15827</v>
      </c>
      <c r="G298" t="s">
        <v>303</v>
      </c>
      <c r="H298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295</v>
      </c>
      <c r="I298" t="str">
        <f>IF(DraftResults[[#This Row],[Player ID]]=0,"",INDEX(Table5[[#All],[Pos]],MATCH(DraftResults[[#This Row],[Player ID]],Table5[[#All],[PID]],0)))</f>
        <v>CF</v>
      </c>
      <c r="J298" t="str">
        <f>IF(DraftResults[[#This Row],[Player ID]]=0,"",INDEX(Table5[[#All],[First]],MATCH(DraftResults[[#This Row],[Player ID]],Table5[[#All],[PID]],0)))</f>
        <v>Tsunesaburo</v>
      </c>
      <c r="K298" t="str">
        <f>IF(DraftResults[[#This Row],[Player ID]]=0,"",INDEX(Table5[[#All],[Last]],MATCH(DraftResults[[#This Row],[Player ID]],Table5[[#All],[PID]],0)))</f>
        <v>Kouno</v>
      </c>
    </row>
    <row r="299" spans="1:11" x14ac:dyDescent="0.3">
      <c r="A299">
        <v>9</v>
      </c>
      <c r="B299">
        <v>0</v>
      </c>
      <c r="C299">
        <v>31</v>
      </c>
      <c r="D299" t="s">
        <v>241</v>
      </c>
      <c r="E299">
        <v>1</v>
      </c>
      <c r="F299">
        <v>16906</v>
      </c>
      <c r="G299" t="s">
        <v>303</v>
      </c>
      <c r="H299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296</v>
      </c>
      <c r="I299" t="str">
        <f>IF(DraftResults[[#This Row],[Player ID]]=0,"",INDEX(Table5[[#All],[Pos]],MATCH(DraftResults[[#This Row],[Player ID]],Table5[[#All],[PID]],0)))</f>
        <v>3B</v>
      </c>
      <c r="J299" t="str">
        <f>IF(DraftResults[[#This Row],[Player ID]]=0,"",INDEX(Table5[[#All],[First]],MATCH(DraftResults[[#This Row],[Player ID]],Table5[[#All],[PID]],0)))</f>
        <v>Frank</v>
      </c>
      <c r="K299" t="str">
        <f>IF(DraftResults[[#This Row],[Player ID]]=0,"",INDEX(Table5[[#All],[Last]],MATCH(DraftResults[[#This Row],[Player ID]],Table5[[#All],[PID]],0)))</f>
        <v>Edwards</v>
      </c>
    </row>
    <row r="300" spans="1:11" x14ac:dyDescent="0.3">
      <c r="A300">
        <v>9</v>
      </c>
      <c r="B300">
        <v>0</v>
      </c>
      <c r="C300">
        <v>32</v>
      </c>
      <c r="D300" t="s">
        <v>546</v>
      </c>
      <c r="E300">
        <v>9</v>
      </c>
      <c r="F300">
        <v>16411</v>
      </c>
      <c r="G300" t="s">
        <v>303</v>
      </c>
      <c r="H300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297</v>
      </c>
      <c r="I300" t="str">
        <f>IF(DraftResults[[#This Row],[Player ID]]=0,"",INDEX(Table5[[#All],[Pos]],MATCH(DraftResults[[#This Row],[Player ID]],Table5[[#All],[PID]],0)))</f>
        <v>RP</v>
      </c>
      <c r="J300" t="str">
        <f>IF(DraftResults[[#This Row],[Player ID]]=0,"",INDEX(Table5[[#All],[First]],MATCH(DraftResults[[#This Row],[Player ID]],Table5[[#All],[PID]],0)))</f>
        <v>Yoshiki</v>
      </c>
      <c r="K300" t="str">
        <f>IF(DraftResults[[#This Row],[Player ID]]=0,"",INDEX(Table5[[#All],[Last]],MATCH(DraftResults[[#This Row],[Player ID]],Table5[[#All],[PID]],0)))</f>
        <v>Tanaka</v>
      </c>
    </row>
    <row r="301" spans="1:11" x14ac:dyDescent="0.3">
      <c r="A301">
        <v>10</v>
      </c>
      <c r="B301">
        <v>0</v>
      </c>
      <c r="C301">
        <v>1</v>
      </c>
      <c r="D301" t="s">
        <v>542</v>
      </c>
      <c r="E301">
        <v>24</v>
      </c>
      <c r="F301">
        <v>12109</v>
      </c>
      <c r="G301" t="s">
        <v>303</v>
      </c>
      <c r="H301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298</v>
      </c>
      <c r="I301" t="str">
        <f>IF(DraftResults[[#This Row],[Player ID]]=0,"",INDEX(Table5[[#All],[Pos]],MATCH(DraftResults[[#This Row],[Player ID]],Table5[[#All],[PID]],0)))</f>
        <v>RF</v>
      </c>
      <c r="J301" t="str">
        <f>IF(DraftResults[[#This Row],[Player ID]]=0,"",INDEX(Table5[[#All],[First]],MATCH(DraftResults[[#This Row],[Player ID]],Table5[[#All],[PID]],0)))</f>
        <v>James</v>
      </c>
      <c r="K301" t="str">
        <f>IF(DraftResults[[#This Row],[Player ID]]=0,"",INDEX(Table5[[#All],[Last]],MATCH(DraftResults[[#This Row],[Player ID]],Table5[[#All],[PID]],0)))</f>
        <v>Hollingsworth</v>
      </c>
    </row>
    <row r="302" spans="1:11" x14ac:dyDescent="0.3">
      <c r="A302">
        <v>10</v>
      </c>
      <c r="B302">
        <v>0</v>
      </c>
      <c r="C302">
        <v>2</v>
      </c>
      <c r="D302" t="s">
        <v>488</v>
      </c>
      <c r="E302">
        <v>7</v>
      </c>
      <c r="F302">
        <v>9754</v>
      </c>
      <c r="G302" t="s">
        <v>303</v>
      </c>
      <c r="H302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299</v>
      </c>
      <c r="I302" t="str">
        <f>IF(DraftResults[[#This Row],[Player ID]]=0,"",INDEX(Table5[[#All],[Pos]],MATCH(DraftResults[[#This Row],[Player ID]],Table5[[#All],[PID]],0)))</f>
        <v>SP</v>
      </c>
      <c r="J302" t="str">
        <f>IF(DraftResults[[#This Row],[Player ID]]=0,"",INDEX(Table5[[#All],[First]],MATCH(DraftResults[[#This Row],[Player ID]],Table5[[#All],[PID]],0)))</f>
        <v>Leonard</v>
      </c>
      <c r="K302" t="str">
        <f>IF(DraftResults[[#This Row],[Player ID]]=0,"",INDEX(Table5[[#All],[Last]],MATCH(DraftResults[[#This Row],[Player ID]],Table5[[#All],[PID]],0)))</f>
        <v>Stewart</v>
      </c>
    </row>
    <row r="303" spans="1:11" x14ac:dyDescent="0.3">
      <c r="A303">
        <v>10</v>
      </c>
      <c r="B303">
        <v>0</v>
      </c>
      <c r="C303">
        <v>3</v>
      </c>
      <c r="D303" t="s">
        <v>420</v>
      </c>
      <c r="E303">
        <v>167</v>
      </c>
      <c r="F303">
        <v>21019</v>
      </c>
      <c r="G303" t="s">
        <v>303</v>
      </c>
      <c r="H303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300</v>
      </c>
      <c r="I303" t="str">
        <f>IF(DraftResults[[#This Row],[Player ID]]=0,"",INDEX(Table5[[#All],[Pos]],MATCH(DraftResults[[#This Row],[Player ID]],Table5[[#All],[PID]],0)))</f>
        <v>LF</v>
      </c>
      <c r="J303" t="str">
        <f>IF(DraftResults[[#This Row],[Player ID]]=0,"",INDEX(Table5[[#All],[First]],MATCH(DraftResults[[#This Row],[Player ID]],Table5[[#All],[PID]],0)))</f>
        <v>Domingo</v>
      </c>
      <c r="K303" t="str">
        <f>IF(DraftResults[[#This Row],[Player ID]]=0,"",INDEX(Table5[[#All],[Last]],MATCH(DraftResults[[#This Row],[Player ID]],Table5[[#All],[PID]],0)))</f>
        <v>González</v>
      </c>
    </row>
    <row r="304" spans="1:11" x14ac:dyDescent="0.3">
      <c r="A304">
        <v>10</v>
      </c>
      <c r="B304">
        <v>0</v>
      </c>
      <c r="C304">
        <v>4</v>
      </c>
      <c r="D304" t="s">
        <v>235</v>
      </c>
      <c r="E304">
        <v>21</v>
      </c>
      <c r="F304">
        <v>14473</v>
      </c>
      <c r="G304" t="s">
        <v>303</v>
      </c>
      <c r="H304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301</v>
      </c>
      <c r="I304" t="str">
        <f>IF(DraftResults[[#This Row],[Player ID]]=0,"",INDEX(Table5[[#All],[Pos]],MATCH(DraftResults[[#This Row],[Player ID]],Table5[[#All],[PID]],0)))</f>
        <v>SP</v>
      </c>
      <c r="J304" t="str">
        <f>IF(DraftResults[[#This Row],[Player ID]]=0,"",INDEX(Table5[[#All],[First]],MATCH(DraftResults[[#This Row],[Player ID]],Table5[[#All],[PID]],0)))</f>
        <v>Luke</v>
      </c>
      <c r="K304" t="str">
        <f>IF(DraftResults[[#This Row],[Player ID]]=0,"",INDEX(Table5[[#All],[Last]],MATCH(DraftResults[[#This Row],[Player ID]],Table5[[#All],[PID]],0)))</f>
        <v>MacWilliams</v>
      </c>
    </row>
    <row r="305" spans="1:11" x14ac:dyDescent="0.3">
      <c r="A305">
        <v>10</v>
      </c>
      <c r="B305">
        <v>0</v>
      </c>
      <c r="C305">
        <v>5</v>
      </c>
      <c r="D305" t="s">
        <v>545</v>
      </c>
      <c r="E305">
        <v>23</v>
      </c>
      <c r="F305">
        <v>11307</v>
      </c>
      <c r="G305" t="s">
        <v>303</v>
      </c>
      <c r="H305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302</v>
      </c>
      <c r="I305" t="str">
        <f>IF(DraftResults[[#This Row],[Player ID]]=0,"",INDEX(Table5[[#All],[Pos]],MATCH(DraftResults[[#This Row],[Player ID]],Table5[[#All],[PID]],0)))</f>
        <v>3B</v>
      </c>
      <c r="J305" t="str">
        <f>IF(DraftResults[[#This Row],[Player ID]]=0,"",INDEX(Table5[[#All],[First]],MATCH(DraftResults[[#This Row],[Player ID]],Table5[[#All],[PID]],0)))</f>
        <v>Randy</v>
      </c>
      <c r="K305" t="str">
        <f>IF(DraftResults[[#This Row],[Player ID]]=0,"",INDEX(Table5[[#All],[Last]],MATCH(DraftResults[[#This Row],[Player ID]],Table5[[#All],[PID]],0)))</f>
        <v>Price</v>
      </c>
    </row>
    <row r="306" spans="1:11" x14ac:dyDescent="0.3">
      <c r="A306">
        <v>10</v>
      </c>
      <c r="B306">
        <v>0</v>
      </c>
      <c r="C306">
        <v>6</v>
      </c>
      <c r="D306" t="s">
        <v>246</v>
      </c>
      <c r="E306">
        <v>8</v>
      </c>
      <c r="F306">
        <v>12604</v>
      </c>
      <c r="G306" t="s">
        <v>303</v>
      </c>
      <c r="H306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303</v>
      </c>
      <c r="I306" t="str">
        <f>IF(DraftResults[[#This Row],[Player ID]]=0,"",INDEX(Table5[[#All],[Pos]],MATCH(DraftResults[[#This Row],[Player ID]],Table5[[#All],[PID]],0)))</f>
        <v>1B</v>
      </c>
      <c r="J306" t="str">
        <f>IF(DraftResults[[#This Row],[Player ID]]=0,"",INDEX(Table5[[#All],[First]],MATCH(DraftResults[[#This Row],[Player ID]],Table5[[#All],[PID]],0)))</f>
        <v>Sam</v>
      </c>
      <c r="K306" t="str">
        <f>IF(DraftResults[[#This Row],[Player ID]]=0,"",INDEX(Table5[[#All],[Last]],MATCH(DraftResults[[#This Row],[Player ID]],Table5[[#All],[PID]],0)))</f>
        <v>Rolston</v>
      </c>
    </row>
    <row r="307" spans="1:11" x14ac:dyDescent="0.3">
      <c r="A307">
        <v>10</v>
      </c>
      <c r="B307">
        <v>0</v>
      </c>
      <c r="C307">
        <v>7</v>
      </c>
      <c r="D307" t="s">
        <v>419</v>
      </c>
      <c r="E307">
        <v>18</v>
      </c>
      <c r="F307">
        <v>14413</v>
      </c>
      <c r="G307" t="s">
        <v>303</v>
      </c>
      <c r="H307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304</v>
      </c>
      <c r="I307" t="str">
        <f>IF(DraftResults[[#This Row],[Player ID]]=0,"",INDEX(Table5[[#All],[Pos]],MATCH(DraftResults[[#This Row],[Player ID]],Table5[[#All],[PID]],0)))</f>
        <v>CF</v>
      </c>
      <c r="J307" t="str">
        <f>IF(DraftResults[[#This Row],[Player ID]]=0,"",INDEX(Table5[[#All],[First]],MATCH(DraftResults[[#This Row],[Player ID]],Table5[[#All],[PID]],0)))</f>
        <v>Jason</v>
      </c>
      <c r="K307" t="str">
        <f>IF(DraftResults[[#This Row],[Player ID]]=0,"",INDEX(Table5[[#All],[Last]],MATCH(DraftResults[[#This Row],[Player ID]],Table5[[#All],[PID]],0)))</f>
        <v>Stephens</v>
      </c>
    </row>
    <row r="308" spans="1:11" x14ac:dyDescent="0.3">
      <c r="A308">
        <v>10</v>
      </c>
      <c r="B308">
        <v>0</v>
      </c>
      <c r="C308">
        <v>8</v>
      </c>
      <c r="D308" t="s">
        <v>1615</v>
      </c>
      <c r="E308">
        <v>5</v>
      </c>
      <c r="F308">
        <v>9087</v>
      </c>
      <c r="G308" t="s">
        <v>303</v>
      </c>
      <c r="H308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305</v>
      </c>
      <c r="I308" t="str">
        <f>IF(DraftResults[[#This Row],[Player ID]]=0,"",INDEX(Table5[[#All],[Pos]],MATCH(DraftResults[[#This Row],[Player ID]],Table5[[#All],[PID]],0)))</f>
        <v>SP</v>
      </c>
      <c r="J308" t="str">
        <f>IF(DraftResults[[#This Row],[Player ID]]=0,"",INDEX(Table5[[#All],[First]],MATCH(DraftResults[[#This Row],[Player ID]],Table5[[#All],[PID]],0)))</f>
        <v>Bob</v>
      </c>
      <c r="K308" t="str">
        <f>IF(DraftResults[[#This Row],[Player ID]]=0,"",INDEX(Table5[[#All],[Last]],MATCH(DraftResults[[#This Row],[Player ID]],Table5[[#All],[PID]],0)))</f>
        <v>Flannery</v>
      </c>
    </row>
    <row r="309" spans="1:11" x14ac:dyDescent="0.3">
      <c r="A309">
        <v>10</v>
      </c>
      <c r="B309">
        <v>0</v>
      </c>
      <c r="C309">
        <v>9</v>
      </c>
      <c r="D309" t="s">
        <v>1615</v>
      </c>
      <c r="E309">
        <v>5</v>
      </c>
      <c r="F309">
        <v>11262</v>
      </c>
      <c r="G309" t="s">
        <v>303</v>
      </c>
      <c r="H309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306</v>
      </c>
      <c r="I309" t="str">
        <f>IF(DraftResults[[#This Row],[Player ID]]=0,"",INDEX(Table5[[#All],[Pos]],MATCH(DraftResults[[#This Row],[Player ID]],Table5[[#All],[PID]],0)))</f>
        <v>C</v>
      </c>
      <c r="J309" t="str">
        <f>IF(DraftResults[[#This Row],[Player ID]]=0,"",INDEX(Table5[[#All],[First]],MATCH(DraftResults[[#This Row],[Player ID]],Table5[[#All],[PID]],0)))</f>
        <v>Ron</v>
      </c>
      <c r="K309" t="str">
        <f>IF(DraftResults[[#This Row],[Player ID]]=0,"",INDEX(Table5[[#All],[Last]],MATCH(DraftResults[[#This Row],[Player ID]],Table5[[#All],[PID]],0)))</f>
        <v>Lowe</v>
      </c>
    </row>
    <row r="310" spans="1:11" ht="15.75" customHeight="1" x14ac:dyDescent="0.3">
      <c r="A310">
        <v>10</v>
      </c>
      <c r="B310">
        <v>0</v>
      </c>
      <c r="C310">
        <v>10</v>
      </c>
      <c r="D310" t="s">
        <v>240</v>
      </c>
      <c r="E310">
        <v>3</v>
      </c>
      <c r="F310">
        <v>13233</v>
      </c>
      <c r="G310" t="s">
        <v>303</v>
      </c>
      <c r="H310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307</v>
      </c>
      <c r="I310" t="str">
        <f>IF(DraftResults[[#This Row],[Player ID]]=0,"",INDEX(Table5[[#All],[Pos]],MATCH(DraftResults[[#This Row],[Player ID]],Table5[[#All],[PID]],0)))</f>
        <v>SP</v>
      </c>
      <c r="J310" t="str">
        <f>IF(DraftResults[[#This Row],[Player ID]]=0,"",INDEX(Table5[[#All],[First]],MATCH(DraftResults[[#This Row],[Player ID]],Table5[[#All],[PID]],0)))</f>
        <v>Sawao</v>
      </c>
      <c r="K310" t="str">
        <f>IF(DraftResults[[#This Row],[Player ID]]=0,"",INDEX(Table5[[#All],[Last]],MATCH(DraftResults[[#This Row],[Player ID]],Table5[[#All],[PID]],0)))</f>
        <v>Matsuda</v>
      </c>
    </row>
    <row r="311" spans="1:11" x14ac:dyDescent="0.3">
      <c r="A311">
        <v>10</v>
      </c>
      <c r="B311">
        <v>0</v>
      </c>
      <c r="C311">
        <v>11</v>
      </c>
      <c r="D311" t="s">
        <v>241</v>
      </c>
      <c r="E311">
        <v>1</v>
      </c>
      <c r="F311">
        <v>20615</v>
      </c>
      <c r="G311" t="s">
        <v>303</v>
      </c>
      <c r="H311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308</v>
      </c>
      <c r="I311" t="str">
        <f>IF(DraftResults[[#This Row],[Player ID]]=0,"",INDEX(Table5[[#All],[Pos]],MATCH(DraftResults[[#This Row],[Player ID]],Table5[[#All],[PID]],0)))</f>
        <v>1B</v>
      </c>
      <c r="J311" t="str">
        <f>IF(DraftResults[[#This Row],[Player ID]]=0,"",INDEX(Table5[[#All],[First]],MATCH(DraftResults[[#This Row],[Player ID]],Table5[[#All],[PID]],0)))</f>
        <v>Hogai</v>
      </c>
      <c r="K311" t="str">
        <f>IF(DraftResults[[#This Row],[Player ID]]=0,"",INDEX(Table5[[#All],[Last]],MATCH(DraftResults[[#This Row],[Player ID]],Table5[[#All],[PID]],0)))</f>
        <v>Fukui</v>
      </c>
    </row>
    <row r="312" spans="1:11" x14ac:dyDescent="0.3">
      <c r="A312">
        <v>10</v>
      </c>
      <c r="B312">
        <v>0</v>
      </c>
      <c r="C312">
        <v>12</v>
      </c>
      <c r="D312" t="s">
        <v>489</v>
      </c>
      <c r="E312">
        <v>4</v>
      </c>
      <c r="F312">
        <v>9401</v>
      </c>
      <c r="G312" t="s">
        <v>303</v>
      </c>
      <c r="H312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309</v>
      </c>
      <c r="I312" t="str">
        <f>IF(DraftResults[[#This Row],[Player ID]]=0,"",INDEX(Table5[[#All],[Pos]],MATCH(DraftResults[[#This Row],[Player ID]],Table5[[#All],[PID]],0)))</f>
        <v>RP</v>
      </c>
      <c r="J312" t="str">
        <f>IF(DraftResults[[#This Row],[Player ID]]=0,"",INDEX(Table5[[#All],[First]],MATCH(DraftResults[[#This Row],[Player ID]],Table5[[#All],[PID]],0)))</f>
        <v>Dennis</v>
      </c>
      <c r="K312" t="str">
        <f>IF(DraftResults[[#This Row],[Player ID]]=0,"",INDEX(Table5[[#All],[Last]],MATCH(DraftResults[[#This Row],[Player ID]],Table5[[#All],[PID]],0)))</f>
        <v>Young</v>
      </c>
    </row>
    <row r="313" spans="1:11" x14ac:dyDescent="0.3">
      <c r="A313">
        <v>10</v>
      </c>
      <c r="B313">
        <v>0</v>
      </c>
      <c r="C313">
        <v>13</v>
      </c>
      <c r="D313" t="s">
        <v>414</v>
      </c>
      <c r="E313">
        <v>164</v>
      </c>
      <c r="F313">
        <v>11009</v>
      </c>
      <c r="G313" t="s">
        <v>303</v>
      </c>
      <c r="H313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310</v>
      </c>
      <c r="I313" t="str">
        <f>IF(DraftResults[[#This Row],[Player ID]]=0,"",INDEX(Table5[[#All],[Pos]],MATCH(DraftResults[[#This Row],[Player ID]],Table5[[#All],[PID]],0)))</f>
        <v>RF</v>
      </c>
      <c r="J313" t="str">
        <f>IF(DraftResults[[#This Row],[Player ID]]=0,"",INDEX(Table5[[#All],[First]],MATCH(DraftResults[[#This Row],[Player ID]],Table5[[#All],[PID]],0)))</f>
        <v>Joey</v>
      </c>
      <c r="K313" t="str">
        <f>IF(DraftResults[[#This Row],[Player ID]]=0,"",INDEX(Table5[[#All],[Last]],MATCH(DraftResults[[#This Row],[Player ID]],Table5[[#All],[PID]],0)))</f>
        <v>Peterson</v>
      </c>
    </row>
    <row r="314" spans="1:11" x14ac:dyDescent="0.3">
      <c r="A314">
        <v>10</v>
      </c>
      <c r="B314">
        <v>0</v>
      </c>
      <c r="C314">
        <v>14</v>
      </c>
      <c r="D314" t="s">
        <v>251</v>
      </c>
      <c r="E314">
        <v>12</v>
      </c>
      <c r="F314">
        <v>15897</v>
      </c>
      <c r="G314" t="s">
        <v>303</v>
      </c>
      <c r="H314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311</v>
      </c>
      <c r="I314" t="str">
        <f>IF(DraftResults[[#This Row],[Player ID]]=0,"",INDEX(Table5[[#All],[Pos]],MATCH(DraftResults[[#This Row],[Player ID]],Table5[[#All],[PID]],0)))</f>
        <v>SP</v>
      </c>
      <c r="J314" t="str">
        <f>IF(DraftResults[[#This Row],[Player ID]]=0,"",INDEX(Table5[[#All],[First]],MATCH(DraftResults[[#This Row],[Player ID]],Table5[[#All],[PID]],0)))</f>
        <v>Kazuyoshi</v>
      </c>
      <c r="K314" t="str">
        <f>IF(DraftResults[[#This Row],[Player ID]]=0,"",INDEX(Table5[[#All],[Last]],MATCH(DraftResults[[#This Row],[Player ID]],Table5[[#All],[PID]],0)))</f>
        <v>Watanabe</v>
      </c>
    </row>
    <row r="315" spans="1:11" x14ac:dyDescent="0.3">
      <c r="A315">
        <v>10</v>
      </c>
      <c r="B315">
        <v>0</v>
      </c>
      <c r="C315">
        <v>15</v>
      </c>
      <c r="D315" t="s">
        <v>543</v>
      </c>
      <c r="E315">
        <v>160</v>
      </c>
      <c r="F315">
        <v>20545</v>
      </c>
      <c r="G315" t="s">
        <v>303</v>
      </c>
      <c r="H315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312</v>
      </c>
      <c r="I315" t="str">
        <f>IF(DraftResults[[#This Row],[Player ID]]=0,"",INDEX(Table5[[#All],[Pos]],MATCH(DraftResults[[#This Row],[Player ID]],Table5[[#All],[PID]],0)))</f>
        <v>LF</v>
      </c>
      <c r="J315" t="str">
        <f>IF(DraftResults[[#This Row],[Player ID]]=0,"",INDEX(Table5[[#All],[First]],MATCH(DraftResults[[#This Row],[Player ID]],Table5[[#All],[PID]],0)))</f>
        <v>Allen</v>
      </c>
      <c r="K315" t="str">
        <f>IF(DraftResults[[#This Row],[Player ID]]=0,"",INDEX(Table5[[#All],[Last]],MATCH(DraftResults[[#This Row],[Player ID]],Table5[[#All],[PID]],0)))</f>
        <v>Morrall</v>
      </c>
    </row>
    <row r="316" spans="1:11" x14ac:dyDescent="0.3">
      <c r="A316">
        <v>10</v>
      </c>
      <c r="B316">
        <v>0</v>
      </c>
      <c r="C316">
        <v>16</v>
      </c>
      <c r="D316" t="s">
        <v>544</v>
      </c>
      <c r="E316">
        <v>13</v>
      </c>
      <c r="F316">
        <v>9337</v>
      </c>
      <c r="G316" t="s">
        <v>303</v>
      </c>
      <c r="H316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313</v>
      </c>
      <c r="I316" t="str">
        <f>IF(DraftResults[[#This Row],[Player ID]]=0,"",INDEX(Table5[[#All],[Pos]],MATCH(DraftResults[[#This Row],[Player ID]],Table5[[#All],[PID]],0)))</f>
        <v>RP</v>
      </c>
      <c r="J316" t="str">
        <f>IF(DraftResults[[#This Row],[Player ID]]=0,"",INDEX(Table5[[#All],[First]],MATCH(DraftResults[[#This Row],[Player ID]],Table5[[#All],[PID]],0)))</f>
        <v>Garrett</v>
      </c>
      <c r="K316" t="str">
        <f>IF(DraftResults[[#This Row],[Player ID]]=0,"",INDEX(Table5[[#All],[Last]],MATCH(DraftResults[[#This Row],[Player ID]],Table5[[#All],[PID]],0)))</f>
        <v>O'Slattery</v>
      </c>
    </row>
    <row r="317" spans="1:11" x14ac:dyDescent="0.3">
      <c r="A317">
        <v>10</v>
      </c>
      <c r="B317">
        <v>0</v>
      </c>
      <c r="C317">
        <v>17</v>
      </c>
      <c r="D317" t="s">
        <v>243</v>
      </c>
      <c r="E317">
        <v>15</v>
      </c>
      <c r="F317">
        <v>20795</v>
      </c>
      <c r="G317" t="s">
        <v>303</v>
      </c>
      <c r="H317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314</v>
      </c>
      <c r="I317" t="str">
        <f>IF(DraftResults[[#This Row],[Player ID]]=0,"",INDEX(Table5[[#All],[Pos]],MATCH(DraftResults[[#This Row],[Player ID]],Table5[[#All],[PID]],0)))</f>
        <v>2B</v>
      </c>
      <c r="J317" t="str">
        <f>IF(DraftResults[[#This Row],[Player ID]]=0,"",INDEX(Table5[[#All],[First]],MATCH(DraftResults[[#This Row],[Player ID]],Table5[[#All],[PID]],0)))</f>
        <v>Roberto</v>
      </c>
      <c r="K317" t="str">
        <f>IF(DraftResults[[#This Row],[Player ID]]=0,"",INDEX(Table5[[#All],[Last]],MATCH(DraftResults[[#This Row],[Player ID]],Table5[[#All],[PID]],0)))</f>
        <v>Díaz</v>
      </c>
    </row>
    <row r="318" spans="1:11" x14ac:dyDescent="0.3">
      <c r="A318">
        <v>10</v>
      </c>
      <c r="B318">
        <v>0</v>
      </c>
      <c r="C318">
        <v>18</v>
      </c>
      <c r="D318" t="s">
        <v>412</v>
      </c>
      <c r="E318">
        <v>162</v>
      </c>
      <c r="F318">
        <v>9955</v>
      </c>
      <c r="G318" t="s">
        <v>303</v>
      </c>
      <c r="H318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315</v>
      </c>
      <c r="I318" t="str">
        <f>IF(DraftResults[[#This Row],[Player ID]]=0,"",INDEX(Table5[[#All],[Pos]],MATCH(DraftResults[[#This Row],[Player ID]],Table5[[#All],[PID]],0)))</f>
        <v>LF</v>
      </c>
      <c r="J318" t="str">
        <f>IF(DraftResults[[#This Row],[Player ID]]=0,"",INDEX(Table5[[#All],[First]],MATCH(DraftResults[[#This Row],[Player ID]],Table5[[#All],[PID]],0)))</f>
        <v>Jorge</v>
      </c>
      <c r="K318" t="str">
        <f>IF(DraftResults[[#This Row],[Player ID]]=0,"",INDEX(Table5[[#All],[Last]],MATCH(DraftResults[[#This Row],[Player ID]],Table5[[#All],[PID]],0)))</f>
        <v>Menéndez</v>
      </c>
    </row>
    <row r="319" spans="1:11" x14ac:dyDescent="0.3">
      <c r="A319">
        <v>10</v>
      </c>
      <c r="B319">
        <v>0</v>
      </c>
      <c r="C319">
        <v>19</v>
      </c>
      <c r="D319" t="s">
        <v>247</v>
      </c>
      <c r="E319">
        <v>16</v>
      </c>
      <c r="F319">
        <v>9383</v>
      </c>
      <c r="G319" t="s">
        <v>303</v>
      </c>
      <c r="H319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316</v>
      </c>
      <c r="I319" t="str">
        <f>IF(DraftResults[[#This Row],[Player ID]]=0,"",INDEX(Table5[[#All],[Pos]],MATCH(DraftResults[[#This Row],[Player ID]],Table5[[#All],[PID]],0)))</f>
        <v>1B</v>
      </c>
      <c r="J319" t="str">
        <f>IF(DraftResults[[#This Row],[Player ID]]=0,"",INDEX(Table5[[#All],[First]],MATCH(DraftResults[[#This Row],[Player ID]],Table5[[#All],[PID]],0)))</f>
        <v>Pedro</v>
      </c>
      <c r="K319" t="str">
        <f>IF(DraftResults[[#This Row],[Player ID]]=0,"",INDEX(Table5[[#All],[Last]],MATCH(DraftResults[[#This Row],[Player ID]],Table5[[#All],[PID]],0)))</f>
        <v>Berrios</v>
      </c>
    </row>
    <row r="320" spans="1:11" x14ac:dyDescent="0.3">
      <c r="A320">
        <v>10</v>
      </c>
      <c r="B320">
        <v>0</v>
      </c>
      <c r="C320">
        <v>20</v>
      </c>
      <c r="D320" t="s">
        <v>242</v>
      </c>
      <c r="E320">
        <v>14</v>
      </c>
      <c r="F320">
        <v>13341</v>
      </c>
      <c r="G320" t="s">
        <v>303</v>
      </c>
      <c r="H320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317</v>
      </c>
      <c r="I320" t="str">
        <f>IF(DraftResults[[#This Row],[Player ID]]=0,"",INDEX(Table5[[#All],[Pos]],MATCH(DraftResults[[#This Row],[Player ID]],Table5[[#All],[PID]],0)))</f>
        <v>3B</v>
      </c>
      <c r="J320" t="str">
        <f>IF(DraftResults[[#This Row],[Player ID]]=0,"",INDEX(Table5[[#All],[First]],MATCH(DraftResults[[#This Row],[Player ID]],Table5[[#All],[PID]],0)))</f>
        <v>Ben</v>
      </c>
      <c r="K320" t="str">
        <f>IF(DraftResults[[#This Row],[Player ID]]=0,"",INDEX(Table5[[#All],[Last]],MATCH(DraftResults[[#This Row],[Player ID]],Table5[[#All],[PID]],0)))</f>
        <v>MacIndeor</v>
      </c>
    </row>
    <row r="321" spans="1:11" x14ac:dyDescent="0.3">
      <c r="A321">
        <v>10</v>
      </c>
      <c r="B321">
        <v>0</v>
      </c>
      <c r="C321">
        <v>21</v>
      </c>
      <c r="D321" t="s">
        <v>416</v>
      </c>
      <c r="E321">
        <v>159</v>
      </c>
      <c r="F321">
        <v>11654</v>
      </c>
      <c r="G321" t="s">
        <v>303</v>
      </c>
      <c r="H321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318</v>
      </c>
      <c r="I321" t="str">
        <f>IF(DraftResults[[#This Row],[Player ID]]=0,"",INDEX(Table5[[#All],[Pos]],MATCH(DraftResults[[#This Row],[Player ID]],Table5[[#All],[PID]],0)))</f>
        <v>C</v>
      </c>
      <c r="J321" t="str">
        <f>IF(DraftResults[[#This Row],[Player ID]]=0,"",INDEX(Table5[[#All],[First]],MATCH(DraftResults[[#This Row],[Player ID]],Table5[[#All],[PID]],0)))</f>
        <v>Garry</v>
      </c>
      <c r="K321" t="str">
        <f>IF(DraftResults[[#This Row],[Player ID]]=0,"",INDEX(Table5[[#All],[Last]],MATCH(DraftResults[[#This Row],[Player ID]],Table5[[#All],[PID]],0)))</f>
        <v>Griffin</v>
      </c>
    </row>
    <row r="322" spans="1:11" x14ac:dyDescent="0.3">
      <c r="A322">
        <v>10</v>
      </c>
      <c r="B322">
        <v>0</v>
      </c>
      <c r="C322">
        <v>22</v>
      </c>
      <c r="D322" t="s">
        <v>244</v>
      </c>
      <c r="E322">
        <v>20</v>
      </c>
      <c r="F322">
        <v>14060</v>
      </c>
      <c r="G322" t="s">
        <v>303</v>
      </c>
      <c r="H322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319</v>
      </c>
      <c r="I322" t="str">
        <f>IF(DraftResults[[#This Row],[Player ID]]=0,"",INDEX(Table5[[#All],[Pos]],MATCH(DraftResults[[#This Row],[Player ID]],Table5[[#All],[PID]],0)))</f>
        <v>RF</v>
      </c>
      <c r="J322" t="str">
        <f>IF(DraftResults[[#This Row],[Player ID]]=0,"",INDEX(Table5[[#All],[First]],MATCH(DraftResults[[#This Row],[Player ID]],Table5[[#All],[PID]],0)))</f>
        <v>Juan Luis</v>
      </c>
      <c r="K322" t="str">
        <f>IF(DraftResults[[#This Row],[Player ID]]=0,"",INDEX(Table5[[#All],[Last]],MATCH(DraftResults[[#This Row],[Player ID]],Table5[[#All],[PID]],0)))</f>
        <v>González</v>
      </c>
    </row>
    <row r="323" spans="1:11" x14ac:dyDescent="0.3">
      <c r="A323">
        <v>10</v>
      </c>
      <c r="B323">
        <v>0</v>
      </c>
      <c r="C323">
        <v>23</v>
      </c>
      <c r="D323" t="s">
        <v>239</v>
      </c>
      <c r="E323">
        <v>10</v>
      </c>
      <c r="F323">
        <v>11430</v>
      </c>
      <c r="G323" t="s">
        <v>303</v>
      </c>
      <c r="H323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320</v>
      </c>
      <c r="I323" t="str">
        <f>IF(DraftResults[[#This Row],[Player ID]]=0,"",INDEX(Table5[[#All],[Pos]],MATCH(DraftResults[[#This Row],[Player ID]],Table5[[#All],[PID]],0)))</f>
        <v>RP</v>
      </c>
      <c r="J323" t="str">
        <f>IF(DraftResults[[#This Row],[Player ID]]=0,"",INDEX(Table5[[#All],[First]],MATCH(DraftResults[[#This Row],[Player ID]],Table5[[#All],[PID]],0)))</f>
        <v>Mark</v>
      </c>
      <c r="K323" t="str">
        <f>IF(DraftResults[[#This Row],[Player ID]]=0,"",INDEX(Table5[[#All],[Last]],MATCH(DraftResults[[#This Row],[Player ID]],Table5[[#All],[PID]],0)))</f>
        <v>O'Brien</v>
      </c>
    </row>
    <row r="324" spans="1:11" x14ac:dyDescent="0.3">
      <c r="A324">
        <v>10</v>
      </c>
      <c r="B324">
        <v>0</v>
      </c>
      <c r="C324">
        <v>24</v>
      </c>
      <c r="D324" t="s">
        <v>233</v>
      </c>
      <c r="E324">
        <v>22</v>
      </c>
      <c r="F324">
        <v>20902</v>
      </c>
      <c r="G324" t="s">
        <v>303</v>
      </c>
      <c r="H324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321</v>
      </c>
      <c r="I324" t="str">
        <f>IF(DraftResults[[#This Row],[Player ID]]=0,"",INDEX(Table5[[#All],[Pos]],MATCH(DraftResults[[#This Row],[Player ID]],Table5[[#All],[PID]],0)))</f>
        <v>RP</v>
      </c>
      <c r="J324" t="str">
        <f>IF(DraftResults[[#This Row],[Player ID]]=0,"",INDEX(Table5[[#All],[First]],MATCH(DraftResults[[#This Row],[Player ID]],Table5[[#All],[PID]],0)))</f>
        <v>John</v>
      </c>
      <c r="K324" t="str">
        <f>IF(DraftResults[[#This Row],[Player ID]]=0,"",INDEX(Table5[[#All],[Last]],MATCH(DraftResults[[#This Row],[Player ID]],Table5[[#All],[PID]],0)))</f>
        <v>Smith</v>
      </c>
    </row>
    <row r="325" spans="1:11" x14ac:dyDescent="0.3">
      <c r="A325">
        <v>10</v>
      </c>
      <c r="B325">
        <v>0</v>
      </c>
      <c r="C325">
        <v>25</v>
      </c>
      <c r="D325" t="s">
        <v>243</v>
      </c>
      <c r="E325">
        <v>15</v>
      </c>
      <c r="F325">
        <v>20231</v>
      </c>
      <c r="G325" t="s">
        <v>303</v>
      </c>
      <c r="H325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322</v>
      </c>
      <c r="I325" t="str">
        <f>IF(DraftResults[[#This Row],[Player ID]]=0,"",INDEX(Table5[[#All],[Pos]],MATCH(DraftResults[[#This Row],[Player ID]],Table5[[#All],[PID]],0)))</f>
        <v>RF</v>
      </c>
      <c r="J325" t="str">
        <f>IF(DraftResults[[#This Row],[Player ID]]=0,"",INDEX(Table5[[#All],[First]],MATCH(DraftResults[[#This Row],[Player ID]],Table5[[#All],[PID]],0)))</f>
        <v>Christian</v>
      </c>
      <c r="K325" t="str">
        <f>IF(DraftResults[[#This Row],[Player ID]]=0,"",INDEX(Table5[[#All],[Last]],MATCH(DraftResults[[#This Row],[Player ID]],Table5[[#All],[PID]],0)))</f>
        <v>Johnston</v>
      </c>
    </row>
    <row r="326" spans="1:11" x14ac:dyDescent="0.3">
      <c r="A326">
        <v>10</v>
      </c>
      <c r="B326">
        <v>0</v>
      </c>
      <c r="C326">
        <v>26</v>
      </c>
      <c r="D326" t="s">
        <v>232</v>
      </c>
      <c r="E326">
        <v>19</v>
      </c>
      <c r="F326">
        <v>6030</v>
      </c>
      <c r="G326" t="s">
        <v>303</v>
      </c>
      <c r="H326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323</v>
      </c>
      <c r="I326" t="str">
        <f>IF(DraftResults[[#This Row],[Player ID]]=0,"",INDEX(Table5[[#All],[Pos]],MATCH(DraftResults[[#This Row],[Player ID]],Table5[[#All],[PID]],0)))</f>
        <v>SP</v>
      </c>
      <c r="J326" t="str">
        <f>IF(DraftResults[[#This Row],[Player ID]]=0,"",INDEX(Table5[[#All],[First]],MATCH(DraftResults[[#This Row],[Player ID]],Table5[[#All],[PID]],0)))</f>
        <v>Jemke</v>
      </c>
      <c r="K326" t="str">
        <f>IF(DraftResults[[#This Row],[Player ID]]=0,"",INDEX(Table5[[#All],[Last]],MATCH(DraftResults[[#This Row],[Player ID]],Table5[[#All],[PID]],0)))</f>
        <v>Neelen</v>
      </c>
    </row>
    <row r="327" spans="1:11" x14ac:dyDescent="0.3">
      <c r="A327">
        <v>10</v>
      </c>
      <c r="B327">
        <v>0</v>
      </c>
      <c r="C327">
        <v>27</v>
      </c>
      <c r="D327" t="s">
        <v>417</v>
      </c>
      <c r="E327">
        <v>163</v>
      </c>
      <c r="F327">
        <v>12974</v>
      </c>
      <c r="G327" t="s">
        <v>303</v>
      </c>
      <c r="H327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324</v>
      </c>
      <c r="I327" t="str">
        <f>IF(DraftResults[[#This Row],[Player ID]]=0,"",INDEX(Table5[[#All],[Pos]],MATCH(DraftResults[[#This Row],[Player ID]],Table5[[#All],[PID]],0)))</f>
        <v>LF</v>
      </c>
      <c r="J327" t="str">
        <f>IF(DraftResults[[#This Row],[Player ID]]=0,"",INDEX(Table5[[#All],[First]],MATCH(DraftResults[[#This Row],[Player ID]],Table5[[#All],[PID]],0)))</f>
        <v>Roberto</v>
      </c>
      <c r="K327" t="str">
        <f>IF(DraftResults[[#This Row],[Player ID]]=0,"",INDEX(Table5[[#All],[Last]],MATCH(DraftResults[[#This Row],[Player ID]],Table5[[#All],[PID]],0)))</f>
        <v>Yánez</v>
      </c>
    </row>
    <row r="328" spans="1:11" x14ac:dyDescent="0.3">
      <c r="A328">
        <v>10</v>
      </c>
      <c r="B328">
        <v>0</v>
      </c>
      <c r="C328">
        <v>28</v>
      </c>
      <c r="D328" t="s">
        <v>413</v>
      </c>
      <c r="E328">
        <v>2</v>
      </c>
      <c r="F328">
        <v>11831</v>
      </c>
      <c r="G328" t="s">
        <v>303</v>
      </c>
      <c r="H328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325</v>
      </c>
      <c r="I328" t="str">
        <f>IF(DraftResults[[#This Row],[Player ID]]=0,"",INDEX(Table5[[#All],[Pos]],MATCH(DraftResults[[#This Row],[Player ID]],Table5[[#All],[PID]],0)))</f>
        <v>RP</v>
      </c>
      <c r="J328" t="str">
        <f>IF(DraftResults[[#This Row],[Player ID]]=0,"",INDEX(Table5[[#All],[First]],MATCH(DraftResults[[#This Row],[Player ID]],Table5[[#All],[PID]],0)))</f>
        <v>António</v>
      </c>
      <c r="K328" t="str">
        <f>IF(DraftResults[[#This Row],[Player ID]]=0,"",INDEX(Table5[[#All],[Last]],MATCH(DraftResults[[#This Row],[Player ID]],Table5[[#All],[PID]],0)))</f>
        <v>Pineda</v>
      </c>
    </row>
    <row r="329" spans="1:11" x14ac:dyDescent="0.3">
      <c r="A329">
        <v>10</v>
      </c>
      <c r="B329">
        <v>0</v>
      </c>
      <c r="C329">
        <v>29</v>
      </c>
      <c r="D329" t="s">
        <v>488</v>
      </c>
      <c r="E329">
        <v>7</v>
      </c>
      <c r="F329">
        <v>11179</v>
      </c>
      <c r="G329" t="s">
        <v>303</v>
      </c>
      <c r="H329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326</v>
      </c>
      <c r="I329" t="str">
        <f>IF(DraftResults[[#This Row],[Player ID]]=0,"",INDEX(Table5[[#All],[Pos]],MATCH(DraftResults[[#This Row],[Player ID]],Table5[[#All],[PID]],0)))</f>
        <v>SP</v>
      </c>
      <c r="J329" t="str">
        <f>IF(DraftResults[[#This Row],[Player ID]]=0,"",INDEX(Table5[[#All],[First]],MATCH(DraftResults[[#This Row],[Player ID]],Table5[[#All],[PID]],0)))</f>
        <v>Jonathan</v>
      </c>
      <c r="K329" t="str">
        <f>IF(DraftResults[[#This Row],[Player ID]]=0,"",INDEX(Table5[[#All],[Last]],MATCH(DraftResults[[#This Row],[Player ID]],Table5[[#All],[PID]],0)))</f>
        <v>Hollis</v>
      </c>
    </row>
    <row r="330" spans="1:11" x14ac:dyDescent="0.3">
      <c r="A330">
        <v>10</v>
      </c>
      <c r="B330">
        <v>0</v>
      </c>
      <c r="C330">
        <v>30</v>
      </c>
      <c r="D330" t="s">
        <v>415</v>
      </c>
      <c r="E330">
        <v>166</v>
      </c>
      <c r="F330">
        <v>20763</v>
      </c>
      <c r="G330" t="s">
        <v>303</v>
      </c>
      <c r="H330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327</v>
      </c>
      <c r="I330" t="str">
        <f>IF(DraftResults[[#This Row],[Player ID]]=0,"",INDEX(Table5[[#All],[Pos]],MATCH(DraftResults[[#This Row],[Player ID]],Table5[[#All],[PID]],0)))</f>
        <v>C</v>
      </c>
      <c r="J330" t="str">
        <f>IF(DraftResults[[#This Row],[Player ID]]=0,"",INDEX(Table5[[#All],[First]],MATCH(DraftResults[[#This Row],[Player ID]],Table5[[#All],[PID]],0)))</f>
        <v>Sergio</v>
      </c>
      <c r="K330" t="str">
        <f>IF(DraftResults[[#This Row],[Player ID]]=0,"",INDEX(Table5[[#All],[Last]],MATCH(DraftResults[[#This Row],[Player ID]],Table5[[#All],[PID]],0)))</f>
        <v>Balderas</v>
      </c>
    </row>
    <row r="331" spans="1:11" x14ac:dyDescent="0.3">
      <c r="A331">
        <v>10</v>
      </c>
      <c r="B331">
        <v>0</v>
      </c>
      <c r="C331">
        <v>31</v>
      </c>
      <c r="D331" t="s">
        <v>241</v>
      </c>
      <c r="E331">
        <v>1</v>
      </c>
      <c r="F331">
        <v>8504</v>
      </c>
      <c r="G331" t="s">
        <v>303</v>
      </c>
      <c r="H331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328</v>
      </c>
      <c r="I331" t="str">
        <f>IF(DraftResults[[#This Row],[Player ID]]=0,"",INDEX(Table5[[#All],[Pos]],MATCH(DraftResults[[#This Row],[Player ID]],Table5[[#All],[PID]],0)))</f>
        <v>RF</v>
      </c>
      <c r="J331" t="str">
        <f>IF(DraftResults[[#This Row],[Player ID]]=0,"",INDEX(Table5[[#All],[First]],MATCH(DraftResults[[#This Row],[Player ID]],Table5[[#All],[PID]],0)))</f>
        <v>Robert</v>
      </c>
      <c r="K331" t="str">
        <f>IF(DraftResults[[#This Row],[Player ID]]=0,"",INDEX(Table5[[#All],[Last]],MATCH(DraftResults[[#This Row],[Player ID]],Table5[[#All],[PID]],0)))</f>
        <v>Wallace</v>
      </c>
    </row>
    <row r="332" spans="1:11" x14ac:dyDescent="0.3">
      <c r="A332">
        <v>10</v>
      </c>
      <c r="B332">
        <v>0</v>
      </c>
      <c r="C332">
        <v>32</v>
      </c>
      <c r="D332" t="s">
        <v>546</v>
      </c>
      <c r="E332">
        <v>9</v>
      </c>
      <c r="F332">
        <v>5137</v>
      </c>
      <c r="G332" t="s">
        <v>303</v>
      </c>
      <c r="H332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329</v>
      </c>
      <c r="I332" t="str">
        <f>IF(DraftResults[[#This Row],[Player ID]]=0,"",INDEX(Table5[[#All],[Pos]],MATCH(DraftResults[[#This Row],[Player ID]],Table5[[#All],[PID]],0)))</f>
        <v>RP</v>
      </c>
      <c r="J332" t="str">
        <f>IF(DraftResults[[#This Row],[Player ID]]=0,"",INDEX(Table5[[#All],[First]],MATCH(DraftResults[[#This Row],[Player ID]],Table5[[#All],[PID]],0)))</f>
        <v>Guillermo</v>
      </c>
      <c r="K332" t="str">
        <f>IF(DraftResults[[#This Row],[Player ID]]=0,"",INDEX(Table5[[#All],[Last]],MATCH(DraftResults[[#This Row],[Player ID]],Table5[[#All],[PID]],0)))</f>
        <v>Campos</v>
      </c>
    </row>
    <row r="333" spans="1:11" x14ac:dyDescent="0.3">
      <c r="A333">
        <v>10</v>
      </c>
      <c r="B333">
        <v>0</v>
      </c>
      <c r="C333">
        <v>33</v>
      </c>
      <c r="D333" t="s">
        <v>1615</v>
      </c>
      <c r="E333">
        <v>5</v>
      </c>
      <c r="F333">
        <v>20406</v>
      </c>
      <c r="G333" t="s">
        <v>303</v>
      </c>
      <c r="H333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330</v>
      </c>
      <c r="I333" t="str">
        <f>IF(DraftResults[[#This Row],[Player ID]]=0,"",INDEX(Table5[[#All],[Pos]],MATCH(DraftResults[[#This Row],[Player ID]],Table5[[#All],[PID]],0)))</f>
        <v>SP</v>
      </c>
      <c r="J333" t="str">
        <f>IF(DraftResults[[#This Row],[Player ID]]=0,"",INDEX(Table5[[#All],[First]],MATCH(DraftResults[[#This Row],[Player ID]],Table5[[#All],[PID]],0)))</f>
        <v>Liam</v>
      </c>
      <c r="K333" t="str">
        <f>IF(DraftResults[[#This Row],[Player ID]]=0,"",INDEX(Table5[[#All],[Last]],MATCH(DraftResults[[#This Row],[Player ID]],Table5[[#All],[PID]],0)))</f>
        <v>Booth</v>
      </c>
    </row>
    <row r="334" spans="1:11" x14ac:dyDescent="0.3">
      <c r="A334">
        <v>10</v>
      </c>
      <c r="B334">
        <v>0</v>
      </c>
      <c r="C334">
        <v>34</v>
      </c>
      <c r="D334" t="s">
        <v>1614</v>
      </c>
      <c r="E334">
        <v>6</v>
      </c>
      <c r="F334">
        <v>20495</v>
      </c>
      <c r="G334" t="s">
        <v>303</v>
      </c>
      <c r="H334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331</v>
      </c>
      <c r="I334" t="str">
        <f>IF(DraftResults[[#This Row],[Player ID]]=0,"",INDEX(Table5[[#All],[Pos]],MATCH(DraftResults[[#This Row],[Player ID]],Table5[[#All],[PID]],0)))</f>
        <v>CF</v>
      </c>
      <c r="J334" t="str">
        <f>IF(DraftResults[[#This Row],[Player ID]]=0,"",INDEX(Table5[[#All],[First]],MATCH(DraftResults[[#This Row],[Player ID]],Table5[[#All],[PID]],0)))</f>
        <v>Minoru</v>
      </c>
      <c r="K334" t="str">
        <f>IF(DraftResults[[#This Row],[Player ID]]=0,"",INDEX(Table5[[#All],[Last]],MATCH(DraftResults[[#This Row],[Player ID]],Table5[[#All],[PID]],0)))</f>
        <v>Kogo</v>
      </c>
    </row>
    <row r="335" spans="1:11" x14ac:dyDescent="0.3">
      <c r="A335">
        <v>11</v>
      </c>
      <c r="B335">
        <v>0</v>
      </c>
      <c r="C335">
        <v>1</v>
      </c>
      <c r="D335" t="s">
        <v>542</v>
      </c>
      <c r="E335">
        <v>24</v>
      </c>
      <c r="F335">
        <v>20286</v>
      </c>
      <c r="G335" t="s">
        <v>303</v>
      </c>
      <c r="H335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332</v>
      </c>
      <c r="I335" t="str">
        <f>IF(DraftResults[[#This Row],[Player ID]]=0,"",INDEX(Table5[[#All],[Pos]],MATCH(DraftResults[[#This Row],[Player ID]],Table5[[#All],[PID]],0)))</f>
        <v>CF</v>
      </c>
      <c r="J335" t="str">
        <f>IF(DraftResults[[#This Row],[Player ID]]=0,"",INDEX(Table5[[#All],[First]],MATCH(DraftResults[[#This Row],[Player ID]],Table5[[#All],[PID]],0)))</f>
        <v>Du</v>
      </c>
      <c r="K335" t="str">
        <f>IF(DraftResults[[#This Row],[Player ID]]=0,"",INDEX(Table5[[#All],[Last]],MATCH(DraftResults[[#This Row],[Player ID]],Table5[[#All],[PID]],0)))</f>
        <v>Sen</v>
      </c>
    </row>
    <row r="336" spans="1:11" ht="15.75" customHeight="1" x14ac:dyDescent="0.3">
      <c r="A336">
        <v>11</v>
      </c>
      <c r="B336">
        <v>0</v>
      </c>
      <c r="C336">
        <v>2</v>
      </c>
      <c r="D336" t="s">
        <v>488</v>
      </c>
      <c r="E336">
        <v>7</v>
      </c>
      <c r="F336">
        <v>12818</v>
      </c>
      <c r="G336" t="s">
        <v>303</v>
      </c>
      <c r="H336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333</v>
      </c>
      <c r="I336" t="str">
        <f>IF(DraftResults[[#This Row],[Player ID]]=0,"",INDEX(Table5[[#All],[Pos]],MATCH(DraftResults[[#This Row],[Player ID]],Table5[[#All],[PID]],0)))</f>
        <v>SP</v>
      </c>
      <c r="J336" t="str">
        <f>IF(DraftResults[[#This Row],[Player ID]]=0,"",INDEX(Table5[[#All],[First]],MATCH(DraftResults[[#This Row],[Player ID]],Table5[[#All],[PID]],0)))</f>
        <v>Francis</v>
      </c>
      <c r="K336" t="str">
        <f>IF(DraftResults[[#This Row],[Player ID]]=0,"",INDEX(Table5[[#All],[Last]],MATCH(DraftResults[[#This Row],[Player ID]],Table5[[#All],[PID]],0)))</f>
        <v>Vick</v>
      </c>
    </row>
    <row r="337" spans="1:11" x14ac:dyDescent="0.3">
      <c r="A337">
        <v>11</v>
      </c>
      <c r="B337">
        <v>0</v>
      </c>
      <c r="C337">
        <v>3</v>
      </c>
      <c r="D337" t="s">
        <v>420</v>
      </c>
      <c r="E337">
        <v>167</v>
      </c>
      <c r="F337">
        <v>20573</v>
      </c>
      <c r="G337" t="s">
        <v>303</v>
      </c>
      <c r="H337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334</v>
      </c>
      <c r="I337" t="str">
        <f>IF(DraftResults[[#This Row],[Player ID]]=0,"",INDEX(Table5[[#All],[Pos]],MATCH(DraftResults[[#This Row],[Player ID]],Table5[[#All],[PID]],0)))</f>
        <v>RF</v>
      </c>
      <c r="J337" t="str">
        <f>IF(DraftResults[[#This Row],[Player ID]]=0,"",INDEX(Table5[[#All],[First]],MATCH(DraftResults[[#This Row],[Player ID]],Table5[[#All],[PID]],0)))</f>
        <v>Harrison</v>
      </c>
      <c r="K337" t="str">
        <f>IF(DraftResults[[#This Row],[Player ID]]=0,"",INDEX(Table5[[#All],[Last]],MATCH(DraftResults[[#This Row],[Player ID]],Table5[[#All],[PID]],0)))</f>
        <v>Atteridge</v>
      </c>
    </row>
    <row r="338" spans="1:11" x14ac:dyDescent="0.3">
      <c r="A338">
        <v>11</v>
      </c>
      <c r="B338">
        <v>0</v>
      </c>
      <c r="C338">
        <v>4</v>
      </c>
      <c r="D338" t="s">
        <v>235</v>
      </c>
      <c r="E338">
        <v>21</v>
      </c>
      <c r="F338">
        <v>9507</v>
      </c>
      <c r="G338" t="s">
        <v>303</v>
      </c>
      <c r="H338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335</v>
      </c>
      <c r="I338" t="str">
        <f>IF(DraftResults[[#This Row],[Player ID]]=0,"",INDEX(Table5[[#All],[Pos]],MATCH(DraftResults[[#This Row],[Player ID]],Table5[[#All],[PID]],0)))</f>
        <v>SP</v>
      </c>
      <c r="J338" t="str">
        <f>IF(DraftResults[[#This Row],[Player ID]]=0,"",INDEX(Table5[[#All],[First]],MATCH(DraftResults[[#This Row],[Player ID]],Table5[[#All],[PID]],0)))</f>
        <v>Steve</v>
      </c>
      <c r="K338" t="str">
        <f>IF(DraftResults[[#This Row],[Player ID]]=0,"",INDEX(Table5[[#All],[Last]],MATCH(DraftResults[[#This Row],[Player ID]],Table5[[#All],[PID]],0)))</f>
        <v>Carver</v>
      </c>
    </row>
    <row r="339" spans="1:11" x14ac:dyDescent="0.3">
      <c r="A339">
        <v>11</v>
      </c>
      <c r="B339">
        <v>0</v>
      </c>
      <c r="C339">
        <v>5</v>
      </c>
      <c r="D339" t="s">
        <v>545</v>
      </c>
      <c r="E339">
        <v>23</v>
      </c>
      <c r="F339">
        <v>13129</v>
      </c>
      <c r="G339" t="s">
        <v>303</v>
      </c>
      <c r="H339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336</v>
      </c>
      <c r="I339" t="str">
        <f>IF(DraftResults[[#This Row],[Player ID]]=0,"",INDEX(Table5[[#All],[Pos]],MATCH(DraftResults[[#This Row],[Player ID]],Table5[[#All],[PID]],0)))</f>
        <v>3B</v>
      </c>
      <c r="J339" t="str">
        <f>IF(DraftResults[[#This Row],[Player ID]]=0,"",INDEX(Table5[[#All],[First]],MATCH(DraftResults[[#This Row],[Player ID]],Table5[[#All],[PID]],0)))</f>
        <v>Francis</v>
      </c>
      <c r="K339" t="str">
        <f>IF(DraftResults[[#This Row],[Player ID]]=0,"",INDEX(Table5[[#All],[Last]],MATCH(DraftResults[[#This Row],[Player ID]],Table5[[#All],[PID]],0)))</f>
        <v>Jacobson</v>
      </c>
    </row>
    <row r="340" spans="1:11" x14ac:dyDescent="0.3">
      <c r="A340">
        <v>11</v>
      </c>
      <c r="B340">
        <v>0</v>
      </c>
      <c r="C340">
        <v>6</v>
      </c>
      <c r="D340" t="s">
        <v>246</v>
      </c>
      <c r="E340">
        <v>8</v>
      </c>
      <c r="F340">
        <v>20352</v>
      </c>
      <c r="G340" t="s">
        <v>303</v>
      </c>
      <c r="H340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337</v>
      </c>
      <c r="I340" t="str">
        <f>IF(DraftResults[[#This Row],[Player ID]]=0,"",INDEX(Table5[[#All],[Pos]],MATCH(DraftResults[[#This Row],[Player ID]],Table5[[#All],[PID]],0)))</f>
        <v>RP</v>
      </c>
      <c r="J340" t="str">
        <f>IF(DraftResults[[#This Row],[Player ID]]=0,"",INDEX(Table5[[#All],[First]],MATCH(DraftResults[[#This Row],[Player ID]],Table5[[#All],[PID]],0)))</f>
        <v>Lawrence</v>
      </c>
      <c r="K340" t="str">
        <f>IF(DraftResults[[#This Row],[Player ID]]=0,"",INDEX(Table5[[#All],[Last]],MATCH(DraftResults[[#This Row],[Player ID]],Table5[[#All],[PID]],0)))</f>
        <v>Cox</v>
      </c>
    </row>
    <row r="341" spans="1:11" x14ac:dyDescent="0.3">
      <c r="A341">
        <v>11</v>
      </c>
      <c r="B341">
        <v>0</v>
      </c>
      <c r="C341">
        <v>7</v>
      </c>
      <c r="D341" t="s">
        <v>419</v>
      </c>
      <c r="E341">
        <v>18</v>
      </c>
      <c r="F341">
        <v>11324</v>
      </c>
      <c r="G341" t="s">
        <v>303</v>
      </c>
      <c r="H341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338</v>
      </c>
      <c r="I341" t="str">
        <f>IF(DraftResults[[#This Row],[Player ID]]=0,"",INDEX(Table5[[#All],[Pos]],MATCH(DraftResults[[#This Row],[Player ID]],Table5[[#All],[PID]],0)))</f>
        <v>RP</v>
      </c>
      <c r="J341" t="str">
        <f>IF(DraftResults[[#This Row],[Player ID]]=0,"",INDEX(Table5[[#All],[First]],MATCH(DraftResults[[#This Row],[Player ID]],Table5[[#All],[PID]],0)))</f>
        <v>Corey</v>
      </c>
      <c r="K341" t="str">
        <f>IF(DraftResults[[#This Row],[Player ID]]=0,"",INDEX(Table5[[#All],[Last]],MATCH(DraftResults[[#This Row],[Player ID]],Table5[[#All],[PID]],0)))</f>
        <v>Richardson</v>
      </c>
    </row>
    <row r="342" spans="1:11" x14ac:dyDescent="0.3">
      <c r="A342">
        <v>11</v>
      </c>
      <c r="B342">
        <v>0</v>
      </c>
      <c r="C342">
        <v>8</v>
      </c>
      <c r="D342" t="s">
        <v>1614</v>
      </c>
      <c r="E342">
        <v>6</v>
      </c>
      <c r="F342">
        <v>9246</v>
      </c>
      <c r="G342" t="s">
        <v>303</v>
      </c>
      <c r="H342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339</v>
      </c>
      <c r="I342" t="str">
        <f>IF(DraftResults[[#This Row],[Player ID]]=0,"",INDEX(Table5[[#All],[Pos]],MATCH(DraftResults[[#This Row],[Player ID]],Table5[[#All],[PID]],0)))</f>
        <v>SS</v>
      </c>
      <c r="J342" t="str">
        <f>IF(DraftResults[[#This Row],[Player ID]]=0,"",INDEX(Table5[[#All],[First]],MATCH(DraftResults[[#This Row],[Player ID]],Table5[[#All],[PID]],0)))</f>
        <v>David</v>
      </c>
      <c r="K342" t="str">
        <f>IF(DraftResults[[#This Row],[Player ID]]=0,"",INDEX(Table5[[#All],[Last]],MATCH(DraftResults[[#This Row],[Player ID]],Table5[[#All],[PID]],0)))</f>
        <v>O'Bryan</v>
      </c>
    </row>
    <row r="343" spans="1:11" x14ac:dyDescent="0.3">
      <c r="A343">
        <v>11</v>
      </c>
      <c r="B343">
        <v>0</v>
      </c>
      <c r="C343">
        <v>9</v>
      </c>
      <c r="D343" t="s">
        <v>1614</v>
      </c>
      <c r="E343">
        <v>6</v>
      </c>
      <c r="F343">
        <v>12483</v>
      </c>
      <c r="G343" t="s">
        <v>303</v>
      </c>
      <c r="H343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340</v>
      </c>
      <c r="I343" t="str">
        <f>IF(DraftResults[[#This Row],[Player ID]]=0,"",INDEX(Table5[[#All],[Pos]],MATCH(DraftResults[[#This Row],[Player ID]],Table5[[#All],[PID]],0)))</f>
        <v>RP</v>
      </c>
      <c r="J343" t="str">
        <f>IF(DraftResults[[#This Row],[Player ID]]=0,"",INDEX(Table5[[#All],[First]],MATCH(DraftResults[[#This Row],[Player ID]],Table5[[#All],[PID]],0)))</f>
        <v>Dan</v>
      </c>
      <c r="K343" t="str">
        <f>IF(DraftResults[[#This Row],[Player ID]]=0,"",INDEX(Table5[[#All],[Last]],MATCH(DraftResults[[#This Row],[Player ID]],Table5[[#All],[PID]],0)))</f>
        <v>Ford</v>
      </c>
    </row>
    <row r="344" spans="1:11" x14ac:dyDescent="0.3">
      <c r="A344">
        <v>11</v>
      </c>
      <c r="B344">
        <v>0</v>
      </c>
      <c r="C344">
        <v>10</v>
      </c>
      <c r="D344" t="s">
        <v>240</v>
      </c>
      <c r="E344">
        <v>3</v>
      </c>
      <c r="F344">
        <v>20458</v>
      </c>
      <c r="G344" t="s">
        <v>303</v>
      </c>
      <c r="H344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341</v>
      </c>
      <c r="I344" t="str">
        <f>IF(DraftResults[[#This Row],[Player ID]]=0,"",INDEX(Table5[[#All],[Pos]],MATCH(DraftResults[[#This Row],[Player ID]],Table5[[#All],[PID]],0)))</f>
        <v>RP</v>
      </c>
      <c r="J344" t="str">
        <f>IF(DraftResults[[#This Row],[Player ID]]=0,"",INDEX(Table5[[#All],[First]],MATCH(DraftResults[[#This Row],[Player ID]],Table5[[#All],[PID]],0)))</f>
        <v>Bujana</v>
      </c>
      <c r="K344" t="str">
        <f>IF(DraftResults[[#This Row],[Player ID]]=0,"",INDEX(Table5[[#All],[Last]],MATCH(DraftResults[[#This Row],[Player ID]],Table5[[#All],[PID]],0)))</f>
        <v>Sukarno</v>
      </c>
    </row>
    <row r="345" spans="1:11" x14ac:dyDescent="0.3">
      <c r="A345">
        <v>11</v>
      </c>
      <c r="B345">
        <v>0</v>
      </c>
      <c r="C345">
        <v>11</v>
      </c>
      <c r="D345" t="s">
        <v>241</v>
      </c>
      <c r="E345">
        <v>1</v>
      </c>
      <c r="F345">
        <v>20741</v>
      </c>
      <c r="G345" t="s">
        <v>303</v>
      </c>
      <c r="H345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342</v>
      </c>
      <c r="I345" t="str">
        <f>IF(DraftResults[[#This Row],[Player ID]]=0,"",INDEX(Table5[[#All],[Pos]],MATCH(DraftResults[[#This Row],[Player ID]],Table5[[#All],[PID]],0)))</f>
        <v>2B</v>
      </c>
      <c r="J345" t="str">
        <f>IF(DraftResults[[#This Row],[Player ID]]=0,"",INDEX(Table5[[#All],[First]],MATCH(DraftResults[[#This Row],[Player ID]],Table5[[#All],[PID]],0)))</f>
        <v>Claudio</v>
      </c>
      <c r="K345" t="str">
        <f>IF(DraftResults[[#This Row],[Player ID]]=0,"",INDEX(Table5[[#All],[Last]],MATCH(DraftResults[[#This Row],[Player ID]],Table5[[#All],[PID]],0)))</f>
        <v>López</v>
      </c>
    </row>
    <row r="346" spans="1:11" x14ac:dyDescent="0.3">
      <c r="A346">
        <v>11</v>
      </c>
      <c r="B346">
        <v>0</v>
      </c>
      <c r="C346">
        <v>12</v>
      </c>
      <c r="D346" t="s">
        <v>489</v>
      </c>
      <c r="E346">
        <v>4</v>
      </c>
      <c r="F346">
        <v>10299</v>
      </c>
      <c r="G346" t="s">
        <v>303</v>
      </c>
      <c r="H346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343</v>
      </c>
      <c r="I346" t="str">
        <f>IF(DraftResults[[#This Row],[Player ID]]=0,"",INDEX(Table5[[#All],[Pos]],MATCH(DraftResults[[#This Row],[Player ID]],Table5[[#All],[PID]],0)))</f>
        <v>SS</v>
      </c>
      <c r="J346" t="str">
        <f>IF(DraftResults[[#This Row],[Player ID]]=0,"",INDEX(Table5[[#All],[First]],MATCH(DraftResults[[#This Row],[Player ID]],Table5[[#All],[PID]],0)))</f>
        <v>António</v>
      </c>
      <c r="K346" t="str">
        <f>IF(DraftResults[[#This Row],[Player ID]]=0,"",INDEX(Table5[[#All],[Last]],MATCH(DraftResults[[#This Row],[Player ID]],Table5[[#All],[PID]],0)))</f>
        <v>Negrete</v>
      </c>
    </row>
    <row r="347" spans="1:11" x14ac:dyDescent="0.3">
      <c r="A347">
        <v>11</v>
      </c>
      <c r="B347">
        <v>0</v>
      </c>
      <c r="C347">
        <v>13</v>
      </c>
      <c r="D347" t="s">
        <v>414</v>
      </c>
      <c r="E347">
        <v>164</v>
      </c>
      <c r="F347">
        <v>8193</v>
      </c>
      <c r="G347" t="s">
        <v>303</v>
      </c>
      <c r="H347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344</v>
      </c>
      <c r="I347" t="str">
        <f>IF(DraftResults[[#This Row],[Player ID]]=0,"",INDEX(Table5[[#All],[Pos]],MATCH(DraftResults[[#This Row],[Player ID]],Table5[[#All],[PID]],0)))</f>
        <v>1B</v>
      </c>
      <c r="J347" t="str">
        <f>IF(DraftResults[[#This Row],[Player ID]]=0,"",INDEX(Table5[[#All],[First]],MATCH(DraftResults[[#This Row],[Player ID]],Table5[[#All],[PID]],0)))</f>
        <v>Simon</v>
      </c>
      <c r="K347" t="str">
        <f>IF(DraftResults[[#This Row],[Player ID]]=0,"",INDEX(Table5[[#All],[Last]],MATCH(DraftResults[[#This Row],[Player ID]],Table5[[#All],[PID]],0)))</f>
        <v>Ahernfeld</v>
      </c>
    </row>
    <row r="348" spans="1:11" x14ac:dyDescent="0.3">
      <c r="A348">
        <v>11</v>
      </c>
      <c r="B348">
        <v>0</v>
      </c>
      <c r="C348">
        <v>14</v>
      </c>
      <c r="D348" t="s">
        <v>251</v>
      </c>
      <c r="E348">
        <v>12</v>
      </c>
      <c r="F348">
        <v>6480</v>
      </c>
      <c r="G348" t="s">
        <v>303</v>
      </c>
      <c r="H348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345</v>
      </c>
      <c r="I348" t="str">
        <f>IF(DraftResults[[#This Row],[Player ID]]=0,"",INDEX(Table5[[#All],[Pos]],MATCH(DraftResults[[#This Row],[Player ID]],Table5[[#All],[PID]],0)))</f>
        <v>SP</v>
      </c>
      <c r="J348" t="str">
        <f>IF(DraftResults[[#This Row],[Player ID]]=0,"",INDEX(Table5[[#All],[First]],MATCH(DraftResults[[#This Row],[Player ID]],Table5[[#All],[PID]],0)))</f>
        <v>Manny</v>
      </c>
      <c r="K348" t="str">
        <f>IF(DraftResults[[#This Row],[Player ID]]=0,"",INDEX(Table5[[#All],[Last]],MATCH(DraftResults[[#This Row],[Player ID]],Table5[[#All],[PID]],0)))</f>
        <v>López</v>
      </c>
    </row>
    <row r="349" spans="1:11" x14ac:dyDescent="0.3">
      <c r="A349">
        <v>11</v>
      </c>
      <c r="B349">
        <v>0</v>
      </c>
      <c r="C349">
        <v>15</v>
      </c>
      <c r="D349" t="s">
        <v>543</v>
      </c>
      <c r="E349">
        <v>160</v>
      </c>
      <c r="F349">
        <v>7725</v>
      </c>
      <c r="G349" t="s">
        <v>303</v>
      </c>
      <c r="H349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346</v>
      </c>
      <c r="I349" t="str">
        <f>IF(DraftResults[[#This Row],[Player ID]]=0,"",INDEX(Table5[[#All],[Pos]],MATCH(DraftResults[[#This Row],[Player ID]],Table5[[#All],[PID]],0)))</f>
        <v>RP</v>
      </c>
      <c r="J349" t="str">
        <f>IF(DraftResults[[#This Row],[Player ID]]=0,"",INDEX(Table5[[#All],[First]],MATCH(DraftResults[[#This Row],[Player ID]],Table5[[#All],[PID]],0)))</f>
        <v>Carlos</v>
      </c>
      <c r="K349" t="str">
        <f>IF(DraftResults[[#This Row],[Player ID]]=0,"",INDEX(Table5[[#All],[Last]],MATCH(DraftResults[[#This Row],[Player ID]],Table5[[#All],[PID]],0)))</f>
        <v>Marte</v>
      </c>
    </row>
    <row r="350" spans="1:11" x14ac:dyDescent="0.3">
      <c r="A350">
        <v>11</v>
      </c>
      <c r="B350">
        <v>0</v>
      </c>
      <c r="C350">
        <v>16</v>
      </c>
      <c r="D350" t="s">
        <v>544</v>
      </c>
      <c r="E350">
        <v>13</v>
      </c>
      <c r="F350">
        <v>11182</v>
      </c>
      <c r="G350" t="s">
        <v>303</v>
      </c>
      <c r="H350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347</v>
      </c>
      <c r="I350" t="str">
        <f>IF(DraftResults[[#This Row],[Player ID]]=0,"",INDEX(Table5[[#All],[Pos]],MATCH(DraftResults[[#This Row],[Player ID]],Table5[[#All],[PID]],0)))</f>
        <v>RP</v>
      </c>
      <c r="J350" t="str">
        <f>IF(DraftResults[[#This Row],[Player ID]]=0,"",INDEX(Table5[[#All],[First]],MATCH(DraftResults[[#This Row],[Player ID]],Table5[[#All],[PID]],0)))</f>
        <v>James</v>
      </c>
      <c r="K350" t="str">
        <f>IF(DraftResults[[#This Row],[Player ID]]=0,"",INDEX(Table5[[#All],[Last]],MATCH(DraftResults[[#This Row],[Player ID]],Table5[[#All],[PID]],0)))</f>
        <v>Carter</v>
      </c>
    </row>
    <row r="351" spans="1:11" x14ac:dyDescent="0.3">
      <c r="A351">
        <v>11</v>
      </c>
      <c r="B351">
        <v>0</v>
      </c>
      <c r="C351">
        <v>17</v>
      </c>
      <c r="D351" t="s">
        <v>243</v>
      </c>
      <c r="E351">
        <v>15</v>
      </c>
      <c r="F351">
        <v>20975</v>
      </c>
      <c r="G351" t="s">
        <v>303</v>
      </c>
      <c r="H351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348</v>
      </c>
      <c r="I351" t="str">
        <f>IF(DraftResults[[#This Row],[Player ID]]=0,"",INDEX(Table5[[#All],[Pos]],MATCH(DraftResults[[#This Row],[Player ID]],Table5[[#All],[PID]],0)))</f>
        <v>RP</v>
      </c>
      <c r="J351" t="str">
        <f>IF(DraftResults[[#This Row],[Player ID]]=0,"",INDEX(Table5[[#All],[First]],MATCH(DraftResults[[#This Row],[Player ID]],Table5[[#All],[PID]],0)))</f>
        <v>Dennis</v>
      </c>
      <c r="K351" t="str">
        <f>IF(DraftResults[[#This Row],[Player ID]]=0,"",INDEX(Table5[[#All],[Last]],MATCH(DraftResults[[#This Row],[Player ID]],Table5[[#All],[PID]],0)))</f>
        <v>Morgan</v>
      </c>
    </row>
    <row r="352" spans="1:11" x14ac:dyDescent="0.3">
      <c r="A352">
        <v>11</v>
      </c>
      <c r="B352">
        <v>0</v>
      </c>
      <c r="C352">
        <v>18</v>
      </c>
      <c r="D352" t="s">
        <v>412</v>
      </c>
      <c r="E352">
        <v>162</v>
      </c>
      <c r="F352">
        <v>11038</v>
      </c>
      <c r="G352" t="s">
        <v>303</v>
      </c>
      <c r="H352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349</v>
      </c>
      <c r="I352" t="str">
        <f>IF(DraftResults[[#This Row],[Player ID]]=0,"",INDEX(Table5[[#All],[Pos]],MATCH(DraftResults[[#This Row],[Player ID]],Table5[[#All],[PID]],0)))</f>
        <v>C</v>
      </c>
      <c r="J352" t="str">
        <f>IF(DraftResults[[#This Row],[Player ID]]=0,"",INDEX(Table5[[#All],[First]],MATCH(DraftResults[[#This Row],[Player ID]],Table5[[#All],[PID]],0)))</f>
        <v>Chris</v>
      </c>
      <c r="K352" t="str">
        <f>IF(DraftResults[[#This Row],[Player ID]]=0,"",INDEX(Table5[[#All],[Last]],MATCH(DraftResults[[#This Row],[Player ID]],Table5[[#All],[PID]],0)))</f>
        <v>Buurman</v>
      </c>
    </row>
    <row r="353" spans="1:11" x14ac:dyDescent="0.3">
      <c r="A353">
        <v>11</v>
      </c>
      <c r="B353">
        <v>0</v>
      </c>
      <c r="C353">
        <v>19</v>
      </c>
      <c r="D353" t="s">
        <v>247</v>
      </c>
      <c r="E353">
        <v>16</v>
      </c>
      <c r="F353">
        <v>16916</v>
      </c>
      <c r="G353" t="s">
        <v>303</v>
      </c>
      <c r="H353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350</v>
      </c>
      <c r="I353" t="str">
        <f>IF(DraftResults[[#This Row],[Player ID]]=0,"",INDEX(Table5[[#All],[Pos]],MATCH(DraftResults[[#This Row],[Player ID]],Table5[[#All],[PID]],0)))</f>
        <v>RP</v>
      </c>
      <c r="J353" t="str">
        <f>IF(DraftResults[[#This Row],[Player ID]]=0,"",INDEX(Table5[[#All],[First]],MATCH(DraftResults[[#This Row],[Player ID]],Table5[[#All],[PID]],0)))</f>
        <v>Valentín</v>
      </c>
      <c r="K353" t="str">
        <f>IF(DraftResults[[#This Row],[Player ID]]=0,"",INDEX(Table5[[#All],[Last]],MATCH(DraftResults[[#This Row],[Player ID]],Table5[[#All],[PID]],0)))</f>
        <v>Contreras</v>
      </c>
    </row>
    <row r="354" spans="1:11" x14ac:dyDescent="0.3">
      <c r="A354">
        <v>11</v>
      </c>
      <c r="B354">
        <v>0</v>
      </c>
      <c r="C354">
        <v>20</v>
      </c>
      <c r="D354" t="s">
        <v>242</v>
      </c>
      <c r="E354">
        <v>14</v>
      </c>
      <c r="F354">
        <v>15922</v>
      </c>
      <c r="G354" t="s">
        <v>303</v>
      </c>
      <c r="H354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351</v>
      </c>
      <c r="I354" t="str">
        <f>IF(DraftResults[[#This Row],[Player ID]]=0,"",INDEX(Table5[[#All],[Pos]],MATCH(DraftResults[[#This Row],[Player ID]],Table5[[#All],[PID]],0)))</f>
        <v>2B</v>
      </c>
      <c r="J354" t="str">
        <f>IF(DraftResults[[#This Row],[Player ID]]=0,"",INDEX(Table5[[#All],[First]],MATCH(DraftResults[[#This Row],[Player ID]],Table5[[#All],[PID]],0)))</f>
        <v>Jay</v>
      </c>
      <c r="K354" t="str">
        <f>IF(DraftResults[[#This Row],[Player ID]]=0,"",INDEX(Table5[[#All],[Last]],MATCH(DraftResults[[#This Row],[Player ID]],Table5[[#All],[PID]],0)))</f>
        <v>Tak</v>
      </c>
    </row>
    <row r="355" spans="1:11" x14ac:dyDescent="0.3">
      <c r="A355">
        <v>11</v>
      </c>
      <c r="B355">
        <v>0</v>
      </c>
      <c r="C355">
        <v>21</v>
      </c>
      <c r="D355" t="s">
        <v>416</v>
      </c>
      <c r="E355">
        <v>159</v>
      </c>
      <c r="F355">
        <v>20447</v>
      </c>
      <c r="G355" t="s">
        <v>303</v>
      </c>
      <c r="H355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352</v>
      </c>
      <c r="I355" t="str">
        <f>IF(DraftResults[[#This Row],[Player ID]]=0,"",INDEX(Table5[[#All],[Pos]],MATCH(DraftResults[[#This Row],[Player ID]],Table5[[#All],[PID]],0)))</f>
        <v>1B</v>
      </c>
      <c r="J355" t="str">
        <f>IF(DraftResults[[#This Row],[Player ID]]=0,"",INDEX(Table5[[#All],[First]],MATCH(DraftResults[[#This Row],[Player ID]],Table5[[#All],[PID]],0)))</f>
        <v>Jian-guo</v>
      </c>
      <c r="K355" t="str">
        <f>IF(DraftResults[[#This Row],[Player ID]]=0,"",INDEX(Table5[[#All],[Last]],MATCH(DraftResults[[#This Row],[Player ID]],Table5[[#All],[PID]],0)))</f>
        <v>Niu</v>
      </c>
    </row>
    <row r="356" spans="1:11" x14ac:dyDescent="0.3">
      <c r="A356">
        <v>11</v>
      </c>
      <c r="B356">
        <v>0</v>
      </c>
      <c r="C356">
        <v>22</v>
      </c>
      <c r="D356" t="s">
        <v>244</v>
      </c>
      <c r="E356">
        <v>20</v>
      </c>
      <c r="F356">
        <v>14750</v>
      </c>
      <c r="G356" t="s">
        <v>303</v>
      </c>
      <c r="H356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353</v>
      </c>
      <c r="I356" t="str">
        <f>IF(DraftResults[[#This Row],[Player ID]]=0,"",INDEX(Table5[[#All],[Pos]],MATCH(DraftResults[[#This Row],[Player ID]],Table5[[#All],[PID]],0)))</f>
        <v>RP</v>
      </c>
      <c r="J356" t="str">
        <f>IF(DraftResults[[#This Row],[Player ID]]=0,"",INDEX(Table5[[#All],[First]],MATCH(DraftResults[[#This Row],[Player ID]],Table5[[#All],[PID]],0)))</f>
        <v>Jaime</v>
      </c>
      <c r="K356" t="str">
        <f>IF(DraftResults[[#This Row],[Player ID]]=0,"",INDEX(Table5[[#All],[Last]],MATCH(DraftResults[[#This Row],[Player ID]],Table5[[#All],[PID]],0)))</f>
        <v>Egued</v>
      </c>
    </row>
    <row r="357" spans="1:11" x14ac:dyDescent="0.3">
      <c r="A357">
        <v>11</v>
      </c>
      <c r="B357">
        <v>0</v>
      </c>
      <c r="C357">
        <v>23</v>
      </c>
      <c r="D357" t="s">
        <v>239</v>
      </c>
      <c r="E357">
        <v>10</v>
      </c>
      <c r="F357">
        <v>13309</v>
      </c>
      <c r="G357" t="s">
        <v>303</v>
      </c>
      <c r="H357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354</v>
      </c>
      <c r="I357" t="str">
        <f>IF(DraftResults[[#This Row],[Player ID]]=0,"",INDEX(Table5[[#All],[Pos]],MATCH(DraftResults[[#This Row],[Player ID]],Table5[[#All],[PID]],0)))</f>
        <v>SP</v>
      </c>
      <c r="J357" t="str">
        <f>IF(DraftResults[[#This Row],[Player ID]]=0,"",INDEX(Table5[[#All],[First]],MATCH(DraftResults[[#This Row],[Player ID]],Table5[[#All],[PID]],0)))</f>
        <v>Yoshimasa</v>
      </c>
      <c r="K357" t="str">
        <f>IF(DraftResults[[#This Row],[Player ID]]=0,"",INDEX(Table5[[#All],[Last]],MATCH(DraftResults[[#This Row],[Player ID]],Table5[[#All],[PID]],0)))</f>
        <v>Kitamura</v>
      </c>
    </row>
    <row r="358" spans="1:11" x14ac:dyDescent="0.3">
      <c r="A358">
        <v>11</v>
      </c>
      <c r="B358">
        <v>0</v>
      </c>
      <c r="C358">
        <v>24</v>
      </c>
      <c r="D358" t="s">
        <v>233</v>
      </c>
      <c r="E358">
        <v>22</v>
      </c>
      <c r="F358">
        <v>20635</v>
      </c>
      <c r="G358" t="s">
        <v>303</v>
      </c>
      <c r="H358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355</v>
      </c>
      <c r="I358" t="str">
        <f>IF(DraftResults[[#This Row],[Player ID]]=0,"",INDEX(Table5[[#All],[Pos]],MATCH(DraftResults[[#This Row],[Player ID]],Table5[[#All],[PID]],0)))</f>
        <v>RP</v>
      </c>
      <c r="J358" t="str">
        <f>IF(DraftResults[[#This Row],[Player ID]]=0,"",INDEX(Table5[[#All],[First]],MATCH(DraftResults[[#This Row],[Player ID]],Table5[[#All],[PID]],0)))</f>
        <v>Pyeong-kyu</v>
      </c>
      <c r="K358" t="str">
        <f>IF(DraftResults[[#This Row],[Player ID]]=0,"",INDEX(Table5[[#All],[Last]],MATCH(DraftResults[[#This Row],[Player ID]],Table5[[#All],[PID]],0)))</f>
        <v>Han</v>
      </c>
    </row>
    <row r="359" spans="1:11" x14ac:dyDescent="0.3">
      <c r="A359">
        <v>11</v>
      </c>
      <c r="B359">
        <v>0</v>
      </c>
      <c r="C359">
        <v>25</v>
      </c>
      <c r="D359" t="s">
        <v>236</v>
      </c>
      <c r="E359">
        <v>17</v>
      </c>
      <c r="F359">
        <v>21036</v>
      </c>
      <c r="G359" t="s">
        <v>303</v>
      </c>
      <c r="H359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356</v>
      </c>
      <c r="I359" t="str">
        <f>IF(DraftResults[[#This Row],[Player ID]]=0,"",INDEX(Table5[[#All],[Pos]],MATCH(DraftResults[[#This Row],[Player ID]],Table5[[#All],[PID]],0)))</f>
        <v>SP</v>
      </c>
      <c r="J359" t="str">
        <f>IF(DraftResults[[#This Row],[Player ID]]=0,"",INDEX(Table5[[#All],[First]],MATCH(DraftResults[[#This Row],[Player ID]],Table5[[#All],[PID]],0)))</f>
        <v>Clarence</v>
      </c>
      <c r="K359" t="str">
        <f>IF(DraftResults[[#This Row],[Player ID]]=0,"",INDEX(Table5[[#All],[Last]],MATCH(DraftResults[[#This Row],[Player ID]],Table5[[#All],[PID]],0)))</f>
        <v>Shields</v>
      </c>
    </row>
    <row r="360" spans="1:11" x14ac:dyDescent="0.3">
      <c r="A360">
        <v>11</v>
      </c>
      <c r="B360">
        <v>0</v>
      </c>
      <c r="C360">
        <v>26</v>
      </c>
      <c r="D360" t="s">
        <v>232</v>
      </c>
      <c r="E360">
        <v>19</v>
      </c>
      <c r="F360">
        <v>12827</v>
      </c>
      <c r="G360" t="s">
        <v>303</v>
      </c>
      <c r="H360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357</v>
      </c>
      <c r="I360" t="str">
        <f>IF(DraftResults[[#This Row],[Player ID]]=0,"",INDEX(Table5[[#All],[Pos]],MATCH(DraftResults[[#This Row],[Player ID]],Table5[[#All],[PID]],0)))</f>
        <v>LF</v>
      </c>
      <c r="J360" t="str">
        <f>IF(DraftResults[[#This Row],[Player ID]]=0,"",INDEX(Table5[[#All],[First]],MATCH(DraftResults[[#This Row],[Player ID]],Table5[[#All],[PID]],0)))</f>
        <v>Clive</v>
      </c>
      <c r="K360" t="str">
        <f>IF(DraftResults[[#This Row],[Player ID]]=0,"",INDEX(Table5[[#All],[Last]],MATCH(DraftResults[[#This Row],[Player ID]],Table5[[#All],[PID]],0)))</f>
        <v>Hotham</v>
      </c>
    </row>
    <row r="361" spans="1:11" x14ac:dyDescent="0.3">
      <c r="A361">
        <v>11</v>
      </c>
      <c r="B361">
        <v>0</v>
      </c>
      <c r="C361">
        <v>27</v>
      </c>
      <c r="D361" t="s">
        <v>417</v>
      </c>
      <c r="E361">
        <v>163</v>
      </c>
      <c r="F361">
        <v>12591</v>
      </c>
      <c r="G361" t="s">
        <v>303</v>
      </c>
      <c r="H361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358</v>
      </c>
      <c r="I361" t="str">
        <f>IF(DraftResults[[#This Row],[Player ID]]=0,"",INDEX(Table5[[#All],[Pos]],MATCH(DraftResults[[#This Row],[Player ID]],Table5[[#All],[PID]],0)))</f>
        <v>3B</v>
      </c>
      <c r="J361" t="str">
        <f>IF(DraftResults[[#This Row],[Player ID]]=0,"",INDEX(Table5[[#All],[First]],MATCH(DraftResults[[#This Row],[Player ID]],Table5[[#All],[PID]],0)))</f>
        <v>Richard</v>
      </c>
      <c r="K361" t="str">
        <f>IF(DraftResults[[#This Row],[Player ID]]=0,"",INDEX(Table5[[#All],[Last]],MATCH(DraftResults[[#This Row],[Player ID]],Table5[[#All],[PID]],0)))</f>
        <v>Carpenter</v>
      </c>
    </row>
    <row r="362" spans="1:11" ht="15.75" customHeight="1" x14ac:dyDescent="0.3">
      <c r="A362">
        <v>11</v>
      </c>
      <c r="B362">
        <v>0</v>
      </c>
      <c r="C362">
        <v>28</v>
      </c>
      <c r="D362" t="s">
        <v>413</v>
      </c>
      <c r="E362">
        <v>2</v>
      </c>
      <c r="F362">
        <v>21045</v>
      </c>
      <c r="G362" t="s">
        <v>303</v>
      </c>
      <c r="H362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359</v>
      </c>
      <c r="I362" t="str">
        <f>IF(DraftResults[[#This Row],[Player ID]]=0,"",INDEX(Table5[[#All],[Pos]],MATCH(DraftResults[[#This Row],[Player ID]],Table5[[#All],[PID]],0)))</f>
        <v>CF</v>
      </c>
      <c r="J362" t="str">
        <f>IF(DraftResults[[#This Row],[Player ID]]=0,"",INDEX(Table5[[#All],[First]],MATCH(DraftResults[[#This Row],[Player ID]],Table5[[#All],[PID]],0)))</f>
        <v>Peter</v>
      </c>
      <c r="K362" t="str">
        <f>IF(DraftResults[[#This Row],[Player ID]]=0,"",INDEX(Table5[[#All],[Last]],MATCH(DraftResults[[#This Row],[Player ID]],Table5[[#All],[PID]],0)))</f>
        <v>Barnes</v>
      </c>
    </row>
    <row r="363" spans="1:11" x14ac:dyDescent="0.3">
      <c r="A363">
        <v>11</v>
      </c>
      <c r="B363">
        <v>0</v>
      </c>
      <c r="C363">
        <v>29</v>
      </c>
      <c r="D363" t="s">
        <v>418</v>
      </c>
      <c r="E363">
        <v>161</v>
      </c>
      <c r="F363">
        <v>20482</v>
      </c>
      <c r="G363" t="s">
        <v>303</v>
      </c>
      <c r="H363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360</v>
      </c>
      <c r="I363" t="str">
        <f>IF(DraftResults[[#This Row],[Player ID]]=0,"",INDEX(Table5[[#All],[Pos]],MATCH(DraftResults[[#This Row],[Player ID]],Table5[[#All],[PID]],0)))</f>
        <v>CL</v>
      </c>
      <c r="J363" t="str">
        <f>IF(DraftResults[[#This Row],[Player ID]]=0,"",INDEX(Table5[[#All],[First]],MATCH(DraftResults[[#This Row],[Player ID]],Table5[[#All],[PID]],0)))</f>
        <v>Tsuyoshi</v>
      </c>
      <c r="K363" t="str">
        <f>IF(DraftResults[[#This Row],[Player ID]]=0,"",INDEX(Table5[[#All],[Last]],MATCH(DraftResults[[#This Row],[Player ID]],Table5[[#All],[PID]],0)))</f>
        <v>Kaneko</v>
      </c>
    </row>
    <row r="364" spans="1:11" x14ac:dyDescent="0.3">
      <c r="A364">
        <v>11</v>
      </c>
      <c r="B364">
        <v>0</v>
      </c>
      <c r="C364">
        <v>30</v>
      </c>
      <c r="D364" t="s">
        <v>415</v>
      </c>
      <c r="E364">
        <v>166</v>
      </c>
      <c r="F364">
        <v>21073</v>
      </c>
      <c r="G364" t="s">
        <v>303</v>
      </c>
      <c r="H364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361</v>
      </c>
      <c r="I364" t="str">
        <f>IF(DraftResults[[#This Row],[Player ID]]=0,"",INDEX(Table5[[#All],[Pos]],MATCH(DraftResults[[#This Row],[Player ID]],Table5[[#All],[PID]],0)))</f>
        <v>SS</v>
      </c>
      <c r="J364" t="str">
        <f>IF(DraftResults[[#This Row],[Player ID]]=0,"",INDEX(Table5[[#All],[First]],MATCH(DraftResults[[#This Row],[Player ID]],Table5[[#All],[PID]],0)))</f>
        <v>Tom</v>
      </c>
      <c r="K364" t="str">
        <f>IF(DraftResults[[#This Row],[Player ID]]=0,"",INDEX(Table5[[#All],[Last]],MATCH(DraftResults[[#This Row],[Player ID]],Table5[[#All],[PID]],0)))</f>
        <v>Becker</v>
      </c>
    </row>
    <row r="365" spans="1:11" x14ac:dyDescent="0.3">
      <c r="A365">
        <v>11</v>
      </c>
      <c r="B365">
        <v>0</v>
      </c>
      <c r="C365">
        <v>31</v>
      </c>
      <c r="D365" t="s">
        <v>238</v>
      </c>
      <c r="E365">
        <v>11</v>
      </c>
      <c r="F365">
        <v>20744</v>
      </c>
      <c r="G365" t="s">
        <v>303</v>
      </c>
      <c r="H365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362</v>
      </c>
      <c r="I365" t="str">
        <f>IF(DraftResults[[#This Row],[Player ID]]=0,"",INDEX(Table5[[#All],[Pos]],MATCH(DraftResults[[#This Row],[Player ID]],Table5[[#All],[PID]],0)))</f>
        <v>LF</v>
      </c>
      <c r="J365" t="str">
        <f>IF(DraftResults[[#This Row],[Player ID]]=0,"",INDEX(Table5[[#All],[First]],MATCH(DraftResults[[#This Row],[Player ID]],Table5[[#All],[PID]],0)))</f>
        <v>Johnny</v>
      </c>
      <c r="K365" t="str">
        <f>IF(DraftResults[[#This Row],[Player ID]]=0,"",INDEX(Table5[[#All],[Last]],MATCH(DraftResults[[#This Row],[Player ID]],Table5[[#All],[PID]],0)))</f>
        <v>Bell</v>
      </c>
    </row>
    <row r="366" spans="1:11" x14ac:dyDescent="0.3">
      <c r="A366">
        <v>11</v>
      </c>
      <c r="B366">
        <v>0</v>
      </c>
      <c r="C366">
        <v>32</v>
      </c>
      <c r="D366" t="s">
        <v>546</v>
      </c>
      <c r="E366">
        <v>9</v>
      </c>
      <c r="F366">
        <v>20209</v>
      </c>
      <c r="G366" t="s">
        <v>303</v>
      </c>
      <c r="H366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363</v>
      </c>
      <c r="I366" t="str">
        <f>IF(DraftResults[[#This Row],[Player ID]]=0,"",INDEX(Table5[[#All],[Pos]],MATCH(DraftResults[[#This Row],[Player ID]],Table5[[#All],[PID]],0)))</f>
        <v>RP</v>
      </c>
      <c r="J366" t="str">
        <f>IF(DraftResults[[#This Row],[Player ID]]=0,"",INDEX(Table5[[#All],[First]],MATCH(DraftResults[[#This Row],[Player ID]],Table5[[#All],[PID]],0)))</f>
        <v>Wu-sheng</v>
      </c>
      <c r="K366" t="str">
        <f>IF(DraftResults[[#This Row],[Player ID]]=0,"",INDEX(Table5[[#All],[Last]],MATCH(DraftResults[[#This Row],[Player ID]],Table5[[#All],[PID]],0)))</f>
        <v>Sang</v>
      </c>
    </row>
    <row r="367" spans="1:11" x14ac:dyDescent="0.3">
      <c r="A367">
        <v>11</v>
      </c>
      <c r="B367">
        <v>0</v>
      </c>
      <c r="C367">
        <v>33</v>
      </c>
      <c r="D367" t="s">
        <v>1614</v>
      </c>
      <c r="E367">
        <v>6</v>
      </c>
      <c r="F367">
        <v>16489</v>
      </c>
      <c r="G367" t="s">
        <v>303</v>
      </c>
      <c r="H367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364</v>
      </c>
      <c r="I367" t="str">
        <f>IF(DraftResults[[#This Row],[Player ID]]=0,"",INDEX(Table5[[#All],[Pos]],MATCH(DraftResults[[#This Row],[Player ID]],Table5[[#All],[PID]],0)))</f>
        <v>SS</v>
      </c>
      <c r="J367" t="str">
        <f>IF(DraftResults[[#This Row],[Player ID]]=0,"",INDEX(Table5[[#All],[First]],MATCH(DraftResults[[#This Row],[Player ID]],Table5[[#All],[PID]],0)))</f>
        <v>Tony</v>
      </c>
      <c r="K367" t="str">
        <f>IF(DraftResults[[#This Row],[Player ID]]=0,"",INDEX(Table5[[#All],[Last]],MATCH(DraftResults[[#This Row],[Player ID]],Table5[[#All],[PID]],0)))</f>
        <v>Guardado</v>
      </c>
    </row>
    <row r="368" spans="1:11" x14ac:dyDescent="0.3">
      <c r="A368">
        <v>11</v>
      </c>
      <c r="B368">
        <v>0</v>
      </c>
      <c r="C368">
        <v>34</v>
      </c>
      <c r="D368" t="s">
        <v>1615</v>
      </c>
      <c r="E368">
        <v>5</v>
      </c>
      <c r="F368">
        <v>12087</v>
      </c>
      <c r="G368" t="s">
        <v>303</v>
      </c>
      <c r="H368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365</v>
      </c>
      <c r="I368" t="str">
        <f>IF(DraftResults[[#This Row],[Player ID]]=0,"",INDEX(Table5[[#All],[Pos]],MATCH(DraftResults[[#This Row],[Player ID]],Table5[[#All],[PID]],0)))</f>
        <v>1B</v>
      </c>
      <c r="J368" t="str">
        <f>IF(DraftResults[[#This Row],[Player ID]]=0,"",INDEX(Table5[[#All],[First]],MATCH(DraftResults[[#This Row],[Player ID]],Table5[[#All],[PID]],0)))</f>
        <v>Jean</v>
      </c>
      <c r="K368" t="str">
        <f>IF(DraftResults[[#This Row],[Player ID]]=0,"",INDEX(Table5[[#All],[Last]],MATCH(DraftResults[[#This Row],[Player ID]],Table5[[#All],[PID]],0)))</f>
        <v>Bouchard</v>
      </c>
    </row>
    <row r="369" spans="1:11" x14ac:dyDescent="0.3">
      <c r="A369">
        <v>12</v>
      </c>
      <c r="B369">
        <v>0</v>
      </c>
      <c r="C369">
        <v>1</v>
      </c>
      <c r="D369" t="s">
        <v>542</v>
      </c>
      <c r="E369">
        <v>24</v>
      </c>
      <c r="F369">
        <v>20754</v>
      </c>
      <c r="G369" t="s">
        <v>303</v>
      </c>
      <c r="H369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366</v>
      </c>
      <c r="I369" t="str">
        <f>IF(DraftResults[[#This Row],[Player ID]]=0,"",INDEX(Table5[[#All],[Pos]],MATCH(DraftResults[[#This Row],[Player ID]],Table5[[#All],[PID]],0)))</f>
        <v>SP</v>
      </c>
      <c r="J369" t="str">
        <f>IF(DraftResults[[#This Row],[Player ID]]=0,"",INDEX(Table5[[#All],[First]],MATCH(DraftResults[[#This Row],[Player ID]],Table5[[#All],[PID]],0)))</f>
        <v>Manny</v>
      </c>
      <c r="K369" t="str">
        <f>IF(DraftResults[[#This Row],[Player ID]]=0,"",INDEX(Table5[[#All],[Last]],MATCH(DraftResults[[#This Row],[Player ID]],Table5[[#All],[PID]],0)))</f>
        <v>Guzmán</v>
      </c>
    </row>
    <row r="370" spans="1:11" x14ac:dyDescent="0.3">
      <c r="A370">
        <v>12</v>
      </c>
      <c r="B370">
        <v>0</v>
      </c>
      <c r="C370">
        <v>2</v>
      </c>
      <c r="D370" t="s">
        <v>488</v>
      </c>
      <c r="E370">
        <v>7</v>
      </c>
      <c r="F370">
        <v>13325</v>
      </c>
      <c r="G370" t="s">
        <v>303</v>
      </c>
      <c r="H370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367</v>
      </c>
      <c r="I370" t="str">
        <f>IF(DraftResults[[#This Row],[Player ID]]=0,"",INDEX(Table5[[#All],[Pos]],MATCH(DraftResults[[#This Row],[Player ID]],Table5[[#All],[PID]],0)))</f>
        <v>SS</v>
      </c>
      <c r="J370" t="str">
        <f>IF(DraftResults[[#This Row],[Player ID]]=0,"",INDEX(Table5[[#All],[First]],MATCH(DraftResults[[#This Row],[Player ID]],Table5[[#All],[PID]],0)))</f>
        <v>Mitsuzuka</v>
      </c>
      <c r="K370" t="str">
        <f>IF(DraftResults[[#This Row],[Player ID]]=0,"",INDEX(Table5[[#All],[Last]],MATCH(DraftResults[[#This Row],[Player ID]],Table5[[#All],[PID]],0)))</f>
        <v>Koyama</v>
      </c>
    </row>
    <row r="371" spans="1:11" x14ac:dyDescent="0.3">
      <c r="A371">
        <v>12</v>
      </c>
      <c r="B371">
        <v>0</v>
      </c>
      <c r="C371">
        <v>3</v>
      </c>
      <c r="D371" t="s">
        <v>420</v>
      </c>
      <c r="E371">
        <v>167</v>
      </c>
      <c r="F371">
        <v>12526</v>
      </c>
      <c r="G371" t="s">
        <v>303</v>
      </c>
      <c r="H371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368</v>
      </c>
      <c r="I371" t="str">
        <f>IF(DraftResults[[#This Row],[Player ID]]=0,"",INDEX(Table5[[#All],[Pos]],MATCH(DraftResults[[#This Row],[Player ID]],Table5[[#All],[PID]],0)))</f>
        <v>C</v>
      </c>
      <c r="J371" t="str">
        <f>IF(DraftResults[[#This Row],[Player ID]]=0,"",INDEX(Table5[[#All],[First]],MATCH(DraftResults[[#This Row],[Player ID]],Table5[[#All],[PID]],0)))</f>
        <v>Mark</v>
      </c>
      <c r="K371" t="str">
        <f>IF(DraftResults[[#This Row],[Player ID]]=0,"",INDEX(Table5[[#All],[Last]],MATCH(DraftResults[[#This Row],[Player ID]],Table5[[#All],[PID]],0)))</f>
        <v>Lea</v>
      </c>
    </row>
    <row r="372" spans="1:11" x14ac:dyDescent="0.3">
      <c r="A372">
        <v>12</v>
      </c>
      <c r="B372">
        <v>0</v>
      </c>
      <c r="C372">
        <v>4</v>
      </c>
      <c r="D372" t="s">
        <v>235</v>
      </c>
      <c r="E372">
        <v>21</v>
      </c>
      <c r="F372">
        <v>11504</v>
      </c>
      <c r="G372" t="s">
        <v>303</v>
      </c>
      <c r="H372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369</v>
      </c>
      <c r="I372" t="str">
        <f>IF(DraftResults[[#This Row],[Player ID]]=0,"",INDEX(Table5[[#All],[Pos]],MATCH(DraftResults[[#This Row],[Player ID]],Table5[[#All],[PID]],0)))</f>
        <v>SP</v>
      </c>
      <c r="J372" t="str">
        <f>IF(DraftResults[[#This Row],[Player ID]]=0,"",INDEX(Table5[[#All],[First]],MATCH(DraftResults[[#This Row],[Player ID]],Table5[[#All],[PID]],0)))</f>
        <v>Michael</v>
      </c>
      <c r="K372" t="str">
        <f>IF(DraftResults[[#This Row],[Player ID]]=0,"",INDEX(Table5[[#All],[Last]],MATCH(DraftResults[[#This Row],[Player ID]],Table5[[#All],[PID]],0)))</f>
        <v>Reed</v>
      </c>
    </row>
    <row r="373" spans="1:11" x14ac:dyDescent="0.3">
      <c r="A373">
        <v>12</v>
      </c>
      <c r="B373">
        <v>0</v>
      </c>
      <c r="C373">
        <v>5</v>
      </c>
      <c r="D373" t="s">
        <v>545</v>
      </c>
      <c r="E373">
        <v>23</v>
      </c>
      <c r="F373">
        <v>20241</v>
      </c>
      <c r="G373" t="s">
        <v>303</v>
      </c>
      <c r="H373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370</v>
      </c>
      <c r="I373" t="str">
        <f>IF(DraftResults[[#This Row],[Player ID]]=0,"",INDEX(Table5[[#All],[Pos]],MATCH(DraftResults[[#This Row],[Player ID]],Table5[[#All],[PID]],0)))</f>
        <v>RP</v>
      </c>
      <c r="J373" t="str">
        <f>IF(DraftResults[[#This Row],[Player ID]]=0,"",INDEX(Table5[[#All],[First]],MATCH(DraftResults[[#This Row],[Player ID]],Table5[[#All],[PID]],0)))</f>
        <v>Woody</v>
      </c>
      <c r="K373" t="str">
        <f>IF(DraftResults[[#This Row],[Player ID]]=0,"",INDEX(Table5[[#All],[Last]],MATCH(DraftResults[[#This Row],[Player ID]],Table5[[#All],[PID]],0)))</f>
        <v>Follett</v>
      </c>
    </row>
    <row r="374" spans="1:11" x14ac:dyDescent="0.3">
      <c r="A374">
        <v>12</v>
      </c>
      <c r="B374">
        <v>0</v>
      </c>
      <c r="C374">
        <v>6</v>
      </c>
      <c r="D374" t="s">
        <v>246</v>
      </c>
      <c r="E374">
        <v>8</v>
      </c>
      <c r="F374">
        <v>12627</v>
      </c>
      <c r="G374" t="s">
        <v>303</v>
      </c>
      <c r="H374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371</v>
      </c>
      <c r="I374" t="str">
        <f>IF(DraftResults[[#This Row],[Player ID]]=0,"",INDEX(Table5[[#All],[Pos]],MATCH(DraftResults[[#This Row],[Player ID]],Table5[[#All],[PID]],0)))</f>
        <v>LF</v>
      </c>
      <c r="J374" t="str">
        <f>IF(DraftResults[[#This Row],[Player ID]]=0,"",INDEX(Table5[[#All],[First]],MATCH(DraftResults[[#This Row],[Player ID]],Table5[[#All],[PID]],0)))</f>
        <v>Wilson</v>
      </c>
      <c r="K374" t="str">
        <f>IF(DraftResults[[#This Row],[Player ID]]=0,"",INDEX(Table5[[#All],[Last]],MATCH(DraftResults[[#This Row],[Player ID]],Table5[[#All],[PID]],0)))</f>
        <v>González</v>
      </c>
    </row>
    <row r="375" spans="1:11" x14ac:dyDescent="0.3">
      <c r="A375">
        <v>12</v>
      </c>
      <c r="B375">
        <v>0</v>
      </c>
      <c r="C375">
        <v>7</v>
      </c>
      <c r="D375" t="s">
        <v>419</v>
      </c>
      <c r="E375">
        <v>18</v>
      </c>
      <c r="F375">
        <v>12961</v>
      </c>
      <c r="G375" t="s">
        <v>303</v>
      </c>
      <c r="H375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372</v>
      </c>
      <c r="I375" t="str">
        <f>IF(DraftResults[[#This Row],[Player ID]]=0,"",INDEX(Table5[[#All],[Pos]],MATCH(DraftResults[[#This Row],[Player ID]],Table5[[#All],[PID]],0)))</f>
        <v>RP</v>
      </c>
      <c r="J375" t="str">
        <f>IF(DraftResults[[#This Row],[Player ID]]=0,"",INDEX(Table5[[#All],[First]],MATCH(DraftResults[[#This Row],[Player ID]],Table5[[#All],[PID]],0)))</f>
        <v>Koos</v>
      </c>
      <c r="K375" t="str">
        <f>IF(DraftResults[[#This Row],[Player ID]]=0,"",INDEX(Table5[[#All],[Last]],MATCH(DraftResults[[#This Row],[Player ID]],Table5[[#All],[PID]],0)))</f>
        <v>Olthuis</v>
      </c>
    </row>
    <row r="376" spans="1:11" x14ac:dyDescent="0.3">
      <c r="A376">
        <v>12</v>
      </c>
      <c r="B376">
        <v>0</v>
      </c>
      <c r="C376">
        <v>8</v>
      </c>
      <c r="D376" t="s">
        <v>1614</v>
      </c>
      <c r="E376">
        <v>6</v>
      </c>
      <c r="F376">
        <v>5086</v>
      </c>
      <c r="G376" t="s">
        <v>303</v>
      </c>
      <c r="H376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373</v>
      </c>
      <c r="I376" t="str">
        <f>IF(DraftResults[[#This Row],[Player ID]]=0,"",INDEX(Table5[[#All],[Pos]],MATCH(DraftResults[[#This Row],[Player ID]],Table5[[#All],[PID]],0)))</f>
        <v>RP</v>
      </c>
      <c r="J376" t="str">
        <f>IF(DraftResults[[#This Row],[Player ID]]=0,"",INDEX(Table5[[#All],[First]],MATCH(DraftResults[[#This Row],[Player ID]],Table5[[#All],[PID]],0)))</f>
        <v>Brian</v>
      </c>
      <c r="K376" t="str">
        <f>IF(DraftResults[[#This Row],[Player ID]]=0,"",INDEX(Table5[[#All],[Last]],MATCH(DraftResults[[#This Row],[Player ID]],Table5[[#All],[PID]],0)))</f>
        <v>Brown</v>
      </c>
    </row>
    <row r="377" spans="1:11" x14ac:dyDescent="0.3">
      <c r="A377">
        <v>12</v>
      </c>
      <c r="B377">
        <v>0</v>
      </c>
      <c r="C377">
        <v>9</v>
      </c>
      <c r="D377" t="s">
        <v>1614</v>
      </c>
      <c r="E377">
        <v>6</v>
      </c>
      <c r="F377">
        <v>20575</v>
      </c>
      <c r="G377" t="s">
        <v>303</v>
      </c>
      <c r="H377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374</v>
      </c>
      <c r="I377" t="str">
        <f>IF(DraftResults[[#This Row],[Player ID]]=0,"",INDEX(Table5[[#All],[Pos]],MATCH(DraftResults[[#This Row],[Player ID]],Table5[[#All],[PID]],0)))</f>
        <v>RP</v>
      </c>
      <c r="J377" t="str">
        <f>IF(DraftResults[[#This Row],[Player ID]]=0,"",INDEX(Table5[[#All],[First]],MATCH(DraftResults[[#This Row],[Player ID]],Table5[[#All],[PID]],0)))</f>
        <v>Koto</v>
      </c>
      <c r="K377" t="str">
        <f>IF(DraftResults[[#This Row],[Player ID]]=0,"",INDEX(Table5[[#All],[Last]],MATCH(DraftResults[[#This Row],[Player ID]],Table5[[#All],[PID]],0)))</f>
        <v>Nishi</v>
      </c>
    </row>
    <row r="378" spans="1:11" x14ac:dyDescent="0.3">
      <c r="A378">
        <v>12</v>
      </c>
      <c r="B378">
        <v>0</v>
      </c>
      <c r="C378">
        <v>10</v>
      </c>
      <c r="D378" t="s">
        <v>240</v>
      </c>
      <c r="E378">
        <v>3</v>
      </c>
      <c r="F378">
        <v>20996</v>
      </c>
      <c r="G378" t="s">
        <v>303</v>
      </c>
      <c r="H378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375</v>
      </c>
      <c r="I378" t="str">
        <f>IF(DraftResults[[#This Row],[Player ID]]=0,"",INDEX(Table5[[#All],[Pos]],MATCH(DraftResults[[#This Row],[Player ID]],Table5[[#All],[PID]],0)))</f>
        <v>RF</v>
      </c>
      <c r="J378" t="str">
        <f>IF(DraftResults[[#This Row],[Player ID]]=0,"",INDEX(Table5[[#All],[First]],MATCH(DraftResults[[#This Row],[Player ID]],Table5[[#All],[PID]],0)))</f>
        <v>Philip</v>
      </c>
      <c r="K378" t="str">
        <f>IF(DraftResults[[#This Row],[Player ID]]=0,"",INDEX(Table5[[#All],[Last]],MATCH(DraftResults[[#This Row],[Player ID]],Table5[[#All],[PID]],0)))</f>
        <v>Fuller</v>
      </c>
    </row>
    <row r="379" spans="1:11" x14ac:dyDescent="0.3">
      <c r="A379">
        <v>12</v>
      </c>
      <c r="B379">
        <v>0</v>
      </c>
      <c r="C379">
        <v>11</v>
      </c>
      <c r="D379" t="s">
        <v>241</v>
      </c>
      <c r="E379">
        <v>1</v>
      </c>
      <c r="F379">
        <v>12973</v>
      </c>
      <c r="G379" t="s">
        <v>303</v>
      </c>
      <c r="H379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376</v>
      </c>
      <c r="I379" t="str">
        <f>IF(DraftResults[[#This Row],[Player ID]]=0,"",INDEX(Table5[[#All],[Pos]],MATCH(DraftResults[[#This Row],[Player ID]],Table5[[#All],[PID]],0)))</f>
        <v>1B</v>
      </c>
      <c r="J379" t="str">
        <f>IF(DraftResults[[#This Row],[Player ID]]=0,"",INDEX(Table5[[#All],[First]],MATCH(DraftResults[[#This Row],[Player ID]],Table5[[#All],[PID]],0)))</f>
        <v>Jorge</v>
      </c>
      <c r="K379" t="str">
        <f>IF(DraftResults[[#This Row],[Player ID]]=0,"",INDEX(Table5[[#All],[Last]],MATCH(DraftResults[[#This Row],[Player ID]],Table5[[#All],[PID]],0)))</f>
        <v>Delgado</v>
      </c>
    </row>
    <row r="380" spans="1:11" x14ac:dyDescent="0.3">
      <c r="A380">
        <v>12</v>
      </c>
      <c r="B380">
        <v>0</v>
      </c>
      <c r="C380">
        <v>12</v>
      </c>
      <c r="D380" t="s">
        <v>489</v>
      </c>
      <c r="E380">
        <v>4</v>
      </c>
      <c r="F380">
        <v>20434</v>
      </c>
      <c r="G380" t="s">
        <v>303</v>
      </c>
      <c r="H380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377</v>
      </c>
      <c r="I380" t="str">
        <f>IF(DraftResults[[#This Row],[Player ID]]=0,"",INDEX(Table5[[#All],[Pos]],MATCH(DraftResults[[#This Row],[Player ID]],Table5[[#All],[PID]],0)))</f>
        <v>RP</v>
      </c>
      <c r="J380" t="str">
        <f>IF(DraftResults[[#This Row],[Player ID]]=0,"",INDEX(Table5[[#All],[First]],MATCH(DraftResults[[#This Row],[Player ID]],Table5[[#All],[PID]],0)))</f>
        <v>Xing-hua</v>
      </c>
      <c r="K380" t="str">
        <f>IF(DraftResults[[#This Row],[Player ID]]=0,"",INDEX(Table5[[#All],[Last]],MATCH(DraftResults[[#This Row],[Player ID]],Table5[[#All],[PID]],0)))</f>
        <v>Zhu</v>
      </c>
    </row>
    <row r="381" spans="1:11" x14ac:dyDescent="0.3">
      <c r="A381">
        <v>12</v>
      </c>
      <c r="B381">
        <v>0</v>
      </c>
      <c r="C381">
        <v>13</v>
      </c>
      <c r="D381" t="s">
        <v>414</v>
      </c>
      <c r="E381">
        <v>164</v>
      </c>
      <c r="F381">
        <v>13072</v>
      </c>
      <c r="G381" t="s">
        <v>303</v>
      </c>
      <c r="H381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378</v>
      </c>
      <c r="I381" t="str">
        <f>IF(DraftResults[[#This Row],[Player ID]]=0,"",INDEX(Table5[[#All],[Pos]],MATCH(DraftResults[[#This Row],[Player ID]],Table5[[#All],[PID]],0)))</f>
        <v>SP</v>
      </c>
      <c r="J381" t="str">
        <f>IF(DraftResults[[#This Row],[Player ID]]=0,"",INDEX(Table5[[#All],[First]],MATCH(DraftResults[[#This Row],[Player ID]],Table5[[#All],[PID]],0)))</f>
        <v>Govaart</v>
      </c>
      <c r="K381" t="str">
        <f>IF(DraftResults[[#This Row],[Player ID]]=0,"",INDEX(Table5[[#All],[Last]],MATCH(DraftResults[[#This Row],[Player ID]],Table5[[#All],[PID]],0)))</f>
        <v>Heijmans</v>
      </c>
    </row>
    <row r="382" spans="1:11" x14ac:dyDescent="0.3">
      <c r="A382">
        <v>12</v>
      </c>
      <c r="B382">
        <v>0</v>
      </c>
      <c r="C382">
        <v>14</v>
      </c>
      <c r="D382" t="s">
        <v>251</v>
      </c>
      <c r="E382">
        <v>12</v>
      </c>
      <c r="F382">
        <v>9973</v>
      </c>
      <c r="G382" t="s">
        <v>303</v>
      </c>
      <c r="H382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379</v>
      </c>
      <c r="I382" t="str">
        <f>IF(DraftResults[[#This Row],[Player ID]]=0,"",INDEX(Table5[[#All],[Pos]],MATCH(DraftResults[[#This Row],[Player ID]],Table5[[#All],[PID]],0)))</f>
        <v>RF</v>
      </c>
      <c r="J382" t="str">
        <f>IF(DraftResults[[#This Row],[Player ID]]=0,"",INDEX(Table5[[#All],[First]],MATCH(DraftResults[[#This Row],[Player ID]],Table5[[#All],[PID]],0)))</f>
        <v>Lawrence</v>
      </c>
      <c r="K382" t="str">
        <f>IF(DraftResults[[#This Row],[Player ID]]=0,"",INDEX(Table5[[#All],[Last]],MATCH(DraftResults[[#This Row],[Player ID]],Table5[[#All],[PID]],0)))</f>
        <v>Powell</v>
      </c>
    </row>
    <row r="383" spans="1:11" x14ac:dyDescent="0.3">
      <c r="A383">
        <v>12</v>
      </c>
      <c r="B383">
        <v>0</v>
      </c>
      <c r="C383">
        <v>15</v>
      </c>
      <c r="D383" t="s">
        <v>543</v>
      </c>
      <c r="E383">
        <v>160</v>
      </c>
      <c r="F383">
        <v>13113</v>
      </c>
      <c r="G383" t="s">
        <v>303</v>
      </c>
      <c r="H383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380</v>
      </c>
      <c r="I383" t="str">
        <f>IF(DraftResults[[#This Row],[Player ID]]=0,"",INDEX(Table5[[#All],[Pos]],MATCH(DraftResults[[#This Row],[Player ID]],Table5[[#All],[PID]],0)))</f>
        <v>SP</v>
      </c>
      <c r="J383" t="str">
        <f>IF(DraftResults[[#This Row],[Player ID]]=0,"",INDEX(Table5[[#All],[First]],MATCH(DraftResults[[#This Row],[Player ID]],Table5[[#All],[PID]],0)))</f>
        <v>Chiel</v>
      </c>
      <c r="K383" t="str">
        <f>IF(DraftResults[[#This Row],[Player ID]]=0,"",INDEX(Table5[[#All],[Last]],MATCH(DraftResults[[#This Row],[Player ID]],Table5[[#All],[PID]],0)))</f>
        <v>van Guilik</v>
      </c>
    </row>
    <row r="384" spans="1:11" x14ac:dyDescent="0.3">
      <c r="A384">
        <v>12</v>
      </c>
      <c r="B384">
        <v>0</v>
      </c>
      <c r="C384">
        <v>16</v>
      </c>
      <c r="D384" t="s">
        <v>544</v>
      </c>
      <c r="E384">
        <v>13</v>
      </c>
      <c r="F384">
        <v>21057</v>
      </c>
      <c r="G384" t="s">
        <v>303</v>
      </c>
      <c r="H384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381</v>
      </c>
      <c r="I384" t="str">
        <f>IF(DraftResults[[#This Row],[Player ID]]=0,"",INDEX(Table5[[#All],[Pos]],MATCH(DraftResults[[#This Row],[Player ID]],Table5[[#All],[PID]],0)))</f>
        <v>RP</v>
      </c>
      <c r="J384" t="str">
        <f>IF(DraftResults[[#This Row],[Player ID]]=0,"",INDEX(Table5[[#All],[First]],MATCH(DraftResults[[#This Row],[Player ID]],Table5[[#All],[PID]],0)))</f>
        <v>Ryan</v>
      </c>
      <c r="K384" t="str">
        <f>IF(DraftResults[[#This Row],[Player ID]]=0,"",INDEX(Table5[[#All],[Last]],MATCH(DraftResults[[#This Row],[Player ID]],Table5[[#All],[PID]],0)))</f>
        <v>Flores</v>
      </c>
    </row>
    <row r="385" spans="1:11" x14ac:dyDescent="0.3">
      <c r="A385">
        <v>12</v>
      </c>
      <c r="B385">
        <v>0</v>
      </c>
      <c r="C385">
        <v>17</v>
      </c>
      <c r="D385" t="s">
        <v>243</v>
      </c>
      <c r="E385">
        <v>15</v>
      </c>
      <c r="F385">
        <v>12666</v>
      </c>
      <c r="G385" t="s">
        <v>303</v>
      </c>
      <c r="H385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382</v>
      </c>
      <c r="I385" t="str">
        <f>IF(DraftResults[[#This Row],[Player ID]]=0,"",INDEX(Table5[[#All],[Pos]],MATCH(DraftResults[[#This Row],[Player ID]],Table5[[#All],[PID]],0)))</f>
        <v>RP</v>
      </c>
      <c r="J385" t="str">
        <f>IF(DraftResults[[#This Row],[Player ID]]=0,"",INDEX(Table5[[#All],[First]],MATCH(DraftResults[[#This Row],[Player ID]],Table5[[#All],[PID]],0)))</f>
        <v>River</v>
      </c>
      <c r="K385" t="str">
        <f>IF(DraftResults[[#This Row],[Player ID]]=0,"",INDEX(Table5[[#All],[Last]],MATCH(DraftResults[[#This Row],[Player ID]],Table5[[#All],[PID]],0)))</f>
        <v>Donaldson</v>
      </c>
    </row>
    <row r="386" spans="1:11" x14ac:dyDescent="0.3">
      <c r="A386">
        <v>12</v>
      </c>
      <c r="B386">
        <v>0</v>
      </c>
      <c r="C386">
        <v>18</v>
      </c>
      <c r="D386" t="s">
        <v>412</v>
      </c>
      <c r="E386">
        <v>162</v>
      </c>
      <c r="F386">
        <v>9828</v>
      </c>
      <c r="G386" t="s">
        <v>303</v>
      </c>
      <c r="H386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383</v>
      </c>
      <c r="I386" t="str">
        <f>IF(DraftResults[[#This Row],[Player ID]]=0,"",INDEX(Table5[[#All],[Pos]],MATCH(DraftResults[[#This Row],[Player ID]],Table5[[#All],[PID]],0)))</f>
        <v>LF</v>
      </c>
      <c r="J386" t="str">
        <f>IF(DraftResults[[#This Row],[Player ID]]=0,"",INDEX(Table5[[#All],[First]],MATCH(DraftResults[[#This Row],[Player ID]],Table5[[#All],[PID]],0)))</f>
        <v>Norberto</v>
      </c>
      <c r="K386" t="str">
        <f>IF(DraftResults[[#This Row],[Player ID]]=0,"",INDEX(Table5[[#All],[Last]],MATCH(DraftResults[[#This Row],[Player ID]],Table5[[#All],[PID]],0)))</f>
        <v>De Jesús</v>
      </c>
    </row>
    <row r="387" spans="1:11" x14ac:dyDescent="0.3">
      <c r="A387">
        <v>12</v>
      </c>
      <c r="B387">
        <v>0</v>
      </c>
      <c r="C387">
        <v>19</v>
      </c>
      <c r="D387" t="s">
        <v>247</v>
      </c>
      <c r="E387">
        <v>16</v>
      </c>
      <c r="F387">
        <v>10297</v>
      </c>
      <c r="G387" t="s">
        <v>303</v>
      </c>
      <c r="H387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384</v>
      </c>
      <c r="I387" t="str">
        <f>IF(DraftResults[[#This Row],[Player ID]]=0,"",INDEX(Table5[[#All],[Pos]],MATCH(DraftResults[[#This Row],[Player ID]],Table5[[#All],[PID]],0)))</f>
        <v>SP</v>
      </c>
      <c r="J387" t="str">
        <f>IF(DraftResults[[#This Row],[Player ID]]=0,"",INDEX(Table5[[#All],[First]],MATCH(DraftResults[[#This Row],[Player ID]],Table5[[#All],[PID]],0)))</f>
        <v>Jim</v>
      </c>
      <c r="K387" t="str">
        <f>IF(DraftResults[[#This Row],[Player ID]]=0,"",INDEX(Table5[[#All],[Last]],MATCH(DraftResults[[#This Row],[Player ID]],Table5[[#All],[PID]],0)))</f>
        <v>Flores</v>
      </c>
    </row>
    <row r="388" spans="1:11" ht="15.75" customHeight="1" x14ac:dyDescent="0.3">
      <c r="A388">
        <v>12</v>
      </c>
      <c r="B388">
        <v>0</v>
      </c>
      <c r="C388">
        <v>20</v>
      </c>
      <c r="D388" t="s">
        <v>242</v>
      </c>
      <c r="E388">
        <v>14</v>
      </c>
      <c r="F388">
        <v>20284</v>
      </c>
      <c r="G388" t="s">
        <v>303</v>
      </c>
      <c r="H388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385</v>
      </c>
      <c r="I388" t="str">
        <f>IF(DraftResults[[#This Row],[Player ID]]=0,"",INDEX(Table5[[#All],[Pos]],MATCH(DraftResults[[#This Row],[Player ID]],Table5[[#All],[PID]],0)))</f>
        <v>3B</v>
      </c>
      <c r="J388" t="str">
        <f>IF(DraftResults[[#This Row],[Player ID]]=0,"",INDEX(Table5[[#All],[First]],MATCH(DraftResults[[#This Row],[Player ID]],Table5[[#All],[PID]],0)))</f>
        <v>Kaong</v>
      </c>
      <c r="K388" t="str">
        <f>IF(DraftResults[[#This Row],[Player ID]]=0,"",INDEX(Table5[[#All],[Last]],MATCH(DraftResults[[#This Row],[Player ID]],Table5[[#All],[PID]],0)))</f>
        <v>Chaim</v>
      </c>
    </row>
    <row r="389" spans="1:11" x14ac:dyDescent="0.3">
      <c r="A389">
        <v>12</v>
      </c>
      <c r="B389">
        <v>0</v>
      </c>
      <c r="C389">
        <v>21</v>
      </c>
      <c r="D389" t="s">
        <v>416</v>
      </c>
      <c r="E389">
        <v>159</v>
      </c>
      <c r="F389">
        <v>13248</v>
      </c>
      <c r="G389" t="s">
        <v>303</v>
      </c>
      <c r="H389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386</v>
      </c>
      <c r="I389" t="str">
        <f>IF(DraftResults[[#This Row],[Player ID]]=0,"",INDEX(Table5[[#All],[Pos]],MATCH(DraftResults[[#This Row],[Player ID]],Table5[[#All],[PID]],0)))</f>
        <v>LF</v>
      </c>
      <c r="J389" t="str">
        <f>IF(DraftResults[[#This Row],[Player ID]]=0,"",INDEX(Table5[[#All],[First]],MATCH(DraftResults[[#This Row],[Player ID]],Table5[[#All],[PID]],0)))</f>
        <v>Yosuke</v>
      </c>
      <c r="K389" t="str">
        <f>IF(DraftResults[[#This Row],[Player ID]]=0,"",INDEX(Table5[[#All],[Last]],MATCH(DraftResults[[#This Row],[Player ID]],Table5[[#All],[PID]],0)))</f>
        <v>Onishi</v>
      </c>
    </row>
    <row r="390" spans="1:11" x14ac:dyDescent="0.3">
      <c r="A390">
        <v>12</v>
      </c>
      <c r="B390">
        <v>0</v>
      </c>
      <c r="C390">
        <v>22</v>
      </c>
      <c r="D390" t="s">
        <v>244</v>
      </c>
      <c r="E390">
        <v>20</v>
      </c>
      <c r="F390">
        <v>21022</v>
      </c>
      <c r="G390" t="s">
        <v>303</v>
      </c>
      <c r="H390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387</v>
      </c>
      <c r="I390" t="str">
        <f>IF(DraftResults[[#This Row],[Player ID]]=0,"",INDEX(Table5[[#All],[Pos]],MATCH(DraftResults[[#This Row],[Player ID]],Table5[[#All],[PID]],0)))</f>
        <v>3B</v>
      </c>
      <c r="J390" t="str">
        <f>IF(DraftResults[[#This Row],[Player ID]]=0,"",INDEX(Table5[[#All],[First]],MATCH(DraftResults[[#This Row],[Player ID]],Table5[[#All],[PID]],0)))</f>
        <v>Jacob</v>
      </c>
      <c r="K390" t="str">
        <f>IF(DraftResults[[#This Row],[Player ID]]=0,"",INDEX(Table5[[#All],[Last]],MATCH(DraftResults[[#This Row],[Player ID]],Table5[[#All],[PID]],0)))</f>
        <v>Little</v>
      </c>
    </row>
    <row r="391" spans="1:11" x14ac:dyDescent="0.3">
      <c r="A391">
        <v>12</v>
      </c>
      <c r="B391">
        <v>0</v>
      </c>
      <c r="C391">
        <v>23</v>
      </c>
      <c r="D391" t="s">
        <v>239</v>
      </c>
      <c r="E391">
        <v>10</v>
      </c>
      <c r="F391">
        <v>6826</v>
      </c>
      <c r="G391" t="s">
        <v>303</v>
      </c>
      <c r="H391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388</v>
      </c>
      <c r="I391" t="str">
        <f>IF(DraftResults[[#This Row],[Player ID]]=0,"",INDEX(Table5[[#All],[Pos]],MATCH(DraftResults[[#This Row],[Player ID]],Table5[[#All],[PID]],0)))</f>
        <v>RP</v>
      </c>
      <c r="J391" t="str">
        <f>IF(DraftResults[[#This Row],[Player ID]]=0,"",INDEX(Table5[[#All],[First]],MATCH(DraftResults[[#This Row],[Player ID]],Table5[[#All],[PID]],0)))</f>
        <v>Ricky</v>
      </c>
      <c r="K391" t="str">
        <f>IF(DraftResults[[#This Row],[Player ID]]=0,"",INDEX(Table5[[#All],[Last]],MATCH(DraftResults[[#This Row],[Player ID]],Table5[[#All],[PID]],0)))</f>
        <v>Ewing</v>
      </c>
    </row>
    <row r="392" spans="1:11" x14ac:dyDescent="0.3">
      <c r="A392">
        <v>12</v>
      </c>
      <c r="B392">
        <v>0</v>
      </c>
      <c r="C392">
        <v>24</v>
      </c>
      <c r="D392" t="s">
        <v>233</v>
      </c>
      <c r="E392">
        <v>22</v>
      </c>
      <c r="F392">
        <v>12951</v>
      </c>
      <c r="G392" t="s">
        <v>303</v>
      </c>
      <c r="H392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389</v>
      </c>
      <c r="I392" t="str">
        <f>IF(DraftResults[[#This Row],[Player ID]]=0,"",INDEX(Table5[[#All],[Pos]],MATCH(DraftResults[[#This Row],[Player ID]],Table5[[#All],[PID]],0)))</f>
        <v>RP</v>
      </c>
      <c r="J392" t="str">
        <f>IF(DraftResults[[#This Row],[Player ID]]=0,"",INDEX(Table5[[#All],[First]],MATCH(DraftResults[[#This Row],[Player ID]],Table5[[#All],[PID]],0)))</f>
        <v>Benjamin</v>
      </c>
      <c r="K392" t="str">
        <f>IF(DraftResults[[#This Row],[Player ID]]=0,"",INDEX(Table5[[#All],[Last]],MATCH(DraftResults[[#This Row],[Player ID]],Table5[[#All],[PID]],0)))</f>
        <v>Martin</v>
      </c>
    </row>
    <row r="393" spans="1:11" x14ac:dyDescent="0.3">
      <c r="A393">
        <v>12</v>
      </c>
      <c r="B393">
        <v>0</v>
      </c>
      <c r="C393">
        <v>25</v>
      </c>
      <c r="D393" t="s">
        <v>236</v>
      </c>
      <c r="E393">
        <v>17</v>
      </c>
      <c r="F393">
        <v>20786</v>
      </c>
      <c r="G393" t="s">
        <v>303</v>
      </c>
      <c r="H393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390</v>
      </c>
      <c r="I393" t="str">
        <f>IF(DraftResults[[#This Row],[Player ID]]=0,"",INDEX(Table5[[#All],[Pos]],MATCH(DraftResults[[#This Row],[Player ID]],Table5[[#All],[PID]],0)))</f>
        <v>RP</v>
      </c>
      <c r="J393" t="str">
        <f>IF(DraftResults[[#This Row],[Player ID]]=0,"",INDEX(Table5[[#All],[First]],MATCH(DraftResults[[#This Row],[Player ID]],Table5[[#All],[PID]],0)))</f>
        <v>Mike</v>
      </c>
      <c r="K393" t="str">
        <f>IF(DraftResults[[#This Row],[Player ID]]=0,"",INDEX(Table5[[#All],[Last]],MATCH(DraftResults[[#This Row],[Player ID]],Table5[[#All],[PID]],0)))</f>
        <v>Grainger</v>
      </c>
    </row>
    <row r="394" spans="1:11" x14ac:dyDescent="0.3">
      <c r="A394">
        <v>12</v>
      </c>
      <c r="B394">
        <v>0</v>
      </c>
      <c r="C394">
        <v>26</v>
      </c>
      <c r="D394" t="s">
        <v>232</v>
      </c>
      <c r="E394">
        <v>19</v>
      </c>
      <c r="F394">
        <v>20768</v>
      </c>
      <c r="G394" t="s">
        <v>303</v>
      </c>
      <c r="H394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391</v>
      </c>
      <c r="I394" t="str">
        <f>IF(DraftResults[[#This Row],[Player ID]]=0,"",INDEX(Table5[[#All],[Pos]],MATCH(DraftResults[[#This Row],[Player ID]],Table5[[#All],[PID]],0)))</f>
        <v>2B</v>
      </c>
      <c r="J394" t="str">
        <f>IF(DraftResults[[#This Row],[Player ID]]=0,"",INDEX(Table5[[#All],[First]],MATCH(DraftResults[[#This Row],[Player ID]],Table5[[#All],[PID]],0)))</f>
        <v>Arthur</v>
      </c>
      <c r="K394" t="str">
        <f>IF(DraftResults[[#This Row],[Player ID]]=0,"",INDEX(Table5[[#All],[Last]],MATCH(DraftResults[[#This Row],[Player ID]],Table5[[#All],[PID]],0)))</f>
        <v>Hedgepeth</v>
      </c>
    </row>
    <row r="395" spans="1:11" x14ac:dyDescent="0.3">
      <c r="A395">
        <v>12</v>
      </c>
      <c r="B395">
        <v>0</v>
      </c>
      <c r="C395">
        <v>27</v>
      </c>
      <c r="D395" t="s">
        <v>417</v>
      </c>
      <c r="E395">
        <v>163</v>
      </c>
      <c r="F395">
        <v>5638</v>
      </c>
      <c r="G395" t="s">
        <v>303</v>
      </c>
      <c r="H395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392</v>
      </c>
      <c r="I395" t="str">
        <f>IF(DraftResults[[#This Row],[Player ID]]=0,"",INDEX(Table5[[#All],[Pos]],MATCH(DraftResults[[#This Row],[Player ID]],Table5[[#All],[PID]],0)))</f>
        <v>CL</v>
      </c>
      <c r="J395" t="str">
        <f>IF(DraftResults[[#This Row],[Player ID]]=0,"",INDEX(Table5[[#All],[First]],MATCH(DraftResults[[#This Row],[Player ID]],Table5[[#All],[PID]],0)))</f>
        <v>Pedro</v>
      </c>
      <c r="K395" t="str">
        <f>IF(DraftResults[[#This Row],[Player ID]]=0,"",INDEX(Table5[[#All],[Last]],MATCH(DraftResults[[#This Row],[Player ID]],Table5[[#All],[PID]],0)))</f>
        <v>Díaz</v>
      </c>
    </row>
    <row r="396" spans="1:11" x14ac:dyDescent="0.3">
      <c r="A396">
        <v>12</v>
      </c>
      <c r="B396">
        <v>0</v>
      </c>
      <c r="C396">
        <v>28</v>
      </c>
      <c r="D396" t="s">
        <v>413</v>
      </c>
      <c r="E396">
        <v>2</v>
      </c>
      <c r="F396">
        <v>20595</v>
      </c>
      <c r="G396" t="s">
        <v>303</v>
      </c>
      <c r="H396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393</v>
      </c>
      <c r="I396" t="str">
        <f>IF(DraftResults[[#This Row],[Player ID]]=0,"",INDEX(Table5[[#All],[Pos]],MATCH(DraftResults[[#This Row],[Player ID]],Table5[[#All],[PID]],0)))</f>
        <v>CF</v>
      </c>
      <c r="J396" t="str">
        <f>IF(DraftResults[[#This Row],[Player ID]]=0,"",INDEX(Table5[[#All],[First]],MATCH(DraftResults[[#This Row],[Player ID]],Table5[[#All],[PID]],0)))</f>
        <v>Li-xue</v>
      </c>
      <c r="K396" t="str">
        <f>IF(DraftResults[[#This Row],[Player ID]]=0,"",INDEX(Table5[[#All],[Last]],MATCH(DraftResults[[#This Row],[Player ID]],Table5[[#All],[PID]],0)))</f>
        <v>Shao</v>
      </c>
    </row>
    <row r="397" spans="1:11" x14ac:dyDescent="0.3">
      <c r="A397">
        <v>12</v>
      </c>
      <c r="B397">
        <v>0</v>
      </c>
      <c r="C397">
        <v>29</v>
      </c>
      <c r="D397" t="s">
        <v>418</v>
      </c>
      <c r="E397">
        <v>161</v>
      </c>
      <c r="F397">
        <v>12885</v>
      </c>
      <c r="G397" t="s">
        <v>303</v>
      </c>
      <c r="H397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394</v>
      </c>
      <c r="I397" t="str">
        <f>IF(DraftResults[[#This Row],[Player ID]]=0,"",INDEX(Table5[[#All],[Pos]],MATCH(DraftResults[[#This Row],[Player ID]],Table5[[#All],[PID]],0)))</f>
        <v>RP</v>
      </c>
      <c r="J397" t="str">
        <f>IF(DraftResults[[#This Row],[Player ID]]=0,"",INDEX(Table5[[#All],[First]],MATCH(DraftResults[[#This Row],[Player ID]],Table5[[#All],[PID]],0)))</f>
        <v>Aaron</v>
      </c>
      <c r="K397" t="str">
        <f>IF(DraftResults[[#This Row],[Player ID]]=0,"",INDEX(Table5[[#All],[Last]],MATCH(DraftResults[[#This Row],[Player ID]],Table5[[#All],[PID]],0)))</f>
        <v>Attoehow</v>
      </c>
    </row>
    <row r="398" spans="1:11" x14ac:dyDescent="0.3">
      <c r="A398">
        <v>12</v>
      </c>
      <c r="B398">
        <v>0</v>
      </c>
      <c r="C398">
        <v>30</v>
      </c>
      <c r="D398" t="s">
        <v>415</v>
      </c>
      <c r="E398">
        <v>166</v>
      </c>
      <c r="F398">
        <v>12677</v>
      </c>
      <c r="G398" t="s">
        <v>303</v>
      </c>
      <c r="H398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395</v>
      </c>
      <c r="I398" t="str">
        <f>IF(DraftResults[[#This Row],[Player ID]]=0,"",INDEX(Table5[[#All],[Pos]],MATCH(DraftResults[[#This Row],[Player ID]],Table5[[#All],[PID]],0)))</f>
        <v>3B</v>
      </c>
      <c r="J398" t="str">
        <f>IF(DraftResults[[#This Row],[Player ID]]=0,"",INDEX(Table5[[#All],[First]],MATCH(DraftResults[[#This Row],[Player ID]],Table5[[#All],[PID]],0)))</f>
        <v>Richard</v>
      </c>
      <c r="K398" t="str">
        <f>IF(DraftResults[[#This Row],[Player ID]]=0,"",INDEX(Table5[[#All],[Last]],MATCH(DraftResults[[#This Row],[Player ID]],Table5[[#All],[PID]],0)))</f>
        <v>Boggs</v>
      </c>
    </row>
    <row r="399" spans="1:11" x14ac:dyDescent="0.3">
      <c r="A399">
        <v>12</v>
      </c>
      <c r="B399">
        <v>0</v>
      </c>
      <c r="C399">
        <v>31</v>
      </c>
      <c r="D399" t="s">
        <v>238</v>
      </c>
      <c r="E399">
        <v>11</v>
      </c>
      <c r="F399">
        <v>21087</v>
      </c>
      <c r="G399" t="s">
        <v>303</v>
      </c>
      <c r="H399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396</v>
      </c>
      <c r="I399" t="str">
        <f>IF(DraftResults[[#This Row],[Player ID]]=0,"",INDEX(Table5[[#All],[Pos]],MATCH(DraftResults[[#This Row],[Player ID]],Table5[[#All],[PID]],0)))</f>
        <v>C</v>
      </c>
      <c r="J399" t="str">
        <f>IF(DraftResults[[#This Row],[Player ID]]=0,"",INDEX(Table5[[#All],[First]],MATCH(DraftResults[[#This Row],[Player ID]],Table5[[#All],[PID]],0)))</f>
        <v>Max</v>
      </c>
      <c r="K399" t="str">
        <f>IF(DraftResults[[#This Row],[Player ID]]=0,"",INDEX(Table5[[#All],[Last]],MATCH(DraftResults[[#This Row],[Player ID]],Table5[[#All],[PID]],0)))</f>
        <v>López</v>
      </c>
    </row>
    <row r="400" spans="1:11" x14ac:dyDescent="0.3">
      <c r="A400">
        <v>12</v>
      </c>
      <c r="B400">
        <v>0</v>
      </c>
      <c r="C400">
        <v>32</v>
      </c>
      <c r="D400" t="s">
        <v>546</v>
      </c>
      <c r="E400">
        <v>9</v>
      </c>
      <c r="F400">
        <v>10875</v>
      </c>
      <c r="G400" t="s">
        <v>303</v>
      </c>
      <c r="H400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397</v>
      </c>
      <c r="I400" t="str">
        <f>IF(DraftResults[[#This Row],[Player ID]]=0,"",INDEX(Table5[[#All],[Pos]],MATCH(DraftResults[[#This Row],[Player ID]],Table5[[#All],[PID]],0)))</f>
        <v>CF</v>
      </c>
      <c r="J400" t="str">
        <f>IF(DraftResults[[#This Row],[Player ID]]=0,"",INDEX(Table5[[#All],[First]],MATCH(DraftResults[[#This Row],[Player ID]],Table5[[#All],[PID]],0)))</f>
        <v>Sumiteru</v>
      </c>
      <c r="K400" t="str">
        <f>IF(DraftResults[[#This Row],[Player ID]]=0,"",INDEX(Table5[[#All],[Last]],MATCH(DraftResults[[#This Row],[Player ID]],Table5[[#All],[PID]],0)))</f>
        <v>Kobayashi</v>
      </c>
    </row>
    <row r="401" spans="1:11" x14ac:dyDescent="0.3">
      <c r="A401">
        <v>12</v>
      </c>
      <c r="B401">
        <v>0</v>
      </c>
      <c r="C401">
        <v>33</v>
      </c>
      <c r="D401" t="s">
        <v>1615</v>
      </c>
      <c r="E401">
        <v>5</v>
      </c>
      <c r="F401">
        <v>15639</v>
      </c>
      <c r="G401" t="s">
        <v>303</v>
      </c>
      <c r="H401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398</v>
      </c>
      <c r="I401" t="str">
        <f>IF(DraftResults[[#This Row],[Player ID]]=0,"",INDEX(Table5[[#All],[Pos]],MATCH(DraftResults[[#This Row],[Player ID]],Table5[[#All],[PID]],0)))</f>
        <v>2B</v>
      </c>
      <c r="J401" t="str">
        <f>IF(DraftResults[[#This Row],[Player ID]]=0,"",INDEX(Table5[[#All],[First]],MATCH(DraftResults[[#This Row],[Player ID]],Table5[[#All],[PID]],0)))</f>
        <v>Motonobu</v>
      </c>
      <c r="K401" t="str">
        <f>IF(DraftResults[[#This Row],[Player ID]]=0,"",INDEX(Table5[[#All],[Last]],MATCH(DraftResults[[#This Row],[Player ID]],Table5[[#All],[PID]],0)))</f>
        <v>Yamaguchi</v>
      </c>
    </row>
    <row r="402" spans="1:11" x14ac:dyDescent="0.3">
      <c r="A402">
        <v>12</v>
      </c>
      <c r="B402">
        <v>0</v>
      </c>
      <c r="C402">
        <v>34</v>
      </c>
      <c r="D402" t="s">
        <v>1614</v>
      </c>
      <c r="E402">
        <v>6</v>
      </c>
      <c r="F402">
        <v>12916</v>
      </c>
      <c r="G402" t="s">
        <v>303</v>
      </c>
      <c r="H402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399</v>
      </c>
      <c r="I402" t="str">
        <f>IF(DraftResults[[#This Row],[Player ID]]=0,"",INDEX(Table5[[#All],[Pos]],MATCH(DraftResults[[#This Row],[Player ID]],Table5[[#All],[PID]],0)))</f>
        <v>RP</v>
      </c>
      <c r="J402" t="str">
        <f>IF(DraftResults[[#This Row],[Player ID]]=0,"",INDEX(Table5[[#All],[First]],MATCH(DraftResults[[#This Row],[Player ID]],Table5[[#All],[PID]],0)))</f>
        <v>Mokichi</v>
      </c>
      <c r="K402" t="str">
        <f>IF(DraftResults[[#This Row],[Player ID]]=0,"",INDEX(Table5[[#All],[Last]],MATCH(DraftResults[[#This Row],[Player ID]],Table5[[#All],[PID]],0)))</f>
        <v>Kimura</v>
      </c>
    </row>
    <row r="403" spans="1:11" x14ac:dyDescent="0.3">
      <c r="A403">
        <v>13</v>
      </c>
      <c r="B403">
        <v>0</v>
      </c>
      <c r="C403">
        <v>1</v>
      </c>
      <c r="D403" t="s">
        <v>542</v>
      </c>
      <c r="E403">
        <v>24</v>
      </c>
      <c r="F403">
        <v>20500</v>
      </c>
      <c r="G403" t="s">
        <v>303</v>
      </c>
      <c r="H403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400</v>
      </c>
      <c r="I403" t="str">
        <f>IF(DraftResults[[#This Row],[Player ID]]=0,"",INDEX(Table5[[#All],[Pos]],MATCH(DraftResults[[#This Row],[Player ID]],Table5[[#All],[PID]],0)))</f>
        <v>RP</v>
      </c>
      <c r="J403" t="str">
        <f>IF(DraftResults[[#This Row],[Player ID]]=0,"",INDEX(Table5[[#All],[First]],MATCH(DraftResults[[#This Row],[Player ID]],Table5[[#All],[PID]],0)))</f>
        <v>Datu</v>
      </c>
      <c r="K403" t="str">
        <f>IF(DraftResults[[#This Row],[Player ID]]=0,"",INDEX(Table5[[#All],[Last]],MATCH(DraftResults[[#This Row],[Player ID]],Table5[[#All],[PID]],0)))</f>
        <v>Sy ba</v>
      </c>
    </row>
    <row r="404" spans="1:11" x14ac:dyDescent="0.3">
      <c r="A404">
        <v>13</v>
      </c>
      <c r="B404">
        <v>0</v>
      </c>
      <c r="C404">
        <v>2</v>
      </c>
      <c r="D404" t="s">
        <v>488</v>
      </c>
      <c r="E404">
        <v>7</v>
      </c>
      <c r="F404">
        <v>11875</v>
      </c>
      <c r="G404" t="s">
        <v>303</v>
      </c>
      <c r="H404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401</v>
      </c>
      <c r="I404" t="str">
        <f>IF(DraftResults[[#This Row],[Player ID]]=0,"",INDEX(Table5[[#All],[Pos]],MATCH(DraftResults[[#This Row],[Player ID]],Table5[[#All],[PID]],0)))</f>
        <v>SS</v>
      </c>
      <c r="J404" t="str">
        <f>IF(DraftResults[[#This Row],[Player ID]]=0,"",INDEX(Table5[[#All],[First]],MATCH(DraftResults[[#This Row],[Player ID]],Table5[[#All],[PID]],0)))</f>
        <v>Yoshiyuki</v>
      </c>
      <c r="K404" t="str">
        <f>IF(DraftResults[[#This Row],[Player ID]]=0,"",INDEX(Table5[[#All],[Last]],MATCH(DraftResults[[#This Row],[Player ID]],Table5[[#All],[PID]],0)))</f>
        <v>Sato</v>
      </c>
    </row>
    <row r="405" spans="1:11" x14ac:dyDescent="0.3">
      <c r="A405">
        <v>13</v>
      </c>
      <c r="B405">
        <v>0</v>
      </c>
      <c r="C405">
        <v>3</v>
      </c>
      <c r="D405" t="s">
        <v>420</v>
      </c>
      <c r="E405">
        <v>167</v>
      </c>
      <c r="F405">
        <v>10863</v>
      </c>
      <c r="G405" t="s">
        <v>303</v>
      </c>
      <c r="H405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402</v>
      </c>
      <c r="I405" t="str">
        <f>IF(DraftResults[[#This Row],[Player ID]]=0,"",INDEX(Table5[[#All],[Pos]],MATCH(DraftResults[[#This Row],[Player ID]],Table5[[#All],[PID]],0)))</f>
        <v>SP</v>
      </c>
      <c r="J405" t="str">
        <f>IF(DraftResults[[#This Row],[Player ID]]=0,"",INDEX(Table5[[#All],[First]],MATCH(DraftResults[[#This Row],[Player ID]],Table5[[#All],[PID]],0)))</f>
        <v>Taro</v>
      </c>
      <c r="K405" t="str">
        <f>IF(DraftResults[[#This Row],[Player ID]]=0,"",INDEX(Table5[[#All],[Last]],MATCH(DraftResults[[#This Row],[Player ID]],Table5[[#All],[PID]],0)))</f>
        <v>Miyata</v>
      </c>
    </row>
    <row r="406" spans="1:11" x14ac:dyDescent="0.3">
      <c r="A406">
        <v>13</v>
      </c>
      <c r="B406">
        <v>0</v>
      </c>
      <c r="C406">
        <v>4</v>
      </c>
      <c r="D406" t="s">
        <v>235</v>
      </c>
      <c r="E406">
        <v>21</v>
      </c>
      <c r="F406">
        <v>12796</v>
      </c>
      <c r="G406" t="s">
        <v>303</v>
      </c>
      <c r="H406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403</v>
      </c>
      <c r="I406" t="str">
        <f>IF(DraftResults[[#This Row],[Player ID]]=0,"",INDEX(Table5[[#All],[Pos]],MATCH(DraftResults[[#This Row],[Player ID]],Table5[[#All],[PID]],0)))</f>
        <v>SP</v>
      </c>
      <c r="J406" t="str">
        <f>IF(DraftResults[[#This Row],[Player ID]]=0,"",INDEX(Table5[[#All],[First]],MATCH(DraftResults[[#This Row],[Player ID]],Table5[[#All],[PID]],0)))</f>
        <v>Amadeo</v>
      </c>
      <c r="K406" t="str">
        <f>IF(DraftResults[[#This Row],[Player ID]]=0,"",INDEX(Table5[[#All],[Last]],MATCH(DraftResults[[#This Row],[Player ID]],Table5[[#All],[PID]],0)))</f>
        <v>Pedrazzini</v>
      </c>
    </row>
    <row r="407" spans="1:11" x14ac:dyDescent="0.3">
      <c r="A407">
        <v>13</v>
      </c>
      <c r="B407">
        <v>0</v>
      </c>
      <c r="C407">
        <v>5</v>
      </c>
      <c r="D407" t="s">
        <v>545</v>
      </c>
      <c r="E407">
        <v>23</v>
      </c>
      <c r="F407">
        <v>20325</v>
      </c>
      <c r="G407" t="s">
        <v>303</v>
      </c>
      <c r="H407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404</v>
      </c>
      <c r="I407" t="str">
        <f>IF(DraftResults[[#This Row],[Player ID]]=0,"",INDEX(Table5[[#All],[Pos]],MATCH(DraftResults[[#This Row],[Player ID]],Table5[[#All],[PID]],0)))</f>
        <v>CL</v>
      </c>
      <c r="J407" t="str">
        <f>IF(DraftResults[[#This Row],[Player ID]]=0,"",INDEX(Table5[[#All],[First]],MATCH(DraftResults[[#This Row],[Player ID]],Table5[[#All],[PID]],0)))</f>
        <v>Malcolm</v>
      </c>
      <c r="K407" t="str">
        <f>IF(DraftResults[[#This Row],[Player ID]]=0,"",INDEX(Table5[[#All],[Last]],MATCH(DraftResults[[#This Row],[Player ID]],Table5[[#All],[PID]],0)))</f>
        <v>Atkins</v>
      </c>
    </row>
    <row r="408" spans="1:11" x14ac:dyDescent="0.3">
      <c r="A408">
        <v>13</v>
      </c>
      <c r="B408">
        <v>0</v>
      </c>
      <c r="C408">
        <v>6</v>
      </c>
      <c r="D408" t="s">
        <v>246</v>
      </c>
      <c r="E408">
        <v>8</v>
      </c>
      <c r="F408">
        <v>6173</v>
      </c>
      <c r="G408" t="s">
        <v>303</v>
      </c>
      <c r="H408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405</v>
      </c>
      <c r="I408" t="str">
        <f>IF(DraftResults[[#This Row],[Player ID]]=0,"",INDEX(Table5[[#All],[Pos]],MATCH(DraftResults[[#This Row],[Player ID]],Table5[[#All],[PID]],0)))</f>
        <v>1B</v>
      </c>
      <c r="J408" t="str">
        <f>IF(DraftResults[[#This Row],[Player ID]]=0,"",INDEX(Table5[[#All],[First]],MATCH(DraftResults[[#This Row],[Player ID]],Table5[[#All],[PID]],0)))</f>
        <v>Noritoshi</v>
      </c>
      <c r="K408" t="str">
        <f>IF(DraftResults[[#This Row],[Player ID]]=0,"",INDEX(Table5[[#All],[Last]],MATCH(DraftResults[[#This Row],[Player ID]],Table5[[#All],[PID]],0)))</f>
        <v>Ishinomori</v>
      </c>
    </row>
    <row r="409" spans="1:11" x14ac:dyDescent="0.3">
      <c r="A409">
        <v>13</v>
      </c>
      <c r="B409">
        <v>0</v>
      </c>
      <c r="C409">
        <v>7</v>
      </c>
      <c r="D409" t="s">
        <v>419</v>
      </c>
      <c r="E409">
        <v>18</v>
      </c>
      <c r="F409">
        <v>20185</v>
      </c>
      <c r="G409" t="s">
        <v>303</v>
      </c>
      <c r="H409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406</v>
      </c>
      <c r="I409" t="str">
        <f>IF(DraftResults[[#This Row],[Player ID]]=0,"",INDEX(Table5[[#All],[Pos]],MATCH(DraftResults[[#This Row],[Player ID]],Table5[[#All],[PID]],0)))</f>
        <v>1B</v>
      </c>
      <c r="J409" t="str">
        <f>IF(DraftResults[[#This Row],[Player ID]]=0,"",INDEX(Table5[[#All],[First]],MATCH(DraftResults[[#This Row],[Player ID]],Table5[[#All],[PID]],0)))</f>
        <v>Will</v>
      </c>
      <c r="K409" t="str">
        <f>IF(DraftResults[[#This Row],[Player ID]]=0,"",INDEX(Table5[[#All],[Last]],MATCH(DraftResults[[#This Row],[Player ID]],Table5[[#All],[PID]],0)))</f>
        <v>Dunne</v>
      </c>
    </row>
    <row r="410" spans="1:11" x14ac:dyDescent="0.3">
      <c r="A410">
        <v>13</v>
      </c>
      <c r="B410">
        <v>0</v>
      </c>
      <c r="C410">
        <v>8</v>
      </c>
      <c r="D410" t="s">
        <v>1614</v>
      </c>
      <c r="E410">
        <v>6</v>
      </c>
      <c r="F410">
        <v>12285</v>
      </c>
      <c r="G410" t="s">
        <v>303</v>
      </c>
      <c r="H410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407</v>
      </c>
      <c r="I410" t="str">
        <f>IF(DraftResults[[#This Row],[Player ID]]=0,"",INDEX(Table5[[#All],[Pos]],MATCH(DraftResults[[#This Row],[Player ID]],Table5[[#All],[PID]],0)))</f>
        <v>RP</v>
      </c>
      <c r="J410" t="str">
        <f>IF(DraftResults[[#This Row],[Player ID]]=0,"",INDEX(Table5[[#All],[First]],MATCH(DraftResults[[#This Row],[Player ID]],Table5[[#All],[PID]],0)))</f>
        <v>Ángel</v>
      </c>
      <c r="K410" t="str">
        <f>IF(DraftResults[[#This Row],[Player ID]]=0,"",INDEX(Table5[[#All],[Last]],MATCH(DraftResults[[#This Row],[Player ID]],Table5[[#All],[PID]],0)))</f>
        <v>García</v>
      </c>
    </row>
    <row r="411" spans="1:11" x14ac:dyDescent="0.3">
      <c r="A411">
        <v>13</v>
      </c>
      <c r="B411">
        <v>0</v>
      </c>
      <c r="C411">
        <v>9</v>
      </c>
      <c r="D411" t="s">
        <v>1614</v>
      </c>
      <c r="E411">
        <v>6</v>
      </c>
      <c r="F411">
        <v>15319</v>
      </c>
      <c r="G411" t="s">
        <v>303</v>
      </c>
      <c r="H411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408</v>
      </c>
      <c r="I411" t="str">
        <f>IF(DraftResults[[#This Row],[Player ID]]=0,"",INDEX(Table5[[#All],[Pos]],MATCH(DraftResults[[#This Row],[Player ID]],Table5[[#All],[PID]],0)))</f>
        <v>RP</v>
      </c>
      <c r="J411" t="str">
        <f>IF(DraftResults[[#This Row],[Player ID]]=0,"",INDEX(Table5[[#All],[First]],MATCH(DraftResults[[#This Row],[Player ID]],Table5[[#All],[PID]],0)))</f>
        <v>Greg</v>
      </c>
      <c r="K411" t="str">
        <f>IF(DraftResults[[#This Row],[Player ID]]=0,"",INDEX(Table5[[#All],[Last]],MATCH(DraftResults[[#This Row],[Player ID]],Table5[[#All],[PID]],0)))</f>
        <v>Lewis</v>
      </c>
    </row>
    <row r="412" spans="1:11" x14ac:dyDescent="0.3">
      <c r="A412">
        <v>13</v>
      </c>
      <c r="B412">
        <v>0</v>
      </c>
      <c r="C412">
        <v>10</v>
      </c>
      <c r="D412" t="s">
        <v>240</v>
      </c>
      <c r="E412">
        <v>3</v>
      </c>
      <c r="F412">
        <v>17046</v>
      </c>
      <c r="G412" t="s">
        <v>303</v>
      </c>
      <c r="H412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409</v>
      </c>
      <c r="I412" t="str">
        <f>IF(DraftResults[[#This Row],[Player ID]]=0,"",INDEX(Table5[[#All],[Pos]],MATCH(DraftResults[[#This Row],[Player ID]],Table5[[#All],[PID]],0)))</f>
        <v>C</v>
      </c>
      <c r="J412" t="str">
        <f>IF(DraftResults[[#This Row],[Player ID]]=0,"",INDEX(Table5[[#All],[First]],MATCH(DraftResults[[#This Row],[Player ID]],Table5[[#All],[PID]],0)))</f>
        <v>Iestyn</v>
      </c>
      <c r="K412" t="str">
        <f>IF(DraftResults[[#This Row],[Player ID]]=0,"",INDEX(Table5[[#All],[Last]],MATCH(DraftResults[[#This Row],[Player ID]],Table5[[#All],[PID]],0)))</f>
        <v>Firkins</v>
      </c>
    </row>
    <row r="413" spans="1:11" x14ac:dyDescent="0.3">
      <c r="A413">
        <v>13</v>
      </c>
      <c r="B413">
        <v>0</v>
      </c>
      <c r="C413">
        <v>11</v>
      </c>
      <c r="D413" t="s">
        <v>241</v>
      </c>
      <c r="E413">
        <v>1</v>
      </c>
      <c r="F413">
        <v>9355</v>
      </c>
      <c r="G413" t="s">
        <v>303</v>
      </c>
      <c r="H413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410</v>
      </c>
      <c r="I413" t="str">
        <f>IF(DraftResults[[#This Row],[Player ID]]=0,"",INDEX(Table5[[#All],[Pos]],MATCH(DraftResults[[#This Row],[Player ID]],Table5[[#All],[PID]],0)))</f>
        <v>RF</v>
      </c>
      <c r="J413" t="str">
        <f>IF(DraftResults[[#This Row],[Player ID]]=0,"",INDEX(Table5[[#All],[First]],MATCH(DraftResults[[#This Row],[Player ID]],Table5[[#All],[PID]],0)))</f>
        <v>Rich</v>
      </c>
      <c r="K413" t="str">
        <f>IF(DraftResults[[#This Row],[Player ID]]=0,"",INDEX(Table5[[#All],[Last]],MATCH(DraftResults[[#This Row],[Player ID]],Table5[[#All],[PID]],0)))</f>
        <v>Pérez</v>
      </c>
    </row>
    <row r="414" spans="1:11" x14ac:dyDescent="0.3">
      <c r="A414">
        <v>13</v>
      </c>
      <c r="B414">
        <v>0</v>
      </c>
      <c r="C414">
        <v>12</v>
      </c>
      <c r="D414" t="s">
        <v>489</v>
      </c>
      <c r="E414">
        <v>4</v>
      </c>
      <c r="F414">
        <v>5662</v>
      </c>
      <c r="G414" t="s">
        <v>303</v>
      </c>
      <c r="H414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411</v>
      </c>
      <c r="I414" t="str">
        <f>IF(DraftResults[[#This Row],[Player ID]]=0,"",INDEX(Table5[[#All],[Pos]],MATCH(DraftResults[[#This Row],[Player ID]],Table5[[#All],[PID]],0)))</f>
        <v>RP</v>
      </c>
      <c r="J414" t="str">
        <f>IF(DraftResults[[#This Row],[Player ID]]=0,"",INDEX(Table5[[#All],[First]],MATCH(DraftResults[[#This Row],[Player ID]],Table5[[#All],[PID]],0)))</f>
        <v>Franklin</v>
      </c>
      <c r="K414" t="str">
        <f>IF(DraftResults[[#This Row],[Player ID]]=0,"",INDEX(Table5[[#All],[Last]],MATCH(DraftResults[[#This Row],[Player ID]],Table5[[#All],[PID]],0)))</f>
        <v>Ferguson</v>
      </c>
    </row>
    <row r="415" spans="1:11" x14ac:dyDescent="0.3">
      <c r="A415">
        <v>13</v>
      </c>
      <c r="B415">
        <v>0</v>
      </c>
      <c r="C415">
        <v>13</v>
      </c>
      <c r="D415" t="s">
        <v>414</v>
      </c>
      <c r="E415">
        <v>164</v>
      </c>
      <c r="F415">
        <v>5077</v>
      </c>
      <c r="G415" t="s">
        <v>303</v>
      </c>
      <c r="H415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412</v>
      </c>
      <c r="I415" t="str">
        <f>IF(DraftResults[[#This Row],[Player ID]]=0,"",INDEX(Table5[[#All],[Pos]],MATCH(DraftResults[[#This Row],[Player ID]],Table5[[#All],[PID]],0)))</f>
        <v>RP</v>
      </c>
      <c r="J415" t="str">
        <f>IF(DraftResults[[#This Row],[Player ID]]=0,"",INDEX(Table5[[#All],[First]],MATCH(DraftResults[[#This Row],[Player ID]],Table5[[#All],[PID]],0)))</f>
        <v>Bryan</v>
      </c>
      <c r="K415" t="str">
        <f>IF(DraftResults[[#This Row],[Player ID]]=0,"",INDEX(Table5[[#All],[Last]],MATCH(DraftResults[[#This Row],[Player ID]],Table5[[#All],[PID]],0)))</f>
        <v>Montoya</v>
      </c>
    </row>
    <row r="416" spans="1:11" x14ac:dyDescent="0.3">
      <c r="A416">
        <v>13</v>
      </c>
      <c r="B416">
        <v>0</v>
      </c>
      <c r="C416">
        <v>14</v>
      </c>
      <c r="D416" t="s">
        <v>251</v>
      </c>
      <c r="E416">
        <v>12</v>
      </c>
      <c r="F416">
        <v>12567</v>
      </c>
      <c r="G416" t="s">
        <v>303</v>
      </c>
      <c r="H416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413</v>
      </c>
      <c r="I416" t="str">
        <f>IF(DraftResults[[#This Row],[Player ID]]=0,"",INDEX(Table5[[#All],[Pos]],MATCH(DraftResults[[#This Row],[Player ID]],Table5[[#All],[PID]],0)))</f>
        <v>RF</v>
      </c>
      <c r="J416" t="str">
        <f>IF(DraftResults[[#This Row],[Player ID]]=0,"",INDEX(Table5[[#All],[First]],MATCH(DraftResults[[#This Row],[Player ID]],Table5[[#All],[PID]],0)))</f>
        <v>Walt</v>
      </c>
      <c r="K416" t="str">
        <f>IF(DraftResults[[#This Row],[Player ID]]=0,"",INDEX(Table5[[#All],[Last]],MATCH(DraftResults[[#This Row],[Player ID]],Table5[[#All],[PID]],0)))</f>
        <v>Daniel</v>
      </c>
    </row>
    <row r="417" spans="1:11" x14ac:dyDescent="0.3">
      <c r="A417">
        <v>13</v>
      </c>
      <c r="B417">
        <v>0</v>
      </c>
      <c r="C417">
        <v>15</v>
      </c>
      <c r="D417" t="s">
        <v>543</v>
      </c>
      <c r="E417">
        <v>160</v>
      </c>
      <c r="F417">
        <v>17116</v>
      </c>
      <c r="G417" t="s">
        <v>303</v>
      </c>
      <c r="H417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414</v>
      </c>
      <c r="I417" t="str">
        <f>IF(DraftResults[[#This Row],[Player ID]]=0,"",INDEX(Table5[[#All],[Pos]],MATCH(DraftResults[[#This Row],[Player ID]],Table5[[#All],[PID]],0)))</f>
        <v>RP</v>
      </c>
      <c r="J417" t="str">
        <f>IF(DraftResults[[#This Row],[Player ID]]=0,"",INDEX(Table5[[#All],[First]],MATCH(DraftResults[[#This Row],[Player ID]],Table5[[#All],[PID]],0)))</f>
        <v>Dwayne</v>
      </c>
      <c r="K417" t="str">
        <f>IF(DraftResults[[#This Row],[Player ID]]=0,"",INDEX(Table5[[#All],[Last]],MATCH(DraftResults[[#This Row],[Player ID]],Table5[[#All],[PID]],0)))</f>
        <v>Foulkes</v>
      </c>
    </row>
    <row r="418" spans="1:11" x14ac:dyDescent="0.3">
      <c r="A418">
        <v>13</v>
      </c>
      <c r="B418">
        <v>0</v>
      </c>
      <c r="C418">
        <v>16</v>
      </c>
      <c r="D418" t="s">
        <v>544</v>
      </c>
      <c r="E418">
        <v>13</v>
      </c>
      <c r="F418">
        <v>20650</v>
      </c>
      <c r="G418" t="s">
        <v>303</v>
      </c>
      <c r="H418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415</v>
      </c>
      <c r="I418" t="str">
        <f>IF(DraftResults[[#This Row],[Player ID]]=0,"",INDEX(Table5[[#All],[Pos]],MATCH(DraftResults[[#This Row],[Player ID]],Table5[[#All],[PID]],0)))</f>
        <v>RP</v>
      </c>
      <c r="J418" t="str">
        <f>IF(DraftResults[[#This Row],[Player ID]]=0,"",INDEX(Table5[[#All],[First]],MATCH(DraftResults[[#This Row],[Player ID]],Table5[[#All],[PID]],0)))</f>
        <v>Young-soo</v>
      </c>
      <c r="K418" t="str">
        <f>IF(DraftResults[[#This Row],[Player ID]]=0,"",INDEX(Table5[[#All],[Last]],MATCH(DraftResults[[#This Row],[Player ID]],Table5[[#All],[PID]],0)))</f>
        <v>Kim</v>
      </c>
    </row>
    <row r="419" spans="1:11" x14ac:dyDescent="0.3">
      <c r="A419">
        <v>13</v>
      </c>
      <c r="B419">
        <v>0</v>
      </c>
      <c r="C419">
        <v>17</v>
      </c>
      <c r="D419" t="s">
        <v>243</v>
      </c>
      <c r="E419">
        <v>15</v>
      </c>
      <c r="F419">
        <v>5827</v>
      </c>
      <c r="G419" t="s">
        <v>303</v>
      </c>
      <c r="H419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416</v>
      </c>
      <c r="I419" t="str">
        <f>IF(DraftResults[[#This Row],[Player ID]]=0,"",INDEX(Table5[[#All],[Pos]],MATCH(DraftResults[[#This Row],[Player ID]],Table5[[#All],[PID]],0)))</f>
        <v>RP</v>
      </c>
      <c r="J419" t="str">
        <f>IF(DraftResults[[#This Row],[Player ID]]=0,"",INDEX(Table5[[#All],[First]],MATCH(DraftResults[[#This Row],[Player ID]],Table5[[#All],[PID]],0)))</f>
        <v>Mike</v>
      </c>
      <c r="K419" t="str">
        <f>IF(DraftResults[[#This Row],[Player ID]]=0,"",INDEX(Table5[[#All],[Last]],MATCH(DraftResults[[#This Row],[Player ID]],Table5[[#All],[PID]],0)))</f>
        <v>Decker</v>
      </c>
    </row>
    <row r="420" spans="1:11" x14ac:dyDescent="0.3">
      <c r="A420">
        <v>13</v>
      </c>
      <c r="B420">
        <v>0</v>
      </c>
      <c r="C420">
        <v>18</v>
      </c>
      <c r="D420" t="s">
        <v>412</v>
      </c>
      <c r="E420">
        <v>162</v>
      </c>
      <c r="F420">
        <v>10348</v>
      </c>
      <c r="G420" t="s">
        <v>303</v>
      </c>
      <c r="H420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417</v>
      </c>
      <c r="I420" t="str">
        <f>IF(DraftResults[[#This Row],[Player ID]]=0,"",INDEX(Table5[[#All],[Pos]],MATCH(DraftResults[[#This Row],[Player ID]],Table5[[#All],[PID]],0)))</f>
        <v>1B</v>
      </c>
      <c r="J420" t="str">
        <f>IF(DraftResults[[#This Row],[Player ID]]=0,"",INDEX(Table5[[#All],[First]],MATCH(DraftResults[[#This Row],[Player ID]],Table5[[#All],[PID]],0)))</f>
        <v>Adrián</v>
      </c>
      <c r="K420" t="str">
        <f>IF(DraftResults[[#This Row],[Player ID]]=0,"",INDEX(Table5[[#All],[Last]],MATCH(DraftResults[[#This Row],[Player ID]],Table5[[#All],[PID]],0)))</f>
        <v>Díaz</v>
      </c>
    </row>
    <row r="421" spans="1:11" x14ac:dyDescent="0.3">
      <c r="A421">
        <v>13</v>
      </c>
      <c r="B421">
        <v>0</v>
      </c>
      <c r="C421">
        <v>19</v>
      </c>
      <c r="D421" t="s">
        <v>247</v>
      </c>
      <c r="E421">
        <v>16</v>
      </c>
      <c r="F421">
        <v>13320</v>
      </c>
      <c r="G421" t="s">
        <v>303</v>
      </c>
      <c r="H421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418</v>
      </c>
      <c r="I421" t="str">
        <f>IF(DraftResults[[#This Row],[Player ID]]=0,"",INDEX(Table5[[#All],[Pos]],MATCH(DraftResults[[#This Row],[Player ID]],Table5[[#All],[PID]],0)))</f>
        <v>CF</v>
      </c>
      <c r="J421" t="str">
        <f>IF(DraftResults[[#This Row],[Player ID]]=0,"",INDEX(Table5[[#All],[First]],MATCH(DraftResults[[#This Row],[Player ID]],Table5[[#All],[PID]],0)))</f>
        <v>Juichi</v>
      </c>
      <c r="K421" t="str">
        <f>IF(DraftResults[[#This Row],[Player ID]]=0,"",INDEX(Table5[[#All],[Last]],MATCH(DraftResults[[#This Row],[Player ID]],Table5[[#All],[PID]],0)))</f>
        <v>Sakai</v>
      </c>
    </row>
    <row r="422" spans="1:11" x14ac:dyDescent="0.3">
      <c r="A422">
        <v>13</v>
      </c>
      <c r="B422">
        <v>0</v>
      </c>
      <c r="C422">
        <v>20</v>
      </c>
      <c r="D422" t="s">
        <v>242</v>
      </c>
      <c r="E422">
        <v>14</v>
      </c>
      <c r="F422">
        <v>8287</v>
      </c>
      <c r="G422" t="s">
        <v>303</v>
      </c>
      <c r="H422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419</v>
      </c>
      <c r="I422" t="str">
        <f>IF(DraftResults[[#This Row],[Player ID]]=0,"",INDEX(Table5[[#All],[Pos]],MATCH(DraftResults[[#This Row],[Player ID]],Table5[[#All],[PID]],0)))</f>
        <v>RP</v>
      </c>
      <c r="J422" t="str">
        <f>IF(DraftResults[[#This Row],[Player ID]]=0,"",INDEX(Table5[[#All],[First]],MATCH(DraftResults[[#This Row],[Player ID]],Table5[[#All],[PID]],0)))</f>
        <v>Jing-quo</v>
      </c>
      <c r="K422" t="str">
        <f>IF(DraftResults[[#This Row],[Player ID]]=0,"",INDEX(Table5[[#All],[Last]],MATCH(DraftResults[[#This Row],[Player ID]],Table5[[#All],[PID]],0)))</f>
        <v>Zhang</v>
      </c>
    </row>
    <row r="423" spans="1:11" x14ac:dyDescent="0.3">
      <c r="A423">
        <v>13</v>
      </c>
      <c r="B423">
        <v>0</v>
      </c>
      <c r="C423">
        <v>21</v>
      </c>
      <c r="D423" t="s">
        <v>416</v>
      </c>
      <c r="E423">
        <v>159</v>
      </c>
      <c r="F423">
        <v>20837</v>
      </c>
      <c r="G423" t="s">
        <v>303</v>
      </c>
      <c r="H423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420</v>
      </c>
      <c r="I423" t="str">
        <f>IF(DraftResults[[#This Row],[Player ID]]=0,"",INDEX(Table5[[#All],[Pos]],MATCH(DraftResults[[#This Row],[Player ID]],Table5[[#All],[PID]],0)))</f>
        <v>1B</v>
      </c>
      <c r="J423" t="str">
        <f>IF(DraftResults[[#This Row],[Player ID]]=0,"",INDEX(Table5[[#All],[First]],MATCH(DraftResults[[#This Row],[Player ID]],Table5[[#All],[PID]],0)))</f>
        <v>Sam</v>
      </c>
      <c r="K423" t="str">
        <f>IF(DraftResults[[#This Row],[Player ID]]=0,"",INDEX(Table5[[#All],[Last]],MATCH(DraftResults[[#This Row],[Player ID]],Table5[[#All],[PID]],0)))</f>
        <v>Serna</v>
      </c>
    </row>
    <row r="424" spans="1:11" x14ac:dyDescent="0.3">
      <c r="A424">
        <v>13</v>
      </c>
      <c r="B424">
        <v>0</v>
      </c>
      <c r="C424">
        <v>22</v>
      </c>
      <c r="D424" t="s">
        <v>244</v>
      </c>
      <c r="E424">
        <v>20</v>
      </c>
      <c r="F424">
        <v>5487</v>
      </c>
      <c r="G424" t="s">
        <v>303</v>
      </c>
      <c r="H424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421</v>
      </c>
      <c r="I424" t="str">
        <f>IF(DraftResults[[#This Row],[Player ID]]=0,"",INDEX(Table5[[#All],[Pos]],MATCH(DraftResults[[#This Row],[Player ID]],Table5[[#All],[PID]],0)))</f>
        <v>RP</v>
      </c>
      <c r="J424" t="str">
        <f>IF(DraftResults[[#This Row],[Player ID]]=0,"",INDEX(Table5[[#All],[First]],MATCH(DraftResults[[#This Row],[Player ID]],Table5[[#All],[PID]],0)))</f>
        <v>Tim</v>
      </c>
      <c r="K424" t="str">
        <f>IF(DraftResults[[#This Row],[Player ID]]=0,"",INDEX(Table5[[#All],[Last]],MATCH(DraftResults[[#This Row],[Player ID]],Table5[[#All],[PID]],0)))</f>
        <v>Parkinson</v>
      </c>
    </row>
    <row r="425" spans="1:11" x14ac:dyDescent="0.3">
      <c r="A425">
        <v>13</v>
      </c>
      <c r="B425">
        <v>0</v>
      </c>
      <c r="C425">
        <v>23</v>
      </c>
      <c r="D425" t="s">
        <v>239</v>
      </c>
      <c r="E425">
        <v>10</v>
      </c>
      <c r="F425">
        <v>10797</v>
      </c>
      <c r="G425" t="s">
        <v>303</v>
      </c>
      <c r="H425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422</v>
      </c>
      <c r="I425" t="str">
        <f>IF(DraftResults[[#This Row],[Player ID]]=0,"",INDEX(Table5[[#All],[Pos]],MATCH(DraftResults[[#This Row],[Player ID]],Table5[[#All],[PID]],0)))</f>
        <v>RP</v>
      </c>
      <c r="J425" t="str">
        <f>IF(DraftResults[[#This Row],[Player ID]]=0,"",INDEX(Table5[[#All],[First]],MATCH(DraftResults[[#This Row],[Player ID]],Table5[[#All],[PID]],0)))</f>
        <v>Luis</v>
      </c>
      <c r="K425" t="str">
        <f>IF(DraftResults[[#This Row],[Player ID]]=0,"",INDEX(Table5[[#All],[Last]],MATCH(DraftResults[[#This Row],[Player ID]],Table5[[#All],[PID]],0)))</f>
        <v>Mendoza</v>
      </c>
    </row>
    <row r="426" spans="1:11" x14ac:dyDescent="0.3">
      <c r="A426">
        <v>13</v>
      </c>
      <c r="B426">
        <v>0</v>
      </c>
      <c r="C426">
        <v>24</v>
      </c>
      <c r="D426" t="s">
        <v>233</v>
      </c>
      <c r="E426">
        <v>22</v>
      </c>
      <c r="F426">
        <v>9807</v>
      </c>
      <c r="G426" t="s">
        <v>303</v>
      </c>
      <c r="H426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423</v>
      </c>
      <c r="I426" t="str">
        <f>IF(DraftResults[[#This Row],[Player ID]]=0,"",INDEX(Table5[[#All],[Pos]],MATCH(DraftResults[[#This Row],[Player ID]],Table5[[#All],[PID]],0)))</f>
        <v>RP</v>
      </c>
      <c r="J426" t="str">
        <f>IF(DraftResults[[#This Row],[Player ID]]=0,"",INDEX(Table5[[#All],[First]],MATCH(DraftResults[[#This Row],[Player ID]],Table5[[#All],[PID]],0)))</f>
        <v>Wilber</v>
      </c>
      <c r="K426" t="str">
        <f>IF(DraftResults[[#This Row],[Player ID]]=0,"",INDEX(Table5[[#All],[Last]],MATCH(DraftResults[[#This Row],[Player ID]],Table5[[#All],[PID]],0)))</f>
        <v>Belcher</v>
      </c>
    </row>
    <row r="427" spans="1:11" x14ac:dyDescent="0.3">
      <c r="A427">
        <v>13</v>
      </c>
      <c r="B427">
        <v>0</v>
      </c>
      <c r="C427">
        <v>25</v>
      </c>
      <c r="D427" t="s">
        <v>236</v>
      </c>
      <c r="E427">
        <v>17</v>
      </c>
      <c r="F427">
        <v>20291</v>
      </c>
      <c r="G427" t="s">
        <v>303</v>
      </c>
      <c r="H427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424</v>
      </c>
      <c r="I427" t="str">
        <f>IF(DraftResults[[#This Row],[Player ID]]=0,"",INDEX(Table5[[#All],[Pos]],MATCH(DraftResults[[#This Row],[Player ID]],Table5[[#All],[PID]],0)))</f>
        <v>SP</v>
      </c>
      <c r="J427" t="str">
        <f>IF(DraftResults[[#This Row],[Player ID]]=0,"",INDEX(Table5[[#All],[First]],MATCH(DraftResults[[#This Row],[Player ID]],Table5[[#All],[PID]],0)))</f>
        <v>Kol-in-sen</v>
      </c>
      <c r="K427" t="str">
        <f>IF(DraftResults[[#This Row],[Player ID]]=0,"",INDEX(Table5[[#All],[Last]],MATCH(DraftResults[[#This Row],[Player ID]],Table5[[#All],[PID]],0)))</f>
        <v>Fung</v>
      </c>
    </row>
    <row r="428" spans="1:11" x14ac:dyDescent="0.3">
      <c r="A428">
        <v>13</v>
      </c>
      <c r="B428">
        <v>0</v>
      </c>
      <c r="C428">
        <v>26</v>
      </c>
      <c r="D428" t="s">
        <v>232</v>
      </c>
      <c r="E428">
        <v>19</v>
      </c>
      <c r="F428">
        <v>6216</v>
      </c>
      <c r="G428" t="s">
        <v>303</v>
      </c>
      <c r="H428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425</v>
      </c>
      <c r="I428" t="str">
        <f>IF(DraftResults[[#This Row],[Player ID]]=0,"",INDEX(Table5[[#All],[Pos]],MATCH(DraftResults[[#This Row],[Player ID]],Table5[[#All],[PID]],0)))</f>
        <v>CL</v>
      </c>
      <c r="J428" t="str">
        <f>IF(DraftResults[[#This Row],[Player ID]]=0,"",INDEX(Table5[[#All],[First]],MATCH(DraftResults[[#This Row],[Player ID]],Table5[[#All],[PID]],0)))</f>
        <v>Juan</v>
      </c>
      <c r="K428" t="str">
        <f>IF(DraftResults[[#This Row],[Player ID]]=0,"",INDEX(Table5[[#All],[Last]],MATCH(DraftResults[[#This Row],[Player ID]],Table5[[#All],[PID]],0)))</f>
        <v>Morales</v>
      </c>
    </row>
    <row r="429" spans="1:11" x14ac:dyDescent="0.3">
      <c r="A429">
        <v>13</v>
      </c>
      <c r="B429">
        <v>0</v>
      </c>
      <c r="C429">
        <v>27</v>
      </c>
      <c r="D429" t="s">
        <v>417</v>
      </c>
      <c r="E429">
        <v>163</v>
      </c>
      <c r="F429">
        <v>6889</v>
      </c>
      <c r="G429" t="s">
        <v>303</v>
      </c>
      <c r="H429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426</v>
      </c>
      <c r="I429" t="str">
        <f>IF(DraftResults[[#This Row],[Player ID]]=0,"",INDEX(Table5[[#All],[Pos]],MATCH(DraftResults[[#This Row],[Player ID]],Table5[[#All],[PID]],0)))</f>
        <v>SP</v>
      </c>
      <c r="J429" t="str">
        <f>IF(DraftResults[[#This Row],[Player ID]]=0,"",INDEX(Table5[[#All],[First]],MATCH(DraftResults[[#This Row],[Player ID]],Table5[[#All],[PID]],0)))</f>
        <v>Bruce</v>
      </c>
      <c r="K429" t="str">
        <f>IF(DraftResults[[#This Row],[Player ID]]=0,"",INDEX(Table5[[#All],[Last]],MATCH(DraftResults[[#This Row],[Player ID]],Table5[[#All],[PID]],0)))</f>
        <v>Prince</v>
      </c>
    </row>
    <row r="430" spans="1:11" x14ac:dyDescent="0.3">
      <c r="A430">
        <v>13</v>
      </c>
      <c r="B430">
        <v>0</v>
      </c>
      <c r="C430">
        <v>28</v>
      </c>
      <c r="D430" t="s">
        <v>413</v>
      </c>
      <c r="E430">
        <v>2</v>
      </c>
      <c r="F430">
        <v>20672</v>
      </c>
      <c r="G430" t="s">
        <v>303</v>
      </c>
      <c r="H430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427</v>
      </c>
      <c r="I430" t="str">
        <f>IF(DraftResults[[#This Row],[Player ID]]=0,"",INDEX(Table5[[#All],[Pos]],MATCH(DraftResults[[#This Row],[Player ID]],Table5[[#All],[PID]],0)))</f>
        <v>1B</v>
      </c>
      <c r="J430" t="str">
        <f>IF(DraftResults[[#This Row],[Player ID]]=0,"",INDEX(Table5[[#All],[First]],MATCH(DraftResults[[#This Row],[Player ID]],Table5[[#All],[PID]],0)))</f>
        <v>Young-tae</v>
      </c>
      <c r="K430" t="str">
        <f>IF(DraftResults[[#This Row],[Player ID]]=0,"",INDEX(Table5[[#All],[Last]],MATCH(DraftResults[[#This Row],[Player ID]],Table5[[#All],[PID]],0)))</f>
        <v>Chong</v>
      </c>
    </row>
    <row r="431" spans="1:11" x14ac:dyDescent="0.3">
      <c r="A431">
        <v>13</v>
      </c>
      <c r="B431">
        <v>0</v>
      </c>
      <c r="C431">
        <v>29</v>
      </c>
      <c r="D431" t="s">
        <v>418</v>
      </c>
      <c r="E431">
        <v>161</v>
      </c>
      <c r="F431">
        <v>20323</v>
      </c>
      <c r="G431" t="s">
        <v>303</v>
      </c>
      <c r="H431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428</v>
      </c>
      <c r="I431" t="str">
        <f>IF(DraftResults[[#This Row],[Player ID]]=0,"",INDEX(Table5[[#All],[Pos]],MATCH(DraftResults[[#This Row],[Player ID]],Table5[[#All],[PID]],0)))</f>
        <v>SP</v>
      </c>
      <c r="J431" t="str">
        <f>IF(DraftResults[[#This Row],[Player ID]]=0,"",INDEX(Table5[[#All],[First]],MATCH(DraftResults[[#This Row],[Player ID]],Table5[[#All],[PID]],0)))</f>
        <v>Young-chul</v>
      </c>
      <c r="K431" t="str">
        <f>IF(DraftResults[[#This Row],[Player ID]]=0,"",INDEX(Table5[[#All],[Last]],MATCH(DraftResults[[#This Row],[Player ID]],Table5[[#All],[PID]],0)))</f>
        <v>Kim</v>
      </c>
    </row>
    <row r="432" spans="1:11" x14ac:dyDescent="0.3">
      <c r="A432">
        <v>13</v>
      </c>
      <c r="B432">
        <v>0</v>
      </c>
      <c r="C432">
        <v>30</v>
      </c>
      <c r="D432" t="s">
        <v>415</v>
      </c>
      <c r="E432">
        <v>166</v>
      </c>
      <c r="F432">
        <v>10900</v>
      </c>
      <c r="G432" t="s">
        <v>303</v>
      </c>
      <c r="H432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429</v>
      </c>
      <c r="I432" t="str">
        <f>IF(DraftResults[[#This Row],[Player ID]]=0,"",INDEX(Table5[[#All],[Pos]],MATCH(DraftResults[[#This Row],[Player ID]],Table5[[#All],[PID]],0)))</f>
        <v>C</v>
      </c>
      <c r="J432" t="str">
        <f>IF(DraftResults[[#This Row],[Player ID]]=0,"",INDEX(Table5[[#All],[First]],MATCH(DraftResults[[#This Row],[Player ID]],Table5[[#All],[PID]],0)))</f>
        <v>Kenny</v>
      </c>
      <c r="K432" t="str">
        <f>IF(DraftResults[[#This Row],[Player ID]]=0,"",INDEX(Table5[[#All],[Last]],MATCH(DraftResults[[#This Row],[Player ID]],Table5[[#All],[PID]],0)))</f>
        <v>Hall</v>
      </c>
    </row>
    <row r="433" spans="1:11" x14ac:dyDescent="0.3">
      <c r="A433">
        <v>13</v>
      </c>
      <c r="B433">
        <v>0</v>
      </c>
      <c r="C433">
        <v>31</v>
      </c>
      <c r="D433" t="s">
        <v>238</v>
      </c>
      <c r="E433">
        <v>11</v>
      </c>
      <c r="F433">
        <v>6098</v>
      </c>
      <c r="G433" t="s">
        <v>303</v>
      </c>
      <c r="H433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430</v>
      </c>
      <c r="I433" t="str">
        <f>IF(DraftResults[[#This Row],[Player ID]]=0,"",INDEX(Table5[[#All],[Pos]],MATCH(DraftResults[[#This Row],[Player ID]],Table5[[#All],[PID]],0)))</f>
        <v>RP</v>
      </c>
      <c r="J433" t="str">
        <f>IF(DraftResults[[#This Row],[Player ID]]=0,"",INDEX(Table5[[#All],[First]],MATCH(DraftResults[[#This Row],[Player ID]],Table5[[#All],[PID]],0)))</f>
        <v>Yuki</v>
      </c>
      <c r="K433" t="str">
        <f>IF(DraftResults[[#This Row],[Player ID]]=0,"",INDEX(Table5[[#All],[Last]],MATCH(DraftResults[[#This Row],[Player ID]],Table5[[#All],[PID]],0)))</f>
        <v>Ichikawa</v>
      </c>
    </row>
    <row r="434" spans="1:11" x14ac:dyDescent="0.3">
      <c r="A434">
        <v>13</v>
      </c>
      <c r="B434">
        <v>0</v>
      </c>
      <c r="C434">
        <v>32</v>
      </c>
      <c r="D434" t="s">
        <v>546</v>
      </c>
      <c r="E434">
        <v>9</v>
      </c>
      <c r="F434">
        <v>11128</v>
      </c>
      <c r="G434" t="s">
        <v>303</v>
      </c>
      <c r="H434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431</v>
      </c>
      <c r="I434" t="str">
        <f>IF(DraftResults[[#This Row],[Player ID]]=0,"",INDEX(Table5[[#All],[Pos]],MATCH(DraftResults[[#This Row],[Player ID]],Table5[[#All],[PID]],0)))</f>
        <v>3B</v>
      </c>
      <c r="J434" t="str">
        <f>IF(DraftResults[[#This Row],[Player ID]]=0,"",INDEX(Table5[[#All],[First]],MATCH(DraftResults[[#This Row],[Player ID]],Table5[[#All],[PID]],0)))</f>
        <v>Matt</v>
      </c>
      <c r="K434" t="str">
        <f>IF(DraftResults[[#This Row],[Player ID]]=0,"",INDEX(Table5[[#All],[Last]],MATCH(DraftResults[[#This Row],[Player ID]],Table5[[#All],[PID]],0)))</f>
        <v>Harris</v>
      </c>
    </row>
    <row r="435" spans="1:11" x14ac:dyDescent="0.3">
      <c r="A435">
        <v>13</v>
      </c>
      <c r="B435">
        <v>0</v>
      </c>
      <c r="C435">
        <v>33</v>
      </c>
      <c r="D435" t="s">
        <v>1614</v>
      </c>
      <c r="E435">
        <v>6</v>
      </c>
      <c r="F435">
        <v>20890</v>
      </c>
      <c r="G435" t="s">
        <v>303</v>
      </c>
      <c r="H435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432</v>
      </c>
      <c r="I435" t="str">
        <f>IF(DraftResults[[#This Row],[Player ID]]=0,"",INDEX(Table5[[#All],[Pos]],MATCH(DraftResults[[#This Row],[Player ID]],Table5[[#All],[PID]],0)))</f>
        <v>1B</v>
      </c>
      <c r="J435" t="str">
        <f>IF(DraftResults[[#This Row],[Player ID]]=0,"",INDEX(Table5[[#All],[First]],MATCH(DraftResults[[#This Row],[Player ID]],Table5[[#All],[PID]],0)))</f>
        <v>Reed</v>
      </c>
      <c r="K435" t="str">
        <f>IF(DraftResults[[#This Row],[Player ID]]=0,"",INDEX(Table5[[#All],[Last]],MATCH(DraftResults[[#This Row],[Player ID]],Table5[[#All],[PID]],0)))</f>
        <v>Smith</v>
      </c>
    </row>
    <row r="436" spans="1:11" x14ac:dyDescent="0.3">
      <c r="A436">
        <v>13</v>
      </c>
      <c r="B436">
        <v>0</v>
      </c>
      <c r="C436">
        <v>34</v>
      </c>
      <c r="D436" t="s">
        <v>1615</v>
      </c>
      <c r="E436">
        <v>5</v>
      </c>
      <c r="F436">
        <v>8567</v>
      </c>
      <c r="G436" t="s">
        <v>303</v>
      </c>
      <c r="H436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433</v>
      </c>
      <c r="I436" t="str">
        <f>IF(DraftResults[[#This Row],[Player ID]]=0,"",INDEX(Table5[[#All],[Pos]],MATCH(DraftResults[[#This Row],[Player ID]],Table5[[#All],[PID]],0)))</f>
        <v>LF</v>
      </c>
      <c r="J436" t="str">
        <f>IF(DraftResults[[#This Row],[Player ID]]=0,"",INDEX(Table5[[#All],[First]],MATCH(DraftResults[[#This Row],[Player ID]],Table5[[#All],[PID]],0)))</f>
        <v>Katsumoto</v>
      </c>
      <c r="K436" t="str">
        <f>IF(DraftResults[[#This Row],[Player ID]]=0,"",INDEX(Table5[[#All],[Last]],MATCH(DraftResults[[#This Row],[Player ID]],Table5[[#All],[PID]],0)))</f>
        <v>Nakamura</v>
      </c>
    </row>
    <row r="437" spans="1:11" x14ac:dyDescent="0.3">
      <c r="A437">
        <v>14</v>
      </c>
      <c r="B437">
        <v>0</v>
      </c>
      <c r="C437">
        <v>1</v>
      </c>
      <c r="D437" t="s">
        <v>542</v>
      </c>
      <c r="E437">
        <v>24</v>
      </c>
      <c r="F437">
        <v>11958</v>
      </c>
      <c r="G437" t="s">
        <v>303</v>
      </c>
      <c r="H437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434</v>
      </c>
      <c r="I437" t="str">
        <f>IF(DraftResults[[#This Row],[Player ID]]=0,"",INDEX(Table5[[#All],[Pos]],MATCH(DraftResults[[#This Row],[Player ID]],Table5[[#All],[PID]],0)))</f>
        <v>SP</v>
      </c>
      <c r="J437" t="str">
        <f>IF(DraftResults[[#This Row],[Player ID]]=0,"",INDEX(Table5[[#All],[First]],MATCH(DraftResults[[#This Row],[Player ID]],Table5[[#All],[PID]],0)))</f>
        <v>Pablo</v>
      </c>
      <c r="K437" t="str">
        <f>IF(DraftResults[[#This Row],[Player ID]]=0,"",INDEX(Table5[[#All],[Last]],MATCH(DraftResults[[#This Row],[Player ID]],Table5[[#All],[PID]],0)))</f>
        <v>Cordón</v>
      </c>
    </row>
    <row r="438" spans="1:11" x14ac:dyDescent="0.3">
      <c r="A438">
        <v>14</v>
      </c>
      <c r="B438">
        <v>0</v>
      </c>
      <c r="C438">
        <v>2</v>
      </c>
      <c r="D438" t="s">
        <v>488</v>
      </c>
      <c r="E438">
        <v>7</v>
      </c>
      <c r="F438">
        <v>20565</v>
      </c>
      <c r="G438" t="s">
        <v>303</v>
      </c>
      <c r="H438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435</v>
      </c>
      <c r="I438" t="str">
        <f>IF(DraftResults[[#This Row],[Player ID]]=0,"",INDEX(Table5[[#All],[Pos]],MATCH(DraftResults[[#This Row],[Player ID]],Table5[[#All],[PID]],0)))</f>
        <v>1B</v>
      </c>
      <c r="J438" t="str">
        <f>IF(DraftResults[[#This Row],[Player ID]]=0,"",INDEX(Table5[[#All],[First]],MATCH(DraftResults[[#This Row],[Player ID]],Table5[[#All],[PID]],0)))</f>
        <v>Blair</v>
      </c>
      <c r="K438" t="str">
        <f>IF(DraftResults[[#This Row],[Player ID]]=0,"",INDEX(Table5[[#All],[Last]],MATCH(DraftResults[[#This Row],[Player ID]],Table5[[#All],[PID]],0)))</f>
        <v>Dale</v>
      </c>
    </row>
    <row r="439" spans="1:11" x14ac:dyDescent="0.3">
      <c r="A439">
        <v>14</v>
      </c>
      <c r="B439">
        <v>0</v>
      </c>
      <c r="C439">
        <v>3</v>
      </c>
      <c r="D439" t="s">
        <v>420</v>
      </c>
      <c r="E439">
        <v>167</v>
      </c>
      <c r="F439">
        <v>20214</v>
      </c>
      <c r="G439" t="s">
        <v>303</v>
      </c>
      <c r="H439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436</v>
      </c>
      <c r="I439" t="str">
        <f>IF(DraftResults[[#This Row],[Player ID]]=0,"",INDEX(Table5[[#All],[Pos]],MATCH(DraftResults[[#This Row],[Player ID]],Table5[[#All],[PID]],0)))</f>
        <v>SP</v>
      </c>
      <c r="J439" t="str">
        <f>IF(DraftResults[[#This Row],[Player ID]]=0,"",INDEX(Table5[[#All],[First]],MATCH(DraftResults[[#This Row],[Player ID]],Table5[[#All],[PID]],0)))</f>
        <v>Lee</v>
      </c>
      <c r="K439" t="str">
        <f>IF(DraftResults[[#This Row],[Player ID]]=0,"",INDEX(Table5[[#All],[Last]],MATCH(DraftResults[[#This Row],[Player ID]],Table5[[#All],[PID]],0)))</f>
        <v>Warren</v>
      </c>
    </row>
    <row r="440" spans="1:11" x14ac:dyDescent="0.3">
      <c r="A440">
        <v>14</v>
      </c>
      <c r="B440">
        <v>0</v>
      </c>
      <c r="C440">
        <v>4</v>
      </c>
      <c r="D440" t="s">
        <v>235</v>
      </c>
      <c r="E440">
        <v>21</v>
      </c>
      <c r="F440">
        <v>12685</v>
      </c>
      <c r="G440" t="s">
        <v>303</v>
      </c>
      <c r="H440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437</v>
      </c>
      <c r="I440" t="str">
        <f>IF(DraftResults[[#This Row],[Player ID]]=0,"",INDEX(Table5[[#All],[Pos]],MATCH(DraftResults[[#This Row],[Player ID]],Table5[[#All],[PID]],0)))</f>
        <v>SP</v>
      </c>
      <c r="J440" t="str">
        <f>IF(DraftResults[[#This Row],[Player ID]]=0,"",INDEX(Table5[[#All],[First]],MATCH(DraftResults[[#This Row],[Player ID]],Table5[[#All],[PID]],0)))</f>
        <v>Dennis</v>
      </c>
      <c r="K440" t="str">
        <f>IF(DraftResults[[#This Row],[Player ID]]=0,"",INDEX(Table5[[#All],[Last]],MATCH(DraftResults[[#This Row],[Player ID]],Table5[[#All],[PID]],0)))</f>
        <v>Jackson</v>
      </c>
    </row>
    <row r="441" spans="1:11" x14ac:dyDescent="0.3">
      <c r="A441">
        <v>14</v>
      </c>
      <c r="B441">
        <v>0</v>
      </c>
      <c r="C441">
        <v>5</v>
      </c>
      <c r="D441" t="s">
        <v>545</v>
      </c>
      <c r="E441">
        <v>23</v>
      </c>
      <c r="F441">
        <v>20978</v>
      </c>
      <c r="G441" t="s">
        <v>303</v>
      </c>
      <c r="H441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438</v>
      </c>
      <c r="I441" t="str">
        <f>IF(DraftResults[[#This Row],[Player ID]]=0,"",INDEX(Table5[[#All],[Pos]],MATCH(DraftResults[[#This Row],[Player ID]],Table5[[#All],[PID]],0)))</f>
        <v>RP</v>
      </c>
      <c r="J441" t="str">
        <f>IF(DraftResults[[#This Row],[Player ID]]=0,"",INDEX(Table5[[#All],[First]],MATCH(DraftResults[[#This Row],[Player ID]],Table5[[#All],[PID]],0)))</f>
        <v>Jack</v>
      </c>
      <c r="K441" t="str">
        <f>IF(DraftResults[[#This Row],[Player ID]]=0,"",INDEX(Table5[[#All],[Last]],MATCH(DraftResults[[#This Row],[Player ID]],Table5[[#All],[PID]],0)))</f>
        <v>Stanford</v>
      </c>
    </row>
    <row r="442" spans="1:11" x14ac:dyDescent="0.3">
      <c r="A442">
        <v>14</v>
      </c>
      <c r="B442">
        <v>0</v>
      </c>
      <c r="C442">
        <v>6</v>
      </c>
      <c r="D442" t="s">
        <v>246</v>
      </c>
      <c r="E442">
        <v>8</v>
      </c>
      <c r="F442">
        <v>6215</v>
      </c>
      <c r="G442" t="s">
        <v>303</v>
      </c>
      <c r="H442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439</v>
      </c>
      <c r="I442" t="str">
        <f>IF(DraftResults[[#This Row],[Player ID]]=0,"",INDEX(Table5[[#All],[Pos]],MATCH(DraftResults[[#This Row],[Player ID]],Table5[[#All],[PID]],0)))</f>
        <v>1B</v>
      </c>
      <c r="J442" t="str">
        <f>IF(DraftResults[[#This Row],[Player ID]]=0,"",INDEX(Table5[[#All],[First]],MATCH(DraftResults[[#This Row],[Player ID]],Table5[[#All],[PID]],0)))</f>
        <v>Tomás</v>
      </c>
      <c r="K442" t="str">
        <f>IF(DraftResults[[#This Row],[Player ID]]=0,"",INDEX(Table5[[#All],[Last]],MATCH(DraftResults[[#This Row],[Player ID]],Table5[[#All],[PID]],0)))</f>
        <v>Sánchez</v>
      </c>
    </row>
    <row r="443" spans="1:11" x14ac:dyDescent="0.3">
      <c r="A443">
        <v>14</v>
      </c>
      <c r="B443">
        <v>0</v>
      </c>
      <c r="C443">
        <v>7</v>
      </c>
      <c r="D443" t="s">
        <v>419</v>
      </c>
      <c r="E443">
        <v>18</v>
      </c>
      <c r="F443">
        <v>20298</v>
      </c>
      <c r="G443" t="s">
        <v>303</v>
      </c>
      <c r="H443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440</v>
      </c>
      <c r="I443" t="str">
        <f>IF(DraftResults[[#This Row],[Player ID]]=0,"",INDEX(Table5[[#All],[Pos]],MATCH(DraftResults[[#This Row],[Player ID]],Table5[[#All],[PID]],0)))</f>
        <v>RP</v>
      </c>
      <c r="J443" t="str">
        <f>IF(DraftResults[[#This Row],[Player ID]]=0,"",INDEX(Table5[[#All],[First]],MATCH(DraftResults[[#This Row],[Player ID]],Table5[[#All],[PID]],0)))</f>
        <v>Horst</v>
      </c>
      <c r="K443" t="str">
        <f>IF(DraftResults[[#This Row],[Player ID]]=0,"",INDEX(Table5[[#All],[Last]],MATCH(DraftResults[[#This Row],[Player ID]],Table5[[#All],[PID]],0)))</f>
        <v>Schoof</v>
      </c>
    </row>
    <row r="444" spans="1:11" x14ac:dyDescent="0.3">
      <c r="A444">
        <v>14</v>
      </c>
      <c r="B444">
        <v>0</v>
      </c>
      <c r="C444">
        <v>8</v>
      </c>
      <c r="D444" t="s">
        <v>1614</v>
      </c>
      <c r="E444">
        <v>6</v>
      </c>
      <c r="F444">
        <v>12823</v>
      </c>
      <c r="G444" t="s">
        <v>303</v>
      </c>
      <c r="H444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441</v>
      </c>
      <c r="I444" t="str">
        <f>IF(DraftResults[[#This Row],[Player ID]]=0,"",INDEX(Table5[[#All],[Pos]],MATCH(DraftResults[[#This Row],[Player ID]],Table5[[#All],[PID]],0)))</f>
        <v>RP</v>
      </c>
      <c r="J444" t="str">
        <f>IF(DraftResults[[#This Row],[Player ID]]=0,"",INDEX(Table5[[#All],[First]],MATCH(DraftResults[[#This Row],[Player ID]],Table5[[#All],[PID]],0)))</f>
        <v>Aki</v>
      </c>
      <c r="K444" t="str">
        <f>IF(DraftResults[[#This Row],[Player ID]]=0,"",INDEX(Table5[[#All],[Last]],MATCH(DraftResults[[#This Row],[Player ID]],Table5[[#All],[PID]],0)))</f>
        <v>Gato</v>
      </c>
    </row>
    <row r="445" spans="1:11" x14ac:dyDescent="0.3">
      <c r="A445">
        <v>14</v>
      </c>
      <c r="B445">
        <v>0</v>
      </c>
      <c r="C445">
        <v>9</v>
      </c>
      <c r="D445" t="s">
        <v>1614</v>
      </c>
      <c r="E445">
        <v>6</v>
      </c>
      <c r="F445">
        <v>12340</v>
      </c>
      <c r="G445" t="s">
        <v>303</v>
      </c>
      <c r="H445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442</v>
      </c>
      <c r="I445" t="str">
        <f>IF(DraftResults[[#This Row],[Player ID]]=0,"",INDEX(Table5[[#All],[Pos]],MATCH(DraftResults[[#This Row],[Player ID]],Table5[[#All],[PID]],0)))</f>
        <v>RP</v>
      </c>
      <c r="J445" t="str">
        <f>IF(DraftResults[[#This Row],[Player ID]]=0,"",INDEX(Table5[[#All],[First]],MATCH(DraftResults[[#This Row],[Player ID]],Table5[[#All],[PID]],0)))</f>
        <v>Jorge</v>
      </c>
      <c r="K445" t="str">
        <f>IF(DraftResults[[#This Row],[Player ID]]=0,"",INDEX(Table5[[#All],[Last]],MATCH(DraftResults[[#This Row],[Player ID]],Table5[[#All],[PID]],0)))</f>
        <v>Martínez</v>
      </c>
    </row>
    <row r="446" spans="1:11" x14ac:dyDescent="0.3">
      <c r="A446">
        <v>14</v>
      </c>
      <c r="B446">
        <v>0</v>
      </c>
      <c r="C446">
        <v>10</v>
      </c>
      <c r="D446" t="s">
        <v>240</v>
      </c>
      <c r="E446">
        <v>3</v>
      </c>
      <c r="F446">
        <v>20850</v>
      </c>
      <c r="G446" t="s">
        <v>303</v>
      </c>
      <c r="H446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443</v>
      </c>
      <c r="I446" t="str">
        <f>IF(DraftResults[[#This Row],[Player ID]]=0,"",INDEX(Table5[[#All],[Pos]],MATCH(DraftResults[[#This Row],[Player ID]],Table5[[#All],[PID]],0)))</f>
        <v>SP</v>
      </c>
      <c r="J446" t="str">
        <f>IF(DraftResults[[#This Row],[Player ID]]=0,"",INDEX(Table5[[#All],[First]],MATCH(DraftResults[[#This Row],[Player ID]],Table5[[#All],[PID]],0)))</f>
        <v>Bruce</v>
      </c>
      <c r="K446" t="str">
        <f>IF(DraftResults[[#This Row],[Player ID]]=0,"",INDEX(Table5[[#All],[Last]],MATCH(DraftResults[[#This Row],[Player ID]],Table5[[#All],[PID]],0)))</f>
        <v>Brandt</v>
      </c>
    </row>
    <row r="447" spans="1:11" x14ac:dyDescent="0.3">
      <c r="A447">
        <v>14</v>
      </c>
      <c r="B447">
        <v>0</v>
      </c>
      <c r="C447">
        <v>11</v>
      </c>
      <c r="D447" t="s">
        <v>241</v>
      </c>
      <c r="E447">
        <v>1</v>
      </c>
      <c r="F447">
        <v>21017</v>
      </c>
      <c r="G447" t="s">
        <v>303</v>
      </c>
      <c r="H447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444</v>
      </c>
      <c r="I447" t="str">
        <f>IF(DraftResults[[#This Row],[Player ID]]=0,"",INDEX(Table5[[#All],[Pos]],MATCH(DraftResults[[#This Row],[Player ID]],Table5[[#All],[PID]],0)))</f>
        <v>1B</v>
      </c>
      <c r="J447" t="str">
        <f>IF(DraftResults[[#This Row],[Player ID]]=0,"",INDEX(Table5[[#All],[First]],MATCH(DraftResults[[#This Row],[Player ID]],Table5[[#All],[PID]],0)))</f>
        <v>Francisco</v>
      </c>
      <c r="K447" t="str">
        <f>IF(DraftResults[[#This Row],[Player ID]]=0,"",INDEX(Table5[[#All],[Last]],MATCH(DraftResults[[#This Row],[Player ID]],Table5[[#All],[PID]],0)))</f>
        <v>Pérez</v>
      </c>
    </row>
    <row r="448" spans="1:11" x14ac:dyDescent="0.3">
      <c r="A448">
        <v>14</v>
      </c>
      <c r="B448">
        <v>0</v>
      </c>
      <c r="C448">
        <v>12</v>
      </c>
      <c r="D448" t="s">
        <v>489</v>
      </c>
      <c r="E448">
        <v>4</v>
      </c>
      <c r="F448">
        <v>10701</v>
      </c>
      <c r="G448" t="s">
        <v>303</v>
      </c>
      <c r="H448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445</v>
      </c>
      <c r="I448" t="str">
        <f>IF(DraftResults[[#This Row],[Player ID]]=0,"",INDEX(Table5[[#All],[Pos]],MATCH(DraftResults[[#This Row],[Player ID]],Table5[[#All],[PID]],0)))</f>
        <v>RP</v>
      </c>
      <c r="J448" t="str">
        <f>IF(DraftResults[[#This Row],[Player ID]]=0,"",INDEX(Table5[[#All],[First]],MATCH(DraftResults[[#This Row],[Player ID]],Table5[[#All],[PID]],0)))</f>
        <v>Jay</v>
      </c>
      <c r="K448" t="str">
        <f>IF(DraftResults[[#This Row],[Player ID]]=0,"",INDEX(Table5[[#All],[Last]],MATCH(DraftResults[[#This Row],[Player ID]],Table5[[#All],[PID]],0)))</f>
        <v>Beales</v>
      </c>
    </row>
    <row r="449" spans="1:11" x14ac:dyDescent="0.3">
      <c r="A449">
        <v>14</v>
      </c>
      <c r="B449">
        <v>0</v>
      </c>
      <c r="C449">
        <v>13</v>
      </c>
      <c r="D449" t="s">
        <v>414</v>
      </c>
      <c r="E449">
        <v>164</v>
      </c>
      <c r="F449">
        <v>20997</v>
      </c>
      <c r="G449" t="s">
        <v>303</v>
      </c>
      <c r="H449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446</v>
      </c>
      <c r="I449" t="str">
        <f>IF(DraftResults[[#This Row],[Player ID]]=0,"",INDEX(Table5[[#All],[Pos]],MATCH(DraftResults[[#This Row],[Player ID]],Table5[[#All],[PID]],0)))</f>
        <v>2B</v>
      </c>
      <c r="J449" t="str">
        <f>IF(DraftResults[[#This Row],[Player ID]]=0,"",INDEX(Table5[[#All],[First]],MATCH(DraftResults[[#This Row],[Player ID]],Table5[[#All],[PID]],0)))</f>
        <v>Matthew</v>
      </c>
      <c r="K449" t="str">
        <f>IF(DraftResults[[#This Row],[Player ID]]=0,"",INDEX(Table5[[#All],[Last]],MATCH(DraftResults[[#This Row],[Player ID]],Table5[[#All],[PID]],0)))</f>
        <v>Johnson</v>
      </c>
    </row>
    <row r="450" spans="1:11" x14ac:dyDescent="0.3">
      <c r="A450">
        <v>14</v>
      </c>
      <c r="B450">
        <v>0</v>
      </c>
      <c r="C450">
        <v>14</v>
      </c>
      <c r="D450" t="s">
        <v>251</v>
      </c>
      <c r="E450">
        <v>12</v>
      </c>
      <c r="F450">
        <v>20852</v>
      </c>
      <c r="G450" t="s">
        <v>303</v>
      </c>
      <c r="H450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447</v>
      </c>
      <c r="I450" t="str">
        <f>IF(DraftResults[[#This Row],[Player ID]]=0,"",INDEX(Table5[[#All],[Pos]],MATCH(DraftResults[[#This Row],[Player ID]],Table5[[#All],[PID]],0)))</f>
        <v>RP</v>
      </c>
      <c r="J450" t="str">
        <f>IF(DraftResults[[#This Row],[Player ID]]=0,"",INDEX(Table5[[#All],[First]],MATCH(DraftResults[[#This Row],[Player ID]],Table5[[#All],[PID]],0)))</f>
        <v>Scott</v>
      </c>
      <c r="K450" t="str">
        <f>IF(DraftResults[[#This Row],[Player ID]]=0,"",INDEX(Table5[[#All],[Last]],MATCH(DraftResults[[#This Row],[Player ID]],Table5[[#All],[PID]],0)))</f>
        <v>Williams</v>
      </c>
    </row>
    <row r="451" spans="1:11" x14ac:dyDescent="0.3">
      <c r="A451">
        <v>14</v>
      </c>
      <c r="B451">
        <v>0</v>
      </c>
      <c r="C451">
        <v>15</v>
      </c>
      <c r="D451" t="s">
        <v>543</v>
      </c>
      <c r="E451">
        <v>160</v>
      </c>
      <c r="F451">
        <v>11045</v>
      </c>
      <c r="G451" t="s">
        <v>303</v>
      </c>
      <c r="H451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448</v>
      </c>
      <c r="I451" t="str">
        <f>IF(DraftResults[[#This Row],[Player ID]]=0,"",INDEX(Table5[[#All],[Pos]],MATCH(DraftResults[[#This Row],[Player ID]],Table5[[#All],[PID]],0)))</f>
        <v>SP</v>
      </c>
      <c r="J451" t="str">
        <f>IF(DraftResults[[#This Row],[Player ID]]=0,"",INDEX(Table5[[#All],[First]],MATCH(DraftResults[[#This Row],[Player ID]],Table5[[#All],[PID]],0)))</f>
        <v>Oda</v>
      </c>
      <c r="K451" t="str">
        <f>IF(DraftResults[[#This Row],[Player ID]]=0,"",INDEX(Table5[[#All],[Last]],MATCH(DraftResults[[#This Row],[Player ID]],Table5[[#All],[PID]],0)))</f>
        <v>Takeuchi</v>
      </c>
    </row>
    <row r="452" spans="1:11" x14ac:dyDescent="0.3">
      <c r="A452">
        <v>14</v>
      </c>
      <c r="B452">
        <v>0</v>
      </c>
      <c r="C452">
        <v>16</v>
      </c>
      <c r="D452" t="s">
        <v>544</v>
      </c>
      <c r="E452">
        <v>13</v>
      </c>
      <c r="F452">
        <v>7246</v>
      </c>
      <c r="G452" t="s">
        <v>303</v>
      </c>
      <c r="H452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449</v>
      </c>
      <c r="I452" t="str">
        <f>IF(DraftResults[[#This Row],[Player ID]]=0,"",INDEX(Table5[[#All],[Pos]],MATCH(DraftResults[[#This Row],[Player ID]],Table5[[#All],[PID]],0)))</f>
        <v>RP</v>
      </c>
      <c r="J452" t="str">
        <f>IF(DraftResults[[#This Row],[Player ID]]=0,"",INDEX(Table5[[#All],[First]],MATCH(DraftResults[[#This Row],[Player ID]],Table5[[#All],[PID]],0)))</f>
        <v>Travis</v>
      </c>
      <c r="K452" t="str">
        <f>IF(DraftResults[[#This Row],[Player ID]]=0,"",INDEX(Table5[[#All],[Last]],MATCH(DraftResults[[#This Row],[Player ID]],Table5[[#All],[PID]],0)))</f>
        <v>Richardson</v>
      </c>
    </row>
    <row r="453" spans="1:11" x14ac:dyDescent="0.3">
      <c r="A453">
        <v>14</v>
      </c>
      <c r="B453">
        <v>0</v>
      </c>
      <c r="C453">
        <v>17</v>
      </c>
      <c r="D453" t="s">
        <v>243</v>
      </c>
      <c r="E453">
        <v>15</v>
      </c>
      <c r="F453">
        <v>5209</v>
      </c>
      <c r="G453" t="s">
        <v>303</v>
      </c>
      <c r="H453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450</v>
      </c>
      <c r="I453" t="str">
        <f>IF(DraftResults[[#This Row],[Player ID]]=0,"",INDEX(Table5[[#All],[Pos]],MATCH(DraftResults[[#This Row],[Player ID]],Table5[[#All],[PID]],0)))</f>
        <v>SP</v>
      </c>
      <c r="J453" t="str">
        <f>IF(DraftResults[[#This Row],[Player ID]]=0,"",INDEX(Table5[[#All],[First]],MATCH(DraftResults[[#This Row],[Player ID]],Table5[[#All],[PID]],0)))</f>
        <v>Mark</v>
      </c>
      <c r="K453" t="str">
        <f>IF(DraftResults[[#This Row],[Player ID]]=0,"",INDEX(Table5[[#All],[Last]],MATCH(DraftResults[[#This Row],[Player ID]],Table5[[#All],[PID]],0)))</f>
        <v>Sanders</v>
      </c>
    </row>
    <row r="454" spans="1:11" x14ac:dyDescent="0.3">
      <c r="A454">
        <v>14</v>
      </c>
      <c r="B454">
        <v>0</v>
      </c>
      <c r="C454">
        <v>18</v>
      </c>
      <c r="D454" t="s">
        <v>412</v>
      </c>
      <c r="E454">
        <v>162</v>
      </c>
      <c r="F454">
        <v>9663</v>
      </c>
      <c r="G454" t="s">
        <v>303</v>
      </c>
      <c r="H454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451</v>
      </c>
      <c r="I454" t="str">
        <f>IF(DraftResults[[#This Row],[Player ID]]=0,"",INDEX(Table5[[#All],[Pos]],MATCH(DraftResults[[#This Row],[Player ID]],Table5[[#All],[PID]],0)))</f>
        <v>SS</v>
      </c>
      <c r="J454" t="str">
        <f>IF(DraftResults[[#This Row],[Player ID]]=0,"",INDEX(Table5[[#All],[First]],MATCH(DraftResults[[#This Row],[Player ID]],Table5[[#All],[PID]],0)))</f>
        <v>Dave</v>
      </c>
      <c r="K454" t="str">
        <f>IF(DraftResults[[#This Row],[Player ID]]=0,"",INDEX(Table5[[#All],[Last]],MATCH(DraftResults[[#This Row],[Player ID]],Table5[[#All],[PID]],0)))</f>
        <v>Tapia</v>
      </c>
    </row>
    <row r="455" spans="1:11" x14ac:dyDescent="0.3">
      <c r="A455">
        <v>14</v>
      </c>
      <c r="B455">
        <v>0</v>
      </c>
      <c r="C455">
        <v>19</v>
      </c>
      <c r="D455" t="s">
        <v>247</v>
      </c>
      <c r="E455">
        <v>16</v>
      </c>
      <c r="F455">
        <v>11691</v>
      </c>
      <c r="G455" t="s">
        <v>303</v>
      </c>
      <c r="H455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452</v>
      </c>
      <c r="I455" t="str">
        <f>IF(DraftResults[[#This Row],[Player ID]]=0,"",INDEX(Table5[[#All],[Pos]],MATCH(DraftResults[[#This Row],[Player ID]],Table5[[#All],[PID]],0)))</f>
        <v>SP</v>
      </c>
      <c r="J455" t="str">
        <f>IF(DraftResults[[#This Row],[Player ID]]=0,"",INDEX(Table5[[#All],[First]],MATCH(DraftResults[[#This Row],[Player ID]],Table5[[#All],[PID]],0)))</f>
        <v>Alistair</v>
      </c>
      <c r="K455" t="str">
        <f>IF(DraftResults[[#This Row],[Player ID]]=0,"",INDEX(Table5[[#All],[Last]],MATCH(DraftResults[[#This Row],[Player ID]],Table5[[#All],[PID]],0)))</f>
        <v>Coulton</v>
      </c>
    </row>
    <row r="456" spans="1:11" x14ac:dyDescent="0.3">
      <c r="A456">
        <v>14</v>
      </c>
      <c r="B456">
        <v>0</v>
      </c>
      <c r="C456">
        <v>20</v>
      </c>
      <c r="D456" t="s">
        <v>242</v>
      </c>
      <c r="E456">
        <v>14</v>
      </c>
      <c r="F456">
        <v>20910</v>
      </c>
      <c r="G456" t="s">
        <v>303</v>
      </c>
      <c r="H456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453</v>
      </c>
      <c r="I456" t="str">
        <f>IF(DraftResults[[#This Row],[Player ID]]=0,"",INDEX(Table5[[#All],[Pos]],MATCH(DraftResults[[#This Row],[Player ID]],Table5[[#All],[PID]],0)))</f>
        <v>RP</v>
      </c>
      <c r="J456" t="str">
        <f>IF(DraftResults[[#This Row],[Player ID]]=0,"",INDEX(Table5[[#All],[First]],MATCH(DraftResults[[#This Row],[Player ID]],Table5[[#All],[PID]],0)))</f>
        <v>John</v>
      </c>
      <c r="K456" t="str">
        <f>IF(DraftResults[[#This Row],[Player ID]]=0,"",INDEX(Table5[[#All],[Last]],MATCH(DraftResults[[#This Row],[Player ID]],Table5[[#All],[PID]],0)))</f>
        <v>Johnston</v>
      </c>
    </row>
    <row r="457" spans="1:11" x14ac:dyDescent="0.3">
      <c r="A457">
        <v>14</v>
      </c>
      <c r="B457">
        <v>0</v>
      </c>
      <c r="C457">
        <v>21</v>
      </c>
      <c r="D457" t="s">
        <v>416</v>
      </c>
      <c r="E457">
        <v>159</v>
      </c>
      <c r="F457">
        <v>13223</v>
      </c>
      <c r="G457" t="s">
        <v>303</v>
      </c>
      <c r="H457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454</v>
      </c>
      <c r="I457" t="str">
        <f>IF(DraftResults[[#This Row],[Player ID]]=0,"",INDEX(Table5[[#All],[Pos]],MATCH(DraftResults[[#This Row],[Player ID]],Table5[[#All],[PID]],0)))</f>
        <v>LF</v>
      </c>
      <c r="J457" t="str">
        <f>IF(DraftResults[[#This Row],[Player ID]]=0,"",INDEX(Table5[[#All],[First]],MATCH(DraftResults[[#This Row],[Player ID]],Table5[[#All],[PID]],0)))</f>
        <v>Kenji</v>
      </c>
      <c r="K457" t="str">
        <f>IF(DraftResults[[#This Row],[Player ID]]=0,"",INDEX(Table5[[#All],[Last]],MATCH(DraftResults[[#This Row],[Player ID]],Table5[[#All],[PID]],0)))</f>
        <v>Kato</v>
      </c>
    </row>
    <row r="458" spans="1:11" x14ac:dyDescent="0.3">
      <c r="A458">
        <v>14</v>
      </c>
      <c r="B458">
        <v>0</v>
      </c>
      <c r="C458">
        <v>22</v>
      </c>
      <c r="D458" t="s">
        <v>244</v>
      </c>
      <c r="E458">
        <v>20</v>
      </c>
      <c r="F458">
        <v>20931</v>
      </c>
      <c r="G458" t="s">
        <v>303</v>
      </c>
      <c r="H458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455</v>
      </c>
      <c r="I458" t="str">
        <f>IF(DraftResults[[#This Row],[Player ID]]=0,"",INDEX(Table5[[#All],[Pos]],MATCH(DraftResults[[#This Row],[Player ID]],Table5[[#All],[PID]],0)))</f>
        <v>RP</v>
      </c>
      <c r="J458" t="str">
        <f>IF(DraftResults[[#This Row],[Player ID]]=0,"",INDEX(Table5[[#All],[First]],MATCH(DraftResults[[#This Row],[Player ID]],Table5[[#All],[PID]],0)))</f>
        <v>Aurelio</v>
      </c>
      <c r="K458" t="str">
        <f>IF(DraftResults[[#This Row],[Player ID]]=0,"",INDEX(Table5[[#All],[Last]],MATCH(DraftResults[[#This Row],[Player ID]],Table5[[#All],[PID]],0)))</f>
        <v>Lucero</v>
      </c>
    </row>
    <row r="459" spans="1:11" x14ac:dyDescent="0.3">
      <c r="A459">
        <v>14</v>
      </c>
      <c r="B459">
        <v>0</v>
      </c>
      <c r="C459">
        <v>23</v>
      </c>
      <c r="D459" t="s">
        <v>239</v>
      </c>
      <c r="E459">
        <v>10</v>
      </c>
      <c r="F459">
        <v>9877</v>
      </c>
      <c r="G459" t="s">
        <v>303</v>
      </c>
      <c r="H459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456</v>
      </c>
      <c r="I459" t="str">
        <f>IF(DraftResults[[#This Row],[Player ID]]=0,"",INDEX(Table5[[#All],[Pos]],MATCH(DraftResults[[#This Row],[Player ID]],Table5[[#All],[PID]],0)))</f>
        <v>RP</v>
      </c>
      <c r="J459" t="str">
        <f>IF(DraftResults[[#This Row],[Player ID]]=0,"",INDEX(Table5[[#All],[First]],MATCH(DraftResults[[#This Row],[Player ID]],Table5[[#All],[PID]],0)))</f>
        <v>Toshikazu</v>
      </c>
      <c r="K459" t="str">
        <f>IF(DraftResults[[#This Row],[Player ID]]=0,"",INDEX(Table5[[#All],[Last]],MATCH(DraftResults[[#This Row],[Player ID]],Table5[[#All],[PID]],0)))</f>
        <v>Kanai</v>
      </c>
    </row>
    <row r="460" spans="1:11" x14ac:dyDescent="0.3">
      <c r="A460">
        <v>14</v>
      </c>
      <c r="B460">
        <v>0</v>
      </c>
      <c r="C460">
        <v>24</v>
      </c>
      <c r="D460" t="s">
        <v>233</v>
      </c>
      <c r="E460">
        <v>22</v>
      </c>
      <c r="F460">
        <v>20831</v>
      </c>
      <c r="G460" t="s">
        <v>303</v>
      </c>
      <c r="H460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457</v>
      </c>
      <c r="I460" t="str">
        <f>IF(DraftResults[[#This Row],[Player ID]]=0,"",INDEX(Table5[[#All],[Pos]],MATCH(DraftResults[[#This Row],[Player ID]],Table5[[#All],[PID]],0)))</f>
        <v>RP</v>
      </c>
      <c r="J460" t="str">
        <f>IF(DraftResults[[#This Row],[Player ID]]=0,"",INDEX(Table5[[#All],[First]],MATCH(DraftResults[[#This Row],[Player ID]],Table5[[#All],[PID]],0)))</f>
        <v>Tim</v>
      </c>
      <c r="K460" t="str">
        <f>IF(DraftResults[[#This Row],[Player ID]]=0,"",INDEX(Table5[[#All],[Last]],MATCH(DraftResults[[#This Row],[Player ID]],Table5[[#All],[PID]],0)))</f>
        <v>Patton</v>
      </c>
    </row>
    <row r="461" spans="1:11" x14ac:dyDescent="0.3">
      <c r="A461">
        <v>14</v>
      </c>
      <c r="B461">
        <v>0</v>
      </c>
      <c r="C461">
        <v>25</v>
      </c>
      <c r="D461" t="s">
        <v>236</v>
      </c>
      <c r="E461">
        <v>17</v>
      </c>
      <c r="F461">
        <v>11789</v>
      </c>
      <c r="G461" t="s">
        <v>303</v>
      </c>
      <c r="H461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458</v>
      </c>
      <c r="I461" t="str">
        <f>IF(DraftResults[[#This Row],[Player ID]]=0,"",INDEX(Table5[[#All],[Pos]],MATCH(DraftResults[[#This Row],[Player ID]],Table5[[#All],[PID]],0)))</f>
        <v>RP</v>
      </c>
      <c r="J461" t="str">
        <f>IF(DraftResults[[#This Row],[Player ID]]=0,"",INDEX(Table5[[#All],[First]],MATCH(DraftResults[[#This Row],[Player ID]],Table5[[#All],[PID]],0)))</f>
        <v>Pedro</v>
      </c>
      <c r="K461" t="str">
        <f>IF(DraftResults[[#This Row],[Player ID]]=0,"",INDEX(Table5[[#All],[Last]],MATCH(DraftResults[[#This Row],[Player ID]],Table5[[#All],[PID]],0)))</f>
        <v>Carrillo</v>
      </c>
    </row>
    <row r="462" spans="1:11" x14ac:dyDescent="0.3">
      <c r="A462">
        <v>14</v>
      </c>
      <c r="B462">
        <v>0</v>
      </c>
      <c r="C462">
        <v>26</v>
      </c>
      <c r="D462" t="s">
        <v>232</v>
      </c>
      <c r="E462">
        <v>19</v>
      </c>
      <c r="F462">
        <v>12309</v>
      </c>
      <c r="G462" t="s">
        <v>303</v>
      </c>
      <c r="H462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459</v>
      </c>
      <c r="I462" t="str">
        <f>IF(DraftResults[[#This Row],[Player ID]]=0,"",INDEX(Table5[[#All],[Pos]],MATCH(DraftResults[[#This Row],[Player ID]],Table5[[#All],[PID]],0)))</f>
        <v>RP</v>
      </c>
      <c r="J462" t="str">
        <f>IF(DraftResults[[#This Row],[Player ID]]=0,"",INDEX(Table5[[#All],[First]],MATCH(DraftResults[[#This Row],[Player ID]],Table5[[#All],[PID]],0)))</f>
        <v>Bill</v>
      </c>
      <c r="K462" t="str">
        <f>IF(DraftResults[[#This Row],[Player ID]]=0,"",INDEX(Table5[[#All],[Last]],MATCH(DraftResults[[#This Row],[Player ID]],Table5[[#All],[PID]],0)))</f>
        <v>Clark</v>
      </c>
    </row>
    <row r="463" spans="1:11" x14ac:dyDescent="0.3">
      <c r="A463">
        <v>14</v>
      </c>
      <c r="B463">
        <v>0</v>
      </c>
      <c r="C463">
        <v>27</v>
      </c>
      <c r="D463" t="s">
        <v>417</v>
      </c>
      <c r="E463">
        <v>163</v>
      </c>
      <c r="F463">
        <v>12237</v>
      </c>
      <c r="G463" t="s">
        <v>303</v>
      </c>
      <c r="H463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460</v>
      </c>
      <c r="I463" t="str">
        <f>IF(DraftResults[[#This Row],[Player ID]]=0,"",INDEX(Table5[[#All],[Pos]],MATCH(DraftResults[[#This Row],[Player ID]],Table5[[#All],[PID]],0)))</f>
        <v>RP</v>
      </c>
      <c r="J463" t="str">
        <f>IF(DraftResults[[#This Row],[Player ID]]=0,"",INDEX(Table5[[#All],[First]],MATCH(DraftResults[[#This Row],[Player ID]],Table5[[#All],[PID]],0)))</f>
        <v>Charlie</v>
      </c>
      <c r="K463" t="str">
        <f>IF(DraftResults[[#This Row],[Player ID]]=0,"",INDEX(Table5[[#All],[Last]],MATCH(DraftResults[[#This Row],[Player ID]],Table5[[#All],[PID]],0)))</f>
        <v>Storer</v>
      </c>
    </row>
    <row r="464" spans="1:11" x14ac:dyDescent="0.3">
      <c r="A464">
        <v>14</v>
      </c>
      <c r="B464">
        <v>0</v>
      </c>
      <c r="C464">
        <v>28</v>
      </c>
      <c r="D464" t="s">
        <v>413</v>
      </c>
      <c r="E464">
        <v>2</v>
      </c>
      <c r="F464">
        <v>12736</v>
      </c>
      <c r="G464" t="s">
        <v>303</v>
      </c>
      <c r="H464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461</v>
      </c>
      <c r="I464" t="str">
        <f>IF(DraftResults[[#This Row],[Player ID]]=0,"",INDEX(Table5[[#All],[Pos]],MATCH(DraftResults[[#This Row],[Player ID]],Table5[[#All],[PID]],0)))</f>
        <v>1B</v>
      </c>
      <c r="J464" t="str">
        <f>IF(DraftResults[[#This Row],[Player ID]]=0,"",INDEX(Table5[[#All],[First]],MATCH(DraftResults[[#This Row],[Player ID]],Table5[[#All],[PID]],0)))</f>
        <v>Gary</v>
      </c>
      <c r="K464" t="str">
        <f>IF(DraftResults[[#This Row],[Player ID]]=0,"",INDEX(Table5[[#All],[Last]],MATCH(DraftResults[[#This Row],[Player ID]],Table5[[#All],[PID]],0)))</f>
        <v>Hinton</v>
      </c>
    </row>
    <row r="465" spans="1:11" x14ac:dyDescent="0.3">
      <c r="A465">
        <v>14</v>
      </c>
      <c r="B465">
        <v>0</v>
      </c>
      <c r="C465">
        <v>29</v>
      </c>
      <c r="D465" t="s">
        <v>418</v>
      </c>
      <c r="E465">
        <v>161</v>
      </c>
      <c r="F465">
        <v>13558</v>
      </c>
      <c r="G465" t="s">
        <v>303</v>
      </c>
      <c r="H465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462</v>
      </c>
      <c r="I465" t="str">
        <f>IF(DraftResults[[#This Row],[Player ID]]=0,"",INDEX(Table5[[#All],[Pos]],MATCH(DraftResults[[#This Row],[Player ID]],Table5[[#All],[PID]],0)))</f>
        <v>RP</v>
      </c>
      <c r="J465" t="str">
        <f>IF(DraftResults[[#This Row],[Player ID]]=0,"",INDEX(Table5[[#All],[First]],MATCH(DraftResults[[#This Row],[Player ID]],Table5[[#All],[PID]],0)))</f>
        <v>Reece</v>
      </c>
      <c r="K465" t="str">
        <f>IF(DraftResults[[#This Row],[Player ID]]=0,"",INDEX(Table5[[#All],[Last]],MATCH(DraftResults[[#This Row],[Player ID]],Table5[[#All],[PID]],0)))</f>
        <v>Negus</v>
      </c>
    </row>
    <row r="466" spans="1:11" x14ac:dyDescent="0.3">
      <c r="A466">
        <v>14</v>
      </c>
      <c r="B466">
        <v>0</v>
      </c>
      <c r="C466">
        <v>30</v>
      </c>
      <c r="D466" t="s">
        <v>415</v>
      </c>
      <c r="E466">
        <v>166</v>
      </c>
      <c r="F466">
        <v>20282</v>
      </c>
      <c r="G466" t="s">
        <v>303</v>
      </c>
      <c r="H466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463</v>
      </c>
      <c r="I466" t="str">
        <f>IF(DraftResults[[#This Row],[Player ID]]=0,"",INDEX(Table5[[#All],[Pos]],MATCH(DraftResults[[#This Row],[Player ID]],Table5[[#All],[PID]],0)))</f>
        <v>2B</v>
      </c>
      <c r="J466" t="str">
        <f>IF(DraftResults[[#This Row],[Player ID]]=0,"",INDEX(Table5[[#All],[First]],MATCH(DraftResults[[#This Row],[Player ID]],Table5[[#All],[PID]],0)))</f>
        <v>Ju-yi</v>
      </c>
      <c r="K466" t="str">
        <f>IF(DraftResults[[#This Row],[Player ID]]=0,"",INDEX(Table5[[#All],[Last]],MATCH(DraftResults[[#This Row],[Player ID]],Table5[[#All],[PID]],0)))</f>
        <v>Chen</v>
      </c>
    </row>
    <row r="467" spans="1:11" x14ac:dyDescent="0.3">
      <c r="A467">
        <v>14</v>
      </c>
      <c r="B467">
        <v>0</v>
      </c>
      <c r="C467">
        <v>31</v>
      </c>
      <c r="D467" t="s">
        <v>238</v>
      </c>
      <c r="E467">
        <v>11</v>
      </c>
      <c r="F467">
        <v>21001</v>
      </c>
      <c r="G467" t="s">
        <v>303</v>
      </c>
      <c r="H467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464</v>
      </c>
      <c r="I467" t="str">
        <f>IF(DraftResults[[#This Row],[Player ID]]=0,"",INDEX(Table5[[#All],[Pos]],MATCH(DraftResults[[#This Row],[Player ID]],Table5[[#All],[PID]],0)))</f>
        <v>SP</v>
      </c>
      <c r="J467" t="str">
        <f>IF(DraftResults[[#This Row],[Player ID]]=0,"",INDEX(Table5[[#All],[First]],MATCH(DraftResults[[#This Row],[Player ID]],Table5[[#All],[PID]],0)))</f>
        <v>Robby</v>
      </c>
      <c r="K467" t="str">
        <f>IF(DraftResults[[#This Row],[Player ID]]=0,"",INDEX(Table5[[#All],[Last]],MATCH(DraftResults[[#This Row],[Player ID]],Table5[[#All],[PID]],0)))</f>
        <v>Bennett</v>
      </c>
    </row>
    <row r="468" spans="1:11" x14ac:dyDescent="0.3">
      <c r="A468">
        <v>14</v>
      </c>
      <c r="B468">
        <v>0</v>
      </c>
      <c r="C468">
        <v>32</v>
      </c>
      <c r="D468" t="s">
        <v>546</v>
      </c>
      <c r="E468">
        <v>9</v>
      </c>
      <c r="F468">
        <v>12408</v>
      </c>
      <c r="G468" t="s">
        <v>303</v>
      </c>
      <c r="H468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465</v>
      </c>
      <c r="I468" t="str">
        <f>IF(DraftResults[[#This Row],[Player ID]]=0,"",INDEX(Table5[[#All],[Pos]],MATCH(DraftResults[[#This Row],[Player ID]],Table5[[#All],[PID]],0)))</f>
        <v>SS</v>
      </c>
      <c r="J468" t="str">
        <f>IF(DraftResults[[#This Row],[Player ID]]=0,"",INDEX(Table5[[#All],[First]],MATCH(DraftResults[[#This Row],[Player ID]],Table5[[#All],[PID]],0)))</f>
        <v>Kevin</v>
      </c>
      <c r="K468" t="str">
        <f>IF(DraftResults[[#This Row],[Player ID]]=0,"",INDEX(Table5[[#All],[Last]],MATCH(DraftResults[[#This Row],[Player ID]],Table5[[#All],[PID]],0)))</f>
        <v>Ducklow</v>
      </c>
    </row>
    <row r="469" spans="1:11" x14ac:dyDescent="0.3">
      <c r="A469">
        <v>14</v>
      </c>
      <c r="B469">
        <v>0</v>
      </c>
      <c r="C469">
        <v>33</v>
      </c>
      <c r="D469" t="s">
        <v>1615</v>
      </c>
      <c r="E469">
        <v>5</v>
      </c>
      <c r="F469">
        <v>7295</v>
      </c>
      <c r="G469" t="s">
        <v>303</v>
      </c>
      <c r="H469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466</v>
      </c>
      <c r="I469" t="str">
        <f>IF(DraftResults[[#This Row],[Player ID]]=0,"",INDEX(Table5[[#All],[Pos]],MATCH(DraftResults[[#This Row],[Player ID]],Table5[[#All],[PID]],0)))</f>
        <v>2B</v>
      </c>
      <c r="J469" t="str">
        <f>IF(DraftResults[[#This Row],[Player ID]]=0,"",INDEX(Table5[[#All],[First]],MATCH(DraftResults[[#This Row],[Player ID]],Table5[[#All],[PID]],0)))</f>
        <v>Jorge</v>
      </c>
      <c r="K469" t="str">
        <f>IF(DraftResults[[#This Row],[Player ID]]=0,"",INDEX(Table5[[#All],[Last]],MATCH(DraftResults[[#This Row],[Player ID]],Table5[[#All],[PID]],0)))</f>
        <v>Mora</v>
      </c>
    </row>
    <row r="470" spans="1:11" x14ac:dyDescent="0.3">
      <c r="A470">
        <v>14</v>
      </c>
      <c r="B470">
        <v>0</v>
      </c>
      <c r="C470">
        <v>34</v>
      </c>
      <c r="D470" t="s">
        <v>1614</v>
      </c>
      <c r="E470">
        <v>6</v>
      </c>
      <c r="F470">
        <v>12897</v>
      </c>
      <c r="G470" t="s">
        <v>303</v>
      </c>
      <c r="H470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467</v>
      </c>
      <c r="I470" t="str">
        <f>IF(DraftResults[[#This Row],[Player ID]]=0,"",INDEX(Table5[[#All],[Pos]],MATCH(DraftResults[[#This Row],[Player ID]],Table5[[#All],[PID]],0)))</f>
        <v>LF</v>
      </c>
      <c r="J470" t="str">
        <f>IF(DraftResults[[#This Row],[Player ID]]=0,"",INDEX(Table5[[#All],[First]],MATCH(DraftResults[[#This Row],[Player ID]],Table5[[#All],[PID]],0)))</f>
        <v>Aidan</v>
      </c>
      <c r="K470" t="str">
        <f>IF(DraftResults[[#This Row],[Player ID]]=0,"",INDEX(Table5[[#All],[Last]],MATCH(DraftResults[[#This Row],[Player ID]],Table5[[#All],[PID]],0)))</f>
        <v>Kyle</v>
      </c>
    </row>
    <row r="471" spans="1:11" x14ac:dyDescent="0.3">
      <c r="A471">
        <v>15</v>
      </c>
      <c r="B471">
        <v>0</v>
      </c>
      <c r="C471">
        <v>1</v>
      </c>
      <c r="D471" t="s">
        <v>542</v>
      </c>
      <c r="E471">
        <v>24</v>
      </c>
      <c r="F471">
        <v>6204</v>
      </c>
      <c r="G471" t="s">
        <v>303</v>
      </c>
      <c r="H471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468</v>
      </c>
      <c r="I471" t="str">
        <f>IF(DraftResults[[#This Row],[Player ID]]=0,"",INDEX(Table5[[#All],[Pos]],MATCH(DraftResults[[#This Row],[Player ID]],Table5[[#All],[PID]],0)))</f>
        <v>RF</v>
      </c>
      <c r="J471" t="str">
        <f>IF(DraftResults[[#This Row],[Player ID]]=0,"",INDEX(Table5[[#All],[First]],MATCH(DraftResults[[#This Row],[Player ID]],Table5[[#All],[PID]],0)))</f>
        <v>Walt</v>
      </c>
      <c r="K471" t="str">
        <f>IF(DraftResults[[#This Row],[Player ID]]=0,"",INDEX(Table5[[#All],[Last]],MATCH(DraftResults[[#This Row],[Player ID]],Table5[[#All],[PID]],0)))</f>
        <v>Morris</v>
      </c>
    </row>
    <row r="472" spans="1:11" x14ac:dyDescent="0.3">
      <c r="A472">
        <v>15</v>
      </c>
      <c r="B472">
        <v>0</v>
      </c>
      <c r="C472">
        <v>2</v>
      </c>
      <c r="D472" t="s">
        <v>488</v>
      </c>
      <c r="E472">
        <v>7</v>
      </c>
      <c r="F472">
        <v>20991</v>
      </c>
      <c r="G472" t="s">
        <v>303</v>
      </c>
      <c r="H472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469</v>
      </c>
      <c r="I472" t="str">
        <f>IF(DraftResults[[#This Row],[Player ID]]=0,"",INDEX(Table5[[#All],[Pos]],MATCH(DraftResults[[#This Row],[Player ID]],Table5[[#All],[PID]],0)))</f>
        <v>2B</v>
      </c>
      <c r="J472" t="str">
        <f>IF(DraftResults[[#This Row],[Player ID]]=0,"",INDEX(Table5[[#All],[First]],MATCH(DraftResults[[#This Row],[Player ID]],Table5[[#All],[PID]],0)))</f>
        <v>John</v>
      </c>
      <c r="K472" t="str">
        <f>IF(DraftResults[[#This Row],[Player ID]]=0,"",INDEX(Table5[[#All],[Last]],MATCH(DraftResults[[#This Row],[Player ID]],Table5[[#All],[PID]],0)))</f>
        <v>Lynch</v>
      </c>
    </row>
    <row r="473" spans="1:11" x14ac:dyDescent="0.3">
      <c r="A473">
        <v>15</v>
      </c>
      <c r="B473">
        <v>0</v>
      </c>
      <c r="C473">
        <v>3</v>
      </c>
      <c r="D473" t="s">
        <v>420</v>
      </c>
      <c r="E473">
        <v>167</v>
      </c>
      <c r="F473">
        <v>7738</v>
      </c>
      <c r="G473" t="s">
        <v>303</v>
      </c>
      <c r="H473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470</v>
      </c>
      <c r="I473" t="str">
        <f>IF(DraftResults[[#This Row],[Player ID]]=0,"",INDEX(Table5[[#All],[Pos]],MATCH(DraftResults[[#This Row],[Player ID]],Table5[[#All],[PID]],0)))</f>
        <v>RP</v>
      </c>
      <c r="J473" t="str">
        <f>IF(DraftResults[[#This Row],[Player ID]]=0,"",INDEX(Table5[[#All],[First]],MATCH(DraftResults[[#This Row],[Player ID]],Table5[[#All],[PID]],0)))</f>
        <v>Masami</v>
      </c>
      <c r="K473" t="str">
        <f>IF(DraftResults[[#This Row],[Player ID]]=0,"",INDEX(Table5[[#All],[Last]],MATCH(DraftResults[[#This Row],[Player ID]],Table5[[#All],[PID]],0)))</f>
        <v>Nomura</v>
      </c>
    </row>
    <row r="474" spans="1:11" x14ac:dyDescent="0.3">
      <c r="A474">
        <v>15</v>
      </c>
      <c r="B474">
        <v>0</v>
      </c>
      <c r="C474">
        <v>4</v>
      </c>
      <c r="D474" t="s">
        <v>235</v>
      </c>
      <c r="E474">
        <v>21</v>
      </c>
      <c r="F474">
        <v>13098</v>
      </c>
      <c r="G474" t="s">
        <v>303</v>
      </c>
      <c r="H474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471</v>
      </c>
      <c r="I474" t="str">
        <f>IF(DraftResults[[#This Row],[Player ID]]=0,"",INDEX(Table5[[#All],[Pos]],MATCH(DraftResults[[#This Row],[Player ID]],Table5[[#All],[PID]],0)))</f>
        <v>SP</v>
      </c>
      <c r="J474" t="str">
        <f>IF(DraftResults[[#This Row],[Player ID]]=0,"",INDEX(Table5[[#All],[First]],MATCH(DraftResults[[#This Row],[Player ID]],Table5[[#All],[PID]],0)))</f>
        <v>Karel</v>
      </c>
      <c r="K474" t="str">
        <f>IF(DraftResults[[#This Row],[Player ID]]=0,"",INDEX(Table5[[#All],[Last]],MATCH(DraftResults[[#This Row],[Player ID]],Table5[[#All],[PID]],0)))</f>
        <v>Jacobs</v>
      </c>
    </row>
    <row r="475" spans="1:11" x14ac:dyDescent="0.3">
      <c r="A475">
        <v>15</v>
      </c>
      <c r="B475">
        <v>0</v>
      </c>
      <c r="C475">
        <v>5</v>
      </c>
      <c r="D475" t="s">
        <v>545</v>
      </c>
      <c r="E475">
        <v>23</v>
      </c>
      <c r="F475">
        <v>11666</v>
      </c>
      <c r="G475" t="s">
        <v>303</v>
      </c>
      <c r="H475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472</v>
      </c>
      <c r="I475" t="str">
        <f>IF(DraftResults[[#This Row],[Player ID]]=0,"",INDEX(Table5[[#All],[Pos]],MATCH(DraftResults[[#This Row],[Player ID]],Table5[[#All],[PID]],0)))</f>
        <v>RP</v>
      </c>
      <c r="J475" t="str">
        <f>IF(DraftResults[[#This Row],[Player ID]]=0,"",INDEX(Table5[[#All],[First]],MATCH(DraftResults[[#This Row],[Player ID]],Table5[[#All],[PID]],0)))</f>
        <v>Luis</v>
      </c>
      <c r="K475" t="str">
        <f>IF(DraftResults[[#This Row],[Player ID]]=0,"",INDEX(Table5[[#All],[Last]],MATCH(DraftResults[[#This Row],[Player ID]],Table5[[#All],[PID]],0)))</f>
        <v>López</v>
      </c>
    </row>
    <row r="476" spans="1:11" x14ac:dyDescent="0.3">
      <c r="A476">
        <v>15</v>
      </c>
      <c r="B476">
        <v>0</v>
      </c>
      <c r="C476">
        <v>6</v>
      </c>
      <c r="D476" t="s">
        <v>246</v>
      </c>
      <c r="E476">
        <v>8</v>
      </c>
      <c r="F476">
        <v>20924</v>
      </c>
      <c r="G476" t="s">
        <v>303</v>
      </c>
      <c r="H476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473</v>
      </c>
      <c r="I476" t="str">
        <f>IF(DraftResults[[#This Row],[Player ID]]=0,"",INDEX(Table5[[#All],[Pos]],MATCH(DraftResults[[#This Row],[Player ID]],Table5[[#All],[PID]],0)))</f>
        <v>LF</v>
      </c>
      <c r="J476" t="str">
        <f>IF(DraftResults[[#This Row],[Player ID]]=0,"",INDEX(Table5[[#All],[First]],MATCH(DraftResults[[#This Row],[Player ID]],Table5[[#All],[PID]],0)))</f>
        <v>Larry</v>
      </c>
      <c r="K476" t="str">
        <f>IF(DraftResults[[#This Row],[Player ID]]=0,"",INDEX(Table5[[#All],[Last]],MATCH(DraftResults[[#This Row],[Player ID]],Table5[[#All],[PID]],0)))</f>
        <v>Andrews</v>
      </c>
    </row>
    <row r="477" spans="1:11" x14ac:dyDescent="0.3">
      <c r="A477">
        <v>15</v>
      </c>
      <c r="B477">
        <v>0</v>
      </c>
      <c r="C477">
        <v>7</v>
      </c>
      <c r="D477" t="s">
        <v>419</v>
      </c>
      <c r="E477">
        <v>18</v>
      </c>
      <c r="F477">
        <v>12722</v>
      </c>
      <c r="G477" t="s">
        <v>303</v>
      </c>
      <c r="H477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474</v>
      </c>
      <c r="I477" t="str">
        <f>IF(DraftResults[[#This Row],[Player ID]]=0,"",INDEX(Table5[[#All],[Pos]],MATCH(DraftResults[[#This Row],[Player ID]],Table5[[#All],[PID]],0)))</f>
        <v>RP</v>
      </c>
      <c r="J477" t="str">
        <f>IF(DraftResults[[#This Row],[Player ID]]=0,"",INDEX(Table5[[#All],[First]],MATCH(DraftResults[[#This Row],[Player ID]],Table5[[#All],[PID]],0)))</f>
        <v>Nobukazu</v>
      </c>
      <c r="K477" t="str">
        <f>IF(DraftResults[[#This Row],[Player ID]]=0,"",INDEX(Table5[[#All],[Last]],MATCH(DraftResults[[#This Row],[Player ID]],Table5[[#All],[PID]],0)))</f>
        <v>Suzuki</v>
      </c>
    </row>
    <row r="478" spans="1:11" x14ac:dyDescent="0.3">
      <c r="A478">
        <v>15</v>
      </c>
      <c r="B478">
        <v>0</v>
      </c>
      <c r="C478">
        <v>8</v>
      </c>
      <c r="D478" t="s">
        <v>1614</v>
      </c>
      <c r="E478">
        <v>6</v>
      </c>
      <c r="F478">
        <v>9519</v>
      </c>
      <c r="G478" t="s">
        <v>303</v>
      </c>
      <c r="H478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475</v>
      </c>
      <c r="I478" t="str">
        <f>IF(DraftResults[[#This Row],[Player ID]]=0,"",INDEX(Table5[[#All],[Pos]],MATCH(DraftResults[[#This Row],[Player ID]],Table5[[#All],[PID]],0)))</f>
        <v>1B</v>
      </c>
      <c r="J478" t="str">
        <f>IF(DraftResults[[#This Row],[Player ID]]=0,"",INDEX(Table5[[#All],[First]],MATCH(DraftResults[[#This Row],[Player ID]],Table5[[#All],[PID]],0)))</f>
        <v>Palmer</v>
      </c>
      <c r="K478" t="str">
        <f>IF(DraftResults[[#This Row],[Player ID]]=0,"",INDEX(Table5[[#All],[Last]],MATCH(DraftResults[[#This Row],[Player ID]],Table5[[#All],[PID]],0)))</f>
        <v>Crosby</v>
      </c>
    </row>
    <row r="479" spans="1:11" x14ac:dyDescent="0.3">
      <c r="A479">
        <v>15</v>
      </c>
      <c r="B479">
        <v>0</v>
      </c>
      <c r="C479">
        <v>9</v>
      </c>
      <c r="D479" t="s">
        <v>1614</v>
      </c>
      <c r="E479">
        <v>6</v>
      </c>
      <c r="F479">
        <v>12781</v>
      </c>
      <c r="G479" t="s">
        <v>303</v>
      </c>
      <c r="H479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476</v>
      </c>
      <c r="I479" t="str">
        <f>IF(DraftResults[[#This Row],[Player ID]]=0,"",INDEX(Table5[[#All],[Pos]],MATCH(DraftResults[[#This Row],[Player ID]],Table5[[#All],[PID]],0)))</f>
        <v>CF</v>
      </c>
      <c r="J479" t="str">
        <f>IF(DraftResults[[#This Row],[Player ID]]=0,"",INDEX(Table5[[#All],[First]],MATCH(DraftResults[[#This Row],[Player ID]],Table5[[#All],[PID]],0)))</f>
        <v>Calogero</v>
      </c>
      <c r="K479" t="str">
        <f>IF(DraftResults[[#This Row],[Player ID]]=0,"",INDEX(Table5[[#All],[Last]],MATCH(DraftResults[[#This Row],[Player ID]],Table5[[#All],[PID]],0)))</f>
        <v>Bettini</v>
      </c>
    </row>
    <row r="480" spans="1:11" x14ac:dyDescent="0.3">
      <c r="A480">
        <v>15</v>
      </c>
      <c r="B480">
        <v>0</v>
      </c>
      <c r="C480">
        <v>10</v>
      </c>
      <c r="D480" t="s">
        <v>240</v>
      </c>
      <c r="E480">
        <v>3</v>
      </c>
      <c r="F480">
        <v>13283</v>
      </c>
      <c r="G480" t="s">
        <v>303</v>
      </c>
      <c r="H480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477</v>
      </c>
      <c r="I480" t="str">
        <f>IF(DraftResults[[#This Row],[Player ID]]=0,"",INDEX(Table5[[#All],[Pos]],MATCH(DraftResults[[#This Row],[Player ID]],Table5[[#All],[PID]],0)))</f>
        <v>RP</v>
      </c>
      <c r="J480" t="str">
        <f>IF(DraftResults[[#This Row],[Player ID]]=0,"",INDEX(Table5[[#All],[First]],MATCH(DraftResults[[#This Row],[Player ID]],Table5[[#All],[PID]],0)))</f>
        <v>Hidekazu</v>
      </c>
      <c r="K480" t="str">
        <f>IF(DraftResults[[#This Row],[Player ID]]=0,"",INDEX(Table5[[#All],[Last]],MATCH(DraftResults[[#This Row],[Player ID]],Table5[[#All],[PID]],0)))</f>
        <v>Kato</v>
      </c>
    </row>
    <row r="481" spans="1:11" x14ac:dyDescent="0.3">
      <c r="A481">
        <v>15</v>
      </c>
      <c r="B481">
        <v>0</v>
      </c>
      <c r="C481">
        <v>11</v>
      </c>
      <c r="D481" t="s">
        <v>241</v>
      </c>
      <c r="E481">
        <v>1</v>
      </c>
      <c r="F481">
        <v>20961</v>
      </c>
      <c r="G481" t="s">
        <v>303</v>
      </c>
      <c r="H481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478</v>
      </c>
      <c r="I481" t="str">
        <f>IF(DraftResults[[#This Row],[Player ID]]=0,"",INDEX(Table5[[#All],[Pos]],MATCH(DraftResults[[#This Row],[Player ID]],Table5[[#All],[PID]],0)))</f>
        <v>RP</v>
      </c>
      <c r="J481" t="str">
        <f>IF(DraftResults[[#This Row],[Player ID]]=0,"",INDEX(Table5[[#All],[First]],MATCH(DraftResults[[#This Row],[Player ID]],Table5[[#All],[PID]],0)))</f>
        <v>Derrek</v>
      </c>
      <c r="K481" t="str">
        <f>IF(DraftResults[[#This Row],[Player ID]]=0,"",INDEX(Table5[[#All],[Last]],MATCH(DraftResults[[#This Row],[Player ID]],Table5[[#All],[PID]],0)))</f>
        <v>Fowler</v>
      </c>
    </row>
    <row r="482" spans="1:11" x14ac:dyDescent="0.3">
      <c r="A482">
        <v>15</v>
      </c>
      <c r="B482">
        <v>0</v>
      </c>
      <c r="C482">
        <v>12</v>
      </c>
      <c r="D482" t="s">
        <v>489</v>
      </c>
      <c r="E482">
        <v>4</v>
      </c>
      <c r="F482">
        <v>20929</v>
      </c>
      <c r="G482" t="s">
        <v>303</v>
      </c>
      <c r="H482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479</v>
      </c>
      <c r="I482" t="str">
        <f>IF(DraftResults[[#This Row],[Player ID]]=0,"",INDEX(Table5[[#All],[Pos]],MATCH(DraftResults[[#This Row],[Player ID]],Table5[[#All],[PID]],0)))</f>
        <v>RP</v>
      </c>
      <c r="J482" t="str">
        <f>IF(DraftResults[[#This Row],[Player ID]]=0,"",INDEX(Table5[[#All],[First]],MATCH(DraftResults[[#This Row],[Player ID]],Table5[[#All],[PID]],0)))</f>
        <v>Iván</v>
      </c>
      <c r="K482" t="str">
        <f>IF(DraftResults[[#This Row],[Player ID]]=0,"",INDEX(Table5[[#All],[Last]],MATCH(DraftResults[[#This Row],[Player ID]],Table5[[#All],[PID]],0)))</f>
        <v>Liñares</v>
      </c>
    </row>
    <row r="483" spans="1:11" x14ac:dyDescent="0.3">
      <c r="A483">
        <v>15</v>
      </c>
      <c r="B483">
        <v>0</v>
      </c>
      <c r="C483">
        <v>13</v>
      </c>
      <c r="D483" t="s">
        <v>414</v>
      </c>
      <c r="E483">
        <v>164</v>
      </c>
      <c r="F483">
        <v>6004</v>
      </c>
      <c r="G483" t="s">
        <v>303</v>
      </c>
      <c r="H483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480</v>
      </c>
      <c r="I483" t="str">
        <f>IF(DraftResults[[#This Row],[Player ID]]=0,"",INDEX(Table5[[#All],[Pos]],MATCH(DraftResults[[#This Row],[Player ID]],Table5[[#All],[PID]],0)))</f>
        <v>RP</v>
      </c>
      <c r="J483" t="str">
        <f>IF(DraftResults[[#This Row],[Player ID]]=0,"",INDEX(Table5[[#All],[First]],MATCH(DraftResults[[#This Row],[Player ID]],Table5[[#All],[PID]],0)))</f>
        <v>Erwin</v>
      </c>
      <c r="K483" t="str">
        <f>IF(DraftResults[[#This Row],[Player ID]]=0,"",INDEX(Table5[[#All],[Last]],MATCH(DraftResults[[#This Row],[Player ID]],Table5[[#All],[PID]],0)))</f>
        <v>Leurink</v>
      </c>
    </row>
    <row r="484" spans="1:11" x14ac:dyDescent="0.3">
      <c r="A484">
        <v>15</v>
      </c>
      <c r="B484">
        <v>0</v>
      </c>
      <c r="C484">
        <v>14</v>
      </c>
      <c r="D484" t="s">
        <v>251</v>
      </c>
      <c r="E484">
        <v>12</v>
      </c>
      <c r="F484">
        <v>14761</v>
      </c>
      <c r="G484" t="s">
        <v>303</v>
      </c>
      <c r="H484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481</v>
      </c>
      <c r="I484" t="str">
        <f>IF(DraftResults[[#This Row],[Player ID]]=0,"",INDEX(Table5[[#All],[Pos]],MATCH(DraftResults[[#This Row],[Player ID]],Table5[[#All],[PID]],0)))</f>
        <v>1B</v>
      </c>
      <c r="J484" t="str">
        <f>IF(DraftResults[[#This Row],[Player ID]]=0,"",INDEX(Table5[[#All],[First]],MATCH(DraftResults[[#This Row],[Player ID]],Table5[[#All],[PID]],0)))</f>
        <v>Doug</v>
      </c>
      <c r="K484" t="str">
        <f>IF(DraftResults[[#This Row],[Player ID]]=0,"",INDEX(Table5[[#All],[Last]],MATCH(DraftResults[[#This Row],[Player ID]],Table5[[#All],[PID]],0)))</f>
        <v>Smith</v>
      </c>
    </row>
    <row r="485" spans="1:11" x14ac:dyDescent="0.3">
      <c r="A485">
        <v>15</v>
      </c>
      <c r="B485">
        <v>0</v>
      </c>
      <c r="C485">
        <v>15</v>
      </c>
      <c r="D485" t="s">
        <v>543</v>
      </c>
      <c r="E485">
        <v>160</v>
      </c>
      <c r="F485">
        <v>20428</v>
      </c>
      <c r="G485" t="s">
        <v>303</v>
      </c>
      <c r="H485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482</v>
      </c>
      <c r="I485" t="str">
        <f>IF(DraftResults[[#This Row],[Player ID]]=0,"",INDEX(Table5[[#All],[Pos]],MATCH(DraftResults[[#This Row],[Player ID]],Table5[[#All],[PID]],0)))</f>
        <v>SP</v>
      </c>
      <c r="J485" t="str">
        <f>IF(DraftResults[[#This Row],[Player ID]]=0,"",INDEX(Table5[[#All],[First]],MATCH(DraftResults[[#This Row],[Player ID]],Table5[[#All],[PID]],0)))</f>
        <v>Hwui-ning</v>
      </c>
      <c r="K485" t="str">
        <f>IF(DraftResults[[#This Row],[Player ID]]=0,"",INDEX(Table5[[#All],[Last]],MATCH(DraftResults[[#This Row],[Player ID]],Table5[[#All],[PID]],0)))</f>
        <v>Kim</v>
      </c>
    </row>
    <row r="486" spans="1:11" x14ac:dyDescent="0.3">
      <c r="A486">
        <v>15</v>
      </c>
      <c r="B486">
        <v>0</v>
      </c>
      <c r="C486">
        <v>16</v>
      </c>
      <c r="D486" t="s">
        <v>544</v>
      </c>
      <c r="E486">
        <v>13</v>
      </c>
      <c r="F486">
        <v>6051</v>
      </c>
      <c r="G486" t="s">
        <v>303</v>
      </c>
      <c r="H486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483</v>
      </c>
      <c r="I486" t="str">
        <f>IF(DraftResults[[#This Row],[Player ID]]=0,"",INDEX(Table5[[#All],[Pos]],MATCH(DraftResults[[#This Row],[Player ID]],Table5[[#All],[PID]],0)))</f>
        <v>CF</v>
      </c>
      <c r="J486" t="str">
        <f>IF(DraftResults[[#This Row],[Player ID]]=0,"",INDEX(Table5[[#All],[First]],MATCH(DraftResults[[#This Row],[Player ID]],Table5[[#All],[PID]],0)))</f>
        <v>Neil</v>
      </c>
      <c r="K486" t="str">
        <f>IF(DraftResults[[#This Row],[Player ID]]=0,"",INDEX(Table5[[#All],[Last]],MATCH(DraftResults[[#This Row],[Player ID]],Table5[[#All],[PID]],0)))</f>
        <v>Wright</v>
      </c>
    </row>
    <row r="487" spans="1:11" x14ac:dyDescent="0.3">
      <c r="A487">
        <v>15</v>
      </c>
      <c r="B487">
        <v>0</v>
      </c>
      <c r="C487">
        <v>17</v>
      </c>
      <c r="D487" t="s">
        <v>243</v>
      </c>
      <c r="E487">
        <v>15</v>
      </c>
      <c r="F487">
        <v>20766</v>
      </c>
      <c r="G487" t="s">
        <v>303</v>
      </c>
      <c r="H487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484</v>
      </c>
      <c r="I487" t="str">
        <f>IF(DraftResults[[#This Row],[Player ID]]=0,"",INDEX(Table5[[#All],[Pos]],MATCH(DraftResults[[#This Row],[Player ID]],Table5[[#All],[PID]],0)))</f>
        <v>2B</v>
      </c>
      <c r="J487" t="str">
        <f>IF(DraftResults[[#This Row],[Player ID]]=0,"",INDEX(Table5[[#All],[First]],MATCH(DraftResults[[#This Row],[Player ID]],Table5[[#All],[PID]],0)))</f>
        <v>Justin</v>
      </c>
      <c r="K487" t="str">
        <f>IF(DraftResults[[#This Row],[Player ID]]=0,"",INDEX(Table5[[#All],[Last]],MATCH(DraftResults[[#This Row],[Player ID]],Table5[[#All],[PID]],0)))</f>
        <v>Gaston</v>
      </c>
    </row>
    <row r="488" spans="1:11" x14ac:dyDescent="0.3">
      <c r="A488">
        <v>15</v>
      </c>
      <c r="B488">
        <v>0</v>
      </c>
      <c r="C488">
        <v>18</v>
      </c>
      <c r="D488" t="s">
        <v>412</v>
      </c>
      <c r="E488">
        <v>162</v>
      </c>
      <c r="F488">
        <v>9172</v>
      </c>
      <c r="G488" t="s">
        <v>303</v>
      </c>
      <c r="H488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485</v>
      </c>
      <c r="I488" t="str">
        <f>IF(DraftResults[[#This Row],[Player ID]]=0,"",INDEX(Table5[[#All],[Pos]],MATCH(DraftResults[[#This Row],[Player ID]],Table5[[#All],[PID]],0)))</f>
        <v>2B</v>
      </c>
      <c r="J488" t="str">
        <f>IF(DraftResults[[#This Row],[Player ID]]=0,"",INDEX(Table5[[#All],[First]],MATCH(DraftResults[[#This Row],[Player ID]],Table5[[#All],[PID]],0)))</f>
        <v>Fred</v>
      </c>
      <c r="K488" t="str">
        <f>IF(DraftResults[[#This Row],[Player ID]]=0,"",INDEX(Table5[[#All],[Last]],MATCH(DraftResults[[#This Row],[Player ID]],Table5[[#All],[PID]],0)))</f>
        <v>Rosas</v>
      </c>
    </row>
    <row r="489" spans="1:11" x14ac:dyDescent="0.3">
      <c r="A489">
        <v>15</v>
      </c>
      <c r="B489">
        <v>0</v>
      </c>
      <c r="C489">
        <v>19</v>
      </c>
      <c r="D489" t="s">
        <v>247</v>
      </c>
      <c r="E489">
        <v>16</v>
      </c>
      <c r="F489">
        <v>12674</v>
      </c>
      <c r="G489" t="s">
        <v>303</v>
      </c>
      <c r="H489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486</v>
      </c>
      <c r="I489" t="str">
        <f>IF(DraftResults[[#This Row],[Player ID]]=0,"",INDEX(Table5[[#All],[Pos]],MATCH(DraftResults[[#This Row],[Player ID]],Table5[[#All],[PID]],0)))</f>
        <v>RP</v>
      </c>
      <c r="J489" t="str">
        <f>IF(DraftResults[[#This Row],[Player ID]]=0,"",INDEX(Table5[[#All],[First]],MATCH(DraftResults[[#This Row],[Player ID]],Table5[[#All],[PID]],0)))</f>
        <v>Isaac</v>
      </c>
      <c r="K489" t="str">
        <f>IF(DraftResults[[#This Row],[Player ID]]=0,"",INDEX(Table5[[#All],[Last]],MATCH(DraftResults[[#This Row],[Player ID]],Table5[[#All],[PID]],0)))</f>
        <v>Isaacs</v>
      </c>
    </row>
    <row r="490" spans="1:11" x14ac:dyDescent="0.3">
      <c r="A490">
        <v>15</v>
      </c>
      <c r="B490">
        <v>0</v>
      </c>
      <c r="C490">
        <v>20</v>
      </c>
      <c r="D490" t="s">
        <v>546</v>
      </c>
      <c r="E490">
        <v>9</v>
      </c>
      <c r="F490">
        <v>20244</v>
      </c>
      <c r="G490" t="s">
        <v>303</v>
      </c>
      <c r="H490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487</v>
      </c>
      <c r="I490" t="str">
        <f>IF(DraftResults[[#This Row],[Player ID]]=0,"",INDEX(Table5[[#All],[Pos]],MATCH(DraftResults[[#This Row],[Player ID]],Table5[[#All],[PID]],0)))</f>
        <v>RP</v>
      </c>
      <c r="J490" t="str">
        <f>IF(DraftResults[[#This Row],[Player ID]]=0,"",INDEX(Table5[[#All],[First]],MATCH(DraftResults[[#This Row],[Player ID]],Table5[[#All],[PID]],0)))</f>
        <v>Werner</v>
      </c>
      <c r="K490" t="str">
        <f>IF(DraftResults[[#This Row],[Player ID]]=0,"",INDEX(Table5[[#All],[Last]],MATCH(DraftResults[[#This Row],[Player ID]],Table5[[#All],[PID]],0)))</f>
        <v>Bray</v>
      </c>
    </row>
    <row r="491" spans="1:11" x14ac:dyDescent="0.3">
      <c r="A491">
        <v>15</v>
      </c>
      <c r="B491">
        <v>0</v>
      </c>
      <c r="C491">
        <v>21</v>
      </c>
      <c r="D491" t="s">
        <v>416</v>
      </c>
      <c r="E491">
        <v>159</v>
      </c>
      <c r="F491">
        <v>5066</v>
      </c>
      <c r="G491" t="s">
        <v>303</v>
      </c>
      <c r="H491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488</v>
      </c>
      <c r="I491" t="str">
        <f>IF(DraftResults[[#This Row],[Player ID]]=0,"",INDEX(Table5[[#All],[Pos]],MATCH(DraftResults[[#This Row],[Player ID]],Table5[[#All],[PID]],0)))</f>
        <v>RP</v>
      </c>
      <c r="J491" t="str">
        <f>IF(DraftResults[[#This Row],[Player ID]]=0,"",INDEX(Table5[[#All],[First]],MATCH(DraftResults[[#This Row],[Player ID]],Table5[[#All],[PID]],0)))</f>
        <v>Charles</v>
      </c>
      <c r="K491" t="str">
        <f>IF(DraftResults[[#This Row],[Player ID]]=0,"",INDEX(Table5[[#All],[Last]],MATCH(DraftResults[[#This Row],[Player ID]],Table5[[#All],[PID]],0)))</f>
        <v>Morgan</v>
      </c>
    </row>
    <row r="492" spans="1:11" x14ac:dyDescent="0.3">
      <c r="A492">
        <v>15</v>
      </c>
      <c r="B492">
        <v>0</v>
      </c>
      <c r="C492">
        <v>22</v>
      </c>
      <c r="D492" t="s">
        <v>244</v>
      </c>
      <c r="E492">
        <v>20</v>
      </c>
      <c r="F492">
        <v>13977</v>
      </c>
      <c r="G492" t="s">
        <v>303</v>
      </c>
      <c r="H492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489</v>
      </c>
      <c r="I492" t="str">
        <f>IF(DraftResults[[#This Row],[Player ID]]=0,"",INDEX(Table5[[#All],[Pos]],MATCH(DraftResults[[#This Row],[Player ID]],Table5[[#All],[PID]],0)))</f>
        <v>RP</v>
      </c>
      <c r="J492" t="str">
        <f>IF(DraftResults[[#This Row],[Player ID]]=0,"",INDEX(Table5[[#All],[First]],MATCH(DraftResults[[#This Row],[Player ID]],Table5[[#All],[PID]],0)))</f>
        <v>Robbie</v>
      </c>
      <c r="K492" t="str">
        <f>IF(DraftResults[[#This Row],[Player ID]]=0,"",INDEX(Table5[[#All],[Last]],MATCH(DraftResults[[#This Row],[Player ID]],Table5[[#All],[PID]],0)))</f>
        <v>Myers</v>
      </c>
    </row>
    <row r="493" spans="1:11" x14ac:dyDescent="0.3">
      <c r="A493">
        <v>15</v>
      </c>
      <c r="B493">
        <v>0</v>
      </c>
      <c r="C493">
        <v>23</v>
      </c>
      <c r="D493" t="s">
        <v>239</v>
      </c>
      <c r="E493">
        <v>10</v>
      </c>
      <c r="F493">
        <v>12652</v>
      </c>
      <c r="G493" t="s">
        <v>303</v>
      </c>
      <c r="H493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490</v>
      </c>
      <c r="I493" t="str">
        <f>IF(DraftResults[[#This Row],[Player ID]]=0,"",INDEX(Table5[[#All],[Pos]],MATCH(DraftResults[[#This Row],[Player ID]],Table5[[#All],[PID]],0)))</f>
        <v>RP</v>
      </c>
      <c r="J493" t="str">
        <f>IF(DraftResults[[#This Row],[Player ID]]=0,"",INDEX(Table5[[#All],[First]],MATCH(DraftResults[[#This Row],[Player ID]],Table5[[#All],[PID]],0)))</f>
        <v>Mark</v>
      </c>
      <c r="K493" t="str">
        <f>IF(DraftResults[[#This Row],[Player ID]]=0,"",INDEX(Table5[[#All],[Last]],MATCH(DraftResults[[#This Row],[Player ID]],Table5[[#All],[PID]],0)))</f>
        <v>Erickson</v>
      </c>
    </row>
    <row r="494" spans="1:11" x14ac:dyDescent="0.3">
      <c r="A494">
        <v>15</v>
      </c>
      <c r="B494">
        <v>0</v>
      </c>
      <c r="C494">
        <v>24</v>
      </c>
      <c r="D494" t="s">
        <v>233</v>
      </c>
      <c r="E494">
        <v>22</v>
      </c>
      <c r="F494">
        <v>10795</v>
      </c>
      <c r="G494" t="s">
        <v>303</v>
      </c>
      <c r="H494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491</v>
      </c>
      <c r="I494" t="str">
        <f>IF(DraftResults[[#This Row],[Player ID]]=0,"",INDEX(Table5[[#All],[Pos]],MATCH(DraftResults[[#This Row],[Player ID]],Table5[[#All],[PID]],0)))</f>
        <v>RP</v>
      </c>
      <c r="J494" t="str">
        <f>IF(DraftResults[[#This Row],[Player ID]]=0,"",INDEX(Table5[[#All],[First]],MATCH(DraftResults[[#This Row],[Player ID]],Table5[[#All],[PID]],0)))</f>
        <v>Andy</v>
      </c>
      <c r="K494" t="str">
        <f>IF(DraftResults[[#This Row],[Player ID]]=0,"",INDEX(Table5[[#All],[Last]],MATCH(DraftResults[[#This Row],[Player ID]],Table5[[#All],[PID]],0)))</f>
        <v>Sanders</v>
      </c>
    </row>
    <row r="495" spans="1:11" x14ac:dyDescent="0.3">
      <c r="A495">
        <v>15</v>
      </c>
      <c r="B495">
        <v>0</v>
      </c>
      <c r="C495">
        <v>25</v>
      </c>
      <c r="D495" t="s">
        <v>236</v>
      </c>
      <c r="E495">
        <v>17</v>
      </c>
      <c r="F495">
        <v>9817</v>
      </c>
      <c r="G495" t="s">
        <v>303</v>
      </c>
      <c r="H495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492</v>
      </c>
      <c r="I495" t="str">
        <f>IF(DraftResults[[#This Row],[Player ID]]=0,"",INDEX(Table5[[#All],[Pos]],MATCH(DraftResults[[#This Row],[Player ID]],Table5[[#All],[PID]],0)))</f>
        <v>RP</v>
      </c>
      <c r="J495" t="str">
        <f>IF(DraftResults[[#This Row],[Player ID]]=0,"",INDEX(Table5[[#All],[First]],MATCH(DraftResults[[#This Row],[Player ID]],Table5[[#All],[PID]],0)))</f>
        <v>Carlos</v>
      </c>
      <c r="K495" t="str">
        <f>IF(DraftResults[[#This Row],[Player ID]]=0,"",INDEX(Table5[[#All],[Last]],MATCH(DraftResults[[#This Row],[Player ID]],Table5[[#All],[PID]],0)))</f>
        <v>Rivera</v>
      </c>
    </row>
    <row r="496" spans="1:11" x14ac:dyDescent="0.3">
      <c r="A496">
        <v>15</v>
      </c>
      <c r="B496">
        <v>0</v>
      </c>
      <c r="C496">
        <v>26</v>
      </c>
      <c r="D496" t="s">
        <v>232</v>
      </c>
      <c r="E496">
        <v>19</v>
      </c>
      <c r="F496">
        <v>9282</v>
      </c>
      <c r="G496" t="s">
        <v>303</v>
      </c>
      <c r="H496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493</v>
      </c>
      <c r="I496" t="str">
        <f>IF(DraftResults[[#This Row],[Player ID]]=0,"",INDEX(Table5[[#All],[Pos]],MATCH(DraftResults[[#This Row],[Player ID]],Table5[[#All],[PID]],0)))</f>
        <v>3B</v>
      </c>
      <c r="J496" t="str">
        <f>IF(DraftResults[[#This Row],[Player ID]]=0,"",INDEX(Table5[[#All],[First]],MATCH(DraftResults[[#This Row],[Player ID]],Table5[[#All],[PID]],0)))</f>
        <v>Juan Carlos</v>
      </c>
      <c r="K496" t="str">
        <f>IF(DraftResults[[#This Row],[Player ID]]=0,"",INDEX(Table5[[#All],[Last]],MATCH(DraftResults[[#This Row],[Player ID]],Table5[[#All],[PID]],0)))</f>
        <v>Orozco</v>
      </c>
    </row>
    <row r="497" spans="1:11" x14ac:dyDescent="0.3">
      <c r="A497">
        <v>15</v>
      </c>
      <c r="B497">
        <v>0</v>
      </c>
      <c r="C497">
        <v>27</v>
      </c>
      <c r="D497" t="s">
        <v>417</v>
      </c>
      <c r="E497">
        <v>163</v>
      </c>
      <c r="F497">
        <v>12807</v>
      </c>
      <c r="G497" t="s">
        <v>303</v>
      </c>
      <c r="H497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494</v>
      </c>
      <c r="I497" t="str">
        <f>IF(DraftResults[[#This Row],[Player ID]]=0,"",INDEX(Table5[[#All],[Pos]],MATCH(DraftResults[[#This Row],[Player ID]],Table5[[#All],[PID]],0)))</f>
        <v>RF</v>
      </c>
      <c r="J497" t="str">
        <f>IF(DraftResults[[#This Row],[Player ID]]=0,"",INDEX(Table5[[#All],[First]],MATCH(DraftResults[[#This Row],[Player ID]],Table5[[#All],[PID]],0)))</f>
        <v>Wladimir</v>
      </c>
      <c r="K497" t="str">
        <f>IF(DraftResults[[#This Row],[Player ID]]=0,"",INDEX(Table5[[#All],[Last]],MATCH(DraftResults[[#This Row],[Player ID]],Table5[[#All],[PID]],0)))</f>
        <v>Veurink</v>
      </c>
    </row>
    <row r="498" spans="1:11" x14ac:dyDescent="0.3">
      <c r="A498">
        <v>15</v>
      </c>
      <c r="B498">
        <v>0</v>
      </c>
      <c r="C498">
        <v>28</v>
      </c>
      <c r="D498" t="s">
        <v>413</v>
      </c>
      <c r="E498">
        <v>2</v>
      </c>
      <c r="F498">
        <v>12107</v>
      </c>
      <c r="G498" t="s">
        <v>303</v>
      </c>
      <c r="H498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495</v>
      </c>
      <c r="I498" t="str">
        <f>IF(DraftResults[[#This Row],[Player ID]]=0,"",INDEX(Table5[[#All],[Pos]],MATCH(DraftResults[[#This Row],[Player ID]],Table5[[#All],[PID]],0)))</f>
        <v>1B</v>
      </c>
      <c r="J498" t="str">
        <f>IF(DraftResults[[#This Row],[Player ID]]=0,"",INDEX(Table5[[#All],[First]],MATCH(DraftResults[[#This Row],[Player ID]],Table5[[#All],[PID]],0)))</f>
        <v>Leo</v>
      </c>
      <c r="K498" t="str">
        <f>IF(DraftResults[[#This Row],[Player ID]]=0,"",INDEX(Table5[[#All],[Last]],MATCH(DraftResults[[#This Row],[Player ID]],Table5[[#All],[PID]],0)))</f>
        <v>Howie</v>
      </c>
    </row>
    <row r="499" spans="1:11" x14ac:dyDescent="0.3">
      <c r="A499">
        <v>15</v>
      </c>
      <c r="B499">
        <v>0</v>
      </c>
      <c r="C499">
        <v>29</v>
      </c>
      <c r="D499" t="s">
        <v>418</v>
      </c>
      <c r="E499">
        <v>161</v>
      </c>
      <c r="F499">
        <v>20224</v>
      </c>
      <c r="G499" t="s">
        <v>303</v>
      </c>
      <c r="H499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496</v>
      </c>
      <c r="I499" t="str">
        <f>IF(DraftResults[[#This Row],[Player ID]]=0,"",INDEX(Table5[[#All],[Pos]],MATCH(DraftResults[[#This Row],[Player ID]],Table5[[#All],[PID]],0)))</f>
        <v>C</v>
      </c>
      <c r="J499" t="str">
        <f>IF(DraftResults[[#This Row],[Player ID]]=0,"",INDEX(Table5[[#All],[First]],MATCH(DraftResults[[#This Row],[Player ID]],Table5[[#All],[PID]],0)))</f>
        <v>Jason</v>
      </c>
      <c r="K499" t="str">
        <f>IF(DraftResults[[#This Row],[Player ID]]=0,"",INDEX(Table5[[#All],[Last]],MATCH(DraftResults[[#This Row],[Player ID]],Table5[[#All],[PID]],0)))</f>
        <v>Eteldrum</v>
      </c>
    </row>
    <row r="500" spans="1:11" x14ac:dyDescent="0.3">
      <c r="A500">
        <v>15</v>
      </c>
      <c r="B500">
        <v>0</v>
      </c>
      <c r="C500">
        <v>30</v>
      </c>
      <c r="D500" t="s">
        <v>415</v>
      </c>
      <c r="E500">
        <v>166</v>
      </c>
      <c r="F500">
        <v>9504</v>
      </c>
      <c r="G500" t="s">
        <v>303</v>
      </c>
      <c r="H500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497</v>
      </c>
      <c r="I500" t="str">
        <f>IF(DraftResults[[#This Row],[Player ID]]=0,"",INDEX(Table5[[#All],[Pos]],MATCH(DraftResults[[#This Row],[Player ID]],Table5[[#All],[PID]],0)))</f>
        <v>RF</v>
      </c>
      <c r="J500" t="str">
        <f>IF(DraftResults[[#This Row],[Player ID]]=0,"",INDEX(Table5[[#All],[First]],MATCH(DraftResults[[#This Row],[Player ID]],Table5[[#All],[PID]],0)))</f>
        <v>Craig</v>
      </c>
      <c r="K500" t="str">
        <f>IF(DraftResults[[#This Row],[Player ID]]=0,"",INDEX(Table5[[#All],[Last]],MATCH(DraftResults[[#This Row],[Player ID]],Table5[[#All],[PID]],0)))</f>
        <v>Ayala</v>
      </c>
    </row>
    <row r="501" spans="1:11" x14ac:dyDescent="0.3">
      <c r="A501">
        <v>15</v>
      </c>
      <c r="B501">
        <v>0</v>
      </c>
      <c r="C501">
        <v>31</v>
      </c>
      <c r="D501" t="s">
        <v>238</v>
      </c>
      <c r="E501">
        <v>11</v>
      </c>
      <c r="F501">
        <v>20370</v>
      </c>
      <c r="G501" t="s">
        <v>303</v>
      </c>
      <c r="H501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498</v>
      </c>
      <c r="I501" t="str">
        <f>IF(DraftResults[[#This Row],[Player ID]]=0,"",INDEX(Table5[[#All],[Pos]],MATCH(DraftResults[[#This Row],[Player ID]],Table5[[#All],[PID]],0)))</f>
        <v>LF</v>
      </c>
      <c r="J501" t="str">
        <f>IF(DraftResults[[#This Row],[Player ID]]=0,"",INDEX(Table5[[#All],[First]],MATCH(DraftResults[[#This Row],[Player ID]],Table5[[#All],[PID]],0)))</f>
        <v>Mike</v>
      </c>
      <c r="K501" t="str">
        <f>IF(DraftResults[[#This Row],[Player ID]]=0,"",INDEX(Table5[[#All],[Last]],MATCH(DraftResults[[#This Row],[Player ID]],Table5[[#All],[PID]],0)))</f>
        <v>Quinn</v>
      </c>
    </row>
    <row r="502" spans="1:11" x14ac:dyDescent="0.3">
      <c r="A502">
        <v>15</v>
      </c>
      <c r="B502">
        <v>0</v>
      </c>
      <c r="C502">
        <v>32</v>
      </c>
      <c r="D502" t="s">
        <v>242</v>
      </c>
      <c r="E502">
        <v>14</v>
      </c>
      <c r="F502">
        <v>20681</v>
      </c>
      <c r="G502" t="s">
        <v>303</v>
      </c>
      <c r="H502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499</v>
      </c>
      <c r="I502" t="str">
        <f>IF(DraftResults[[#This Row],[Player ID]]=0,"",INDEX(Table5[[#All],[Pos]],MATCH(DraftResults[[#This Row],[Player ID]],Table5[[#All],[PID]],0)))</f>
        <v>RP</v>
      </c>
      <c r="J502" t="str">
        <f>IF(DraftResults[[#This Row],[Player ID]]=0,"",INDEX(Table5[[#All],[First]],MATCH(DraftResults[[#This Row],[Player ID]],Table5[[#All],[PID]],0)))</f>
        <v>Mi-yuan</v>
      </c>
      <c r="K502" t="str">
        <f>IF(DraftResults[[#This Row],[Player ID]]=0,"",INDEX(Table5[[#All],[Last]],MATCH(DraftResults[[#This Row],[Player ID]],Table5[[#All],[PID]],0)))</f>
        <v>Xian</v>
      </c>
    </row>
    <row r="503" spans="1:11" x14ac:dyDescent="0.3">
      <c r="A503">
        <v>15</v>
      </c>
      <c r="B503">
        <v>0</v>
      </c>
      <c r="C503">
        <v>33</v>
      </c>
      <c r="D503" t="s">
        <v>1614</v>
      </c>
      <c r="E503">
        <v>6</v>
      </c>
      <c r="F503">
        <v>11295</v>
      </c>
      <c r="G503" t="s">
        <v>303</v>
      </c>
      <c r="H503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500</v>
      </c>
      <c r="I503" t="str">
        <f>IF(DraftResults[[#This Row],[Player ID]]=0,"",INDEX(Table5[[#All],[Pos]],MATCH(DraftResults[[#This Row],[Player ID]],Table5[[#All],[PID]],0)))</f>
        <v>SS</v>
      </c>
      <c r="J503" t="str">
        <f>IF(DraftResults[[#This Row],[Player ID]]=0,"",INDEX(Table5[[#All],[First]],MATCH(DraftResults[[#This Row],[Player ID]],Table5[[#All],[PID]],0)))</f>
        <v>Josh</v>
      </c>
      <c r="K503" t="str">
        <f>IF(DraftResults[[#This Row],[Player ID]]=0,"",INDEX(Table5[[#All],[Last]],MATCH(DraftResults[[#This Row],[Player ID]],Table5[[#All],[PID]],0)))</f>
        <v>Logan</v>
      </c>
    </row>
    <row r="504" spans="1:11" x14ac:dyDescent="0.3">
      <c r="A504">
        <v>15</v>
      </c>
      <c r="B504">
        <v>0</v>
      </c>
      <c r="C504">
        <v>34</v>
      </c>
      <c r="D504" t="s">
        <v>1615</v>
      </c>
      <c r="E504">
        <v>5</v>
      </c>
      <c r="F504">
        <v>9019</v>
      </c>
      <c r="G504" t="s">
        <v>303</v>
      </c>
      <c r="H504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501</v>
      </c>
      <c r="I504" t="str">
        <f>IF(DraftResults[[#This Row],[Player ID]]=0,"",INDEX(Table5[[#All],[Pos]],MATCH(DraftResults[[#This Row],[Player ID]],Table5[[#All],[PID]],0)))</f>
        <v>C</v>
      </c>
      <c r="J504" t="str">
        <f>IF(DraftResults[[#This Row],[Player ID]]=0,"",INDEX(Table5[[#All],[First]],MATCH(DraftResults[[#This Row],[Player ID]],Table5[[#All],[PID]],0)))</f>
        <v>Kurt</v>
      </c>
      <c r="K504" t="str">
        <f>IF(DraftResults[[#This Row],[Player ID]]=0,"",INDEX(Table5[[#All],[Last]],MATCH(DraftResults[[#This Row],[Player ID]],Table5[[#All],[PID]],0)))</f>
        <v>Wallace</v>
      </c>
    </row>
    <row r="505" spans="1:11" x14ac:dyDescent="0.3">
      <c r="A505">
        <v>16</v>
      </c>
      <c r="B505">
        <v>0</v>
      </c>
      <c r="C505">
        <v>1</v>
      </c>
      <c r="D505" t="s">
        <v>542</v>
      </c>
      <c r="E505">
        <v>24</v>
      </c>
      <c r="F505">
        <v>20959</v>
      </c>
      <c r="G505" t="s">
        <v>303</v>
      </c>
      <c r="H505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502</v>
      </c>
      <c r="I505" t="str">
        <f>IF(DraftResults[[#This Row],[Player ID]]=0,"",INDEX(Table5[[#All],[Pos]],MATCH(DraftResults[[#This Row],[Player ID]],Table5[[#All],[PID]],0)))</f>
        <v>SP</v>
      </c>
      <c r="J505" t="str">
        <f>IF(DraftResults[[#This Row],[Player ID]]=0,"",INDEX(Table5[[#All],[First]],MATCH(DraftResults[[#This Row],[Player ID]],Table5[[#All],[PID]],0)))</f>
        <v>Boyd</v>
      </c>
      <c r="K505" t="str">
        <f>IF(DraftResults[[#This Row],[Player ID]]=0,"",INDEX(Table5[[#All],[Last]],MATCH(DraftResults[[#This Row],[Player ID]],Table5[[#All],[PID]],0)))</f>
        <v>Braun</v>
      </c>
    </row>
    <row r="506" spans="1:11" x14ac:dyDescent="0.3">
      <c r="A506">
        <v>16</v>
      </c>
      <c r="B506">
        <v>0</v>
      </c>
      <c r="C506">
        <v>2</v>
      </c>
      <c r="D506" t="s">
        <v>488</v>
      </c>
      <c r="E506">
        <v>7</v>
      </c>
      <c r="F506">
        <v>21066</v>
      </c>
      <c r="G506" t="s">
        <v>303</v>
      </c>
      <c r="H506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503</v>
      </c>
      <c r="I506" t="str">
        <f>IF(DraftResults[[#This Row],[Player ID]]=0,"",INDEX(Table5[[#All],[Pos]],MATCH(DraftResults[[#This Row],[Player ID]],Table5[[#All],[PID]],0)))</f>
        <v>2B</v>
      </c>
      <c r="J506" t="str">
        <f>IF(DraftResults[[#This Row],[Player ID]]=0,"",INDEX(Table5[[#All],[First]],MATCH(DraftResults[[#This Row],[Player ID]],Table5[[#All],[PID]],0)))</f>
        <v>Jim</v>
      </c>
      <c r="K506" t="str">
        <f>IF(DraftResults[[#This Row],[Player ID]]=0,"",INDEX(Table5[[#All],[Last]],MATCH(DraftResults[[#This Row],[Player ID]],Table5[[#All],[PID]],0)))</f>
        <v>Maddox</v>
      </c>
    </row>
    <row r="507" spans="1:11" x14ac:dyDescent="0.3">
      <c r="A507">
        <v>16</v>
      </c>
      <c r="B507">
        <v>0</v>
      </c>
      <c r="C507">
        <v>3</v>
      </c>
      <c r="D507" t="s">
        <v>420</v>
      </c>
      <c r="E507">
        <v>167</v>
      </c>
      <c r="F507">
        <v>13262</v>
      </c>
      <c r="G507" t="s">
        <v>303</v>
      </c>
      <c r="H507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504</v>
      </c>
      <c r="I507" t="str">
        <f>IF(DraftResults[[#This Row],[Player ID]]=0,"",INDEX(Table5[[#All],[Pos]],MATCH(DraftResults[[#This Row],[Player ID]],Table5[[#All],[PID]],0)))</f>
        <v>SP</v>
      </c>
      <c r="J507" t="str">
        <f>IF(DraftResults[[#This Row],[Player ID]]=0,"",INDEX(Table5[[#All],[First]],MATCH(DraftResults[[#This Row],[Player ID]],Table5[[#All],[PID]],0)))</f>
        <v>Takeo</v>
      </c>
      <c r="K507" t="str">
        <f>IF(DraftResults[[#This Row],[Player ID]]=0,"",INDEX(Table5[[#All],[Last]],MATCH(DraftResults[[#This Row],[Player ID]],Table5[[#All],[PID]],0)))</f>
        <v>Hayagawa</v>
      </c>
    </row>
    <row r="508" spans="1:11" x14ac:dyDescent="0.3">
      <c r="A508">
        <v>16</v>
      </c>
      <c r="B508">
        <v>0</v>
      </c>
      <c r="C508">
        <v>4</v>
      </c>
      <c r="D508" t="s">
        <v>235</v>
      </c>
      <c r="E508">
        <v>21</v>
      </c>
      <c r="F508">
        <v>9270</v>
      </c>
      <c r="G508" t="s">
        <v>303</v>
      </c>
      <c r="H508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505</v>
      </c>
      <c r="I508" t="str">
        <f>IF(DraftResults[[#This Row],[Player ID]]=0,"",INDEX(Table5[[#All],[Pos]],MATCH(DraftResults[[#This Row],[Player ID]],Table5[[#All],[PID]],0)))</f>
        <v>RP</v>
      </c>
      <c r="J508" t="str">
        <f>IF(DraftResults[[#This Row],[Player ID]]=0,"",INDEX(Table5[[#All],[First]],MATCH(DraftResults[[#This Row],[Player ID]],Table5[[#All],[PID]],0)))</f>
        <v>Ed</v>
      </c>
      <c r="K508" t="str">
        <f>IF(DraftResults[[#This Row],[Player ID]]=0,"",INDEX(Table5[[#All],[Last]],MATCH(DraftResults[[#This Row],[Player ID]],Table5[[#All],[PID]],0)))</f>
        <v>Bates</v>
      </c>
    </row>
    <row r="509" spans="1:11" x14ac:dyDescent="0.3">
      <c r="A509">
        <v>16</v>
      </c>
      <c r="B509">
        <v>0</v>
      </c>
      <c r="C509">
        <v>5</v>
      </c>
      <c r="D509" t="s">
        <v>545</v>
      </c>
      <c r="E509">
        <v>23</v>
      </c>
      <c r="F509">
        <v>6850</v>
      </c>
      <c r="G509" t="s">
        <v>303</v>
      </c>
      <c r="H509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506</v>
      </c>
      <c r="I509" t="str">
        <f>IF(DraftResults[[#This Row],[Player ID]]=0,"",INDEX(Table5[[#All],[Pos]],MATCH(DraftResults[[#This Row],[Player ID]],Table5[[#All],[PID]],0)))</f>
        <v>1B</v>
      </c>
      <c r="J509" t="str">
        <f>IF(DraftResults[[#This Row],[Player ID]]=0,"",INDEX(Table5[[#All],[First]],MATCH(DraftResults[[#This Row],[Player ID]],Table5[[#All],[PID]],0)))</f>
        <v>Juan</v>
      </c>
      <c r="K509" t="str">
        <f>IF(DraftResults[[#This Row],[Player ID]]=0,"",INDEX(Table5[[#All],[Last]],MATCH(DraftResults[[#This Row],[Player ID]],Table5[[#All],[PID]],0)))</f>
        <v>Rivas</v>
      </c>
    </row>
    <row r="510" spans="1:11" x14ac:dyDescent="0.3">
      <c r="A510">
        <v>16</v>
      </c>
      <c r="B510">
        <v>0</v>
      </c>
      <c r="C510">
        <v>6</v>
      </c>
      <c r="D510" t="s">
        <v>246</v>
      </c>
      <c r="E510">
        <v>8</v>
      </c>
      <c r="F510">
        <v>13960</v>
      </c>
      <c r="G510" t="s">
        <v>303</v>
      </c>
      <c r="H510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507</v>
      </c>
      <c r="I510" t="str">
        <f>IF(DraftResults[[#This Row],[Player ID]]=0,"",INDEX(Table5[[#All],[Pos]],MATCH(DraftResults[[#This Row],[Player ID]],Table5[[#All],[PID]],0)))</f>
        <v>1B</v>
      </c>
      <c r="J510" t="str">
        <f>IF(DraftResults[[#This Row],[Player ID]]=0,"",INDEX(Table5[[#All],[First]],MATCH(DraftResults[[#This Row],[Player ID]],Table5[[#All],[PID]],0)))</f>
        <v>José</v>
      </c>
      <c r="K510" t="str">
        <f>IF(DraftResults[[#This Row],[Player ID]]=0,"",INDEX(Table5[[#All],[Last]],MATCH(DraftResults[[#This Row],[Player ID]],Table5[[#All],[PID]],0)))</f>
        <v>Rosado</v>
      </c>
    </row>
    <row r="511" spans="1:11" x14ac:dyDescent="0.3">
      <c r="A511">
        <v>16</v>
      </c>
      <c r="B511">
        <v>0</v>
      </c>
      <c r="C511">
        <v>7</v>
      </c>
      <c r="D511" t="s">
        <v>419</v>
      </c>
      <c r="E511">
        <v>18</v>
      </c>
      <c r="F511">
        <v>20263</v>
      </c>
      <c r="G511" t="s">
        <v>303</v>
      </c>
      <c r="H511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508</v>
      </c>
      <c r="I511" t="str">
        <f>IF(DraftResults[[#This Row],[Player ID]]=0,"",INDEX(Table5[[#All],[Pos]],MATCH(DraftResults[[#This Row],[Player ID]],Table5[[#All],[PID]],0)))</f>
        <v>1B</v>
      </c>
      <c r="J511" t="str">
        <f>IF(DraftResults[[#This Row],[Player ID]]=0,"",INDEX(Table5[[#All],[First]],MATCH(DraftResults[[#This Row],[Player ID]],Table5[[#All],[PID]],0)))</f>
        <v>Chris</v>
      </c>
      <c r="K511" t="str">
        <f>IF(DraftResults[[#This Row],[Player ID]]=0,"",INDEX(Table5[[#All],[Last]],MATCH(DraftResults[[#This Row],[Player ID]],Table5[[#All],[PID]],0)))</f>
        <v>Kean</v>
      </c>
    </row>
    <row r="512" spans="1:11" x14ac:dyDescent="0.3">
      <c r="A512">
        <v>16</v>
      </c>
      <c r="B512">
        <v>0</v>
      </c>
      <c r="C512">
        <v>8</v>
      </c>
      <c r="D512" t="s">
        <v>1614</v>
      </c>
      <c r="E512">
        <v>6</v>
      </c>
      <c r="F512">
        <v>13236</v>
      </c>
      <c r="G512" t="s">
        <v>303</v>
      </c>
      <c r="H512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509</v>
      </c>
      <c r="I512" t="str">
        <f>IF(DraftResults[[#This Row],[Player ID]]=0,"",INDEX(Table5[[#All],[Pos]],MATCH(DraftResults[[#This Row],[Player ID]],Table5[[#All],[PID]],0)))</f>
        <v>3B</v>
      </c>
      <c r="J512" t="str">
        <f>IF(DraftResults[[#This Row],[Player ID]]=0,"",INDEX(Table5[[#All],[First]],MATCH(DraftResults[[#This Row],[Player ID]],Table5[[#All],[PID]],0)))</f>
        <v>Mutsuhito</v>
      </c>
      <c r="K512" t="str">
        <f>IF(DraftResults[[#This Row],[Player ID]]=0,"",INDEX(Table5[[#All],[Last]],MATCH(DraftResults[[#This Row],[Player ID]],Table5[[#All],[PID]],0)))</f>
        <v>Koike</v>
      </c>
    </row>
    <row r="513" spans="1:11" x14ac:dyDescent="0.3">
      <c r="A513">
        <v>16</v>
      </c>
      <c r="B513">
        <v>0</v>
      </c>
      <c r="C513">
        <v>9</v>
      </c>
      <c r="D513" t="s">
        <v>1615</v>
      </c>
      <c r="E513">
        <v>5</v>
      </c>
      <c r="F513">
        <v>11514</v>
      </c>
      <c r="G513" t="s">
        <v>303</v>
      </c>
      <c r="H513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510</v>
      </c>
      <c r="I513" t="str">
        <f>IF(DraftResults[[#This Row],[Player ID]]=0,"",INDEX(Table5[[#All],[Pos]],MATCH(DraftResults[[#This Row],[Player ID]],Table5[[#All],[PID]],0)))</f>
        <v>SP</v>
      </c>
      <c r="J513" t="str">
        <f>IF(DraftResults[[#This Row],[Player ID]]=0,"",INDEX(Table5[[#All],[First]],MATCH(DraftResults[[#This Row],[Player ID]],Table5[[#All],[PID]],0)))</f>
        <v>Roy</v>
      </c>
      <c r="K513" t="str">
        <f>IF(DraftResults[[#This Row],[Player ID]]=0,"",INDEX(Table5[[#All],[Last]],MATCH(DraftResults[[#This Row],[Player ID]],Table5[[#All],[PID]],0)))</f>
        <v>Hall</v>
      </c>
    </row>
    <row r="514" spans="1:11" x14ac:dyDescent="0.3">
      <c r="A514">
        <v>16</v>
      </c>
      <c r="B514">
        <v>0</v>
      </c>
      <c r="C514">
        <v>10</v>
      </c>
      <c r="D514" t="s">
        <v>240</v>
      </c>
      <c r="E514">
        <v>3</v>
      </c>
      <c r="F514">
        <v>11232</v>
      </c>
      <c r="G514" t="s">
        <v>303</v>
      </c>
      <c r="H514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511</v>
      </c>
      <c r="I514" t="str">
        <f>IF(DraftResults[[#This Row],[Player ID]]=0,"",INDEX(Table5[[#All],[Pos]],MATCH(DraftResults[[#This Row],[Player ID]],Table5[[#All],[PID]],0)))</f>
        <v>LF</v>
      </c>
      <c r="J514" t="str">
        <f>IF(DraftResults[[#This Row],[Player ID]]=0,"",INDEX(Table5[[#All],[First]],MATCH(DraftResults[[#This Row],[Player ID]],Table5[[#All],[PID]],0)))</f>
        <v>Carlos</v>
      </c>
      <c r="K514" t="str">
        <f>IF(DraftResults[[#This Row],[Player ID]]=0,"",INDEX(Table5[[#All],[Last]],MATCH(DraftResults[[#This Row],[Player ID]],Table5[[#All],[PID]],0)))</f>
        <v>Marroquín</v>
      </c>
    </row>
    <row r="515" spans="1:11" x14ac:dyDescent="0.3">
      <c r="A515">
        <v>16</v>
      </c>
      <c r="B515">
        <v>0</v>
      </c>
      <c r="C515">
        <v>11</v>
      </c>
      <c r="D515" t="s">
        <v>241</v>
      </c>
      <c r="E515">
        <v>1</v>
      </c>
      <c r="F515">
        <v>20884</v>
      </c>
      <c r="G515" t="s">
        <v>303</v>
      </c>
      <c r="H515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512</v>
      </c>
      <c r="I515" t="str">
        <f>IF(DraftResults[[#This Row],[Player ID]]=0,"",INDEX(Table5[[#All],[Pos]],MATCH(DraftResults[[#This Row],[Player ID]],Table5[[#All],[PID]],0)))</f>
        <v>RP</v>
      </c>
      <c r="J515" t="str">
        <f>IF(DraftResults[[#This Row],[Player ID]]=0,"",INDEX(Table5[[#All],[First]],MATCH(DraftResults[[#This Row],[Player ID]],Table5[[#All],[PID]],0)))</f>
        <v>Wes</v>
      </c>
      <c r="K515" t="str">
        <f>IF(DraftResults[[#This Row],[Player ID]]=0,"",INDEX(Table5[[#All],[Last]],MATCH(DraftResults[[#This Row],[Player ID]],Table5[[#All],[PID]],0)))</f>
        <v>Clark</v>
      </c>
    </row>
    <row r="516" spans="1:11" x14ac:dyDescent="0.3">
      <c r="A516">
        <v>16</v>
      </c>
      <c r="B516">
        <v>0</v>
      </c>
      <c r="C516">
        <v>12</v>
      </c>
      <c r="D516" t="s">
        <v>489</v>
      </c>
      <c r="E516">
        <v>4</v>
      </c>
      <c r="F516">
        <v>5141</v>
      </c>
      <c r="G516" t="s">
        <v>303</v>
      </c>
      <c r="H516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513</v>
      </c>
      <c r="I516" t="str">
        <f>IF(DraftResults[[#This Row],[Player ID]]=0,"",INDEX(Table5[[#All],[Pos]],MATCH(DraftResults[[#This Row],[Player ID]],Table5[[#All],[PID]],0)))</f>
        <v>RP</v>
      </c>
      <c r="J516" t="str">
        <f>IF(DraftResults[[#This Row],[Player ID]]=0,"",INDEX(Table5[[#All],[First]],MATCH(DraftResults[[#This Row],[Player ID]],Table5[[#All],[PID]],0)))</f>
        <v>Tommy</v>
      </c>
      <c r="K516" t="str">
        <f>IF(DraftResults[[#This Row],[Player ID]]=0,"",INDEX(Table5[[#All],[Last]],MATCH(DraftResults[[#This Row],[Player ID]],Table5[[#All],[PID]],0)))</f>
        <v>Henderson</v>
      </c>
    </row>
    <row r="517" spans="1:11" x14ac:dyDescent="0.3">
      <c r="A517">
        <v>16</v>
      </c>
      <c r="B517">
        <v>0</v>
      </c>
      <c r="C517">
        <v>13</v>
      </c>
      <c r="D517" t="s">
        <v>414</v>
      </c>
      <c r="E517">
        <v>164</v>
      </c>
      <c r="F517">
        <v>13219</v>
      </c>
      <c r="G517" t="s">
        <v>303</v>
      </c>
      <c r="H517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514</v>
      </c>
      <c r="I517" t="str">
        <f>IF(DraftResults[[#This Row],[Player ID]]=0,"",INDEX(Table5[[#All],[Pos]],MATCH(DraftResults[[#This Row],[Player ID]],Table5[[#All],[PID]],0)))</f>
        <v>SP</v>
      </c>
      <c r="J517" t="str">
        <f>IF(DraftResults[[#This Row],[Player ID]]=0,"",INDEX(Table5[[#All],[First]],MATCH(DraftResults[[#This Row],[Player ID]],Table5[[#All],[PID]],0)))</f>
        <v>Yugoro</v>
      </c>
      <c r="K517" t="str">
        <f>IF(DraftResults[[#This Row],[Player ID]]=0,"",INDEX(Table5[[#All],[Last]],MATCH(DraftResults[[#This Row],[Player ID]],Table5[[#All],[PID]],0)))</f>
        <v>Kamuta</v>
      </c>
    </row>
    <row r="518" spans="1:11" x14ac:dyDescent="0.3">
      <c r="A518">
        <v>16</v>
      </c>
      <c r="B518">
        <v>0</v>
      </c>
      <c r="C518">
        <v>14</v>
      </c>
      <c r="D518" t="s">
        <v>251</v>
      </c>
      <c r="E518">
        <v>12</v>
      </c>
      <c r="F518">
        <v>6009</v>
      </c>
      <c r="G518" t="s">
        <v>303</v>
      </c>
      <c r="H518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515</v>
      </c>
      <c r="I518" t="str">
        <f>IF(DraftResults[[#This Row],[Player ID]]=0,"",INDEX(Table5[[#All],[Pos]],MATCH(DraftResults[[#This Row],[Player ID]],Table5[[#All],[PID]],0)))</f>
        <v>C</v>
      </c>
      <c r="J518" t="str">
        <f>IF(DraftResults[[#This Row],[Player ID]]=0,"",INDEX(Table5[[#All],[First]],MATCH(DraftResults[[#This Row],[Player ID]],Table5[[#All],[PID]],0)))</f>
        <v>Ricardo</v>
      </c>
      <c r="K518" t="str">
        <f>IF(DraftResults[[#This Row],[Player ID]]=0,"",INDEX(Table5[[#All],[Last]],MATCH(DraftResults[[#This Row],[Player ID]],Table5[[#All],[PID]],0)))</f>
        <v>Arroyo</v>
      </c>
    </row>
    <row r="519" spans="1:11" x14ac:dyDescent="0.3">
      <c r="A519">
        <v>16</v>
      </c>
      <c r="B519">
        <v>0</v>
      </c>
      <c r="C519">
        <v>15</v>
      </c>
      <c r="D519" t="s">
        <v>543</v>
      </c>
      <c r="E519">
        <v>160</v>
      </c>
      <c r="F519">
        <v>20550</v>
      </c>
      <c r="G519" t="s">
        <v>303</v>
      </c>
      <c r="H519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516</v>
      </c>
      <c r="I519" t="str">
        <f>IF(DraftResults[[#This Row],[Player ID]]=0,"",INDEX(Table5[[#All],[Pos]],MATCH(DraftResults[[#This Row],[Player ID]],Table5[[#All],[PID]],0)))</f>
        <v>CL</v>
      </c>
      <c r="J519" t="str">
        <f>IF(DraftResults[[#This Row],[Player ID]]=0,"",INDEX(Table5[[#All],[First]],MATCH(DraftResults[[#This Row],[Player ID]],Table5[[#All],[PID]],0)))</f>
        <v>Russell</v>
      </c>
      <c r="K519" t="str">
        <f>IF(DraftResults[[#This Row],[Player ID]]=0,"",INDEX(Table5[[#All],[Last]],MATCH(DraftResults[[#This Row],[Player ID]],Table5[[#All],[PID]],0)))</f>
        <v>Lang</v>
      </c>
    </row>
    <row r="520" spans="1:11" x14ac:dyDescent="0.3">
      <c r="A520">
        <v>16</v>
      </c>
      <c r="B520">
        <v>0</v>
      </c>
      <c r="C520">
        <v>16</v>
      </c>
      <c r="D520" t="s">
        <v>544</v>
      </c>
      <c r="E520">
        <v>13</v>
      </c>
      <c r="F520">
        <v>13379</v>
      </c>
      <c r="G520" t="s">
        <v>303</v>
      </c>
      <c r="H520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517</v>
      </c>
      <c r="I520" t="str">
        <f>IF(DraftResults[[#This Row],[Player ID]]=0,"",INDEX(Table5[[#All],[Pos]],MATCH(DraftResults[[#This Row],[Player ID]],Table5[[#All],[PID]],0)))</f>
        <v>2B</v>
      </c>
      <c r="J520" t="str">
        <f>IF(DraftResults[[#This Row],[Player ID]]=0,"",INDEX(Table5[[#All],[First]],MATCH(DraftResults[[#This Row],[Player ID]],Table5[[#All],[PID]],0)))</f>
        <v>Yoshihito</v>
      </c>
      <c r="K520" t="str">
        <f>IF(DraftResults[[#This Row],[Player ID]]=0,"",INDEX(Table5[[#All],[Last]],MATCH(DraftResults[[#This Row],[Player ID]],Table5[[#All],[PID]],0)))</f>
        <v>Kaneko</v>
      </c>
    </row>
    <row r="521" spans="1:11" x14ac:dyDescent="0.3">
      <c r="A521">
        <v>16</v>
      </c>
      <c r="B521">
        <v>0</v>
      </c>
      <c r="C521">
        <v>17</v>
      </c>
      <c r="D521" t="s">
        <v>243</v>
      </c>
      <c r="E521">
        <v>15</v>
      </c>
      <c r="F521">
        <v>20266</v>
      </c>
      <c r="G521" t="s">
        <v>303</v>
      </c>
      <c r="H521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518</v>
      </c>
      <c r="I521" t="str">
        <f>IF(DraftResults[[#This Row],[Player ID]]=0,"",INDEX(Table5[[#All],[Pos]],MATCH(DraftResults[[#This Row],[Player ID]],Table5[[#All],[PID]],0)))</f>
        <v>SP</v>
      </c>
      <c r="J521" t="str">
        <f>IF(DraftResults[[#This Row],[Player ID]]=0,"",INDEX(Table5[[#All],[First]],MATCH(DraftResults[[#This Row],[Player ID]],Table5[[#All],[PID]],0)))</f>
        <v>Hsuang-tsung</v>
      </c>
      <c r="K521" t="str">
        <f>IF(DraftResults[[#This Row],[Player ID]]=0,"",INDEX(Table5[[#All],[Last]],MATCH(DraftResults[[#This Row],[Player ID]],Table5[[#All],[PID]],0)))</f>
        <v>Men</v>
      </c>
    </row>
    <row r="522" spans="1:11" x14ac:dyDescent="0.3">
      <c r="A522">
        <v>16</v>
      </c>
      <c r="B522">
        <v>0</v>
      </c>
      <c r="C522">
        <v>18</v>
      </c>
      <c r="D522" t="s">
        <v>412</v>
      </c>
      <c r="E522">
        <v>162</v>
      </c>
      <c r="F522">
        <v>5402</v>
      </c>
      <c r="G522" t="s">
        <v>303</v>
      </c>
      <c r="H522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519</v>
      </c>
      <c r="I522" t="str">
        <f>IF(DraftResults[[#This Row],[Player ID]]=0,"",INDEX(Table5[[#All],[Pos]],MATCH(DraftResults[[#This Row],[Player ID]],Table5[[#All],[PID]],0)))</f>
        <v>SP</v>
      </c>
      <c r="J522" t="str">
        <f>IF(DraftResults[[#This Row],[Player ID]]=0,"",INDEX(Table5[[#All],[First]],MATCH(DraftResults[[#This Row],[Player ID]],Table5[[#All],[PID]],0)))</f>
        <v>Albert</v>
      </c>
      <c r="K522" t="str">
        <f>IF(DraftResults[[#This Row],[Player ID]]=0,"",INDEX(Table5[[#All],[Last]],MATCH(DraftResults[[#This Row],[Player ID]],Table5[[#All],[PID]],0)))</f>
        <v>Childress</v>
      </c>
    </row>
    <row r="523" spans="1:11" x14ac:dyDescent="0.3">
      <c r="A523">
        <v>16</v>
      </c>
      <c r="B523">
        <v>0</v>
      </c>
      <c r="C523">
        <v>19</v>
      </c>
      <c r="D523" t="s">
        <v>247</v>
      </c>
      <c r="E523">
        <v>16</v>
      </c>
      <c r="F523">
        <v>21055</v>
      </c>
      <c r="G523" t="s">
        <v>303</v>
      </c>
      <c r="H523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520</v>
      </c>
      <c r="I523" t="str">
        <f>IF(DraftResults[[#This Row],[Player ID]]=0,"",INDEX(Table5[[#All],[Pos]],MATCH(DraftResults[[#This Row],[Player ID]],Table5[[#All],[PID]],0)))</f>
        <v>RP</v>
      </c>
      <c r="J523" t="str">
        <f>IF(DraftResults[[#This Row],[Player ID]]=0,"",INDEX(Table5[[#All],[First]],MATCH(DraftResults[[#This Row],[Player ID]],Table5[[#All],[PID]],0)))</f>
        <v>Artie</v>
      </c>
      <c r="K523" t="str">
        <f>IF(DraftResults[[#This Row],[Player ID]]=0,"",INDEX(Table5[[#All],[Last]],MATCH(DraftResults[[#This Row],[Player ID]],Table5[[#All],[PID]],0)))</f>
        <v>Maddox</v>
      </c>
    </row>
    <row r="524" spans="1:11" x14ac:dyDescent="0.3">
      <c r="A524">
        <v>16</v>
      </c>
      <c r="B524">
        <v>0</v>
      </c>
      <c r="C524">
        <v>20</v>
      </c>
      <c r="D524" t="s">
        <v>242</v>
      </c>
      <c r="E524">
        <v>14</v>
      </c>
      <c r="F524">
        <v>16931</v>
      </c>
      <c r="G524" t="s">
        <v>303</v>
      </c>
      <c r="H524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521</v>
      </c>
      <c r="I524" t="str">
        <f>IF(DraftResults[[#This Row],[Player ID]]=0,"",INDEX(Table5[[#All],[Pos]],MATCH(DraftResults[[#This Row],[Player ID]],Table5[[#All],[PID]],0)))</f>
        <v>C</v>
      </c>
      <c r="J524" t="str">
        <f>IF(DraftResults[[#This Row],[Player ID]]=0,"",INDEX(Table5[[#All],[First]],MATCH(DraftResults[[#This Row],[Player ID]],Table5[[#All],[PID]],0)))</f>
        <v>Winston</v>
      </c>
      <c r="K524" t="str">
        <f>IF(DraftResults[[#This Row],[Player ID]]=0,"",INDEX(Table5[[#All],[Last]],MATCH(DraftResults[[#This Row],[Player ID]],Table5[[#All],[PID]],0)))</f>
        <v>Ross</v>
      </c>
    </row>
    <row r="525" spans="1:11" x14ac:dyDescent="0.3">
      <c r="A525">
        <v>16</v>
      </c>
      <c r="B525">
        <v>0</v>
      </c>
      <c r="C525">
        <v>21</v>
      </c>
      <c r="D525" t="s">
        <v>416</v>
      </c>
      <c r="E525">
        <v>159</v>
      </c>
      <c r="F525">
        <v>13484</v>
      </c>
      <c r="G525" t="s">
        <v>303</v>
      </c>
      <c r="H525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522</v>
      </c>
      <c r="I525" t="str">
        <f>IF(DraftResults[[#This Row],[Player ID]]=0,"",INDEX(Table5[[#All],[Pos]],MATCH(DraftResults[[#This Row],[Player ID]],Table5[[#All],[PID]],0)))</f>
        <v>RP</v>
      </c>
      <c r="J525" t="str">
        <f>IF(DraftResults[[#This Row],[Player ID]]=0,"",INDEX(Table5[[#All],[First]],MATCH(DraftResults[[#This Row],[Player ID]],Table5[[#All],[PID]],0)))</f>
        <v>Daryl</v>
      </c>
      <c r="K525" t="str">
        <f>IF(DraftResults[[#This Row],[Player ID]]=0,"",INDEX(Table5[[#All],[Last]],MATCH(DraftResults[[#This Row],[Player ID]],Table5[[#All],[PID]],0)))</f>
        <v>Balmer</v>
      </c>
    </row>
    <row r="526" spans="1:11" x14ac:dyDescent="0.3">
      <c r="A526">
        <v>16</v>
      </c>
      <c r="B526">
        <v>0</v>
      </c>
      <c r="C526">
        <v>22</v>
      </c>
      <c r="D526" t="s">
        <v>244</v>
      </c>
      <c r="E526">
        <v>20</v>
      </c>
      <c r="F526">
        <v>12633</v>
      </c>
      <c r="G526" t="s">
        <v>303</v>
      </c>
      <c r="H526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523</v>
      </c>
      <c r="I526" t="str">
        <f>IF(DraftResults[[#This Row],[Player ID]]=0,"",INDEX(Table5[[#All],[Pos]],MATCH(DraftResults[[#This Row],[Player ID]],Table5[[#All],[PID]],0)))</f>
        <v>RP</v>
      </c>
      <c r="J526" t="str">
        <f>IF(DraftResults[[#This Row],[Player ID]]=0,"",INDEX(Table5[[#All],[First]],MATCH(DraftResults[[#This Row],[Player ID]],Table5[[#All],[PID]],0)))</f>
        <v>Dale</v>
      </c>
      <c r="K526" t="str">
        <f>IF(DraftResults[[#This Row],[Player ID]]=0,"",INDEX(Table5[[#All],[Last]],MATCH(DraftResults[[#This Row],[Player ID]],Table5[[#All],[PID]],0)))</f>
        <v>Ryall</v>
      </c>
    </row>
    <row r="527" spans="1:11" x14ac:dyDescent="0.3">
      <c r="A527">
        <v>16</v>
      </c>
      <c r="B527">
        <v>0</v>
      </c>
      <c r="C527">
        <v>23</v>
      </c>
      <c r="D527" t="s">
        <v>239</v>
      </c>
      <c r="E527">
        <v>10</v>
      </c>
      <c r="F527">
        <v>20951</v>
      </c>
      <c r="G527" t="s">
        <v>303</v>
      </c>
      <c r="H527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524</v>
      </c>
      <c r="I527" t="str">
        <f>IF(DraftResults[[#This Row],[Player ID]]=0,"",INDEX(Table5[[#All],[Pos]],MATCH(DraftResults[[#This Row],[Player ID]],Table5[[#All],[PID]],0)))</f>
        <v>RP</v>
      </c>
      <c r="J527" t="str">
        <f>IF(DraftResults[[#This Row],[Player ID]]=0,"",INDEX(Table5[[#All],[First]],MATCH(DraftResults[[#This Row],[Player ID]],Table5[[#All],[PID]],0)))</f>
        <v>Mitch</v>
      </c>
      <c r="K527" t="str">
        <f>IF(DraftResults[[#This Row],[Player ID]]=0,"",INDEX(Table5[[#All],[Last]],MATCH(DraftResults[[#This Row],[Player ID]],Table5[[#All],[PID]],0)))</f>
        <v>MacDonald</v>
      </c>
    </row>
    <row r="528" spans="1:11" x14ac:dyDescent="0.3">
      <c r="A528">
        <v>16</v>
      </c>
      <c r="B528">
        <v>0</v>
      </c>
      <c r="C528">
        <v>24</v>
      </c>
      <c r="D528" t="s">
        <v>233</v>
      </c>
      <c r="E528">
        <v>22</v>
      </c>
      <c r="F528">
        <v>11966</v>
      </c>
      <c r="G528" t="s">
        <v>303</v>
      </c>
      <c r="H528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525</v>
      </c>
      <c r="I528" t="str">
        <f>IF(DraftResults[[#This Row],[Player ID]]=0,"",INDEX(Table5[[#All],[Pos]],MATCH(DraftResults[[#This Row],[Player ID]],Table5[[#All],[PID]],0)))</f>
        <v>RP</v>
      </c>
      <c r="J528" t="str">
        <f>IF(DraftResults[[#This Row],[Player ID]]=0,"",INDEX(Table5[[#All],[First]],MATCH(DraftResults[[#This Row],[Player ID]],Table5[[#All],[PID]],0)))</f>
        <v>Jesús</v>
      </c>
      <c r="K528" t="str">
        <f>IF(DraftResults[[#This Row],[Player ID]]=0,"",INDEX(Table5[[#All],[Last]],MATCH(DraftResults[[#This Row],[Player ID]],Table5[[#All],[PID]],0)))</f>
        <v>Trujillo</v>
      </c>
    </row>
    <row r="529" spans="1:11" x14ac:dyDescent="0.3">
      <c r="A529">
        <v>16</v>
      </c>
      <c r="B529">
        <v>0</v>
      </c>
      <c r="C529">
        <v>25</v>
      </c>
      <c r="D529" t="s">
        <v>236</v>
      </c>
      <c r="E529">
        <v>17</v>
      </c>
      <c r="F529">
        <v>14508</v>
      </c>
      <c r="G529" t="s">
        <v>303</v>
      </c>
      <c r="H529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526</v>
      </c>
      <c r="I529" t="str">
        <f>IF(DraftResults[[#This Row],[Player ID]]=0,"",INDEX(Table5[[#All],[Pos]],MATCH(DraftResults[[#This Row],[Player ID]],Table5[[#All],[PID]],0)))</f>
        <v>SP</v>
      </c>
      <c r="J529" t="str">
        <f>IF(DraftResults[[#This Row],[Player ID]]=0,"",INDEX(Table5[[#All],[First]],MATCH(DraftResults[[#This Row],[Player ID]],Table5[[#All],[PID]],0)))</f>
        <v>Raúl</v>
      </c>
      <c r="K529" t="str">
        <f>IF(DraftResults[[#This Row],[Player ID]]=0,"",INDEX(Table5[[#All],[Last]],MATCH(DraftResults[[#This Row],[Player ID]],Table5[[#All],[PID]],0)))</f>
        <v>Rivera</v>
      </c>
    </row>
    <row r="530" spans="1:11" x14ac:dyDescent="0.3">
      <c r="A530">
        <v>16</v>
      </c>
      <c r="B530">
        <v>0</v>
      </c>
      <c r="C530">
        <v>26</v>
      </c>
      <c r="D530" t="s">
        <v>232</v>
      </c>
      <c r="E530">
        <v>19</v>
      </c>
      <c r="F530">
        <v>12498</v>
      </c>
      <c r="G530" t="s">
        <v>303</v>
      </c>
      <c r="H530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527</v>
      </c>
      <c r="I530" t="str">
        <f>IF(DraftResults[[#This Row],[Player ID]]=0,"",INDEX(Table5[[#All],[Pos]],MATCH(DraftResults[[#This Row],[Player ID]],Table5[[#All],[PID]],0)))</f>
        <v>RF</v>
      </c>
      <c r="J530" t="str">
        <f>IF(DraftResults[[#This Row],[Player ID]]=0,"",INDEX(Table5[[#All],[First]],MATCH(DraftResults[[#This Row],[Player ID]],Table5[[#All],[PID]],0)))</f>
        <v>Jake</v>
      </c>
      <c r="K530" t="str">
        <f>IF(DraftResults[[#This Row],[Player ID]]=0,"",INDEX(Table5[[#All],[Last]],MATCH(DraftResults[[#This Row],[Player ID]],Table5[[#All],[PID]],0)))</f>
        <v>Brown</v>
      </c>
    </row>
    <row r="531" spans="1:11" x14ac:dyDescent="0.3">
      <c r="A531">
        <v>16</v>
      </c>
      <c r="B531">
        <v>0</v>
      </c>
      <c r="C531">
        <v>27</v>
      </c>
      <c r="D531" t="s">
        <v>417</v>
      </c>
      <c r="E531">
        <v>163</v>
      </c>
      <c r="F531">
        <v>15560</v>
      </c>
      <c r="G531" t="s">
        <v>303</v>
      </c>
      <c r="H531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528</v>
      </c>
      <c r="I531" t="str">
        <f>IF(DraftResults[[#This Row],[Player ID]]=0,"",INDEX(Table5[[#All],[Pos]],MATCH(DraftResults[[#This Row],[Player ID]],Table5[[#All],[PID]],0)))</f>
        <v>RP</v>
      </c>
      <c r="J531" t="str">
        <f>IF(DraftResults[[#This Row],[Player ID]]=0,"",INDEX(Table5[[#All],[First]],MATCH(DraftResults[[#This Row],[Player ID]],Table5[[#All],[PID]],0)))</f>
        <v>Kiyonaga</v>
      </c>
      <c r="K531" t="str">
        <f>IF(DraftResults[[#This Row],[Player ID]]=0,"",INDEX(Table5[[#All],[Last]],MATCH(DraftResults[[#This Row],[Player ID]],Table5[[#All],[PID]],0)))</f>
        <v>Matsumoto</v>
      </c>
    </row>
    <row r="532" spans="1:11" x14ac:dyDescent="0.3">
      <c r="A532">
        <v>16</v>
      </c>
      <c r="B532">
        <v>0</v>
      </c>
      <c r="C532">
        <v>28</v>
      </c>
      <c r="D532" t="s">
        <v>413</v>
      </c>
      <c r="E532">
        <v>2</v>
      </c>
      <c r="F532">
        <v>12530</v>
      </c>
      <c r="G532" t="s">
        <v>303</v>
      </c>
      <c r="H532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529</v>
      </c>
      <c r="I532" t="str">
        <f>IF(DraftResults[[#This Row],[Player ID]]=0,"",INDEX(Table5[[#All],[Pos]],MATCH(DraftResults[[#This Row],[Player ID]],Table5[[#All],[PID]],0)))</f>
        <v>1B</v>
      </c>
      <c r="J532" t="str">
        <f>IF(DraftResults[[#This Row],[Player ID]]=0,"",INDEX(Table5[[#All],[First]],MATCH(DraftResults[[#This Row],[Player ID]],Table5[[#All],[PID]],0)))</f>
        <v>Rob</v>
      </c>
      <c r="K532" t="str">
        <f>IF(DraftResults[[#This Row],[Player ID]]=0,"",INDEX(Table5[[#All],[Last]],MATCH(DraftResults[[#This Row],[Player ID]],Table5[[#All],[PID]],0)))</f>
        <v>Thurman</v>
      </c>
    </row>
    <row r="533" spans="1:11" x14ac:dyDescent="0.3">
      <c r="A533">
        <v>16</v>
      </c>
      <c r="B533">
        <v>0</v>
      </c>
      <c r="C533">
        <v>29</v>
      </c>
      <c r="D533" t="s">
        <v>418</v>
      </c>
      <c r="E533">
        <v>161</v>
      </c>
      <c r="F533">
        <v>12894</v>
      </c>
      <c r="G533" t="s">
        <v>303</v>
      </c>
      <c r="H533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530</v>
      </c>
      <c r="I533" t="str">
        <f>IF(DraftResults[[#This Row],[Player ID]]=0,"",INDEX(Table5[[#All],[Pos]],MATCH(DraftResults[[#This Row],[Player ID]],Table5[[#All],[PID]],0)))</f>
        <v>RF</v>
      </c>
      <c r="J533" t="str">
        <f>IF(DraftResults[[#This Row],[Player ID]]=0,"",INDEX(Table5[[#All],[First]],MATCH(DraftResults[[#This Row],[Player ID]],Table5[[#All],[PID]],0)))</f>
        <v>Claude</v>
      </c>
      <c r="K533" t="str">
        <f>IF(DraftResults[[#This Row],[Player ID]]=0,"",INDEX(Table5[[#All],[Last]],MATCH(DraftResults[[#This Row],[Player ID]],Table5[[#All],[PID]],0)))</f>
        <v>Charton</v>
      </c>
    </row>
    <row r="534" spans="1:11" x14ac:dyDescent="0.3">
      <c r="A534">
        <v>16</v>
      </c>
      <c r="B534">
        <v>0</v>
      </c>
      <c r="C534">
        <v>30</v>
      </c>
      <c r="D534" t="s">
        <v>415</v>
      </c>
      <c r="E534">
        <v>166</v>
      </c>
      <c r="F534">
        <v>12731</v>
      </c>
      <c r="G534" t="s">
        <v>303</v>
      </c>
      <c r="H534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531</v>
      </c>
      <c r="I534" t="str">
        <f>IF(DraftResults[[#This Row],[Player ID]]=0,"",INDEX(Table5[[#All],[Pos]],MATCH(DraftResults[[#This Row],[Player ID]],Table5[[#All],[PID]],0)))</f>
        <v>SS</v>
      </c>
      <c r="J534" t="str">
        <f>IF(DraftResults[[#This Row],[Player ID]]=0,"",INDEX(Table5[[#All],[First]],MATCH(DraftResults[[#This Row],[Player ID]],Table5[[#All],[PID]],0)))</f>
        <v>Craig</v>
      </c>
      <c r="K534" t="str">
        <f>IF(DraftResults[[#This Row],[Player ID]]=0,"",INDEX(Table5[[#All],[Last]],MATCH(DraftResults[[#This Row],[Player ID]],Table5[[#All],[PID]],0)))</f>
        <v>Fountain</v>
      </c>
    </row>
    <row r="535" spans="1:11" x14ac:dyDescent="0.3">
      <c r="A535">
        <v>16</v>
      </c>
      <c r="B535">
        <v>0</v>
      </c>
      <c r="C535">
        <v>31</v>
      </c>
      <c r="D535" t="s">
        <v>489</v>
      </c>
      <c r="E535">
        <v>4</v>
      </c>
      <c r="F535">
        <v>13228</v>
      </c>
      <c r="G535" t="s">
        <v>303</v>
      </c>
      <c r="H535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532</v>
      </c>
      <c r="I535" t="str">
        <f>IF(DraftResults[[#This Row],[Player ID]]=0,"",INDEX(Table5[[#All],[Pos]],MATCH(DraftResults[[#This Row],[Player ID]],Table5[[#All],[PID]],0)))</f>
        <v>SP</v>
      </c>
      <c r="J535" t="str">
        <f>IF(DraftResults[[#This Row],[Player ID]]=0,"",INDEX(Table5[[#All],[First]],MATCH(DraftResults[[#This Row],[Player ID]],Table5[[#All],[PID]],0)))</f>
        <v>Mochihito</v>
      </c>
      <c r="K535" t="str">
        <f>IF(DraftResults[[#This Row],[Player ID]]=0,"",INDEX(Table5[[#All],[Last]],MATCH(DraftResults[[#This Row],[Player ID]],Table5[[#All],[PID]],0)))</f>
        <v>Yamada</v>
      </c>
    </row>
    <row r="536" spans="1:11" x14ac:dyDescent="0.3">
      <c r="A536">
        <v>16</v>
      </c>
      <c r="B536">
        <v>0</v>
      </c>
      <c r="C536">
        <v>32</v>
      </c>
      <c r="D536" t="s">
        <v>546</v>
      </c>
      <c r="E536">
        <v>9</v>
      </c>
      <c r="F536">
        <v>20195</v>
      </c>
      <c r="G536" t="s">
        <v>303</v>
      </c>
      <c r="H536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533</v>
      </c>
      <c r="I536" t="str">
        <f>IF(DraftResults[[#This Row],[Player ID]]=0,"",INDEX(Table5[[#All],[Pos]],MATCH(DraftResults[[#This Row],[Player ID]],Table5[[#All],[PID]],0)))</f>
        <v>C</v>
      </c>
      <c r="J536" t="str">
        <f>IF(DraftResults[[#This Row],[Player ID]]=0,"",INDEX(Table5[[#All],[First]],MATCH(DraftResults[[#This Row],[Player ID]],Table5[[#All],[PID]],0)))</f>
        <v>Toshitsugu</v>
      </c>
      <c r="K536" t="str">
        <f>IF(DraftResults[[#This Row],[Player ID]]=0,"",INDEX(Table5[[#All],[Last]],MATCH(DraftResults[[#This Row],[Player ID]],Table5[[#All],[PID]],0)))</f>
        <v>Sato</v>
      </c>
    </row>
    <row r="537" spans="1:11" x14ac:dyDescent="0.3">
      <c r="A537">
        <v>16</v>
      </c>
      <c r="B537">
        <v>0</v>
      </c>
      <c r="C537">
        <v>33</v>
      </c>
      <c r="D537" t="s">
        <v>1615</v>
      </c>
      <c r="E537">
        <v>5</v>
      </c>
      <c r="F537">
        <v>12769</v>
      </c>
      <c r="G537" t="s">
        <v>303</v>
      </c>
      <c r="H537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534</v>
      </c>
      <c r="I537" t="str">
        <f>IF(DraftResults[[#This Row],[Player ID]]=0,"",INDEX(Table5[[#All],[Pos]],MATCH(DraftResults[[#This Row],[Player ID]],Table5[[#All],[PID]],0)))</f>
        <v>LF</v>
      </c>
      <c r="J537" t="str">
        <f>IF(DraftResults[[#This Row],[Player ID]]=0,"",INDEX(Table5[[#All],[First]],MATCH(DraftResults[[#This Row],[Player ID]],Table5[[#All],[PID]],0)))</f>
        <v>Brando</v>
      </c>
      <c r="K537" t="str">
        <f>IF(DraftResults[[#This Row],[Player ID]]=0,"",INDEX(Table5[[#All],[Last]],MATCH(DraftResults[[#This Row],[Player ID]],Table5[[#All],[PID]],0)))</f>
        <v>Mangoni</v>
      </c>
    </row>
    <row r="538" spans="1:11" x14ac:dyDescent="0.3">
      <c r="A538">
        <v>16</v>
      </c>
      <c r="B538">
        <v>0</v>
      </c>
      <c r="C538">
        <v>34</v>
      </c>
      <c r="D538" t="s">
        <v>1614</v>
      </c>
      <c r="E538">
        <v>6</v>
      </c>
      <c r="F538">
        <v>12307</v>
      </c>
      <c r="G538" t="s">
        <v>303</v>
      </c>
      <c r="H538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535</v>
      </c>
      <c r="I538" t="str">
        <f>IF(DraftResults[[#This Row],[Player ID]]=0,"",INDEX(Table5[[#All],[Pos]],MATCH(DraftResults[[#This Row],[Player ID]],Table5[[#All],[PID]],0)))</f>
        <v>SP</v>
      </c>
      <c r="J538" t="str">
        <f>IF(DraftResults[[#This Row],[Player ID]]=0,"",INDEX(Table5[[#All],[First]],MATCH(DraftResults[[#This Row],[Player ID]],Table5[[#All],[PID]],0)))</f>
        <v>Toby</v>
      </c>
      <c r="K538" t="str">
        <f>IF(DraftResults[[#This Row],[Player ID]]=0,"",INDEX(Table5[[#All],[Last]],MATCH(DraftResults[[#This Row],[Player ID]],Table5[[#All],[PID]],0)))</f>
        <v>Goacher</v>
      </c>
    </row>
    <row r="539" spans="1:11" x14ac:dyDescent="0.3">
      <c r="A539">
        <v>17</v>
      </c>
      <c r="B539">
        <v>0</v>
      </c>
      <c r="C539">
        <v>1</v>
      </c>
      <c r="D539" t="s">
        <v>542</v>
      </c>
      <c r="E539">
        <v>24</v>
      </c>
      <c r="F539">
        <v>13217</v>
      </c>
      <c r="G539" t="s">
        <v>303</v>
      </c>
      <c r="H539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536</v>
      </c>
      <c r="I539" t="str">
        <f>IF(DraftResults[[#This Row],[Player ID]]=0,"",INDEX(Table5[[#All],[Pos]],MATCH(DraftResults[[#This Row],[Player ID]],Table5[[#All],[PID]],0)))</f>
        <v>RP</v>
      </c>
      <c r="J539" t="str">
        <f>IF(DraftResults[[#This Row],[Player ID]]=0,"",INDEX(Table5[[#All],[First]],MATCH(DraftResults[[#This Row],[Player ID]],Table5[[#All],[PID]],0)))</f>
        <v>Salvador</v>
      </c>
      <c r="K539" t="str">
        <f>IF(DraftResults[[#This Row],[Player ID]]=0,"",INDEX(Table5[[#All],[Last]],MATCH(DraftResults[[#This Row],[Player ID]],Table5[[#All],[PID]],0)))</f>
        <v>Salazar</v>
      </c>
    </row>
    <row r="540" spans="1:11" x14ac:dyDescent="0.3">
      <c r="A540">
        <v>17</v>
      </c>
      <c r="B540">
        <v>0</v>
      </c>
      <c r="C540">
        <v>2</v>
      </c>
      <c r="D540" t="s">
        <v>488</v>
      </c>
      <c r="E540">
        <v>7</v>
      </c>
      <c r="F540">
        <v>20765</v>
      </c>
      <c r="G540" t="s">
        <v>303</v>
      </c>
      <c r="H540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537</v>
      </c>
      <c r="I540" t="str">
        <f>IF(DraftResults[[#This Row],[Player ID]]=0,"",INDEX(Table5[[#All],[Pos]],MATCH(DraftResults[[#This Row],[Player ID]],Table5[[#All],[PID]],0)))</f>
        <v>1B</v>
      </c>
      <c r="J540" t="str">
        <f>IF(DraftResults[[#This Row],[Player ID]]=0,"",INDEX(Table5[[#All],[First]],MATCH(DraftResults[[#This Row],[Player ID]],Table5[[#All],[PID]],0)))</f>
        <v>Andrew</v>
      </c>
      <c r="K540" t="str">
        <f>IF(DraftResults[[#This Row],[Player ID]]=0,"",INDEX(Table5[[#All],[Last]],MATCH(DraftResults[[#This Row],[Player ID]],Table5[[#All],[PID]],0)))</f>
        <v>Roy</v>
      </c>
    </row>
    <row r="541" spans="1:11" x14ac:dyDescent="0.3">
      <c r="A541">
        <v>17</v>
      </c>
      <c r="B541">
        <v>0</v>
      </c>
      <c r="C541">
        <v>3</v>
      </c>
      <c r="D541" t="s">
        <v>420</v>
      </c>
      <c r="E541">
        <v>167</v>
      </c>
      <c r="F541">
        <v>12705</v>
      </c>
      <c r="G541" t="s">
        <v>303</v>
      </c>
      <c r="H541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538</v>
      </c>
      <c r="I541" t="str">
        <f>IF(DraftResults[[#This Row],[Player ID]]=0,"",INDEX(Table5[[#All],[Pos]],MATCH(DraftResults[[#This Row],[Player ID]],Table5[[#All],[PID]],0)))</f>
        <v>RP</v>
      </c>
      <c r="J541" t="str">
        <f>IF(DraftResults[[#This Row],[Player ID]]=0,"",INDEX(Table5[[#All],[First]],MATCH(DraftResults[[#This Row],[Player ID]],Table5[[#All],[PID]],0)))</f>
        <v>George</v>
      </c>
      <c r="K541" t="str">
        <f>IF(DraftResults[[#This Row],[Player ID]]=0,"",INDEX(Table5[[#All],[Last]],MATCH(DraftResults[[#This Row],[Player ID]],Table5[[#All],[PID]],0)))</f>
        <v>Hall</v>
      </c>
    </row>
    <row r="542" spans="1:11" x14ac:dyDescent="0.3">
      <c r="A542">
        <v>17</v>
      </c>
      <c r="B542">
        <v>0</v>
      </c>
      <c r="C542">
        <v>4</v>
      </c>
      <c r="D542" t="s">
        <v>235</v>
      </c>
      <c r="E542">
        <v>21</v>
      </c>
      <c r="F542">
        <v>11667</v>
      </c>
      <c r="G542" t="s">
        <v>303</v>
      </c>
      <c r="H542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539</v>
      </c>
      <c r="I542" t="str">
        <f>IF(DraftResults[[#This Row],[Player ID]]=0,"",INDEX(Table5[[#All],[Pos]],MATCH(DraftResults[[#This Row],[Player ID]],Table5[[#All],[PID]],0)))</f>
        <v>SP</v>
      </c>
      <c r="J542" t="str">
        <f>IF(DraftResults[[#This Row],[Player ID]]=0,"",INDEX(Table5[[#All],[First]],MATCH(DraftResults[[#This Row],[Player ID]],Table5[[#All],[PID]],0)))</f>
        <v>Duane</v>
      </c>
      <c r="K542" t="str">
        <f>IF(DraftResults[[#This Row],[Player ID]]=0,"",INDEX(Table5[[#All],[Last]],MATCH(DraftResults[[#This Row],[Player ID]],Table5[[#All],[PID]],0)))</f>
        <v>Wilkinson</v>
      </c>
    </row>
    <row r="543" spans="1:11" x14ac:dyDescent="0.3">
      <c r="A543">
        <v>17</v>
      </c>
      <c r="B543">
        <v>0</v>
      </c>
      <c r="C543">
        <v>5</v>
      </c>
      <c r="D543" t="s">
        <v>545</v>
      </c>
      <c r="E543">
        <v>23</v>
      </c>
      <c r="F543">
        <v>10782</v>
      </c>
      <c r="G543" t="s">
        <v>303</v>
      </c>
      <c r="H543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540</v>
      </c>
      <c r="I543" t="str">
        <f>IF(DraftResults[[#This Row],[Player ID]]=0,"",INDEX(Table5[[#All],[Pos]],MATCH(DraftResults[[#This Row],[Player ID]],Table5[[#All],[PID]],0)))</f>
        <v>SP</v>
      </c>
      <c r="J543" t="str">
        <f>IF(DraftResults[[#This Row],[Player ID]]=0,"",INDEX(Table5[[#All],[First]],MATCH(DraftResults[[#This Row],[Player ID]],Table5[[#All],[PID]],0)))</f>
        <v>Erjan</v>
      </c>
      <c r="K543" t="str">
        <f>IF(DraftResults[[#This Row],[Player ID]]=0,"",INDEX(Table5[[#All],[Last]],MATCH(DraftResults[[#This Row],[Player ID]],Table5[[#All],[PID]],0)))</f>
        <v>Roocke</v>
      </c>
    </row>
    <row r="544" spans="1:11" x14ac:dyDescent="0.3">
      <c r="A544">
        <v>17</v>
      </c>
      <c r="B544">
        <v>0</v>
      </c>
      <c r="C544">
        <v>6</v>
      </c>
      <c r="D544" t="s">
        <v>246</v>
      </c>
      <c r="E544">
        <v>8</v>
      </c>
      <c r="F544">
        <v>12683</v>
      </c>
      <c r="G544" t="s">
        <v>303</v>
      </c>
      <c r="H544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541</v>
      </c>
      <c r="I544" t="str">
        <f>IF(DraftResults[[#This Row],[Player ID]]=0,"",INDEX(Table5[[#All],[Pos]],MATCH(DraftResults[[#This Row],[Player ID]],Table5[[#All],[PID]],0)))</f>
        <v>C</v>
      </c>
      <c r="J544" t="str">
        <f>IF(DraftResults[[#This Row],[Player ID]]=0,"",INDEX(Table5[[#All],[First]],MATCH(DraftResults[[#This Row],[Player ID]],Table5[[#All],[PID]],0)))</f>
        <v>Arvin</v>
      </c>
      <c r="K544" t="str">
        <f>IF(DraftResults[[#This Row],[Player ID]]=0,"",INDEX(Table5[[#All],[Last]],MATCH(DraftResults[[#This Row],[Player ID]],Table5[[#All],[PID]],0)))</f>
        <v>Graham</v>
      </c>
    </row>
    <row r="545" spans="1:11" x14ac:dyDescent="0.3">
      <c r="A545">
        <v>17</v>
      </c>
      <c r="B545">
        <v>0</v>
      </c>
      <c r="C545">
        <v>7</v>
      </c>
      <c r="D545" t="s">
        <v>419</v>
      </c>
      <c r="E545">
        <v>18</v>
      </c>
      <c r="F545">
        <v>10684</v>
      </c>
      <c r="G545" t="s">
        <v>303</v>
      </c>
      <c r="H545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542</v>
      </c>
      <c r="I545" t="str">
        <f>IF(DraftResults[[#This Row],[Player ID]]=0,"",INDEX(Table5[[#All],[Pos]],MATCH(DraftResults[[#This Row],[Player ID]],Table5[[#All],[PID]],0)))</f>
        <v>RP</v>
      </c>
      <c r="J545" t="str">
        <f>IF(DraftResults[[#This Row],[Player ID]]=0,"",INDEX(Table5[[#All],[First]],MATCH(DraftResults[[#This Row],[Player ID]],Table5[[#All],[PID]],0)))</f>
        <v>Jorge</v>
      </c>
      <c r="K545" t="str">
        <f>IF(DraftResults[[#This Row],[Player ID]]=0,"",INDEX(Table5[[#All],[Last]],MATCH(DraftResults[[#This Row],[Player ID]],Table5[[#All],[PID]],0)))</f>
        <v>De La Cruz</v>
      </c>
    </row>
    <row r="546" spans="1:11" x14ac:dyDescent="0.3">
      <c r="A546">
        <v>17</v>
      </c>
      <c r="B546">
        <v>0</v>
      </c>
      <c r="C546">
        <v>8</v>
      </c>
      <c r="D546" t="s">
        <v>1614</v>
      </c>
      <c r="E546">
        <v>6</v>
      </c>
      <c r="F546">
        <v>12281</v>
      </c>
      <c r="G546" t="s">
        <v>303</v>
      </c>
      <c r="H546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543</v>
      </c>
      <c r="I546" t="str">
        <f>IF(DraftResults[[#This Row],[Player ID]]=0,"",INDEX(Table5[[#All],[Pos]],MATCH(DraftResults[[#This Row],[Player ID]],Table5[[#All],[PID]],0)))</f>
        <v>RP</v>
      </c>
      <c r="J546" t="str">
        <f>IF(DraftResults[[#This Row],[Player ID]]=0,"",INDEX(Table5[[#All],[First]],MATCH(DraftResults[[#This Row],[Player ID]],Table5[[#All],[PID]],0)))</f>
        <v>Jamie</v>
      </c>
      <c r="K546" t="str">
        <f>IF(DraftResults[[#This Row],[Player ID]]=0,"",INDEX(Table5[[#All],[Last]],MATCH(DraftResults[[#This Row],[Player ID]],Table5[[#All],[PID]],0)))</f>
        <v>Banham</v>
      </c>
    </row>
    <row r="547" spans="1:11" x14ac:dyDescent="0.3">
      <c r="A547">
        <v>17</v>
      </c>
      <c r="B547">
        <v>0</v>
      </c>
      <c r="C547">
        <v>9</v>
      </c>
      <c r="D547" t="s">
        <v>1615</v>
      </c>
      <c r="E547">
        <v>5</v>
      </c>
      <c r="F547">
        <v>5786</v>
      </c>
      <c r="G547" t="s">
        <v>303</v>
      </c>
      <c r="H547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544</v>
      </c>
      <c r="I547" t="str">
        <f>IF(DraftResults[[#This Row],[Player ID]]=0,"",INDEX(Table5[[#All],[Pos]],MATCH(DraftResults[[#This Row],[Player ID]],Table5[[#All],[PID]],0)))</f>
        <v>C</v>
      </c>
      <c r="J547" t="str">
        <f>IF(DraftResults[[#This Row],[Player ID]]=0,"",INDEX(Table5[[#All],[First]],MATCH(DraftResults[[#This Row],[Player ID]],Table5[[#All],[PID]],0)))</f>
        <v>Owen</v>
      </c>
      <c r="K547" t="str">
        <f>IF(DraftResults[[#This Row],[Player ID]]=0,"",INDEX(Table5[[#All],[Last]],MATCH(DraftResults[[#This Row],[Player ID]],Table5[[#All],[PID]],0)))</f>
        <v>Jans</v>
      </c>
    </row>
    <row r="548" spans="1:11" x14ac:dyDescent="0.3">
      <c r="A548">
        <v>17</v>
      </c>
      <c r="B548">
        <v>0</v>
      </c>
      <c r="C548">
        <v>10</v>
      </c>
      <c r="D548" t="s">
        <v>240</v>
      </c>
      <c r="E548">
        <v>3</v>
      </c>
      <c r="F548">
        <v>11889</v>
      </c>
      <c r="G548" t="s">
        <v>303</v>
      </c>
      <c r="H548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545</v>
      </c>
      <c r="I548" t="str">
        <f>IF(DraftResults[[#This Row],[Player ID]]=0,"",INDEX(Table5[[#All],[Pos]],MATCH(DraftResults[[#This Row],[Player ID]],Table5[[#All],[PID]],0)))</f>
        <v>LF</v>
      </c>
      <c r="J548" t="str">
        <f>IF(DraftResults[[#This Row],[Player ID]]=0,"",INDEX(Table5[[#All],[First]],MATCH(DraftResults[[#This Row],[Player ID]],Table5[[#All],[PID]],0)))</f>
        <v>Jamie</v>
      </c>
      <c r="K548" t="str">
        <f>IF(DraftResults[[#This Row],[Player ID]]=0,"",INDEX(Table5[[#All],[Last]],MATCH(DraftResults[[#This Row],[Player ID]],Table5[[#All],[PID]],0)))</f>
        <v>MacClacher</v>
      </c>
    </row>
    <row r="549" spans="1:11" x14ac:dyDescent="0.3">
      <c r="A549">
        <v>17</v>
      </c>
      <c r="B549">
        <v>0</v>
      </c>
      <c r="C549">
        <v>11</v>
      </c>
      <c r="D549" t="s">
        <v>241</v>
      </c>
      <c r="E549">
        <v>1</v>
      </c>
      <c r="F549">
        <v>20758</v>
      </c>
      <c r="G549" t="s">
        <v>303</v>
      </c>
      <c r="H549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546</v>
      </c>
      <c r="I549" t="str">
        <f>IF(DraftResults[[#This Row],[Player ID]]=0,"",INDEX(Table5[[#All],[Pos]],MATCH(DraftResults[[#This Row],[Player ID]],Table5[[#All],[PID]],0)))</f>
        <v>RP</v>
      </c>
      <c r="J549" t="str">
        <f>IF(DraftResults[[#This Row],[Player ID]]=0,"",INDEX(Table5[[#All],[First]],MATCH(DraftResults[[#This Row],[Player ID]],Table5[[#All],[PID]],0)))</f>
        <v>Roberto</v>
      </c>
      <c r="K549" t="str">
        <f>IF(DraftResults[[#This Row],[Player ID]]=0,"",INDEX(Table5[[#All],[Last]],MATCH(DraftResults[[#This Row],[Player ID]],Table5[[#All],[PID]],0)))</f>
        <v>Moreno</v>
      </c>
    </row>
    <row r="550" spans="1:11" x14ac:dyDescent="0.3">
      <c r="A550">
        <v>17</v>
      </c>
      <c r="B550">
        <v>0</v>
      </c>
      <c r="C550">
        <v>12</v>
      </c>
      <c r="D550" t="s">
        <v>489</v>
      </c>
      <c r="E550">
        <v>4</v>
      </c>
      <c r="F550">
        <v>5565</v>
      </c>
      <c r="G550" t="s">
        <v>303</v>
      </c>
      <c r="H550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547</v>
      </c>
      <c r="I550" t="str">
        <f>IF(DraftResults[[#This Row],[Player ID]]=0,"",INDEX(Table5[[#All],[Pos]],MATCH(DraftResults[[#This Row],[Player ID]],Table5[[#All],[PID]],0)))</f>
        <v>RP</v>
      </c>
      <c r="J550" t="str">
        <f>IF(DraftResults[[#This Row],[Player ID]]=0,"",INDEX(Table5[[#All],[First]],MATCH(DraftResults[[#This Row],[Player ID]],Table5[[#All],[PID]],0)))</f>
        <v>Millard</v>
      </c>
      <c r="K550" t="str">
        <f>IF(DraftResults[[#This Row],[Player ID]]=0,"",INDEX(Table5[[#All],[Last]],MATCH(DraftResults[[#This Row],[Player ID]],Table5[[#All],[PID]],0)))</f>
        <v>Dye</v>
      </c>
    </row>
    <row r="551" spans="1:11" x14ac:dyDescent="0.3">
      <c r="A551">
        <v>17</v>
      </c>
      <c r="B551">
        <v>0</v>
      </c>
      <c r="C551">
        <v>13</v>
      </c>
      <c r="D551" t="s">
        <v>414</v>
      </c>
      <c r="E551">
        <v>164</v>
      </c>
      <c r="F551">
        <v>20267</v>
      </c>
      <c r="G551" t="s">
        <v>303</v>
      </c>
      <c r="H551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548</v>
      </c>
      <c r="I551" t="str">
        <f>IF(DraftResults[[#This Row],[Player ID]]=0,"",INDEX(Table5[[#All],[Pos]],MATCH(DraftResults[[#This Row],[Player ID]],Table5[[#All],[PID]],0)))</f>
        <v>SP</v>
      </c>
      <c r="J551" t="str">
        <f>IF(DraftResults[[#This Row],[Player ID]]=0,"",INDEX(Table5[[#All],[First]],MATCH(DraftResults[[#This Row],[Player ID]],Table5[[#All],[PID]],0)))</f>
        <v>Qin-shu</v>
      </c>
      <c r="K551" t="str">
        <f>IF(DraftResults[[#This Row],[Player ID]]=0,"",INDEX(Table5[[#All],[Last]],MATCH(DraftResults[[#This Row],[Player ID]],Table5[[#All],[PID]],0)))</f>
        <v>Yan</v>
      </c>
    </row>
    <row r="552" spans="1:11" x14ac:dyDescent="0.3">
      <c r="A552">
        <v>17</v>
      </c>
      <c r="B552">
        <v>0</v>
      </c>
      <c r="C552">
        <v>14</v>
      </c>
      <c r="D552" t="s">
        <v>251</v>
      </c>
      <c r="E552">
        <v>12</v>
      </c>
      <c r="F552">
        <v>20707</v>
      </c>
      <c r="G552" t="s">
        <v>303</v>
      </c>
      <c r="H552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549</v>
      </c>
      <c r="I552" t="str">
        <f>IF(DraftResults[[#This Row],[Player ID]]=0,"",INDEX(Table5[[#All],[Pos]],MATCH(DraftResults[[#This Row],[Player ID]],Table5[[#All],[PID]],0)))</f>
        <v>RP</v>
      </c>
      <c r="J552" t="str">
        <f>IF(DraftResults[[#This Row],[Player ID]]=0,"",INDEX(Table5[[#All],[First]],MATCH(DraftResults[[#This Row],[Player ID]],Table5[[#All],[PID]],0)))</f>
        <v>Mario</v>
      </c>
      <c r="K552" t="str">
        <f>IF(DraftResults[[#This Row],[Player ID]]=0,"",INDEX(Table5[[#All],[Last]],MATCH(DraftResults[[#This Row],[Player ID]],Table5[[#All],[PID]],0)))</f>
        <v>Velásquez</v>
      </c>
    </row>
    <row r="553" spans="1:11" x14ac:dyDescent="0.3">
      <c r="A553">
        <v>17</v>
      </c>
      <c r="B553">
        <v>0</v>
      </c>
      <c r="C553">
        <v>15</v>
      </c>
      <c r="D553" t="s">
        <v>543</v>
      </c>
      <c r="E553">
        <v>160</v>
      </c>
      <c r="F553">
        <v>7376</v>
      </c>
      <c r="G553" t="s">
        <v>303</v>
      </c>
      <c r="H553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550</v>
      </c>
      <c r="I553" t="str">
        <f>IF(DraftResults[[#This Row],[Player ID]]=0,"",INDEX(Table5[[#All],[Pos]],MATCH(DraftResults[[#This Row],[Player ID]],Table5[[#All],[PID]],0)))</f>
        <v>RP</v>
      </c>
      <c r="J553" t="str">
        <f>IF(DraftResults[[#This Row],[Player ID]]=0,"",INDEX(Table5[[#All],[First]],MATCH(DraftResults[[#This Row],[Player ID]],Table5[[#All],[PID]],0)))</f>
        <v>Tyrone</v>
      </c>
      <c r="K553" t="str">
        <f>IF(DraftResults[[#This Row],[Player ID]]=0,"",INDEX(Table5[[#All],[Last]],MATCH(DraftResults[[#This Row],[Player ID]],Table5[[#All],[PID]],0)))</f>
        <v>Barton</v>
      </c>
    </row>
    <row r="554" spans="1:11" x14ac:dyDescent="0.3">
      <c r="A554">
        <v>17</v>
      </c>
      <c r="B554">
        <v>0</v>
      </c>
      <c r="C554">
        <v>16</v>
      </c>
      <c r="D554" t="s">
        <v>544</v>
      </c>
      <c r="E554">
        <v>13</v>
      </c>
      <c r="F554">
        <v>7465</v>
      </c>
      <c r="G554" t="s">
        <v>303</v>
      </c>
      <c r="H554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551</v>
      </c>
      <c r="I554" t="str">
        <f>IF(DraftResults[[#This Row],[Player ID]]=0,"",INDEX(Table5[[#All],[Pos]],MATCH(DraftResults[[#This Row],[Player ID]],Table5[[#All],[PID]],0)))</f>
        <v>SP</v>
      </c>
      <c r="J554" t="str">
        <f>IF(DraftResults[[#This Row],[Player ID]]=0,"",INDEX(Table5[[#All],[First]],MATCH(DraftResults[[#This Row],[Player ID]],Table5[[#All],[PID]],0)))</f>
        <v>Bob</v>
      </c>
      <c r="K554" t="str">
        <f>IF(DraftResults[[#This Row],[Player ID]]=0,"",INDEX(Table5[[#All],[Last]],MATCH(DraftResults[[#This Row],[Player ID]],Table5[[#All],[PID]],0)))</f>
        <v>Peters</v>
      </c>
    </row>
    <row r="555" spans="1:11" x14ac:dyDescent="0.3">
      <c r="A555">
        <v>17</v>
      </c>
      <c r="B555">
        <v>0</v>
      </c>
      <c r="C555">
        <v>17</v>
      </c>
      <c r="D555" t="s">
        <v>243</v>
      </c>
      <c r="E555">
        <v>15</v>
      </c>
      <c r="F555">
        <v>6671</v>
      </c>
      <c r="G555" t="s">
        <v>303</v>
      </c>
      <c r="H555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552</v>
      </c>
      <c r="I555" t="str">
        <f>IF(DraftResults[[#This Row],[Player ID]]=0,"",INDEX(Table5[[#All],[Pos]],MATCH(DraftResults[[#This Row],[Player ID]],Table5[[#All],[PID]],0)))</f>
        <v>RP</v>
      </c>
      <c r="J555" t="str">
        <f>IF(DraftResults[[#This Row],[Player ID]]=0,"",INDEX(Table5[[#All],[First]],MATCH(DraftResults[[#This Row],[Player ID]],Table5[[#All],[PID]],0)))</f>
        <v>Adam</v>
      </c>
      <c r="K555" t="str">
        <f>IF(DraftResults[[#This Row],[Player ID]]=0,"",INDEX(Table5[[#All],[Last]],MATCH(DraftResults[[#This Row],[Player ID]],Table5[[#All],[PID]],0)))</f>
        <v>Dotson</v>
      </c>
    </row>
    <row r="556" spans="1:11" x14ac:dyDescent="0.3">
      <c r="A556">
        <v>17</v>
      </c>
      <c r="B556">
        <v>0</v>
      </c>
      <c r="C556">
        <v>18</v>
      </c>
      <c r="D556" t="s">
        <v>412</v>
      </c>
      <c r="E556">
        <v>162</v>
      </c>
      <c r="F556">
        <v>20861</v>
      </c>
      <c r="G556" t="s">
        <v>303</v>
      </c>
      <c r="H556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553</v>
      </c>
      <c r="I556" t="str">
        <f>IF(DraftResults[[#This Row],[Player ID]]=0,"",INDEX(Table5[[#All],[Pos]],MATCH(DraftResults[[#This Row],[Player ID]],Table5[[#All],[PID]],0)))</f>
        <v>RP</v>
      </c>
      <c r="J556" t="str">
        <f>IF(DraftResults[[#This Row],[Player ID]]=0,"",INDEX(Table5[[#All],[First]],MATCH(DraftResults[[#This Row],[Player ID]],Table5[[#All],[PID]],0)))</f>
        <v>António</v>
      </c>
      <c r="K556" t="str">
        <f>IF(DraftResults[[#This Row],[Player ID]]=0,"",INDEX(Table5[[#All],[Last]],MATCH(DraftResults[[#This Row],[Player ID]],Table5[[#All],[PID]],0)))</f>
        <v>Bruno</v>
      </c>
    </row>
    <row r="557" spans="1:11" x14ac:dyDescent="0.3">
      <c r="A557">
        <v>17</v>
      </c>
      <c r="B557">
        <v>0</v>
      </c>
      <c r="C557">
        <v>19</v>
      </c>
      <c r="D557" t="s">
        <v>247</v>
      </c>
      <c r="E557">
        <v>16</v>
      </c>
      <c r="F557">
        <v>15192</v>
      </c>
      <c r="G557" t="s">
        <v>303</v>
      </c>
      <c r="H557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554</v>
      </c>
      <c r="I557" t="str">
        <f>IF(DraftResults[[#This Row],[Player ID]]=0,"",INDEX(Table5[[#All],[Pos]],MATCH(DraftResults[[#This Row],[Player ID]],Table5[[#All],[PID]],0)))</f>
        <v>SP</v>
      </c>
      <c r="J557" t="str">
        <f>IF(DraftResults[[#This Row],[Player ID]]=0,"",INDEX(Table5[[#All],[First]],MATCH(DraftResults[[#This Row],[Player ID]],Table5[[#All],[PID]],0)))</f>
        <v>Luis</v>
      </c>
      <c r="K557" t="str">
        <f>IF(DraftResults[[#This Row],[Player ID]]=0,"",INDEX(Table5[[#All],[Last]],MATCH(DraftResults[[#This Row],[Player ID]],Table5[[#All],[PID]],0)))</f>
        <v>Morán</v>
      </c>
    </row>
    <row r="558" spans="1:11" x14ac:dyDescent="0.3">
      <c r="A558">
        <v>17</v>
      </c>
      <c r="B558">
        <v>0</v>
      </c>
      <c r="C558">
        <v>20</v>
      </c>
      <c r="D558" t="s">
        <v>242</v>
      </c>
      <c r="E558">
        <v>14</v>
      </c>
      <c r="F558">
        <v>20375</v>
      </c>
      <c r="G558" t="s">
        <v>303</v>
      </c>
      <c r="H558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555</v>
      </c>
      <c r="I558" t="str">
        <f>IF(DraftResults[[#This Row],[Player ID]]=0,"",INDEX(Table5[[#All],[Pos]],MATCH(DraftResults[[#This Row],[Player ID]],Table5[[#All],[PID]],0)))</f>
        <v>SP</v>
      </c>
      <c r="J558" t="str">
        <f>IF(DraftResults[[#This Row],[Player ID]]=0,"",INDEX(Table5[[#All],[First]],MATCH(DraftResults[[#This Row],[Player ID]],Table5[[#All],[PID]],0)))</f>
        <v>Tim</v>
      </c>
      <c r="K558" t="str">
        <f>IF(DraftResults[[#This Row],[Player ID]]=0,"",INDEX(Table5[[#All],[Last]],MATCH(DraftResults[[#This Row],[Player ID]],Table5[[#All],[PID]],0)))</f>
        <v>McVitty</v>
      </c>
    </row>
    <row r="559" spans="1:11" x14ac:dyDescent="0.3">
      <c r="A559">
        <v>17</v>
      </c>
      <c r="B559">
        <v>0</v>
      </c>
      <c r="C559">
        <v>21</v>
      </c>
      <c r="D559" t="s">
        <v>416</v>
      </c>
      <c r="E559">
        <v>159</v>
      </c>
      <c r="F559">
        <v>12795</v>
      </c>
      <c r="G559" t="s">
        <v>303</v>
      </c>
      <c r="H559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556</v>
      </c>
      <c r="I559" t="str">
        <f>IF(DraftResults[[#This Row],[Player ID]]=0,"",INDEX(Table5[[#All],[Pos]],MATCH(DraftResults[[#This Row],[Player ID]],Table5[[#All],[PID]],0)))</f>
        <v>RP</v>
      </c>
      <c r="J559" t="str">
        <f>IF(DraftResults[[#This Row],[Player ID]]=0,"",INDEX(Table5[[#All],[First]],MATCH(DraftResults[[#This Row],[Player ID]],Table5[[#All],[PID]],0)))</f>
        <v>Motonobu</v>
      </c>
      <c r="K559" t="str">
        <f>IF(DraftResults[[#This Row],[Player ID]]=0,"",INDEX(Table5[[#All],[Last]],MATCH(DraftResults[[#This Row],[Player ID]],Table5[[#All],[PID]],0)))</f>
        <v>Yamada</v>
      </c>
    </row>
    <row r="560" spans="1:11" x14ac:dyDescent="0.3">
      <c r="A560">
        <v>17</v>
      </c>
      <c r="B560">
        <v>0</v>
      </c>
      <c r="C560">
        <v>22</v>
      </c>
      <c r="D560" t="s">
        <v>244</v>
      </c>
      <c r="E560">
        <v>20</v>
      </c>
      <c r="F560">
        <v>5138</v>
      </c>
      <c r="G560" t="s">
        <v>303</v>
      </c>
      <c r="H560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557</v>
      </c>
      <c r="I560" t="str">
        <f>IF(DraftResults[[#This Row],[Player ID]]=0,"",INDEX(Table5[[#All],[Pos]],MATCH(DraftResults[[#This Row],[Player ID]],Table5[[#All],[PID]],0)))</f>
        <v>RP</v>
      </c>
      <c r="J560" t="str">
        <f>IF(DraftResults[[#This Row],[Player ID]]=0,"",INDEX(Table5[[#All],[First]],MATCH(DraftResults[[#This Row],[Player ID]],Table5[[#All],[PID]],0)))</f>
        <v>Ricardo</v>
      </c>
      <c r="K560" t="str">
        <f>IF(DraftResults[[#This Row],[Player ID]]=0,"",INDEX(Table5[[#All],[Last]],MATCH(DraftResults[[#This Row],[Player ID]],Table5[[#All],[PID]],0)))</f>
        <v>Ramírez</v>
      </c>
    </row>
    <row r="561" spans="1:11" x14ac:dyDescent="0.3">
      <c r="A561">
        <v>17</v>
      </c>
      <c r="B561">
        <v>0</v>
      </c>
      <c r="C561">
        <v>23</v>
      </c>
      <c r="D561" t="s">
        <v>239</v>
      </c>
      <c r="E561">
        <v>10</v>
      </c>
      <c r="F561">
        <v>12467</v>
      </c>
      <c r="G561" t="s">
        <v>303</v>
      </c>
      <c r="H561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558</v>
      </c>
      <c r="I561" t="str">
        <f>IF(DraftResults[[#This Row],[Player ID]]=0,"",INDEX(Table5[[#All],[Pos]],MATCH(DraftResults[[#This Row],[Player ID]],Table5[[#All],[PID]],0)))</f>
        <v>SP</v>
      </c>
      <c r="J561" t="str">
        <f>IF(DraftResults[[#This Row],[Player ID]]=0,"",INDEX(Table5[[#All],[First]],MATCH(DraftResults[[#This Row],[Player ID]],Table5[[#All],[PID]],0)))</f>
        <v>Dave</v>
      </c>
      <c r="K561" t="str">
        <f>IF(DraftResults[[#This Row],[Player ID]]=0,"",INDEX(Table5[[#All],[Last]],MATCH(DraftResults[[#This Row],[Player ID]],Table5[[#All],[PID]],0)))</f>
        <v>Woolridge</v>
      </c>
    </row>
    <row r="562" spans="1:11" x14ac:dyDescent="0.3">
      <c r="A562">
        <v>17</v>
      </c>
      <c r="B562">
        <v>0</v>
      </c>
      <c r="C562">
        <v>24</v>
      </c>
      <c r="D562" t="s">
        <v>233</v>
      </c>
      <c r="E562">
        <v>22</v>
      </c>
      <c r="F562">
        <v>20936</v>
      </c>
      <c r="G562" t="s">
        <v>303</v>
      </c>
      <c r="H562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559</v>
      </c>
      <c r="I562" t="str">
        <f>IF(DraftResults[[#This Row],[Player ID]]=0,"",INDEX(Table5[[#All],[Pos]],MATCH(DraftResults[[#This Row],[Player ID]],Table5[[#All],[PID]],0)))</f>
        <v>RP</v>
      </c>
      <c r="J562" t="str">
        <f>IF(DraftResults[[#This Row],[Player ID]]=0,"",INDEX(Table5[[#All],[First]],MATCH(DraftResults[[#This Row],[Player ID]],Table5[[#All],[PID]],0)))</f>
        <v>Keith</v>
      </c>
      <c r="K562" t="str">
        <f>IF(DraftResults[[#This Row],[Player ID]]=0,"",INDEX(Table5[[#All],[Last]],MATCH(DraftResults[[#This Row],[Player ID]],Table5[[#All],[PID]],0)))</f>
        <v>Brown</v>
      </c>
    </row>
    <row r="563" spans="1:11" x14ac:dyDescent="0.3">
      <c r="A563">
        <v>17</v>
      </c>
      <c r="B563">
        <v>0</v>
      </c>
      <c r="C563">
        <v>25</v>
      </c>
      <c r="D563" t="s">
        <v>236</v>
      </c>
      <c r="E563">
        <v>17</v>
      </c>
      <c r="F563">
        <v>15866</v>
      </c>
      <c r="G563" t="s">
        <v>303</v>
      </c>
      <c r="H563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560</v>
      </c>
      <c r="I563" t="str">
        <f>IF(DraftResults[[#This Row],[Player ID]]=0,"",INDEX(Table5[[#All],[Pos]],MATCH(DraftResults[[#This Row],[Player ID]],Table5[[#All],[PID]],0)))</f>
        <v>SP</v>
      </c>
      <c r="J563" t="str">
        <f>IF(DraftResults[[#This Row],[Player ID]]=0,"",INDEX(Table5[[#All],[First]],MATCH(DraftResults[[#This Row],[Player ID]],Table5[[#All],[PID]],0)))</f>
        <v>Jorge</v>
      </c>
      <c r="K563" t="str">
        <f>IF(DraftResults[[#This Row],[Player ID]]=0,"",INDEX(Table5[[#All],[Last]],MATCH(DraftResults[[#This Row],[Player ID]],Table5[[#All],[PID]],0)))</f>
        <v>Mojica</v>
      </c>
    </row>
    <row r="564" spans="1:11" x14ac:dyDescent="0.3">
      <c r="A564">
        <v>17</v>
      </c>
      <c r="B564">
        <v>0</v>
      </c>
      <c r="C564">
        <v>26</v>
      </c>
      <c r="D564" t="s">
        <v>232</v>
      </c>
      <c r="E564">
        <v>19</v>
      </c>
      <c r="F564">
        <v>20456</v>
      </c>
      <c r="G564" t="s">
        <v>303</v>
      </c>
      <c r="H564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561</v>
      </c>
      <c r="I564" t="str">
        <f>IF(DraftResults[[#This Row],[Player ID]]=0,"",INDEX(Table5[[#All],[Pos]],MATCH(DraftResults[[#This Row],[Player ID]],Table5[[#All],[PID]],0)))</f>
        <v>RP</v>
      </c>
      <c r="J564" t="str">
        <f>IF(DraftResults[[#This Row],[Player ID]]=0,"",INDEX(Table5[[#All],[First]],MATCH(DraftResults[[#This Row],[Player ID]],Table5[[#All],[PID]],0)))</f>
        <v>Bowo</v>
      </c>
      <c r="K564" t="str">
        <f>IF(DraftResults[[#This Row],[Player ID]]=0,"",INDEX(Table5[[#All],[Last]],MATCH(DraftResults[[#This Row],[Player ID]],Table5[[#All],[PID]],0)))</f>
        <v>Kartini</v>
      </c>
    </row>
    <row r="565" spans="1:11" x14ac:dyDescent="0.3">
      <c r="A565">
        <v>17</v>
      </c>
      <c r="B565">
        <v>0</v>
      </c>
      <c r="C565">
        <v>27</v>
      </c>
      <c r="D565" t="s">
        <v>417</v>
      </c>
      <c r="E565">
        <v>163</v>
      </c>
      <c r="F565">
        <v>13580</v>
      </c>
      <c r="G565" t="s">
        <v>303</v>
      </c>
      <c r="H565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562</v>
      </c>
      <c r="I565" t="str">
        <f>IF(DraftResults[[#This Row],[Player ID]]=0,"",INDEX(Table5[[#All],[Pos]],MATCH(DraftResults[[#This Row],[Player ID]],Table5[[#All],[PID]],0)))</f>
        <v>SP</v>
      </c>
      <c r="J565" t="str">
        <f>IF(DraftResults[[#This Row],[Player ID]]=0,"",INDEX(Table5[[#All],[First]],MATCH(DraftResults[[#This Row],[Player ID]],Table5[[#All],[PID]],0)))</f>
        <v>Takejiro</v>
      </c>
      <c r="K565" t="str">
        <f>IF(DraftResults[[#This Row],[Player ID]]=0,"",INDEX(Table5[[#All],[Last]],MATCH(DraftResults[[#This Row],[Player ID]],Table5[[#All],[PID]],0)))</f>
        <v>Chikafuji</v>
      </c>
    </row>
    <row r="566" spans="1:11" x14ac:dyDescent="0.3">
      <c r="A566">
        <v>17</v>
      </c>
      <c r="B566">
        <v>0</v>
      </c>
      <c r="C566">
        <v>28</v>
      </c>
      <c r="D566" t="s">
        <v>413</v>
      </c>
      <c r="E566">
        <v>2</v>
      </c>
      <c r="F566">
        <v>12400</v>
      </c>
      <c r="G566" t="s">
        <v>303</v>
      </c>
      <c r="H566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563</v>
      </c>
      <c r="I566" t="str">
        <f>IF(DraftResults[[#This Row],[Player ID]]=0,"",INDEX(Table5[[#All],[Pos]],MATCH(DraftResults[[#This Row],[Player ID]],Table5[[#All],[PID]],0)))</f>
        <v>SP</v>
      </c>
      <c r="J566" t="str">
        <f>IF(DraftResults[[#This Row],[Player ID]]=0,"",INDEX(Table5[[#All],[First]],MATCH(DraftResults[[#This Row],[Player ID]],Table5[[#All],[PID]],0)))</f>
        <v>Willie</v>
      </c>
      <c r="K566" t="str">
        <f>IF(DraftResults[[#This Row],[Player ID]]=0,"",INDEX(Table5[[#All],[Last]],MATCH(DraftResults[[#This Row],[Player ID]],Table5[[#All],[PID]],0)))</f>
        <v>Delgado</v>
      </c>
    </row>
    <row r="567" spans="1:11" x14ac:dyDescent="0.3">
      <c r="A567">
        <v>17</v>
      </c>
      <c r="B567">
        <v>0</v>
      </c>
      <c r="C567">
        <v>29</v>
      </c>
      <c r="D567" t="s">
        <v>418</v>
      </c>
      <c r="E567">
        <v>161</v>
      </c>
      <c r="F567">
        <v>10977</v>
      </c>
      <c r="G567" t="s">
        <v>303</v>
      </c>
      <c r="H567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564</v>
      </c>
      <c r="I567" t="str">
        <f>IF(DraftResults[[#This Row],[Player ID]]=0,"",INDEX(Table5[[#All],[Pos]],MATCH(DraftResults[[#This Row],[Player ID]],Table5[[#All],[PID]],0)))</f>
        <v>RP</v>
      </c>
      <c r="J567" t="str">
        <f>IF(DraftResults[[#This Row],[Player ID]]=0,"",INDEX(Table5[[#All],[First]],MATCH(DraftResults[[#This Row],[Player ID]],Table5[[#All],[PID]],0)))</f>
        <v>Narihari</v>
      </c>
      <c r="K567" t="str">
        <f>IF(DraftResults[[#This Row],[Player ID]]=0,"",INDEX(Table5[[#All],[Last]],MATCH(DraftResults[[#This Row],[Player ID]],Table5[[#All],[PID]],0)))</f>
        <v>Ine</v>
      </c>
    </row>
    <row r="568" spans="1:11" x14ac:dyDescent="0.3">
      <c r="A568">
        <v>17</v>
      </c>
      <c r="B568">
        <v>0</v>
      </c>
      <c r="C568">
        <v>30</v>
      </c>
      <c r="D568" t="s">
        <v>415</v>
      </c>
      <c r="E568">
        <v>166</v>
      </c>
      <c r="F568">
        <v>12180</v>
      </c>
      <c r="G568" t="s">
        <v>303</v>
      </c>
      <c r="H568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565</v>
      </c>
      <c r="I568" t="str">
        <f>IF(DraftResults[[#This Row],[Player ID]]=0,"",INDEX(Table5[[#All],[Pos]],MATCH(DraftResults[[#This Row],[Player ID]],Table5[[#All],[PID]],0)))</f>
        <v>1B</v>
      </c>
      <c r="J568" t="str">
        <f>IF(DraftResults[[#This Row],[Player ID]]=0,"",INDEX(Table5[[#All],[First]],MATCH(DraftResults[[#This Row],[Player ID]],Table5[[#All],[PID]],0)))</f>
        <v>Derek</v>
      </c>
      <c r="K568" t="str">
        <f>IF(DraftResults[[#This Row],[Player ID]]=0,"",INDEX(Table5[[#All],[Last]],MATCH(DraftResults[[#This Row],[Player ID]],Table5[[#All],[PID]],0)))</f>
        <v>Gutiérrez</v>
      </c>
    </row>
    <row r="569" spans="1:11" x14ac:dyDescent="0.3">
      <c r="A569">
        <v>17</v>
      </c>
      <c r="B569">
        <v>0</v>
      </c>
      <c r="C569">
        <v>31</v>
      </c>
      <c r="D569" t="s">
        <v>489</v>
      </c>
      <c r="E569">
        <v>4</v>
      </c>
      <c r="F569">
        <v>15619</v>
      </c>
      <c r="G569" t="s">
        <v>303</v>
      </c>
      <c r="H569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566</v>
      </c>
      <c r="I569" t="str">
        <f>IF(DraftResults[[#This Row],[Player ID]]=0,"",INDEX(Table5[[#All],[Pos]],MATCH(DraftResults[[#This Row],[Player ID]],Table5[[#All],[PID]],0)))</f>
        <v>RF</v>
      </c>
      <c r="J569" t="str">
        <f>IF(DraftResults[[#This Row],[Player ID]]=0,"",INDEX(Table5[[#All],[First]],MATCH(DraftResults[[#This Row],[Player ID]],Table5[[#All],[PID]],0)))</f>
        <v>Alberto</v>
      </c>
      <c r="K569" t="str">
        <f>IF(DraftResults[[#This Row],[Player ID]]=0,"",INDEX(Table5[[#All],[Last]],MATCH(DraftResults[[#This Row],[Player ID]],Table5[[#All],[PID]],0)))</f>
        <v>Hernández</v>
      </c>
    </row>
    <row r="570" spans="1:11" x14ac:dyDescent="0.3">
      <c r="A570">
        <v>17</v>
      </c>
      <c r="B570">
        <v>0</v>
      </c>
      <c r="C570">
        <v>32</v>
      </c>
      <c r="D570" t="s">
        <v>546</v>
      </c>
      <c r="E570">
        <v>9</v>
      </c>
      <c r="F570">
        <v>10884</v>
      </c>
      <c r="G570" t="s">
        <v>303</v>
      </c>
      <c r="H570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567</v>
      </c>
      <c r="I570" t="str">
        <f>IF(DraftResults[[#This Row],[Player ID]]=0,"",INDEX(Table5[[#All],[Pos]],MATCH(DraftResults[[#This Row],[Player ID]],Table5[[#All],[PID]],0)))</f>
        <v>RP</v>
      </c>
      <c r="J570" t="str">
        <f>IF(DraftResults[[#This Row],[Player ID]]=0,"",INDEX(Table5[[#All],[First]],MATCH(DraftResults[[#This Row],[Player ID]],Table5[[#All],[PID]],0)))</f>
        <v>Joseph</v>
      </c>
      <c r="K570" t="str">
        <f>IF(DraftResults[[#This Row],[Player ID]]=0,"",INDEX(Table5[[#All],[Last]],MATCH(DraftResults[[#This Row],[Player ID]],Table5[[#All],[PID]],0)))</f>
        <v>MacFeat</v>
      </c>
    </row>
    <row r="571" spans="1:11" x14ac:dyDescent="0.3">
      <c r="A571">
        <v>17</v>
      </c>
      <c r="B571">
        <v>0</v>
      </c>
      <c r="C571">
        <v>33</v>
      </c>
      <c r="D571" t="s">
        <v>1614</v>
      </c>
      <c r="E571">
        <v>6</v>
      </c>
      <c r="F571">
        <v>20908</v>
      </c>
      <c r="G571" t="s">
        <v>303</v>
      </c>
      <c r="H571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568</v>
      </c>
      <c r="I571" t="str">
        <f>IF(DraftResults[[#This Row],[Player ID]]=0,"",INDEX(Table5[[#All],[Pos]],MATCH(DraftResults[[#This Row],[Player ID]],Table5[[#All],[PID]],0)))</f>
        <v>RP</v>
      </c>
      <c r="J571" t="str">
        <f>IF(DraftResults[[#This Row],[Player ID]]=0,"",INDEX(Table5[[#All],[First]],MATCH(DraftResults[[#This Row],[Player ID]],Table5[[#All],[PID]],0)))</f>
        <v>Paco</v>
      </c>
      <c r="K571" t="str">
        <f>IF(DraftResults[[#This Row],[Player ID]]=0,"",INDEX(Table5[[#All],[Last]],MATCH(DraftResults[[#This Row],[Player ID]],Table5[[#All],[PID]],0)))</f>
        <v>Rodríguez</v>
      </c>
    </row>
    <row r="572" spans="1:11" x14ac:dyDescent="0.3">
      <c r="A572">
        <v>17</v>
      </c>
      <c r="B572">
        <v>0</v>
      </c>
      <c r="C572">
        <v>34</v>
      </c>
      <c r="D572" t="s">
        <v>1615</v>
      </c>
      <c r="E572">
        <v>5</v>
      </c>
      <c r="F572">
        <v>20658</v>
      </c>
      <c r="G572" t="s">
        <v>303</v>
      </c>
      <c r="H572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569</v>
      </c>
      <c r="I572" t="str">
        <f>IF(DraftResults[[#This Row],[Player ID]]=0,"",INDEX(Table5[[#All],[Pos]],MATCH(DraftResults[[#This Row],[Player ID]],Table5[[#All],[PID]],0)))</f>
        <v>RP</v>
      </c>
      <c r="J572" t="str">
        <f>IF(DraftResults[[#This Row],[Player ID]]=0,"",INDEX(Table5[[#All],[First]],MATCH(DraftResults[[#This Row],[Player ID]],Table5[[#All],[PID]],0)))</f>
        <v>Yong-oon</v>
      </c>
      <c r="K572" t="str">
        <f>IF(DraftResults[[#This Row],[Player ID]]=0,"",INDEX(Table5[[#All],[Last]],MATCH(DraftResults[[#This Row],[Player ID]],Table5[[#All],[PID]],0)))</f>
        <v>Na</v>
      </c>
    </row>
    <row r="573" spans="1:11" x14ac:dyDescent="0.3">
      <c r="A573">
        <v>18</v>
      </c>
      <c r="B573">
        <v>0</v>
      </c>
      <c r="C573">
        <v>1</v>
      </c>
      <c r="D573" t="s">
        <v>542</v>
      </c>
      <c r="E573">
        <v>24</v>
      </c>
      <c r="F573">
        <v>13136</v>
      </c>
      <c r="G573" t="s">
        <v>303</v>
      </c>
      <c r="H573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570</v>
      </c>
      <c r="I573" t="str">
        <f>IF(DraftResults[[#This Row],[Player ID]]=0,"",INDEX(Table5[[#All],[Pos]],MATCH(DraftResults[[#This Row],[Player ID]],Table5[[#All],[PID]],0)))</f>
        <v>RP</v>
      </c>
      <c r="J573" t="str">
        <f>IF(DraftResults[[#This Row],[Player ID]]=0,"",INDEX(Table5[[#All],[First]],MATCH(DraftResults[[#This Row],[Player ID]],Table5[[#All],[PID]],0)))</f>
        <v>Román</v>
      </c>
      <c r="K573" t="str">
        <f>IF(DraftResults[[#This Row],[Player ID]]=0,"",INDEX(Table5[[#All],[Last]],MATCH(DraftResults[[#This Row],[Player ID]],Table5[[#All],[PID]],0)))</f>
        <v>Franco</v>
      </c>
    </row>
    <row r="574" spans="1:11" x14ac:dyDescent="0.3">
      <c r="A574">
        <v>18</v>
      </c>
      <c r="B574">
        <v>0</v>
      </c>
      <c r="C574">
        <v>2</v>
      </c>
      <c r="D574" t="s">
        <v>488</v>
      </c>
      <c r="E574">
        <v>7</v>
      </c>
      <c r="F574">
        <v>20622</v>
      </c>
      <c r="G574" t="s">
        <v>303</v>
      </c>
      <c r="H574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571</v>
      </c>
      <c r="I574" t="str">
        <f>IF(DraftResults[[#This Row],[Player ID]]=0,"",INDEX(Table5[[#All],[Pos]],MATCH(DraftResults[[#This Row],[Player ID]],Table5[[#All],[PID]],0)))</f>
        <v>3B</v>
      </c>
      <c r="J574" t="str">
        <f>IF(DraftResults[[#This Row],[Player ID]]=0,"",INDEX(Table5[[#All],[First]],MATCH(DraftResults[[#This Row],[Player ID]],Table5[[#All],[PID]],0)))</f>
        <v>Decheng</v>
      </c>
      <c r="K574" t="str">
        <f>IF(DraftResults[[#This Row],[Player ID]]=0,"",INDEX(Table5[[#All],[Last]],MATCH(DraftResults[[#This Row],[Player ID]],Table5[[#All],[PID]],0)))</f>
        <v>Cuan</v>
      </c>
    </row>
    <row r="575" spans="1:11" x14ac:dyDescent="0.3">
      <c r="A575">
        <v>18</v>
      </c>
      <c r="B575">
        <v>0</v>
      </c>
      <c r="C575">
        <v>3</v>
      </c>
      <c r="D575" t="s">
        <v>420</v>
      </c>
      <c r="E575">
        <v>167</v>
      </c>
      <c r="F575">
        <v>6147</v>
      </c>
      <c r="G575" t="s">
        <v>303</v>
      </c>
      <c r="H575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572</v>
      </c>
      <c r="I575" t="str">
        <f>IF(DraftResults[[#This Row],[Player ID]]=0,"",INDEX(Table5[[#All],[Pos]],MATCH(DraftResults[[#This Row],[Player ID]],Table5[[#All],[PID]],0)))</f>
        <v>SP</v>
      </c>
      <c r="J575" t="str">
        <f>IF(DraftResults[[#This Row],[Player ID]]=0,"",INDEX(Table5[[#All],[First]],MATCH(DraftResults[[#This Row],[Player ID]],Table5[[#All],[PID]],0)))</f>
        <v>Kyle</v>
      </c>
      <c r="K575" t="str">
        <f>IF(DraftResults[[#This Row],[Player ID]]=0,"",INDEX(Table5[[#All],[Last]],MATCH(DraftResults[[#This Row],[Player ID]],Table5[[#All],[PID]],0)))</f>
        <v>Dunnage</v>
      </c>
    </row>
    <row r="576" spans="1:11" x14ac:dyDescent="0.3">
      <c r="A576">
        <v>18</v>
      </c>
      <c r="B576">
        <v>0</v>
      </c>
      <c r="C576">
        <v>4</v>
      </c>
      <c r="D576" t="s">
        <v>235</v>
      </c>
      <c r="E576">
        <v>21</v>
      </c>
      <c r="F576">
        <v>6785</v>
      </c>
      <c r="G576" t="s">
        <v>303</v>
      </c>
      <c r="H576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573</v>
      </c>
      <c r="I576" t="str">
        <f>IF(DraftResults[[#This Row],[Player ID]]=0,"",INDEX(Table5[[#All],[Pos]],MATCH(DraftResults[[#This Row],[Player ID]],Table5[[#All],[PID]],0)))</f>
        <v>RP</v>
      </c>
      <c r="J576" t="str">
        <f>IF(DraftResults[[#This Row],[Player ID]]=0,"",INDEX(Table5[[#All],[First]],MATCH(DraftResults[[#This Row],[Player ID]],Table5[[#All],[PID]],0)))</f>
        <v>Stu</v>
      </c>
      <c r="K576" t="str">
        <f>IF(DraftResults[[#This Row],[Player ID]]=0,"",INDEX(Table5[[#All],[Last]],MATCH(DraftResults[[#This Row],[Player ID]],Table5[[#All],[PID]],0)))</f>
        <v>Thompson</v>
      </c>
    </row>
    <row r="577" spans="1:11" x14ac:dyDescent="0.3">
      <c r="A577">
        <v>18</v>
      </c>
      <c r="B577">
        <v>0</v>
      </c>
      <c r="C577">
        <v>5</v>
      </c>
      <c r="D577" t="s">
        <v>545</v>
      </c>
      <c r="E577">
        <v>23</v>
      </c>
      <c r="F577">
        <v>20854</v>
      </c>
      <c r="G577" t="s">
        <v>303</v>
      </c>
      <c r="H577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574</v>
      </c>
      <c r="I577" t="str">
        <f>IF(DraftResults[[#This Row],[Player ID]]=0,"",INDEX(Table5[[#All],[Pos]],MATCH(DraftResults[[#This Row],[Player ID]],Table5[[#All],[PID]],0)))</f>
        <v>RP</v>
      </c>
      <c r="J577" t="str">
        <f>IF(DraftResults[[#This Row],[Player ID]]=0,"",INDEX(Table5[[#All],[First]],MATCH(DraftResults[[#This Row],[Player ID]],Table5[[#All],[PID]],0)))</f>
        <v>Emílio</v>
      </c>
      <c r="K577" t="str">
        <f>IF(DraftResults[[#This Row],[Player ID]]=0,"",INDEX(Table5[[#All],[Last]],MATCH(DraftResults[[#This Row],[Player ID]],Table5[[#All],[PID]],0)))</f>
        <v>Galván</v>
      </c>
    </row>
    <row r="578" spans="1:11" x14ac:dyDescent="0.3">
      <c r="A578">
        <v>18</v>
      </c>
      <c r="B578">
        <v>0</v>
      </c>
      <c r="C578">
        <v>6</v>
      </c>
      <c r="D578" t="s">
        <v>246</v>
      </c>
      <c r="E578">
        <v>8</v>
      </c>
      <c r="F578">
        <v>7219</v>
      </c>
      <c r="G578" t="s">
        <v>303</v>
      </c>
      <c r="H578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575</v>
      </c>
      <c r="I578" t="str">
        <f>IF(DraftResults[[#This Row],[Player ID]]=0,"",INDEX(Table5[[#All],[Pos]],MATCH(DraftResults[[#This Row],[Player ID]],Table5[[#All],[PID]],0)))</f>
        <v>LF</v>
      </c>
      <c r="J578" t="str">
        <f>IF(DraftResults[[#This Row],[Player ID]]=0,"",INDEX(Table5[[#All],[First]],MATCH(DraftResults[[#This Row],[Player ID]],Table5[[#All],[PID]],0)))</f>
        <v>Ken</v>
      </c>
      <c r="K578" t="str">
        <f>IF(DraftResults[[#This Row],[Player ID]]=0,"",INDEX(Table5[[#All],[Last]],MATCH(DraftResults[[#This Row],[Player ID]],Table5[[#All],[PID]],0)))</f>
        <v>Bray</v>
      </c>
    </row>
    <row r="579" spans="1:11" x14ac:dyDescent="0.3">
      <c r="A579">
        <v>18</v>
      </c>
      <c r="B579">
        <v>0</v>
      </c>
      <c r="C579">
        <v>7</v>
      </c>
      <c r="D579" t="s">
        <v>419</v>
      </c>
      <c r="E579">
        <v>18</v>
      </c>
      <c r="F579">
        <v>8797</v>
      </c>
      <c r="G579" t="s">
        <v>303</v>
      </c>
      <c r="H579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576</v>
      </c>
      <c r="I579" t="str">
        <f>IF(DraftResults[[#This Row],[Player ID]]=0,"",INDEX(Table5[[#All],[Pos]],MATCH(DraftResults[[#This Row],[Player ID]],Table5[[#All],[PID]],0)))</f>
        <v>RP</v>
      </c>
      <c r="J579" t="str">
        <f>IF(DraftResults[[#This Row],[Player ID]]=0,"",INDEX(Table5[[#All],[First]],MATCH(DraftResults[[#This Row],[Player ID]],Table5[[#All],[PID]],0)))</f>
        <v>Masaharu</v>
      </c>
      <c r="K579" t="str">
        <f>IF(DraftResults[[#This Row],[Player ID]]=0,"",INDEX(Table5[[#All],[Last]],MATCH(DraftResults[[#This Row],[Player ID]],Table5[[#All],[PID]],0)))</f>
        <v>Uenohara</v>
      </c>
    </row>
    <row r="580" spans="1:11" x14ac:dyDescent="0.3">
      <c r="A580">
        <v>18</v>
      </c>
      <c r="B580">
        <v>0</v>
      </c>
      <c r="C580">
        <v>8</v>
      </c>
      <c r="D580" t="s">
        <v>1614</v>
      </c>
      <c r="E580">
        <v>6</v>
      </c>
      <c r="F580">
        <v>10662</v>
      </c>
      <c r="G580" t="s">
        <v>303</v>
      </c>
      <c r="H580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577</v>
      </c>
      <c r="I580" t="str">
        <f>IF(DraftResults[[#This Row],[Player ID]]=0,"",INDEX(Table5[[#All],[Pos]],MATCH(DraftResults[[#This Row],[Player ID]],Table5[[#All],[PID]],0)))</f>
        <v>RP</v>
      </c>
      <c r="J580" t="str">
        <f>IF(DraftResults[[#This Row],[Player ID]]=0,"",INDEX(Table5[[#All],[First]],MATCH(DraftResults[[#This Row],[Player ID]],Table5[[#All],[PID]],0)))</f>
        <v>Edgardo</v>
      </c>
      <c r="K580" t="str">
        <f>IF(DraftResults[[#This Row],[Player ID]]=0,"",INDEX(Table5[[#All],[Last]],MATCH(DraftResults[[#This Row],[Player ID]],Table5[[#All],[PID]],0)))</f>
        <v>Gabriel</v>
      </c>
    </row>
    <row r="581" spans="1:11" x14ac:dyDescent="0.3">
      <c r="A581">
        <v>18</v>
      </c>
      <c r="B581">
        <v>0</v>
      </c>
      <c r="C581">
        <v>9</v>
      </c>
      <c r="D581" t="s">
        <v>1615</v>
      </c>
      <c r="E581">
        <v>5</v>
      </c>
      <c r="F581">
        <v>12644</v>
      </c>
      <c r="G581" t="s">
        <v>303</v>
      </c>
      <c r="H581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578</v>
      </c>
      <c r="I581" t="str">
        <f>IF(DraftResults[[#This Row],[Player ID]]=0,"",INDEX(Table5[[#All],[Pos]],MATCH(DraftResults[[#This Row],[Player ID]],Table5[[#All],[PID]],0)))</f>
        <v>RP</v>
      </c>
      <c r="J581" t="str">
        <f>IF(DraftResults[[#This Row],[Player ID]]=0,"",INDEX(Table5[[#All],[First]],MATCH(DraftResults[[#This Row],[Player ID]],Table5[[#All],[PID]],0)))</f>
        <v>Lenny</v>
      </c>
      <c r="K581" t="str">
        <f>IF(DraftResults[[#This Row],[Player ID]]=0,"",INDEX(Table5[[#All],[Last]],MATCH(DraftResults[[#This Row],[Player ID]],Table5[[#All],[PID]],0)))</f>
        <v>Harris</v>
      </c>
    </row>
    <row r="582" spans="1:11" x14ac:dyDescent="0.3">
      <c r="A582">
        <v>18</v>
      </c>
      <c r="B582">
        <v>0</v>
      </c>
      <c r="C582">
        <v>10</v>
      </c>
      <c r="D582" t="s">
        <v>240</v>
      </c>
      <c r="E582">
        <v>3</v>
      </c>
      <c r="F582">
        <v>5246</v>
      </c>
      <c r="G582" t="s">
        <v>303</v>
      </c>
      <c r="H582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579</v>
      </c>
      <c r="I582" t="str">
        <f>IF(DraftResults[[#This Row],[Player ID]]=0,"",INDEX(Table5[[#All],[Pos]],MATCH(DraftResults[[#This Row],[Player ID]],Table5[[#All],[PID]],0)))</f>
        <v>3B</v>
      </c>
      <c r="J582" t="str">
        <f>IF(DraftResults[[#This Row],[Player ID]]=0,"",INDEX(Table5[[#All],[First]],MATCH(DraftResults[[#This Row],[Player ID]],Table5[[#All],[PID]],0)))</f>
        <v>Rob</v>
      </c>
      <c r="K582" t="str">
        <f>IF(DraftResults[[#This Row],[Player ID]]=0,"",INDEX(Table5[[#All],[Last]],MATCH(DraftResults[[#This Row],[Player ID]],Table5[[#All],[PID]],0)))</f>
        <v>Johnston</v>
      </c>
    </row>
    <row r="583" spans="1:11" x14ac:dyDescent="0.3">
      <c r="A583">
        <v>18</v>
      </c>
      <c r="B583">
        <v>0</v>
      </c>
      <c r="C583">
        <v>11</v>
      </c>
      <c r="D583" t="s">
        <v>241</v>
      </c>
      <c r="E583">
        <v>1</v>
      </c>
      <c r="F583">
        <v>15696</v>
      </c>
      <c r="G583" t="s">
        <v>303</v>
      </c>
      <c r="H583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580</v>
      </c>
      <c r="I583" t="str">
        <f>IF(DraftResults[[#This Row],[Player ID]]=0,"",INDEX(Table5[[#All],[Pos]],MATCH(DraftResults[[#This Row],[Player ID]],Table5[[#All],[PID]],0)))</f>
        <v>RP</v>
      </c>
      <c r="J583" t="str">
        <f>IF(DraftResults[[#This Row],[Player ID]]=0,"",INDEX(Table5[[#All],[First]],MATCH(DraftResults[[#This Row],[Player ID]],Table5[[#All],[PID]],0)))</f>
        <v>Shigenobu</v>
      </c>
      <c r="K583" t="str">
        <f>IF(DraftResults[[#This Row],[Player ID]]=0,"",INDEX(Table5[[#All],[Last]],MATCH(DraftResults[[#This Row],[Player ID]],Table5[[#All],[PID]],0)))</f>
        <v>Takahashi</v>
      </c>
    </row>
    <row r="584" spans="1:11" x14ac:dyDescent="0.3">
      <c r="A584">
        <v>18</v>
      </c>
      <c r="B584">
        <v>0</v>
      </c>
      <c r="C584">
        <v>12</v>
      </c>
      <c r="D584" t="s">
        <v>489</v>
      </c>
      <c r="E584">
        <v>4</v>
      </c>
      <c r="F584">
        <v>11923</v>
      </c>
      <c r="G584" t="s">
        <v>303</v>
      </c>
      <c r="H584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581</v>
      </c>
      <c r="I584" t="str">
        <f>IF(DraftResults[[#This Row],[Player ID]]=0,"",INDEX(Table5[[#All],[Pos]],MATCH(DraftResults[[#This Row],[Player ID]],Table5[[#All],[PID]],0)))</f>
        <v>1B</v>
      </c>
      <c r="J584" t="str">
        <f>IF(DraftResults[[#This Row],[Player ID]]=0,"",INDEX(Table5[[#All],[First]],MATCH(DraftResults[[#This Row],[Player ID]],Table5[[#All],[PID]],0)))</f>
        <v>Arturo</v>
      </c>
      <c r="K584" t="str">
        <f>IF(DraftResults[[#This Row],[Player ID]]=0,"",INDEX(Table5[[#All],[Last]],MATCH(DraftResults[[#This Row],[Player ID]],Table5[[#All],[PID]],0)))</f>
        <v>Barajas</v>
      </c>
    </row>
    <row r="585" spans="1:11" x14ac:dyDescent="0.3">
      <c r="A585">
        <v>18</v>
      </c>
      <c r="B585">
        <v>0</v>
      </c>
      <c r="C585">
        <v>13</v>
      </c>
      <c r="D585" t="s">
        <v>414</v>
      </c>
      <c r="E585">
        <v>164</v>
      </c>
      <c r="F585">
        <v>10820</v>
      </c>
      <c r="G585" t="s">
        <v>303</v>
      </c>
      <c r="H585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582</v>
      </c>
      <c r="I585" t="str">
        <f>IF(DraftResults[[#This Row],[Player ID]]=0,"",INDEX(Table5[[#All],[Pos]],MATCH(DraftResults[[#This Row],[Player ID]],Table5[[#All],[PID]],0)))</f>
        <v>C</v>
      </c>
      <c r="J585" t="str">
        <f>IF(DraftResults[[#This Row],[Player ID]]=0,"",INDEX(Table5[[#All],[First]],MATCH(DraftResults[[#This Row],[Player ID]],Table5[[#All],[PID]],0)))</f>
        <v>Vaughan</v>
      </c>
      <c r="K585" t="str">
        <f>IF(DraftResults[[#This Row],[Player ID]]=0,"",INDEX(Table5[[#All],[Last]],MATCH(DraftResults[[#This Row],[Player ID]],Table5[[#All],[PID]],0)))</f>
        <v>Darcy</v>
      </c>
    </row>
    <row r="586" spans="1:11" x14ac:dyDescent="0.3">
      <c r="A586">
        <v>18</v>
      </c>
      <c r="B586">
        <v>0</v>
      </c>
      <c r="C586">
        <v>14</v>
      </c>
      <c r="D586" t="s">
        <v>251</v>
      </c>
      <c r="E586">
        <v>12</v>
      </c>
      <c r="F586">
        <v>13205</v>
      </c>
      <c r="G586" t="s">
        <v>303</v>
      </c>
      <c r="H586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583</v>
      </c>
      <c r="I586" t="str">
        <f>IF(DraftResults[[#This Row],[Player ID]]=0,"",INDEX(Table5[[#All],[Pos]],MATCH(DraftResults[[#This Row],[Player ID]],Table5[[#All],[PID]],0)))</f>
        <v>1B</v>
      </c>
      <c r="J586" t="str">
        <f>IF(DraftResults[[#This Row],[Player ID]]=0,"",INDEX(Table5[[#All],[First]],MATCH(DraftResults[[#This Row],[Player ID]],Table5[[#All],[PID]],0)))</f>
        <v>Alexander</v>
      </c>
      <c r="K586" t="str">
        <f>IF(DraftResults[[#This Row],[Player ID]]=0,"",INDEX(Table5[[#All],[Last]],MATCH(DraftResults[[#This Row],[Player ID]],Table5[[#All],[PID]],0)))</f>
        <v>Chilcott</v>
      </c>
    </row>
    <row r="587" spans="1:11" x14ac:dyDescent="0.3">
      <c r="A587">
        <v>18</v>
      </c>
      <c r="B587">
        <v>0</v>
      </c>
      <c r="C587">
        <v>15</v>
      </c>
      <c r="D587" t="s">
        <v>543</v>
      </c>
      <c r="E587">
        <v>160</v>
      </c>
      <c r="F587">
        <v>12312</v>
      </c>
      <c r="G587" t="s">
        <v>303</v>
      </c>
      <c r="H587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584</v>
      </c>
      <c r="I587" t="str">
        <f>IF(DraftResults[[#This Row],[Player ID]]=0,"",INDEX(Table5[[#All],[Pos]],MATCH(DraftResults[[#This Row],[Player ID]],Table5[[#All],[PID]],0)))</f>
        <v>CF</v>
      </c>
      <c r="J587" t="str">
        <f>IF(DraftResults[[#This Row],[Player ID]]=0,"",INDEX(Table5[[#All],[First]],MATCH(DraftResults[[#This Row],[Player ID]],Table5[[#All],[PID]],0)))</f>
        <v>Héctor</v>
      </c>
      <c r="K587" t="str">
        <f>IF(DraftResults[[#This Row],[Player ID]]=0,"",INDEX(Table5[[#All],[Last]],MATCH(DraftResults[[#This Row],[Player ID]],Table5[[#All],[PID]],0)))</f>
        <v>Hernández</v>
      </c>
    </row>
    <row r="588" spans="1:11" x14ac:dyDescent="0.3">
      <c r="A588">
        <v>18</v>
      </c>
      <c r="B588">
        <v>0</v>
      </c>
      <c r="C588">
        <v>16</v>
      </c>
      <c r="D588" t="s">
        <v>544</v>
      </c>
      <c r="E588">
        <v>13</v>
      </c>
      <c r="F588">
        <v>10954</v>
      </c>
      <c r="G588" t="s">
        <v>303</v>
      </c>
      <c r="H588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585</v>
      </c>
      <c r="I588" t="str">
        <f>IF(DraftResults[[#This Row],[Player ID]]=0,"",INDEX(Table5[[#All],[Pos]],MATCH(DraftResults[[#This Row],[Player ID]],Table5[[#All],[PID]],0)))</f>
        <v>1B</v>
      </c>
      <c r="J588" t="str">
        <f>IF(DraftResults[[#This Row],[Player ID]]=0,"",INDEX(Table5[[#All],[First]],MATCH(DraftResults[[#This Row],[Player ID]],Table5[[#All],[PID]],0)))</f>
        <v>Caden</v>
      </c>
      <c r="K588" t="str">
        <f>IF(DraftResults[[#This Row],[Player ID]]=0,"",INDEX(Table5[[#All],[Last]],MATCH(DraftResults[[#This Row],[Player ID]],Table5[[#All],[PID]],0)))</f>
        <v>Clark</v>
      </c>
    </row>
    <row r="589" spans="1:11" x14ac:dyDescent="0.3">
      <c r="A589">
        <v>18</v>
      </c>
      <c r="B589">
        <v>0</v>
      </c>
      <c r="C589">
        <v>17</v>
      </c>
      <c r="D589" t="s">
        <v>243</v>
      </c>
      <c r="E589">
        <v>15</v>
      </c>
      <c r="F589">
        <v>20268</v>
      </c>
      <c r="G589" t="s">
        <v>303</v>
      </c>
      <c r="H589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586</v>
      </c>
      <c r="I589" t="str">
        <f>IF(DraftResults[[#This Row],[Player ID]]=0,"",INDEX(Table5[[#All],[Pos]],MATCH(DraftResults[[#This Row],[Player ID]],Table5[[#All],[PID]],0)))</f>
        <v>RP</v>
      </c>
      <c r="J589" t="str">
        <f>IF(DraftResults[[#This Row],[Player ID]]=0,"",INDEX(Table5[[#All],[First]],MATCH(DraftResults[[#This Row],[Player ID]],Table5[[#All],[PID]],0)))</f>
        <v>Zhi-huan</v>
      </c>
      <c r="K589" t="str">
        <f>IF(DraftResults[[#This Row],[Player ID]]=0,"",INDEX(Table5[[#All],[Last]],MATCH(DraftResults[[#This Row],[Player ID]],Table5[[#All],[PID]],0)))</f>
        <v>Gui</v>
      </c>
    </row>
    <row r="590" spans="1:11" x14ac:dyDescent="0.3">
      <c r="A590">
        <v>18</v>
      </c>
      <c r="B590">
        <v>0</v>
      </c>
      <c r="C590">
        <v>18</v>
      </c>
      <c r="D590" t="s">
        <v>412</v>
      </c>
      <c r="E590">
        <v>162</v>
      </c>
      <c r="F590">
        <v>11922</v>
      </c>
      <c r="G590" t="s">
        <v>303</v>
      </c>
      <c r="H590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587</v>
      </c>
      <c r="I590" t="str">
        <f>IF(DraftResults[[#This Row],[Player ID]]=0,"",INDEX(Table5[[#All],[Pos]],MATCH(DraftResults[[#This Row],[Player ID]],Table5[[#All],[PID]],0)))</f>
        <v>RF</v>
      </c>
      <c r="J590" t="str">
        <f>IF(DraftResults[[#This Row],[Player ID]]=0,"",INDEX(Table5[[#All],[First]],MATCH(DraftResults[[#This Row],[Player ID]],Table5[[#All],[PID]],0)))</f>
        <v>Luis</v>
      </c>
      <c r="K590" t="str">
        <f>IF(DraftResults[[#This Row],[Player ID]]=0,"",INDEX(Table5[[#All],[Last]],MATCH(DraftResults[[#This Row],[Player ID]],Table5[[#All],[PID]],0)))</f>
        <v>Mota</v>
      </c>
    </row>
    <row r="591" spans="1:11" x14ac:dyDescent="0.3">
      <c r="A591">
        <v>18</v>
      </c>
      <c r="B591">
        <v>0</v>
      </c>
      <c r="C591">
        <v>19</v>
      </c>
      <c r="D591" t="s">
        <v>247</v>
      </c>
      <c r="E591">
        <v>16</v>
      </c>
      <c r="F591">
        <v>6643</v>
      </c>
      <c r="G591" t="s">
        <v>303</v>
      </c>
      <c r="H591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588</v>
      </c>
      <c r="I591" t="str">
        <f>IF(DraftResults[[#This Row],[Player ID]]=0,"",INDEX(Table5[[#All],[Pos]],MATCH(DraftResults[[#This Row],[Player ID]],Table5[[#All],[PID]],0)))</f>
        <v>SP</v>
      </c>
      <c r="J591" t="str">
        <f>IF(DraftResults[[#This Row],[Player ID]]=0,"",INDEX(Table5[[#All],[First]],MATCH(DraftResults[[#This Row],[Player ID]],Table5[[#All],[PID]],0)))</f>
        <v>Juan</v>
      </c>
      <c r="K591" t="str">
        <f>IF(DraftResults[[#This Row],[Player ID]]=0,"",INDEX(Table5[[#All],[Last]],MATCH(DraftResults[[#This Row],[Player ID]],Table5[[#All],[PID]],0)))</f>
        <v>Vázquez</v>
      </c>
    </row>
    <row r="592" spans="1:11" x14ac:dyDescent="0.3">
      <c r="A592">
        <v>18</v>
      </c>
      <c r="B592">
        <v>0</v>
      </c>
      <c r="C592">
        <v>20</v>
      </c>
      <c r="D592" t="s">
        <v>242</v>
      </c>
      <c r="E592">
        <v>14</v>
      </c>
      <c r="F592">
        <v>20486</v>
      </c>
      <c r="G592" t="s">
        <v>303</v>
      </c>
      <c r="H592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589</v>
      </c>
      <c r="I592" t="str">
        <f>IF(DraftResults[[#This Row],[Player ID]]=0,"",INDEX(Table5[[#All],[Pos]],MATCH(DraftResults[[#This Row],[Player ID]],Table5[[#All],[PID]],0)))</f>
        <v>RP</v>
      </c>
      <c r="J592" t="str">
        <f>IF(DraftResults[[#This Row],[Player ID]]=0,"",INDEX(Table5[[#All],[First]],MATCH(DraftResults[[#This Row],[Player ID]],Table5[[#All],[PID]],0)))</f>
        <v>Eisuke</v>
      </c>
      <c r="K592" t="str">
        <f>IF(DraftResults[[#This Row],[Player ID]]=0,"",INDEX(Table5[[#All],[Last]],MATCH(DraftResults[[#This Row],[Player ID]],Table5[[#All],[PID]],0)))</f>
        <v>Tanaka</v>
      </c>
    </row>
    <row r="593" spans="1:11" x14ac:dyDescent="0.3">
      <c r="A593">
        <v>18</v>
      </c>
      <c r="B593">
        <v>0</v>
      </c>
      <c r="C593">
        <v>21</v>
      </c>
      <c r="D593" t="s">
        <v>416</v>
      </c>
      <c r="E593">
        <v>159</v>
      </c>
      <c r="F593">
        <v>13794</v>
      </c>
      <c r="G593" t="s">
        <v>303</v>
      </c>
      <c r="H593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590</v>
      </c>
      <c r="I593" t="str">
        <f>IF(DraftResults[[#This Row],[Player ID]]=0,"",INDEX(Table5[[#All],[Pos]],MATCH(DraftResults[[#This Row],[Player ID]],Table5[[#All],[PID]],0)))</f>
        <v>RP</v>
      </c>
      <c r="J593" t="str">
        <f>IF(DraftResults[[#This Row],[Player ID]]=0,"",INDEX(Table5[[#All],[First]],MATCH(DraftResults[[#This Row],[Player ID]],Table5[[#All],[PID]],0)))</f>
        <v>Takeji</v>
      </c>
      <c r="K593" t="str">
        <f>IF(DraftResults[[#This Row],[Player ID]]=0,"",INDEX(Table5[[#All],[Last]],MATCH(DraftResults[[#This Row],[Player ID]],Table5[[#All],[PID]],0)))</f>
        <v>Ono</v>
      </c>
    </row>
    <row r="594" spans="1:11" x14ac:dyDescent="0.3">
      <c r="A594">
        <v>18</v>
      </c>
      <c r="B594">
        <v>0</v>
      </c>
      <c r="C594">
        <v>22</v>
      </c>
      <c r="D594" t="s">
        <v>244</v>
      </c>
      <c r="E594">
        <v>20</v>
      </c>
      <c r="F594">
        <v>12339</v>
      </c>
      <c r="G594" t="s">
        <v>303</v>
      </c>
      <c r="H594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591</v>
      </c>
      <c r="I594" t="str">
        <f>IF(DraftResults[[#This Row],[Player ID]]=0,"",INDEX(Table5[[#All],[Pos]],MATCH(DraftResults[[#This Row],[Player ID]],Table5[[#All],[PID]],0)))</f>
        <v>RP</v>
      </c>
      <c r="J594" t="str">
        <f>IF(DraftResults[[#This Row],[Player ID]]=0,"",INDEX(Table5[[#All],[First]],MATCH(DraftResults[[#This Row],[Player ID]],Table5[[#All],[PID]],0)))</f>
        <v>Bill</v>
      </c>
      <c r="K594" t="str">
        <f>IF(DraftResults[[#This Row],[Player ID]]=0,"",INDEX(Table5[[#All],[Last]],MATCH(DraftResults[[#This Row],[Player ID]],Table5[[#All],[PID]],0)))</f>
        <v>Morales</v>
      </c>
    </row>
    <row r="595" spans="1:11" x14ac:dyDescent="0.3">
      <c r="A595">
        <v>18</v>
      </c>
      <c r="B595">
        <v>0</v>
      </c>
      <c r="C595">
        <v>23</v>
      </c>
      <c r="D595" t="s">
        <v>239</v>
      </c>
      <c r="E595">
        <v>10</v>
      </c>
      <c r="F595">
        <v>20879</v>
      </c>
      <c r="G595" t="s">
        <v>303</v>
      </c>
      <c r="H595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592</v>
      </c>
      <c r="I595" t="str">
        <f>IF(DraftResults[[#This Row],[Player ID]]=0,"",INDEX(Table5[[#All],[Pos]],MATCH(DraftResults[[#This Row],[Player ID]],Table5[[#All],[PID]],0)))</f>
        <v>SP</v>
      </c>
      <c r="J595" t="str">
        <f>IF(DraftResults[[#This Row],[Player ID]]=0,"",INDEX(Table5[[#All],[First]],MATCH(DraftResults[[#This Row],[Player ID]],Table5[[#All],[PID]],0)))</f>
        <v>Andre</v>
      </c>
      <c r="K595" t="str">
        <f>IF(DraftResults[[#This Row],[Player ID]]=0,"",INDEX(Table5[[#All],[Last]],MATCH(DraftResults[[#This Row],[Player ID]],Table5[[#All],[PID]],0)))</f>
        <v>Cranford</v>
      </c>
    </row>
    <row r="596" spans="1:11" x14ac:dyDescent="0.3">
      <c r="A596">
        <v>18</v>
      </c>
      <c r="B596">
        <v>0</v>
      </c>
      <c r="C596">
        <v>24</v>
      </c>
      <c r="D596" t="s">
        <v>233</v>
      </c>
      <c r="E596">
        <v>22</v>
      </c>
      <c r="F596">
        <v>20333</v>
      </c>
      <c r="G596" t="s">
        <v>303</v>
      </c>
      <c r="H596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593</v>
      </c>
      <c r="I596" t="str">
        <f>IF(DraftResults[[#This Row],[Player ID]]=0,"",INDEX(Table5[[#All],[Pos]],MATCH(DraftResults[[#This Row],[Player ID]],Table5[[#All],[PID]],0)))</f>
        <v>RP</v>
      </c>
      <c r="J596" t="str">
        <f>IF(DraftResults[[#This Row],[Player ID]]=0,"",INDEX(Table5[[#All],[First]],MATCH(DraftResults[[#This Row],[Player ID]],Table5[[#All],[PID]],0)))</f>
        <v>Shou-feng</v>
      </c>
      <c r="K596" t="str">
        <f>IF(DraftResults[[#This Row],[Player ID]]=0,"",INDEX(Table5[[#All],[Last]],MATCH(DraftResults[[#This Row],[Player ID]],Table5[[#All],[PID]],0)))</f>
        <v>Gou</v>
      </c>
    </row>
    <row r="597" spans="1:11" x14ac:dyDescent="0.3">
      <c r="A597">
        <v>18</v>
      </c>
      <c r="B597">
        <v>0</v>
      </c>
      <c r="C597">
        <v>25</v>
      </c>
      <c r="D597" t="s">
        <v>236</v>
      </c>
      <c r="E597">
        <v>17</v>
      </c>
      <c r="F597">
        <v>16136</v>
      </c>
      <c r="G597" t="s">
        <v>303</v>
      </c>
      <c r="H597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594</v>
      </c>
      <c r="I597" t="str">
        <f>IF(DraftResults[[#This Row],[Player ID]]=0,"",INDEX(Table5[[#All],[Pos]],MATCH(DraftResults[[#This Row],[Player ID]],Table5[[#All],[PID]],0)))</f>
        <v>RP</v>
      </c>
      <c r="J597" t="str">
        <f>IF(DraftResults[[#This Row],[Player ID]]=0,"",INDEX(Table5[[#All],[First]],MATCH(DraftResults[[#This Row],[Player ID]],Table5[[#All],[PID]],0)))</f>
        <v>Hirotaka</v>
      </c>
      <c r="K597" t="str">
        <f>IF(DraftResults[[#This Row],[Player ID]]=0,"",INDEX(Table5[[#All],[Last]],MATCH(DraftResults[[#This Row],[Player ID]],Table5[[#All],[PID]],0)))</f>
        <v>Masuda</v>
      </c>
    </row>
    <row r="598" spans="1:11" x14ac:dyDescent="0.3">
      <c r="A598">
        <v>18</v>
      </c>
      <c r="B598">
        <v>0</v>
      </c>
      <c r="C598">
        <v>26</v>
      </c>
      <c r="D598" t="s">
        <v>232</v>
      </c>
      <c r="E598">
        <v>19</v>
      </c>
      <c r="F598">
        <v>8003</v>
      </c>
      <c r="G598" t="s">
        <v>303</v>
      </c>
      <c r="H598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595</v>
      </c>
      <c r="I598" t="str">
        <f>IF(DraftResults[[#This Row],[Player ID]]=0,"",INDEX(Table5[[#All],[Pos]],MATCH(DraftResults[[#This Row],[Player ID]],Table5[[#All],[PID]],0)))</f>
        <v>RP</v>
      </c>
      <c r="J598" t="str">
        <f>IF(DraftResults[[#This Row],[Player ID]]=0,"",INDEX(Table5[[#All],[First]],MATCH(DraftResults[[#This Row],[Player ID]],Table5[[#All],[PID]],0)))</f>
        <v>Ralph</v>
      </c>
      <c r="K598" t="str">
        <f>IF(DraftResults[[#This Row],[Player ID]]=0,"",INDEX(Table5[[#All],[Last]],MATCH(DraftResults[[#This Row],[Player ID]],Table5[[#All],[PID]],0)))</f>
        <v>Harrison</v>
      </c>
    </row>
    <row r="599" spans="1:11" x14ac:dyDescent="0.3">
      <c r="A599">
        <v>18</v>
      </c>
      <c r="B599">
        <v>0</v>
      </c>
      <c r="C599">
        <v>27</v>
      </c>
      <c r="D599" t="s">
        <v>417</v>
      </c>
      <c r="E599">
        <v>163</v>
      </c>
      <c r="F599">
        <v>5419</v>
      </c>
      <c r="G599" t="s">
        <v>303</v>
      </c>
      <c r="H599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596</v>
      </c>
      <c r="I599" t="str">
        <f>IF(DraftResults[[#This Row],[Player ID]]=0,"",INDEX(Table5[[#All],[Pos]],MATCH(DraftResults[[#This Row],[Player ID]],Table5[[#All],[PID]],0)))</f>
        <v>RP</v>
      </c>
      <c r="J599" t="str">
        <f>IF(DraftResults[[#This Row],[Player ID]]=0,"",INDEX(Table5[[#All],[First]],MATCH(DraftResults[[#This Row],[Player ID]],Table5[[#All],[PID]],0)))</f>
        <v>Juan</v>
      </c>
      <c r="K599" t="str">
        <f>IF(DraftResults[[#This Row],[Player ID]]=0,"",INDEX(Table5[[#All],[Last]],MATCH(DraftResults[[#This Row],[Player ID]],Table5[[#All],[PID]],0)))</f>
        <v>Puerta</v>
      </c>
    </row>
    <row r="600" spans="1:11" x14ac:dyDescent="0.3">
      <c r="A600">
        <v>18</v>
      </c>
      <c r="B600">
        <v>0</v>
      </c>
      <c r="C600">
        <v>28</v>
      </c>
      <c r="D600" t="s">
        <v>413</v>
      </c>
      <c r="E600">
        <v>2</v>
      </c>
      <c r="F600">
        <v>10036</v>
      </c>
      <c r="G600" t="s">
        <v>303</v>
      </c>
      <c r="H600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597</v>
      </c>
      <c r="I600" t="str">
        <f>IF(DraftResults[[#This Row],[Player ID]]=0,"",INDEX(Table5[[#All],[Pos]],MATCH(DraftResults[[#This Row],[Player ID]],Table5[[#All],[PID]],0)))</f>
        <v>RP</v>
      </c>
      <c r="J600" t="str">
        <f>IF(DraftResults[[#This Row],[Player ID]]=0,"",INDEX(Table5[[#All],[First]],MATCH(DraftResults[[#This Row],[Player ID]],Table5[[#All],[PID]],0)))</f>
        <v>Aubrey</v>
      </c>
      <c r="K600" t="str">
        <f>IF(DraftResults[[#This Row],[Player ID]]=0,"",INDEX(Table5[[#All],[Last]],MATCH(DraftResults[[#This Row],[Player ID]],Table5[[#All],[PID]],0)))</f>
        <v>Fox</v>
      </c>
    </row>
    <row r="601" spans="1:11" x14ac:dyDescent="0.3">
      <c r="A601">
        <v>18</v>
      </c>
      <c r="B601">
        <v>0</v>
      </c>
      <c r="C601">
        <v>29</v>
      </c>
      <c r="D601" t="s">
        <v>418</v>
      </c>
      <c r="E601">
        <v>161</v>
      </c>
      <c r="F601">
        <v>10306</v>
      </c>
      <c r="G601" t="s">
        <v>303</v>
      </c>
      <c r="H601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598</v>
      </c>
      <c r="I601" t="str">
        <f>IF(DraftResults[[#This Row],[Player ID]]=0,"",INDEX(Table5[[#All],[Pos]],MATCH(DraftResults[[#This Row],[Player ID]],Table5[[#All],[PID]],0)))</f>
        <v>RF</v>
      </c>
      <c r="J601" t="str">
        <f>IF(DraftResults[[#This Row],[Player ID]]=0,"",INDEX(Table5[[#All],[First]],MATCH(DraftResults[[#This Row],[Player ID]],Table5[[#All],[PID]],0)))</f>
        <v>Rafael</v>
      </c>
      <c r="K601" t="str">
        <f>IF(DraftResults[[#This Row],[Player ID]]=0,"",INDEX(Table5[[#All],[Last]],MATCH(DraftResults[[#This Row],[Player ID]],Table5[[#All],[PID]],0)))</f>
        <v>Solís</v>
      </c>
    </row>
    <row r="602" spans="1:11" x14ac:dyDescent="0.3">
      <c r="A602">
        <v>18</v>
      </c>
      <c r="B602">
        <v>0</v>
      </c>
      <c r="C602">
        <v>30</v>
      </c>
      <c r="D602" t="s">
        <v>415</v>
      </c>
      <c r="E602">
        <v>166</v>
      </c>
      <c r="F602">
        <v>16427</v>
      </c>
      <c r="G602" t="s">
        <v>303</v>
      </c>
      <c r="H602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599</v>
      </c>
      <c r="I602" t="str">
        <f>IF(DraftResults[[#This Row],[Player ID]]=0,"",INDEX(Table5[[#All],[Pos]],MATCH(DraftResults[[#This Row],[Player ID]],Table5[[#All],[PID]],0)))</f>
        <v>LF</v>
      </c>
      <c r="J602" t="str">
        <f>IF(DraftResults[[#This Row],[Player ID]]=0,"",INDEX(Table5[[#All],[First]],MATCH(DraftResults[[#This Row],[Player ID]],Table5[[#All],[PID]],0)))</f>
        <v>Anthony</v>
      </c>
      <c r="K602" t="str">
        <f>IF(DraftResults[[#This Row],[Player ID]]=0,"",INDEX(Table5[[#All],[Last]],MATCH(DraftResults[[#This Row],[Player ID]],Table5[[#All],[PID]],0)))</f>
        <v>Moggs</v>
      </c>
    </row>
    <row r="603" spans="1:11" x14ac:dyDescent="0.3">
      <c r="A603">
        <v>18</v>
      </c>
      <c r="B603">
        <v>0</v>
      </c>
      <c r="C603">
        <v>31</v>
      </c>
      <c r="D603" t="s">
        <v>238</v>
      </c>
      <c r="E603">
        <v>11</v>
      </c>
      <c r="F603">
        <v>11238</v>
      </c>
      <c r="G603" t="s">
        <v>303</v>
      </c>
      <c r="H603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600</v>
      </c>
      <c r="I603" t="str">
        <f>IF(DraftResults[[#This Row],[Player ID]]=0,"",INDEX(Table5[[#All],[Pos]],MATCH(DraftResults[[#This Row],[Player ID]],Table5[[#All],[PID]],0)))</f>
        <v>C</v>
      </c>
      <c r="J603" t="str">
        <f>IF(DraftResults[[#This Row],[Player ID]]=0,"",INDEX(Table5[[#All],[First]],MATCH(DraftResults[[#This Row],[Player ID]],Table5[[#All],[PID]],0)))</f>
        <v>Henry</v>
      </c>
      <c r="K603" t="str">
        <f>IF(DraftResults[[#This Row],[Player ID]]=0,"",INDEX(Table5[[#All],[Last]],MATCH(DraftResults[[#This Row],[Player ID]],Table5[[#All],[PID]],0)))</f>
        <v>Bojórquez</v>
      </c>
    </row>
    <row r="604" spans="1:11" x14ac:dyDescent="0.3">
      <c r="A604">
        <v>18</v>
      </c>
      <c r="B604">
        <v>0</v>
      </c>
      <c r="C604">
        <v>32</v>
      </c>
      <c r="D604" t="s">
        <v>546</v>
      </c>
      <c r="E604">
        <v>9</v>
      </c>
      <c r="F604">
        <v>10930</v>
      </c>
      <c r="G604" t="s">
        <v>303</v>
      </c>
      <c r="H604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601</v>
      </c>
      <c r="I604" t="str">
        <f>IF(DraftResults[[#This Row],[Player ID]]=0,"",INDEX(Table5[[#All],[Pos]],MATCH(DraftResults[[#This Row],[Player ID]],Table5[[#All],[PID]],0)))</f>
        <v>RP</v>
      </c>
      <c r="J604" t="str">
        <f>IF(DraftResults[[#This Row],[Player ID]]=0,"",INDEX(Table5[[#All],[First]],MATCH(DraftResults[[#This Row],[Player ID]],Table5[[#All],[PID]],0)))</f>
        <v>Aarnoud</v>
      </c>
      <c r="K604" t="str">
        <f>IF(DraftResults[[#This Row],[Player ID]]=0,"",INDEX(Table5[[#All],[Last]],MATCH(DraftResults[[#This Row],[Player ID]],Table5[[#All],[PID]],0)))</f>
        <v>van Sandvliet</v>
      </c>
    </row>
    <row r="605" spans="1:11" x14ac:dyDescent="0.3">
      <c r="A605">
        <v>18</v>
      </c>
      <c r="B605">
        <v>0</v>
      </c>
      <c r="C605">
        <v>33</v>
      </c>
      <c r="D605" t="s">
        <v>1615</v>
      </c>
      <c r="E605">
        <v>5</v>
      </c>
      <c r="F605">
        <v>10637</v>
      </c>
      <c r="G605" t="s">
        <v>303</v>
      </c>
      <c r="H605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602</v>
      </c>
      <c r="I605" t="str">
        <f>IF(DraftResults[[#This Row],[Player ID]]=0,"",INDEX(Table5[[#All],[Pos]],MATCH(DraftResults[[#This Row],[Player ID]],Table5[[#All],[PID]],0)))</f>
        <v>RP</v>
      </c>
      <c r="J605" t="str">
        <f>IF(DraftResults[[#This Row],[Player ID]]=0,"",INDEX(Table5[[#All],[First]],MATCH(DraftResults[[#This Row],[Player ID]],Table5[[#All],[PID]],0)))</f>
        <v>Marcos</v>
      </c>
      <c r="K605" t="str">
        <f>IF(DraftResults[[#This Row],[Player ID]]=0,"",INDEX(Table5[[#All],[Last]],MATCH(DraftResults[[#This Row],[Player ID]],Table5[[#All],[PID]],0)))</f>
        <v>Avilés</v>
      </c>
    </row>
    <row r="606" spans="1:11" x14ac:dyDescent="0.3">
      <c r="A606">
        <v>18</v>
      </c>
      <c r="B606">
        <v>0</v>
      </c>
      <c r="C606">
        <v>34</v>
      </c>
      <c r="D606" t="s">
        <v>1614</v>
      </c>
      <c r="E606">
        <v>6</v>
      </c>
      <c r="F606">
        <v>15582</v>
      </c>
      <c r="G606" t="s">
        <v>303</v>
      </c>
      <c r="H606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603</v>
      </c>
      <c r="I606" t="str">
        <f>IF(DraftResults[[#This Row],[Player ID]]=0,"",INDEX(Table5[[#All],[Pos]],MATCH(DraftResults[[#This Row],[Player ID]],Table5[[#All],[PID]],0)))</f>
        <v>RP</v>
      </c>
      <c r="J606" t="str">
        <f>IF(DraftResults[[#This Row],[Player ID]]=0,"",INDEX(Table5[[#All],[First]],MATCH(DraftResults[[#This Row],[Player ID]],Table5[[#All],[PID]],0)))</f>
        <v>Manny</v>
      </c>
      <c r="K606" t="str">
        <f>IF(DraftResults[[#This Row],[Player ID]]=0,"",INDEX(Table5[[#All],[Last]],MATCH(DraftResults[[#This Row],[Player ID]],Table5[[#All],[PID]],0)))</f>
        <v>Rodríguez</v>
      </c>
    </row>
    <row r="607" spans="1:11" x14ac:dyDescent="0.3">
      <c r="A607">
        <v>19</v>
      </c>
      <c r="B607">
        <v>0</v>
      </c>
      <c r="C607">
        <v>1</v>
      </c>
      <c r="D607" t="s">
        <v>542</v>
      </c>
      <c r="E607">
        <v>24</v>
      </c>
      <c r="F607">
        <v>7123</v>
      </c>
      <c r="G607" t="s">
        <v>303</v>
      </c>
      <c r="H607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604</v>
      </c>
      <c r="I607" t="str">
        <f>IF(DraftResults[[#This Row],[Player ID]]=0,"",INDEX(Table5[[#All],[Pos]],MATCH(DraftResults[[#This Row],[Player ID]],Table5[[#All],[PID]],0)))</f>
        <v>RP</v>
      </c>
      <c r="J607" t="str">
        <f>IF(DraftResults[[#This Row],[Player ID]]=0,"",INDEX(Table5[[#All],[First]],MATCH(DraftResults[[#This Row],[Player ID]],Table5[[#All],[PID]],0)))</f>
        <v>Lúcio</v>
      </c>
      <c r="K607" t="str">
        <f>IF(DraftResults[[#This Row],[Player ID]]=0,"",INDEX(Table5[[#All],[Last]],MATCH(DraftResults[[#This Row],[Player ID]],Table5[[#All],[PID]],0)))</f>
        <v>Amaya</v>
      </c>
    </row>
    <row r="608" spans="1:11" x14ac:dyDescent="0.3">
      <c r="A608">
        <v>19</v>
      </c>
      <c r="B608">
        <v>0</v>
      </c>
      <c r="C608">
        <v>2</v>
      </c>
      <c r="D608" t="s">
        <v>488</v>
      </c>
      <c r="E608">
        <v>7</v>
      </c>
      <c r="F608">
        <v>7983</v>
      </c>
      <c r="G608" t="s">
        <v>303</v>
      </c>
      <c r="H608" s="19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605</v>
      </c>
      <c r="I608" s="19" t="str">
        <f>IF(DraftResults[[#This Row],[Player ID]]=0,"",INDEX(Table5[[#All],[Pos]],MATCH(DraftResults[[#This Row],[Player ID]],Table5[[#All],[PID]],0)))</f>
        <v>RP</v>
      </c>
      <c r="J608" s="19" t="str">
        <f>IF(DraftResults[[#This Row],[Player ID]]=0,"",INDEX(Table5[[#All],[First]],MATCH(DraftResults[[#This Row],[Player ID]],Table5[[#All],[PID]],0)))</f>
        <v>Joseph</v>
      </c>
      <c r="K608" s="19" t="str">
        <f>IF(DraftResults[[#This Row],[Player ID]]=0,"",INDEX(Table5[[#All],[Last]],MATCH(DraftResults[[#This Row],[Player ID]],Table5[[#All],[PID]],0)))</f>
        <v>Galindo</v>
      </c>
    </row>
    <row r="609" spans="1:11" x14ac:dyDescent="0.3">
      <c r="A609">
        <v>19</v>
      </c>
      <c r="B609">
        <v>0</v>
      </c>
      <c r="C609">
        <v>3</v>
      </c>
      <c r="D609" t="s">
        <v>420</v>
      </c>
      <c r="E609">
        <v>167</v>
      </c>
      <c r="F609">
        <v>20476</v>
      </c>
      <c r="G609" t="s">
        <v>303</v>
      </c>
      <c r="H609" s="19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606</v>
      </c>
      <c r="I609" s="19" t="str">
        <f>IF(DraftResults[[#This Row],[Player ID]]=0,"",INDEX(Table5[[#All],[Pos]],MATCH(DraftResults[[#This Row],[Player ID]],Table5[[#All],[PID]],0)))</f>
        <v>RP</v>
      </c>
      <c r="J609" s="19" t="str">
        <f>IF(DraftResults[[#This Row],[Player ID]]=0,"",INDEX(Table5[[#All],[First]],MATCH(DraftResults[[#This Row],[Player ID]],Table5[[#All],[PID]],0)))</f>
        <v>Yukichi</v>
      </c>
      <c r="K609" s="19" t="str">
        <f>IF(DraftResults[[#This Row],[Player ID]]=0,"",INDEX(Table5[[#All],[Last]],MATCH(DraftResults[[#This Row],[Player ID]],Table5[[#All],[PID]],0)))</f>
        <v>Ine</v>
      </c>
    </row>
    <row r="610" spans="1:11" x14ac:dyDescent="0.3">
      <c r="A610">
        <v>19</v>
      </c>
      <c r="B610">
        <v>0</v>
      </c>
      <c r="C610">
        <v>4</v>
      </c>
      <c r="D610" t="s">
        <v>235</v>
      </c>
      <c r="E610">
        <v>21</v>
      </c>
      <c r="F610">
        <v>12029</v>
      </c>
      <c r="G610" t="s">
        <v>303</v>
      </c>
      <c r="H610" s="19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607</v>
      </c>
      <c r="I610" s="19" t="str">
        <f>IF(DraftResults[[#This Row],[Player ID]]=0,"",INDEX(Table5[[#All],[Pos]],MATCH(DraftResults[[#This Row],[Player ID]],Table5[[#All],[PID]],0)))</f>
        <v>SP</v>
      </c>
      <c r="J610" s="19" t="str">
        <f>IF(DraftResults[[#This Row],[Player ID]]=0,"",INDEX(Table5[[#All],[First]],MATCH(DraftResults[[#This Row],[Player ID]],Table5[[#All],[PID]],0)))</f>
        <v>Jorge</v>
      </c>
      <c r="K610" s="19" t="str">
        <f>IF(DraftResults[[#This Row],[Player ID]]=0,"",INDEX(Table5[[#All],[Last]],MATCH(DraftResults[[#This Row],[Player ID]],Table5[[#All],[PID]],0)))</f>
        <v>García</v>
      </c>
    </row>
    <row r="611" spans="1:11" x14ac:dyDescent="0.3">
      <c r="A611">
        <v>19</v>
      </c>
      <c r="B611">
        <v>0</v>
      </c>
      <c r="C611">
        <v>5</v>
      </c>
      <c r="D611" t="s">
        <v>545</v>
      </c>
      <c r="E611">
        <v>23</v>
      </c>
      <c r="F611">
        <v>15667</v>
      </c>
      <c r="G611" t="s">
        <v>303</v>
      </c>
      <c r="H611" s="19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608</v>
      </c>
      <c r="I611" s="19" t="str">
        <f>IF(DraftResults[[#This Row],[Player ID]]=0,"",INDEX(Table5[[#All],[Pos]],MATCH(DraftResults[[#This Row],[Player ID]],Table5[[#All],[PID]],0)))</f>
        <v>C</v>
      </c>
      <c r="J611" s="19" t="str">
        <f>IF(DraftResults[[#This Row],[Player ID]]=0,"",INDEX(Table5[[#All],[First]],MATCH(DraftResults[[#This Row],[Player ID]],Table5[[#All],[PID]],0)))</f>
        <v>Shingen</v>
      </c>
      <c r="K611" s="19" t="str">
        <f>IF(DraftResults[[#This Row],[Player ID]]=0,"",INDEX(Table5[[#All],[Last]],MATCH(DraftResults[[#This Row],[Player ID]],Table5[[#All],[PID]],0)))</f>
        <v>Yamamoto</v>
      </c>
    </row>
    <row r="612" spans="1:11" x14ac:dyDescent="0.3">
      <c r="A612">
        <v>19</v>
      </c>
      <c r="B612">
        <v>0</v>
      </c>
      <c r="C612">
        <v>6</v>
      </c>
      <c r="D612" t="s">
        <v>246</v>
      </c>
      <c r="E612">
        <v>8</v>
      </c>
      <c r="F612">
        <v>6194</v>
      </c>
      <c r="H612" s="19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609</v>
      </c>
      <c r="I612" s="19" t="str">
        <f>IF(DraftResults[[#This Row],[Player ID]]=0,"",INDEX(Table5[[#All],[Pos]],MATCH(DraftResults[[#This Row],[Player ID]],Table5[[#All],[PID]],0)))</f>
        <v>LF</v>
      </c>
      <c r="J612" s="19" t="str">
        <f>IF(DraftResults[[#This Row],[Player ID]]=0,"",INDEX(Table5[[#All],[First]],MATCH(DraftResults[[#This Row],[Player ID]],Table5[[#All],[PID]],0)))</f>
        <v>Isamu</v>
      </c>
      <c r="K612" s="19" t="str">
        <f>IF(DraftResults[[#This Row],[Player ID]]=0,"",INDEX(Table5[[#All],[Last]],MATCH(DraftResults[[#This Row],[Player ID]],Table5[[#All],[PID]],0)))</f>
        <v>Kimura</v>
      </c>
    </row>
    <row r="613" spans="1:11" x14ac:dyDescent="0.3">
      <c r="A613">
        <v>19</v>
      </c>
      <c r="B613">
        <v>0</v>
      </c>
      <c r="C613">
        <v>7</v>
      </c>
      <c r="D613" t="s">
        <v>419</v>
      </c>
      <c r="E613">
        <v>18</v>
      </c>
      <c r="F613">
        <v>16938</v>
      </c>
      <c r="H613" s="19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610</v>
      </c>
      <c r="I613" s="19" t="str">
        <f>IF(DraftResults[[#This Row],[Player ID]]=0,"",INDEX(Table5[[#All],[Pos]],MATCH(DraftResults[[#This Row],[Player ID]],Table5[[#All],[PID]],0)))</f>
        <v>1B</v>
      </c>
      <c r="J613" s="19" t="str">
        <f>IF(DraftResults[[#This Row],[Player ID]]=0,"",INDEX(Table5[[#All],[First]],MATCH(DraftResults[[#This Row],[Player ID]],Table5[[#All],[PID]],0)))</f>
        <v>Jim</v>
      </c>
      <c r="K613" s="19" t="str">
        <f>IF(DraftResults[[#This Row],[Player ID]]=0,"",INDEX(Table5[[#All],[Last]],MATCH(DraftResults[[#This Row],[Player ID]],Table5[[#All],[PID]],0)))</f>
        <v>St. John</v>
      </c>
    </row>
    <row r="614" spans="1:11" x14ac:dyDescent="0.3">
      <c r="A614">
        <v>19</v>
      </c>
      <c r="B614">
        <v>0</v>
      </c>
      <c r="C614">
        <v>8</v>
      </c>
      <c r="D614" t="s">
        <v>1614</v>
      </c>
      <c r="E614">
        <v>6</v>
      </c>
      <c r="F614">
        <v>20226</v>
      </c>
      <c r="H614" s="19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611</v>
      </c>
      <c r="I614" s="19" t="str">
        <f>IF(DraftResults[[#This Row],[Player ID]]=0,"",INDEX(Table5[[#All],[Pos]],MATCH(DraftResults[[#This Row],[Player ID]],Table5[[#All],[PID]],0)))</f>
        <v>2B</v>
      </c>
      <c r="J614" s="19" t="str">
        <f>IF(DraftResults[[#This Row],[Player ID]]=0,"",INDEX(Table5[[#All],[First]],MATCH(DraftResults[[#This Row],[Player ID]],Table5[[#All],[PID]],0)))</f>
        <v>Naoya</v>
      </c>
      <c r="K614" s="19" t="str">
        <f>IF(DraftResults[[#This Row],[Player ID]]=0,"",INDEX(Table5[[#All],[Last]],MATCH(DraftResults[[#This Row],[Player ID]],Table5[[#All],[PID]],0)))</f>
        <v>Suzuki</v>
      </c>
    </row>
    <row r="615" spans="1:11" x14ac:dyDescent="0.3">
      <c r="A615">
        <v>19</v>
      </c>
      <c r="B615">
        <v>0</v>
      </c>
      <c r="C615">
        <v>9</v>
      </c>
      <c r="D615" t="s">
        <v>1615</v>
      </c>
      <c r="E615">
        <v>5</v>
      </c>
      <c r="F615">
        <v>10766</v>
      </c>
      <c r="H615" s="19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612</v>
      </c>
      <c r="I615" s="19" t="str">
        <f>IF(DraftResults[[#This Row],[Player ID]]=0,"",INDEX(Table5[[#All],[Pos]],MATCH(DraftResults[[#This Row],[Player ID]],Table5[[#All],[PID]],0)))</f>
        <v>RP</v>
      </c>
      <c r="J615" s="19" t="str">
        <f>IF(DraftResults[[#This Row],[Player ID]]=0,"",INDEX(Table5[[#All],[First]],MATCH(DraftResults[[#This Row],[Player ID]],Table5[[#All],[PID]],0)))</f>
        <v>Nori</v>
      </c>
      <c r="K615" s="19" t="str">
        <f>IF(DraftResults[[#This Row],[Player ID]]=0,"",INDEX(Table5[[#All],[Last]],MATCH(DraftResults[[#This Row],[Player ID]],Table5[[#All],[PID]],0)))</f>
        <v>Koruba</v>
      </c>
    </row>
    <row r="616" spans="1:11" x14ac:dyDescent="0.3">
      <c r="A616">
        <v>19</v>
      </c>
      <c r="B616">
        <v>0</v>
      </c>
      <c r="C616">
        <v>10</v>
      </c>
      <c r="D616" t="s">
        <v>240</v>
      </c>
      <c r="E616">
        <v>3</v>
      </c>
      <c r="F616">
        <v>6458</v>
      </c>
      <c r="H616" s="19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613</v>
      </c>
      <c r="I616" s="19" t="str">
        <f>IF(DraftResults[[#This Row],[Player ID]]=0,"",INDEX(Table5[[#All],[Pos]],MATCH(DraftResults[[#This Row],[Player ID]],Table5[[#All],[PID]],0)))</f>
        <v>RP</v>
      </c>
      <c r="J616" s="19" t="str">
        <f>IF(DraftResults[[#This Row],[Player ID]]=0,"",INDEX(Table5[[#All],[First]],MATCH(DraftResults[[#This Row],[Player ID]],Table5[[#All],[PID]],0)))</f>
        <v>Joe</v>
      </c>
      <c r="K616" s="19" t="str">
        <f>IF(DraftResults[[#This Row],[Player ID]]=0,"",INDEX(Table5[[#All],[Last]],MATCH(DraftResults[[#This Row],[Player ID]],Table5[[#All],[PID]],0)))</f>
        <v>Willis</v>
      </c>
    </row>
    <row r="617" spans="1:11" x14ac:dyDescent="0.3">
      <c r="A617">
        <v>19</v>
      </c>
      <c r="B617">
        <v>0</v>
      </c>
      <c r="C617">
        <v>11</v>
      </c>
      <c r="D617" t="s">
        <v>241</v>
      </c>
      <c r="E617">
        <v>1</v>
      </c>
      <c r="F617">
        <v>20304</v>
      </c>
      <c r="H617" s="19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614</v>
      </c>
      <c r="I617" s="19" t="str">
        <f>IF(DraftResults[[#This Row],[Player ID]]=0,"",INDEX(Table5[[#All],[Pos]],MATCH(DraftResults[[#This Row],[Player ID]],Table5[[#All],[PID]],0)))</f>
        <v>RP</v>
      </c>
      <c r="J617" s="19" t="str">
        <f>IF(DraftResults[[#This Row],[Player ID]]=0,"",INDEX(Table5[[#All],[First]],MATCH(DraftResults[[#This Row],[Player ID]],Table5[[#All],[PID]],0)))</f>
        <v>Seung-cheol</v>
      </c>
      <c r="K617" s="19" t="str">
        <f>IF(DraftResults[[#This Row],[Player ID]]=0,"",INDEX(Table5[[#All],[Last]],MATCH(DraftResults[[#This Row],[Player ID]],Table5[[#All],[PID]],0)))</f>
        <v>Yun</v>
      </c>
    </row>
    <row r="618" spans="1:11" x14ac:dyDescent="0.3">
      <c r="A618">
        <v>19</v>
      </c>
      <c r="B618">
        <v>0</v>
      </c>
      <c r="C618">
        <v>12</v>
      </c>
      <c r="D618" t="s">
        <v>489</v>
      </c>
      <c r="E618">
        <v>4</v>
      </c>
      <c r="F618">
        <v>5816</v>
      </c>
      <c r="H618" s="19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615</v>
      </c>
      <c r="I618" s="19" t="str">
        <f>IF(DraftResults[[#This Row],[Player ID]]=0,"",INDEX(Table5[[#All],[Pos]],MATCH(DraftResults[[#This Row],[Player ID]],Table5[[#All],[PID]],0)))</f>
        <v>1B</v>
      </c>
      <c r="J618" s="19" t="str">
        <f>IF(DraftResults[[#This Row],[Player ID]]=0,"",INDEX(Table5[[#All],[First]],MATCH(DraftResults[[#This Row],[Player ID]],Table5[[#All],[PID]],0)))</f>
        <v>Katsunan</v>
      </c>
      <c r="K618" s="19" t="str">
        <f>IF(DraftResults[[#This Row],[Player ID]]=0,"",INDEX(Table5[[#All],[Last]],MATCH(DraftResults[[#This Row],[Player ID]],Table5[[#All],[PID]],0)))</f>
        <v>Hayashi</v>
      </c>
    </row>
    <row r="619" spans="1:11" x14ac:dyDescent="0.3">
      <c r="A619">
        <v>19</v>
      </c>
      <c r="B619">
        <v>0</v>
      </c>
      <c r="C619">
        <v>13</v>
      </c>
      <c r="D619" t="s">
        <v>414</v>
      </c>
      <c r="E619">
        <v>164</v>
      </c>
      <c r="F619">
        <v>5091</v>
      </c>
      <c r="H619" s="19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616</v>
      </c>
      <c r="I619" s="19" t="str">
        <f>IF(DraftResults[[#This Row],[Player ID]]=0,"",INDEX(Table5[[#All],[Pos]],MATCH(DraftResults[[#This Row],[Player ID]],Table5[[#All],[PID]],0)))</f>
        <v>RP</v>
      </c>
      <c r="J619" s="19" t="str">
        <f>IF(DraftResults[[#This Row],[Player ID]]=0,"",INDEX(Table5[[#All],[First]],MATCH(DraftResults[[#This Row],[Player ID]],Table5[[#All],[PID]],0)))</f>
        <v>Will</v>
      </c>
      <c r="K619" s="19" t="str">
        <f>IF(DraftResults[[#This Row],[Player ID]]=0,"",INDEX(Table5[[#All],[Last]],MATCH(DraftResults[[#This Row],[Player ID]],Table5[[#All],[PID]],0)))</f>
        <v>Schmidt</v>
      </c>
    </row>
    <row r="620" spans="1:11" x14ac:dyDescent="0.3">
      <c r="A620">
        <v>19</v>
      </c>
      <c r="B620">
        <v>0</v>
      </c>
      <c r="C620">
        <v>14</v>
      </c>
      <c r="D620" t="s">
        <v>251</v>
      </c>
      <c r="E620">
        <v>12</v>
      </c>
      <c r="F620">
        <v>13622</v>
      </c>
      <c r="H620" s="19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617</v>
      </c>
      <c r="I620" s="19" t="str">
        <f>IF(DraftResults[[#This Row],[Player ID]]=0,"",INDEX(Table5[[#All],[Pos]],MATCH(DraftResults[[#This Row],[Player ID]],Table5[[#All],[PID]],0)))</f>
        <v>RP</v>
      </c>
      <c r="J620" s="19" t="str">
        <f>IF(DraftResults[[#This Row],[Player ID]]=0,"",INDEX(Table5[[#All],[First]],MATCH(DraftResults[[#This Row],[Player ID]],Table5[[#All],[PID]],0)))</f>
        <v>Ken</v>
      </c>
      <c r="K620" s="19" t="str">
        <f>IF(DraftResults[[#This Row],[Player ID]]=0,"",INDEX(Table5[[#All],[Last]],MATCH(DraftResults[[#This Row],[Player ID]],Table5[[#All],[PID]],0)))</f>
        <v>Scott</v>
      </c>
    </row>
    <row r="621" spans="1:11" x14ac:dyDescent="0.3">
      <c r="A621">
        <v>19</v>
      </c>
      <c r="B621">
        <v>0</v>
      </c>
      <c r="C621">
        <v>15</v>
      </c>
      <c r="D621" t="s">
        <v>543</v>
      </c>
      <c r="E621">
        <v>160</v>
      </c>
      <c r="F621">
        <v>6459</v>
      </c>
      <c r="H621" s="19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618</v>
      </c>
      <c r="I621" s="19" t="str">
        <f>IF(DraftResults[[#This Row],[Player ID]]=0,"",INDEX(Table5[[#All],[Pos]],MATCH(DraftResults[[#This Row],[Player ID]],Table5[[#All],[PID]],0)))</f>
        <v>RP</v>
      </c>
      <c r="J621" s="19" t="str">
        <f>IF(DraftResults[[#This Row],[Player ID]]=0,"",INDEX(Table5[[#All],[First]],MATCH(DraftResults[[#This Row],[Player ID]],Table5[[#All],[PID]],0)))</f>
        <v>Mike</v>
      </c>
      <c r="K621" s="19" t="str">
        <f>IF(DraftResults[[#This Row],[Player ID]]=0,"",INDEX(Table5[[#All],[Last]],MATCH(DraftResults[[#This Row],[Player ID]],Table5[[#All],[PID]],0)))</f>
        <v>Adams</v>
      </c>
    </row>
    <row r="622" spans="1:11" x14ac:dyDescent="0.3">
      <c r="A622">
        <v>19</v>
      </c>
      <c r="B622">
        <v>0</v>
      </c>
      <c r="C622">
        <v>16</v>
      </c>
      <c r="D622" t="s">
        <v>544</v>
      </c>
      <c r="E622">
        <v>13</v>
      </c>
      <c r="F622">
        <v>10321</v>
      </c>
      <c r="H622" s="19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619</v>
      </c>
      <c r="I622" s="19" t="str">
        <f>IF(DraftResults[[#This Row],[Player ID]]=0,"",INDEX(Table5[[#All],[Pos]],MATCH(DraftResults[[#This Row],[Player ID]],Table5[[#All],[PID]],0)))</f>
        <v>SP</v>
      </c>
      <c r="J622" s="19" t="str">
        <f>IF(DraftResults[[#This Row],[Player ID]]=0,"",INDEX(Table5[[#All],[First]],MATCH(DraftResults[[#This Row],[Player ID]],Table5[[#All],[PID]],0)))</f>
        <v>Logan</v>
      </c>
      <c r="K622" s="19" t="str">
        <f>IF(DraftResults[[#This Row],[Player ID]]=0,"",INDEX(Table5[[#All],[Last]],MATCH(DraftResults[[#This Row],[Player ID]],Table5[[#All],[PID]],0)))</f>
        <v>MacCrum</v>
      </c>
    </row>
    <row r="623" spans="1:11" x14ac:dyDescent="0.3">
      <c r="A623">
        <v>19</v>
      </c>
      <c r="B623">
        <v>0</v>
      </c>
      <c r="C623">
        <v>17</v>
      </c>
      <c r="D623" t="s">
        <v>243</v>
      </c>
      <c r="E623">
        <v>15</v>
      </c>
      <c r="F623">
        <v>10569</v>
      </c>
      <c r="H623" s="19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620</v>
      </c>
      <c r="I623" s="19" t="str">
        <f>IF(DraftResults[[#This Row],[Player ID]]=0,"",INDEX(Table5[[#All],[Pos]],MATCH(DraftResults[[#This Row],[Player ID]],Table5[[#All],[PID]],0)))</f>
        <v>SP</v>
      </c>
      <c r="J623" s="19" t="str">
        <f>IF(DraftResults[[#This Row],[Player ID]]=0,"",INDEX(Table5[[#All],[First]],MATCH(DraftResults[[#This Row],[Player ID]],Table5[[#All],[PID]],0)))</f>
        <v>Pedro</v>
      </c>
      <c r="K623" s="19" t="str">
        <f>IF(DraftResults[[#This Row],[Player ID]]=0,"",INDEX(Table5[[#All],[Last]],MATCH(DraftResults[[#This Row],[Player ID]],Table5[[#All],[PID]],0)))</f>
        <v>López</v>
      </c>
    </row>
    <row r="624" spans="1:11" x14ac:dyDescent="0.3">
      <c r="A624">
        <v>19</v>
      </c>
      <c r="B624">
        <v>0</v>
      </c>
      <c r="C624">
        <v>18</v>
      </c>
      <c r="D624" t="s">
        <v>412</v>
      </c>
      <c r="E624">
        <v>162</v>
      </c>
      <c r="F624">
        <v>11398</v>
      </c>
      <c r="H624" s="19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621</v>
      </c>
      <c r="I624" s="19" t="str">
        <f>IF(DraftResults[[#This Row],[Player ID]]=0,"",INDEX(Table5[[#All],[Pos]],MATCH(DraftResults[[#This Row],[Player ID]],Table5[[#All],[PID]],0)))</f>
        <v>C</v>
      </c>
      <c r="J624" s="19" t="str">
        <f>IF(DraftResults[[#This Row],[Player ID]]=0,"",INDEX(Table5[[#All],[First]],MATCH(DraftResults[[#This Row],[Player ID]],Table5[[#All],[PID]],0)))</f>
        <v>James</v>
      </c>
      <c r="K624" s="19" t="str">
        <f>IF(DraftResults[[#This Row],[Player ID]]=0,"",INDEX(Table5[[#All],[Last]],MATCH(DraftResults[[#This Row],[Player ID]],Table5[[#All],[PID]],0)))</f>
        <v>Verney</v>
      </c>
    </row>
    <row r="625" spans="1:11" x14ac:dyDescent="0.3">
      <c r="A625">
        <v>19</v>
      </c>
      <c r="B625">
        <v>0</v>
      </c>
      <c r="C625">
        <v>19</v>
      </c>
      <c r="D625" t="s">
        <v>247</v>
      </c>
      <c r="E625">
        <v>16</v>
      </c>
      <c r="F625">
        <v>20273</v>
      </c>
      <c r="H625" s="19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622</v>
      </c>
      <c r="I625" s="19" t="str">
        <f>IF(DraftResults[[#This Row],[Player ID]]=0,"",INDEX(Table5[[#All],[Pos]],MATCH(DraftResults[[#This Row],[Player ID]],Table5[[#All],[PID]],0)))</f>
        <v>RP</v>
      </c>
      <c r="J625" s="19" t="str">
        <f>IF(DraftResults[[#This Row],[Player ID]]=0,"",INDEX(Table5[[#All],[First]],MATCH(DraftResults[[#This Row],[Player ID]],Table5[[#All],[PID]],0)))</f>
        <v>Ze-min</v>
      </c>
      <c r="K625" s="19" t="str">
        <f>IF(DraftResults[[#This Row],[Player ID]]=0,"",INDEX(Table5[[#All],[Last]],MATCH(DraftResults[[#This Row],[Player ID]],Table5[[#All],[PID]],0)))</f>
        <v>Mei</v>
      </c>
    </row>
    <row r="626" spans="1:11" x14ac:dyDescent="0.3">
      <c r="A626">
        <v>19</v>
      </c>
      <c r="B626">
        <v>0</v>
      </c>
      <c r="C626">
        <v>20</v>
      </c>
      <c r="D626" t="s">
        <v>413</v>
      </c>
      <c r="E626">
        <v>2</v>
      </c>
      <c r="F626">
        <v>20860</v>
      </c>
      <c r="H626" s="19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623</v>
      </c>
      <c r="I626" s="19" t="str">
        <f>IF(DraftResults[[#This Row],[Player ID]]=0,"",INDEX(Table5[[#All],[Pos]],MATCH(DraftResults[[#This Row],[Player ID]],Table5[[#All],[PID]],0)))</f>
        <v>RP</v>
      </c>
      <c r="J626" s="19" t="str">
        <f>IF(DraftResults[[#This Row],[Player ID]]=0,"",INDEX(Table5[[#All],[First]],MATCH(DraftResults[[#This Row],[Player ID]],Table5[[#All],[PID]],0)))</f>
        <v>Ricardo</v>
      </c>
      <c r="K626" s="19" t="str">
        <f>IF(DraftResults[[#This Row],[Player ID]]=0,"",INDEX(Table5[[#All],[Last]],MATCH(DraftResults[[#This Row],[Player ID]],Table5[[#All],[PID]],0)))</f>
        <v>Martínez</v>
      </c>
    </row>
    <row r="627" spans="1:11" x14ac:dyDescent="0.3">
      <c r="A627">
        <v>19</v>
      </c>
      <c r="B627">
        <v>0</v>
      </c>
      <c r="C627">
        <v>21</v>
      </c>
      <c r="D627" t="s">
        <v>416</v>
      </c>
      <c r="E627">
        <v>159</v>
      </c>
      <c r="F627">
        <v>7821</v>
      </c>
      <c r="H627" s="19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624</v>
      </c>
      <c r="I627" s="19" t="str">
        <f>IF(DraftResults[[#This Row],[Player ID]]=0,"",INDEX(Table5[[#All],[Pos]],MATCH(DraftResults[[#This Row],[Player ID]],Table5[[#All],[PID]],0)))</f>
        <v>RP</v>
      </c>
      <c r="J627" s="19" t="str">
        <f>IF(DraftResults[[#This Row],[Player ID]]=0,"",INDEX(Table5[[#All],[First]],MATCH(DraftResults[[#This Row],[Player ID]],Table5[[#All],[PID]],0)))</f>
        <v>Nick</v>
      </c>
      <c r="K627" s="19" t="str">
        <f>IF(DraftResults[[#This Row],[Player ID]]=0,"",INDEX(Table5[[#All],[Last]],MATCH(DraftResults[[#This Row],[Player ID]],Table5[[#All],[PID]],0)))</f>
        <v>Williams</v>
      </c>
    </row>
    <row r="628" spans="1:11" x14ac:dyDescent="0.3">
      <c r="A628">
        <v>19</v>
      </c>
      <c r="B628">
        <v>0</v>
      </c>
      <c r="C628">
        <v>22</v>
      </c>
      <c r="D628" t="s">
        <v>244</v>
      </c>
      <c r="E628">
        <v>20</v>
      </c>
      <c r="F628">
        <v>10965</v>
      </c>
      <c r="H628" s="19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625</v>
      </c>
      <c r="I628" s="19" t="str">
        <f>IF(DraftResults[[#This Row],[Player ID]]=0,"",INDEX(Table5[[#All],[Pos]],MATCH(DraftResults[[#This Row],[Player ID]],Table5[[#All],[PID]],0)))</f>
        <v>RP</v>
      </c>
      <c r="J628" s="19" t="str">
        <f>IF(DraftResults[[#This Row],[Player ID]]=0,"",INDEX(Table5[[#All],[First]],MATCH(DraftResults[[#This Row],[Player ID]],Table5[[#All],[PID]],0)))</f>
        <v>Rubén</v>
      </c>
      <c r="K628" s="19" t="str">
        <f>IF(DraftResults[[#This Row],[Player ID]]=0,"",INDEX(Table5[[#All],[Last]],MATCH(DraftResults[[#This Row],[Player ID]],Table5[[#All],[PID]],0)))</f>
        <v>Hernández</v>
      </c>
    </row>
    <row r="629" spans="1:11" x14ac:dyDescent="0.3">
      <c r="A629">
        <v>19</v>
      </c>
      <c r="B629">
        <v>0</v>
      </c>
      <c r="C629">
        <v>23</v>
      </c>
      <c r="D629" t="s">
        <v>239</v>
      </c>
      <c r="E629">
        <v>10</v>
      </c>
      <c r="F629">
        <v>8924</v>
      </c>
      <c r="H629" s="19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626</v>
      </c>
      <c r="I629" s="19" t="str">
        <f>IF(DraftResults[[#This Row],[Player ID]]=0,"",INDEX(Table5[[#All],[Pos]],MATCH(DraftResults[[#This Row],[Player ID]],Table5[[#All],[PID]],0)))</f>
        <v>1B</v>
      </c>
      <c r="J629" s="19" t="str">
        <f>IF(DraftResults[[#This Row],[Player ID]]=0,"",INDEX(Table5[[#All],[First]],MATCH(DraftResults[[#This Row],[Player ID]],Table5[[#All],[PID]],0)))</f>
        <v>Ryuichi</v>
      </c>
      <c r="K629" s="19" t="str">
        <f>IF(DraftResults[[#This Row],[Player ID]]=0,"",INDEX(Table5[[#All],[Last]],MATCH(DraftResults[[#This Row],[Player ID]],Table5[[#All],[PID]],0)))</f>
        <v>Inagaki</v>
      </c>
    </row>
    <row r="630" spans="1:11" x14ac:dyDescent="0.3">
      <c r="A630">
        <v>19</v>
      </c>
      <c r="B630">
        <v>0</v>
      </c>
      <c r="C630">
        <v>24</v>
      </c>
      <c r="D630" t="s">
        <v>233</v>
      </c>
      <c r="E630">
        <v>22</v>
      </c>
      <c r="F630">
        <v>20981</v>
      </c>
      <c r="H630" s="19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627</v>
      </c>
      <c r="I630" s="19" t="str">
        <f>IF(DraftResults[[#This Row],[Player ID]]=0,"",INDEX(Table5[[#All],[Pos]],MATCH(DraftResults[[#This Row],[Player ID]],Table5[[#All],[PID]],0)))</f>
        <v>RP</v>
      </c>
      <c r="J630" s="19" t="str">
        <f>IF(DraftResults[[#This Row],[Player ID]]=0,"",INDEX(Table5[[#All],[First]],MATCH(DraftResults[[#This Row],[Player ID]],Table5[[#All],[PID]],0)))</f>
        <v>Steve</v>
      </c>
      <c r="K630" s="19" t="str">
        <f>IF(DraftResults[[#This Row],[Player ID]]=0,"",INDEX(Table5[[#All],[Last]],MATCH(DraftResults[[#This Row],[Player ID]],Table5[[#All],[PID]],0)))</f>
        <v>Meade</v>
      </c>
    </row>
    <row r="631" spans="1:11" x14ac:dyDescent="0.3">
      <c r="A631">
        <v>19</v>
      </c>
      <c r="B631">
        <v>0</v>
      </c>
      <c r="C631">
        <v>25</v>
      </c>
      <c r="D631" t="s">
        <v>236</v>
      </c>
      <c r="E631">
        <v>17</v>
      </c>
      <c r="F631">
        <v>15580</v>
      </c>
      <c r="H631" s="19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628</v>
      </c>
      <c r="I631" s="19" t="str">
        <f>IF(DraftResults[[#This Row],[Player ID]]=0,"",INDEX(Table5[[#All],[Pos]],MATCH(DraftResults[[#This Row],[Player ID]],Table5[[#All],[PID]],0)))</f>
        <v>RP</v>
      </c>
      <c r="J631" s="19" t="str">
        <f>IF(DraftResults[[#This Row],[Player ID]]=0,"",INDEX(Table5[[#All],[First]],MATCH(DraftResults[[#This Row],[Player ID]],Table5[[#All],[PID]],0)))</f>
        <v>Yoshiteru</v>
      </c>
      <c r="K631" s="19" t="str">
        <f>IF(DraftResults[[#This Row],[Player ID]]=0,"",INDEX(Table5[[#All],[Last]],MATCH(DraftResults[[#This Row],[Player ID]],Table5[[#All],[PID]],0)))</f>
        <v>Goto</v>
      </c>
    </row>
    <row r="632" spans="1:11" x14ac:dyDescent="0.3">
      <c r="A632">
        <v>19</v>
      </c>
      <c r="B632">
        <v>0</v>
      </c>
      <c r="C632">
        <v>26</v>
      </c>
      <c r="D632" t="s">
        <v>232</v>
      </c>
      <c r="E632">
        <v>19</v>
      </c>
      <c r="F632">
        <v>8854</v>
      </c>
      <c r="H632" s="19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629</v>
      </c>
      <c r="I632" s="19" t="str">
        <f>IF(DraftResults[[#This Row],[Player ID]]=0,"",INDEX(Table5[[#All],[Pos]],MATCH(DraftResults[[#This Row],[Player ID]],Table5[[#All],[PID]],0)))</f>
        <v>LF</v>
      </c>
      <c r="J632" s="19" t="str">
        <f>IF(DraftResults[[#This Row],[Player ID]]=0,"",INDEX(Table5[[#All],[First]],MATCH(DraftResults[[#This Row],[Player ID]],Table5[[#All],[PID]],0)))</f>
        <v>Eisuke</v>
      </c>
      <c r="K632" s="19" t="str">
        <f>IF(DraftResults[[#This Row],[Player ID]]=0,"",INDEX(Table5[[#All],[Last]],MATCH(DraftResults[[#This Row],[Player ID]],Table5[[#All],[PID]],0)))</f>
        <v>Suda</v>
      </c>
    </row>
    <row r="633" spans="1:11" x14ac:dyDescent="0.3">
      <c r="A633">
        <v>19</v>
      </c>
      <c r="B633">
        <v>0</v>
      </c>
      <c r="C633">
        <v>27</v>
      </c>
      <c r="D633" t="s">
        <v>417</v>
      </c>
      <c r="E633">
        <v>163</v>
      </c>
      <c r="F633">
        <v>6225</v>
      </c>
      <c r="H633" s="19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630</v>
      </c>
      <c r="I633" s="19" t="str">
        <f>IF(DraftResults[[#This Row],[Player ID]]=0,"",INDEX(Table5[[#All],[Pos]],MATCH(DraftResults[[#This Row],[Player ID]],Table5[[#All],[PID]],0)))</f>
        <v>RP</v>
      </c>
      <c r="J633" s="19" t="str">
        <f>IF(DraftResults[[#This Row],[Player ID]]=0,"",INDEX(Table5[[#All],[First]],MATCH(DraftResults[[#This Row],[Player ID]],Table5[[#All],[PID]],0)))</f>
        <v>Mitsukuni</v>
      </c>
      <c r="K633" s="19" t="str">
        <f>IF(DraftResults[[#This Row],[Player ID]]=0,"",INDEX(Table5[[#All],[Last]],MATCH(DraftResults[[#This Row],[Player ID]],Table5[[#All],[PID]],0)))</f>
        <v>Morita</v>
      </c>
    </row>
    <row r="634" spans="1:11" x14ac:dyDescent="0.3">
      <c r="A634">
        <v>19</v>
      </c>
      <c r="B634">
        <v>0</v>
      </c>
      <c r="C634">
        <v>28</v>
      </c>
      <c r="D634" t="s">
        <v>413</v>
      </c>
      <c r="E634">
        <v>2</v>
      </c>
      <c r="F634">
        <v>12846</v>
      </c>
      <c r="H634" s="19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631</v>
      </c>
      <c r="I634" s="19" t="str">
        <f>IF(DraftResults[[#This Row],[Player ID]]=0,"",INDEX(Table5[[#All],[Pos]],MATCH(DraftResults[[#This Row],[Player ID]],Table5[[#All],[PID]],0)))</f>
        <v>1B</v>
      </c>
      <c r="J634" s="19" t="str">
        <f>IF(DraftResults[[#This Row],[Player ID]]=0,"",INDEX(Table5[[#All],[First]],MATCH(DraftResults[[#This Row],[Player ID]],Table5[[#All],[PID]],0)))</f>
        <v>Heinrich</v>
      </c>
      <c r="K634" s="19" t="str">
        <f>IF(DraftResults[[#This Row],[Player ID]]=0,"",INDEX(Table5[[#All],[Last]],MATCH(DraftResults[[#This Row],[Player ID]],Table5[[#All],[PID]],0)))</f>
        <v>Wesselingh</v>
      </c>
    </row>
    <row r="635" spans="1:11" x14ac:dyDescent="0.3">
      <c r="A635">
        <v>19</v>
      </c>
      <c r="B635">
        <v>0</v>
      </c>
      <c r="C635">
        <v>29</v>
      </c>
      <c r="D635" t="s">
        <v>418</v>
      </c>
      <c r="E635">
        <v>161</v>
      </c>
      <c r="F635">
        <v>20275</v>
      </c>
      <c r="H635" s="19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632</v>
      </c>
      <c r="I635" s="19" t="str">
        <f>IF(DraftResults[[#This Row],[Player ID]]=0,"",INDEX(Table5[[#All],[Pos]],MATCH(DraftResults[[#This Row],[Player ID]],Table5[[#All],[PID]],0)))</f>
        <v>RP</v>
      </c>
      <c r="J635" s="19" t="str">
        <f>IF(DraftResults[[#This Row],[Player ID]]=0,"",INDEX(Table5[[#All],[First]],MATCH(DraftResults[[#This Row],[Player ID]],Table5[[#All],[PID]],0)))</f>
        <v>José</v>
      </c>
      <c r="K635" s="19" t="str">
        <f>IF(DraftResults[[#This Row],[Player ID]]=0,"",INDEX(Table5[[#All],[Last]],MATCH(DraftResults[[#This Row],[Player ID]],Table5[[#All],[PID]],0)))</f>
        <v>Contreras</v>
      </c>
    </row>
    <row r="636" spans="1:11" x14ac:dyDescent="0.3">
      <c r="A636">
        <v>19</v>
      </c>
      <c r="B636">
        <v>0</v>
      </c>
      <c r="C636">
        <v>30</v>
      </c>
      <c r="D636" t="s">
        <v>415</v>
      </c>
      <c r="E636">
        <v>166</v>
      </c>
      <c r="F636">
        <v>20606</v>
      </c>
      <c r="H636" s="19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633</v>
      </c>
      <c r="I636" s="19" t="str">
        <f>IF(DraftResults[[#This Row],[Player ID]]=0,"",INDEX(Table5[[#All],[Pos]],MATCH(DraftResults[[#This Row],[Player ID]],Table5[[#All],[PID]],0)))</f>
        <v>RP</v>
      </c>
      <c r="J636" s="19" t="str">
        <f>IF(DraftResults[[#This Row],[Player ID]]=0,"",INDEX(Table5[[#All],[First]],MATCH(DraftResults[[#This Row],[Player ID]],Table5[[#All],[PID]],0)))</f>
        <v>Zheng-ze</v>
      </c>
      <c r="K636" s="19" t="str">
        <f>IF(DraftResults[[#This Row],[Player ID]]=0,"",INDEX(Table5[[#All],[Last]],MATCH(DraftResults[[#This Row],[Player ID]],Table5[[#All],[PID]],0)))</f>
        <v>Quan</v>
      </c>
    </row>
    <row r="637" spans="1:11" x14ac:dyDescent="0.3">
      <c r="A637">
        <v>19</v>
      </c>
      <c r="B637">
        <v>0</v>
      </c>
      <c r="C637">
        <v>31</v>
      </c>
      <c r="D637" t="s">
        <v>238</v>
      </c>
      <c r="E637">
        <v>11</v>
      </c>
      <c r="F637">
        <v>21068</v>
      </c>
      <c r="H637" s="19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634</v>
      </c>
      <c r="I637" s="19" t="str">
        <f>IF(DraftResults[[#This Row],[Player ID]]=0,"",INDEX(Table5[[#All],[Pos]],MATCH(DraftResults[[#This Row],[Player ID]],Table5[[#All],[PID]],0)))</f>
        <v>2B</v>
      </c>
      <c r="J637" s="19" t="str">
        <f>IF(DraftResults[[#This Row],[Player ID]]=0,"",INDEX(Table5[[#All],[First]],MATCH(DraftResults[[#This Row],[Player ID]],Table5[[#All],[PID]],0)))</f>
        <v>Oliver</v>
      </c>
      <c r="K637" s="19" t="str">
        <f>IF(DraftResults[[#This Row],[Player ID]]=0,"",INDEX(Table5[[#All],[Last]],MATCH(DraftResults[[#This Row],[Player ID]],Table5[[#All],[PID]],0)))</f>
        <v>Catron</v>
      </c>
    </row>
    <row r="638" spans="1:11" x14ac:dyDescent="0.3">
      <c r="A638">
        <v>19</v>
      </c>
      <c r="B638">
        <v>0</v>
      </c>
      <c r="C638">
        <v>32</v>
      </c>
      <c r="D638" t="s">
        <v>546</v>
      </c>
      <c r="E638">
        <v>9</v>
      </c>
      <c r="F638">
        <v>10964</v>
      </c>
      <c r="H638" s="19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635</v>
      </c>
      <c r="I638" s="19" t="str">
        <f>IF(DraftResults[[#This Row],[Player ID]]=0,"",INDEX(Table5[[#All],[Pos]],MATCH(DraftResults[[#This Row],[Player ID]],Table5[[#All],[PID]],0)))</f>
        <v>RP</v>
      </c>
      <c r="J638" s="19" t="str">
        <f>IF(DraftResults[[#This Row],[Player ID]]=0,"",INDEX(Table5[[#All],[First]],MATCH(DraftResults[[#This Row],[Player ID]],Table5[[#All],[PID]],0)))</f>
        <v>Servaas</v>
      </c>
      <c r="K638" s="19" t="str">
        <f>IF(DraftResults[[#This Row],[Player ID]]=0,"",INDEX(Table5[[#All],[Last]],MATCH(DraftResults[[#This Row],[Player ID]],Table5[[#All],[PID]],0)))</f>
        <v>Wulms</v>
      </c>
    </row>
    <row r="639" spans="1:11" x14ac:dyDescent="0.3">
      <c r="A639">
        <v>19</v>
      </c>
      <c r="B639">
        <v>0</v>
      </c>
      <c r="C639">
        <v>33</v>
      </c>
      <c r="D639" t="s">
        <v>1614</v>
      </c>
      <c r="E639">
        <v>6</v>
      </c>
      <c r="F639">
        <v>20354</v>
      </c>
      <c r="H639" s="19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636</v>
      </c>
      <c r="I639" s="19" t="str">
        <f>IF(DraftResults[[#This Row],[Player ID]]=0,"",INDEX(Table5[[#All],[Pos]],MATCH(DraftResults[[#This Row],[Player ID]],Table5[[#All],[PID]],0)))</f>
        <v>RP</v>
      </c>
      <c r="J639" s="19" t="str">
        <f>IF(DraftResults[[#This Row],[Player ID]]=0,"",INDEX(Table5[[#All],[First]],MATCH(DraftResults[[#This Row],[Player ID]],Table5[[#All],[PID]],0)))</f>
        <v>Joe</v>
      </c>
      <c r="K639" s="19" t="str">
        <f>IF(DraftResults[[#This Row],[Player ID]]=0,"",INDEX(Table5[[#All],[Last]],MATCH(DraftResults[[#This Row],[Player ID]],Table5[[#All],[PID]],0)))</f>
        <v>Hamilton</v>
      </c>
    </row>
    <row r="640" spans="1:11" x14ac:dyDescent="0.3">
      <c r="A640">
        <v>19</v>
      </c>
      <c r="B640">
        <v>0</v>
      </c>
      <c r="C640">
        <v>34</v>
      </c>
      <c r="D640" t="s">
        <v>1615</v>
      </c>
      <c r="E640">
        <v>5</v>
      </c>
      <c r="F640">
        <v>8456</v>
      </c>
      <c r="H640" s="19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637</v>
      </c>
      <c r="I640" s="19" t="str">
        <f>IF(DraftResults[[#This Row],[Player ID]]=0,"",INDEX(Table5[[#All],[Pos]],MATCH(DraftResults[[#This Row],[Player ID]],Table5[[#All],[PID]],0)))</f>
        <v>RP</v>
      </c>
      <c r="J640" s="19" t="str">
        <f>IF(DraftResults[[#This Row],[Player ID]]=0,"",INDEX(Table5[[#All],[First]],MATCH(DraftResults[[#This Row],[Player ID]],Table5[[#All],[PID]],0)))</f>
        <v>Mike</v>
      </c>
      <c r="K640" s="19" t="str">
        <f>IF(DraftResults[[#This Row],[Player ID]]=0,"",INDEX(Table5[[#All],[Last]],MATCH(DraftResults[[#This Row],[Player ID]],Table5[[#All],[PID]],0)))</f>
        <v>Wooten</v>
      </c>
    </row>
    <row r="641" spans="1:11" x14ac:dyDescent="0.3">
      <c r="A641">
        <v>20</v>
      </c>
      <c r="B641">
        <v>0</v>
      </c>
      <c r="C641">
        <v>1</v>
      </c>
      <c r="D641" t="s">
        <v>542</v>
      </c>
      <c r="E641">
        <v>24</v>
      </c>
      <c r="F641">
        <v>10810</v>
      </c>
      <c r="H641" s="19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638</v>
      </c>
      <c r="I641" s="19" t="str">
        <f>IF(DraftResults[[#This Row],[Player ID]]=0,"",INDEX(Table5[[#All],[Pos]],MATCH(DraftResults[[#This Row],[Player ID]],Table5[[#All],[PID]],0)))</f>
        <v>RP</v>
      </c>
      <c r="J641" s="19" t="str">
        <f>IF(DraftResults[[#This Row],[Player ID]]=0,"",INDEX(Table5[[#All],[First]],MATCH(DraftResults[[#This Row],[Player ID]],Table5[[#All],[PID]],0)))</f>
        <v>Kanko</v>
      </c>
      <c r="K641" s="19" t="str">
        <f>IF(DraftResults[[#This Row],[Player ID]]=0,"",INDEX(Table5[[#All],[Last]],MATCH(DraftResults[[#This Row],[Player ID]],Table5[[#All],[PID]],0)))</f>
        <v>Harada</v>
      </c>
    </row>
    <row r="642" spans="1:11" x14ac:dyDescent="0.3">
      <c r="A642">
        <v>20</v>
      </c>
      <c r="B642">
        <v>0</v>
      </c>
      <c r="C642">
        <v>2</v>
      </c>
      <c r="D642" t="s">
        <v>488</v>
      </c>
      <c r="E642">
        <v>7</v>
      </c>
      <c r="F642">
        <v>10447</v>
      </c>
      <c r="H642" s="19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639</v>
      </c>
      <c r="I642" s="19" t="str">
        <f>IF(DraftResults[[#This Row],[Player ID]]=0,"",INDEX(Table5[[#All],[Pos]],MATCH(DraftResults[[#This Row],[Player ID]],Table5[[#All],[PID]],0)))</f>
        <v>RP</v>
      </c>
      <c r="J642" s="19" t="str">
        <f>IF(DraftResults[[#This Row],[Player ID]]=0,"",INDEX(Table5[[#All],[First]],MATCH(DraftResults[[#This Row],[Player ID]],Table5[[#All],[PID]],0)))</f>
        <v>John</v>
      </c>
      <c r="K642" s="19" t="str">
        <f>IF(DraftResults[[#This Row],[Player ID]]=0,"",INDEX(Table5[[#All],[Last]],MATCH(DraftResults[[#This Row],[Player ID]],Table5[[#All],[PID]],0)))</f>
        <v>Reid</v>
      </c>
    </row>
    <row r="643" spans="1:11" x14ac:dyDescent="0.3">
      <c r="A643">
        <v>20</v>
      </c>
      <c r="B643">
        <v>0</v>
      </c>
      <c r="C643">
        <v>3</v>
      </c>
      <c r="D643" t="s">
        <v>420</v>
      </c>
      <c r="E643">
        <v>167</v>
      </c>
      <c r="F643">
        <v>10943</v>
      </c>
      <c r="H643" s="19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640</v>
      </c>
      <c r="I643" s="19" t="str">
        <f>IF(DraftResults[[#This Row],[Player ID]]=0,"",INDEX(Table5[[#All],[Pos]],MATCH(DraftResults[[#This Row],[Player ID]],Table5[[#All],[PID]],0)))</f>
        <v>RP</v>
      </c>
      <c r="J643" s="19" t="str">
        <f>IF(DraftResults[[#This Row],[Player ID]]=0,"",INDEX(Table5[[#All],[First]],MATCH(DraftResults[[#This Row],[Player ID]],Table5[[#All],[PID]],0)))</f>
        <v>Trevor</v>
      </c>
      <c r="K643" s="19" t="str">
        <f>IF(DraftResults[[#This Row],[Player ID]]=0,"",INDEX(Table5[[#All],[Last]],MATCH(DraftResults[[#This Row],[Player ID]],Table5[[#All],[PID]],0)))</f>
        <v>van Egmond</v>
      </c>
    </row>
    <row r="644" spans="1:11" x14ac:dyDescent="0.3">
      <c r="A644">
        <v>20</v>
      </c>
      <c r="B644">
        <v>0</v>
      </c>
      <c r="C644">
        <v>4</v>
      </c>
      <c r="D644" t="s">
        <v>235</v>
      </c>
      <c r="E644">
        <v>21</v>
      </c>
      <c r="F644">
        <v>13224</v>
      </c>
      <c r="H644" s="19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641</v>
      </c>
      <c r="I644" s="19" t="str">
        <f>IF(DraftResults[[#This Row],[Player ID]]=0,"",INDEX(Table5[[#All],[Pos]],MATCH(DraftResults[[#This Row],[Player ID]],Table5[[#All],[PID]],0)))</f>
        <v>RP</v>
      </c>
      <c r="J644" s="19" t="str">
        <f>IF(DraftResults[[#This Row],[Player ID]]=0,"",INDEX(Table5[[#All],[First]],MATCH(DraftResults[[#This Row],[Player ID]],Table5[[#All],[PID]],0)))</f>
        <v>Akihito</v>
      </c>
      <c r="K644" s="19" t="str">
        <f>IF(DraftResults[[#This Row],[Player ID]]=0,"",INDEX(Table5[[#All],[Last]],MATCH(DraftResults[[#This Row],[Player ID]],Table5[[#All],[PID]],0)))</f>
        <v>Wada</v>
      </c>
    </row>
    <row r="645" spans="1:11" x14ac:dyDescent="0.3">
      <c r="A645">
        <v>20</v>
      </c>
      <c r="B645">
        <v>0</v>
      </c>
      <c r="C645">
        <v>5</v>
      </c>
      <c r="D645" t="s">
        <v>545</v>
      </c>
      <c r="E645">
        <v>23</v>
      </c>
      <c r="F645">
        <v>7475</v>
      </c>
      <c r="H645" s="19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642</v>
      </c>
      <c r="I645" s="19" t="str">
        <f>IF(DraftResults[[#This Row],[Player ID]]=0,"",INDEX(Table5[[#All],[Pos]],MATCH(DraftResults[[#This Row],[Player ID]],Table5[[#All],[PID]],0)))</f>
        <v>2B</v>
      </c>
      <c r="J645" s="19" t="str">
        <f>IF(DraftResults[[#This Row],[Player ID]]=0,"",INDEX(Table5[[#All],[First]],MATCH(DraftResults[[#This Row],[Player ID]],Table5[[#All],[PID]],0)))</f>
        <v>Ken</v>
      </c>
      <c r="K645" s="19" t="str">
        <f>IF(DraftResults[[#This Row],[Player ID]]=0,"",INDEX(Table5[[#All],[Last]],MATCH(DraftResults[[#This Row],[Player ID]],Table5[[#All],[PID]],0)))</f>
        <v>Guevara</v>
      </c>
    </row>
    <row r="646" spans="1:11" x14ac:dyDescent="0.3">
      <c r="A646">
        <v>20</v>
      </c>
      <c r="B646">
        <v>0</v>
      </c>
      <c r="C646">
        <v>6</v>
      </c>
      <c r="D646" t="s">
        <v>246</v>
      </c>
      <c r="E646">
        <v>8</v>
      </c>
      <c r="F646">
        <v>16888</v>
      </c>
      <c r="H646" s="19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643</v>
      </c>
      <c r="I646" s="19" t="str">
        <f>IF(DraftResults[[#This Row],[Player ID]]=0,"",INDEX(Table5[[#All],[Pos]],MATCH(DraftResults[[#This Row],[Player ID]],Table5[[#All],[PID]],0)))</f>
        <v>C</v>
      </c>
      <c r="J646" s="19" t="str">
        <f>IF(DraftResults[[#This Row],[Player ID]]=0,"",INDEX(Table5[[#All],[First]],MATCH(DraftResults[[#This Row],[Player ID]],Table5[[#All],[PID]],0)))</f>
        <v>Lorenzo</v>
      </c>
      <c r="K646" s="19" t="str">
        <f>IF(DraftResults[[#This Row],[Player ID]]=0,"",INDEX(Table5[[#All],[Last]],MATCH(DraftResults[[#This Row],[Player ID]],Table5[[#All],[PID]],0)))</f>
        <v>Ferrer</v>
      </c>
    </row>
    <row r="647" spans="1:11" x14ac:dyDescent="0.3">
      <c r="A647">
        <v>20</v>
      </c>
      <c r="B647">
        <v>0</v>
      </c>
      <c r="C647">
        <v>7</v>
      </c>
      <c r="D647" t="s">
        <v>419</v>
      </c>
      <c r="E647">
        <v>18</v>
      </c>
      <c r="F647">
        <v>9717</v>
      </c>
      <c r="H647" s="19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644</v>
      </c>
      <c r="I647" s="19" t="str">
        <f>IF(DraftResults[[#This Row],[Player ID]]=0,"",INDEX(Table5[[#All],[Pos]],MATCH(DraftResults[[#This Row],[Player ID]],Table5[[#All],[PID]],0)))</f>
        <v>RP</v>
      </c>
      <c r="J647" s="19" t="str">
        <f>IF(DraftResults[[#This Row],[Player ID]]=0,"",INDEX(Table5[[#All],[First]],MATCH(DraftResults[[#This Row],[Player ID]],Table5[[#All],[PID]],0)))</f>
        <v>Felipe</v>
      </c>
      <c r="K647" s="19" t="str">
        <f>IF(DraftResults[[#This Row],[Player ID]]=0,"",INDEX(Table5[[#All],[Last]],MATCH(DraftResults[[#This Row],[Player ID]],Table5[[#All],[PID]],0)))</f>
        <v>Vazquer</v>
      </c>
    </row>
    <row r="648" spans="1:11" x14ac:dyDescent="0.3">
      <c r="A648">
        <v>20</v>
      </c>
      <c r="B648">
        <v>0</v>
      </c>
      <c r="C648">
        <v>8</v>
      </c>
      <c r="D648" t="s">
        <v>1614</v>
      </c>
      <c r="E648">
        <v>6</v>
      </c>
      <c r="F648">
        <v>12065</v>
      </c>
      <c r="H648" s="19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645</v>
      </c>
      <c r="I648" s="19" t="str">
        <f>IF(DraftResults[[#This Row],[Player ID]]=0,"",INDEX(Table5[[#All],[Pos]],MATCH(DraftResults[[#This Row],[Player ID]],Table5[[#All],[PID]],0)))</f>
        <v>C</v>
      </c>
      <c r="J648" s="19" t="str">
        <f>IF(DraftResults[[#This Row],[Player ID]]=0,"",INDEX(Table5[[#All],[First]],MATCH(DraftResults[[#This Row],[Player ID]],Table5[[#All],[PID]],0)))</f>
        <v>Lionel</v>
      </c>
      <c r="K648" s="19" t="str">
        <f>IF(DraftResults[[#This Row],[Player ID]]=0,"",INDEX(Table5[[#All],[Last]],MATCH(DraftResults[[#This Row],[Player ID]],Table5[[#All],[PID]],0)))</f>
        <v>Ferrari</v>
      </c>
    </row>
    <row r="649" spans="1:11" x14ac:dyDescent="0.3">
      <c r="A649">
        <v>20</v>
      </c>
      <c r="B649">
        <v>0</v>
      </c>
      <c r="C649">
        <v>9</v>
      </c>
      <c r="D649" t="s">
        <v>1615</v>
      </c>
      <c r="E649">
        <v>5</v>
      </c>
      <c r="F649">
        <v>12785</v>
      </c>
      <c r="H649" s="19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646</v>
      </c>
      <c r="I649" s="19" t="str">
        <f>IF(DraftResults[[#This Row],[Player ID]]=0,"",INDEX(Table5[[#All],[Pos]],MATCH(DraftResults[[#This Row],[Player ID]],Table5[[#All],[PID]],0)))</f>
        <v>1B</v>
      </c>
      <c r="J649" s="19" t="str">
        <f>IF(DraftResults[[#This Row],[Player ID]]=0,"",INDEX(Table5[[#All],[First]],MATCH(DraftResults[[#This Row],[Player ID]],Table5[[#All],[PID]],0)))</f>
        <v>Raúl</v>
      </c>
      <c r="K649" s="19" t="str">
        <f>IF(DraftResults[[#This Row],[Player ID]]=0,"",INDEX(Table5[[#All],[Last]],MATCH(DraftResults[[#This Row],[Player ID]],Table5[[#All],[PID]],0)))</f>
        <v>Cantú</v>
      </c>
    </row>
    <row r="650" spans="1:11" x14ac:dyDescent="0.3">
      <c r="A650">
        <v>20</v>
      </c>
      <c r="B650">
        <v>0</v>
      </c>
      <c r="C650">
        <v>10</v>
      </c>
      <c r="D650" t="s">
        <v>240</v>
      </c>
      <c r="E650">
        <v>3</v>
      </c>
      <c r="F650">
        <v>5847</v>
      </c>
      <c r="H650" s="19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647</v>
      </c>
      <c r="I650" s="19" t="str">
        <f>IF(DraftResults[[#This Row],[Player ID]]=0,"",INDEX(Table5[[#All],[Pos]],MATCH(DraftResults[[#This Row],[Player ID]],Table5[[#All],[PID]],0)))</f>
        <v>1B</v>
      </c>
      <c r="J650" s="19" t="str">
        <f>IF(DraftResults[[#This Row],[Player ID]]=0,"",INDEX(Table5[[#All],[First]],MATCH(DraftResults[[#This Row],[Player ID]],Table5[[#All],[PID]],0)))</f>
        <v>Dave</v>
      </c>
      <c r="K650" s="19" t="str">
        <f>IF(DraftResults[[#This Row],[Player ID]]=0,"",INDEX(Table5[[#All],[Last]],MATCH(DraftResults[[#This Row],[Player ID]],Table5[[#All],[PID]],0)))</f>
        <v>Wallace</v>
      </c>
    </row>
    <row r="651" spans="1:11" x14ac:dyDescent="0.3">
      <c r="A651">
        <v>20</v>
      </c>
      <c r="B651">
        <v>0</v>
      </c>
      <c r="C651">
        <v>11</v>
      </c>
      <c r="D651" t="s">
        <v>241</v>
      </c>
      <c r="E651">
        <v>1</v>
      </c>
      <c r="F651">
        <v>13808</v>
      </c>
      <c r="H651" s="19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648</v>
      </c>
      <c r="I651" s="19" t="str">
        <f>IF(DraftResults[[#This Row],[Player ID]]=0,"",INDEX(Table5[[#All],[Pos]],MATCH(DraftResults[[#This Row],[Player ID]],Table5[[#All],[PID]],0)))</f>
        <v>RP</v>
      </c>
      <c r="J651" s="19" t="str">
        <f>IF(DraftResults[[#This Row],[Player ID]]=0,"",INDEX(Table5[[#All],[First]],MATCH(DraftResults[[#This Row],[Player ID]],Table5[[#All],[PID]],0)))</f>
        <v>Connor</v>
      </c>
      <c r="K651" s="19" t="str">
        <f>IF(DraftResults[[#This Row],[Player ID]]=0,"",INDEX(Table5[[#All],[Last]],MATCH(DraftResults[[#This Row],[Player ID]],Table5[[#All],[PID]],0)))</f>
        <v>Fletcher</v>
      </c>
    </row>
    <row r="652" spans="1:11" x14ac:dyDescent="0.3">
      <c r="A652">
        <v>20</v>
      </c>
      <c r="B652">
        <v>0</v>
      </c>
      <c r="C652">
        <v>12</v>
      </c>
      <c r="D652" t="s">
        <v>489</v>
      </c>
      <c r="E652">
        <v>4</v>
      </c>
      <c r="F652">
        <v>5064</v>
      </c>
      <c r="H652" s="19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649</v>
      </c>
      <c r="I652" s="19" t="str">
        <f>IF(DraftResults[[#This Row],[Player ID]]=0,"",INDEX(Table5[[#All],[Pos]],MATCH(DraftResults[[#This Row],[Player ID]],Table5[[#All],[PID]],0)))</f>
        <v>RP</v>
      </c>
      <c r="J652" s="19" t="str">
        <f>IF(DraftResults[[#This Row],[Player ID]]=0,"",INDEX(Table5[[#All],[First]],MATCH(DraftResults[[#This Row],[Player ID]],Table5[[#All],[PID]],0)))</f>
        <v>Germán</v>
      </c>
      <c r="K652" s="19" t="str">
        <f>IF(DraftResults[[#This Row],[Player ID]]=0,"",INDEX(Table5[[#All],[Last]],MATCH(DraftResults[[#This Row],[Player ID]],Table5[[#All],[PID]],0)))</f>
        <v>García</v>
      </c>
    </row>
    <row r="653" spans="1:11" x14ac:dyDescent="0.3">
      <c r="A653">
        <v>20</v>
      </c>
      <c r="B653">
        <v>0</v>
      </c>
      <c r="C653">
        <v>13</v>
      </c>
      <c r="D653" t="s">
        <v>414</v>
      </c>
      <c r="E653">
        <v>164</v>
      </c>
      <c r="F653">
        <v>5183</v>
      </c>
      <c r="H653" s="19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650</v>
      </c>
      <c r="I653" s="19" t="str">
        <f>IF(DraftResults[[#This Row],[Player ID]]=0,"",INDEX(Table5[[#All],[Pos]],MATCH(DraftResults[[#This Row],[Player ID]],Table5[[#All],[PID]],0)))</f>
        <v>RP</v>
      </c>
      <c r="J653" s="19" t="str">
        <f>IF(DraftResults[[#This Row],[Player ID]]=0,"",INDEX(Table5[[#All],[First]],MATCH(DraftResults[[#This Row],[Player ID]],Table5[[#All],[PID]],0)))</f>
        <v>Joe</v>
      </c>
      <c r="K653" s="19" t="str">
        <f>IF(DraftResults[[#This Row],[Player ID]]=0,"",INDEX(Table5[[#All],[Last]],MATCH(DraftResults[[#This Row],[Player ID]],Table5[[#All],[PID]],0)))</f>
        <v>Donahue</v>
      </c>
    </row>
    <row r="654" spans="1:11" x14ac:dyDescent="0.3">
      <c r="A654">
        <v>20</v>
      </c>
      <c r="B654">
        <v>0</v>
      </c>
      <c r="C654">
        <v>14</v>
      </c>
      <c r="D654" t="s">
        <v>251</v>
      </c>
      <c r="E654">
        <v>12</v>
      </c>
      <c r="F654">
        <v>12609</v>
      </c>
      <c r="H654" s="19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651</v>
      </c>
      <c r="I654" s="19" t="str">
        <f>IF(DraftResults[[#This Row],[Player ID]]=0,"",INDEX(Table5[[#All],[Pos]],MATCH(DraftResults[[#This Row],[Player ID]],Table5[[#All],[PID]],0)))</f>
        <v>RP</v>
      </c>
      <c r="J654" s="19" t="str">
        <f>IF(DraftResults[[#This Row],[Player ID]]=0,"",INDEX(Table5[[#All],[First]],MATCH(DraftResults[[#This Row],[Player ID]],Table5[[#All],[PID]],0)))</f>
        <v>Taisuke</v>
      </c>
      <c r="K654" s="19" t="str">
        <f>IF(DraftResults[[#This Row],[Player ID]]=0,"",INDEX(Table5[[#All],[Last]],MATCH(DraftResults[[#This Row],[Player ID]],Table5[[#All],[PID]],0)))</f>
        <v>Kawasaki</v>
      </c>
    </row>
    <row r="655" spans="1:11" x14ac:dyDescent="0.3">
      <c r="A655">
        <v>20</v>
      </c>
      <c r="B655">
        <v>0</v>
      </c>
      <c r="C655">
        <v>15</v>
      </c>
      <c r="D655" t="s">
        <v>543</v>
      </c>
      <c r="E655">
        <v>160</v>
      </c>
      <c r="F655">
        <v>6587</v>
      </c>
      <c r="H655" s="19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652</v>
      </c>
      <c r="I655" s="19" t="str">
        <f>IF(DraftResults[[#This Row],[Player ID]]=0,"",INDEX(Table5[[#All],[Pos]],MATCH(DraftResults[[#This Row],[Player ID]],Table5[[#All],[PID]],0)))</f>
        <v>RP</v>
      </c>
      <c r="J655" s="19" t="str">
        <f>IF(DraftResults[[#This Row],[Player ID]]=0,"",INDEX(Table5[[#All],[First]],MATCH(DraftResults[[#This Row],[Player ID]],Table5[[#All],[PID]],0)))</f>
        <v>Santiago</v>
      </c>
      <c r="K655" s="19" t="str">
        <f>IF(DraftResults[[#This Row],[Player ID]]=0,"",INDEX(Table5[[#All],[Last]],MATCH(DraftResults[[#This Row],[Player ID]],Table5[[#All],[PID]],0)))</f>
        <v>Hernández</v>
      </c>
    </row>
    <row r="656" spans="1:11" x14ac:dyDescent="0.3">
      <c r="A656">
        <v>20</v>
      </c>
      <c r="B656">
        <v>0</v>
      </c>
      <c r="C656">
        <v>16</v>
      </c>
      <c r="D656" t="s">
        <v>544</v>
      </c>
      <c r="E656">
        <v>13</v>
      </c>
      <c r="F656">
        <v>11989</v>
      </c>
      <c r="H656" s="19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653</v>
      </c>
      <c r="I656" s="19" t="str">
        <f>IF(DraftResults[[#This Row],[Player ID]]=0,"",INDEX(Table5[[#All],[Pos]],MATCH(DraftResults[[#This Row],[Player ID]],Table5[[#All],[PID]],0)))</f>
        <v>C</v>
      </c>
      <c r="J656" s="19" t="str">
        <f>IF(DraftResults[[#This Row],[Player ID]]=0,"",INDEX(Table5[[#All],[First]],MATCH(DraftResults[[#This Row],[Player ID]],Table5[[#All],[PID]],0)))</f>
        <v>Rafael</v>
      </c>
      <c r="K656" s="19" t="str">
        <f>IF(DraftResults[[#This Row],[Player ID]]=0,"",INDEX(Table5[[#All],[Last]],MATCH(DraftResults[[#This Row],[Player ID]],Table5[[#All],[PID]],0)))</f>
        <v>Chávez</v>
      </c>
    </row>
    <row r="657" spans="1:11" x14ac:dyDescent="0.3">
      <c r="A657">
        <v>20</v>
      </c>
      <c r="B657">
        <v>0</v>
      </c>
      <c r="C657">
        <v>17</v>
      </c>
      <c r="D657" t="s">
        <v>243</v>
      </c>
      <c r="E657">
        <v>15</v>
      </c>
      <c r="F657">
        <v>12924</v>
      </c>
      <c r="H657" s="19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654</v>
      </c>
      <c r="I657" s="19" t="str">
        <f>IF(DraftResults[[#This Row],[Player ID]]=0,"",INDEX(Table5[[#All],[Pos]],MATCH(DraftResults[[#This Row],[Player ID]],Table5[[#All],[PID]],0)))</f>
        <v>RP</v>
      </c>
      <c r="J657" s="19" t="str">
        <f>IF(DraftResults[[#This Row],[Player ID]]=0,"",INDEX(Table5[[#All],[First]],MATCH(DraftResults[[#This Row],[Player ID]],Table5[[#All],[PID]],0)))</f>
        <v>Jérôme</v>
      </c>
      <c r="K657" s="19" t="str">
        <f>IF(DraftResults[[#This Row],[Player ID]]=0,"",INDEX(Table5[[#All],[Last]],MATCH(DraftResults[[#This Row],[Player ID]],Table5[[#All],[PID]],0)))</f>
        <v>Vidal</v>
      </c>
    </row>
    <row r="658" spans="1:11" x14ac:dyDescent="0.3">
      <c r="A658">
        <v>20</v>
      </c>
      <c r="B658">
        <v>0</v>
      </c>
      <c r="C658">
        <v>18</v>
      </c>
      <c r="D658" t="s">
        <v>412</v>
      </c>
      <c r="E658">
        <v>162</v>
      </c>
      <c r="F658">
        <v>16917</v>
      </c>
      <c r="H658" s="19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655</v>
      </c>
      <c r="I658" s="19" t="str">
        <f>IF(DraftResults[[#This Row],[Player ID]]=0,"",INDEX(Table5[[#All],[Pos]],MATCH(DraftResults[[#This Row],[Player ID]],Table5[[#All],[PID]],0)))</f>
        <v>3B</v>
      </c>
      <c r="J658" s="19" t="str">
        <f>IF(DraftResults[[#This Row],[Player ID]]=0,"",INDEX(Table5[[#All],[First]],MATCH(DraftResults[[#This Row],[Player ID]],Table5[[#All],[PID]],0)))</f>
        <v>Miguel</v>
      </c>
      <c r="K658" s="19" t="str">
        <f>IF(DraftResults[[#This Row],[Player ID]]=0,"",INDEX(Table5[[#All],[Last]],MATCH(DraftResults[[#This Row],[Player ID]],Table5[[#All],[PID]],0)))</f>
        <v>Montáñez</v>
      </c>
    </row>
    <row r="659" spans="1:11" x14ac:dyDescent="0.3">
      <c r="A659">
        <v>20</v>
      </c>
      <c r="B659">
        <v>0</v>
      </c>
      <c r="C659">
        <v>19</v>
      </c>
      <c r="D659" t="s">
        <v>247</v>
      </c>
      <c r="E659">
        <v>16</v>
      </c>
      <c r="F659">
        <v>13669</v>
      </c>
      <c r="H659" s="19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656</v>
      </c>
      <c r="I659" s="19" t="str">
        <f>IF(DraftResults[[#This Row],[Player ID]]=0,"",INDEX(Table5[[#All],[Pos]],MATCH(DraftResults[[#This Row],[Player ID]],Table5[[#All],[PID]],0)))</f>
        <v>1B</v>
      </c>
      <c r="J659" s="19" t="str">
        <f>IF(DraftResults[[#This Row],[Player ID]]=0,"",INDEX(Table5[[#All],[First]],MATCH(DraftResults[[#This Row],[Player ID]],Table5[[#All],[PID]],0)))</f>
        <v>Arturo</v>
      </c>
      <c r="K659" s="19" t="str">
        <f>IF(DraftResults[[#This Row],[Player ID]]=0,"",INDEX(Table5[[#All],[Last]],MATCH(DraftResults[[#This Row],[Player ID]],Table5[[#All],[PID]],0)))</f>
        <v>Rocha</v>
      </c>
    </row>
    <row r="660" spans="1:11" x14ac:dyDescent="0.3">
      <c r="A660">
        <v>20</v>
      </c>
      <c r="B660">
        <v>0</v>
      </c>
      <c r="C660">
        <v>20</v>
      </c>
      <c r="D660" t="s">
        <v>242</v>
      </c>
      <c r="E660">
        <v>14</v>
      </c>
      <c r="F660">
        <v>7942</v>
      </c>
      <c r="H660" s="19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657</v>
      </c>
      <c r="I660" s="19" t="str">
        <f>IF(DraftResults[[#This Row],[Player ID]]=0,"",INDEX(Table5[[#All],[Pos]],MATCH(DraftResults[[#This Row],[Player ID]],Table5[[#All],[PID]],0)))</f>
        <v>RP</v>
      </c>
      <c r="J660" s="19" t="str">
        <f>IF(DraftResults[[#This Row],[Player ID]]=0,"",INDEX(Table5[[#All],[First]],MATCH(DraftResults[[#This Row],[Player ID]],Table5[[#All],[PID]],0)))</f>
        <v>Mark</v>
      </c>
      <c r="K660" s="19" t="str">
        <f>IF(DraftResults[[#This Row],[Player ID]]=0,"",INDEX(Table5[[#All],[Last]],MATCH(DraftResults[[#This Row],[Player ID]],Table5[[#All],[PID]],0)))</f>
        <v>Douglas</v>
      </c>
    </row>
    <row r="661" spans="1:11" x14ac:dyDescent="0.3">
      <c r="A661">
        <v>20</v>
      </c>
      <c r="B661">
        <v>0</v>
      </c>
      <c r="C661">
        <v>21</v>
      </c>
      <c r="D661" t="s">
        <v>416</v>
      </c>
      <c r="E661">
        <v>159</v>
      </c>
      <c r="F661">
        <v>11931</v>
      </c>
      <c r="H661" s="19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658</v>
      </c>
      <c r="I661" s="19" t="str">
        <f>IF(DraftResults[[#This Row],[Player ID]]=0,"",INDEX(Table5[[#All],[Pos]],MATCH(DraftResults[[#This Row],[Player ID]],Table5[[#All],[PID]],0)))</f>
        <v>RF</v>
      </c>
      <c r="J661" s="19" t="str">
        <f>IF(DraftResults[[#This Row],[Player ID]]=0,"",INDEX(Table5[[#All],[First]],MATCH(DraftResults[[#This Row],[Player ID]],Table5[[#All],[PID]],0)))</f>
        <v>Juan</v>
      </c>
      <c r="K661" s="19" t="str">
        <f>IF(DraftResults[[#This Row],[Player ID]]=0,"",INDEX(Table5[[#All],[Last]],MATCH(DraftResults[[#This Row],[Player ID]],Table5[[#All],[PID]],0)))</f>
        <v>Gonzáles</v>
      </c>
    </row>
    <row r="662" spans="1:11" x14ac:dyDescent="0.3">
      <c r="A662">
        <v>20</v>
      </c>
      <c r="B662">
        <v>0</v>
      </c>
      <c r="C662">
        <v>22</v>
      </c>
      <c r="D662" t="s">
        <v>244</v>
      </c>
      <c r="E662">
        <v>20</v>
      </c>
      <c r="F662">
        <v>17037</v>
      </c>
      <c r="H662" s="19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659</v>
      </c>
      <c r="I662" s="19" t="str">
        <f>IF(DraftResults[[#This Row],[Player ID]]=0,"",INDEX(Table5[[#All],[Pos]],MATCH(DraftResults[[#This Row],[Player ID]],Table5[[#All],[PID]],0)))</f>
        <v>RP</v>
      </c>
      <c r="J662" s="19" t="str">
        <f>IF(DraftResults[[#This Row],[Player ID]]=0,"",INDEX(Table5[[#All],[First]],MATCH(DraftResults[[#This Row],[Player ID]],Table5[[#All],[PID]],0)))</f>
        <v>Cris</v>
      </c>
      <c r="K662" s="19" t="str">
        <f>IF(DraftResults[[#This Row],[Player ID]]=0,"",INDEX(Table5[[#All],[Last]],MATCH(DraftResults[[#This Row],[Player ID]],Table5[[#All],[PID]],0)))</f>
        <v>Pacheco</v>
      </c>
    </row>
    <row r="663" spans="1:11" x14ac:dyDescent="0.3">
      <c r="A663">
        <v>20</v>
      </c>
      <c r="B663">
        <v>0</v>
      </c>
      <c r="C663">
        <v>23</v>
      </c>
      <c r="D663" t="s">
        <v>239</v>
      </c>
      <c r="E663">
        <v>10</v>
      </c>
      <c r="F663">
        <v>21100</v>
      </c>
      <c r="H663" s="19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660</v>
      </c>
      <c r="I663" s="19" t="str">
        <f>IF(DraftResults[[#This Row],[Player ID]]=0,"",INDEX(Table5[[#All],[Pos]],MATCH(DraftResults[[#This Row],[Player ID]],Table5[[#All],[PID]],0)))</f>
        <v>RP</v>
      </c>
      <c r="J663" s="19" t="str">
        <f>IF(DraftResults[[#This Row],[Player ID]]=0,"",INDEX(Table5[[#All],[First]],MATCH(DraftResults[[#This Row],[Player ID]],Table5[[#All],[PID]],0)))</f>
        <v>Kennedy</v>
      </c>
      <c r="K663" s="19" t="str">
        <f>IF(DraftResults[[#This Row],[Player ID]]=0,"",INDEX(Table5[[#All],[Last]],MATCH(DraftResults[[#This Row],[Player ID]],Table5[[#All],[PID]],0)))</f>
        <v>Tableter</v>
      </c>
    </row>
    <row r="664" spans="1:11" x14ac:dyDescent="0.3">
      <c r="A664">
        <v>20</v>
      </c>
      <c r="B664">
        <v>0</v>
      </c>
      <c r="C664">
        <v>24</v>
      </c>
      <c r="D664" t="s">
        <v>233</v>
      </c>
      <c r="E664">
        <v>22</v>
      </c>
      <c r="F664">
        <v>9661</v>
      </c>
      <c r="H664" s="19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661</v>
      </c>
      <c r="I664" s="19" t="str">
        <f>IF(DraftResults[[#This Row],[Player ID]]=0,"",INDEX(Table5[[#All],[Pos]],MATCH(DraftResults[[#This Row],[Player ID]],Table5[[#All],[PID]],0)))</f>
        <v>RP</v>
      </c>
      <c r="J664" s="19" t="str">
        <f>IF(DraftResults[[#This Row],[Player ID]]=0,"",INDEX(Table5[[#All],[First]],MATCH(DraftResults[[#This Row],[Player ID]],Table5[[#All],[PID]],0)))</f>
        <v>Dennis</v>
      </c>
      <c r="K664" s="19" t="str">
        <f>IF(DraftResults[[#This Row],[Player ID]]=0,"",INDEX(Table5[[#All],[Last]],MATCH(DraftResults[[#This Row],[Player ID]],Table5[[#All],[PID]],0)))</f>
        <v>Underwood</v>
      </c>
    </row>
    <row r="665" spans="1:11" x14ac:dyDescent="0.3">
      <c r="A665">
        <v>20</v>
      </c>
      <c r="B665">
        <v>0</v>
      </c>
      <c r="C665">
        <v>25</v>
      </c>
      <c r="D665" t="s">
        <v>236</v>
      </c>
      <c r="E665">
        <v>17</v>
      </c>
      <c r="F665">
        <v>8832</v>
      </c>
      <c r="H665" s="19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662</v>
      </c>
      <c r="I665" s="19" t="str">
        <f>IF(DraftResults[[#This Row],[Player ID]]=0,"",INDEX(Table5[[#All],[Pos]],MATCH(DraftResults[[#This Row],[Player ID]],Table5[[#All],[PID]],0)))</f>
        <v>RP</v>
      </c>
      <c r="J665" s="19" t="str">
        <f>IF(DraftResults[[#This Row],[Player ID]]=0,"",INDEX(Table5[[#All],[First]],MATCH(DraftResults[[#This Row],[Player ID]],Table5[[#All],[PID]],0)))</f>
        <v>Nick</v>
      </c>
      <c r="K665" s="19" t="str">
        <f>IF(DraftResults[[#This Row],[Player ID]]=0,"",INDEX(Table5[[#All],[Last]],MATCH(DraftResults[[#This Row],[Player ID]],Table5[[#All],[PID]],0)))</f>
        <v>Amador</v>
      </c>
    </row>
    <row r="666" spans="1:11" x14ac:dyDescent="0.3">
      <c r="A666">
        <v>20</v>
      </c>
      <c r="B666">
        <v>0</v>
      </c>
      <c r="C666">
        <v>26</v>
      </c>
      <c r="D666" t="s">
        <v>232</v>
      </c>
      <c r="E666">
        <v>19</v>
      </c>
      <c r="F666">
        <v>15898</v>
      </c>
      <c r="H666" s="19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663</v>
      </c>
      <c r="I666" s="19" t="str">
        <f>IF(DraftResults[[#This Row],[Player ID]]=0,"",INDEX(Table5[[#All],[Pos]],MATCH(DraftResults[[#This Row],[Player ID]],Table5[[#All],[PID]],0)))</f>
        <v>2B</v>
      </c>
      <c r="J666" s="19" t="str">
        <f>IF(DraftResults[[#This Row],[Player ID]]=0,"",INDEX(Table5[[#All],[First]],MATCH(DraftResults[[#This Row],[Player ID]],Table5[[#All],[PID]],0)))</f>
        <v>Howard</v>
      </c>
      <c r="K666" s="19" t="str">
        <f>IF(DraftResults[[#This Row],[Player ID]]=0,"",INDEX(Table5[[#All],[Last]],MATCH(DraftResults[[#This Row],[Player ID]],Table5[[#All],[PID]],0)))</f>
        <v>Huxtable</v>
      </c>
    </row>
    <row r="667" spans="1:11" x14ac:dyDescent="0.3">
      <c r="A667">
        <v>20</v>
      </c>
      <c r="B667">
        <v>0</v>
      </c>
      <c r="C667">
        <v>27</v>
      </c>
      <c r="D667" t="s">
        <v>417</v>
      </c>
      <c r="E667">
        <v>163</v>
      </c>
      <c r="F667">
        <v>12318</v>
      </c>
      <c r="H667" s="19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664</v>
      </c>
      <c r="I667" s="19" t="str">
        <f>IF(DraftResults[[#This Row],[Player ID]]=0,"",INDEX(Table5[[#All],[Pos]],MATCH(DraftResults[[#This Row],[Player ID]],Table5[[#All],[PID]],0)))</f>
        <v>RP</v>
      </c>
      <c r="J667" s="19" t="str">
        <f>IF(DraftResults[[#This Row],[Player ID]]=0,"",INDEX(Table5[[#All],[First]],MATCH(DraftResults[[#This Row],[Player ID]],Table5[[#All],[PID]],0)))</f>
        <v>Juichi</v>
      </c>
      <c r="K667" s="19" t="str">
        <f>IF(DraftResults[[#This Row],[Player ID]]=0,"",INDEX(Table5[[#All],[Last]],MATCH(DraftResults[[#This Row],[Player ID]],Table5[[#All],[PID]],0)))</f>
        <v>Suzuki</v>
      </c>
    </row>
    <row r="668" spans="1:11" x14ac:dyDescent="0.3">
      <c r="A668">
        <v>20</v>
      </c>
      <c r="B668">
        <v>0</v>
      </c>
      <c r="C668">
        <v>28</v>
      </c>
      <c r="D668" t="s">
        <v>413</v>
      </c>
      <c r="E668">
        <v>2</v>
      </c>
      <c r="F668">
        <v>11384</v>
      </c>
      <c r="H668" s="19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665</v>
      </c>
      <c r="I668" s="19" t="str">
        <f>IF(DraftResults[[#This Row],[Player ID]]=0,"",INDEX(Table5[[#All],[Pos]],MATCH(DraftResults[[#This Row],[Player ID]],Table5[[#All],[PID]],0)))</f>
        <v>1B</v>
      </c>
      <c r="J668" s="19" t="str">
        <f>IF(DraftResults[[#This Row],[Player ID]]=0,"",INDEX(Table5[[#All],[First]],MATCH(DraftResults[[#This Row],[Player ID]],Table5[[#All],[PID]],0)))</f>
        <v>José</v>
      </c>
      <c r="K668" s="19" t="str">
        <f>IF(DraftResults[[#This Row],[Player ID]]=0,"",INDEX(Table5[[#All],[Last]],MATCH(DraftResults[[#This Row],[Player ID]],Table5[[#All],[PID]],0)))</f>
        <v>Flores</v>
      </c>
    </row>
    <row r="669" spans="1:11" x14ac:dyDescent="0.3">
      <c r="A669">
        <v>20</v>
      </c>
      <c r="B669">
        <v>0</v>
      </c>
      <c r="C669">
        <v>29</v>
      </c>
      <c r="D669" t="s">
        <v>418</v>
      </c>
      <c r="E669">
        <v>161</v>
      </c>
      <c r="F669">
        <v>12667</v>
      </c>
      <c r="H669" s="19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666</v>
      </c>
      <c r="I669" s="19" t="str">
        <f>IF(DraftResults[[#This Row],[Player ID]]=0,"",INDEX(Table5[[#All],[Pos]],MATCH(DraftResults[[#This Row],[Player ID]],Table5[[#All],[PID]],0)))</f>
        <v>RP</v>
      </c>
      <c r="J669" s="19" t="str">
        <f>IF(DraftResults[[#This Row],[Player ID]]=0,"",INDEX(Table5[[#All],[First]],MATCH(DraftResults[[#This Row],[Player ID]],Table5[[#All],[PID]],0)))</f>
        <v>Shuji</v>
      </c>
      <c r="K669" s="19" t="str">
        <f>IF(DraftResults[[#This Row],[Player ID]]=0,"",INDEX(Table5[[#All],[Last]],MATCH(DraftResults[[#This Row],[Player ID]],Table5[[#All],[PID]],0)))</f>
        <v>Yamasaki</v>
      </c>
    </row>
    <row r="670" spans="1:11" x14ac:dyDescent="0.3">
      <c r="A670">
        <v>20</v>
      </c>
      <c r="B670">
        <v>0</v>
      </c>
      <c r="C670">
        <v>30</v>
      </c>
      <c r="D670" t="s">
        <v>415</v>
      </c>
      <c r="E670">
        <v>166</v>
      </c>
      <c r="F670">
        <v>13512</v>
      </c>
      <c r="H670" s="19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667</v>
      </c>
      <c r="I670" s="19" t="str">
        <f>IF(DraftResults[[#This Row],[Player ID]]=0,"",INDEX(Table5[[#All],[Pos]],MATCH(DraftResults[[#This Row],[Player ID]],Table5[[#All],[PID]],0)))</f>
        <v>SP</v>
      </c>
      <c r="J670" s="19" t="str">
        <f>IF(DraftResults[[#This Row],[Player ID]]=0,"",INDEX(Table5[[#All],[First]],MATCH(DraftResults[[#This Row],[Player ID]],Table5[[#All],[PID]],0)))</f>
        <v>Junzo</v>
      </c>
      <c r="K670" s="19" t="str">
        <f>IF(DraftResults[[#This Row],[Player ID]]=0,"",INDEX(Table5[[#All],[Last]],MATCH(DraftResults[[#This Row],[Player ID]],Table5[[#All],[PID]],0)))</f>
        <v>Nakamura</v>
      </c>
    </row>
    <row r="671" spans="1:11" x14ac:dyDescent="0.3">
      <c r="A671">
        <v>20</v>
      </c>
      <c r="B671">
        <v>0</v>
      </c>
      <c r="C671">
        <v>31</v>
      </c>
      <c r="D671" t="s">
        <v>238</v>
      </c>
      <c r="E671">
        <v>11</v>
      </c>
      <c r="F671">
        <v>20514</v>
      </c>
      <c r="H671" s="19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668</v>
      </c>
      <c r="I671" s="19" t="str">
        <f>IF(DraftResults[[#This Row],[Player ID]]=0,"",INDEX(Table5[[#All],[Pos]],MATCH(DraftResults[[#This Row],[Player ID]],Table5[[#All],[PID]],0)))</f>
        <v>C</v>
      </c>
      <c r="J671" s="19" t="str">
        <f>IF(DraftResults[[#This Row],[Player ID]]=0,"",INDEX(Table5[[#All],[First]],MATCH(DraftResults[[#This Row],[Player ID]],Table5[[#All],[PID]],0)))</f>
        <v>Jejomar</v>
      </c>
      <c r="K671" s="19" t="str">
        <f>IF(DraftResults[[#This Row],[Player ID]]=0,"",INDEX(Table5[[#All],[Last]],MATCH(DraftResults[[#This Row],[Player ID]],Table5[[#All],[PID]],0)))</f>
        <v>Castillanes</v>
      </c>
    </row>
    <row r="672" spans="1:11" x14ac:dyDescent="0.3">
      <c r="A672">
        <v>20</v>
      </c>
      <c r="B672">
        <v>0</v>
      </c>
      <c r="C672">
        <v>32</v>
      </c>
      <c r="D672" t="s">
        <v>546</v>
      </c>
      <c r="E672">
        <v>9</v>
      </c>
      <c r="F672">
        <v>9861</v>
      </c>
      <c r="H672" s="19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669</v>
      </c>
      <c r="I672" s="19" t="str">
        <f>IF(DraftResults[[#This Row],[Player ID]]=0,"",INDEX(Table5[[#All],[Pos]],MATCH(DraftResults[[#This Row],[Player ID]],Table5[[#All],[PID]],0)))</f>
        <v>1B</v>
      </c>
      <c r="J672" s="19" t="str">
        <f>IF(DraftResults[[#This Row],[Player ID]]=0,"",INDEX(Table5[[#All],[First]],MATCH(DraftResults[[#This Row],[Player ID]],Table5[[#All],[PID]],0)))</f>
        <v>Steve</v>
      </c>
      <c r="K672" s="19" t="str">
        <f>IF(DraftResults[[#This Row],[Player ID]]=0,"",INDEX(Table5[[#All],[Last]],MATCH(DraftResults[[#This Row],[Player ID]],Table5[[#All],[PID]],0)))</f>
        <v>Cochrane</v>
      </c>
    </row>
    <row r="673" spans="1:11" x14ac:dyDescent="0.3">
      <c r="A673">
        <v>20</v>
      </c>
      <c r="B673">
        <v>0</v>
      </c>
      <c r="C673">
        <v>33</v>
      </c>
      <c r="D673" t="s">
        <v>1615</v>
      </c>
      <c r="E673">
        <v>5</v>
      </c>
      <c r="F673">
        <v>6152</v>
      </c>
      <c r="H673" s="19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670</v>
      </c>
      <c r="I673" s="19" t="str">
        <f>IF(DraftResults[[#This Row],[Player ID]]=0,"",INDEX(Table5[[#All],[Pos]],MATCH(DraftResults[[#This Row],[Player ID]],Table5[[#All],[PID]],0)))</f>
        <v>LF</v>
      </c>
      <c r="J673" s="19" t="str">
        <f>IF(DraftResults[[#This Row],[Player ID]]=0,"",INDEX(Table5[[#All],[First]],MATCH(DraftResults[[#This Row],[Player ID]],Table5[[#All],[PID]],0)))</f>
        <v>Daniel</v>
      </c>
      <c r="K673" s="19" t="str">
        <f>IF(DraftResults[[#This Row],[Player ID]]=0,"",INDEX(Table5[[#All],[Last]],MATCH(DraftResults[[#This Row],[Player ID]],Table5[[#All],[PID]],0)))</f>
        <v>Nuesink</v>
      </c>
    </row>
    <row r="674" spans="1:11" x14ac:dyDescent="0.3">
      <c r="A674">
        <v>20</v>
      </c>
      <c r="B674">
        <v>0</v>
      </c>
      <c r="C674">
        <v>34</v>
      </c>
      <c r="D674" t="s">
        <v>1614</v>
      </c>
      <c r="E674">
        <v>6</v>
      </c>
      <c r="F674">
        <v>13955</v>
      </c>
      <c r="H674" s="19">
        <f>COUNTIF(DraftResults[[#All],[Round]],"&lt;"&amp;DraftResults[[#This Row],[Round]])+COUNTIFS(DraftResults[[#All],[Round]],"="&amp;DraftResults[[#This Row],[Round]],DraftResults[[#All],[Supplemental]],"&lt;"&amp;DraftResults[[#This Row],[Supplemental]])++COUNTIFS(DraftResults[[#All],[Round]],"="&amp;DraftResults[[#This Row],[Round]],DraftResults[[#All],[Supplemental]],"="&amp;DraftResults[[#This Row],[Supplemental]],DraftResults[[#All],[Pick in Round]],"&lt;="&amp;DraftResults[[#This Row],[Pick in Round]])</f>
        <v>671</v>
      </c>
      <c r="I674" s="19" t="str">
        <f>IF(DraftResults[[#This Row],[Player ID]]=0,"",INDEX(Table5[[#All],[Pos]],MATCH(DraftResults[[#This Row],[Player ID]],Table5[[#All],[PID]],0)))</f>
        <v>RP</v>
      </c>
      <c r="J674" s="19" t="str">
        <f>IF(DraftResults[[#This Row],[Player ID]]=0,"",INDEX(Table5[[#All],[First]],MATCH(DraftResults[[#This Row],[Player ID]],Table5[[#All],[PID]],0)))</f>
        <v>Carl</v>
      </c>
      <c r="K674" s="19" t="str">
        <f>IF(DraftResults[[#This Row],[Player ID]]=0,"",INDEX(Table5[[#All],[Last]],MATCH(DraftResults[[#This Row],[Player ID]],Table5[[#All],[PID]],0)))</f>
        <v>Wingate</v>
      </c>
    </row>
  </sheetData>
  <pageMargins left="0.7" right="0.7" top="0.75" bottom="0.75" header="0.3" footer="0.3"/>
  <pageSetup orientation="portrait" horizontalDpi="4294967293" verticalDpi="0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E20"/>
  <sheetViews>
    <sheetView workbookViewId="0">
      <pane xSplit="9" ySplit="4" topLeftCell="J5" activePane="bottomRight" state="frozenSplit"/>
      <selection pane="topRight" activeCell="J1" sqref="J1"/>
      <selection pane="bottomLeft" activeCell="A5" sqref="A5"/>
      <selection pane="bottomRight" activeCell="A5" sqref="A5"/>
    </sheetView>
  </sheetViews>
  <sheetFormatPr defaultRowHeight="14.4" x14ac:dyDescent="0.3"/>
  <cols>
    <col min="1" max="1" width="8.44140625" customWidth="1"/>
    <col min="2" max="2" width="4.5546875" hidden="1" customWidth="1"/>
    <col min="3" max="3" width="5.33203125" hidden="1" customWidth="1"/>
    <col min="4" max="4" width="6" bestFit="1" customWidth="1"/>
    <col min="5" max="5" width="4.109375" style="6" bestFit="1" customWidth="1"/>
    <col min="6" max="6" width="19.109375" style="7" bestFit="1" customWidth="1"/>
    <col min="7" max="7" width="4.44140625" style="7" bestFit="1" customWidth="1"/>
    <col min="8" max="8" width="2.109375" style="7" bestFit="1" customWidth="1"/>
    <col min="9" max="9" width="2.109375" style="3" bestFit="1" customWidth="1"/>
    <col min="10" max="10" width="9.5546875" bestFit="1" customWidth="1"/>
    <col min="11" max="11" width="9.5546875" style="3" bestFit="1" customWidth="1"/>
    <col min="12" max="12" width="4.44140625" bestFit="1" customWidth="1"/>
    <col min="13" max="13" width="5" bestFit="1" customWidth="1"/>
    <col min="14" max="14" width="4.88671875" bestFit="1" customWidth="1"/>
    <col min="15" max="15" width="11.109375" bestFit="1" customWidth="1"/>
    <col min="16" max="16" width="4.44140625" style="3" bestFit="1" customWidth="1"/>
    <col min="17" max="17" width="6.5546875" bestFit="1" customWidth="1"/>
    <col min="18" max="18" width="6.6640625" style="3" bestFit="1" customWidth="1"/>
    <col min="19" max="19" width="11.5546875" bestFit="1" customWidth="1"/>
    <col min="20" max="20" width="7" style="3" bestFit="1" customWidth="1"/>
    <col min="23" max="23" width="9.109375" style="3"/>
  </cols>
  <sheetData>
    <row r="1" spans="1:31" x14ac:dyDescent="0.3">
      <c r="D1">
        <v>2</v>
      </c>
      <c r="E1" s="6">
        <v>3</v>
      </c>
      <c r="F1" s="7">
        <v>4</v>
      </c>
      <c r="G1" s="7">
        <v>5</v>
      </c>
      <c r="H1" s="7">
        <v>6</v>
      </c>
      <c r="I1" s="3">
        <v>7</v>
      </c>
      <c r="J1">
        <v>10</v>
      </c>
      <c r="K1" s="3">
        <v>11</v>
      </c>
      <c r="L1">
        <v>17</v>
      </c>
      <c r="M1">
        <v>18</v>
      </c>
      <c r="N1">
        <v>19</v>
      </c>
      <c r="O1">
        <v>20</v>
      </c>
      <c r="P1" s="3">
        <v>21</v>
      </c>
      <c r="Q1">
        <v>41</v>
      </c>
      <c r="R1" s="3">
        <v>42</v>
      </c>
      <c r="S1">
        <v>36</v>
      </c>
      <c r="T1" s="3">
        <v>46</v>
      </c>
      <c r="X1">
        <v>3</v>
      </c>
      <c r="Y1">
        <v>4</v>
      </c>
      <c r="Z1">
        <v>6</v>
      </c>
      <c r="AA1">
        <v>7</v>
      </c>
      <c r="AB1" t="s">
        <v>205</v>
      </c>
      <c r="AC1" t="e">
        <f>AVERAGE(AC5:AC105)</f>
        <v>#DIV/0!</v>
      </c>
    </row>
    <row r="2" spans="1:31" x14ac:dyDescent="0.3">
      <c r="D2">
        <v>2</v>
      </c>
      <c r="E2" s="6">
        <v>3</v>
      </c>
      <c r="F2" s="7">
        <v>4</v>
      </c>
      <c r="G2" s="7">
        <v>5</v>
      </c>
      <c r="H2" s="7">
        <v>6</v>
      </c>
      <c r="I2" s="3">
        <v>7</v>
      </c>
      <c r="J2">
        <v>10</v>
      </c>
      <c r="K2" s="3">
        <v>11</v>
      </c>
      <c r="L2">
        <v>15</v>
      </c>
      <c r="M2">
        <v>16</v>
      </c>
      <c r="N2">
        <v>17</v>
      </c>
      <c r="O2">
        <v>42</v>
      </c>
      <c r="P2" s="3">
        <v>43</v>
      </c>
      <c r="Q2">
        <v>51</v>
      </c>
      <c r="R2" s="3">
        <v>52</v>
      </c>
      <c r="S2">
        <v>45</v>
      </c>
      <c r="T2" s="3">
        <v>56</v>
      </c>
    </row>
    <row r="3" spans="1:31" x14ac:dyDescent="0.3">
      <c r="L3" t="s">
        <v>206</v>
      </c>
      <c r="M3" t="s">
        <v>207</v>
      </c>
      <c r="N3" t="s">
        <v>208</v>
      </c>
      <c r="O3" t="s">
        <v>209</v>
      </c>
      <c r="P3" s="3" t="s">
        <v>210</v>
      </c>
      <c r="S3" s="5">
        <v>2000000</v>
      </c>
      <c r="X3">
        <v>24</v>
      </c>
      <c r="Y3">
        <v>8</v>
      </c>
      <c r="AB3" t="s">
        <v>211</v>
      </c>
      <c r="AC3" t="e">
        <f>MEDIAN(AC5:AC105)</f>
        <v>#NUM!</v>
      </c>
    </row>
    <row r="4" spans="1:31" s="1" customFormat="1" x14ac:dyDescent="0.3">
      <c r="A4" s="1" t="s">
        <v>204</v>
      </c>
      <c r="B4" s="1" t="s">
        <v>227</v>
      </c>
      <c r="C4" s="1" t="s">
        <v>212</v>
      </c>
      <c r="D4" s="1" t="s">
        <v>203</v>
      </c>
      <c r="E4" s="8" t="s">
        <v>122</v>
      </c>
      <c r="F4" s="9" t="s">
        <v>1</v>
      </c>
      <c r="G4" s="9" t="s">
        <v>2</v>
      </c>
      <c r="H4" s="9" t="s">
        <v>3</v>
      </c>
      <c r="I4" s="4" t="s">
        <v>4</v>
      </c>
      <c r="J4" s="1" t="s">
        <v>6</v>
      </c>
      <c r="K4" s="4" t="s">
        <v>7</v>
      </c>
      <c r="L4" s="1" t="s">
        <v>213</v>
      </c>
      <c r="M4" s="1" t="s">
        <v>214</v>
      </c>
      <c r="N4" s="1" t="s">
        <v>206</v>
      </c>
      <c r="O4" s="1" t="s">
        <v>94</v>
      </c>
      <c r="P4" s="4" t="s">
        <v>215</v>
      </c>
      <c r="Q4" s="1" t="s">
        <v>95</v>
      </c>
      <c r="R4" s="4" t="s">
        <v>96</v>
      </c>
      <c r="S4" s="1" t="s">
        <v>216</v>
      </c>
      <c r="T4" s="4" t="s">
        <v>100</v>
      </c>
      <c r="U4" s="1" t="s">
        <v>217</v>
      </c>
      <c r="V4" s="1" t="s">
        <v>218</v>
      </c>
      <c r="W4" s="4" t="s">
        <v>219</v>
      </c>
      <c r="X4" s="1" t="s">
        <v>220</v>
      </c>
      <c r="Y4" s="1" t="s">
        <v>221</v>
      </c>
      <c r="Z4" s="1" t="s">
        <v>222</v>
      </c>
      <c r="AA4" s="1" t="s">
        <v>223</v>
      </c>
      <c r="AB4" s="1" t="s">
        <v>224</v>
      </c>
      <c r="AC4" s="1" t="s">
        <v>102</v>
      </c>
      <c r="AD4" s="1" t="s">
        <v>225</v>
      </c>
      <c r="AE4" s="1" t="s">
        <v>226</v>
      </c>
    </row>
    <row r="5" spans="1:31" s="15" customFormat="1" x14ac:dyDescent="0.3">
      <c r="A5" s="15" t="s">
        <v>271</v>
      </c>
      <c r="B5" s="15">
        <f t="shared" ref="B5:B19" si="0">COUNTIF($A$5:$A$20,A5)</f>
        <v>1</v>
      </c>
      <c r="C5" s="15" t="str">
        <f t="shared" ref="C5:C19" si="1">IF(OR(MID(A5,1,2)="SP",MID(A5,1,2)="MR",MID(A5,1,2)="CL",MID(A5,1,2)="RP"),"P","B")</f>
        <v>P</v>
      </c>
      <c r="D5" s="11" t="e">
        <f>IF($C5="B",VLOOKUP($A5,Bat!$A$4:$BG$1095,D$1,FALSE),VLOOKUP($A5,Pit!$A$4:$BA$428,D$2,FALSE))</f>
        <v>#N/A</v>
      </c>
      <c r="E5" s="10" t="e">
        <f>IF($C5="B",VLOOKUP($A5,Bat!$A$4:$BG$1095,E$1,FALSE),VLOOKUP($A5,Pit!$A$4:$BA$428,E$2,FALSE))</f>
        <v>#N/A</v>
      </c>
      <c r="F5" s="10" t="e">
        <f>IF($C5="B",VLOOKUP($A5,Bat!$A$4:$BG$1095,F$1,FALSE),VLOOKUP($A5,Pit!$A$4:$BA$428,F$2,FALSE))</f>
        <v>#N/A</v>
      </c>
      <c r="G5" s="10" t="e">
        <f>IF($C5="B",VLOOKUP($A5,Bat!$A$4:$BG$1095,G$1,FALSE),VLOOKUP($A5,Pit!$A$4:$BA$428,G$2,FALSE))</f>
        <v>#N/A</v>
      </c>
      <c r="H5" s="10" t="e">
        <f>IF($C5="B",VLOOKUP($A5,Bat!$A$4:$BG$1095,H$1,FALSE),VLOOKUP($A5,Pit!$A$4:$BA$428,H$2,FALSE))</f>
        <v>#N/A</v>
      </c>
      <c r="I5" s="10" t="e">
        <f>IF($C5="B",VLOOKUP($A5,Bat!$A$4:$BG$1095,I$1,FALSE),VLOOKUP($A5,Pit!$A$4:$BA$428,I$2,FALSE))</f>
        <v>#N/A</v>
      </c>
      <c r="J5" s="10" t="e">
        <f>IF($C5="B",VLOOKUP($A5,Bat!$A$4:$BG$1095,J$1,FALSE),VLOOKUP($A5,Pit!$A$4:$BA$428,J$2,FALSE))</f>
        <v>#N/A</v>
      </c>
      <c r="K5" s="11" t="e">
        <f>IF($C5="B",VLOOKUP($A5,Bat!$A$4:$BG$1095,K$1,FALSE),VLOOKUP($A5,Pit!$A$4:$BA$428,K$2,FALSE))</f>
        <v>#N/A</v>
      </c>
      <c r="L5" s="10" t="e">
        <f>IF($C5="B",VLOOKUP($A5,Bat!$A$4:$BG$1095,L$1,FALSE),VLOOKUP($A5,Pit!$A$4:$BA$428,L$2,FALSE))</f>
        <v>#N/A</v>
      </c>
      <c r="M5" s="10" t="e">
        <f>IF($C5="B",VLOOKUP($A5,Bat!$A$4:$BG$1095,M$1,FALSE),VLOOKUP($A5,Pit!$A$4:$BA$428,M$2,FALSE))</f>
        <v>#N/A</v>
      </c>
      <c r="N5" s="10" t="e">
        <f>IF($C5="B",VLOOKUP($A5,Bat!$A$4:$BG$1095,N$1,FALSE),VLOOKUP($A5,Pit!$A$4:$BA$428,N$2,FALSE))</f>
        <v>#N/A</v>
      </c>
      <c r="O5" s="10" t="e">
        <f>IF($C5="B",VLOOKUP($A5,Bat!$A$4:$BG$1095,O$1,FALSE),VLOOKUP($A5,Pit!$A$4:$BA$428,O$2,FALSE))</f>
        <v>#N/A</v>
      </c>
      <c r="P5" s="11" t="e">
        <f>IF($C5="B",VLOOKUP($A5,Bat!$A$4:$BG$1095,P$1,FALSE),VLOOKUP($A5,Pit!$A$4:$BA$428,P$2,FALSE))</f>
        <v>#N/A</v>
      </c>
      <c r="Q5" s="12" t="e">
        <f>IF($C5="B",VLOOKUP($A5,Bat!$A$4:$BG$1095,Q$1,FALSE),VLOOKUP($A5,Pit!$A$4:$BA$428,Q$2,FALSE))</f>
        <v>#N/A</v>
      </c>
      <c r="R5" s="13" t="e">
        <f>IF($C5="B",VLOOKUP($A5,Bat!$A$4:$BG$1095,R$1,FALSE),VLOOKUP($A5,Pit!$A$4:$BA$428,R$2,FALSE))</f>
        <v>#N/A</v>
      </c>
      <c r="S5" s="14" t="e">
        <f>IF($C5="B",VLOOKUP($A5,Bat!$A$4:$BG$1095,S$1,FALSE),VLOOKUP($A5,Pit!$A$4:$BA$428,S$2,FALSE))</f>
        <v>#N/A</v>
      </c>
      <c r="T5" s="11" t="e">
        <f>VLOOKUP(IF($C5="B",VLOOKUP($A5,Bat!$A$4:$AV$1350,T$1,FALSE),VLOOKUP($A5,Pit!$A$4:$BE$438,T$2,FALSE)),COND!$A$35:$B$41,2,FALSE)</f>
        <v>#N/A</v>
      </c>
      <c r="V5" s="15" t="e">
        <f t="shared" ref="V5:V19" si="2">IF(OR(U5=999,AND(S5&gt;$S$3,S5&lt;&gt;"Slot")),"",U5)</f>
        <v>#N/A</v>
      </c>
      <c r="W5" s="16" t="e">
        <f t="shared" ref="W5:W19" si="3">RANK(R5,$R$5:$R$891)</f>
        <v>#N/A</v>
      </c>
      <c r="X5" s="10" t="str">
        <f>IFERROR(VLOOKUP($D5,Results37!$F$3:$G$1463,X$1,FALSE),"")</f>
        <v/>
      </c>
      <c r="Y5" s="10" t="str">
        <f>IFERROR(VLOOKUP($D5,Results37!$F$3:$G$1463,Y$1,FALSE),"")</f>
        <v/>
      </c>
      <c r="Z5" s="10" t="str">
        <f>IFERROR(VLOOKUP($D5,Results37!$F$3:$G$1463,Z$1,FALSE),"")</f>
        <v/>
      </c>
      <c r="AA5" s="10" t="str">
        <f>IFERROR(VLOOKUP($D5,Results37!$F$3:$G$1463,AA$1,FALSE),"")</f>
        <v/>
      </c>
    </row>
    <row r="6" spans="1:31" s="15" customFormat="1" x14ac:dyDescent="0.3">
      <c r="A6" s="15" t="s">
        <v>278</v>
      </c>
      <c r="B6" s="15">
        <f t="shared" si="0"/>
        <v>1</v>
      </c>
      <c r="C6" s="15" t="str">
        <f t="shared" si="1"/>
        <v>B</v>
      </c>
      <c r="D6" s="11" t="e">
        <f>IF($C6="B",VLOOKUP($A6,Bat!$A$4:$BG$1095,D$1,FALSE),VLOOKUP($A6,Pit!$A$4:$BA$428,D$2,FALSE))</f>
        <v>#N/A</v>
      </c>
      <c r="E6" s="10" t="e">
        <f>IF($C6="B",VLOOKUP($A6,Bat!$A$4:$BG$1095,E$1,FALSE),VLOOKUP($A6,Pit!$A$4:$BA$428,E$2,FALSE))</f>
        <v>#N/A</v>
      </c>
      <c r="F6" s="10" t="e">
        <f>IF($C6="B",VLOOKUP($A6,Bat!$A$4:$BG$1095,F$1,FALSE),VLOOKUP($A6,Pit!$A$4:$BA$428,F$2,FALSE))</f>
        <v>#N/A</v>
      </c>
      <c r="G6" s="10" t="e">
        <f>IF($C6="B",VLOOKUP($A6,Bat!$A$4:$BG$1095,G$1,FALSE),VLOOKUP($A6,Pit!$A$4:$BA$428,G$2,FALSE))</f>
        <v>#N/A</v>
      </c>
      <c r="H6" s="10" t="e">
        <f>IF($C6="B",VLOOKUP($A6,Bat!$A$4:$BG$1095,H$1,FALSE),VLOOKUP($A6,Pit!$A$4:$BA$428,H$2,FALSE))</f>
        <v>#N/A</v>
      </c>
      <c r="I6" s="10" t="e">
        <f>IF($C6="B",VLOOKUP($A6,Bat!$A$4:$BG$1095,I$1,FALSE),VLOOKUP($A6,Pit!$A$4:$BA$428,I$2,FALSE))</f>
        <v>#N/A</v>
      </c>
      <c r="J6" s="10" t="e">
        <f>IF($C6="B",VLOOKUP($A6,Bat!$A$4:$BG$1095,J$1,FALSE),VLOOKUP($A6,Pit!$A$4:$BA$428,J$2,FALSE))</f>
        <v>#N/A</v>
      </c>
      <c r="K6" s="11" t="e">
        <f>IF($C6="B",VLOOKUP($A6,Bat!$A$4:$BG$1095,K$1,FALSE),VLOOKUP($A6,Pit!$A$4:$BA$428,K$2,FALSE))</f>
        <v>#N/A</v>
      </c>
      <c r="L6" s="10" t="e">
        <f>IF($C6="B",VLOOKUP($A6,Bat!$A$4:$BG$1095,L$1,FALSE),VLOOKUP($A6,Pit!$A$4:$BA$428,L$2,FALSE))</f>
        <v>#N/A</v>
      </c>
      <c r="M6" s="10" t="e">
        <f>IF($C6="B",VLOOKUP($A6,Bat!$A$4:$BG$1095,M$1,FALSE),VLOOKUP($A6,Pit!$A$4:$BA$428,M$2,FALSE))</f>
        <v>#N/A</v>
      </c>
      <c r="N6" s="10" t="e">
        <f>IF($C6="B",VLOOKUP($A6,Bat!$A$4:$BG$1095,N$1,FALSE),VLOOKUP($A6,Pit!$A$4:$BA$428,N$2,FALSE))</f>
        <v>#N/A</v>
      </c>
      <c r="O6" s="10" t="e">
        <f>IF($C6="B",VLOOKUP($A6,Bat!$A$4:$BG$1095,O$1,FALSE),VLOOKUP($A6,Pit!$A$4:$BA$428,O$2,FALSE))</f>
        <v>#N/A</v>
      </c>
      <c r="P6" s="11" t="e">
        <f>IF($C6="B",VLOOKUP($A6,Bat!$A$4:$BG$1095,P$1,FALSE),VLOOKUP($A6,Pit!$A$4:$BA$428,P$2,FALSE))</f>
        <v>#N/A</v>
      </c>
      <c r="Q6" s="12" t="e">
        <f>IF($C6="B",VLOOKUP($A6,Bat!$A$4:$BG$1095,Q$1,FALSE),VLOOKUP($A6,Pit!$A$4:$BA$428,Q$2,FALSE))</f>
        <v>#N/A</v>
      </c>
      <c r="R6" s="13" t="e">
        <f>IF($C6="B",VLOOKUP($A6,Bat!$A$4:$BG$1095,R$1,FALSE),VLOOKUP($A6,Pit!$A$4:$BA$428,R$2,FALSE))</f>
        <v>#N/A</v>
      </c>
      <c r="S6" s="14" t="e">
        <f>IF($C6="B",VLOOKUP($A6,Bat!$A$4:$BG$1095,S$1,FALSE),VLOOKUP($A6,Pit!$A$4:$BA$428,S$2,FALSE))</f>
        <v>#N/A</v>
      </c>
      <c r="T6" s="11" t="e">
        <f>VLOOKUP(IF($C6="B",VLOOKUP($A6,Bat!$A$4:$AV$1350,T$1,FALSE),VLOOKUP($A6,Pit!$A$4:$BE$438,T$2,FALSE)),COND!$A$35:$B$41,2,FALSE)</f>
        <v>#N/A</v>
      </c>
      <c r="V6" s="15" t="e">
        <f t="shared" si="2"/>
        <v>#N/A</v>
      </c>
      <c r="W6" s="16" t="e">
        <f t="shared" si="3"/>
        <v>#N/A</v>
      </c>
      <c r="X6" s="10" t="str">
        <f>IFERROR(VLOOKUP($D6,Results37!$F$3:$G$1463,X$1,FALSE),"")</f>
        <v/>
      </c>
      <c r="Y6" s="10" t="str">
        <f>IFERROR(VLOOKUP($D6,Results37!$F$3:$G$1463,Y$1,FALSE),"")</f>
        <v/>
      </c>
      <c r="Z6" s="10" t="str">
        <f>IFERROR(VLOOKUP($D6,Results37!$F$3:$G$1463,Z$1,FALSE),"")</f>
        <v/>
      </c>
      <c r="AA6" s="10" t="str">
        <f>IFERROR(VLOOKUP($D6,Results37!$F$3:$G$1463,AA$1,FALSE),"")</f>
        <v/>
      </c>
    </row>
    <row r="7" spans="1:31" s="15" customFormat="1" x14ac:dyDescent="0.3">
      <c r="A7" s="15" t="s">
        <v>273</v>
      </c>
      <c r="B7" s="15">
        <f t="shared" si="0"/>
        <v>1</v>
      </c>
      <c r="C7" s="15" t="str">
        <f t="shared" si="1"/>
        <v>P</v>
      </c>
      <c r="D7" s="11" t="e">
        <f>IF($C7="B",VLOOKUP($A7,Bat!$A$4:$BG$1095,D$1,FALSE),VLOOKUP($A7,Pit!$A$4:$BA$428,D$2,FALSE))</f>
        <v>#N/A</v>
      </c>
      <c r="E7" s="10" t="e">
        <f>IF($C7="B",VLOOKUP($A7,Bat!$A$4:$BG$1095,E$1,FALSE),VLOOKUP($A7,Pit!$A$4:$BA$428,E$2,FALSE))</f>
        <v>#N/A</v>
      </c>
      <c r="F7" s="10" t="e">
        <f>IF($C7="B",VLOOKUP($A7,Bat!$A$4:$BG$1095,F$1,FALSE),VLOOKUP($A7,Pit!$A$4:$BA$428,F$2,FALSE))</f>
        <v>#N/A</v>
      </c>
      <c r="G7" s="10" t="e">
        <f>IF($C7="B",VLOOKUP($A7,Bat!$A$4:$BG$1095,G$1,FALSE),VLOOKUP($A7,Pit!$A$4:$BA$428,G$2,FALSE))</f>
        <v>#N/A</v>
      </c>
      <c r="H7" s="10" t="e">
        <f>IF($C7="B",VLOOKUP($A7,Bat!$A$4:$BG$1095,H$1,FALSE),VLOOKUP($A7,Pit!$A$4:$BA$428,H$2,FALSE))</f>
        <v>#N/A</v>
      </c>
      <c r="I7" s="10" t="e">
        <f>IF($C7="B",VLOOKUP($A7,Bat!$A$4:$BG$1095,I$1,FALSE),VLOOKUP($A7,Pit!$A$4:$BA$428,I$2,FALSE))</f>
        <v>#N/A</v>
      </c>
      <c r="J7" s="10" t="e">
        <f>IF($C7="B",VLOOKUP($A7,Bat!$A$4:$BG$1095,J$1,FALSE),VLOOKUP($A7,Pit!$A$4:$BA$428,J$2,FALSE))</f>
        <v>#N/A</v>
      </c>
      <c r="K7" s="11" t="e">
        <f>IF($C7="B",VLOOKUP($A7,Bat!$A$4:$BG$1095,K$1,FALSE),VLOOKUP($A7,Pit!$A$4:$BA$428,K$2,FALSE))</f>
        <v>#N/A</v>
      </c>
      <c r="L7" s="10" t="e">
        <f>IF($C7="B",VLOOKUP($A7,Bat!$A$4:$BG$1095,L$1,FALSE),VLOOKUP($A7,Pit!$A$4:$BA$428,L$2,FALSE))</f>
        <v>#N/A</v>
      </c>
      <c r="M7" s="10" t="e">
        <f>IF($C7="B",VLOOKUP($A7,Bat!$A$4:$BG$1095,M$1,FALSE),VLOOKUP($A7,Pit!$A$4:$BA$428,M$2,FALSE))</f>
        <v>#N/A</v>
      </c>
      <c r="N7" s="10" t="e">
        <f>IF($C7="B",VLOOKUP($A7,Bat!$A$4:$BG$1095,N$1,FALSE),VLOOKUP($A7,Pit!$A$4:$BA$428,N$2,FALSE))</f>
        <v>#N/A</v>
      </c>
      <c r="O7" s="10" t="e">
        <f>IF($C7="B",VLOOKUP($A7,Bat!$A$4:$BG$1095,O$1,FALSE),VLOOKUP($A7,Pit!$A$4:$BA$428,O$2,FALSE))</f>
        <v>#N/A</v>
      </c>
      <c r="P7" s="11" t="e">
        <f>IF($C7="B",VLOOKUP($A7,Bat!$A$4:$BG$1095,P$1,FALSE),VLOOKUP($A7,Pit!$A$4:$BA$428,P$2,FALSE))</f>
        <v>#N/A</v>
      </c>
      <c r="Q7" s="12" t="e">
        <f>IF($C7="B",VLOOKUP($A7,Bat!$A$4:$BG$1095,Q$1,FALSE),VLOOKUP($A7,Pit!$A$4:$BA$428,Q$2,FALSE))</f>
        <v>#N/A</v>
      </c>
      <c r="R7" s="13" t="e">
        <f>IF($C7="B",VLOOKUP($A7,Bat!$A$4:$BG$1095,R$1,FALSE),VLOOKUP($A7,Pit!$A$4:$BA$428,R$2,FALSE))</f>
        <v>#N/A</v>
      </c>
      <c r="S7" s="14" t="e">
        <f>IF($C7="B",VLOOKUP($A7,Bat!$A$4:$BG$1095,S$1,FALSE),VLOOKUP($A7,Pit!$A$4:$BA$428,S$2,FALSE))</f>
        <v>#N/A</v>
      </c>
      <c r="T7" s="11" t="e">
        <f>VLOOKUP(IF($C7="B",VLOOKUP($A7,Bat!$A$4:$AV$1350,T$1,FALSE),VLOOKUP($A7,Pit!$A$4:$BE$438,T$2,FALSE)),COND!$A$35:$B$41,2,FALSE)</f>
        <v>#N/A</v>
      </c>
      <c r="V7" s="15" t="e">
        <f t="shared" si="2"/>
        <v>#N/A</v>
      </c>
      <c r="W7" s="16" t="e">
        <f t="shared" si="3"/>
        <v>#N/A</v>
      </c>
      <c r="X7" s="10" t="str">
        <f>IFERROR(VLOOKUP($D7,Results37!$F$3:$G$1463,X$1,FALSE),"")</f>
        <v/>
      </c>
      <c r="Y7" s="10" t="str">
        <f>IFERROR(VLOOKUP($D7,Results37!$F$3:$G$1463,Y$1,FALSE),"")</f>
        <v/>
      </c>
      <c r="Z7" s="10" t="str">
        <f>IFERROR(VLOOKUP($D7,Results37!$F$3:$G$1463,Z$1,FALSE),"")</f>
        <v/>
      </c>
      <c r="AA7" s="10" t="str">
        <f>IFERROR(VLOOKUP($D7,Results37!$F$3:$G$1463,AA$1,FALSE),"")</f>
        <v/>
      </c>
    </row>
    <row r="8" spans="1:31" s="15" customFormat="1" x14ac:dyDescent="0.3">
      <c r="A8" s="15" t="s">
        <v>267</v>
      </c>
      <c r="B8" s="15">
        <f t="shared" si="0"/>
        <v>1</v>
      </c>
      <c r="C8" s="15" t="str">
        <f t="shared" si="1"/>
        <v>B</v>
      </c>
      <c r="D8" s="11" t="e">
        <f>IF($C8="B",VLOOKUP($A8,Bat!$A$4:$BG$1095,D$1,FALSE),VLOOKUP($A8,Pit!$A$4:$BA$428,D$2,FALSE))</f>
        <v>#N/A</v>
      </c>
      <c r="E8" s="10" t="e">
        <f>IF($C8="B",VLOOKUP($A8,Bat!$A$4:$BG$1095,E$1,FALSE),VLOOKUP($A8,Pit!$A$4:$BA$428,E$2,FALSE))</f>
        <v>#N/A</v>
      </c>
      <c r="F8" s="10" t="e">
        <f>IF($C8="B",VLOOKUP($A8,Bat!$A$4:$BG$1095,F$1,FALSE),VLOOKUP($A8,Pit!$A$4:$BA$428,F$2,FALSE))</f>
        <v>#N/A</v>
      </c>
      <c r="G8" s="10" t="e">
        <f>IF($C8="B",VLOOKUP($A8,Bat!$A$4:$BG$1095,G$1,FALSE),VLOOKUP($A8,Pit!$A$4:$BA$428,G$2,FALSE))</f>
        <v>#N/A</v>
      </c>
      <c r="H8" s="10" t="e">
        <f>IF($C8="B",VLOOKUP($A8,Bat!$A$4:$BG$1095,H$1,FALSE),VLOOKUP($A8,Pit!$A$4:$BA$428,H$2,FALSE))</f>
        <v>#N/A</v>
      </c>
      <c r="I8" s="10" t="e">
        <f>IF($C8="B",VLOOKUP($A8,Bat!$A$4:$BG$1095,I$1,FALSE),VLOOKUP($A8,Pit!$A$4:$BA$428,I$2,FALSE))</f>
        <v>#N/A</v>
      </c>
      <c r="J8" s="10" t="e">
        <f>IF($C8="B",VLOOKUP($A8,Bat!$A$4:$BG$1095,J$1,FALSE),VLOOKUP($A8,Pit!$A$4:$BA$428,J$2,FALSE))</f>
        <v>#N/A</v>
      </c>
      <c r="K8" s="11" t="e">
        <f>IF($C8="B",VLOOKUP($A8,Bat!$A$4:$BG$1095,K$1,FALSE),VLOOKUP($A8,Pit!$A$4:$BA$428,K$2,FALSE))</f>
        <v>#N/A</v>
      </c>
      <c r="L8" s="10" t="e">
        <f>IF($C8="B",VLOOKUP($A8,Bat!$A$4:$BG$1095,L$1,FALSE),VLOOKUP($A8,Pit!$A$4:$BA$428,L$2,FALSE))</f>
        <v>#N/A</v>
      </c>
      <c r="M8" s="10" t="e">
        <f>IF($C8="B",VLOOKUP($A8,Bat!$A$4:$BG$1095,M$1,FALSE),VLOOKUP($A8,Pit!$A$4:$BA$428,M$2,FALSE))</f>
        <v>#N/A</v>
      </c>
      <c r="N8" s="10" t="e">
        <f>IF($C8="B",VLOOKUP($A8,Bat!$A$4:$BG$1095,N$1,FALSE),VLOOKUP($A8,Pit!$A$4:$BA$428,N$2,FALSE))</f>
        <v>#N/A</v>
      </c>
      <c r="O8" s="10" t="e">
        <f>IF($C8="B",VLOOKUP($A8,Bat!$A$4:$BG$1095,O$1,FALSE),VLOOKUP($A8,Pit!$A$4:$BA$428,O$2,FALSE))</f>
        <v>#N/A</v>
      </c>
      <c r="P8" s="11" t="e">
        <f>IF($C8="B",VLOOKUP($A8,Bat!$A$4:$BG$1095,P$1,FALSE),VLOOKUP($A8,Pit!$A$4:$BA$428,P$2,FALSE))</f>
        <v>#N/A</v>
      </c>
      <c r="Q8" s="12" t="e">
        <f>IF($C8="B",VLOOKUP($A8,Bat!$A$4:$BG$1095,Q$1,FALSE),VLOOKUP($A8,Pit!$A$4:$BA$428,Q$2,FALSE))</f>
        <v>#N/A</v>
      </c>
      <c r="R8" s="13" t="e">
        <f>IF($C8="B",VLOOKUP($A8,Bat!$A$4:$BG$1095,R$1,FALSE),VLOOKUP($A8,Pit!$A$4:$BA$428,R$2,FALSE))</f>
        <v>#N/A</v>
      </c>
      <c r="S8" s="14" t="e">
        <f>IF($C8="B",VLOOKUP($A8,Bat!$A$4:$BG$1095,S$1,FALSE),VLOOKUP($A8,Pit!$A$4:$BA$428,S$2,FALSE))</f>
        <v>#N/A</v>
      </c>
      <c r="T8" s="11" t="e">
        <f>VLOOKUP(IF($C8="B",VLOOKUP($A8,Bat!$A$4:$AV$1350,T$1,FALSE),VLOOKUP($A8,Pit!$A$4:$BE$438,T$2,FALSE)),COND!$A$35:$B$41,2,FALSE)</f>
        <v>#N/A</v>
      </c>
      <c r="V8" s="15" t="e">
        <f t="shared" si="2"/>
        <v>#N/A</v>
      </c>
      <c r="W8" s="16" t="e">
        <f t="shared" si="3"/>
        <v>#N/A</v>
      </c>
      <c r="X8" s="10" t="str">
        <f>IFERROR(VLOOKUP($D8,Results37!$F$3:$G$1463,X$1,FALSE),"")</f>
        <v/>
      </c>
      <c r="Y8" s="10" t="str">
        <f>IFERROR(VLOOKUP($D8,Results37!$F$3:$G$1463,Y$1,FALSE),"")</f>
        <v/>
      </c>
      <c r="Z8" s="10" t="str">
        <f>IFERROR(VLOOKUP($D8,Results37!$F$3:$G$1463,Z$1,FALSE),"")</f>
        <v/>
      </c>
      <c r="AA8" s="10" t="str">
        <f>IFERROR(VLOOKUP($D8,Results37!$F$3:$G$1463,AA$1,FALSE),"")</f>
        <v/>
      </c>
    </row>
    <row r="9" spans="1:31" s="15" customFormat="1" x14ac:dyDescent="0.3">
      <c r="A9" s="15" t="s">
        <v>268</v>
      </c>
      <c r="B9" s="15">
        <f t="shared" si="0"/>
        <v>1</v>
      </c>
      <c r="C9" s="15" t="str">
        <f t="shared" si="1"/>
        <v>B</v>
      </c>
      <c r="D9" s="11" t="e">
        <f>IF($C9="B",VLOOKUP($A9,Bat!$A$4:$BG$1095,D$1,FALSE),VLOOKUP($A9,Pit!$A$4:$BA$428,D$2,FALSE))</f>
        <v>#N/A</v>
      </c>
      <c r="E9" s="10" t="e">
        <f>IF($C9="B",VLOOKUP($A9,Bat!$A$4:$BG$1095,E$1,FALSE),VLOOKUP($A9,Pit!$A$4:$BA$438,E$2,FALSE))</f>
        <v>#N/A</v>
      </c>
      <c r="F9" s="10" t="e">
        <f>IF($C9="B",VLOOKUP($A9,Bat!$A$4:$BG$1095,F$1,FALSE),VLOOKUP($A9,Pit!$A$4:$BA$428,F$2,FALSE))</f>
        <v>#N/A</v>
      </c>
      <c r="G9" s="10" t="e">
        <f>IF($C9="B",VLOOKUP($A9,Bat!$A$4:$BG$1095,G$1,FALSE),VLOOKUP($A9,Pit!$A$4:$BA$428,G$2,FALSE))</f>
        <v>#N/A</v>
      </c>
      <c r="H9" s="10" t="e">
        <f>IF($C9="B",VLOOKUP($A9,Bat!$A$4:$BG$1095,H$1,FALSE),VLOOKUP($A9,Pit!$A$4:$BA$428,H$2,FALSE))</f>
        <v>#N/A</v>
      </c>
      <c r="I9" s="10" t="e">
        <f>IF($C9="B",VLOOKUP($A9,Bat!$A$4:$BG$1095,I$1,FALSE),VLOOKUP($A9,Pit!$A$4:$BA$428,I$2,FALSE))</f>
        <v>#N/A</v>
      </c>
      <c r="J9" s="10" t="e">
        <f>IF($C9="B",VLOOKUP($A9,Bat!$A$4:$BG$1095,J$1,FALSE),VLOOKUP($A9,Pit!$A$4:$BA$428,J$2,FALSE))</f>
        <v>#N/A</v>
      </c>
      <c r="K9" s="11" t="e">
        <f>IF($C9="B",VLOOKUP($A9,Bat!$A$4:$BG$1095,K$1,FALSE),VLOOKUP($A9,Pit!$A$4:$BA$428,K$2,FALSE))</f>
        <v>#N/A</v>
      </c>
      <c r="L9" s="10" t="e">
        <f>IF($C9="B",VLOOKUP($A9,Bat!$A$4:$BG$1095,L$1,FALSE),VLOOKUP($A9,Pit!$A$4:$BA$428,L$2,FALSE))</f>
        <v>#N/A</v>
      </c>
      <c r="M9" s="10" t="e">
        <f>IF($C9="B",VLOOKUP($A9,Bat!$A$4:$BG$1095,M$1,FALSE),VLOOKUP($A9,Pit!$A$4:$BA$428,M$2,FALSE))</f>
        <v>#N/A</v>
      </c>
      <c r="N9" s="10" t="e">
        <f>IF($C9="B",VLOOKUP($A9,Bat!$A$4:$BG$1095,N$1,FALSE),VLOOKUP($A9,Pit!$A$4:$BA$428,N$2,FALSE))</f>
        <v>#N/A</v>
      </c>
      <c r="O9" s="10" t="e">
        <f>IF($C9="B",VLOOKUP($A9,Bat!$A$4:$BG$1095,O$1,FALSE),VLOOKUP($A9,Pit!$A$4:$BA$428,O$2,FALSE))</f>
        <v>#N/A</v>
      </c>
      <c r="P9" s="11" t="e">
        <f>IF($C9="B",VLOOKUP($A9,Bat!$A$4:$BG$1095,P$1,FALSE),VLOOKUP($A9,Pit!$A$4:$BA$428,P$2,FALSE))</f>
        <v>#N/A</v>
      </c>
      <c r="Q9" s="12" t="e">
        <f>IF($C9="B",VLOOKUP($A9,Bat!$A$4:$BG$1095,Q$1,FALSE),VLOOKUP($A9,Pit!$A$4:$BA$428,Q$2,FALSE))</f>
        <v>#N/A</v>
      </c>
      <c r="R9" s="13" t="e">
        <f>IF($C9="B",VLOOKUP($A9,Bat!$A$4:$BG$1095,R$1,FALSE),VLOOKUP($A9,Pit!$A$4:$BA$428,R$2,FALSE))</f>
        <v>#N/A</v>
      </c>
      <c r="S9" s="14" t="e">
        <f>IF($C9="B",VLOOKUP($A9,Bat!$A$4:$BG$1095,S$1,FALSE),VLOOKUP($A9,Pit!$A$4:$BA$428,S$2,FALSE))</f>
        <v>#N/A</v>
      </c>
      <c r="T9" s="11" t="e">
        <f>VLOOKUP(IF($C9="B",VLOOKUP($A9,Bat!$A$4:$AV$1350,T$1,FALSE),VLOOKUP($A9,Pit!$A$4:$BE$438,T$2,FALSE)),COND!$A$35:$B$41,2,FALSE)</f>
        <v>#N/A</v>
      </c>
      <c r="V9" s="15" t="e">
        <f t="shared" si="2"/>
        <v>#N/A</v>
      </c>
      <c r="W9" s="16" t="e">
        <f t="shared" si="3"/>
        <v>#N/A</v>
      </c>
      <c r="X9" s="10" t="str">
        <f>IFERROR(VLOOKUP($D9,Results37!$F$3:$G$1463,X$1,FALSE),"")</f>
        <v/>
      </c>
      <c r="Y9" s="10" t="str">
        <f>IFERROR(VLOOKUP($D9,Results37!$F$3:$G$1463,Y$1,FALSE),"")</f>
        <v/>
      </c>
      <c r="Z9" s="10" t="str">
        <f>IFERROR(VLOOKUP($D9,Results37!$F$3:$G$1463,Z$1,FALSE),"")</f>
        <v/>
      </c>
      <c r="AA9" s="10" t="str">
        <f>IFERROR(VLOOKUP($D9,Results37!$F$3:$G$1463,AA$1,FALSE),"")</f>
        <v/>
      </c>
    </row>
    <row r="10" spans="1:31" s="15" customFormat="1" x14ac:dyDescent="0.3">
      <c r="A10" s="15" t="s">
        <v>272</v>
      </c>
      <c r="B10" s="15">
        <f t="shared" si="0"/>
        <v>1</v>
      </c>
      <c r="C10" s="15" t="str">
        <f t="shared" si="1"/>
        <v>P</v>
      </c>
      <c r="D10" s="11" t="e">
        <f>IF($C10="B",VLOOKUP($A10,Bat!$A$4:$BG$1095,D$1,FALSE),VLOOKUP($A10,Pit!$A$4:$BA$428,D$2,FALSE))</f>
        <v>#N/A</v>
      </c>
      <c r="E10" s="10" t="e">
        <f>IF($C10="B",VLOOKUP($A10,Bat!$A$4:$BG$1095,E$1,FALSE),VLOOKUP($A10,Pit!$A$4:$BA$428,E$2,FALSE))</f>
        <v>#N/A</v>
      </c>
      <c r="F10" s="10" t="e">
        <f>IF($C10="B",VLOOKUP($A10,Bat!$A$4:$BG$1095,F$1,FALSE),VLOOKUP($A10,Pit!$A$4:$BA$428,F$2,FALSE))</f>
        <v>#N/A</v>
      </c>
      <c r="G10" s="10" t="e">
        <f>IF($C10="B",VLOOKUP($A10,Bat!$A$4:$BG$1095,G$1,FALSE),VLOOKUP($A10,Pit!$A$4:$BA$428,G$2,FALSE))</f>
        <v>#N/A</v>
      </c>
      <c r="H10" s="10" t="e">
        <f>IF($C10="B",VLOOKUP($A10,Bat!$A$4:$BG$1095,H$1,FALSE),VLOOKUP($A10,Pit!$A$4:$BA$428,H$2,FALSE))</f>
        <v>#N/A</v>
      </c>
      <c r="I10" s="10" t="e">
        <f>IF($C10="B",VLOOKUP($A10,Bat!$A$4:$BG$1095,I$1,FALSE),VLOOKUP($A10,Pit!$A$4:$BA$428,I$2,FALSE))</f>
        <v>#N/A</v>
      </c>
      <c r="J10" s="10" t="e">
        <f>IF($C10="B",VLOOKUP($A10,Bat!$A$4:$BG$1095,J$1,FALSE),VLOOKUP($A10,Pit!$A$4:$BA$428,J$2,FALSE))</f>
        <v>#N/A</v>
      </c>
      <c r="K10" s="11" t="e">
        <f>IF($C10="B",VLOOKUP($A10,Bat!$A$4:$BG$1095,K$1,FALSE),VLOOKUP($A10,Pit!$A$4:$BA$428,K$2,FALSE))</f>
        <v>#N/A</v>
      </c>
      <c r="L10" s="10" t="e">
        <f>IF($C10="B",VLOOKUP($A10,Bat!$A$4:$BG$1095,L$1,FALSE),VLOOKUP($A10,Pit!$A$4:$BA$428,L$2,FALSE))</f>
        <v>#N/A</v>
      </c>
      <c r="M10" s="10" t="e">
        <f>IF($C10="B",VLOOKUP($A10,Bat!$A$4:$BG$1095,M$1,FALSE),VLOOKUP($A10,Pit!$A$4:$BA$428,M$2,FALSE))</f>
        <v>#N/A</v>
      </c>
      <c r="N10" s="10" t="e">
        <f>IF($C10="B",VLOOKUP($A10,Bat!$A$4:$BG$1095,N$1,FALSE),VLOOKUP($A10,Pit!$A$4:$BA$428,N$2,FALSE))</f>
        <v>#N/A</v>
      </c>
      <c r="O10" s="10" t="e">
        <f>IF($C10="B",VLOOKUP($A10,Bat!$A$4:$BG$1095,O$1,FALSE),VLOOKUP($A10,Pit!$A$4:$BA$428,O$2,FALSE))</f>
        <v>#N/A</v>
      </c>
      <c r="P10" s="11" t="e">
        <f>IF($C10="B",VLOOKUP($A10,Bat!$A$4:$BG$1095,P$1,FALSE),VLOOKUP($A10,Pit!$A$4:$BA$428,P$2,FALSE))</f>
        <v>#N/A</v>
      </c>
      <c r="Q10" s="12" t="e">
        <f>IF($C10="B",VLOOKUP($A10,Bat!$A$4:$BG$1095,Q$1,FALSE),VLOOKUP($A10,Pit!$A$4:$BA$428,Q$2,FALSE))</f>
        <v>#N/A</v>
      </c>
      <c r="R10" s="13" t="e">
        <f>IF($C10="B",VLOOKUP($A10,Bat!$A$4:$BG$1095,R$1,FALSE),VLOOKUP($A10,Pit!$A$4:$BA$428,R$2,FALSE))</f>
        <v>#N/A</v>
      </c>
      <c r="S10" s="14" t="e">
        <f>IF($C10="B",VLOOKUP($A10,Bat!$A$4:$BG$1095,S$1,FALSE),VLOOKUP($A10,Pit!$A$4:$BA$428,S$2,FALSE))</f>
        <v>#N/A</v>
      </c>
      <c r="T10" s="11" t="e">
        <f>VLOOKUP(IF($C10="B",VLOOKUP($A10,Bat!$A$4:$AV$1350,T$1,FALSE),VLOOKUP($A10,Pit!$A$4:$BE$438,T$2,FALSE)),COND!$A$35:$B$41,2,FALSE)</f>
        <v>#N/A</v>
      </c>
      <c r="V10" s="15" t="e">
        <f t="shared" si="2"/>
        <v>#N/A</v>
      </c>
      <c r="W10" s="16" t="e">
        <f t="shared" si="3"/>
        <v>#N/A</v>
      </c>
      <c r="X10" s="10" t="str">
        <f>IFERROR(VLOOKUP($D10,Results37!$F$3:$G$1463,X$1,FALSE),"")</f>
        <v/>
      </c>
      <c r="Y10" s="10" t="str">
        <f>IFERROR(VLOOKUP($D10,Results37!$F$3:$G$1463,Y$1,FALSE),"")</f>
        <v/>
      </c>
      <c r="Z10" s="10" t="str">
        <f>IFERROR(VLOOKUP($D10,Results37!$F$3:$G$1463,Z$1,FALSE),"")</f>
        <v/>
      </c>
      <c r="AA10" s="10" t="str">
        <f>IFERROR(VLOOKUP($D10,Results37!$F$3:$G$1463,AA$1,FALSE),"")</f>
        <v/>
      </c>
    </row>
    <row r="11" spans="1:31" s="15" customFormat="1" x14ac:dyDescent="0.3">
      <c r="A11" s="15" t="s">
        <v>292</v>
      </c>
      <c r="B11" s="15">
        <f t="shared" si="0"/>
        <v>1</v>
      </c>
      <c r="C11" s="15" t="str">
        <f t="shared" si="1"/>
        <v>B</v>
      </c>
      <c r="D11" s="11" t="e">
        <f>IF($C11="B",VLOOKUP($A11,Bat!$A$4:$BG$1095,D$1,FALSE),VLOOKUP($A11,Pit!$A$4:$BA$428,D$2,FALSE))</f>
        <v>#N/A</v>
      </c>
      <c r="E11" s="10" t="e">
        <f>IF($C11="B",VLOOKUP($A11,Bat!$A$4:$BG$1095,E$1,FALSE),VLOOKUP($A11,Pit!$A$4:$BA$428,E$2,FALSE))</f>
        <v>#N/A</v>
      </c>
      <c r="F11" s="10" t="e">
        <f>IF($C11="B",VLOOKUP($A11,Bat!$A$4:$BG$1095,F$1,FALSE),VLOOKUP($A11,Pit!$A$4:$BA$428,F$2,FALSE))</f>
        <v>#N/A</v>
      </c>
      <c r="G11" s="10" t="e">
        <f>IF($C11="B",VLOOKUP($A11,Bat!$A$4:$BG$1095,G$1,FALSE),VLOOKUP($A11,Pit!$A$4:$BA$428,G$2,FALSE))</f>
        <v>#N/A</v>
      </c>
      <c r="H11" s="10" t="e">
        <f>IF($C11="B",VLOOKUP($A11,Bat!$A$4:$BG$1095,H$1,FALSE),VLOOKUP($A11,Pit!$A$4:$BA$428,H$2,FALSE))</f>
        <v>#N/A</v>
      </c>
      <c r="I11" s="10" t="e">
        <f>IF($C11="B",VLOOKUP($A11,Bat!$A$4:$BG$1095,I$1,FALSE),VLOOKUP($A11,Pit!$A$4:$BA$428,I$2,FALSE))</f>
        <v>#N/A</v>
      </c>
      <c r="J11" s="10" t="e">
        <f>IF($C11="B",VLOOKUP($A11,Bat!$A$4:$BG$1095,J$1,FALSE),VLOOKUP($A11,Pit!$A$4:$BA$428,J$2,FALSE))</f>
        <v>#N/A</v>
      </c>
      <c r="K11" s="11" t="e">
        <f>IF($C11="B",VLOOKUP($A11,Bat!$A$4:$BG$1095,K$1,FALSE),VLOOKUP($A11,Pit!$A$4:$BA$428,K$2,FALSE))</f>
        <v>#N/A</v>
      </c>
      <c r="L11" s="10" t="e">
        <f>IF($C11="B",VLOOKUP($A11,Bat!$A$4:$BG$1095,L$1,FALSE),VLOOKUP($A11,Pit!$A$4:$BA$428,L$2,FALSE))</f>
        <v>#N/A</v>
      </c>
      <c r="M11" s="10" t="e">
        <f>IF($C11="B",VLOOKUP($A11,Bat!$A$4:$BG$1095,M$1,FALSE),VLOOKUP($A11,Pit!$A$4:$BA$428,M$2,FALSE))</f>
        <v>#N/A</v>
      </c>
      <c r="N11" s="10" t="e">
        <f>IF($C11="B",VLOOKUP($A11,Bat!$A$4:$BG$1095,N$1,FALSE),VLOOKUP($A11,Pit!$A$4:$BA$428,N$2,FALSE))</f>
        <v>#N/A</v>
      </c>
      <c r="O11" s="10" t="e">
        <f>IF($C11="B",VLOOKUP($A11,Bat!$A$4:$BG$1095,O$1,FALSE),VLOOKUP($A11,Pit!$A$4:$BA$428,O$2,FALSE))</f>
        <v>#N/A</v>
      </c>
      <c r="P11" s="11" t="e">
        <f>IF($C11="B",VLOOKUP($A11,Bat!$A$4:$BG$1095,P$1,FALSE),VLOOKUP($A11,Pit!$A$4:$BA$428,P$2,FALSE))</f>
        <v>#N/A</v>
      </c>
      <c r="Q11" s="12" t="e">
        <f>IF($C11="B",VLOOKUP($A11,Bat!$A$4:$BG$1095,Q$1,FALSE),VLOOKUP($A11,Pit!$A$4:$BA$428,Q$2,FALSE))</f>
        <v>#N/A</v>
      </c>
      <c r="R11" s="13" t="e">
        <f>IF($C11="B",VLOOKUP($A11,Bat!$A$4:$BG$1095,R$1,FALSE),VLOOKUP($A11,Pit!$A$4:$BA$428,R$2,FALSE))</f>
        <v>#N/A</v>
      </c>
      <c r="S11" s="14" t="e">
        <f>IF($C11="B",VLOOKUP($A11,Bat!$A$4:$BG$1095,S$1,FALSE),VLOOKUP($A11,Pit!$A$4:$BA$438,S$2,FALSE))</f>
        <v>#N/A</v>
      </c>
      <c r="T11" s="11" t="e">
        <f>VLOOKUP(IF($C11="B",VLOOKUP($A11,Bat!$A$4:$AV$1350,T$1,FALSE),VLOOKUP($A11,Pit!$A$4:$BE$438,T$2,FALSE)),COND!$A$35:$B$41,2,FALSE)</f>
        <v>#N/A</v>
      </c>
      <c r="V11" s="15" t="e">
        <f t="shared" si="2"/>
        <v>#N/A</v>
      </c>
      <c r="W11" s="16" t="e">
        <f t="shared" si="3"/>
        <v>#N/A</v>
      </c>
      <c r="X11" s="10" t="str">
        <f>IFERROR(VLOOKUP($D11,Results37!$F$3:$G$1463,X$1,FALSE),"")</f>
        <v/>
      </c>
      <c r="Y11" s="10" t="str">
        <f>IFERROR(VLOOKUP($D11,Results37!$F$3:$G$1463,Y$1,FALSE),"")</f>
        <v/>
      </c>
      <c r="Z11" s="10" t="str">
        <f>IFERROR(VLOOKUP($D11,Results37!$F$3:$G$1463,Z$1,FALSE),"")</f>
        <v/>
      </c>
      <c r="AA11" s="10" t="str">
        <f>IFERROR(VLOOKUP($D11,Results37!$F$3:$G$1463,AA$1,FALSE),"")</f>
        <v/>
      </c>
    </row>
    <row r="12" spans="1:31" s="15" customFormat="1" x14ac:dyDescent="0.3">
      <c r="A12" s="15" t="s">
        <v>277</v>
      </c>
      <c r="B12" s="15">
        <f t="shared" si="0"/>
        <v>1</v>
      </c>
      <c r="C12" s="15" t="str">
        <f t="shared" si="1"/>
        <v>P</v>
      </c>
      <c r="D12" s="11" t="e">
        <f>IF($C12="B",VLOOKUP($A12,Bat!$A$4:$BG$1095,D$1,FALSE),VLOOKUP($A12,Pit!$A$4:$BA$428,D$2,FALSE))</f>
        <v>#N/A</v>
      </c>
      <c r="E12" s="10" t="e">
        <f>IF($C12="B",VLOOKUP($A12,Bat!$A$4:$BG$1095,E$1,FALSE),VLOOKUP($A12,Pit!$A$4:$BA$428,E$2,FALSE))</f>
        <v>#N/A</v>
      </c>
      <c r="F12" s="10" t="e">
        <f>IF($C12="B",VLOOKUP($A12,Bat!$A$4:$BG$1095,F$1,FALSE),VLOOKUP($A12,Pit!$A$4:$BA$428,F$2,FALSE))</f>
        <v>#N/A</v>
      </c>
      <c r="G12" s="10" t="e">
        <f>IF($C12="B",VLOOKUP($A12,Bat!$A$4:$BG$1095,G$1,FALSE),VLOOKUP($A12,Pit!$A$4:$BA$428,G$2,FALSE))</f>
        <v>#N/A</v>
      </c>
      <c r="H12" s="10" t="e">
        <f>IF($C12="B",VLOOKUP($A12,Bat!$A$4:$BG$1095,H$1,FALSE),VLOOKUP($A12,Pit!$A$4:$BA$428,H$2,FALSE))</f>
        <v>#N/A</v>
      </c>
      <c r="I12" s="10" t="e">
        <f>IF($C12="B",VLOOKUP($A12,Bat!$A$4:$BG$1095,I$1,FALSE),VLOOKUP($A12,Pit!$A$4:$BA$428,I$2,FALSE))</f>
        <v>#N/A</v>
      </c>
      <c r="J12" s="10" t="e">
        <f>IF($C12="B",VLOOKUP($A12,Bat!$A$4:$BG$1095,J$1,FALSE),VLOOKUP($A12,Pit!$A$4:$BA$428,J$2,FALSE))</f>
        <v>#N/A</v>
      </c>
      <c r="K12" s="11" t="e">
        <f>IF($C12="B",VLOOKUP($A12,Bat!$A$4:$BG$1095,K$1,FALSE),VLOOKUP($A12,Pit!$A$4:$BA$428,K$2,FALSE))</f>
        <v>#N/A</v>
      </c>
      <c r="L12" s="10" t="e">
        <f>IF($C12="B",VLOOKUP($A12,Bat!$A$4:$BG$1095,L$1,FALSE),VLOOKUP($A12,Pit!$A$4:$BA$428,L$2,FALSE))</f>
        <v>#N/A</v>
      </c>
      <c r="M12" s="10" t="e">
        <f>IF($C12="B",VLOOKUP($A12,Bat!$A$4:$BG$1095,M$1,FALSE),VLOOKUP($A12,Pit!$A$4:$BA$428,M$2,FALSE))</f>
        <v>#N/A</v>
      </c>
      <c r="N12" s="10" t="e">
        <f>IF($C12="B",VLOOKUP($A12,Bat!$A$4:$BG$1095,N$1,FALSE),VLOOKUP($A12,Pit!$A$4:$BA$428,N$2,FALSE))</f>
        <v>#N/A</v>
      </c>
      <c r="O12" s="10" t="e">
        <f>IF($C12="B",VLOOKUP($A12,Bat!$A$4:$BG$1095,O$1,FALSE),VLOOKUP($A12,Pit!$A$4:$BA$428,O$2,FALSE))</f>
        <v>#N/A</v>
      </c>
      <c r="P12" s="11" t="e">
        <f>IF($C12="B",VLOOKUP($A12,Bat!$A$4:$BG$1095,P$1,FALSE),VLOOKUP($A12,Pit!$A$4:$BA$428,P$2,FALSE))</f>
        <v>#N/A</v>
      </c>
      <c r="Q12" s="12" t="e">
        <f>IF($C12="B",VLOOKUP($A12,Bat!$A$4:$BG$1095,Q$1,FALSE),VLOOKUP($A12,Pit!$A$4:$BA$428,Q$2,FALSE))</f>
        <v>#N/A</v>
      </c>
      <c r="R12" s="13" t="e">
        <f>IF($C12="B",VLOOKUP($A12,Bat!$A$4:$BG$1095,R$1,FALSE),VLOOKUP($A12,Pit!$A$4:$BA$428,R$2,FALSE))</f>
        <v>#N/A</v>
      </c>
      <c r="S12" s="14" t="e">
        <f>IF($C12="B",VLOOKUP($A12,Bat!$A$4:$BG$1095,S$1,FALSE),VLOOKUP($A12,Pit!$A$4:$BA$428,S$2,FALSE))</f>
        <v>#N/A</v>
      </c>
      <c r="T12" s="11" t="e">
        <f>VLOOKUP(IF($C12="B",VLOOKUP($A12,Bat!$A$4:$AV$1350,T$1,FALSE),VLOOKUP($A12,Pit!$A$4:$BE$438,T$2,FALSE)),COND!$A$35:$B$41,2,FALSE)</f>
        <v>#N/A</v>
      </c>
      <c r="V12" s="15" t="e">
        <f t="shared" si="2"/>
        <v>#N/A</v>
      </c>
      <c r="W12" s="16" t="e">
        <f t="shared" si="3"/>
        <v>#N/A</v>
      </c>
      <c r="X12" s="10" t="str">
        <f>IFERROR(VLOOKUP($D12,Results37!$F$3:$G$1463,X$1,FALSE),"")</f>
        <v/>
      </c>
      <c r="Y12" s="10" t="str">
        <f>IFERROR(VLOOKUP($D12,Results37!$F$3:$G$1463,Y$1,FALSE),"")</f>
        <v/>
      </c>
      <c r="Z12" s="10" t="str">
        <f>IFERROR(VLOOKUP($D12,Results37!$F$3:$G$1463,Z$1,FALSE),"")</f>
        <v/>
      </c>
      <c r="AA12" s="10" t="str">
        <f>IFERROR(VLOOKUP($D12,Results37!$F$3:$G$1463,AA$1,FALSE),"")</f>
        <v/>
      </c>
    </row>
    <row r="13" spans="1:31" s="15" customFormat="1" x14ac:dyDescent="0.3">
      <c r="A13" s="15" t="s">
        <v>279</v>
      </c>
      <c r="B13" s="15">
        <f t="shared" si="0"/>
        <v>1</v>
      </c>
      <c r="C13" s="15" t="str">
        <f t="shared" si="1"/>
        <v>B</v>
      </c>
      <c r="D13" s="11" t="e">
        <f>IF($C13="B",VLOOKUP($A13,Bat!$A$4:$BG$1095,D$1,FALSE),VLOOKUP($A13,Pit!$A$4:$BA$428,D$2,FALSE))</f>
        <v>#N/A</v>
      </c>
      <c r="E13" s="10" t="e">
        <f>IF($C13="B",VLOOKUP($A13,Bat!$A$4:$BG$1095,E$1,FALSE),VLOOKUP($A13,Pit!$A$4:$BA$428,E$2,FALSE))</f>
        <v>#N/A</v>
      </c>
      <c r="F13" s="10" t="e">
        <f>IF($C13="B",VLOOKUP($A13,Bat!$A$4:$BG$1095,F$1,FALSE),VLOOKUP($A13,Pit!$A$4:$BA$428,F$2,FALSE))</f>
        <v>#N/A</v>
      </c>
      <c r="G13" s="10" t="e">
        <f>IF($C13="B",VLOOKUP($A13,Bat!$A$4:$BG$1095,G$1,FALSE),VLOOKUP($A13,Pit!$A$4:$BA$428,G$2,FALSE))</f>
        <v>#N/A</v>
      </c>
      <c r="H13" s="10" t="e">
        <f>IF($C13="B",VLOOKUP($A13,Bat!$A$4:$BG$1095,H$1,FALSE),VLOOKUP($A13,Pit!$A$4:$BA$428,H$2,FALSE))</f>
        <v>#N/A</v>
      </c>
      <c r="I13" s="10" t="e">
        <f>IF($C13="B",VLOOKUP($A13,Bat!$A$4:$BG$1095,I$1,FALSE),VLOOKUP($A13,Pit!$A$4:$BA$428,I$2,FALSE))</f>
        <v>#N/A</v>
      </c>
      <c r="J13" s="10" t="e">
        <f>IF($C13="B",VLOOKUP($A13,Bat!$A$4:$BG$1095,J$1,FALSE),VLOOKUP($A13,Pit!$A$4:$BA$428,J$2,FALSE))</f>
        <v>#N/A</v>
      </c>
      <c r="K13" s="11" t="e">
        <f>IF($C13="B",VLOOKUP($A13,Bat!$A$4:$BG$1095,K$1,FALSE),VLOOKUP($A13,Pit!$A$4:$BA$428,K$2,FALSE))</f>
        <v>#N/A</v>
      </c>
      <c r="L13" s="10" t="e">
        <f>IF($C13="B",VLOOKUP($A13,Bat!$A$4:$BG$1095,L$1,FALSE),VLOOKUP($A13,Pit!$A$4:$BA$428,L$2,FALSE))</f>
        <v>#N/A</v>
      </c>
      <c r="M13" s="10" t="e">
        <f>IF($C13="B",VLOOKUP($A13,Bat!$A$4:$BG$1095,M$1,FALSE),VLOOKUP($A13,Pit!$A$4:$BA$428,M$2,FALSE))</f>
        <v>#N/A</v>
      </c>
      <c r="N13" s="10" t="e">
        <f>IF($C13="B",VLOOKUP($A13,Bat!$A$4:$BG$1095,N$1,FALSE),VLOOKUP($A13,Pit!$A$4:$BA$428,N$2,FALSE))</f>
        <v>#N/A</v>
      </c>
      <c r="O13" s="10" t="e">
        <f>IF($C13="B",VLOOKUP($A13,Bat!$A$4:$BG$1095,O$1,FALSE),VLOOKUP($A13,Pit!$A$4:$BA$428,O$2,FALSE))</f>
        <v>#N/A</v>
      </c>
      <c r="P13" s="11" t="e">
        <f>IF($C13="B",VLOOKUP($A13,Bat!$A$4:$BG$1095,P$1,FALSE),VLOOKUP($A13,Pit!$A$4:$BA$428,P$2,FALSE))</f>
        <v>#N/A</v>
      </c>
      <c r="Q13" s="12" t="e">
        <f>IF($C13="B",VLOOKUP($A13,Bat!$A$4:$BG$1095,Q$1,FALSE),VLOOKUP($A13,Pit!$A$4:$BA$428,Q$2,FALSE))</f>
        <v>#N/A</v>
      </c>
      <c r="R13" s="13" t="e">
        <f>IF($C13="B",VLOOKUP($A13,Bat!$A$4:$BG$1095,R$1,FALSE),VLOOKUP($A13,Pit!$A$4:$BA$428,R$2,FALSE))</f>
        <v>#N/A</v>
      </c>
      <c r="S13" s="14" t="e">
        <f>IF($C13="B",VLOOKUP($A13,Bat!$A$4:$BG$1095,S$1,FALSE),VLOOKUP($A13,Pit!$A$4:$BA$428,S$2,FALSE))</f>
        <v>#N/A</v>
      </c>
      <c r="T13" s="11" t="e">
        <f>VLOOKUP(IF($C13="B",VLOOKUP($A13,Bat!$A$4:$AV$1350,T$1,FALSE),VLOOKUP($A13,Pit!$A$4:$BE$438,T$2,FALSE)),COND!$A$35:$B$41,2,FALSE)</f>
        <v>#N/A</v>
      </c>
      <c r="V13" s="15" t="e">
        <f t="shared" si="2"/>
        <v>#N/A</v>
      </c>
      <c r="W13" s="16" t="e">
        <f t="shared" si="3"/>
        <v>#N/A</v>
      </c>
      <c r="X13" s="10" t="str">
        <f>IFERROR(VLOOKUP($D13,Results37!$F$3:$G$1463,X$1,FALSE),"")</f>
        <v/>
      </c>
      <c r="Y13" s="10" t="str">
        <f>IFERROR(VLOOKUP($D13,Results37!$F$3:$G$1463,Y$1,FALSE),"")</f>
        <v/>
      </c>
      <c r="Z13" s="10" t="str">
        <f>IFERROR(VLOOKUP($D13,Results37!$F$3:$G$1463,Z$1,FALSE),"")</f>
        <v/>
      </c>
      <c r="AA13" s="10" t="str">
        <f>IFERROR(VLOOKUP($D13,Results37!$F$3:$G$1463,AA$1,FALSE),"")</f>
        <v/>
      </c>
    </row>
    <row r="14" spans="1:31" s="15" customFormat="1" x14ac:dyDescent="0.3">
      <c r="A14" s="15" t="s">
        <v>269</v>
      </c>
      <c r="B14" s="15">
        <f t="shared" si="0"/>
        <v>1</v>
      </c>
      <c r="C14" s="15" t="str">
        <f t="shared" si="1"/>
        <v>B</v>
      </c>
      <c r="D14" s="11" t="e">
        <f>IF($C14="B",VLOOKUP($A14,Bat!$A$4:$BG$1095,D$1,FALSE),VLOOKUP($A14,Pit!$A$4:$BA$428,D$2,FALSE))</f>
        <v>#N/A</v>
      </c>
      <c r="E14" s="10" t="e">
        <f>IF($C14="B",VLOOKUP($A14,Bat!$A$4:$BG$1095,E$1,FALSE),VLOOKUP($A14,Pit!$A$4:$BA$428,E$2,FALSE))</f>
        <v>#N/A</v>
      </c>
      <c r="F14" s="10" t="e">
        <f>IF($C14="B",VLOOKUP($A14,Bat!$A$4:$BG$1095,F$1,FALSE),VLOOKUP($A14,Pit!$A$4:$BA$428,F$2,FALSE))</f>
        <v>#N/A</v>
      </c>
      <c r="G14" s="10" t="e">
        <f>IF($C14="B",VLOOKUP($A14,Bat!$A$4:$BG$1095,G$1,FALSE),VLOOKUP($A14,Pit!$A$4:$BA$428,G$2,FALSE))</f>
        <v>#N/A</v>
      </c>
      <c r="H14" s="10" t="e">
        <f>IF($C14="B",VLOOKUP($A14,Bat!$A$4:$BG$1095,H$1,FALSE),VLOOKUP($A14,Pit!$A$4:$BA$428,H$2,FALSE))</f>
        <v>#N/A</v>
      </c>
      <c r="I14" s="10" t="e">
        <f>IF($C14="B",VLOOKUP($A14,Bat!$A$4:$BG$1095,I$1,FALSE),VLOOKUP($A14,Pit!$A$4:$BA$428,I$2,FALSE))</f>
        <v>#N/A</v>
      </c>
      <c r="J14" s="10" t="e">
        <f>IF($C14="B",VLOOKUP($A14,Bat!$A$4:$BG$1095,J$1,FALSE),VLOOKUP($A14,Pit!$A$4:$BA$428,J$2,FALSE))</f>
        <v>#N/A</v>
      </c>
      <c r="K14" s="11" t="e">
        <f>IF($C14="B",VLOOKUP($A14,Bat!$A$4:$BG$1095,K$1,FALSE),VLOOKUP($A14,Pit!$A$4:$BA$428,K$2,FALSE))</f>
        <v>#N/A</v>
      </c>
      <c r="L14" s="10" t="e">
        <f>IF($C14="B",VLOOKUP($A14,Bat!$A$4:$BG$1095,L$1,FALSE),VLOOKUP($A14,Pit!$A$4:$BA$428,L$2,FALSE))</f>
        <v>#N/A</v>
      </c>
      <c r="M14" s="10" t="e">
        <f>IF($C14="B",VLOOKUP($A14,Bat!$A$4:$BG$1095,M$1,FALSE),VLOOKUP($A14,Pit!$A$4:$BA$428,M$2,FALSE))</f>
        <v>#N/A</v>
      </c>
      <c r="N14" s="10" t="e">
        <f>IF($C14="B",VLOOKUP($A14,Bat!$A$4:$BG$1095,N$1,FALSE),VLOOKUP($A14,Pit!$A$4:$BA$428,N$2,FALSE))</f>
        <v>#N/A</v>
      </c>
      <c r="O14" s="10" t="e">
        <f>IF($C14="B",VLOOKUP($A14,Bat!$A$4:$BG$1095,O$1,FALSE),VLOOKUP($A14,Pit!$A$4:$BA$428,O$2,FALSE))</f>
        <v>#N/A</v>
      </c>
      <c r="P14" s="11" t="e">
        <f>IF($C14="B",VLOOKUP($A14,Bat!$A$4:$BG$1095,P$1,FALSE),VLOOKUP($A14,Pit!$A$4:$BA$428,P$2,FALSE))</f>
        <v>#N/A</v>
      </c>
      <c r="Q14" s="12" t="e">
        <f>IF($C14="B",VLOOKUP($A14,Bat!$A$4:$BG$1095,Q$1,FALSE),VLOOKUP($A14,Pit!$A$4:$BA$428,Q$2,FALSE))</f>
        <v>#N/A</v>
      </c>
      <c r="R14" s="13" t="e">
        <f>IF($C14="B",VLOOKUP($A14,Bat!$A$4:$BG$1095,R$1,FALSE),VLOOKUP($A14,Pit!$A$4:$BA$428,R$2,FALSE))</f>
        <v>#N/A</v>
      </c>
      <c r="S14" s="14" t="e">
        <f>IF($C14="B",VLOOKUP($A14,Bat!$A$4:$BG$1095,S$1,FALSE),VLOOKUP($A14,Pit!$A$4:$BA$438,S$2,FALSE))</f>
        <v>#N/A</v>
      </c>
      <c r="T14" s="11" t="e">
        <f>VLOOKUP(IF($C14="B",VLOOKUP($A14,Bat!$A$4:$AV$1350,T$1,FALSE),VLOOKUP($A14,Pit!$A$4:$BE$438,T$2,FALSE)),COND!$A$35:$B$41,2,FALSE)</f>
        <v>#N/A</v>
      </c>
      <c r="V14" s="15" t="e">
        <f t="shared" si="2"/>
        <v>#N/A</v>
      </c>
      <c r="W14" s="16" t="e">
        <f t="shared" si="3"/>
        <v>#N/A</v>
      </c>
      <c r="X14" s="10" t="str">
        <f>IFERROR(VLOOKUP($D14,Results37!$F$3:$G$1463,X$1,FALSE),"")</f>
        <v/>
      </c>
      <c r="Y14" s="10" t="str">
        <f>IFERROR(VLOOKUP($D14,Results37!$F$3:$G$1463,Y$1,FALSE),"")</f>
        <v/>
      </c>
      <c r="Z14" s="10" t="str">
        <f>IFERROR(VLOOKUP($D14,Results37!$F$3:$G$1463,Z$1,FALSE),"")</f>
        <v/>
      </c>
      <c r="AA14" s="10" t="str">
        <f>IFERROR(VLOOKUP($D14,Results37!$F$3:$G$1463,AA$1,FALSE),"")</f>
        <v/>
      </c>
    </row>
    <row r="15" spans="1:31" s="15" customFormat="1" x14ac:dyDescent="0.3">
      <c r="A15" s="15" t="s">
        <v>270</v>
      </c>
      <c r="B15" s="15">
        <f t="shared" si="0"/>
        <v>1</v>
      </c>
      <c r="C15" s="15" t="str">
        <f t="shared" si="1"/>
        <v>B</v>
      </c>
      <c r="D15" s="11" t="e">
        <f>IF($C15="B",VLOOKUP($A15,Bat!$A$4:$BG$1095,D$1,FALSE),VLOOKUP($A15,Pit!$A$4:$BA$428,D$2,FALSE))</f>
        <v>#N/A</v>
      </c>
      <c r="E15" s="10" t="e">
        <f>IF($C15="B",VLOOKUP($A15,Bat!$A$4:$BG$1095,E$1,FALSE),VLOOKUP($A15,Pit!$A$4:$BA$428,E$2,FALSE))</f>
        <v>#N/A</v>
      </c>
      <c r="F15" s="10" t="e">
        <f>IF($C15="B",VLOOKUP($A15,Bat!$A$4:$BG$1095,F$1,FALSE),VLOOKUP($A15,Pit!$A$4:$BA$428,F$2,FALSE))</f>
        <v>#N/A</v>
      </c>
      <c r="G15" s="10" t="e">
        <f>IF($C15="B",VLOOKUP($A15,Bat!$A$4:$BG$1095,G$1,FALSE),VLOOKUP($A15,Pit!$A$4:$BA$428,G$2,FALSE))</f>
        <v>#N/A</v>
      </c>
      <c r="H15" s="10" t="e">
        <f>IF($C15="B",VLOOKUP($A15,Bat!$A$4:$BG$1095,H$1,FALSE),VLOOKUP($A15,Pit!$A$4:$BA$428,H$2,FALSE))</f>
        <v>#N/A</v>
      </c>
      <c r="I15" s="10" t="e">
        <f>IF($C15="B",VLOOKUP($A15,Bat!$A$4:$BG$1095,I$1,FALSE),VLOOKUP($A15,Pit!$A$4:$BA$428,I$2,FALSE))</f>
        <v>#N/A</v>
      </c>
      <c r="J15" s="10" t="e">
        <f>IF($C15="B",VLOOKUP($A15,Bat!$A$4:$BG$1095,J$1,FALSE),VLOOKUP($A15,Pit!$A$4:$BA$428,J$2,FALSE))</f>
        <v>#N/A</v>
      </c>
      <c r="K15" s="11" t="e">
        <f>IF($C15="B",VLOOKUP($A15,Bat!$A$4:$BG$1095,K$1,FALSE),VLOOKUP($A15,Pit!$A$4:$BA$428,K$2,FALSE))</f>
        <v>#N/A</v>
      </c>
      <c r="L15" s="10" t="e">
        <f>IF($C15="B",VLOOKUP($A15,Bat!$A$4:$BG$1095,L$1,FALSE),VLOOKUP($A15,Pit!$A$4:$BA$428,L$2,FALSE))</f>
        <v>#N/A</v>
      </c>
      <c r="M15" s="10" t="e">
        <f>IF($C15="B",VLOOKUP($A15,Bat!$A$4:$BG$1095,M$1,FALSE),VLOOKUP($A15,Pit!$A$4:$BA$428,M$2,FALSE))</f>
        <v>#N/A</v>
      </c>
      <c r="N15" s="10" t="e">
        <f>IF($C15="B",VLOOKUP($A15,Bat!$A$4:$BG$1095,N$1,FALSE),VLOOKUP($A15,Pit!$A$4:$BA$428,N$2,FALSE))</f>
        <v>#N/A</v>
      </c>
      <c r="O15" s="10" t="e">
        <f>IF($C15="B",VLOOKUP($A15,Bat!$A$4:$BG$1095,O$1,FALSE),VLOOKUP($A15,Pit!$A$4:$BA$428,O$2,FALSE))</f>
        <v>#N/A</v>
      </c>
      <c r="P15" s="11" t="e">
        <f>IF($C15="B",VLOOKUP($A15,Bat!$A$4:$BG$1095,P$1,FALSE),VLOOKUP($A15,Pit!$A$4:$BA$428,P$2,FALSE))</f>
        <v>#N/A</v>
      </c>
      <c r="Q15" s="12" t="e">
        <f>IF($C15="B",VLOOKUP($A15,Bat!$A$4:$BG$1095,Q$1,FALSE),VLOOKUP($A15,Pit!$A$4:$BA$428,Q$2,FALSE))</f>
        <v>#N/A</v>
      </c>
      <c r="R15" s="13" t="e">
        <f>IF($C15="B",VLOOKUP($A15,Bat!$A$4:$BG$1095,R$1,FALSE),VLOOKUP($A15,Pit!$A$4:$BA$428,R$2,FALSE))</f>
        <v>#N/A</v>
      </c>
      <c r="S15" s="14" t="e">
        <f>IF($C15="B",VLOOKUP($A15,Bat!$A$4:$BG$1095,S$1,FALSE),VLOOKUP($A15,Pit!$A$4:$BA$428,S$2,FALSE))</f>
        <v>#N/A</v>
      </c>
      <c r="T15" s="11" t="e">
        <f>VLOOKUP(IF($C15="B",VLOOKUP($A15,Bat!$A$4:$AV$1350,T$1,FALSE),VLOOKUP($A15,Pit!$A$4:$BE$438,T$2,FALSE)),COND!$A$35:$B$41,2,FALSE)</f>
        <v>#N/A</v>
      </c>
      <c r="V15" s="15" t="e">
        <f t="shared" si="2"/>
        <v>#N/A</v>
      </c>
      <c r="W15" s="16" t="e">
        <f t="shared" si="3"/>
        <v>#N/A</v>
      </c>
      <c r="X15" s="10" t="str">
        <f>IFERROR(VLOOKUP($D15,Results37!$F$3:$G$1463,X$1,FALSE),"")</f>
        <v/>
      </c>
      <c r="Y15" s="10" t="str">
        <f>IFERROR(VLOOKUP($D15,Results37!$F$3:$G$1463,Y$1,FALSE),"")</f>
        <v/>
      </c>
      <c r="Z15" s="10" t="str">
        <f>IFERROR(VLOOKUP($D15,Results37!$F$3:$G$1463,Z$1,FALSE),"")</f>
        <v/>
      </c>
      <c r="AA15" s="10" t="str">
        <f>IFERROR(VLOOKUP($D15,Results37!$F$3:$G$1463,AA$1,FALSE),"")</f>
        <v/>
      </c>
    </row>
    <row r="16" spans="1:31" s="15" customFormat="1" x14ac:dyDescent="0.3">
      <c r="A16" s="15" t="s">
        <v>274</v>
      </c>
      <c r="B16" s="15">
        <f t="shared" si="0"/>
        <v>1</v>
      </c>
      <c r="C16" s="15" t="str">
        <f t="shared" si="1"/>
        <v>P</v>
      </c>
      <c r="D16" s="11" t="e">
        <f>IF($C16="B",VLOOKUP($A16,Bat!$A$4:$BG$1095,D$1,FALSE),VLOOKUP($A16,Pit!$A$4:$BA$428,D$2,FALSE))</f>
        <v>#N/A</v>
      </c>
      <c r="E16" s="10" t="e">
        <f>IF($C16="B",VLOOKUP($A16,Bat!$A$4:$BG$1095,E$1,FALSE),VLOOKUP($A16,Pit!$A$4:$BA$428,E$2,FALSE))</f>
        <v>#N/A</v>
      </c>
      <c r="F16" s="10" t="e">
        <f>IF($C16="B",VLOOKUP($A16,Bat!$A$4:$BG$1095,F$1,FALSE),VLOOKUP($A16,Pit!$A$4:$BA$428,F$2,FALSE))</f>
        <v>#N/A</v>
      </c>
      <c r="G16" s="10" t="e">
        <f>IF($C16="B",VLOOKUP($A16,Bat!$A$4:$BG$1095,G$1,FALSE),VLOOKUP($A16,Pit!$A$4:$BA$428,G$2,FALSE))</f>
        <v>#N/A</v>
      </c>
      <c r="H16" s="10" t="e">
        <f>IF($C16="B",VLOOKUP($A16,Bat!$A$4:$BG$1095,H$1,FALSE),VLOOKUP($A16,Pit!$A$4:$BA$428,H$2,FALSE))</f>
        <v>#N/A</v>
      </c>
      <c r="I16" s="10" t="e">
        <f>IF($C16="B",VLOOKUP($A16,Bat!$A$4:$BG$1095,I$1,FALSE),VLOOKUP($A16,Pit!$A$4:$BA$428,I$2,FALSE))</f>
        <v>#N/A</v>
      </c>
      <c r="J16" s="10" t="e">
        <f>IF($C16="B",VLOOKUP($A16,Bat!$A$4:$BG$1095,J$1,FALSE),VLOOKUP($A16,Pit!$A$4:$BA$428,J$2,FALSE))</f>
        <v>#N/A</v>
      </c>
      <c r="K16" s="11" t="e">
        <f>IF($C16="B",VLOOKUP($A16,Bat!$A$4:$BG$1095,K$1,FALSE),VLOOKUP($A16,Pit!$A$4:$BA$428,K$2,FALSE))</f>
        <v>#N/A</v>
      </c>
      <c r="L16" s="10" t="e">
        <f>IF($C16="B",VLOOKUP($A16,Bat!$A$4:$BG$1095,L$1,FALSE),VLOOKUP($A16,Pit!$A$4:$BA$428,L$2,FALSE))</f>
        <v>#N/A</v>
      </c>
      <c r="M16" s="10" t="e">
        <f>IF($C16="B",VLOOKUP($A16,Bat!$A$4:$BG$1095,M$1,FALSE),VLOOKUP($A16,Pit!$A$4:$BA$428,M$2,FALSE))</f>
        <v>#N/A</v>
      </c>
      <c r="N16" s="10" t="e">
        <f>IF($C16="B",VLOOKUP($A16,Bat!$A$4:$BG$1095,N$1,FALSE),VLOOKUP($A16,Pit!$A$4:$BA$428,N$2,FALSE))</f>
        <v>#N/A</v>
      </c>
      <c r="O16" s="10" t="e">
        <f>IF($C16="B",VLOOKUP($A16,Bat!$A$4:$BG$1095,O$1,FALSE),VLOOKUP($A16,Pit!$A$4:$BA$428,O$2,FALSE))</f>
        <v>#N/A</v>
      </c>
      <c r="P16" s="11" t="e">
        <f>IF($C16="B",VLOOKUP($A16,Bat!$A$4:$BG$1095,P$1,FALSE),VLOOKUP($A16,Pit!$A$4:$BA$428,P$2,FALSE))</f>
        <v>#N/A</v>
      </c>
      <c r="Q16" s="12" t="e">
        <f>IF($C16="B",VLOOKUP($A16,Bat!$A$4:$BG$1095,Q$1,FALSE),VLOOKUP($A16,Pit!$A$4:$BA$428,Q$2,FALSE))</f>
        <v>#N/A</v>
      </c>
      <c r="R16" s="13" t="e">
        <f>IF($C16="B",VLOOKUP($A16,Bat!$A$4:$BG$1095,R$1,FALSE),VLOOKUP($A16,Pit!$A$4:$BA$428,R$2,FALSE))</f>
        <v>#N/A</v>
      </c>
      <c r="S16" s="14" t="e">
        <f>IF($C16="B",VLOOKUP($A16,Bat!$A$4:$BG$1095,S$1,FALSE),VLOOKUP($A16,Pit!$A$4:$BA$428,S$2,FALSE))</f>
        <v>#N/A</v>
      </c>
      <c r="T16" s="11" t="e">
        <f>VLOOKUP(IF($C16="B",VLOOKUP($A16,Bat!$A$4:$AV$1350,T$1,FALSE),VLOOKUP($A16,Pit!$A$4:$BE$438,T$2,FALSE)),COND!$A$35:$B$41,2,FALSE)</f>
        <v>#N/A</v>
      </c>
      <c r="V16" s="15" t="e">
        <f t="shared" si="2"/>
        <v>#N/A</v>
      </c>
      <c r="W16" s="16" t="e">
        <f t="shared" si="3"/>
        <v>#N/A</v>
      </c>
      <c r="X16" s="10" t="str">
        <f>IFERROR(VLOOKUP($D16,Results37!$F$3:$G$1463,X$1,FALSE),"")</f>
        <v/>
      </c>
      <c r="Y16" s="10" t="str">
        <f>IFERROR(VLOOKUP($D16,Results37!$F$3:$G$1463,Y$1,FALSE),"")</f>
        <v/>
      </c>
      <c r="Z16" s="10" t="str">
        <f>IFERROR(VLOOKUP($D16,Results37!$F$3:$G$1463,Z$1,FALSE),"")</f>
        <v/>
      </c>
      <c r="AA16" s="10" t="str">
        <f>IFERROR(VLOOKUP($D16,Results37!$F$3:$G$1463,AA$1,FALSE),"")</f>
        <v/>
      </c>
    </row>
    <row r="17" spans="1:27" s="15" customFormat="1" x14ac:dyDescent="0.3">
      <c r="A17" s="15" t="s">
        <v>276</v>
      </c>
      <c r="B17" s="15">
        <f t="shared" si="0"/>
        <v>1</v>
      </c>
      <c r="C17" s="15" t="str">
        <f t="shared" si="1"/>
        <v>P</v>
      </c>
      <c r="D17" s="11" t="e">
        <f>IF($C17="B",VLOOKUP($A17,Bat!$A$4:$BG$1095,D$1,FALSE),VLOOKUP($A17,Pit!$A$4:$BA$428,D$2,FALSE))</f>
        <v>#N/A</v>
      </c>
      <c r="E17" s="10" t="e">
        <f>IF($C17="B",VLOOKUP($A17,Bat!$A$4:$BG$1095,E$1,FALSE),VLOOKUP($A17,Pit!$A$4:$BA$428,E$2,FALSE))</f>
        <v>#N/A</v>
      </c>
      <c r="F17" s="10" t="e">
        <f>IF($C17="B",VLOOKUP($A17,Bat!$A$4:$BG$1095,F$1,FALSE),VLOOKUP($A17,Pit!$A$4:$BA$428,F$2,FALSE))</f>
        <v>#N/A</v>
      </c>
      <c r="G17" s="10" t="e">
        <f>IF($C17="B",VLOOKUP($A17,Bat!$A$4:$BG$1095,G$1,FALSE),VLOOKUP($A17,Pit!$A$4:$BA$428,G$2,FALSE))</f>
        <v>#N/A</v>
      </c>
      <c r="H17" s="10" t="e">
        <f>IF($C17="B",VLOOKUP($A17,Bat!$A$4:$BG$1095,H$1,FALSE),VLOOKUP($A17,Pit!$A$4:$BA$428,H$2,FALSE))</f>
        <v>#N/A</v>
      </c>
      <c r="I17" s="10" t="e">
        <f>IF($C17="B",VLOOKUP($A17,Bat!$A$4:$BG$1095,I$1,FALSE),VLOOKUP($A17,Pit!$A$4:$BA$428,I$2,FALSE))</f>
        <v>#N/A</v>
      </c>
      <c r="J17" s="10" t="e">
        <f>IF($C17="B",VLOOKUP($A17,Bat!$A$4:$BG$1095,J$1,FALSE),VLOOKUP($A17,Pit!$A$4:$BA$428,J$2,FALSE))</f>
        <v>#N/A</v>
      </c>
      <c r="K17" s="11" t="e">
        <f>IF($C17="B",VLOOKUP($A17,Bat!$A$4:$BG$1095,K$1,FALSE),VLOOKUP($A17,Pit!$A$4:$BA$428,K$2,FALSE))</f>
        <v>#N/A</v>
      </c>
      <c r="L17" s="10" t="e">
        <f>IF($C17="B",VLOOKUP($A17,Bat!$A$4:$BG$1095,L$1,FALSE),VLOOKUP($A17,Pit!$A$4:$BA$428,L$2,FALSE))</f>
        <v>#N/A</v>
      </c>
      <c r="M17" s="10" t="e">
        <f>IF($C17="B",VLOOKUP($A17,Bat!$A$4:$BG$1095,M$1,FALSE),VLOOKUP($A17,Pit!$A$4:$BA$428,M$2,FALSE))</f>
        <v>#N/A</v>
      </c>
      <c r="N17" s="10" t="e">
        <f>IF($C17="B",VLOOKUP($A17,Bat!$A$4:$BG$1095,N$1,FALSE),VLOOKUP($A17,Pit!$A$4:$BA$428,N$2,FALSE))</f>
        <v>#N/A</v>
      </c>
      <c r="O17" s="10" t="e">
        <f>IF($C17="B",VLOOKUP($A17,Bat!$A$4:$BG$1095,O$1,FALSE),VLOOKUP($A17,Pit!$A$4:$BA$428,O$2,FALSE))</f>
        <v>#N/A</v>
      </c>
      <c r="P17" s="11" t="e">
        <f>IF($C17="B",VLOOKUP($A17,Bat!$A$4:$BG$1095,P$1,FALSE),VLOOKUP($A17,Pit!$A$4:$BA$428,P$2,FALSE))</f>
        <v>#N/A</v>
      </c>
      <c r="Q17" s="12" t="e">
        <f>IF($C17="B",VLOOKUP($A17,Bat!$A$4:$BG$1095,Q$1,FALSE),VLOOKUP($A17,Pit!$A$4:$BA$428,Q$2,FALSE))</f>
        <v>#N/A</v>
      </c>
      <c r="R17" s="13" t="e">
        <f>IF($C17="B",VLOOKUP($A17,Bat!$A$4:$BG$1095,R$1,FALSE),VLOOKUP($A17,Pit!$A$4:$BA$428,R$2,FALSE))</f>
        <v>#N/A</v>
      </c>
      <c r="S17" s="14" t="e">
        <f>IF($C17="B",VLOOKUP($A17,Bat!$A$4:$BG$1095,S$1,FALSE),VLOOKUP($A17,Pit!$A$4:$BA$428,S$2,FALSE))</f>
        <v>#N/A</v>
      </c>
      <c r="T17" s="11" t="e">
        <f>VLOOKUP(IF($C17="B",VLOOKUP($A17,Bat!$A$4:$AV$1350,T$1,FALSE),VLOOKUP($A17,Pit!$A$4:$BE$438,T$2,FALSE)),COND!$A$35:$B$41,2,FALSE)</f>
        <v>#N/A</v>
      </c>
      <c r="V17" s="15" t="e">
        <f t="shared" si="2"/>
        <v>#N/A</v>
      </c>
      <c r="W17" s="16" t="e">
        <f t="shared" si="3"/>
        <v>#N/A</v>
      </c>
      <c r="X17" s="10" t="str">
        <f>IFERROR(VLOOKUP($D17,Results37!$F$3:$G$1463,X$1,FALSE),"")</f>
        <v/>
      </c>
      <c r="Y17" s="10" t="str">
        <f>IFERROR(VLOOKUP($D17,Results37!$F$3:$G$1463,Y$1,FALSE),"")</f>
        <v/>
      </c>
      <c r="Z17" s="10" t="str">
        <f>IFERROR(VLOOKUP($D17,Results37!$F$3:$G$1463,Z$1,FALSE),"")</f>
        <v/>
      </c>
      <c r="AA17" s="10" t="str">
        <f>IFERROR(VLOOKUP($D17,Results37!$F$3:$G$1463,AA$1,FALSE),"")</f>
        <v/>
      </c>
    </row>
    <row r="18" spans="1:27" s="15" customFormat="1" x14ac:dyDescent="0.3">
      <c r="A18" s="15" t="s">
        <v>293</v>
      </c>
      <c r="B18" s="15">
        <f t="shared" si="0"/>
        <v>1</v>
      </c>
      <c r="C18" s="15" t="str">
        <f t="shared" si="1"/>
        <v>P</v>
      </c>
      <c r="D18" s="11" t="e">
        <f>IF($C18="B",VLOOKUP($A18,Bat!$A$4:$BG$1095,D$1,FALSE),VLOOKUP($A18,Pit!$A$4:$BA$428,D$2,FALSE))</f>
        <v>#N/A</v>
      </c>
      <c r="E18" s="10" t="e">
        <f>IF($C18="B",VLOOKUP($A18,Bat!$A$4:$BG$1095,E$1,FALSE),VLOOKUP($A18,Pit!$A$4:$BA$428,E$2,FALSE))</f>
        <v>#N/A</v>
      </c>
      <c r="F18" s="10" t="e">
        <f>IF($C18="B",VLOOKUP($A18,Bat!$A$4:$BG$1095,F$1,FALSE),VLOOKUP($A18,Pit!$A$4:$BA$428,F$2,FALSE))</f>
        <v>#N/A</v>
      </c>
      <c r="G18" s="10" t="e">
        <f>IF($C18="B",VLOOKUP($A18,Bat!$A$4:$BG$1095,G$1,FALSE),VLOOKUP($A18,Pit!$A$4:$BA$428,G$2,FALSE))</f>
        <v>#N/A</v>
      </c>
      <c r="H18" s="10" t="e">
        <f>IF($C18="B",VLOOKUP($A18,Bat!$A$4:$BG$1095,H$1,FALSE),VLOOKUP($A18,Pit!$A$4:$BA$428,H$2,FALSE))</f>
        <v>#N/A</v>
      </c>
      <c r="I18" s="10" t="e">
        <f>IF($C18="B",VLOOKUP($A18,Bat!$A$4:$BG$1095,I$1,FALSE),VLOOKUP($A18,Pit!$A$4:$BA$428,I$2,FALSE))</f>
        <v>#N/A</v>
      </c>
      <c r="J18" s="10" t="e">
        <f>IF($C18="B",VLOOKUP($A18,Bat!$A$4:$BG$1095,J$1,FALSE),VLOOKUP($A18,Pit!$A$4:$BA$428,J$2,FALSE))</f>
        <v>#N/A</v>
      </c>
      <c r="K18" s="11" t="e">
        <f>IF($C18="B",VLOOKUP($A18,Bat!$A$4:$BG$1095,K$1,FALSE),VLOOKUP($A18,Pit!$A$4:$BA$428,K$2,FALSE))</f>
        <v>#N/A</v>
      </c>
      <c r="L18" s="10" t="e">
        <f>IF($C18="B",VLOOKUP($A18,Bat!$A$4:$BG$1095,L$1,FALSE),VLOOKUP($A18,Pit!$A$4:$BA$428,L$2,FALSE))</f>
        <v>#N/A</v>
      </c>
      <c r="M18" s="10" t="e">
        <f>IF($C18="B",VLOOKUP($A18,Bat!$A$4:$BG$1095,M$1,FALSE),VLOOKUP($A18,Pit!$A$4:$BA$428,M$2,FALSE))</f>
        <v>#N/A</v>
      </c>
      <c r="N18" s="10" t="e">
        <f>IF($C18="B",VLOOKUP($A18,Bat!$A$4:$BG$1095,N$1,FALSE),VLOOKUP($A18,Pit!$A$4:$BA$428,N$2,FALSE))</f>
        <v>#N/A</v>
      </c>
      <c r="O18" s="10" t="e">
        <f>IF($C18="B",VLOOKUP($A18,Bat!$A$4:$BG$1095,O$1,FALSE),VLOOKUP($A18,Pit!$A$4:$BA$428,O$2,FALSE))</f>
        <v>#N/A</v>
      </c>
      <c r="P18" s="11" t="e">
        <f>IF($C18="B",VLOOKUP($A18,Bat!$A$4:$BG$1095,P$1,FALSE),VLOOKUP($A18,Pit!$A$4:$BA$428,P$2,FALSE))</f>
        <v>#N/A</v>
      </c>
      <c r="Q18" s="12" t="e">
        <f>IF($C18="B",VLOOKUP($A18,Bat!$A$4:$BG$1095,Q$1,FALSE),VLOOKUP($A18,Pit!$A$4:$BA$428,Q$2,FALSE))</f>
        <v>#N/A</v>
      </c>
      <c r="R18" s="13" t="e">
        <f>IF($C18="B",VLOOKUP($A18,Bat!$A$4:$BG$1095,R$1,FALSE),VLOOKUP($A18,Pit!$A$4:$BA$428,R$2,FALSE))</f>
        <v>#N/A</v>
      </c>
      <c r="S18" s="14" t="e">
        <f>IF($C18="B",VLOOKUP($A18,Bat!$A$4:$BG$1095,S$1,FALSE),VLOOKUP($A18,Pit!$A$4:$BA$428,S$2,FALSE))</f>
        <v>#N/A</v>
      </c>
      <c r="T18" s="11" t="e">
        <f>VLOOKUP(IF($C18="B",VLOOKUP($A18,Bat!$A$4:$AV$1350,T$1,FALSE),VLOOKUP($A18,Pit!$A$4:$BE$438,T$2,FALSE)),COND!$A$35:$B$41,2,FALSE)</f>
        <v>#N/A</v>
      </c>
      <c r="V18" s="15" t="e">
        <f t="shared" si="2"/>
        <v>#N/A</v>
      </c>
      <c r="W18" s="16" t="e">
        <f t="shared" si="3"/>
        <v>#N/A</v>
      </c>
      <c r="X18" s="10" t="str">
        <f>IFERROR(VLOOKUP($D18,Results37!$F$3:$G$1463,X$1,FALSE),"")</f>
        <v/>
      </c>
      <c r="Y18" s="10" t="str">
        <f>IFERROR(VLOOKUP($D18,Results37!$F$3:$G$1463,Y$1,FALSE),"")</f>
        <v/>
      </c>
      <c r="Z18" s="10" t="str">
        <f>IFERROR(VLOOKUP($D18,Results37!$F$3:$G$1463,Z$1,FALSE),"")</f>
        <v/>
      </c>
      <c r="AA18" s="10" t="str">
        <f>IFERROR(VLOOKUP($D18,Results37!$F$3:$G$1463,AA$1,FALSE),"")</f>
        <v/>
      </c>
    </row>
    <row r="19" spans="1:27" s="15" customFormat="1" x14ac:dyDescent="0.3">
      <c r="A19" s="15" t="s">
        <v>275</v>
      </c>
      <c r="B19" s="15">
        <f t="shared" si="0"/>
        <v>1</v>
      </c>
      <c r="C19" s="15" t="str">
        <f t="shared" si="1"/>
        <v>P</v>
      </c>
      <c r="D19" s="11" t="e">
        <f>IF($C19="B",VLOOKUP($A19,Bat!$A$4:$BG$1095,D$1,FALSE),VLOOKUP($A19,Pit!$A$4:$BA$428,D$2,FALSE))</f>
        <v>#N/A</v>
      </c>
      <c r="E19" s="10" t="e">
        <f>IF($C19="B",VLOOKUP($A19,Bat!$A$4:$BG$1095,E$1,FALSE),VLOOKUP($A19,Pit!$A$4:$BA$428,E$2,FALSE))</f>
        <v>#N/A</v>
      </c>
      <c r="F19" s="10" t="e">
        <f>IF($C19="B",VLOOKUP($A19,Bat!$A$4:$BG$1095,F$1,FALSE),VLOOKUP($A19,Pit!$A$4:$BA$428,F$2,FALSE))</f>
        <v>#N/A</v>
      </c>
      <c r="G19" s="10" t="e">
        <f>IF($C19="B",VLOOKUP($A19,Bat!$A$4:$BG$1095,G$1,FALSE),VLOOKUP($A19,Pit!$A$4:$BA$428,G$2,FALSE))</f>
        <v>#N/A</v>
      </c>
      <c r="H19" s="10" t="e">
        <f>IF($C19="B",VLOOKUP($A19,Bat!$A$4:$BG$1095,H$1,FALSE),VLOOKUP($A19,Pit!$A$4:$BA$428,H$2,FALSE))</f>
        <v>#N/A</v>
      </c>
      <c r="I19" s="10" t="e">
        <f>IF($C19="B",VLOOKUP($A19,Bat!$A$4:$BG$1095,I$1,FALSE),VLOOKUP($A19,Pit!$A$4:$BA$428,I$2,FALSE))</f>
        <v>#N/A</v>
      </c>
      <c r="J19" s="10" t="e">
        <f>IF($C19="B",VLOOKUP($A19,Bat!$A$4:$BG$1095,J$1,FALSE),VLOOKUP($A19,Pit!$A$4:$BA$428,J$2,FALSE))</f>
        <v>#N/A</v>
      </c>
      <c r="K19" s="11" t="e">
        <f>IF($C19="B",VLOOKUP($A19,Bat!$A$4:$BG$1095,K$1,FALSE),VLOOKUP($A19,Pit!$A$4:$BA$428,K$2,FALSE))</f>
        <v>#N/A</v>
      </c>
      <c r="L19" s="10" t="e">
        <f>IF($C19="B",VLOOKUP($A19,Bat!$A$4:$BG$1095,L$1,FALSE),VLOOKUP($A19,Pit!$A$4:$BA$428,L$2,FALSE))</f>
        <v>#N/A</v>
      </c>
      <c r="M19" s="10" t="e">
        <f>IF($C19="B",VLOOKUP($A19,Bat!$A$4:$BG$1095,M$1,FALSE),VLOOKUP($A19,Pit!$A$4:$BA$428,M$2,FALSE))</f>
        <v>#N/A</v>
      </c>
      <c r="N19" s="10" t="e">
        <f>IF($C19="B",VLOOKUP($A19,Bat!$A$4:$BG$1095,N$1,FALSE),VLOOKUP($A19,Pit!$A$4:$BA$428,N$2,FALSE))</f>
        <v>#N/A</v>
      </c>
      <c r="O19" s="10" t="e">
        <f>IF($C19="B",VLOOKUP($A19,Bat!$A$4:$BG$1095,O$1,FALSE),VLOOKUP($A19,Pit!$A$4:$BA$428,O$2,FALSE))</f>
        <v>#N/A</v>
      </c>
      <c r="P19" s="11" t="e">
        <f>IF($C19="B",VLOOKUP($A19,Bat!$A$4:$BG$1095,P$1,FALSE),VLOOKUP($A19,Pit!$A$4:$BA$428,P$2,FALSE))</f>
        <v>#N/A</v>
      </c>
      <c r="Q19" s="12" t="e">
        <f>IF($C19="B",VLOOKUP($A19,Bat!$A$4:$BG$1095,Q$1,FALSE),VLOOKUP($A19,Pit!$A$4:$BA$438,Q$2,FALSE))</f>
        <v>#N/A</v>
      </c>
      <c r="R19" s="13" t="e">
        <f>IF($C19="B",VLOOKUP($A19,Bat!$A$4:$BG$1095,R$1,FALSE),VLOOKUP($A19,Pit!$A$4:$BA$428,R$2,FALSE))</f>
        <v>#N/A</v>
      </c>
      <c r="S19" s="14" t="e">
        <f>IF($C19="B",VLOOKUP($A19,Bat!$A$4:$BG$1095,S$1,FALSE),VLOOKUP($A19,Pit!$A$4:$BA$428,S$2,FALSE))</f>
        <v>#N/A</v>
      </c>
      <c r="T19" s="11" t="e">
        <f>VLOOKUP(IF($C19="B",VLOOKUP($A19,Bat!$A$4:$AV$1350,T$1,FALSE),VLOOKUP($A19,Pit!$A$4:$BE$438,T$2,FALSE)),COND!$A$35:$B$41,2,FALSE)</f>
        <v>#N/A</v>
      </c>
      <c r="V19" s="15" t="e">
        <f t="shared" si="2"/>
        <v>#N/A</v>
      </c>
      <c r="W19" s="16" t="e">
        <f t="shared" si="3"/>
        <v>#N/A</v>
      </c>
      <c r="X19" s="10" t="str">
        <f>IFERROR(VLOOKUP($D19,Results37!$F$3:$G$1463,X$1,FALSE),"")</f>
        <v/>
      </c>
      <c r="Y19" s="10" t="str">
        <f>IFERROR(VLOOKUP($D19,Results37!$F$3:$G$1463,Y$1,FALSE),"")</f>
        <v/>
      </c>
      <c r="Z19" s="10" t="str">
        <f>IFERROR(VLOOKUP($D19,Results37!$F$3:$G$1463,Z$1,FALSE),"")</f>
        <v/>
      </c>
      <c r="AA19" s="10" t="str">
        <f>IFERROR(VLOOKUP($D19,Results37!$F$3:$G$1463,AA$1,FALSE),"")</f>
        <v/>
      </c>
    </row>
    <row r="20" spans="1:27" s="15" customFormat="1" x14ac:dyDescent="0.3">
      <c r="B20" s="15">
        <f>COUNTIF($A$5:$A$20,A20)</f>
        <v>0</v>
      </c>
      <c r="C20" s="15" t="str">
        <f>IF(OR(MID(A20,1,2)="SP",MID(A20,1,2)="MR",MID(A20,1,2)="CL",MID(A20,1,2)="RP"),"P","B")</f>
        <v>B</v>
      </c>
      <c r="D20" s="11" t="e">
        <f>IF($C20="B",VLOOKUP($A20,Bat!$A$4:$BG$1095,D$1,FALSE),VLOOKUP($A20,Pit!$A$4:$BA$428,D$2,FALSE))</f>
        <v>#N/A</v>
      </c>
      <c r="E20" s="10" t="e">
        <f>IF($C20="B",VLOOKUP($A20,Bat!$A$4:$BG$1095,E$1,FALSE),VLOOKUP($A20,Pit!$A$4:$BA$428,E$2,FALSE))</f>
        <v>#N/A</v>
      </c>
      <c r="F20" s="10" t="e">
        <f>IF($C20="B",VLOOKUP($A20,Bat!$A$4:$BG$1095,F$1,FALSE),VLOOKUP($A20,Pit!$A$4:$BA$428,F$2,FALSE))</f>
        <v>#N/A</v>
      </c>
      <c r="G20" s="10" t="e">
        <f>IF($C20="B",VLOOKUP($A20,Bat!$A$4:$BG$1095,G$1,FALSE),VLOOKUP($A20,Pit!$A$4:$BA$428,G$2,FALSE))</f>
        <v>#N/A</v>
      </c>
      <c r="H20" s="10" t="e">
        <f>IF($C20="B",VLOOKUP($A20,Bat!$A$4:$BG$1095,H$1,FALSE),VLOOKUP($A20,Pit!$A$4:$BA$428,H$2,FALSE))</f>
        <v>#N/A</v>
      </c>
      <c r="I20" s="10" t="e">
        <f>IF($C20="B",VLOOKUP($A20,Bat!$A$4:$BG$1095,I$1,FALSE),VLOOKUP($A20,Pit!$A$4:$BA$428,I$2,FALSE))</f>
        <v>#N/A</v>
      </c>
      <c r="J20" s="10" t="e">
        <f>IF($C20="B",VLOOKUP($A20,Bat!$A$4:$BG$1095,J$1,FALSE),VLOOKUP($A20,Pit!$A$4:$BA$428,J$2,FALSE))</f>
        <v>#N/A</v>
      </c>
      <c r="K20" s="11" t="e">
        <f>IF($C20="B",VLOOKUP($A20,Bat!$A$4:$BG$1095,K$1,FALSE),VLOOKUP($A20,Pit!$A$4:$BA$428,K$2,FALSE))</f>
        <v>#N/A</v>
      </c>
      <c r="L20" s="10" t="e">
        <f>IF($C20="B",VLOOKUP($A20,Bat!$A$4:$BG$1095,L$1,FALSE),VLOOKUP($A20,Pit!$A$4:$BA$428,L$2,FALSE))</f>
        <v>#N/A</v>
      </c>
      <c r="M20" s="10" t="e">
        <f>IF($C20="B",VLOOKUP($A20,Bat!$A$4:$BG$1095,M$1,FALSE),VLOOKUP($A20,Pit!$A$4:$BA$428,M$2,FALSE))</f>
        <v>#N/A</v>
      </c>
      <c r="N20" s="10" t="e">
        <f>IF($C20="B",VLOOKUP($A20,Bat!$A$4:$BG$1095,N$1,FALSE),VLOOKUP($A20,Pit!$A$4:$BA$428,N$2,FALSE))</f>
        <v>#N/A</v>
      </c>
      <c r="O20" s="10" t="e">
        <f>IF($C20="B",VLOOKUP($A20,Bat!$A$4:$BG$1095,O$1,FALSE),VLOOKUP($A20,Pit!$A$4:$BA$428,O$2,FALSE))</f>
        <v>#N/A</v>
      </c>
      <c r="P20" s="11" t="e">
        <f>IF($C20="B",VLOOKUP($A20,Bat!$A$4:$BG$1095,P$1,FALSE),VLOOKUP($A20,Pit!$A$4:$BA$428,P$2,FALSE))</f>
        <v>#N/A</v>
      </c>
      <c r="Q20" s="12" t="e">
        <f>IF($C20="B",VLOOKUP($A20,Bat!$A$4:$BG$1095,Q$1,FALSE),VLOOKUP($A20,Pit!$A$4:$BA$428,Q$2,FALSE))</f>
        <v>#N/A</v>
      </c>
      <c r="R20" s="13" t="e">
        <f>IF($C20="B",VLOOKUP($A20,Bat!$A$4:$BG$1095,R$1,FALSE),VLOOKUP($A20,Pit!$A$4:$BA$428,R$2,FALSE))</f>
        <v>#N/A</v>
      </c>
      <c r="S20" s="14" t="e">
        <f>IF($C20="B",VLOOKUP($A20,Bat!$A$4:$BG$1095,S$1,FALSE),VLOOKUP($A20,Pit!$A$4:$BA$428,S$2,FALSE))</f>
        <v>#N/A</v>
      </c>
      <c r="T20" s="11" t="e">
        <f>VLOOKUP(IF($C20="B",VLOOKUP($A20,Bat!$A$4:$AV$1350,T$1,FALSE),VLOOKUP($A20,Pit!$A$4:$BE$438,T$2,FALSE)),COND!$A$35:$B$41,2,FALSE)</f>
        <v>#N/A</v>
      </c>
      <c r="V20" s="15" t="e">
        <f>IF(OR(U20=999,AND(S20&gt;$S$3,S20&lt;&gt;"Slot")),"",U20)</f>
        <v>#N/A</v>
      </c>
      <c r="W20" s="16" t="e">
        <f>RANK(R20,$R$5:$R$891)</f>
        <v>#N/A</v>
      </c>
      <c r="X20" s="10" t="str">
        <f>IFERROR(VLOOKUP($D20,Results37!$F$3:$G$1463,X$1,FALSE),"")</f>
        <v/>
      </c>
      <c r="Y20" s="10" t="str">
        <f>IFERROR(VLOOKUP($D20,Results37!$F$3:$G$1463,Y$1,FALSE),"")</f>
        <v/>
      </c>
      <c r="Z20" s="10" t="str">
        <f>IFERROR(VLOOKUP($D20,Results37!$F$3:$G$1463,Z$1,FALSE),"")</f>
        <v/>
      </c>
      <c r="AA20" s="10" t="str">
        <f>IFERROR(VLOOKUP($D20,Results37!$F$3:$G$1463,AA$1,FALSE),"")</f>
        <v/>
      </c>
    </row>
  </sheetData>
  <autoFilter ref="A4:AE20" xr:uid="{00000000-0009-0000-0000-000005000000}"/>
  <sortState xmlns:xlrd2="http://schemas.microsoft.com/office/spreadsheetml/2017/richdata2" ref="A5:AE19">
    <sortCondition ref="X5:X19"/>
  </sortState>
  <conditionalFormatting sqref="A5:XFD20">
    <cfRule type="expression" dxfId="16" priority="2">
      <formula>IF($C5="B",1,0)</formula>
    </cfRule>
  </conditionalFormatting>
  <pageMargins left="0.7" right="0.7" top="0.75" bottom="0.75" header="0.3" footer="0.3"/>
  <pageSetup orientation="portrait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29"/>
  <sheetViews>
    <sheetView workbookViewId="0">
      <selection activeCell="F32" sqref="F32"/>
    </sheetView>
  </sheetViews>
  <sheetFormatPr defaultRowHeight="14.4" x14ac:dyDescent="0.3"/>
  <cols>
    <col min="1" max="1" width="29.33203125" bestFit="1" customWidth="1"/>
    <col min="2" max="2" width="17" bestFit="1" customWidth="1"/>
    <col min="3" max="3" width="15.88671875" bestFit="1" customWidth="1"/>
    <col min="4" max="4" width="9.33203125" bestFit="1" customWidth="1"/>
    <col min="5" max="5" width="11.6640625" bestFit="1" customWidth="1"/>
    <col min="6" max="6" width="12.5546875" bestFit="1" customWidth="1"/>
    <col min="7" max="7" width="12.44140625" bestFit="1" customWidth="1"/>
    <col min="8" max="8" width="6.44140625" bestFit="1" customWidth="1"/>
  </cols>
  <sheetData>
    <row r="1" spans="1:9" x14ac:dyDescent="0.3">
      <c r="I1" s="24" t="str">
        <f>"Team"&amp;REPT(" ",Table1[[#Totals],[Len]]+2)&amp;"Dft  Elg  Sgn  UnS         Total           Avg"</f>
        <v>Team                                Dft  Elg  Sgn  UnS         Total           Avg</v>
      </c>
    </row>
    <row r="2" spans="1:9" s="1" customFormat="1" x14ac:dyDescent="0.3">
      <c r="A2" s="1" t="s">
        <v>223</v>
      </c>
      <c r="B2" s="1" t="s">
        <v>258</v>
      </c>
      <c r="C2" s="1" t="s">
        <v>259</v>
      </c>
      <c r="D2" s="1" t="s">
        <v>260</v>
      </c>
      <c r="E2" s="1" t="s">
        <v>261</v>
      </c>
      <c r="F2" s="1" t="s">
        <v>263</v>
      </c>
      <c r="G2" s="1" t="s">
        <v>262</v>
      </c>
      <c r="H2" s="1" t="s">
        <v>265</v>
      </c>
      <c r="I2" s="22" t="s">
        <v>266</v>
      </c>
    </row>
    <row r="3" spans="1:9" x14ac:dyDescent="0.3">
      <c r="A3" t="s">
        <v>237</v>
      </c>
      <c r="B3">
        <f>COUNTIF('Draft List'!$AB$5:$AB$891,$A3)</f>
        <v>0</v>
      </c>
      <c r="C3">
        <f>SUMPRODUCT(('Draft List'!$AB$5:$AB$891=$A3)*('Draft List'!$Z$5:$Z$891&lt;6))+SUMPRODUCT(('Draft List'!$AB$5:$AB$891=$A3)*('Draft List'!$Z$5:$Z$891="S1"))+SUMPRODUCT(('Draft List'!$AB$5:$AB$891=$A3)*('Draft List'!$Z$5:$Z$891&lt;&gt;"S1")*('Draft List'!$Z$5:$Z$891&gt;5)*('Draft List'!$AD$5:$AD$891&gt;0)*('Draft List'!$AD$5:$AD$891&lt;100000000))</f>
        <v>0</v>
      </c>
      <c r="D3">
        <f>SUMPRODUCT(('Draft List'!$AB$5:$AB$891=$A3)*('Draft List'!$AD$5:$AD$891&gt;0)*('Draft List'!$AD$5:$AD$891&lt;1000000000))</f>
        <v>0</v>
      </c>
      <c r="E3">
        <f t="shared" ref="E3:E28" si="0">C3-D3</f>
        <v>0</v>
      </c>
      <c r="F3" s="5">
        <f>SUMIF('Draft List'!$AB$5:$AB$891,$A3,'Draft List'!$AD$5:$AD$891)</f>
        <v>0</v>
      </c>
      <c r="G3" s="20">
        <f t="shared" ref="G3:G28" si="1">IF(D3&gt;0,F3/D3,0)</f>
        <v>0</v>
      </c>
      <c r="H3" s="19">
        <f>LEN(Table1[[#This Row],[Team]])</f>
        <v>20</v>
      </c>
      <c r="I3" s="23" t="str">
        <f>IF(RANK(Table1[[#This Row],[Tot Bonus]],Table1[Tot Bonus])&lt;10," ","")&amp;RANK(Table1[[#This Row],[Tot Bonus]],Table1[Tot Bonus])&amp;". "&amp;Table1[[#This Row],[Team]]&amp;REPT(" ",Table1[[#Totals],[Len]]-Table1[[#This Row],[Len]]+3)&amp;IF(Table1[[#This Row],[Drafted Players]]&lt;10," ","")&amp;Table1[[#This Row],[Drafted Players]]&amp;"   "&amp;IF(Table1[[#This Row],[Bonus Eligible]]&lt;10," ","")&amp;Table1[[#This Row],[Bonus Eligible]]&amp;"   "&amp;IF(Table1[[#This Row],[Signed]]&lt;10," ","")&amp;Table1[[#This Row],[Signed]]&amp;"   "&amp;IF(Table1[[#This Row],[Unsigned]]&lt;10," ","")&amp;Table1[[#This Row],[Unsigned]]&amp;"   "&amp;IF(Table1[[#This Row],[Tot Bonus]]&lt;10000000," ","")&amp;IF(Table1[[#This Row],[Tot Bonus]]&lt;1000000,"  ","")&amp;IF(Table1[[#This Row],[Tot Bonus]]&lt;1000,"  ","")&amp;TEXT(Table1[[#This Row],[Tot Bonus]],"$0,000")&amp;"   "&amp;IF(Table1[[#This Row],[Avg Bonus]]&lt;10000000," ","")&amp;IF(Table1[[#This Row],[Avg Bonus]]&lt;1000000,"  ","")&amp;IF(Table1[[#This Row],[Avg Bonus]]&lt;1000,"  ","")&amp;TEXT(Table1[[#This Row],[Avg Bonus]],"$0,000")</f>
        <v xml:space="preserve"> 1. Florida Featherheads              0    0    0    0        $0,000        $0,000</v>
      </c>
    </row>
    <row r="4" spans="1:9" x14ac:dyDescent="0.3">
      <c r="A4" t="s">
        <v>240</v>
      </c>
      <c r="B4">
        <f>COUNTIF('Draft List'!$AB$5:$AB$891,$A4)</f>
        <v>22</v>
      </c>
      <c r="C4">
        <f>SUMPRODUCT(('Draft List'!$AB$5:$AB$891=$A4)*('Draft List'!$Z$5:$Z$891&lt;6))+SUMPRODUCT(('Draft List'!$AB$5:$AB$891=$A4)*('Draft List'!$Z$5:$Z$891="S1"))+SUMPRODUCT(('Draft List'!$AB$5:$AB$891=$A4)*('Draft List'!$Z$5:$Z$891&lt;&gt;"S1")*('Draft List'!$Z$5:$Z$891&gt;5)*('Draft List'!$AD$5:$AD$891&gt;0)*('Draft List'!$AD$5:$AD$891&lt;100000000))</f>
        <v>0</v>
      </c>
      <c r="D4">
        <f>SUMPRODUCT(('Draft List'!$AB$5:$AB$891=$A4)*('Draft List'!$AD$5:$AD$891&gt;0)*('Draft List'!$AD$5:$AD$891&lt;1000000000))</f>
        <v>0</v>
      </c>
      <c r="E4">
        <f t="shared" si="0"/>
        <v>0</v>
      </c>
      <c r="F4" s="5">
        <f>SUMIF('Draft List'!$AB$5:$AB$891,$A4,'Draft List'!$AD$5:$AD$891)</f>
        <v>0</v>
      </c>
      <c r="G4" s="20">
        <f t="shared" si="1"/>
        <v>0</v>
      </c>
      <c r="H4" s="19">
        <f>LEN(Table1[[#This Row],[Team]])</f>
        <v>18</v>
      </c>
      <c r="I4" s="23" t="str">
        <f>IF(RANK(Table1[[#This Row],[Tot Bonus]],Table1[Tot Bonus])&lt;10," ","")&amp;RANK(Table1[[#This Row],[Tot Bonus]],Table1[Tot Bonus])&amp;". "&amp;Table1[[#This Row],[Team]]&amp;REPT(" ",Table1[[#Totals],[Len]]-Table1[[#This Row],[Len]]+3)&amp;IF(Table1[[#This Row],[Drafted Players]]&lt;10," ","")&amp;Table1[[#This Row],[Drafted Players]]&amp;"   "&amp;IF(Table1[[#This Row],[Bonus Eligible]]&lt;10," ","")&amp;Table1[[#This Row],[Bonus Eligible]]&amp;"   "&amp;IF(Table1[[#This Row],[Signed]]&lt;10," ","")&amp;Table1[[#This Row],[Signed]]&amp;"   "&amp;IF(Table1[[#This Row],[Unsigned]]&lt;10," ","")&amp;Table1[[#This Row],[Unsigned]]&amp;"   "&amp;IF(Table1[[#This Row],[Tot Bonus]]&lt;10000000," ","")&amp;IF(Table1[[#This Row],[Tot Bonus]]&lt;1000000,"  ","")&amp;IF(Table1[[#This Row],[Tot Bonus]]&lt;1000,"  ","")&amp;TEXT(Table1[[#This Row],[Tot Bonus]],"$0,000")&amp;"   "&amp;IF(Table1[[#This Row],[Avg Bonus]]&lt;10000000," ","")&amp;IF(Table1[[#This Row],[Avg Bonus]]&lt;1000000,"  ","")&amp;IF(Table1[[#This Row],[Avg Bonus]]&lt;1000,"  ","")&amp;TEXT(Table1[[#This Row],[Avg Bonus]],"$0,000")</f>
        <v xml:space="preserve"> 1. London Underground               22    0    0    0        $0,000        $0,000</v>
      </c>
    </row>
    <row r="5" spans="1:9" x14ac:dyDescent="0.3">
      <c r="A5" t="s">
        <v>247</v>
      </c>
      <c r="B5">
        <f>COUNTIF('Draft List'!$AB$5:$AB$891,$A5)</f>
        <v>21</v>
      </c>
      <c r="C5">
        <f>SUMPRODUCT(('Draft List'!$AB$5:$AB$891=$A5)*('Draft List'!$Z$5:$Z$891&lt;6))+SUMPRODUCT(('Draft List'!$AB$5:$AB$891=$A5)*('Draft List'!$Z$5:$Z$891="S1"))+SUMPRODUCT(('Draft List'!$AB$5:$AB$891=$A5)*('Draft List'!$Z$5:$Z$891&lt;&gt;"S1")*('Draft List'!$Z$5:$Z$891&gt;5)*('Draft List'!$AD$5:$AD$891&gt;0)*('Draft List'!$AD$5:$AD$891&lt;100000000))</f>
        <v>0</v>
      </c>
      <c r="D5">
        <f>SUMPRODUCT(('Draft List'!$AB$5:$AB$891=$A5)*('Draft List'!$AD$5:$AD$891&gt;0)*('Draft List'!$AD$5:$AD$891&lt;1000000000))</f>
        <v>0</v>
      </c>
      <c r="E5">
        <f t="shared" si="0"/>
        <v>0</v>
      </c>
      <c r="F5" s="5">
        <f>SUMIF('Draft List'!$AB$5:$AB$891,$A5,'Draft List'!$AD$5:$AD$891)</f>
        <v>0</v>
      </c>
      <c r="G5" s="20">
        <f t="shared" si="1"/>
        <v>0</v>
      </c>
      <c r="H5" s="19">
        <f>LEN(Table1[[#This Row],[Team]])</f>
        <v>15</v>
      </c>
      <c r="I5" s="23" t="str">
        <f>IF(RANK(Table1[[#This Row],[Tot Bonus]],Table1[Tot Bonus])&lt;10," ","")&amp;RANK(Table1[[#This Row],[Tot Bonus]],Table1[Tot Bonus])&amp;". "&amp;Table1[[#This Row],[Team]]&amp;REPT(" ",Table1[[#Totals],[Len]]-Table1[[#This Row],[Len]]+3)&amp;IF(Table1[[#This Row],[Drafted Players]]&lt;10," ","")&amp;Table1[[#This Row],[Drafted Players]]&amp;"   "&amp;IF(Table1[[#This Row],[Bonus Eligible]]&lt;10," ","")&amp;Table1[[#This Row],[Bonus Eligible]]&amp;"   "&amp;IF(Table1[[#This Row],[Signed]]&lt;10," ","")&amp;Table1[[#This Row],[Signed]]&amp;"   "&amp;IF(Table1[[#This Row],[Unsigned]]&lt;10," ","")&amp;Table1[[#This Row],[Unsigned]]&amp;"   "&amp;IF(Table1[[#This Row],[Tot Bonus]]&lt;10000000," ","")&amp;IF(Table1[[#This Row],[Tot Bonus]]&lt;1000000,"  ","")&amp;IF(Table1[[#This Row],[Tot Bonus]]&lt;1000,"  ","")&amp;TEXT(Table1[[#This Row],[Tot Bonus]],"$0,000")&amp;"   "&amp;IF(Table1[[#This Row],[Avg Bonus]]&lt;10000000," ","")&amp;IF(Table1[[#This Row],[Avg Bonus]]&lt;1000000,"  ","")&amp;IF(Table1[[#This Row],[Avg Bonus]]&lt;1000,"  ","")&amp;TEXT(Table1[[#This Row],[Avg Bonus]],"$0,000")</f>
        <v xml:space="preserve"> 1. Fargo Dinosaurs                  21    0    0    0        $0,000        $0,000</v>
      </c>
    </row>
    <row r="6" spans="1:9" x14ac:dyDescent="0.3">
      <c r="A6" t="s">
        <v>413</v>
      </c>
      <c r="B6">
        <f>COUNTIF('Draft List'!$AB$5:$AB$891,$A6)</f>
        <v>19</v>
      </c>
      <c r="C6">
        <f>SUMPRODUCT(('Draft List'!$AB$5:$AB$891=$A6)*('Draft List'!$Z$5:$Z$891&lt;6))+SUMPRODUCT(('Draft List'!$AB$5:$AB$891=$A6)*('Draft List'!$Z$5:$Z$891="S1"))+SUMPRODUCT(('Draft List'!$AB$5:$AB$891=$A6)*('Draft List'!$Z$5:$Z$891&lt;&gt;"S1")*('Draft List'!$Z$5:$Z$891&gt;5)*('Draft List'!$AD$5:$AD$891&gt;0)*('Draft List'!$AD$5:$AD$891&lt;100000000))</f>
        <v>2</v>
      </c>
      <c r="D6">
        <f>SUMPRODUCT(('Draft List'!$AB$5:$AB$891=$A6)*('Draft List'!$AD$5:$AD$891&gt;0)*('Draft List'!$AD$5:$AD$891&lt;1000000000))</f>
        <v>0</v>
      </c>
      <c r="E6">
        <f t="shared" si="0"/>
        <v>2</v>
      </c>
      <c r="F6" s="5">
        <f>SUMIF('Draft List'!$AB$5:$AB$891,$A6,'Draft List'!$AD$5:$AD$891)</f>
        <v>0</v>
      </c>
      <c r="G6" s="20">
        <f t="shared" si="1"/>
        <v>0</v>
      </c>
      <c r="H6" s="19">
        <f>LEN(Table1[[#This Row],[Team]])</f>
        <v>15</v>
      </c>
      <c r="I6" s="23" t="str">
        <f>IF(RANK(Table1[[#This Row],[Tot Bonus]],Table1[Tot Bonus])&lt;10," ","")&amp;RANK(Table1[[#This Row],[Tot Bonus]],Table1[Tot Bonus])&amp;". "&amp;Table1[[#This Row],[Team]]&amp;REPT(" ",Table1[[#Totals],[Len]]-Table1[[#This Row],[Len]]+3)&amp;IF(Table1[[#This Row],[Drafted Players]]&lt;10," ","")&amp;Table1[[#This Row],[Drafted Players]]&amp;"   "&amp;IF(Table1[[#This Row],[Bonus Eligible]]&lt;10," ","")&amp;Table1[[#This Row],[Bonus Eligible]]&amp;"   "&amp;IF(Table1[[#This Row],[Signed]]&lt;10," ","")&amp;Table1[[#This Row],[Signed]]&amp;"   "&amp;IF(Table1[[#This Row],[Unsigned]]&lt;10," ","")&amp;Table1[[#This Row],[Unsigned]]&amp;"   "&amp;IF(Table1[[#This Row],[Tot Bonus]]&lt;10000000," ","")&amp;IF(Table1[[#This Row],[Tot Bonus]]&lt;1000000,"  ","")&amp;IF(Table1[[#This Row],[Tot Bonus]]&lt;1000,"  ","")&amp;TEXT(Table1[[#This Row],[Tot Bonus]],"$0,000")&amp;"   "&amp;IF(Table1[[#This Row],[Avg Bonus]]&lt;10000000," ","")&amp;IF(Table1[[#This Row],[Avg Bonus]]&lt;1000000,"  ","")&amp;IF(Table1[[#This Row],[Avg Bonus]]&lt;1000,"  ","")&amp;TEXT(Table1[[#This Row],[Avg Bonus]],"$0,000")</f>
        <v xml:space="preserve"> 1. Amsterdam Lions                  19    2    0    2        $0,000        $0,000</v>
      </c>
    </row>
    <row r="7" spans="1:9" x14ac:dyDescent="0.3">
      <c r="A7" t="s">
        <v>231</v>
      </c>
      <c r="B7">
        <f>COUNTIF('Draft List'!$AB$5:$AB$891,$A7)</f>
        <v>0</v>
      </c>
      <c r="C7">
        <f>SUMPRODUCT(('Draft List'!$AB$5:$AB$891=$A7)*('Draft List'!$Z$5:$Z$891&lt;6))+SUMPRODUCT(('Draft List'!$AB$5:$AB$891=$A7)*('Draft List'!$Z$5:$Z$891="S1"))+SUMPRODUCT(('Draft List'!$AB$5:$AB$891=$A7)*('Draft List'!$Z$5:$Z$891&lt;&gt;"S1")*('Draft List'!$Z$5:$Z$891&gt;5)*('Draft List'!$AD$5:$AD$891&gt;0)*('Draft List'!$AD$5:$AD$891&lt;100000000))</f>
        <v>0</v>
      </c>
      <c r="D7">
        <f>SUMPRODUCT(('Draft List'!$AB$5:$AB$891=$A7)*('Draft List'!$AD$5:$AD$891&gt;0)*('Draft List'!$AD$5:$AD$891&lt;1000000000))</f>
        <v>0</v>
      </c>
      <c r="E7">
        <f t="shared" si="0"/>
        <v>0</v>
      </c>
      <c r="F7" s="5">
        <f>SUMIF('Draft List'!$AB$5:$AB$891,$A7,'Draft List'!$AD$5:$AD$891)</f>
        <v>0</v>
      </c>
      <c r="G7" s="20">
        <f t="shared" si="1"/>
        <v>0</v>
      </c>
      <c r="H7" s="19">
        <f>LEN(Table1[[#This Row],[Team]])</f>
        <v>15</v>
      </c>
      <c r="I7" s="23" t="str">
        <f>IF(RANK(Table1[[#This Row],[Tot Bonus]],Table1[Tot Bonus])&lt;10," ","")&amp;RANK(Table1[[#This Row],[Tot Bonus]],Table1[Tot Bonus])&amp;". "&amp;Table1[[#This Row],[Team]]&amp;REPT(" ",Table1[[#Totals],[Len]]-Table1[[#This Row],[Len]]+3)&amp;IF(Table1[[#This Row],[Drafted Players]]&lt;10," ","")&amp;Table1[[#This Row],[Drafted Players]]&amp;"   "&amp;IF(Table1[[#This Row],[Bonus Eligible]]&lt;10," ","")&amp;Table1[[#This Row],[Bonus Eligible]]&amp;"   "&amp;IF(Table1[[#This Row],[Signed]]&lt;10," ","")&amp;Table1[[#This Row],[Signed]]&amp;"   "&amp;IF(Table1[[#This Row],[Unsigned]]&lt;10," ","")&amp;Table1[[#This Row],[Unsigned]]&amp;"   "&amp;IF(Table1[[#This Row],[Tot Bonus]]&lt;10000000," ","")&amp;IF(Table1[[#This Row],[Tot Bonus]]&lt;1000000,"  ","")&amp;IF(Table1[[#This Row],[Tot Bonus]]&lt;1000,"  ","")&amp;TEXT(Table1[[#This Row],[Tot Bonus]],"$0,000")&amp;"   "&amp;IF(Table1[[#This Row],[Avg Bonus]]&lt;10000000," ","")&amp;IF(Table1[[#This Row],[Avg Bonus]]&lt;1000000,"  ","")&amp;IF(Table1[[#This Row],[Avg Bonus]]&lt;1000,"  ","")&amp;TEXT(Table1[[#This Row],[Avg Bonus]],"$0,000")</f>
        <v xml:space="preserve"> 1. Yuma Bulldozers                   0    0    0    0        $0,000        $0,000</v>
      </c>
    </row>
    <row r="8" spans="1:9" x14ac:dyDescent="0.3">
      <c r="A8" t="s">
        <v>246</v>
      </c>
      <c r="B8">
        <f>COUNTIF('Draft List'!$AB$5:$AB$891,$A8)</f>
        <v>20</v>
      </c>
      <c r="C8">
        <f>SUMPRODUCT(('Draft List'!$AB$5:$AB$891=$A8)*('Draft List'!$Z$5:$Z$891&lt;6))+SUMPRODUCT(('Draft List'!$AB$5:$AB$891=$A8)*('Draft List'!$Z$5:$Z$891="S1"))+SUMPRODUCT(('Draft List'!$AB$5:$AB$891=$A8)*('Draft List'!$Z$5:$Z$891&lt;&gt;"S1")*('Draft List'!$Z$5:$Z$891&gt;5)*('Draft List'!$AD$5:$AD$891&gt;0)*('Draft List'!$AD$5:$AD$891&lt;100000000))</f>
        <v>0</v>
      </c>
      <c r="D8">
        <f>SUMPRODUCT(('Draft List'!$AB$5:$AB$891=$A8)*('Draft List'!$AD$5:$AD$891&gt;0)*('Draft List'!$AD$5:$AD$891&lt;1000000000))</f>
        <v>0</v>
      </c>
      <c r="E8">
        <f t="shared" si="0"/>
        <v>0</v>
      </c>
      <c r="F8" s="5">
        <f>SUMIF('Draft List'!$AB$5:$AB$891,$A8,'Draft List'!$AD$5:$AD$891)</f>
        <v>0</v>
      </c>
      <c r="G8" s="20">
        <f t="shared" si="1"/>
        <v>0</v>
      </c>
      <c r="H8" s="19">
        <f>LEN(Table1[[#This Row],[Team]])</f>
        <v>24</v>
      </c>
      <c r="I8" s="23" t="str">
        <f>IF(RANK(Table1[[#This Row],[Tot Bonus]],Table1[Tot Bonus])&lt;10," ","")&amp;RANK(Table1[[#This Row],[Tot Bonus]],Table1[Tot Bonus])&amp;". "&amp;Table1[[#This Row],[Team]]&amp;REPT(" ",Table1[[#Totals],[Len]]-Table1[[#This Row],[Len]]+3)&amp;IF(Table1[[#This Row],[Drafted Players]]&lt;10," ","")&amp;Table1[[#This Row],[Drafted Players]]&amp;"   "&amp;IF(Table1[[#This Row],[Bonus Eligible]]&lt;10," ","")&amp;Table1[[#This Row],[Bonus Eligible]]&amp;"   "&amp;IF(Table1[[#This Row],[Signed]]&lt;10," ","")&amp;Table1[[#This Row],[Signed]]&amp;"   "&amp;IF(Table1[[#This Row],[Unsigned]]&lt;10," ","")&amp;Table1[[#This Row],[Unsigned]]&amp;"   "&amp;IF(Table1[[#This Row],[Tot Bonus]]&lt;10000000," ","")&amp;IF(Table1[[#This Row],[Tot Bonus]]&lt;1000000,"  ","")&amp;IF(Table1[[#This Row],[Tot Bonus]]&lt;1000,"  ","")&amp;TEXT(Table1[[#This Row],[Tot Bonus]],"$0,000")&amp;"   "&amp;IF(Table1[[#This Row],[Avg Bonus]]&lt;10000000," ","")&amp;IF(Table1[[#This Row],[Avg Bonus]]&lt;1000000,"  ","")&amp;IF(Table1[[#This Row],[Avg Bonus]]&lt;1000,"  ","")&amp;TEXT(Table1[[#This Row],[Avg Bonus]],"$0,000")</f>
        <v xml:space="preserve"> 1. New Orleans Trendsetters         20    0    0    0        $0,000        $0,000</v>
      </c>
    </row>
    <row r="9" spans="1:9" x14ac:dyDescent="0.3">
      <c r="A9" t="s">
        <v>415</v>
      </c>
      <c r="B9">
        <f>COUNTIF('Draft List'!$AB$5:$AB$891,$A9)</f>
        <v>20</v>
      </c>
      <c r="C9">
        <f>SUMPRODUCT(('Draft List'!$AB$5:$AB$891=$A9)*('Draft List'!$Z$5:$Z$891&lt;6))+SUMPRODUCT(('Draft List'!$AB$5:$AB$891=$A9)*('Draft List'!$Z$5:$Z$891="S1"))+SUMPRODUCT(('Draft List'!$AB$5:$AB$891=$A9)*('Draft List'!$Z$5:$Z$891&lt;&gt;"S1")*('Draft List'!$Z$5:$Z$891&gt;5)*('Draft List'!$AD$5:$AD$891&gt;0)*('Draft List'!$AD$5:$AD$891&lt;100000000))</f>
        <v>0</v>
      </c>
      <c r="D9">
        <f>SUMPRODUCT(('Draft List'!$AB$5:$AB$891=$A9)*('Draft List'!$AD$5:$AD$891&gt;0)*('Draft List'!$AD$5:$AD$891&lt;1000000000))</f>
        <v>0</v>
      </c>
      <c r="E9">
        <f t="shared" si="0"/>
        <v>0</v>
      </c>
      <c r="F9" s="5">
        <f>SUMIF('Draft List'!$AB$5:$AB$891,$A9,'Draft List'!$AD$5:$AD$891)</f>
        <v>0</v>
      </c>
      <c r="G9" s="20">
        <f t="shared" si="1"/>
        <v>0</v>
      </c>
      <c r="H9" s="19">
        <f>LEN(Table1[[#This Row],[Team]])</f>
        <v>19</v>
      </c>
      <c r="I9" s="23" t="str">
        <f>IF(RANK(Table1[[#This Row],[Tot Bonus]],Table1[Tot Bonus])&lt;10," ","")&amp;RANK(Table1[[#This Row],[Tot Bonus]],Table1[Tot Bonus])&amp;". "&amp;Table1[[#This Row],[Team]]&amp;REPT(" ",Table1[[#Totals],[Len]]-Table1[[#This Row],[Len]]+3)&amp;IF(Table1[[#This Row],[Drafted Players]]&lt;10," ","")&amp;Table1[[#This Row],[Drafted Players]]&amp;"   "&amp;IF(Table1[[#This Row],[Bonus Eligible]]&lt;10," ","")&amp;Table1[[#This Row],[Bonus Eligible]]&amp;"   "&amp;IF(Table1[[#This Row],[Signed]]&lt;10," ","")&amp;Table1[[#This Row],[Signed]]&amp;"   "&amp;IF(Table1[[#This Row],[Unsigned]]&lt;10," ","")&amp;Table1[[#This Row],[Unsigned]]&amp;"   "&amp;IF(Table1[[#This Row],[Tot Bonus]]&lt;10000000," ","")&amp;IF(Table1[[#This Row],[Tot Bonus]]&lt;1000000,"  ","")&amp;IF(Table1[[#This Row],[Tot Bonus]]&lt;1000,"  ","")&amp;TEXT(Table1[[#This Row],[Tot Bonus]],"$0,000")&amp;"   "&amp;IF(Table1[[#This Row],[Avg Bonus]]&lt;10000000," ","")&amp;IF(Table1[[#This Row],[Avg Bonus]]&lt;1000000,"  ","")&amp;IF(Table1[[#This Row],[Avg Bonus]]&lt;1000,"  ","")&amp;TEXT(Table1[[#This Row],[Avg Bonus]],"$0,000")</f>
        <v xml:space="preserve"> 1. Toyama Wind Dancers              20    0    0    0        $0,000        $0,000</v>
      </c>
    </row>
    <row r="10" spans="1:9" x14ac:dyDescent="0.3">
      <c r="A10" t="s">
        <v>239</v>
      </c>
      <c r="B10">
        <f>COUNTIF('Draft List'!$AB$5:$AB$891,$A10)</f>
        <v>21</v>
      </c>
      <c r="C10">
        <f>SUMPRODUCT(('Draft List'!$AB$5:$AB$891=$A10)*('Draft List'!$Z$5:$Z$891&lt;6))+SUMPRODUCT(('Draft List'!$AB$5:$AB$891=$A10)*('Draft List'!$Z$5:$Z$891="S1"))+SUMPRODUCT(('Draft List'!$AB$5:$AB$891=$A10)*('Draft List'!$Z$5:$Z$891&lt;&gt;"S1")*('Draft List'!$Z$5:$Z$891&gt;5)*('Draft List'!$AD$5:$AD$891&gt;0)*('Draft List'!$AD$5:$AD$891&lt;100000000))</f>
        <v>0</v>
      </c>
      <c r="D10">
        <f>SUMPRODUCT(('Draft List'!$AB$5:$AB$891=$A10)*('Draft List'!$AD$5:$AD$891&gt;0)*('Draft List'!$AD$5:$AD$891&lt;1000000000))</f>
        <v>0</v>
      </c>
      <c r="E10">
        <f t="shared" si="0"/>
        <v>0</v>
      </c>
      <c r="F10" s="5">
        <f>SUMIF('Draft List'!$AB$5:$AB$891,$A10,'Draft List'!$AD$5:$AD$891)</f>
        <v>0</v>
      </c>
      <c r="G10" s="20">
        <f t="shared" si="1"/>
        <v>0</v>
      </c>
      <c r="H10" s="19">
        <f>LEN(Table1[[#This Row],[Team]])</f>
        <v>22</v>
      </c>
      <c r="I10" s="23" t="str">
        <f>IF(RANK(Table1[[#This Row],[Tot Bonus]],Table1[Tot Bonus])&lt;10," ","")&amp;RANK(Table1[[#This Row],[Tot Bonus]],Table1[Tot Bonus])&amp;". "&amp;Table1[[#This Row],[Team]]&amp;REPT(" ",Table1[[#Totals],[Len]]-Table1[[#This Row],[Len]]+3)&amp;IF(Table1[[#This Row],[Drafted Players]]&lt;10," ","")&amp;Table1[[#This Row],[Drafted Players]]&amp;"   "&amp;IF(Table1[[#This Row],[Bonus Eligible]]&lt;10," ","")&amp;Table1[[#This Row],[Bonus Eligible]]&amp;"   "&amp;IF(Table1[[#This Row],[Signed]]&lt;10," ","")&amp;Table1[[#This Row],[Signed]]&amp;"   "&amp;IF(Table1[[#This Row],[Unsigned]]&lt;10," ","")&amp;Table1[[#This Row],[Unsigned]]&amp;"   "&amp;IF(Table1[[#This Row],[Tot Bonus]]&lt;10000000," ","")&amp;IF(Table1[[#This Row],[Tot Bonus]]&lt;1000000,"  ","")&amp;IF(Table1[[#This Row],[Tot Bonus]]&lt;1000,"  ","")&amp;TEXT(Table1[[#This Row],[Tot Bonus]],"$0,000")&amp;"   "&amp;IF(Table1[[#This Row],[Avg Bonus]]&lt;10000000," ","")&amp;IF(Table1[[#This Row],[Avg Bonus]]&lt;1000000,"  ","")&amp;IF(Table1[[#This Row],[Avg Bonus]]&lt;1000,"  ","")&amp;TEXT(Table1[[#This Row],[Avg Bonus]],"$0,000")</f>
        <v xml:space="preserve"> 1. Kentucky Thoroughbreds           21    0    0    0        $0,000        $0,000</v>
      </c>
    </row>
    <row r="11" spans="1:9" x14ac:dyDescent="0.3">
      <c r="A11" t="s">
        <v>236</v>
      </c>
      <c r="B11">
        <f>COUNTIF('Draft List'!$AB$5:$AB$891,$A11)</f>
        <v>17</v>
      </c>
      <c r="C11">
        <f>SUMPRODUCT(('Draft List'!$AB$5:$AB$891=$A11)*('Draft List'!$Z$5:$Z$891&lt;6))+SUMPRODUCT(('Draft List'!$AB$5:$AB$891=$A11)*('Draft List'!$Z$5:$Z$891="S1"))+SUMPRODUCT(('Draft List'!$AB$5:$AB$891=$A11)*('Draft List'!$Z$5:$Z$891&lt;&gt;"S1")*('Draft List'!$Z$5:$Z$891&gt;5)*('Draft List'!$AD$5:$AD$891&gt;0)*('Draft List'!$AD$5:$AD$891&lt;100000000))</f>
        <v>0</v>
      </c>
      <c r="D11">
        <f>SUMPRODUCT(('Draft List'!$AB$5:$AB$891=$A11)*('Draft List'!$AD$5:$AD$891&gt;0)*('Draft List'!$AD$5:$AD$891&lt;1000000000))</f>
        <v>0</v>
      </c>
      <c r="E11">
        <f t="shared" si="0"/>
        <v>0</v>
      </c>
      <c r="F11" s="5">
        <f>SUMIF('Draft List'!$AB$5:$AB$891,$A11,'Draft List'!$AD$5:$AD$891)</f>
        <v>0</v>
      </c>
      <c r="G11" s="20">
        <f t="shared" si="1"/>
        <v>0</v>
      </c>
      <c r="H11" s="19">
        <f>LEN(Table1[[#This Row],[Team]])</f>
        <v>17</v>
      </c>
      <c r="I11" s="23" t="str">
        <f>IF(RANK(Table1[[#This Row],[Tot Bonus]],Table1[Tot Bonus])&lt;10," ","")&amp;RANK(Table1[[#This Row],[Tot Bonus]],Table1[Tot Bonus])&amp;". "&amp;Table1[[#This Row],[Team]]&amp;REPT(" ",Table1[[#Totals],[Len]]-Table1[[#This Row],[Len]]+3)&amp;IF(Table1[[#This Row],[Drafted Players]]&lt;10," ","")&amp;Table1[[#This Row],[Drafted Players]]&amp;"   "&amp;IF(Table1[[#This Row],[Bonus Eligible]]&lt;10," ","")&amp;Table1[[#This Row],[Bonus Eligible]]&amp;"   "&amp;IF(Table1[[#This Row],[Signed]]&lt;10," ","")&amp;Table1[[#This Row],[Signed]]&amp;"   "&amp;IF(Table1[[#This Row],[Unsigned]]&lt;10," ","")&amp;Table1[[#This Row],[Unsigned]]&amp;"   "&amp;IF(Table1[[#This Row],[Tot Bonus]]&lt;10000000," ","")&amp;IF(Table1[[#This Row],[Tot Bonus]]&lt;1000000,"  ","")&amp;IF(Table1[[#This Row],[Tot Bonus]]&lt;1000,"  ","")&amp;TEXT(Table1[[#This Row],[Tot Bonus]],"$0,000")&amp;"   "&amp;IF(Table1[[#This Row],[Avg Bonus]]&lt;10000000," ","")&amp;IF(Table1[[#This Row],[Avg Bonus]]&lt;1000000,"  ","")&amp;IF(Table1[[#This Row],[Avg Bonus]]&lt;1000,"  ","")&amp;TEXT(Table1[[#This Row],[Avg Bonus]],"$0,000")</f>
        <v xml:space="preserve"> 1. Kalamazoo Badgers                17    0    0    0        $0,000        $0,000</v>
      </c>
    </row>
    <row r="12" spans="1:9" x14ac:dyDescent="0.3">
      <c r="A12" t="s">
        <v>416</v>
      </c>
      <c r="B12">
        <f>COUNTIF('Draft List'!$AB$5:$AB$891,$A12)</f>
        <v>20</v>
      </c>
      <c r="C12">
        <f>SUMPRODUCT(('Draft List'!$AB$5:$AB$891=$A12)*('Draft List'!$Z$5:$Z$891&lt;6))+SUMPRODUCT(('Draft List'!$AB$5:$AB$891=$A12)*('Draft List'!$Z$5:$Z$891="S1"))+SUMPRODUCT(('Draft List'!$AB$5:$AB$891=$A12)*('Draft List'!$Z$5:$Z$891&lt;&gt;"S1")*('Draft List'!$Z$5:$Z$891&gt;5)*('Draft List'!$AD$5:$AD$891&gt;0)*('Draft List'!$AD$5:$AD$891&lt;100000000))</f>
        <v>0</v>
      </c>
      <c r="D12">
        <f>SUMPRODUCT(('Draft List'!$AB$5:$AB$891=$A12)*('Draft List'!$AD$5:$AD$891&gt;0)*('Draft List'!$AD$5:$AD$891&lt;1000000000))</f>
        <v>0</v>
      </c>
      <c r="E12">
        <f t="shared" si="0"/>
        <v>0</v>
      </c>
      <c r="F12" s="5">
        <f>SUMIF('Draft List'!$AB$5:$AB$891,$A12,'Draft List'!$AD$5:$AD$891)</f>
        <v>0</v>
      </c>
      <c r="G12" s="20">
        <f t="shared" si="1"/>
        <v>0</v>
      </c>
      <c r="H12" s="19">
        <f>LEN(Table1[[#This Row],[Team]])</f>
        <v>15</v>
      </c>
      <c r="I12" s="23" t="str">
        <f>IF(RANK(Table1[[#This Row],[Tot Bonus]],Table1[Tot Bonus])&lt;10," ","")&amp;RANK(Table1[[#This Row],[Tot Bonus]],Table1[Tot Bonus])&amp;". "&amp;Table1[[#This Row],[Team]]&amp;REPT(" ",Table1[[#Totals],[Len]]-Table1[[#This Row],[Len]]+3)&amp;IF(Table1[[#This Row],[Drafted Players]]&lt;10," ","")&amp;Table1[[#This Row],[Drafted Players]]&amp;"   "&amp;IF(Table1[[#This Row],[Bonus Eligible]]&lt;10," ","")&amp;Table1[[#This Row],[Bonus Eligible]]&amp;"   "&amp;IF(Table1[[#This Row],[Signed]]&lt;10," ","")&amp;Table1[[#This Row],[Signed]]&amp;"   "&amp;IF(Table1[[#This Row],[Unsigned]]&lt;10," ","")&amp;Table1[[#This Row],[Unsigned]]&amp;"   "&amp;IF(Table1[[#This Row],[Tot Bonus]]&lt;10000000," ","")&amp;IF(Table1[[#This Row],[Tot Bonus]]&lt;1000000,"  ","")&amp;IF(Table1[[#This Row],[Tot Bonus]]&lt;1000,"  ","")&amp;TEXT(Table1[[#This Row],[Tot Bonus]],"$0,000")&amp;"   "&amp;IF(Table1[[#This Row],[Avg Bonus]]&lt;10000000," ","")&amp;IF(Table1[[#This Row],[Avg Bonus]]&lt;1000000,"  ","")&amp;IF(Table1[[#This Row],[Avg Bonus]]&lt;1000,"  ","")&amp;TEXT(Table1[[#This Row],[Avg Bonus]],"$0,000")</f>
        <v xml:space="preserve"> 1. Neo-Tokyo Akira                  20    0    0    0        $0,000        $0,000</v>
      </c>
    </row>
    <row r="13" spans="1:9" x14ac:dyDescent="0.3">
      <c r="A13" t="s">
        <v>241</v>
      </c>
      <c r="B13">
        <f>COUNTIF('Draft List'!$AB$5:$AB$891,$A13)</f>
        <v>14</v>
      </c>
      <c r="C13">
        <f>SUMPRODUCT(('Draft List'!$AB$5:$AB$891=$A13)*('Draft List'!$Z$5:$Z$891&lt;6))+SUMPRODUCT(('Draft List'!$AB$5:$AB$891=$A13)*('Draft List'!$Z$5:$Z$891="S1"))+SUMPRODUCT(('Draft List'!$AB$5:$AB$891=$A13)*('Draft List'!$Z$5:$Z$891&lt;&gt;"S1")*('Draft List'!$Z$5:$Z$891&gt;5)*('Draft List'!$AD$5:$AD$891&gt;0)*('Draft List'!$AD$5:$AD$891&lt;100000000))</f>
        <v>0</v>
      </c>
      <c r="D13">
        <f>SUMPRODUCT(('Draft List'!$AB$5:$AB$891=$A13)*('Draft List'!$AD$5:$AD$891&gt;0)*('Draft List'!$AD$5:$AD$891&lt;1000000000))</f>
        <v>0</v>
      </c>
      <c r="E13">
        <f t="shared" si="0"/>
        <v>0</v>
      </c>
      <c r="F13" s="5">
        <f>SUMIF('Draft List'!$AB$5:$AB$891,$A13,'Draft List'!$AD$5:$AD$891)</f>
        <v>0</v>
      </c>
      <c r="G13" s="20">
        <f t="shared" si="1"/>
        <v>0</v>
      </c>
      <c r="H13" s="19">
        <f>LEN(Table1[[#This Row],[Team]])</f>
        <v>21</v>
      </c>
      <c r="I13" s="23" t="str">
        <f>IF(RANK(Table1[[#This Row],[Tot Bonus]],Table1[Tot Bonus])&lt;10," ","")&amp;RANK(Table1[[#This Row],[Tot Bonus]],Table1[Tot Bonus])&amp;". "&amp;Table1[[#This Row],[Team]]&amp;REPT(" ",Table1[[#Totals],[Len]]-Table1[[#This Row],[Len]]+3)&amp;IF(Table1[[#This Row],[Drafted Players]]&lt;10," ","")&amp;Table1[[#This Row],[Drafted Players]]&amp;"   "&amp;IF(Table1[[#This Row],[Bonus Eligible]]&lt;10," ","")&amp;Table1[[#This Row],[Bonus Eligible]]&amp;"   "&amp;IF(Table1[[#This Row],[Signed]]&lt;10," ","")&amp;Table1[[#This Row],[Signed]]&amp;"   "&amp;IF(Table1[[#This Row],[Unsigned]]&lt;10," ","")&amp;Table1[[#This Row],[Unsigned]]&amp;"   "&amp;IF(Table1[[#This Row],[Tot Bonus]]&lt;10000000," ","")&amp;IF(Table1[[#This Row],[Tot Bonus]]&lt;1000000,"  ","")&amp;IF(Table1[[#This Row],[Tot Bonus]]&lt;1000,"  ","")&amp;TEXT(Table1[[#This Row],[Tot Bonus]],"$0,000")&amp;"   "&amp;IF(Table1[[#This Row],[Avg Bonus]]&lt;10000000," ","")&amp;IF(Table1[[#This Row],[Avg Bonus]]&lt;1000000,"  ","")&amp;IF(Table1[[#This Row],[Avg Bonus]]&lt;1000,"  ","")&amp;TEXT(Table1[[#This Row],[Avg Bonus]],"$0,000")</f>
        <v xml:space="preserve"> 1. Arlington Bureaucrats            14    0    0    0        $0,000        $0,000</v>
      </c>
    </row>
    <row r="14" spans="1:9" x14ac:dyDescent="0.3">
      <c r="A14" t="s">
        <v>418</v>
      </c>
      <c r="B14">
        <f>COUNTIF('Draft List'!$AB$5:$AB$891,$A14)</f>
        <v>10</v>
      </c>
      <c r="C14">
        <f>SUMPRODUCT(('Draft List'!$AB$5:$AB$891=$A14)*('Draft List'!$Z$5:$Z$891&lt;6))+SUMPRODUCT(('Draft List'!$AB$5:$AB$891=$A14)*('Draft List'!$Z$5:$Z$891="S1"))+SUMPRODUCT(('Draft List'!$AB$5:$AB$891=$A14)*('Draft List'!$Z$5:$Z$891&lt;&gt;"S1")*('Draft List'!$Z$5:$Z$891&gt;5)*('Draft List'!$AD$5:$AD$891&gt;0)*('Draft List'!$AD$5:$AD$891&lt;100000000))</f>
        <v>0</v>
      </c>
      <c r="D14">
        <f>SUMPRODUCT(('Draft List'!$AB$5:$AB$891=$A14)*('Draft List'!$AD$5:$AD$891&gt;0)*('Draft List'!$AD$5:$AD$891&lt;1000000000))</f>
        <v>0</v>
      </c>
      <c r="E14">
        <f t="shared" si="0"/>
        <v>0</v>
      </c>
      <c r="F14" s="5">
        <f>SUMIF('Draft List'!$AB$5:$AB$891,$A14,'Draft List'!$AD$5:$AD$891)</f>
        <v>0</v>
      </c>
      <c r="G14" s="20">
        <f t="shared" si="1"/>
        <v>0</v>
      </c>
      <c r="H14" s="19">
        <f>LEN(Table1[[#This Row],[Team]])</f>
        <v>15</v>
      </c>
      <c r="I14" s="23" t="str">
        <f>IF(RANK(Table1[[#This Row],[Tot Bonus]],Table1[Tot Bonus])&lt;10," ","")&amp;RANK(Table1[[#This Row],[Tot Bonus]],Table1[Tot Bonus])&amp;". "&amp;Table1[[#This Row],[Team]]&amp;REPT(" ",Table1[[#Totals],[Len]]-Table1[[#This Row],[Len]]+3)&amp;IF(Table1[[#This Row],[Drafted Players]]&lt;10," ","")&amp;Table1[[#This Row],[Drafted Players]]&amp;"   "&amp;IF(Table1[[#This Row],[Bonus Eligible]]&lt;10," ","")&amp;Table1[[#This Row],[Bonus Eligible]]&amp;"   "&amp;IF(Table1[[#This Row],[Signed]]&lt;10," ","")&amp;Table1[[#This Row],[Signed]]&amp;"   "&amp;IF(Table1[[#This Row],[Unsigned]]&lt;10," ","")&amp;Table1[[#This Row],[Unsigned]]&amp;"   "&amp;IF(Table1[[#This Row],[Tot Bonus]]&lt;10000000," ","")&amp;IF(Table1[[#This Row],[Tot Bonus]]&lt;1000000,"  ","")&amp;IF(Table1[[#This Row],[Tot Bonus]]&lt;1000,"  ","")&amp;TEXT(Table1[[#This Row],[Tot Bonus]],"$0,000")&amp;"   "&amp;IF(Table1[[#This Row],[Avg Bonus]]&lt;10000000," ","")&amp;IF(Table1[[#This Row],[Avg Bonus]]&lt;1000000,"  ","")&amp;IF(Table1[[#This Row],[Avg Bonus]]&lt;1000,"  ","")&amp;TEXT(Table1[[#This Row],[Avg Bonus]],"$0,000")</f>
        <v xml:space="preserve"> 1. Shin Seiki Evas                  10    0    0    0        $0,000        $0,000</v>
      </c>
    </row>
    <row r="15" spans="1:9" x14ac:dyDescent="0.3">
      <c r="A15" t="s">
        <v>412</v>
      </c>
      <c r="B15">
        <f>COUNTIF('Draft List'!$AB$5:$AB$891,$A15)</f>
        <v>20</v>
      </c>
      <c r="C15">
        <f>SUMPRODUCT(('Draft List'!$AB$5:$AB$891=$A15)*('Draft List'!$Z$5:$Z$891&lt;6))+SUMPRODUCT(('Draft List'!$AB$5:$AB$891=$A15)*('Draft List'!$Z$5:$Z$891="S1"))+SUMPRODUCT(('Draft List'!$AB$5:$AB$891=$A15)*('Draft List'!$Z$5:$Z$891&lt;&gt;"S1")*('Draft List'!$Z$5:$Z$891&gt;5)*('Draft List'!$AD$5:$AD$891&gt;0)*('Draft List'!$AD$5:$AD$891&lt;100000000))</f>
        <v>0</v>
      </c>
      <c r="D15">
        <f>SUMPRODUCT(('Draft List'!$AB$5:$AB$891=$A15)*('Draft List'!$AD$5:$AD$891&gt;0)*('Draft List'!$AD$5:$AD$891&lt;1000000000))</f>
        <v>0</v>
      </c>
      <c r="E15">
        <f t="shared" si="0"/>
        <v>0</v>
      </c>
      <c r="F15" s="5">
        <f>SUMIF('Draft List'!$AB$5:$AB$891,$A15,'Draft List'!$AD$5:$AD$891)</f>
        <v>0</v>
      </c>
      <c r="G15" s="20">
        <f t="shared" si="1"/>
        <v>0</v>
      </c>
      <c r="H15" s="19">
        <f>LEN(Table1[[#This Row],[Team]])</f>
        <v>14</v>
      </c>
      <c r="I15" s="23" t="str">
        <f>IF(RANK(Table1[[#This Row],[Tot Bonus]],Table1[Tot Bonus])&lt;10," ","")&amp;RANK(Table1[[#This Row],[Tot Bonus]],Table1[Tot Bonus])&amp;". "&amp;Table1[[#This Row],[Team]]&amp;REPT(" ",Table1[[#Totals],[Len]]-Table1[[#This Row],[Len]]+3)&amp;IF(Table1[[#This Row],[Drafted Players]]&lt;10," ","")&amp;Table1[[#This Row],[Drafted Players]]&amp;"   "&amp;IF(Table1[[#This Row],[Bonus Eligible]]&lt;10," ","")&amp;Table1[[#This Row],[Bonus Eligible]]&amp;"   "&amp;IF(Table1[[#This Row],[Signed]]&lt;10," ","")&amp;Table1[[#This Row],[Signed]]&amp;"   "&amp;IF(Table1[[#This Row],[Unsigned]]&lt;10," ","")&amp;Table1[[#This Row],[Unsigned]]&amp;"   "&amp;IF(Table1[[#This Row],[Tot Bonus]]&lt;10000000," ","")&amp;IF(Table1[[#This Row],[Tot Bonus]]&lt;1000000,"  ","")&amp;IF(Table1[[#This Row],[Tot Bonus]]&lt;1000,"  ","")&amp;TEXT(Table1[[#This Row],[Tot Bonus]],"$0,000")&amp;"   "&amp;IF(Table1[[#This Row],[Avg Bonus]]&lt;10000000," ","")&amp;IF(Table1[[#This Row],[Avg Bonus]]&lt;1000000,"  ","")&amp;IF(Table1[[#This Row],[Avg Bonus]]&lt;1000,"  ","")&amp;TEXT(Table1[[#This Row],[Avg Bonus]],"$0,000")</f>
        <v xml:space="preserve"> 1. San Juan Coqui                   20    0    0    0        $0,000        $0,000</v>
      </c>
    </row>
    <row r="16" spans="1:9" x14ac:dyDescent="0.3">
      <c r="A16" t="s">
        <v>232</v>
      </c>
      <c r="B16">
        <f>COUNTIF('Draft List'!$AB$5:$AB$891,$A16)</f>
        <v>23</v>
      </c>
      <c r="C16">
        <f>SUMPRODUCT(('Draft List'!$AB$5:$AB$891=$A16)*('Draft List'!$Z$5:$Z$891&lt;6))+SUMPRODUCT(('Draft List'!$AB$5:$AB$891=$A16)*('Draft List'!$Z$5:$Z$891="S1"))+SUMPRODUCT(('Draft List'!$AB$5:$AB$891=$A16)*('Draft List'!$Z$5:$Z$891&lt;&gt;"S1")*('Draft List'!$Z$5:$Z$891&gt;5)*('Draft List'!$AD$5:$AD$891&gt;0)*('Draft List'!$AD$5:$AD$891&lt;100000000))</f>
        <v>0</v>
      </c>
      <c r="D16">
        <f>SUMPRODUCT(('Draft List'!$AB$5:$AB$891=$A16)*('Draft List'!$AD$5:$AD$891&gt;0)*('Draft List'!$AD$5:$AD$891&lt;1000000000))</f>
        <v>0</v>
      </c>
      <c r="E16">
        <f t="shared" si="0"/>
        <v>0</v>
      </c>
      <c r="F16" s="5">
        <f>SUMIF('Draft List'!$AB$5:$AB$891,$A16,'Draft List'!$AD$5:$AD$891)</f>
        <v>0</v>
      </c>
      <c r="G16" s="20">
        <f t="shared" si="1"/>
        <v>0</v>
      </c>
      <c r="H16" s="19">
        <f>LEN(Table1[[#This Row],[Team]])</f>
        <v>15</v>
      </c>
      <c r="I16" s="23" t="str">
        <f>IF(RANK(Table1[[#This Row],[Tot Bonus]],Table1[Tot Bonus])&lt;10," ","")&amp;RANK(Table1[[#This Row],[Tot Bonus]],Table1[Tot Bonus])&amp;". "&amp;Table1[[#This Row],[Team]]&amp;REPT(" ",Table1[[#Totals],[Len]]-Table1[[#This Row],[Len]]+3)&amp;IF(Table1[[#This Row],[Drafted Players]]&lt;10," ","")&amp;Table1[[#This Row],[Drafted Players]]&amp;"   "&amp;IF(Table1[[#This Row],[Bonus Eligible]]&lt;10," ","")&amp;Table1[[#This Row],[Bonus Eligible]]&amp;"   "&amp;IF(Table1[[#This Row],[Signed]]&lt;10," ","")&amp;Table1[[#This Row],[Signed]]&amp;"   "&amp;IF(Table1[[#This Row],[Unsigned]]&lt;10," ","")&amp;Table1[[#This Row],[Unsigned]]&amp;"   "&amp;IF(Table1[[#This Row],[Tot Bonus]]&lt;10000000," ","")&amp;IF(Table1[[#This Row],[Tot Bonus]]&lt;1000000,"  ","")&amp;IF(Table1[[#This Row],[Tot Bonus]]&lt;1000,"  ","")&amp;TEXT(Table1[[#This Row],[Tot Bonus]],"$0,000")&amp;"   "&amp;IF(Table1[[#This Row],[Avg Bonus]]&lt;10000000," ","")&amp;IF(Table1[[#This Row],[Avg Bonus]]&lt;1000000,"  ","")&amp;IF(Table1[[#This Row],[Avg Bonus]]&lt;1000,"  ","")&amp;TEXT(Table1[[#This Row],[Avg Bonus]],"$0,000")</f>
        <v xml:space="preserve"> 1. Aurora Borealis                  23    0    0    0        $0,000        $0,000</v>
      </c>
    </row>
    <row r="17" spans="1:9" x14ac:dyDescent="0.3">
      <c r="A17" t="s">
        <v>417</v>
      </c>
      <c r="B17">
        <f>COUNTIF('Draft List'!$AB$5:$AB$891,$A17)</f>
        <v>20</v>
      </c>
      <c r="C17">
        <f>SUMPRODUCT(('Draft List'!$AB$5:$AB$891=$A17)*('Draft List'!$Z$5:$Z$891&lt;6))+SUMPRODUCT(('Draft List'!$AB$5:$AB$891=$A17)*('Draft List'!$Z$5:$Z$891="S1"))+SUMPRODUCT(('Draft List'!$AB$5:$AB$891=$A17)*('Draft List'!$Z$5:$Z$891&lt;&gt;"S1")*('Draft List'!$Z$5:$Z$891&gt;5)*('Draft List'!$AD$5:$AD$891&gt;0)*('Draft List'!$AD$5:$AD$891&lt;100000000))</f>
        <v>0</v>
      </c>
      <c r="D17">
        <f>SUMPRODUCT(('Draft List'!$AB$5:$AB$891=$A17)*('Draft List'!$AD$5:$AD$891&gt;0)*('Draft List'!$AD$5:$AD$891&lt;1000000000))</f>
        <v>0</v>
      </c>
      <c r="E17">
        <f t="shared" si="0"/>
        <v>0</v>
      </c>
      <c r="F17" s="5">
        <f>SUMIF('Draft List'!$AB$5:$AB$891,$A17,'Draft List'!$AD$5:$AD$891)</f>
        <v>0</v>
      </c>
      <c r="G17" s="20">
        <f t="shared" si="1"/>
        <v>0</v>
      </c>
      <c r="H17" s="19">
        <f>LEN(Table1[[#This Row],[Team]])</f>
        <v>13</v>
      </c>
      <c r="I17" s="23" t="str">
        <f>IF(RANK(Table1[[#This Row],[Tot Bonus]],Table1[Tot Bonus])&lt;10," ","")&amp;RANK(Table1[[#This Row],[Tot Bonus]],Table1[Tot Bonus])&amp;". "&amp;Table1[[#This Row],[Team]]&amp;REPT(" ",Table1[[#Totals],[Len]]-Table1[[#This Row],[Len]]+3)&amp;IF(Table1[[#This Row],[Drafted Players]]&lt;10," ","")&amp;Table1[[#This Row],[Drafted Players]]&amp;"   "&amp;IF(Table1[[#This Row],[Bonus Eligible]]&lt;10," ","")&amp;Table1[[#This Row],[Bonus Eligible]]&amp;"   "&amp;IF(Table1[[#This Row],[Signed]]&lt;10," ","")&amp;Table1[[#This Row],[Signed]]&amp;"   "&amp;IF(Table1[[#This Row],[Unsigned]]&lt;10," ","")&amp;Table1[[#This Row],[Unsigned]]&amp;"   "&amp;IF(Table1[[#This Row],[Tot Bonus]]&lt;10000000," ","")&amp;IF(Table1[[#This Row],[Tot Bonus]]&lt;1000000,"  ","")&amp;IF(Table1[[#This Row],[Tot Bonus]]&lt;1000,"  ","")&amp;TEXT(Table1[[#This Row],[Tot Bonus]],"$0,000")&amp;"   "&amp;IF(Table1[[#This Row],[Avg Bonus]]&lt;10000000," ","")&amp;IF(Table1[[#This Row],[Avg Bonus]]&lt;1000000,"  ","")&amp;IF(Table1[[#This Row],[Avg Bonus]]&lt;1000,"  ","")&amp;TEXT(Table1[[#This Row],[Avg Bonus]],"$0,000")</f>
        <v xml:space="preserve"> 1. Havana Leones                    20    0    0    0        $0,000        $0,000</v>
      </c>
    </row>
    <row r="18" spans="1:9" x14ac:dyDescent="0.3">
      <c r="A18" t="s">
        <v>244</v>
      </c>
      <c r="B18">
        <f>COUNTIF('Draft List'!$AB$5:$AB$891,$A18)</f>
        <v>24</v>
      </c>
      <c r="C18">
        <f>SUMPRODUCT(('Draft List'!$AB$5:$AB$891=$A18)*('Draft List'!$Z$5:$Z$891&lt;6))+SUMPRODUCT(('Draft List'!$AB$5:$AB$891=$A18)*('Draft List'!$Z$5:$Z$891="S1"))+SUMPRODUCT(('Draft List'!$AB$5:$AB$891=$A18)*('Draft List'!$Z$5:$Z$891&lt;&gt;"S1")*('Draft List'!$Z$5:$Z$891&gt;5)*('Draft List'!$AD$5:$AD$891&gt;0)*('Draft List'!$AD$5:$AD$891&lt;100000000))</f>
        <v>0</v>
      </c>
      <c r="D18">
        <f>SUMPRODUCT(('Draft List'!$AB$5:$AB$891=$A18)*('Draft List'!$AD$5:$AD$891&gt;0)*('Draft List'!$AD$5:$AD$891&lt;1000000000))</f>
        <v>0</v>
      </c>
      <c r="E18">
        <f t="shared" si="0"/>
        <v>0</v>
      </c>
      <c r="F18" s="5">
        <f>SUMIF('Draft List'!$AB$5:$AB$891,$A18,'Draft List'!$AD$5:$AD$891)</f>
        <v>0</v>
      </c>
      <c r="G18" s="20">
        <f t="shared" si="1"/>
        <v>0</v>
      </c>
      <c r="H18" s="19">
        <f>LEN(Table1[[#This Row],[Team]])</f>
        <v>17</v>
      </c>
      <c r="I18" s="23" t="str">
        <f>IF(RANK(Table1[[#This Row],[Tot Bonus]],Table1[Tot Bonus])&lt;10," ","")&amp;RANK(Table1[[#This Row],[Tot Bonus]],Table1[Tot Bonus])&amp;". "&amp;Table1[[#This Row],[Team]]&amp;REPT(" ",Table1[[#Totals],[Len]]-Table1[[#This Row],[Len]]+3)&amp;IF(Table1[[#This Row],[Drafted Players]]&lt;10," ","")&amp;Table1[[#This Row],[Drafted Players]]&amp;"   "&amp;IF(Table1[[#This Row],[Bonus Eligible]]&lt;10," ","")&amp;Table1[[#This Row],[Bonus Eligible]]&amp;"   "&amp;IF(Table1[[#This Row],[Signed]]&lt;10," ","")&amp;Table1[[#This Row],[Signed]]&amp;"   "&amp;IF(Table1[[#This Row],[Unsigned]]&lt;10," ","")&amp;Table1[[#This Row],[Unsigned]]&amp;"   "&amp;IF(Table1[[#This Row],[Tot Bonus]]&lt;10000000," ","")&amp;IF(Table1[[#This Row],[Tot Bonus]]&lt;1000000,"  ","")&amp;IF(Table1[[#This Row],[Tot Bonus]]&lt;1000,"  ","")&amp;TEXT(Table1[[#This Row],[Tot Bonus]],"$0,000")&amp;"   "&amp;IF(Table1[[#This Row],[Avg Bonus]]&lt;10000000," ","")&amp;IF(Table1[[#This Row],[Avg Bonus]]&lt;1000000,"  ","")&amp;IF(Table1[[#This Row],[Avg Bonus]]&lt;1000,"  ","")&amp;TEXT(Table1[[#This Row],[Avg Bonus]],"$0,000")</f>
        <v xml:space="preserve"> 1. Bakersfield Bears                24    0    0    0        $0,000        $0,000</v>
      </c>
    </row>
    <row r="19" spans="1:9" x14ac:dyDescent="0.3">
      <c r="A19" t="s">
        <v>238</v>
      </c>
      <c r="B19">
        <f>COUNTIF('Draft List'!$AB$5:$AB$891,$A19)</f>
        <v>23</v>
      </c>
      <c r="C19">
        <f>SUMPRODUCT(('Draft List'!$AB$5:$AB$891=$A19)*('Draft List'!$Z$5:$Z$891&lt;6))+SUMPRODUCT(('Draft List'!$AB$5:$AB$891=$A19)*('Draft List'!$Z$5:$Z$891="S1"))+SUMPRODUCT(('Draft List'!$AB$5:$AB$891=$A19)*('Draft List'!$Z$5:$Z$891&lt;&gt;"S1")*('Draft List'!$Z$5:$Z$891&gt;5)*('Draft List'!$AD$5:$AD$891&gt;0)*('Draft List'!$AD$5:$AD$891&lt;100000000))</f>
        <v>1</v>
      </c>
      <c r="D19">
        <f>SUMPRODUCT(('Draft List'!$AB$5:$AB$891=$A19)*('Draft List'!$AD$5:$AD$891&gt;0)*('Draft List'!$AD$5:$AD$891&lt;1000000000))</f>
        <v>0</v>
      </c>
      <c r="E19">
        <f t="shared" si="0"/>
        <v>1</v>
      </c>
      <c r="F19" s="5">
        <f>SUMIF('Draft List'!$AB$5:$AB$891,$A19,'Draft List'!$AD$5:$AD$891)</f>
        <v>0</v>
      </c>
      <c r="G19" s="20">
        <f t="shared" si="1"/>
        <v>0</v>
      </c>
      <c r="H19" s="19">
        <f>LEN(Table1[[#This Row],[Team]])</f>
        <v>25</v>
      </c>
      <c r="I19" s="23" t="str">
        <f>IF(RANK(Table1[[#This Row],[Tot Bonus]],Table1[Tot Bonus])&lt;10," ","")&amp;RANK(Table1[[#This Row],[Tot Bonus]],Table1[Tot Bonus])&amp;". "&amp;Table1[[#This Row],[Team]]&amp;REPT(" ",Table1[[#Totals],[Len]]-Table1[[#This Row],[Len]]+3)&amp;IF(Table1[[#This Row],[Drafted Players]]&lt;10," ","")&amp;Table1[[#This Row],[Drafted Players]]&amp;"   "&amp;IF(Table1[[#This Row],[Bonus Eligible]]&lt;10," ","")&amp;Table1[[#This Row],[Bonus Eligible]]&amp;"   "&amp;IF(Table1[[#This Row],[Signed]]&lt;10," ","")&amp;Table1[[#This Row],[Signed]]&amp;"   "&amp;IF(Table1[[#This Row],[Unsigned]]&lt;10," ","")&amp;Table1[[#This Row],[Unsigned]]&amp;"   "&amp;IF(Table1[[#This Row],[Tot Bonus]]&lt;10000000," ","")&amp;IF(Table1[[#This Row],[Tot Bonus]]&lt;1000000,"  ","")&amp;IF(Table1[[#This Row],[Tot Bonus]]&lt;1000,"  ","")&amp;TEXT(Table1[[#This Row],[Tot Bonus]],"$0,000")&amp;"   "&amp;IF(Table1[[#This Row],[Avg Bonus]]&lt;10000000," ","")&amp;IF(Table1[[#This Row],[Avg Bonus]]&lt;1000000,"  ","")&amp;IF(Table1[[#This Row],[Avg Bonus]]&lt;1000,"  ","")&amp;TEXT(Table1[[#This Row],[Avg Bonus]],"$0,000")</f>
        <v xml:space="preserve"> 1. West Virginia Alleghenies        23    1    0    1        $0,000        $0,000</v>
      </c>
    </row>
    <row r="20" spans="1:9" x14ac:dyDescent="0.3">
      <c r="A20" t="s">
        <v>233</v>
      </c>
      <c r="B20">
        <f>COUNTIF('Draft List'!$AB$5:$AB$891,$A20)</f>
        <v>18</v>
      </c>
      <c r="C20">
        <f>SUMPRODUCT(('Draft List'!$AB$5:$AB$891=$A20)*('Draft List'!$Z$5:$Z$891&lt;6))+SUMPRODUCT(('Draft List'!$AB$5:$AB$891=$A20)*('Draft List'!$Z$5:$Z$891="S1"))+SUMPRODUCT(('Draft List'!$AB$5:$AB$891=$A20)*('Draft List'!$Z$5:$Z$891&lt;&gt;"S1")*('Draft List'!$Z$5:$Z$891&gt;5)*('Draft List'!$AD$5:$AD$891&gt;0)*('Draft List'!$AD$5:$AD$891&lt;100000000))</f>
        <v>0</v>
      </c>
      <c r="D20">
        <f>SUMPRODUCT(('Draft List'!$AB$5:$AB$891=$A20)*('Draft List'!$AD$5:$AD$891&gt;0)*('Draft List'!$AD$5:$AD$891&lt;1000000000))</f>
        <v>0</v>
      </c>
      <c r="E20">
        <f t="shared" si="0"/>
        <v>0</v>
      </c>
      <c r="F20" s="5">
        <f>SUMIF('Draft List'!$AB$5:$AB$891,$A20,'Draft List'!$AD$5:$AD$891)</f>
        <v>0</v>
      </c>
      <c r="G20" s="20">
        <f t="shared" si="1"/>
        <v>0</v>
      </c>
      <c r="H20" s="19">
        <f>LEN(Table1[[#This Row],[Team]])</f>
        <v>12</v>
      </c>
      <c r="I20" s="23" t="str">
        <f>IF(RANK(Table1[[#This Row],[Tot Bonus]],Table1[Tot Bonus])&lt;10," ","")&amp;RANK(Table1[[#This Row],[Tot Bonus]],Table1[Tot Bonus])&amp;". "&amp;Table1[[#This Row],[Team]]&amp;REPT(" ",Table1[[#Totals],[Len]]-Table1[[#This Row],[Len]]+3)&amp;IF(Table1[[#This Row],[Drafted Players]]&lt;10," ","")&amp;Table1[[#This Row],[Drafted Players]]&amp;"   "&amp;IF(Table1[[#This Row],[Bonus Eligible]]&lt;10," ","")&amp;Table1[[#This Row],[Bonus Eligible]]&amp;"   "&amp;IF(Table1[[#This Row],[Signed]]&lt;10," ","")&amp;Table1[[#This Row],[Signed]]&amp;"   "&amp;IF(Table1[[#This Row],[Unsigned]]&lt;10," ","")&amp;Table1[[#This Row],[Unsigned]]&amp;"   "&amp;IF(Table1[[#This Row],[Tot Bonus]]&lt;10000000," ","")&amp;IF(Table1[[#This Row],[Tot Bonus]]&lt;1000000,"  ","")&amp;IF(Table1[[#This Row],[Tot Bonus]]&lt;1000,"  ","")&amp;TEXT(Table1[[#This Row],[Tot Bonus]],"$0,000")&amp;"   "&amp;IF(Table1[[#This Row],[Avg Bonus]]&lt;10000000," ","")&amp;IF(Table1[[#This Row],[Avg Bonus]]&lt;1000000,"  ","")&amp;IF(Table1[[#This Row],[Avg Bonus]]&lt;1000,"  ","")&amp;TEXT(Table1[[#This Row],[Avg Bonus]],"$0,000")</f>
        <v xml:space="preserve"> 1. Reno Zephyrs                     18    0    0    0        $0,000        $0,000</v>
      </c>
    </row>
    <row r="21" spans="1:9" x14ac:dyDescent="0.3">
      <c r="A21" t="s">
        <v>419</v>
      </c>
      <c r="B21">
        <f>COUNTIF('Draft List'!$AB$5:$AB$891,$A21)</f>
        <v>23</v>
      </c>
      <c r="C21">
        <f>SUMPRODUCT(('Draft List'!$AB$5:$AB$891=$A21)*('Draft List'!$Z$5:$Z$891&lt;6))+SUMPRODUCT(('Draft List'!$AB$5:$AB$891=$A21)*('Draft List'!$Z$5:$Z$891="S1"))+SUMPRODUCT(('Draft List'!$AB$5:$AB$891=$A21)*('Draft List'!$Z$5:$Z$891&lt;&gt;"S1")*('Draft List'!$Z$5:$Z$891&gt;5)*('Draft List'!$AD$5:$AD$891&gt;0)*('Draft List'!$AD$5:$AD$891&lt;100000000))</f>
        <v>0</v>
      </c>
      <c r="D21">
        <f>SUMPRODUCT(('Draft List'!$AB$5:$AB$891=$A21)*('Draft List'!$AD$5:$AD$891&gt;0)*('Draft List'!$AD$5:$AD$891&lt;1000000000))</f>
        <v>0</v>
      </c>
      <c r="E21">
        <f t="shared" si="0"/>
        <v>0</v>
      </c>
      <c r="F21" s="5">
        <f>SUMIF('Draft List'!$AB$5:$AB$891,$A21,'Draft List'!$AD$5:$AD$891)</f>
        <v>0</v>
      </c>
      <c r="G21" s="20">
        <f t="shared" si="1"/>
        <v>0</v>
      </c>
      <c r="H21" s="19">
        <f>LEN(Table1[[#This Row],[Team]])</f>
        <v>16</v>
      </c>
      <c r="I21" s="23" t="str">
        <f>IF(RANK(Table1[[#This Row],[Tot Bonus]],Table1[Tot Bonus])&lt;10," ","")&amp;RANK(Table1[[#This Row],[Tot Bonus]],Table1[Tot Bonus])&amp;". "&amp;Table1[[#This Row],[Team]]&amp;REPT(" ",Table1[[#Totals],[Len]]-Table1[[#This Row],[Len]]+3)&amp;IF(Table1[[#This Row],[Drafted Players]]&lt;10," ","")&amp;Table1[[#This Row],[Drafted Players]]&amp;"   "&amp;IF(Table1[[#This Row],[Bonus Eligible]]&lt;10," ","")&amp;Table1[[#This Row],[Bonus Eligible]]&amp;"   "&amp;IF(Table1[[#This Row],[Signed]]&lt;10," ","")&amp;Table1[[#This Row],[Signed]]&amp;"   "&amp;IF(Table1[[#This Row],[Unsigned]]&lt;10," ","")&amp;Table1[[#This Row],[Unsigned]]&amp;"   "&amp;IF(Table1[[#This Row],[Tot Bonus]]&lt;10000000," ","")&amp;IF(Table1[[#This Row],[Tot Bonus]]&lt;1000000,"  ","")&amp;IF(Table1[[#This Row],[Tot Bonus]]&lt;1000,"  ","")&amp;TEXT(Table1[[#This Row],[Tot Bonus]],"$0,000")&amp;"   "&amp;IF(Table1[[#This Row],[Avg Bonus]]&lt;10000000," ","")&amp;IF(Table1[[#This Row],[Avg Bonus]]&lt;1000000,"  ","")&amp;IF(Table1[[#This Row],[Avg Bonus]]&lt;1000,"  ","")&amp;TEXT(Table1[[#This Row],[Avg Bonus]],"$0,000")</f>
        <v xml:space="preserve"> 1. Hartford Harpoon                 23    0    0    0        $0,000        $0,000</v>
      </c>
    </row>
    <row r="22" spans="1:9" x14ac:dyDescent="0.3">
      <c r="A22" t="s">
        <v>243</v>
      </c>
      <c r="B22">
        <f>COUNTIF('Draft List'!$AB$5:$AB$891,$A22)</f>
        <v>22</v>
      </c>
      <c r="C22">
        <f>SUMPRODUCT(('Draft List'!$AB$5:$AB$891=$A22)*('Draft List'!$Z$5:$Z$891&lt;6))+SUMPRODUCT(('Draft List'!$AB$5:$AB$891=$A22)*('Draft List'!$Z$5:$Z$891="S1"))+SUMPRODUCT(('Draft List'!$AB$5:$AB$891=$A22)*('Draft List'!$Z$5:$Z$891&lt;&gt;"S1")*('Draft List'!$Z$5:$Z$891&gt;5)*('Draft List'!$AD$5:$AD$891&gt;0)*('Draft List'!$AD$5:$AD$891&lt;100000000))</f>
        <v>0</v>
      </c>
      <c r="D22">
        <f>SUMPRODUCT(('Draft List'!$AB$5:$AB$891=$A22)*('Draft List'!$AD$5:$AD$891&gt;0)*('Draft List'!$AD$5:$AD$891&lt;1000000000))</f>
        <v>0</v>
      </c>
      <c r="E22">
        <f t="shared" si="0"/>
        <v>0</v>
      </c>
      <c r="F22" s="5">
        <f>SUMIF('Draft List'!$AB$5:$AB$891,$A22,'Draft List'!$AD$5:$AD$891)</f>
        <v>0</v>
      </c>
      <c r="G22" s="20">
        <f t="shared" si="1"/>
        <v>0</v>
      </c>
      <c r="H22" s="19">
        <f>LEN(Table1[[#This Row],[Team]])</f>
        <v>15</v>
      </c>
      <c r="I22" s="23" t="str">
        <f>IF(RANK(Table1[[#This Row],[Tot Bonus]],Table1[Tot Bonus])&lt;10," ","")&amp;RANK(Table1[[#This Row],[Tot Bonus]],Table1[Tot Bonus])&amp;". "&amp;Table1[[#This Row],[Team]]&amp;REPT(" ",Table1[[#Totals],[Len]]-Table1[[#This Row],[Len]]+3)&amp;IF(Table1[[#This Row],[Drafted Players]]&lt;10," ","")&amp;Table1[[#This Row],[Drafted Players]]&amp;"   "&amp;IF(Table1[[#This Row],[Bonus Eligible]]&lt;10," ","")&amp;Table1[[#This Row],[Bonus Eligible]]&amp;"   "&amp;IF(Table1[[#This Row],[Signed]]&lt;10," ","")&amp;Table1[[#This Row],[Signed]]&amp;"   "&amp;IF(Table1[[#This Row],[Unsigned]]&lt;10," ","")&amp;Table1[[#This Row],[Unsigned]]&amp;"   "&amp;IF(Table1[[#This Row],[Tot Bonus]]&lt;10000000," ","")&amp;IF(Table1[[#This Row],[Tot Bonus]]&lt;1000000,"  ","")&amp;IF(Table1[[#This Row],[Tot Bonus]]&lt;1000,"  ","")&amp;TEXT(Table1[[#This Row],[Tot Bonus]],"$0,000")&amp;"   "&amp;IF(Table1[[#This Row],[Avg Bonus]]&lt;10000000," ","")&amp;IF(Table1[[#This Row],[Avg Bonus]]&lt;1000000,"  ","")&amp;IF(Table1[[#This Row],[Avg Bonus]]&lt;1000,"  ","")&amp;TEXT(Table1[[#This Row],[Avg Bonus]],"$0,000")</f>
        <v xml:space="preserve"> 1. Duluth Warriors                  22    0    0    0        $0,000        $0,000</v>
      </c>
    </row>
    <row r="23" spans="1:9" x14ac:dyDescent="0.3">
      <c r="A23" t="s">
        <v>420</v>
      </c>
      <c r="B23">
        <f>COUNTIF('Draft List'!$AB$5:$AB$891,$A23)</f>
        <v>20</v>
      </c>
      <c r="C23">
        <f>SUMPRODUCT(('Draft List'!$AB$5:$AB$891=$A23)*('Draft List'!$Z$5:$Z$891&lt;6))+SUMPRODUCT(('Draft List'!$AB$5:$AB$891=$A23)*('Draft List'!$Z$5:$Z$891="S1"))+SUMPRODUCT(('Draft List'!$AB$5:$AB$891=$A23)*('Draft List'!$Z$5:$Z$891&lt;&gt;"S1")*('Draft List'!$Z$5:$Z$891&gt;5)*('Draft List'!$AD$5:$AD$891&gt;0)*('Draft List'!$AD$5:$AD$891&lt;100000000))</f>
        <v>0</v>
      </c>
      <c r="D23">
        <f>SUMPRODUCT(('Draft List'!$AB$5:$AB$891=$A23)*('Draft List'!$AD$5:$AD$891&gt;0)*('Draft List'!$AD$5:$AD$891&lt;1000000000))</f>
        <v>0</v>
      </c>
      <c r="E23">
        <f t="shared" si="0"/>
        <v>0</v>
      </c>
      <c r="F23" s="5">
        <f>SUMIF('Draft List'!$AB$5:$AB$891,$A23,'Draft List'!$AD$5:$AD$891)</f>
        <v>0</v>
      </c>
      <c r="G23" s="20">
        <f t="shared" si="1"/>
        <v>0</v>
      </c>
      <c r="H23" s="19">
        <f>LEN(Table1[[#This Row],[Team]])</f>
        <v>13</v>
      </c>
      <c r="I23" s="23" t="str">
        <f>IF(RANK(Table1[[#This Row],[Tot Bonus]],Table1[Tot Bonus])&lt;10," ","")&amp;RANK(Table1[[#This Row],[Tot Bonus]],Table1[Tot Bonus])&amp;". "&amp;Table1[[#This Row],[Team]]&amp;REPT(" ",Table1[[#Totals],[Len]]-Table1[[#This Row],[Len]]+3)&amp;IF(Table1[[#This Row],[Drafted Players]]&lt;10," ","")&amp;Table1[[#This Row],[Drafted Players]]&amp;"   "&amp;IF(Table1[[#This Row],[Bonus Eligible]]&lt;10," ","")&amp;Table1[[#This Row],[Bonus Eligible]]&amp;"   "&amp;IF(Table1[[#This Row],[Signed]]&lt;10," ","")&amp;Table1[[#This Row],[Signed]]&amp;"   "&amp;IF(Table1[[#This Row],[Unsigned]]&lt;10," ","")&amp;Table1[[#This Row],[Unsigned]]&amp;"   "&amp;IF(Table1[[#This Row],[Tot Bonus]]&lt;10000000," ","")&amp;IF(Table1[[#This Row],[Tot Bonus]]&lt;1000000,"  ","")&amp;IF(Table1[[#This Row],[Tot Bonus]]&lt;1000,"  ","")&amp;TEXT(Table1[[#This Row],[Tot Bonus]],"$0,000")&amp;"   "&amp;IF(Table1[[#This Row],[Avg Bonus]]&lt;10000000," ","")&amp;IF(Table1[[#This Row],[Avg Bonus]]&lt;1000000,"  ","")&amp;IF(Table1[[#This Row],[Avg Bonus]]&lt;1000,"  ","")&amp;TEXT(Table1[[#This Row],[Avg Bonus]],"$0,000")</f>
        <v xml:space="preserve"> 1. Okinawa Shisa                    20    0    0    0        $0,000        $0,000</v>
      </c>
    </row>
    <row r="24" spans="1:9" x14ac:dyDescent="0.3">
      <c r="A24" t="s">
        <v>414</v>
      </c>
      <c r="B24">
        <f>COUNTIF('Draft List'!$AB$5:$AB$891,$A24)</f>
        <v>23</v>
      </c>
      <c r="C24">
        <f>SUMPRODUCT(('Draft List'!$AB$5:$AB$891=$A24)*('Draft List'!$Z$5:$Z$891&lt;6))+SUMPRODUCT(('Draft List'!$AB$5:$AB$891=$A24)*('Draft List'!$Z$5:$Z$891="S1"))+SUMPRODUCT(('Draft List'!$AB$5:$AB$891=$A24)*('Draft List'!$Z$5:$Z$891&lt;&gt;"S1")*('Draft List'!$Z$5:$Z$891&gt;5)*('Draft List'!$AD$5:$AD$891&gt;0)*('Draft List'!$AD$5:$AD$891&lt;100000000))</f>
        <v>0</v>
      </c>
      <c r="D24">
        <f>SUMPRODUCT(('Draft List'!$AB$5:$AB$891=$A24)*('Draft List'!$AD$5:$AD$891&gt;0)*('Draft List'!$AD$5:$AD$891&lt;1000000000))</f>
        <v>0</v>
      </c>
      <c r="E24">
        <f t="shared" si="0"/>
        <v>0</v>
      </c>
      <c r="F24" s="5">
        <f>SUMIF('Draft List'!$AB$5:$AB$891,$A24,'Draft List'!$AD$5:$AD$891)</f>
        <v>0</v>
      </c>
      <c r="G24" s="20">
        <f t="shared" si="1"/>
        <v>0</v>
      </c>
      <c r="H24" s="19">
        <f>LEN(Table1[[#This Row],[Team]])</f>
        <v>18</v>
      </c>
      <c r="I24" s="23" t="str">
        <f>IF(RANK(Table1[[#This Row],[Tot Bonus]],Table1[Tot Bonus])&lt;10," ","")&amp;RANK(Table1[[#This Row],[Tot Bonus]],Table1[Tot Bonus])&amp;". "&amp;Table1[[#This Row],[Team]]&amp;REPT(" ",Table1[[#Totals],[Len]]-Table1[[#This Row],[Len]]+3)&amp;IF(Table1[[#This Row],[Drafted Players]]&lt;10," ","")&amp;Table1[[#This Row],[Drafted Players]]&amp;"   "&amp;IF(Table1[[#This Row],[Bonus Eligible]]&lt;10," ","")&amp;Table1[[#This Row],[Bonus Eligible]]&amp;"   "&amp;IF(Table1[[#This Row],[Signed]]&lt;10," ","")&amp;Table1[[#This Row],[Signed]]&amp;"   "&amp;IF(Table1[[#This Row],[Unsigned]]&lt;10," ","")&amp;Table1[[#This Row],[Unsigned]]&amp;"   "&amp;IF(Table1[[#This Row],[Tot Bonus]]&lt;10000000," ","")&amp;IF(Table1[[#This Row],[Tot Bonus]]&lt;1000000,"  ","")&amp;IF(Table1[[#This Row],[Tot Bonus]]&lt;1000,"  ","")&amp;TEXT(Table1[[#This Row],[Tot Bonus]],"$0,000")&amp;"   "&amp;IF(Table1[[#This Row],[Avg Bonus]]&lt;10000000," ","")&amp;IF(Table1[[#This Row],[Avg Bonus]]&lt;1000000,"  ","")&amp;IF(Table1[[#This Row],[Avg Bonus]]&lt;1000,"  ","")&amp;TEXT(Table1[[#This Row],[Avg Bonus]],"$0,000")</f>
        <v xml:space="preserve"> 1. Scottish Claymores               23    0    0    0        $0,000        $0,000</v>
      </c>
    </row>
    <row r="25" spans="1:9" x14ac:dyDescent="0.3">
      <c r="A25" t="s">
        <v>251</v>
      </c>
      <c r="B25">
        <f>COUNTIF('Draft List'!$AB$5:$AB$891,$A25)</f>
        <v>22</v>
      </c>
      <c r="C25">
        <f>SUMPRODUCT(('Draft List'!$AB$5:$AB$891=$A25)*('Draft List'!$Z$5:$Z$891&lt;6))+SUMPRODUCT(('Draft List'!$AB$5:$AB$891=$A25)*('Draft List'!$Z$5:$Z$891="S1"))+SUMPRODUCT(('Draft List'!$AB$5:$AB$891=$A25)*('Draft List'!$Z$5:$Z$891&lt;&gt;"S1")*('Draft List'!$Z$5:$Z$891&gt;5)*('Draft List'!$AD$5:$AD$891&gt;0)*('Draft List'!$AD$5:$AD$891&lt;100000000))</f>
        <v>0</v>
      </c>
      <c r="D25">
        <f>SUMPRODUCT(('Draft List'!$AB$5:$AB$891=$A25)*('Draft List'!$AD$5:$AD$891&gt;0)*('Draft List'!$AD$5:$AD$891&lt;1000000000))</f>
        <v>0</v>
      </c>
      <c r="E25">
        <f t="shared" si="0"/>
        <v>0</v>
      </c>
      <c r="F25" s="5">
        <f>SUMIF('Draft List'!$AB$5:$AB$891,$A25,'Draft List'!$AD$5:$AD$891)</f>
        <v>0</v>
      </c>
      <c r="G25" s="20">
        <f t="shared" si="1"/>
        <v>0</v>
      </c>
      <c r="H25" s="19">
        <f>LEN(Table1[[#This Row],[Team]])</f>
        <v>30</v>
      </c>
      <c r="I25" s="23" t="str">
        <f>IF(RANK(Table1[[#This Row],[Tot Bonus]],Table1[Tot Bonus])&lt;10," ","")&amp;RANK(Table1[[#This Row],[Tot Bonus]],Table1[Tot Bonus])&amp;". "&amp;Table1[[#This Row],[Team]]&amp;REPT(" ",Table1[[#Totals],[Len]]-Table1[[#This Row],[Len]]+3)&amp;IF(Table1[[#This Row],[Drafted Players]]&lt;10," ","")&amp;Table1[[#This Row],[Drafted Players]]&amp;"   "&amp;IF(Table1[[#This Row],[Bonus Eligible]]&lt;10," ","")&amp;Table1[[#This Row],[Bonus Eligible]]&amp;"   "&amp;IF(Table1[[#This Row],[Signed]]&lt;10," ","")&amp;Table1[[#This Row],[Signed]]&amp;"   "&amp;IF(Table1[[#This Row],[Unsigned]]&lt;10," ","")&amp;Table1[[#This Row],[Unsigned]]&amp;"   "&amp;IF(Table1[[#This Row],[Tot Bonus]]&lt;10000000," ","")&amp;IF(Table1[[#This Row],[Tot Bonus]]&lt;1000000,"  ","")&amp;IF(Table1[[#This Row],[Tot Bonus]]&lt;1000,"  ","")&amp;TEXT(Table1[[#This Row],[Tot Bonus]],"$0,000")&amp;"   "&amp;IF(Table1[[#This Row],[Avg Bonus]]&lt;10000000," ","")&amp;IF(Table1[[#This Row],[Avg Bonus]]&lt;1000000,"  ","")&amp;IF(Table1[[#This Row],[Avg Bonus]]&lt;1000,"  ","")&amp;TEXT(Table1[[#This Row],[Avg Bonus]],"$0,000")</f>
        <v xml:space="preserve"> 1. San Antonio Calzones of Laredo   22    0    0    0        $0,000        $0,000</v>
      </c>
    </row>
    <row r="26" spans="1:9" x14ac:dyDescent="0.3">
      <c r="A26" t="s">
        <v>235</v>
      </c>
      <c r="B26">
        <f>COUNTIF('Draft List'!$AB$5:$AB$891,$A26)</f>
        <v>20</v>
      </c>
      <c r="C26">
        <f>SUMPRODUCT(('Draft List'!$AB$5:$AB$891=$A26)*('Draft List'!$Z$5:$Z$891&lt;6))+SUMPRODUCT(('Draft List'!$AB$5:$AB$891=$A26)*('Draft List'!$Z$5:$Z$891="S1"))+SUMPRODUCT(('Draft List'!$AB$5:$AB$891=$A26)*('Draft List'!$Z$5:$Z$891&lt;&gt;"S1")*('Draft List'!$Z$5:$Z$891&gt;5)*('Draft List'!$AD$5:$AD$891&gt;0)*('Draft List'!$AD$5:$AD$891&lt;100000000))</f>
        <v>0</v>
      </c>
      <c r="D26">
        <f>SUMPRODUCT(('Draft List'!$AB$5:$AB$891=$A26)*('Draft List'!$AD$5:$AD$891&gt;0)*('Draft List'!$AD$5:$AD$891&lt;1000000000))</f>
        <v>0</v>
      </c>
      <c r="E26">
        <f t="shared" si="0"/>
        <v>0</v>
      </c>
      <c r="F26" s="5">
        <f>SUMIF('Draft List'!$AB$5:$AB$891,$A26,'Draft List'!$AD$5:$AD$891)</f>
        <v>0</v>
      </c>
      <c r="G26" s="20">
        <f t="shared" si="1"/>
        <v>0</v>
      </c>
      <c r="H26" s="19">
        <f>LEN(Table1[[#This Row],[Team]])</f>
        <v>20</v>
      </c>
      <c r="I26" s="23" t="str">
        <f>IF(RANK(Table1[[#This Row],[Tot Bonus]],Table1[Tot Bonus])&lt;10," ","")&amp;RANK(Table1[[#This Row],[Tot Bonus]],Table1[Tot Bonus])&amp;". "&amp;Table1[[#This Row],[Team]]&amp;REPT(" ",Table1[[#Totals],[Len]]-Table1[[#This Row],[Len]]+3)&amp;IF(Table1[[#This Row],[Drafted Players]]&lt;10," ","")&amp;Table1[[#This Row],[Drafted Players]]&amp;"   "&amp;IF(Table1[[#This Row],[Bonus Eligible]]&lt;10," ","")&amp;Table1[[#This Row],[Bonus Eligible]]&amp;"   "&amp;IF(Table1[[#This Row],[Signed]]&lt;10," ","")&amp;Table1[[#This Row],[Signed]]&amp;"   "&amp;IF(Table1[[#This Row],[Unsigned]]&lt;10," ","")&amp;Table1[[#This Row],[Unsigned]]&amp;"   "&amp;IF(Table1[[#This Row],[Tot Bonus]]&lt;10000000," ","")&amp;IF(Table1[[#This Row],[Tot Bonus]]&lt;1000000,"  ","")&amp;IF(Table1[[#This Row],[Tot Bonus]]&lt;1000,"  ","")&amp;TEXT(Table1[[#This Row],[Tot Bonus]],"$0,000")&amp;"   "&amp;IF(Table1[[#This Row],[Avg Bonus]]&lt;10000000," ","")&amp;IF(Table1[[#This Row],[Avg Bonus]]&lt;1000000,"  ","")&amp;IF(Table1[[#This Row],[Avg Bonus]]&lt;1000,"  ","")&amp;TEXT(Table1[[#This Row],[Avg Bonus]],"$0,000")</f>
        <v xml:space="preserve"> 1. Palm Springs Codgers             20    0    0    0        $0,000        $0,000</v>
      </c>
    </row>
    <row r="27" spans="1:9" x14ac:dyDescent="0.3">
      <c r="A27" t="s">
        <v>234</v>
      </c>
      <c r="B27">
        <f>COUNTIF('Draft List'!$AB$5:$AB$891,$A27)</f>
        <v>0</v>
      </c>
      <c r="C27">
        <f>SUMPRODUCT(('Draft List'!$AB$5:$AB$891=$A27)*('Draft List'!$Z$5:$Z$891&lt;6))+SUMPRODUCT(('Draft List'!$AB$5:$AB$891=$A27)*('Draft List'!$Z$5:$Z$891="S1"))+SUMPRODUCT(('Draft List'!$AB$5:$AB$891=$A27)*('Draft List'!$Z$5:$Z$891&lt;&gt;"S1")*('Draft List'!$Z$5:$Z$891&gt;5)*('Draft List'!$AD$5:$AD$891&gt;0)*('Draft List'!$AD$5:$AD$891&lt;100000000))</f>
        <v>0</v>
      </c>
      <c r="D27">
        <f>SUMPRODUCT(('Draft List'!$AB$5:$AB$891=$A27)*('Draft List'!$AD$5:$AD$891&gt;0)*('Draft List'!$AD$5:$AD$891&lt;1000000000))</f>
        <v>0</v>
      </c>
      <c r="E27">
        <f t="shared" si="0"/>
        <v>0</v>
      </c>
      <c r="F27" s="5">
        <f>SUMIF('Draft List'!$AB$5:$AB$891,$A27,'Draft List'!$AD$5:$AD$891)</f>
        <v>0</v>
      </c>
      <c r="G27" s="20">
        <f t="shared" si="1"/>
        <v>0</v>
      </c>
      <c r="H27" s="19">
        <f>LEN(Table1[[#This Row],[Team]])</f>
        <v>19</v>
      </c>
      <c r="I27" s="23" t="str">
        <f>IF(RANK(Table1[[#This Row],[Tot Bonus]],Table1[Tot Bonus])&lt;10," ","")&amp;RANK(Table1[[#This Row],[Tot Bonus]],Table1[Tot Bonus])&amp;". "&amp;Table1[[#This Row],[Team]]&amp;REPT(" ",Table1[[#Totals],[Len]]-Table1[[#This Row],[Len]]+3)&amp;IF(Table1[[#This Row],[Drafted Players]]&lt;10," ","")&amp;Table1[[#This Row],[Drafted Players]]&amp;"   "&amp;IF(Table1[[#This Row],[Bonus Eligible]]&lt;10," ","")&amp;Table1[[#This Row],[Bonus Eligible]]&amp;"   "&amp;IF(Table1[[#This Row],[Signed]]&lt;10," ","")&amp;Table1[[#This Row],[Signed]]&amp;"   "&amp;IF(Table1[[#This Row],[Unsigned]]&lt;10," ","")&amp;Table1[[#This Row],[Unsigned]]&amp;"   "&amp;IF(Table1[[#This Row],[Tot Bonus]]&lt;10000000," ","")&amp;IF(Table1[[#This Row],[Tot Bonus]]&lt;1000000,"  ","")&amp;IF(Table1[[#This Row],[Tot Bonus]]&lt;1000,"  ","")&amp;TEXT(Table1[[#This Row],[Tot Bonus]],"$0,000")&amp;"   "&amp;IF(Table1[[#This Row],[Avg Bonus]]&lt;10000000," ","")&amp;IF(Table1[[#This Row],[Avg Bonus]]&lt;1000000,"  ","")&amp;IF(Table1[[#This Row],[Avg Bonus]]&lt;1000,"  ","")&amp;TEXT(Table1[[#This Row],[Avg Bonus]],"$0,000")</f>
        <v xml:space="preserve"> 1. Canton Longshoremen               0    0    0    0        $0,000        $0,000</v>
      </c>
    </row>
    <row r="28" spans="1:9" x14ac:dyDescent="0.3">
      <c r="A28" t="s">
        <v>242</v>
      </c>
      <c r="B28">
        <f>COUNTIF('Draft List'!$AB$5:$AB$891,$A28)</f>
        <v>15</v>
      </c>
      <c r="C28">
        <f>SUMPRODUCT(('Draft List'!$AB$5:$AB$891=$A28)*('Draft List'!$Z$5:$Z$891&lt;6))+SUMPRODUCT(('Draft List'!$AB$5:$AB$891=$A28)*('Draft List'!$Z$5:$Z$891="S1"))+SUMPRODUCT(('Draft List'!$AB$5:$AB$891=$A28)*('Draft List'!$Z$5:$Z$891&lt;&gt;"S1")*('Draft List'!$Z$5:$Z$891&gt;5)*('Draft List'!$AD$5:$AD$891&gt;0)*('Draft List'!$AD$5:$AD$891&lt;100000000))</f>
        <v>0</v>
      </c>
      <c r="D28">
        <f>SUMPRODUCT(('Draft List'!$AB$5:$AB$891=$A28)*('Draft List'!$AD$5:$AD$891&gt;0)*('Draft List'!$AD$5:$AD$891&lt;1000000000))</f>
        <v>0</v>
      </c>
      <c r="E28">
        <f t="shared" si="0"/>
        <v>0</v>
      </c>
      <c r="F28" s="5">
        <f>SUMIF('Draft List'!$AB$5:$AB$891,$A28,'Draft List'!$AD$5:$AD$891)</f>
        <v>0</v>
      </c>
      <c r="G28" s="20">
        <f t="shared" si="1"/>
        <v>0</v>
      </c>
      <c r="H28" s="19">
        <f>LEN(Table1[[#This Row],[Team]])</f>
        <v>22</v>
      </c>
      <c r="I28" s="23" t="str">
        <f>IF(RANK(Table1[[#This Row],[Tot Bonus]],Table1[Tot Bonus])&lt;10," ","")&amp;RANK(Table1[[#This Row],[Tot Bonus]],Table1[Tot Bonus])&amp;". "&amp;Table1[[#This Row],[Team]]&amp;REPT(" ",Table1[[#Totals],[Len]]-Table1[[#This Row],[Len]]+3)&amp;IF(Table1[[#This Row],[Drafted Players]]&lt;10," ","")&amp;Table1[[#This Row],[Drafted Players]]&amp;"   "&amp;IF(Table1[[#This Row],[Bonus Eligible]]&lt;10," ","")&amp;Table1[[#This Row],[Bonus Eligible]]&amp;"   "&amp;IF(Table1[[#This Row],[Signed]]&lt;10," ","")&amp;Table1[[#This Row],[Signed]]&amp;"   "&amp;IF(Table1[[#This Row],[Unsigned]]&lt;10," ","")&amp;Table1[[#This Row],[Unsigned]]&amp;"   "&amp;IF(Table1[[#This Row],[Tot Bonus]]&lt;10000000," ","")&amp;IF(Table1[[#This Row],[Tot Bonus]]&lt;1000000,"  ","")&amp;IF(Table1[[#This Row],[Tot Bonus]]&lt;1000,"  ","")&amp;TEXT(Table1[[#This Row],[Tot Bonus]],"$0,000")&amp;"   "&amp;IF(Table1[[#This Row],[Avg Bonus]]&lt;10000000," ","")&amp;IF(Table1[[#This Row],[Avg Bonus]]&lt;1000000,"  ","")&amp;IF(Table1[[#This Row],[Avg Bonus]]&lt;1000,"  ","")&amp;TEXT(Table1[[#This Row],[Avg Bonus]],"$0,000")</f>
        <v xml:space="preserve"> 1. Crystal Lake Sandgnats           15    0    0    0        $0,000        $0,000</v>
      </c>
    </row>
    <row r="29" spans="1:9" s="1" customFormat="1" x14ac:dyDescent="0.3">
      <c r="A29" s="1" t="s">
        <v>264</v>
      </c>
      <c r="B29" s="1">
        <f>SUBTOTAL(109,Table1[Drafted Players])</f>
        <v>457</v>
      </c>
      <c r="C29" s="1">
        <f>SUBTOTAL(109,Table1[Bonus Eligible])</f>
        <v>3</v>
      </c>
      <c r="D29" s="1">
        <f>SUBTOTAL(109,Table1[Signed])</f>
        <v>0</v>
      </c>
      <c r="E29" s="1">
        <f>SUBTOTAL(109,Table1[Unsigned])</f>
        <v>3</v>
      </c>
      <c r="F29" s="21">
        <f>SUBTOTAL(109,Table1[Tot Bonus])</f>
        <v>0</v>
      </c>
      <c r="G29" s="21" t="e">
        <f>Table1[[#Totals],[Tot Bonus]]/Table1[[#Totals],[Signed]]</f>
        <v>#DIV/0!</v>
      </c>
      <c r="H29" s="1">
        <f>SUBTOTAL(104,Table1[Len])</f>
        <v>30</v>
      </c>
    </row>
  </sheetData>
  <sortState xmlns:xlrd2="http://schemas.microsoft.com/office/spreadsheetml/2017/richdata2" ref="A3:E26">
    <sortCondition ref="A2"/>
  </sortState>
  <pageMargins left="0.7" right="0.7" top="0.75" bottom="0.75" header="0.3" footer="0.3"/>
  <pageSetup orientation="portrait" horizontalDpi="4294967293" verticalDpi="0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3"/>
  <dimension ref="A2:E41"/>
  <sheetViews>
    <sheetView workbookViewId="0">
      <selection activeCell="D8" sqref="D8"/>
    </sheetView>
  </sheetViews>
  <sheetFormatPr defaultRowHeight="14.4" x14ac:dyDescent="0.3"/>
  <cols>
    <col min="1" max="1" width="14.6640625" bestFit="1" customWidth="1"/>
    <col min="2" max="2" width="8.44140625" bestFit="1" customWidth="1"/>
    <col min="3" max="3" width="5" bestFit="1" customWidth="1"/>
    <col min="4" max="4" width="5" customWidth="1"/>
    <col min="5" max="5" width="5.33203125" bestFit="1" customWidth="1"/>
  </cols>
  <sheetData>
    <row r="2" spans="1:5" x14ac:dyDescent="0.3">
      <c r="B2" t="s">
        <v>6</v>
      </c>
      <c r="C2" t="s">
        <v>7</v>
      </c>
      <c r="D2" t="s">
        <v>538</v>
      </c>
      <c r="E2" t="s">
        <v>105</v>
      </c>
    </row>
    <row r="3" spans="1:5" x14ac:dyDescent="0.3">
      <c r="A3" t="s">
        <v>51</v>
      </c>
      <c r="B3">
        <v>1.05</v>
      </c>
      <c r="C3">
        <v>1.05</v>
      </c>
      <c r="D3">
        <v>1.03</v>
      </c>
      <c r="E3" t="s">
        <v>106</v>
      </c>
    </row>
    <row r="4" spans="1:5" x14ac:dyDescent="0.3">
      <c r="A4" t="s">
        <v>47</v>
      </c>
      <c r="B4">
        <v>1.02</v>
      </c>
      <c r="C4">
        <v>1.02</v>
      </c>
      <c r="D4">
        <v>1.0149999999999999</v>
      </c>
      <c r="E4" t="s">
        <v>107</v>
      </c>
    </row>
    <row r="5" spans="1:5" x14ac:dyDescent="0.3">
      <c r="A5" t="s">
        <v>43</v>
      </c>
      <c r="B5">
        <v>1</v>
      </c>
      <c r="C5">
        <v>1</v>
      </c>
      <c r="D5">
        <v>1</v>
      </c>
      <c r="E5" t="s">
        <v>108</v>
      </c>
    </row>
    <row r="6" spans="1:5" x14ac:dyDescent="0.3">
      <c r="A6" t="s">
        <v>44</v>
      </c>
      <c r="B6">
        <v>0.98</v>
      </c>
      <c r="C6">
        <v>0.98</v>
      </c>
      <c r="D6">
        <v>0.99</v>
      </c>
      <c r="E6" t="s">
        <v>53</v>
      </c>
    </row>
    <row r="7" spans="1:5" x14ac:dyDescent="0.3">
      <c r="A7" t="s">
        <v>55</v>
      </c>
      <c r="B7">
        <v>0.9</v>
      </c>
      <c r="C7">
        <v>0.9</v>
      </c>
      <c r="D7">
        <v>0.95</v>
      </c>
      <c r="E7" t="s">
        <v>109</v>
      </c>
    </row>
    <row r="10" spans="1:5" x14ac:dyDescent="0.3">
      <c r="A10" t="s">
        <v>110</v>
      </c>
      <c r="B10" t="s">
        <v>111</v>
      </c>
    </row>
    <row r="11" spans="1:5" x14ac:dyDescent="0.3">
      <c r="A11" t="s">
        <v>112</v>
      </c>
      <c r="B11">
        <v>0.75</v>
      </c>
    </row>
    <row r="12" spans="1:5" x14ac:dyDescent="0.3">
      <c r="A12" t="s">
        <v>73</v>
      </c>
      <c r="B12">
        <v>0.85</v>
      </c>
    </row>
    <row r="13" spans="1:5" x14ac:dyDescent="0.3">
      <c r="A13" t="s">
        <v>113</v>
      </c>
      <c r="B13">
        <v>0.85</v>
      </c>
    </row>
    <row r="14" spans="1:5" x14ac:dyDescent="0.3">
      <c r="A14" t="s">
        <v>52</v>
      </c>
      <c r="B14">
        <v>0.85</v>
      </c>
    </row>
    <row r="15" spans="1:5" x14ac:dyDescent="0.3">
      <c r="A15" t="s">
        <v>70</v>
      </c>
      <c r="B15">
        <v>0.9</v>
      </c>
    </row>
    <row r="16" spans="1:5" x14ac:dyDescent="0.3">
      <c r="A16" t="s">
        <v>67</v>
      </c>
      <c r="B16">
        <v>0.9</v>
      </c>
    </row>
    <row r="17" spans="1:2" x14ac:dyDescent="0.3">
      <c r="A17" t="s">
        <v>65</v>
      </c>
      <c r="B17">
        <v>0.95</v>
      </c>
    </row>
    <row r="18" spans="1:2" x14ac:dyDescent="0.3">
      <c r="A18" t="s">
        <v>68</v>
      </c>
      <c r="B18">
        <v>0.95</v>
      </c>
    </row>
    <row r="19" spans="1:2" x14ac:dyDescent="0.3">
      <c r="A19" t="s">
        <v>64</v>
      </c>
      <c r="B19">
        <v>1</v>
      </c>
    </row>
    <row r="20" spans="1:2" x14ac:dyDescent="0.3">
      <c r="A20" t="s">
        <v>328</v>
      </c>
      <c r="B20">
        <v>1</v>
      </c>
    </row>
    <row r="21" spans="1:2" x14ac:dyDescent="0.3">
      <c r="A21" t="s">
        <v>329</v>
      </c>
      <c r="B21">
        <v>1</v>
      </c>
    </row>
    <row r="22" spans="1:2" x14ac:dyDescent="0.3">
      <c r="A22" t="s">
        <v>57</v>
      </c>
      <c r="B22">
        <v>1</v>
      </c>
    </row>
    <row r="23" spans="1:2" x14ac:dyDescent="0.3">
      <c r="A23" t="s">
        <v>56</v>
      </c>
      <c r="B23">
        <v>1</v>
      </c>
    </row>
    <row r="24" spans="1:2" x14ac:dyDescent="0.3">
      <c r="A24" t="s">
        <v>58</v>
      </c>
      <c r="B24">
        <v>1</v>
      </c>
    </row>
    <row r="25" spans="1:2" x14ac:dyDescent="0.3">
      <c r="A25" t="s">
        <v>60</v>
      </c>
      <c r="B25">
        <v>1.0249999999999999</v>
      </c>
    </row>
    <row r="26" spans="1:2" x14ac:dyDescent="0.3">
      <c r="A26" t="s">
        <v>54</v>
      </c>
      <c r="B26">
        <v>1.0249999999999999</v>
      </c>
    </row>
    <row r="27" spans="1:2" x14ac:dyDescent="0.3">
      <c r="A27" t="s">
        <v>48</v>
      </c>
      <c r="B27">
        <v>1.05</v>
      </c>
    </row>
    <row r="28" spans="1:2" x14ac:dyDescent="0.3">
      <c r="A28" t="s">
        <v>61</v>
      </c>
      <c r="B28">
        <v>1.05</v>
      </c>
    </row>
    <row r="29" spans="1:2" x14ac:dyDescent="0.3">
      <c r="A29" t="s">
        <v>46</v>
      </c>
      <c r="B29">
        <v>1.05</v>
      </c>
    </row>
    <row r="30" spans="1:2" x14ac:dyDescent="0.3">
      <c r="A30" t="s">
        <v>59</v>
      </c>
      <c r="B30">
        <v>1.075</v>
      </c>
    </row>
    <row r="31" spans="1:2" x14ac:dyDescent="0.3">
      <c r="A31" t="s">
        <v>63</v>
      </c>
      <c r="B31">
        <v>1.075</v>
      </c>
    </row>
    <row r="32" spans="1:2" x14ac:dyDescent="0.3">
      <c r="A32" t="s">
        <v>114</v>
      </c>
      <c r="B32">
        <v>1.075</v>
      </c>
    </row>
    <row r="35" spans="1:2" x14ac:dyDescent="0.3">
      <c r="A35" t="s">
        <v>115</v>
      </c>
      <c r="B35" t="s">
        <v>105</v>
      </c>
    </row>
    <row r="36" spans="1:2" x14ac:dyDescent="0.3">
      <c r="A36" t="s">
        <v>103</v>
      </c>
      <c r="B36" t="s">
        <v>116</v>
      </c>
    </row>
    <row r="37" spans="1:2" x14ac:dyDescent="0.3">
      <c r="A37" t="s">
        <v>117</v>
      </c>
      <c r="B37" t="s">
        <v>107</v>
      </c>
    </row>
    <row r="38" spans="1:2" x14ac:dyDescent="0.3">
      <c r="A38" t="s">
        <v>43</v>
      </c>
      <c r="B38" t="s">
        <v>108</v>
      </c>
    </row>
    <row r="39" spans="1:2" x14ac:dyDescent="0.3">
      <c r="A39" t="s">
        <v>118</v>
      </c>
      <c r="B39" t="s">
        <v>119</v>
      </c>
    </row>
    <row r="40" spans="1:2" x14ac:dyDescent="0.3">
      <c r="A40" t="s">
        <v>104</v>
      </c>
      <c r="B40" t="s">
        <v>120</v>
      </c>
    </row>
    <row r="41" spans="1:2" x14ac:dyDescent="0.3">
      <c r="A41">
        <v>0</v>
      </c>
      <c r="B41" t="s">
        <v>228</v>
      </c>
    </row>
  </sheetData>
  <pageMargins left="0.7" right="0.7" top="0.75" bottom="0.75" header="0.3" footer="0.3"/>
  <pageSetup orientation="portrait" horizontalDpi="4294967293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106"/>
  <sheetViews>
    <sheetView topLeftCell="A49" workbookViewId="0">
      <selection activeCell="A62" sqref="A62"/>
    </sheetView>
  </sheetViews>
  <sheetFormatPr defaultRowHeight="14.4" x14ac:dyDescent="0.3"/>
  <cols>
    <col min="1" max="1" width="138.88671875" bestFit="1" customWidth="1"/>
    <col min="2" max="2" width="11.44140625" customWidth="1"/>
    <col min="3" max="3" width="20.33203125" bestFit="1" customWidth="1"/>
    <col min="4" max="4" width="24.5546875" bestFit="1" customWidth="1"/>
    <col min="5" max="5" width="10.109375" bestFit="1" customWidth="1"/>
    <col min="6" max="6" width="10.5546875" bestFit="1" customWidth="1"/>
  </cols>
  <sheetData>
    <row r="1" spans="1:7" s="1" customFormat="1" x14ac:dyDescent="0.3">
      <c r="A1" s="1" t="s">
        <v>252</v>
      </c>
      <c r="B1" s="1" t="s">
        <v>257</v>
      </c>
      <c r="C1" s="1" t="s">
        <v>230</v>
      </c>
      <c r="D1" s="1" t="s">
        <v>223</v>
      </c>
      <c r="E1" s="1" t="s">
        <v>253</v>
      </c>
      <c r="F1" s="1" t="s">
        <v>255</v>
      </c>
      <c r="G1" s="1" t="s">
        <v>256</v>
      </c>
    </row>
    <row r="2" spans="1:7" s="1" customFormat="1" x14ac:dyDescent="0.3">
      <c r="A2" s="28" t="s">
        <v>229</v>
      </c>
      <c r="B2" s="29">
        <v>3000000</v>
      </c>
      <c r="C2" t="s">
        <v>294</v>
      </c>
    </row>
    <row r="3" spans="1:7" s="1" customFormat="1" x14ac:dyDescent="0.3">
      <c r="A3" s="28" t="s">
        <v>245</v>
      </c>
      <c r="B3" s="29">
        <v>1000000</v>
      </c>
      <c r="C3" s="30" t="s">
        <v>295</v>
      </c>
    </row>
    <row r="4" spans="1:7" s="1" customFormat="1" x14ac:dyDescent="0.3">
      <c r="A4" s="28" t="s">
        <v>248</v>
      </c>
      <c r="B4" s="29">
        <v>400000</v>
      </c>
      <c r="C4" s="30" t="s">
        <v>296</v>
      </c>
    </row>
    <row r="5" spans="1:7" s="1" customFormat="1" x14ac:dyDescent="0.3">
      <c r="A5" s="28" t="s">
        <v>249</v>
      </c>
      <c r="B5" s="29">
        <v>300000</v>
      </c>
      <c r="C5" s="30" t="s">
        <v>297</v>
      </c>
    </row>
    <row r="6" spans="1:7" s="1" customFormat="1" x14ac:dyDescent="0.3">
      <c r="A6" s="28" t="s">
        <v>250</v>
      </c>
      <c r="B6" s="29">
        <v>250000</v>
      </c>
      <c r="C6" s="30" t="s">
        <v>298</v>
      </c>
    </row>
    <row r="7" spans="1:7" s="1" customFormat="1" x14ac:dyDescent="0.3"/>
    <row r="8" spans="1:7" x14ac:dyDescent="0.3">
      <c r="A8" t="s">
        <v>422</v>
      </c>
      <c r="B8" t="str">
        <f>D8&amp;"-"&amp;C8</f>
        <v>Amsterdam Lions-Alberto Flores</v>
      </c>
      <c r="C8" t="str">
        <f>MID(A8,FIND("Signed",A8)+7,FIND("to a minor",A8)-FIND("Signed",A8)-8)</f>
        <v>Alberto Flores</v>
      </c>
      <c r="D8" t="str">
        <f>MID($A8,1,FIND(":",$A8)-1)</f>
        <v>Amsterdam Lions</v>
      </c>
      <c r="E8" t="str">
        <f>IF(ISERROR(FIND("major league contract",$A8)),MID($A8,FIND("$",$A8),FIND(".",$A8,FIND("$",$A8))-FIND("$",$A8)),MID($A8,FIND("$",$A8),FIND(" ",$A8,FIND("$",$A8))-FIND("$",$A8)))</f>
        <v>$2,000,000</v>
      </c>
      <c r="F8" t="str">
        <f>IF(ISERROR(FIND("major league contract",$A8)),"",MID($A8,FIND("major league contract",$A8)+39,LEN($A8)-FIND("major league contract",$A8)-39))</f>
        <v/>
      </c>
      <c r="G8" t="str">
        <f>IF(ISERROR(FIND("major league contract",$A8)),"",MID($A8,FIND("major league contract",$A8)-7,1))</f>
        <v/>
      </c>
    </row>
    <row r="9" spans="1:7" x14ac:dyDescent="0.3">
      <c r="A9" t="s">
        <v>423</v>
      </c>
      <c r="B9" t="str">
        <f t="shared" ref="B9:B72" si="0">D9&amp;"-"&amp;C9</f>
        <v>Amsterdam Lions-Alonso González</v>
      </c>
      <c r="C9" t="str">
        <f t="shared" ref="C9:C72" si="1">MID(A9,FIND("Signed",A9)+7,FIND("to a minor",A9)-FIND("Signed",A9)-8)</f>
        <v>Alonso González</v>
      </c>
      <c r="D9" t="str">
        <f t="shared" ref="D9:D72" si="2">MID($A9,1,FIND(":",$A9)-1)</f>
        <v>Amsterdam Lions</v>
      </c>
      <c r="E9" t="str">
        <f t="shared" ref="E9:E72" si="3">IF(ISERROR(FIND("major league contract",$A9)),MID($A9,FIND("$",$A9),FIND(".",$A9,FIND("$",$A9))-FIND("$",$A9)),MID($A9,FIND("$",$A9),FIND(" ",$A9,FIND("$",$A9))-FIND("$",$A9)))</f>
        <v>$600,000</v>
      </c>
      <c r="F9" t="str">
        <f t="shared" ref="F9:F72" si="4">IF(ISERROR(FIND("major league contract",$A9)),"",MID($A9,FIND("major league contract",$A9)+39,LEN($A9)-FIND("major league contract",$A9)-39))</f>
        <v/>
      </c>
      <c r="G9" t="str">
        <f t="shared" ref="G9:G72" si="5">IF(ISERROR(FIND("major league contract",$A9)),"",MID($A9,FIND("major league contract",$A9)-7,1))</f>
        <v/>
      </c>
    </row>
    <row r="10" spans="1:7" x14ac:dyDescent="0.3">
      <c r="A10" t="s">
        <v>424</v>
      </c>
      <c r="B10" t="str">
        <f t="shared" si="0"/>
        <v>Amsterdam Lions-Ashton Gilbert</v>
      </c>
      <c r="C10" t="str">
        <f t="shared" si="1"/>
        <v>Ashton Gilbert</v>
      </c>
      <c r="D10" t="str">
        <f t="shared" si="2"/>
        <v>Amsterdam Lions</v>
      </c>
      <c r="E10" t="str">
        <f t="shared" si="3"/>
        <v>$140,000</v>
      </c>
      <c r="F10" t="str">
        <f t="shared" si="4"/>
        <v/>
      </c>
      <c r="G10" t="str">
        <f t="shared" si="5"/>
        <v/>
      </c>
    </row>
    <row r="11" spans="1:7" x14ac:dyDescent="0.3">
      <c r="A11" t="s">
        <v>425</v>
      </c>
      <c r="B11" t="str">
        <f t="shared" si="0"/>
        <v>Amsterdam Lions-Ewan Carne</v>
      </c>
      <c r="C11" t="str">
        <f t="shared" si="1"/>
        <v>Ewan Carne</v>
      </c>
      <c r="D11" t="str">
        <f t="shared" si="2"/>
        <v>Amsterdam Lions</v>
      </c>
      <c r="E11" t="str">
        <f t="shared" si="3"/>
        <v>$1,200,000</v>
      </c>
      <c r="F11" t="str">
        <f t="shared" si="4"/>
        <v/>
      </c>
      <c r="G11" t="str">
        <f t="shared" si="5"/>
        <v/>
      </c>
    </row>
    <row r="12" spans="1:7" x14ac:dyDescent="0.3">
      <c r="A12" t="s">
        <v>426</v>
      </c>
      <c r="B12" t="str">
        <f t="shared" si="0"/>
        <v>Amsterdam Lions-Mark de Vries</v>
      </c>
      <c r="C12" t="str">
        <f t="shared" si="1"/>
        <v>Mark de Vries</v>
      </c>
      <c r="D12" t="str">
        <f t="shared" si="2"/>
        <v>Amsterdam Lions</v>
      </c>
      <c r="E12" t="str">
        <f t="shared" si="3"/>
        <v>$330,000</v>
      </c>
      <c r="F12" t="str">
        <f t="shared" si="4"/>
        <v/>
      </c>
      <c r="G12" t="str">
        <f t="shared" si="5"/>
        <v/>
      </c>
    </row>
    <row r="13" spans="1:7" x14ac:dyDescent="0.3">
      <c r="A13" t="s">
        <v>427</v>
      </c>
      <c r="B13" t="str">
        <f t="shared" si="0"/>
        <v>Arlington Bureaucrats-Erskine Hill</v>
      </c>
      <c r="C13" t="str">
        <f t="shared" si="1"/>
        <v>Erskine Hill</v>
      </c>
      <c r="D13" t="str">
        <f t="shared" si="2"/>
        <v>Arlington Bureaucrats</v>
      </c>
      <c r="E13" t="str">
        <f t="shared" si="3"/>
        <v>$510,000</v>
      </c>
      <c r="F13" t="str">
        <f t="shared" si="4"/>
        <v/>
      </c>
      <c r="G13" t="str">
        <f t="shared" si="5"/>
        <v/>
      </c>
    </row>
    <row r="14" spans="1:7" x14ac:dyDescent="0.3">
      <c r="A14" t="s">
        <v>428</v>
      </c>
      <c r="B14" t="str">
        <f t="shared" si="0"/>
        <v>Arlington Bureaucrats-Jerry Flores</v>
      </c>
      <c r="C14" t="str">
        <f t="shared" si="1"/>
        <v>Jerry Flores</v>
      </c>
      <c r="D14" t="str">
        <f t="shared" si="2"/>
        <v>Arlington Bureaucrats</v>
      </c>
      <c r="E14" t="str">
        <f t="shared" si="3"/>
        <v>$200,000</v>
      </c>
      <c r="F14" t="str">
        <f t="shared" si="4"/>
        <v/>
      </c>
      <c r="G14" t="str">
        <f t="shared" si="5"/>
        <v/>
      </c>
    </row>
    <row r="15" spans="1:7" x14ac:dyDescent="0.3">
      <c r="A15" t="s">
        <v>429</v>
      </c>
      <c r="B15" t="str">
        <f t="shared" si="0"/>
        <v>Arlington Bureaucrats-Torcall Penrose</v>
      </c>
      <c r="C15" t="str">
        <f t="shared" si="1"/>
        <v>Torcall Penrose</v>
      </c>
      <c r="D15" t="str">
        <f t="shared" si="2"/>
        <v>Arlington Bureaucrats</v>
      </c>
      <c r="E15" t="str">
        <f t="shared" si="3"/>
        <v>$1,370,000</v>
      </c>
      <c r="F15" t="str">
        <f t="shared" si="4"/>
        <v/>
      </c>
      <c r="G15" t="str">
        <f t="shared" si="5"/>
        <v/>
      </c>
    </row>
    <row r="16" spans="1:7" x14ac:dyDescent="0.3">
      <c r="A16" t="s">
        <v>430</v>
      </c>
      <c r="B16" t="str">
        <f t="shared" si="0"/>
        <v>Aurora Borealis-Humberto Hernández</v>
      </c>
      <c r="C16" t="str">
        <f t="shared" si="1"/>
        <v>Humberto Hernández</v>
      </c>
      <c r="D16" t="str">
        <f t="shared" si="2"/>
        <v>Aurora Borealis</v>
      </c>
      <c r="E16" t="str">
        <f t="shared" si="3"/>
        <v>$240,000</v>
      </c>
      <c r="F16" t="str">
        <f t="shared" si="4"/>
        <v/>
      </c>
      <c r="G16" t="str">
        <f t="shared" si="5"/>
        <v/>
      </c>
    </row>
    <row r="17" spans="1:7" x14ac:dyDescent="0.3">
      <c r="A17" t="s">
        <v>431</v>
      </c>
      <c r="B17" t="str">
        <f t="shared" si="0"/>
        <v>Aurora Borealis-James Ostrander</v>
      </c>
      <c r="C17" t="str">
        <f t="shared" si="1"/>
        <v>James Ostrander</v>
      </c>
      <c r="D17" t="str">
        <f t="shared" si="2"/>
        <v>Aurora Borealis</v>
      </c>
      <c r="E17" t="str">
        <f t="shared" si="3"/>
        <v>$400,000</v>
      </c>
      <c r="F17" t="str">
        <f t="shared" si="4"/>
        <v/>
      </c>
      <c r="G17" t="str">
        <f t="shared" si="5"/>
        <v/>
      </c>
    </row>
    <row r="18" spans="1:7" x14ac:dyDescent="0.3">
      <c r="A18" t="s">
        <v>432</v>
      </c>
      <c r="B18" t="str">
        <f t="shared" si="0"/>
        <v>Bakersfield Bears-Haywood Riley</v>
      </c>
      <c r="C18" t="str">
        <f t="shared" si="1"/>
        <v>Haywood Riley</v>
      </c>
      <c r="D18" t="str">
        <f t="shared" si="2"/>
        <v>Bakersfield Bears</v>
      </c>
      <c r="E18" t="str">
        <f t="shared" si="3"/>
        <v>$350,000</v>
      </c>
      <c r="F18" t="str">
        <f t="shared" si="4"/>
        <v/>
      </c>
      <c r="G18" t="str">
        <f t="shared" si="5"/>
        <v/>
      </c>
    </row>
    <row r="19" spans="1:7" x14ac:dyDescent="0.3">
      <c r="A19" t="s">
        <v>433</v>
      </c>
      <c r="B19" t="str">
        <f t="shared" si="0"/>
        <v>Bakersfield Bears-Lenny Horrocks</v>
      </c>
      <c r="C19" t="str">
        <f t="shared" si="1"/>
        <v>Lenny Horrocks</v>
      </c>
      <c r="D19" t="str">
        <f t="shared" si="2"/>
        <v>Bakersfield Bears</v>
      </c>
      <c r="E19" t="str">
        <f t="shared" si="3"/>
        <v>$250,000</v>
      </c>
      <c r="F19" t="str">
        <f t="shared" si="4"/>
        <v/>
      </c>
      <c r="G19" t="str">
        <f t="shared" si="5"/>
        <v/>
      </c>
    </row>
    <row r="20" spans="1:7" x14ac:dyDescent="0.3">
      <c r="A20" t="s">
        <v>434</v>
      </c>
      <c r="B20" t="str">
        <f t="shared" si="0"/>
        <v>Duluth Warriors-Callum MacInnes</v>
      </c>
      <c r="C20" t="str">
        <f t="shared" si="1"/>
        <v>Callum MacInnes</v>
      </c>
      <c r="D20" t="str">
        <f t="shared" si="2"/>
        <v>Duluth Warriors</v>
      </c>
      <c r="E20" t="str">
        <f t="shared" si="3"/>
        <v>$140,000</v>
      </c>
      <c r="F20" t="str">
        <f t="shared" si="4"/>
        <v/>
      </c>
      <c r="G20" t="str">
        <f t="shared" si="5"/>
        <v/>
      </c>
    </row>
    <row r="21" spans="1:7" x14ac:dyDescent="0.3">
      <c r="A21" t="s">
        <v>435</v>
      </c>
      <c r="B21" t="str">
        <f t="shared" si="0"/>
        <v>Duluth Warriors-Paquito de la Cruz</v>
      </c>
      <c r="C21" t="str">
        <f t="shared" si="1"/>
        <v>Paquito de la Cruz</v>
      </c>
      <c r="D21" t="str">
        <f t="shared" si="2"/>
        <v>Duluth Warriors</v>
      </c>
      <c r="E21" t="str">
        <f t="shared" si="3"/>
        <v>$180,000</v>
      </c>
      <c r="F21" t="str">
        <f t="shared" si="4"/>
        <v/>
      </c>
      <c r="G21" t="str">
        <f t="shared" si="5"/>
        <v/>
      </c>
    </row>
    <row r="22" spans="1:7" x14ac:dyDescent="0.3">
      <c r="A22" t="s">
        <v>436</v>
      </c>
      <c r="B22" t="str">
        <f t="shared" si="0"/>
        <v>Fargo Dinosaurs-Alexander Ogilvy</v>
      </c>
      <c r="C22" t="str">
        <f t="shared" si="1"/>
        <v>Alexander Ogilvy</v>
      </c>
      <c r="D22" t="str">
        <f t="shared" si="2"/>
        <v>Fargo Dinosaurs</v>
      </c>
      <c r="E22" t="str">
        <f t="shared" si="3"/>
        <v>$190,000</v>
      </c>
      <c r="F22" t="str">
        <f t="shared" si="4"/>
        <v/>
      </c>
      <c r="G22" t="str">
        <f t="shared" si="5"/>
        <v/>
      </c>
    </row>
    <row r="23" spans="1:7" x14ac:dyDescent="0.3">
      <c r="A23" t="s">
        <v>437</v>
      </c>
      <c r="B23" t="str">
        <f t="shared" si="0"/>
        <v>Fargo Dinosaurs-Dave Dixon</v>
      </c>
      <c r="C23" t="str">
        <f t="shared" si="1"/>
        <v>Dave Dixon</v>
      </c>
      <c r="D23" t="str">
        <f t="shared" si="2"/>
        <v>Fargo Dinosaurs</v>
      </c>
      <c r="E23" t="str">
        <f t="shared" si="3"/>
        <v>$4,000,000</v>
      </c>
      <c r="F23" t="str">
        <f t="shared" si="4"/>
        <v/>
      </c>
      <c r="G23" t="str">
        <f t="shared" si="5"/>
        <v/>
      </c>
    </row>
    <row r="24" spans="1:7" x14ac:dyDescent="0.3">
      <c r="A24" t="s">
        <v>438</v>
      </c>
      <c r="B24" t="str">
        <f t="shared" si="0"/>
        <v>Fargo Dinosaurs-Kevin Kirkpatrick</v>
      </c>
      <c r="C24" t="str">
        <f t="shared" si="1"/>
        <v>Kevin Kirkpatrick</v>
      </c>
      <c r="D24" t="str">
        <f t="shared" si="2"/>
        <v>Fargo Dinosaurs</v>
      </c>
      <c r="E24" t="str">
        <f t="shared" si="3"/>
        <v>$460,000</v>
      </c>
      <c r="F24" t="str">
        <f t="shared" si="4"/>
        <v/>
      </c>
      <c r="G24" t="str">
        <f t="shared" si="5"/>
        <v/>
      </c>
    </row>
    <row r="25" spans="1:7" x14ac:dyDescent="0.3">
      <c r="A25" t="s">
        <v>439</v>
      </c>
      <c r="B25" t="str">
        <f t="shared" si="0"/>
        <v>Florida Featherheads-Bas Lorentz</v>
      </c>
      <c r="C25" t="str">
        <f t="shared" si="1"/>
        <v>Bas Lorentz</v>
      </c>
      <c r="D25" t="str">
        <f t="shared" si="2"/>
        <v>Florida Featherheads</v>
      </c>
      <c r="E25" t="str">
        <f t="shared" si="3"/>
        <v>$180,000</v>
      </c>
      <c r="F25" t="str">
        <f t="shared" si="4"/>
        <v/>
      </c>
      <c r="G25" t="str">
        <f t="shared" si="5"/>
        <v/>
      </c>
    </row>
    <row r="26" spans="1:7" x14ac:dyDescent="0.3">
      <c r="A26" t="s">
        <v>440</v>
      </c>
      <c r="B26" t="str">
        <f t="shared" si="0"/>
        <v>Florida Featherheads-Lou Drewery</v>
      </c>
      <c r="C26" t="str">
        <f t="shared" si="1"/>
        <v>Lou Drewery</v>
      </c>
      <c r="D26" t="str">
        <f t="shared" si="2"/>
        <v>Florida Featherheads</v>
      </c>
      <c r="E26" t="str">
        <f t="shared" si="3"/>
        <v>$2,200,000</v>
      </c>
      <c r="F26" t="str">
        <f t="shared" si="4"/>
        <v/>
      </c>
      <c r="G26" t="str">
        <f t="shared" si="5"/>
        <v/>
      </c>
    </row>
    <row r="27" spans="1:7" x14ac:dyDescent="0.3">
      <c r="A27" t="s">
        <v>441</v>
      </c>
      <c r="B27" t="str">
        <f t="shared" si="0"/>
        <v>Florida Featherheads-Mike Thompson</v>
      </c>
      <c r="C27" t="str">
        <f t="shared" si="1"/>
        <v>Mike Thompson</v>
      </c>
      <c r="D27" t="str">
        <f t="shared" si="2"/>
        <v>Florida Featherheads</v>
      </c>
      <c r="E27" t="str">
        <f t="shared" si="3"/>
        <v>$850,000</v>
      </c>
      <c r="F27" t="str">
        <f t="shared" si="4"/>
        <v/>
      </c>
      <c r="G27" t="str">
        <f t="shared" si="5"/>
        <v/>
      </c>
    </row>
    <row r="28" spans="1:7" x14ac:dyDescent="0.3">
      <c r="A28" t="s">
        <v>442</v>
      </c>
      <c r="B28" t="str">
        <f t="shared" si="0"/>
        <v>Florida Featherheads-Ryan Tate</v>
      </c>
      <c r="C28" t="str">
        <f t="shared" si="1"/>
        <v>Ryan Tate</v>
      </c>
      <c r="D28" t="str">
        <f t="shared" si="2"/>
        <v>Florida Featherheads</v>
      </c>
      <c r="E28" t="str">
        <f t="shared" si="3"/>
        <v>$4,400,000</v>
      </c>
      <c r="F28" t="str">
        <f t="shared" si="4"/>
        <v/>
      </c>
      <c r="G28" t="str">
        <f t="shared" si="5"/>
        <v/>
      </c>
    </row>
    <row r="29" spans="1:7" x14ac:dyDescent="0.3">
      <c r="A29" t="s">
        <v>443</v>
      </c>
      <c r="B29" t="str">
        <f t="shared" si="0"/>
        <v>Hartford Harpoon-Ed Black</v>
      </c>
      <c r="C29" t="str">
        <f t="shared" si="1"/>
        <v>Ed Black</v>
      </c>
      <c r="D29" t="str">
        <f t="shared" si="2"/>
        <v>Hartford Harpoon</v>
      </c>
      <c r="E29" t="str">
        <f t="shared" si="3"/>
        <v>$370,000</v>
      </c>
      <c r="F29" t="str">
        <f t="shared" si="4"/>
        <v/>
      </c>
      <c r="G29" t="str">
        <f t="shared" si="5"/>
        <v/>
      </c>
    </row>
    <row r="30" spans="1:7" x14ac:dyDescent="0.3">
      <c r="A30" t="s">
        <v>444</v>
      </c>
      <c r="B30" t="str">
        <f t="shared" si="0"/>
        <v>Havana Leones-Sean Makepeace</v>
      </c>
      <c r="C30" t="str">
        <f t="shared" si="1"/>
        <v>Sean Makepeace</v>
      </c>
      <c r="D30" t="str">
        <f t="shared" si="2"/>
        <v>Havana Leones</v>
      </c>
      <c r="E30" t="str">
        <f t="shared" si="3"/>
        <v>$600,000</v>
      </c>
      <c r="F30" t="str">
        <f t="shared" si="4"/>
        <v/>
      </c>
      <c r="G30" t="str">
        <f t="shared" si="5"/>
        <v/>
      </c>
    </row>
    <row r="31" spans="1:7" x14ac:dyDescent="0.3">
      <c r="A31" t="s">
        <v>445</v>
      </c>
      <c r="B31" t="str">
        <f t="shared" si="0"/>
        <v>Kalamazoo Badgers-Alex Payne</v>
      </c>
      <c r="C31" t="str">
        <f t="shared" si="1"/>
        <v>Alex Payne</v>
      </c>
      <c r="D31" t="str">
        <f t="shared" si="2"/>
        <v>Kalamazoo Badgers</v>
      </c>
      <c r="E31" t="str">
        <f t="shared" si="3"/>
        <v>$220,000</v>
      </c>
      <c r="F31" t="str">
        <f t="shared" si="4"/>
        <v/>
      </c>
      <c r="G31" t="str">
        <f t="shared" si="5"/>
        <v/>
      </c>
    </row>
    <row r="32" spans="1:7" x14ac:dyDescent="0.3">
      <c r="A32" t="s">
        <v>446</v>
      </c>
      <c r="B32" t="str">
        <f t="shared" si="0"/>
        <v>Kalamazoo Badgers-Ogai Ono</v>
      </c>
      <c r="C32" t="str">
        <f t="shared" si="1"/>
        <v>Ogai Ono</v>
      </c>
      <c r="D32" t="str">
        <f t="shared" si="2"/>
        <v>Kalamazoo Badgers</v>
      </c>
      <c r="E32" t="str">
        <f t="shared" si="3"/>
        <v>$2,000,000</v>
      </c>
      <c r="F32" t="str">
        <f t="shared" si="4"/>
        <v/>
      </c>
      <c r="G32" t="str">
        <f t="shared" si="5"/>
        <v/>
      </c>
    </row>
    <row r="33" spans="1:7" x14ac:dyDescent="0.3">
      <c r="A33" t="s">
        <v>447</v>
      </c>
      <c r="B33" t="str">
        <f t="shared" si="0"/>
        <v>Kentucky Thoroughbreds-Ánibal Delgado</v>
      </c>
      <c r="C33" t="str">
        <f t="shared" si="1"/>
        <v>Ánibal Delgado</v>
      </c>
      <c r="D33" t="str">
        <f t="shared" si="2"/>
        <v>Kentucky Thoroughbreds</v>
      </c>
      <c r="E33" t="str">
        <f t="shared" si="3"/>
        <v>$500,000</v>
      </c>
      <c r="F33" t="str">
        <f t="shared" si="4"/>
        <v/>
      </c>
      <c r="G33" t="str">
        <f t="shared" si="5"/>
        <v/>
      </c>
    </row>
    <row r="34" spans="1:7" x14ac:dyDescent="0.3">
      <c r="A34" t="s">
        <v>448</v>
      </c>
      <c r="B34" t="str">
        <f t="shared" si="0"/>
        <v>Kentucky Thoroughbreds-José Mora</v>
      </c>
      <c r="C34" t="str">
        <f t="shared" si="1"/>
        <v>José Mora</v>
      </c>
      <c r="D34" t="str">
        <f t="shared" si="2"/>
        <v>Kentucky Thoroughbreds</v>
      </c>
      <c r="E34" t="str">
        <f t="shared" si="3"/>
        <v>$1,800,000</v>
      </c>
      <c r="F34" t="str">
        <f t="shared" si="4"/>
        <v/>
      </c>
      <c r="G34" t="str">
        <f t="shared" si="5"/>
        <v/>
      </c>
    </row>
    <row r="35" spans="1:7" x14ac:dyDescent="0.3">
      <c r="A35" t="s">
        <v>449</v>
      </c>
      <c r="B35" t="str">
        <f t="shared" si="0"/>
        <v>London Underground-Duane Moss</v>
      </c>
      <c r="C35" t="str">
        <f t="shared" si="1"/>
        <v>Duane Moss</v>
      </c>
      <c r="D35" t="str">
        <f t="shared" si="2"/>
        <v>London Underground</v>
      </c>
      <c r="E35" t="str">
        <f t="shared" si="3"/>
        <v>$4,500,000</v>
      </c>
      <c r="F35" t="str">
        <f t="shared" si="4"/>
        <v/>
      </c>
      <c r="G35" t="str">
        <f t="shared" si="5"/>
        <v/>
      </c>
    </row>
    <row r="36" spans="1:7" x14ac:dyDescent="0.3">
      <c r="A36" t="s">
        <v>450</v>
      </c>
      <c r="B36" t="str">
        <f t="shared" si="0"/>
        <v>London Underground-Roberto Alaniz</v>
      </c>
      <c r="C36" t="str">
        <f t="shared" si="1"/>
        <v>Roberto Alaniz</v>
      </c>
      <c r="D36" t="str">
        <f t="shared" si="2"/>
        <v>London Underground</v>
      </c>
      <c r="E36" t="str">
        <f t="shared" si="3"/>
        <v>$220,000</v>
      </c>
      <c r="F36" t="str">
        <f t="shared" si="4"/>
        <v/>
      </c>
      <c r="G36" t="str">
        <f t="shared" si="5"/>
        <v/>
      </c>
    </row>
    <row r="37" spans="1:7" x14ac:dyDescent="0.3">
      <c r="A37" t="s">
        <v>451</v>
      </c>
      <c r="B37" t="str">
        <f t="shared" si="0"/>
        <v>Neo-Tokyo Akira-António Bonilla</v>
      </c>
      <c r="C37" t="str">
        <f t="shared" si="1"/>
        <v>António Bonilla</v>
      </c>
      <c r="D37" t="str">
        <f t="shared" si="2"/>
        <v>Neo-Tokyo Akira</v>
      </c>
      <c r="E37" t="str">
        <f t="shared" si="3"/>
        <v>$140,000</v>
      </c>
      <c r="F37" t="str">
        <f t="shared" si="4"/>
        <v/>
      </c>
      <c r="G37" t="str">
        <f t="shared" si="5"/>
        <v/>
      </c>
    </row>
    <row r="38" spans="1:7" x14ac:dyDescent="0.3">
      <c r="A38" t="s">
        <v>452</v>
      </c>
      <c r="B38" t="str">
        <f t="shared" si="0"/>
        <v>Neo-Tokyo Akira-Ben Wallace</v>
      </c>
      <c r="C38" t="str">
        <f t="shared" si="1"/>
        <v>Ben Wallace</v>
      </c>
      <c r="D38" t="str">
        <f t="shared" si="2"/>
        <v>Neo-Tokyo Akira</v>
      </c>
      <c r="E38" t="str">
        <f t="shared" si="3"/>
        <v>$300,000</v>
      </c>
      <c r="F38" t="str">
        <f t="shared" si="4"/>
        <v/>
      </c>
      <c r="G38" t="str">
        <f t="shared" si="5"/>
        <v/>
      </c>
    </row>
    <row r="39" spans="1:7" x14ac:dyDescent="0.3">
      <c r="A39" t="s">
        <v>453</v>
      </c>
      <c r="B39" t="str">
        <f t="shared" si="0"/>
        <v>Neo-Tokyo Akira-Ernesto Martínez</v>
      </c>
      <c r="C39" t="str">
        <f t="shared" si="1"/>
        <v>Ernesto Martínez</v>
      </c>
      <c r="D39" t="str">
        <f t="shared" si="2"/>
        <v>Neo-Tokyo Akira</v>
      </c>
      <c r="E39" t="str">
        <f t="shared" si="3"/>
        <v>$1,520,000</v>
      </c>
      <c r="F39" t="str">
        <f t="shared" si="4"/>
        <v/>
      </c>
      <c r="G39" t="str">
        <f t="shared" si="5"/>
        <v/>
      </c>
    </row>
    <row r="40" spans="1:7" x14ac:dyDescent="0.3">
      <c r="A40" t="s">
        <v>454</v>
      </c>
      <c r="B40" t="str">
        <f t="shared" si="0"/>
        <v>Neo-Tokyo Akira-Jake Conrad</v>
      </c>
      <c r="C40" t="str">
        <f t="shared" si="1"/>
        <v>Jake Conrad</v>
      </c>
      <c r="D40" t="str">
        <f t="shared" si="2"/>
        <v>Neo-Tokyo Akira</v>
      </c>
      <c r="E40" t="str">
        <f t="shared" si="3"/>
        <v>$200,000</v>
      </c>
      <c r="F40" t="str">
        <f t="shared" si="4"/>
        <v/>
      </c>
      <c r="G40" t="str">
        <f t="shared" si="5"/>
        <v/>
      </c>
    </row>
    <row r="41" spans="1:7" x14ac:dyDescent="0.3">
      <c r="A41" t="s">
        <v>455</v>
      </c>
      <c r="B41" t="str">
        <f t="shared" si="0"/>
        <v>New Orleans Trendsetters-Jason King</v>
      </c>
      <c r="C41" t="str">
        <f t="shared" si="1"/>
        <v>Jason King</v>
      </c>
      <c r="D41" t="str">
        <f t="shared" si="2"/>
        <v>New Orleans Trendsetters</v>
      </c>
      <c r="E41" t="str">
        <f t="shared" si="3"/>
        <v>$500,000</v>
      </c>
      <c r="F41" t="str">
        <f t="shared" si="4"/>
        <v/>
      </c>
      <c r="G41" t="str">
        <f t="shared" si="5"/>
        <v/>
      </c>
    </row>
    <row r="42" spans="1:7" x14ac:dyDescent="0.3">
      <c r="A42" t="s">
        <v>456</v>
      </c>
      <c r="B42" t="str">
        <f t="shared" si="0"/>
        <v>New Orleans Trendsetters-Júlio Nieves</v>
      </c>
      <c r="C42" t="str">
        <f t="shared" si="1"/>
        <v>Júlio Nieves</v>
      </c>
      <c r="D42" t="str">
        <f t="shared" si="2"/>
        <v>New Orleans Trendsetters</v>
      </c>
      <c r="E42" t="str">
        <f t="shared" si="3"/>
        <v>$2,500,000</v>
      </c>
      <c r="F42" t="str">
        <f t="shared" si="4"/>
        <v/>
      </c>
      <c r="G42" t="str">
        <f t="shared" si="5"/>
        <v/>
      </c>
    </row>
    <row r="43" spans="1:7" x14ac:dyDescent="0.3">
      <c r="A43" t="s">
        <v>457</v>
      </c>
      <c r="B43" t="str">
        <f t="shared" si="0"/>
        <v>New Orleans Trendsetters-Naizen Kato</v>
      </c>
      <c r="C43" t="str">
        <f t="shared" si="1"/>
        <v>Naizen Kato</v>
      </c>
      <c r="D43" t="str">
        <f t="shared" si="2"/>
        <v>New Orleans Trendsetters</v>
      </c>
      <c r="E43" t="str">
        <f t="shared" si="3"/>
        <v>$300,000</v>
      </c>
      <c r="F43" t="str">
        <f t="shared" si="4"/>
        <v/>
      </c>
      <c r="G43" t="str">
        <f t="shared" si="5"/>
        <v/>
      </c>
    </row>
    <row r="44" spans="1:7" x14ac:dyDescent="0.3">
      <c r="A44" t="s">
        <v>458</v>
      </c>
      <c r="B44" t="str">
        <f t="shared" si="0"/>
        <v>New Orleans Trendsetters-Toby Woods</v>
      </c>
      <c r="C44" t="str">
        <f t="shared" si="1"/>
        <v>Toby Woods</v>
      </c>
      <c r="D44" t="str">
        <f t="shared" si="2"/>
        <v>New Orleans Trendsetters</v>
      </c>
      <c r="E44" t="str">
        <f t="shared" si="3"/>
        <v>$350,000</v>
      </c>
      <c r="F44" t="str">
        <f t="shared" si="4"/>
        <v/>
      </c>
      <c r="G44" t="str">
        <f t="shared" si="5"/>
        <v/>
      </c>
    </row>
    <row r="45" spans="1:7" x14ac:dyDescent="0.3">
      <c r="A45" t="s">
        <v>459</v>
      </c>
      <c r="B45" t="str">
        <f t="shared" si="0"/>
        <v>Okinawa Shisa-César López</v>
      </c>
      <c r="C45" t="str">
        <f t="shared" si="1"/>
        <v>César López</v>
      </c>
      <c r="D45" t="str">
        <f t="shared" si="2"/>
        <v>Okinawa Shisa</v>
      </c>
      <c r="E45" t="str">
        <f t="shared" si="3"/>
        <v>$170,000</v>
      </c>
      <c r="F45" t="str">
        <f t="shared" si="4"/>
        <v/>
      </c>
      <c r="G45" t="str">
        <f t="shared" si="5"/>
        <v/>
      </c>
    </row>
    <row r="46" spans="1:7" x14ac:dyDescent="0.3">
      <c r="A46" t="s">
        <v>460</v>
      </c>
      <c r="B46" t="str">
        <f t="shared" si="0"/>
        <v>Okinawa Shisa-Yoshiki Ikeda</v>
      </c>
      <c r="C46" t="str">
        <f t="shared" si="1"/>
        <v>Yoshiki Ikeda</v>
      </c>
      <c r="D46" t="str">
        <f t="shared" si="2"/>
        <v>Okinawa Shisa</v>
      </c>
      <c r="E46" t="str">
        <f t="shared" si="3"/>
        <v>$150,000</v>
      </c>
      <c r="F46" t="str">
        <f t="shared" si="4"/>
        <v/>
      </c>
      <c r="G46" t="str">
        <f t="shared" si="5"/>
        <v/>
      </c>
    </row>
    <row r="47" spans="1:7" x14ac:dyDescent="0.3">
      <c r="A47" t="s">
        <v>461</v>
      </c>
      <c r="B47" t="str">
        <f t="shared" si="0"/>
        <v>Reno Zephyrs-Geert Neefs</v>
      </c>
      <c r="C47" t="str">
        <f t="shared" si="1"/>
        <v>Geert Neefs</v>
      </c>
      <c r="D47" t="str">
        <f t="shared" si="2"/>
        <v>Reno Zephyrs</v>
      </c>
      <c r="E47" t="str">
        <f t="shared" si="3"/>
        <v>$350,000</v>
      </c>
      <c r="F47" t="str">
        <f t="shared" si="4"/>
        <v/>
      </c>
      <c r="G47" t="str">
        <f t="shared" si="5"/>
        <v/>
      </c>
    </row>
    <row r="48" spans="1:7" x14ac:dyDescent="0.3">
      <c r="A48" t="s">
        <v>462</v>
      </c>
      <c r="B48" t="str">
        <f t="shared" si="0"/>
        <v>Reno Zephyrs-Jorge Hart</v>
      </c>
      <c r="C48" t="str">
        <f t="shared" si="1"/>
        <v>Jorge Hart</v>
      </c>
      <c r="D48" t="str">
        <f t="shared" si="2"/>
        <v>Reno Zephyrs</v>
      </c>
      <c r="E48" t="str">
        <f t="shared" si="3"/>
        <v>$220,000</v>
      </c>
      <c r="F48" t="str">
        <f t="shared" si="4"/>
        <v/>
      </c>
      <c r="G48" t="str">
        <f t="shared" si="5"/>
        <v/>
      </c>
    </row>
    <row r="49" spans="1:7" x14ac:dyDescent="0.3">
      <c r="A49" t="s">
        <v>463</v>
      </c>
      <c r="B49" t="str">
        <f t="shared" si="0"/>
        <v>San Juan Coqui-Simon Eykelbosch</v>
      </c>
      <c r="C49" t="str">
        <f t="shared" si="1"/>
        <v>Simon Eykelbosch</v>
      </c>
      <c r="D49" t="str">
        <f t="shared" si="2"/>
        <v>San Juan Coqui</v>
      </c>
      <c r="E49" t="str">
        <f t="shared" si="3"/>
        <v>$1,000,000</v>
      </c>
      <c r="F49" t="str">
        <f t="shared" si="4"/>
        <v/>
      </c>
      <c r="G49" t="str">
        <f t="shared" si="5"/>
        <v/>
      </c>
    </row>
    <row r="50" spans="1:7" x14ac:dyDescent="0.3">
      <c r="A50" t="s">
        <v>464</v>
      </c>
      <c r="B50" t="str">
        <f t="shared" si="0"/>
        <v>Scottish Claymores-Corbin King</v>
      </c>
      <c r="C50" t="str">
        <f t="shared" si="1"/>
        <v>Corbin King</v>
      </c>
      <c r="D50" t="str">
        <f t="shared" si="2"/>
        <v>Scottish Claymores</v>
      </c>
      <c r="E50" t="str">
        <f t="shared" si="3"/>
        <v>$140,000</v>
      </c>
      <c r="F50" t="str">
        <f t="shared" si="4"/>
        <v/>
      </c>
      <c r="G50" t="str">
        <f t="shared" si="5"/>
        <v/>
      </c>
    </row>
    <row r="51" spans="1:7" x14ac:dyDescent="0.3">
      <c r="A51" t="s">
        <v>465</v>
      </c>
      <c r="B51" t="str">
        <f t="shared" si="0"/>
        <v>Shin Seiki Evas-Nolan McMahon</v>
      </c>
      <c r="C51" t="str">
        <f t="shared" si="1"/>
        <v>Nolan McMahon</v>
      </c>
      <c r="D51" t="str">
        <f t="shared" si="2"/>
        <v>Shin Seiki Evas</v>
      </c>
      <c r="E51" t="str">
        <f t="shared" si="3"/>
        <v>$250,000</v>
      </c>
      <c r="F51" t="str">
        <f t="shared" si="4"/>
        <v/>
      </c>
      <c r="G51" t="str">
        <f t="shared" si="5"/>
        <v/>
      </c>
    </row>
    <row r="52" spans="1:7" x14ac:dyDescent="0.3">
      <c r="A52" t="s">
        <v>466</v>
      </c>
      <c r="B52" t="str">
        <f t="shared" si="0"/>
        <v>Shin Seiki Evas-Ronald Turner</v>
      </c>
      <c r="C52" t="str">
        <f t="shared" si="1"/>
        <v>Ronald Turner</v>
      </c>
      <c r="D52" t="str">
        <f t="shared" si="2"/>
        <v>Shin Seiki Evas</v>
      </c>
      <c r="E52" t="str">
        <f t="shared" si="3"/>
        <v>$950,000</v>
      </c>
      <c r="F52" t="str">
        <f t="shared" si="4"/>
        <v/>
      </c>
      <c r="G52" t="str">
        <f t="shared" si="5"/>
        <v/>
      </c>
    </row>
    <row r="53" spans="1:7" x14ac:dyDescent="0.3">
      <c r="A53" t="s">
        <v>467</v>
      </c>
      <c r="B53" t="str">
        <f t="shared" si="0"/>
        <v>Toyama Wind Dancers-Juan Encarnación</v>
      </c>
      <c r="C53" t="str">
        <f t="shared" si="1"/>
        <v>Juan Encarnación</v>
      </c>
      <c r="D53" t="str">
        <f t="shared" si="2"/>
        <v>Toyama Wind Dancers</v>
      </c>
      <c r="E53" t="str">
        <f t="shared" si="3"/>
        <v>$320,000</v>
      </c>
      <c r="F53" t="str">
        <f t="shared" si="4"/>
        <v/>
      </c>
      <c r="G53" t="str">
        <f t="shared" si="5"/>
        <v/>
      </c>
    </row>
    <row r="54" spans="1:7" x14ac:dyDescent="0.3">
      <c r="A54" t="s">
        <v>468</v>
      </c>
      <c r="B54" t="str">
        <f t="shared" si="0"/>
        <v>Toyama Wind Dancers-Neal Roach</v>
      </c>
      <c r="C54" t="str">
        <f t="shared" si="1"/>
        <v>Neal Roach</v>
      </c>
      <c r="D54" t="str">
        <f t="shared" si="2"/>
        <v>Toyama Wind Dancers</v>
      </c>
      <c r="E54" t="str">
        <f t="shared" si="3"/>
        <v>$140,000</v>
      </c>
      <c r="F54" t="str">
        <f t="shared" si="4"/>
        <v/>
      </c>
      <c r="G54" t="str">
        <f t="shared" si="5"/>
        <v/>
      </c>
    </row>
    <row r="55" spans="1:7" x14ac:dyDescent="0.3">
      <c r="A55" t="s">
        <v>469</v>
      </c>
      <c r="B55" t="str">
        <f t="shared" si="0"/>
        <v>Toyama Wind Dancers-Zenko Okada</v>
      </c>
      <c r="C55" t="str">
        <f t="shared" si="1"/>
        <v>Zenko Okada</v>
      </c>
      <c r="D55" t="str">
        <f t="shared" si="2"/>
        <v>Toyama Wind Dancers</v>
      </c>
      <c r="E55" t="str">
        <f t="shared" si="3"/>
        <v>$2,600,000</v>
      </c>
      <c r="F55" t="str">
        <f t="shared" si="4"/>
        <v/>
      </c>
      <c r="G55" t="str">
        <f t="shared" si="5"/>
        <v/>
      </c>
    </row>
    <row r="56" spans="1:7" x14ac:dyDescent="0.3">
      <c r="A56" t="s">
        <v>470</v>
      </c>
      <c r="B56" t="str">
        <f t="shared" si="0"/>
        <v>West Virginia Alleghenies-David Lawson</v>
      </c>
      <c r="C56" t="str">
        <f t="shared" si="1"/>
        <v>David Lawson</v>
      </c>
      <c r="D56" t="str">
        <f t="shared" si="2"/>
        <v>West Virginia Alleghenies</v>
      </c>
      <c r="E56" t="str">
        <f t="shared" si="3"/>
        <v>$140,000</v>
      </c>
      <c r="F56" t="str">
        <f t="shared" si="4"/>
        <v/>
      </c>
      <c r="G56" t="str">
        <f t="shared" si="5"/>
        <v/>
      </c>
    </row>
    <row r="57" spans="1:7" x14ac:dyDescent="0.3">
      <c r="A57" t="s">
        <v>471</v>
      </c>
      <c r="B57" t="str">
        <f t="shared" si="0"/>
        <v>West Virginia Alleghenies-Mason Gallagher</v>
      </c>
      <c r="C57" t="str">
        <f t="shared" si="1"/>
        <v>Mason Gallagher</v>
      </c>
      <c r="D57" t="str">
        <f t="shared" si="2"/>
        <v>West Virginia Alleghenies</v>
      </c>
      <c r="E57" t="str">
        <f t="shared" si="3"/>
        <v>$440,000</v>
      </c>
      <c r="F57" t="str">
        <f t="shared" si="4"/>
        <v/>
      </c>
      <c r="G57" t="str">
        <f t="shared" si="5"/>
        <v/>
      </c>
    </row>
    <row r="58" spans="1:7" x14ac:dyDescent="0.3">
      <c r="A58" t="s">
        <v>472</v>
      </c>
      <c r="B58" t="str">
        <f t="shared" si="0"/>
        <v>Yuma Bulldozers-Bryan Lee</v>
      </c>
      <c r="C58" t="str">
        <f t="shared" si="1"/>
        <v>Bryan Lee</v>
      </c>
      <c r="D58" t="str">
        <f t="shared" si="2"/>
        <v>Yuma Bulldozers</v>
      </c>
      <c r="E58" t="str">
        <f t="shared" si="3"/>
        <v>$3,000,000</v>
      </c>
      <c r="F58" t="str">
        <f t="shared" si="4"/>
        <v/>
      </c>
      <c r="G58" t="str">
        <f t="shared" si="5"/>
        <v/>
      </c>
    </row>
    <row r="59" spans="1:7" x14ac:dyDescent="0.3">
      <c r="A59" t="s">
        <v>473</v>
      </c>
      <c r="B59" t="str">
        <f t="shared" si="0"/>
        <v>Yuma Bulldozers-Gus Meikleham</v>
      </c>
      <c r="C59" t="str">
        <f t="shared" si="1"/>
        <v>Gus Meikleham</v>
      </c>
      <c r="D59" t="str">
        <f t="shared" si="2"/>
        <v>Yuma Bulldozers</v>
      </c>
      <c r="E59" t="str">
        <f t="shared" si="3"/>
        <v>$300,000</v>
      </c>
      <c r="F59" t="str">
        <f t="shared" si="4"/>
        <v/>
      </c>
      <c r="G59" t="str">
        <f t="shared" si="5"/>
        <v/>
      </c>
    </row>
    <row r="60" spans="1:7" x14ac:dyDescent="0.3">
      <c r="A60" t="s">
        <v>474</v>
      </c>
      <c r="B60" t="str">
        <f t="shared" si="0"/>
        <v>Yuma Bulldozers-John Winters</v>
      </c>
      <c r="C60" t="str">
        <f t="shared" si="1"/>
        <v>John Winters</v>
      </c>
      <c r="D60" t="str">
        <f t="shared" si="2"/>
        <v>Yuma Bulldozers</v>
      </c>
      <c r="E60" t="str">
        <f t="shared" si="3"/>
        <v>$300,000</v>
      </c>
      <c r="F60" t="str">
        <f t="shared" si="4"/>
        <v/>
      </c>
      <c r="G60" t="str">
        <f t="shared" si="5"/>
        <v/>
      </c>
    </row>
    <row r="61" spans="1:7" x14ac:dyDescent="0.3">
      <c r="A61" t="s">
        <v>475</v>
      </c>
      <c r="B61" t="str">
        <f t="shared" si="0"/>
        <v>Yuma Bulldozers-Ryan Coyfe</v>
      </c>
      <c r="C61" t="str">
        <f t="shared" si="1"/>
        <v>Ryan Coyfe</v>
      </c>
      <c r="D61" t="str">
        <f t="shared" si="2"/>
        <v>Yuma Bulldozers</v>
      </c>
      <c r="E61" t="str">
        <f t="shared" si="3"/>
        <v>$500,000</v>
      </c>
      <c r="F61" t="str">
        <f t="shared" si="4"/>
        <v/>
      </c>
      <c r="G61" t="str">
        <f t="shared" si="5"/>
        <v/>
      </c>
    </row>
    <row r="62" spans="1:7" x14ac:dyDescent="0.3">
      <c r="B62" t="e">
        <f t="shared" si="0"/>
        <v>#VALUE!</v>
      </c>
      <c r="C62" t="e">
        <f t="shared" si="1"/>
        <v>#VALUE!</v>
      </c>
      <c r="D62" t="e">
        <f t="shared" si="2"/>
        <v>#VALUE!</v>
      </c>
      <c r="E62" t="e">
        <f t="shared" si="3"/>
        <v>#VALUE!</v>
      </c>
      <c r="F62" t="str">
        <f t="shared" si="4"/>
        <v/>
      </c>
      <c r="G62" t="str">
        <f t="shared" si="5"/>
        <v/>
      </c>
    </row>
    <row r="63" spans="1:7" x14ac:dyDescent="0.3">
      <c r="B63" t="e">
        <f t="shared" si="0"/>
        <v>#VALUE!</v>
      </c>
      <c r="C63" t="e">
        <f t="shared" si="1"/>
        <v>#VALUE!</v>
      </c>
      <c r="D63" t="e">
        <f t="shared" si="2"/>
        <v>#VALUE!</v>
      </c>
      <c r="E63" t="e">
        <f t="shared" si="3"/>
        <v>#VALUE!</v>
      </c>
      <c r="F63" t="str">
        <f t="shared" si="4"/>
        <v/>
      </c>
      <c r="G63" t="str">
        <f t="shared" si="5"/>
        <v/>
      </c>
    </row>
    <row r="64" spans="1:7" x14ac:dyDescent="0.3">
      <c r="B64" t="e">
        <f t="shared" si="0"/>
        <v>#VALUE!</v>
      </c>
      <c r="C64" t="e">
        <f t="shared" si="1"/>
        <v>#VALUE!</v>
      </c>
      <c r="D64" t="e">
        <f t="shared" si="2"/>
        <v>#VALUE!</v>
      </c>
      <c r="E64" t="e">
        <f t="shared" si="3"/>
        <v>#VALUE!</v>
      </c>
      <c r="F64" t="str">
        <f t="shared" si="4"/>
        <v/>
      </c>
      <c r="G64" t="str">
        <f t="shared" si="5"/>
        <v/>
      </c>
    </row>
    <row r="65" spans="2:7" x14ac:dyDescent="0.3">
      <c r="B65" t="e">
        <f t="shared" si="0"/>
        <v>#VALUE!</v>
      </c>
      <c r="C65" t="e">
        <f t="shared" si="1"/>
        <v>#VALUE!</v>
      </c>
      <c r="D65" t="e">
        <f t="shared" si="2"/>
        <v>#VALUE!</v>
      </c>
      <c r="E65" t="e">
        <f t="shared" si="3"/>
        <v>#VALUE!</v>
      </c>
      <c r="F65" t="str">
        <f t="shared" si="4"/>
        <v/>
      </c>
      <c r="G65" t="str">
        <f t="shared" si="5"/>
        <v/>
      </c>
    </row>
    <row r="66" spans="2:7" x14ac:dyDescent="0.3">
      <c r="B66" t="e">
        <f t="shared" si="0"/>
        <v>#VALUE!</v>
      </c>
      <c r="C66" t="e">
        <f t="shared" si="1"/>
        <v>#VALUE!</v>
      </c>
      <c r="D66" t="e">
        <f t="shared" si="2"/>
        <v>#VALUE!</v>
      </c>
      <c r="E66" t="e">
        <f t="shared" si="3"/>
        <v>#VALUE!</v>
      </c>
      <c r="F66" t="str">
        <f t="shared" si="4"/>
        <v/>
      </c>
      <c r="G66" t="str">
        <f t="shared" si="5"/>
        <v/>
      </c>
    </row>
    <row r="67" spans="2:7" x14ac:dyDescent="0.3">
      <c r="B67" t="e">
        <f t="shared" si="0"/>
        <v>#VALUE!</v>
      </c>
      <c r="C67" t="e">
        <f t="shared" si="1"/>
        <v>#VALUE!</v>
      </c>
      <c r="D67" t="e">
        <f t="shared" si="2"/>
        <v>#VALUE!</v>
      </c>
      <c r="E67" t="e">
        <f t="shared" si="3"/>
        <v>#VALUE!</v>
      </c>
      <c r="F67" t="str">
        <f t="shared" si="4"/>
        <v/>
      </c>
      <c r="G67" t="str">
        <f t="shared" si="5"/>
        <v/>
      </c>
    </row>
    <row r="68" spans="2:7" x14ac:dyDescent="0.3">
      <c r="B68" t="e">
        <f t="shared" si="0"/>
        <v>#VALUE!</v>
      </c>
      <c r="C68" t="e">
        <f t="shared" si="1"/>
        <v>#VALUE!</v>
      </c>
      <c r="D68" t="e">
        <f t="shared" si="2"/>
        <v>#VALUE!</v>
      </c>
      <c r="E68" t="e">
        <f t="shared" si="3"/>
        <v>#VALUE!</v>
      </c>
      <c r="F68" t="str">
        <f t="shared" si="4"/>
        <v/>
      </c>
      <c r="G68" t="str">
        <f t="shared" si="5"/>
        <v/>
      </c>
    </row>
    <row r="69" spans="2:7" x14ac:dyDescent="0.3">
      <c r="B69" t="e">
        <f t="shared" si="0"/>
        <v>#VALUE!</v>
      </c>
      <c r="C69" t="e">
        <f t="shared" si="1"/>
        <v>#VALUE!</v>
      </c>
      <c r="D69" t="e">
        <f t="shared" si="2"/>
        <v>#VALUE!</v>
      </c>
      <c r="E69" t="e">
        <f t="shared" si="3"/>
        <v>#VALUE!</v>
      </c>
      <c r="F69" t="str">
        <f t="shared" si="4"/>
        <v/>
      </c>
      <c r="G69" t="str">
        <f t="shared" si="5"/>
        <v/>
      </c>
    </row>
    <row r="70" spans="2:7" x14ac:dyDescent="0.3">
      <c r="B70" t="e">
        <f t="shared" si="0"/>
        <v>#VALUE!</v>
      </c>
      <c r="C70" t="e">
        <f t="shared" si="1"/>
        <v>#VALUE!</v>
      </c>
      <c r="D70" t="e">
        <f t="shared" si="2"/>
        <v>#VALUE!</v>
      </c>
      <c r="E70" t="e">
        <f t="shared" si="3"/>
        <v>#VALUE!</v>
      </c>
      <c r="F70" t="str">
        <f t="shared" si="4"/>
        <v/>
      </c>
      <c r="G70" t="str">
        <f t="shared" si="5"/>
        <v/>
      </c>
    </row>
    <row r="71" spans="2:7" x14ac:dyDescent="0.3">
      <c r="B71" t="e">
        <f t="shared" si="0"/>
        <v>#VALUE!</v>
      </c>
      <c r="C71" t="e">
        <f t="shared" si="1"/>
        <v>#VALUE!</v>
      </c>
      <c r="D71" t="e">
        <f t="shared" si="2"/>
        <v>#VALUE!</v>
      </c>
      <c r="E71" t="e">
        <f t="shared" si="3"/>
        <v>#VALUE!</v>
      </c>
      <c r="F71" t="str">
        <f t="shared" si="4"/>
        <v/>
      </c>
      <c r="G71" t="str">
        <f t="shared" si="5"/>
        <v/>
      </c>
    </row>
    <row r="72" spans="2:7" x14ac:dyDescent="0.3">
      <c r="B72" t="e">
        <f t="shared" si="0"/>
        <v>#VALUE!</v>
      </c>
      <c r="C72" t="e">
        <f t="shared" si="1"/>
        <v>#VALUE!</v>
      </c>
      <c r="D72" t="e">
        <f t="shared" si="2"/>
        <v>#VALUE!</v>
      </c>
      <c r="E72" t="e">
        <f t="shared" si="3"/>
        <v>#VALUE!</v>
      </c>
      <c r="F72" t="str">
        <f t="shared" si="4"/>
        <v/>
      </c>
      <c r="G72" t="str">
        <f t="shared" si="5"/>
        <v/>
      </c>
    </row>
    <row r="73" spans="2:7" x14ac:dyDescent="0.3">
      <c r="B73" t="e">
        <f t="shared" ref="B73:B106" si="6">D73&amp;"-"&amp;C73</f>
        <v>#VALUE!</v>
      </c>
      <c r="C73" t="e">
        <f t="shared" ref="C73:C106" si="7">MID(A73,FIND("Signed",A73)+7,FIND("to a minor",A73)-FIND("Signed",A73)-8)</f>
        <v>#VALUE!</v>
      </c>
      <c r="D73" t="e">
        <f t="shared" ref="D73:D106" si="8">MID($A73,1,FIND(":",$A73)-1)</f>
        <v>#VALUE!</v>
      </c>
      <c r="E73" t="e">
        <f t="shared" ref="E73:E106" si="9">IF(ISERROR(FIND("major league contract",$A73)),MID($A73,FIND("$",$A73),FIND(".",$A73,FIND("$",$A73))-FIND("$",$A73)),MID($A73,FIND("$",$A73),FIND(" ",$A73,FIND("$",$A73))-FIND("$",$A73)))</f>
        <v>#VALUE!</v>
      </c>
      <c r="F73" t="str">
        <f t="shared" ref="F73:F106" si="10">IF(ISERROR(FIND("major league contract",$A73)),"",MID($A73,FIND("major league contract",$A73)+39,LEN($A73)-FIND("major league contract",$A73)-39))</f>
        <v/>
      </c>
      <c r="G73" t="str">
        <f t="shared" ref="G73:G106" si="11">IF(ISERROR(FIND("major league contract",$A73)),"",MID($A73,FIND("major league contract",$A73)-7,1))</f>
        <v/>
      </c>
    </row>
    <row r="74" spans="2:7" x14ac:dyDescent="0.3">
      <c r="B74" t="e">
        <f t="shared" si="6"/>
        <v>#VALUE!</v>
      </c>
      <c r="C74" t="e">
        <f t="shared" si="7"/>
        <v>#VALUE!</v>
      </c>
      <c r="D74" t="e">
        <f t="shared" si="8"/>
        <v>#VALUE!</v>
      </c>
      <c r="E74" t="e">
        <f t="shared" si="9"/>
        <v>#VALUE!</v>
      </c>
      <c r="F74" t="str">
        <f t="shared" si="10"/>
        <v/>
      </c>
      <c r="G74" t="str">
        <f t="shared" si="11"/>
        <v/>
      </c>
    </row>
    <row r="75" spans="2:7" x14ac:dyDescent="0.3">
      <c r="B75" t="e">
        <f t="shared" si="6"/>
        <v>#VALUE!</v>
      </c>
      <c r="C75" t="e">
        <f t="shared" si="7"/>
        <v>#VALUE!</v>
      </c>
      <c r="D75" t="e">
        <f t="shared" si="8"/>
        <v>#VALUE!</v>
      </c>
      <c r="E75" t="e">
        <f t="shared" si="9"/>
        <v>#VALUE!</v>
      </c>
      <c r="F75" t="str">
        <f t="shared" si="10"/>
        <v/>
      </c>
      <c r="G75" t="str">
        <f t="shared" si="11"/>
        <v/>
      </c>
    </row>
    <row r="76" spans="2:7" x14ac:dyDescent="0.3">
      <c r="B76" t="e">
        <f t="shared" si="6"/>
        <v>#VALUE!</v>
      </c>
      <c r="C76" t="e">
        <f t="shared" si="7"/>
        <v>#VALUE!</v>
      </c>
      <c r="D76" t="e">
        <f t="shared" si="8"/>
        <v>#VALUE!</v>
      </c>
      <c r="E76" t="e">
        <f t="shared" si="9"/>
        <v>#VALUE!</v>
      </c>
      <c r="F76" t="str">
        <f t="shared" si="10"/>
        <v/>
      </c>
      <c r="G76" t="str">
        <f t="shared" si="11"/>
        <v/>
      </c>
    </row>
    <row r="77" spans="2:7" x14ac:dyDescent="0.3">
      <c r="B77" t="e">
        <f t="shared" si="6"/>
        <v>#VALUE!</v>
      </c>
      <c r="C77" t="e">
        <f t="shared" si="7"/>
        <v>#VALUE!</v>
      </c>
      <c r="D77" t="e">
        <f t="shared" si="8"/>
        <v>#VALUE!</v>
      </c>
      <c r="E77" t="e">
        <f t="shared" si="9"/>
        <v>#VALUE!</v>
      </c>
      <c r="F77" t="str">
        <f t="shared" si="10"/>
        <v/>
      </c>
      <c r="G77" t="str">
        <f t="shared" si="11"/>
        <v/>
      </c>
    </row>
    <row r="78" spans="2:7" x14ac:dyDescent="0.3">
      <c r="B78" t="e">
        <f t="shared" si="6"/>
        <v>#VALUE!</v>
      </c>
      <c r="C78" t="e">
        <f t="shared" si="7"/>
        <v>#VALUE!</v>
      </c>
      <c r="D78" t="e">
        <f t="shared" si="8"/>
        <v>#VALUE!</v>
      </c>
      <c r="E78" t="e">
        <f t="shared" si="9"/>
        <v>#VALUE!</v>
      </c>
      <c r="F78" t="str">
        <f t="shared" si="10"/>
        <v/>
      </c>
      <c r="G78" t="str">
        <f t="shared" si="11"/>
        <v/>
      </c>
    </row>
    <row r="79" spans="2:7" x14ac:dyDescent="0.3">
      <c r="B79" t="e">
        <f t="shared" si="6"/>
        <v>#VALUE!</v>
      </c>
      <c r="C79" t="e">
        <f t="shared" si="7"/>
        <v>#VALUE!</v>
      </c>
      <c r="D79" t="e">
        <f t="shared" si="8"/>
        <v>#VALUE!</v>
      </c>
      <c r="E79" t="e">
        <f t="shared" si="9"/>
        <v>#VALUE!</v>
      </c>
      <c r="F79" t="str">
        <f t="shared" si="10"/>
        <v/>
      </c>
      <c r="G79" t="str">
        <f t="shared" si="11"/>
        <v/>
      </c>
    </row>
    <row r="80" spans="2:7" x14ac:dyDescent="0.3">
      <c r="B80" t="e">
        <f t="shared" si="6"/>
        <v>#VALUE!</v>
      </c>
      <c r="C80" t="e">
        <f t="shared" si="7"/>
        <v>#VALUE!</v>
      </c>
      <c r="D80" t="e">
        <f t="shared" si="8"/>
        <v>#VALUE!</v>
      </c>
      <c r="E80" t="e">
        <f t="shared" si="9"/>
        <v>#VALUE!</v>
      </c>
      <c r="F80" t="str">
        <f t="shared" si="10"/>
        <v/>
      </c>
      <c r="G80" t="str">
        <f t="shared" si="11"/>
        <v/>
      </c>
    </row>
    <row r="81" spans="2:7" x14ac:dyDescent="0.3">
      <c r="B81" t="e">
        <f t="shared" si="6"/>
        <v>#VALUE!</v>
      </c>
      <c r="C81" t="e">
        <f t="shared" si="7"/>
        <v>#VALUE!</v>
      </c>
      <c r="D81" t="e">
        <f t="shared" si="8"/>
        <v>#VALUE!</v>
      </c>
      <c r="E81" t="e">
        <f t="shared" si="9"/>
        <v>#VALUE!</v>
      </c>
      <c r="F81" t="str">
        <f t="shared" si="10"/>
        <v/>
      </c>
      <c r="G81" t="str">
        <f t="shared" si="11"/>
        <v/>
      </c>
    </row>
    <row r="82" spans="2:7" x14ac:dyDescent="0.3">
      <c r="B82" t="e">
        <f t="shared" si="6"/>
        <v>#VALUE!</v>
      </c>
      <c r="C82" t="e">
        <f t="shared" si="7"/>
        <v>#VALUE!</v>
      </c>
      <c r="D82" t="e">
        <f t="shared" si="8"/>
        <v>#VALUE!</v>
      </c>
      <c r="E82" t="e">
        <f t="shared" si="9"/>
        <v>#VALUE!</v>
      </c>
      <c r="F82" t="str">
        <f t="shared" si="10"/>
        <v/>
      </c>
      <c r="G82" t="str">
        <f t="shared" si="11"/>
        <v/>
      </c>
    </row>
    <row r="83" spans="2:7" x14ac:dyDescent="0.3">
      <c r="B83" t="e">
        <f t="shared" si="6"/>
        <v>#VALUE!</v>
      </c>
      <c r="C83" t="e">
        <f t="shared" si="7"/>
        <v>#VALUE!</v>
      </c>
      <c r="D83" t="e">
        <f t="shared" si="8"/>
        <v>#VALUE!</v>
      </c>
      <c r="E83" t="e">
        <f t="shared" si="9"/>
        <v>#VALUE!</v>
      </c>
      <c r="F83" t="str">
        <f t="shared" si="10"/>
        <v/>
      </c>
      <c r="G83" t="str">
        <f t="shared" si="11"/>
        <v/>
      </c>
    </row>
    <row r="84" spans="2:7" x14ac:dyDescent="0.3">
      <c r="B84" t="e">
        <f t="shared" si="6"/>
        <v>#VALUE!</v>
      </c>
      <c r="C84" t="e">
        <f t="shared" si="7"/>
        <v>#VALUE!</v>
      </c>
      <c r="D84" t="e">
        <f t="shared" si="8"/>
        <v>#VALUE!</v>
      </c>
      <c r="E84" t="e">
        <f t="shared" si="9"/>
        <v>#VALUE!</v>
      </c>
      <c r="F84" t="str">
        <f t="shared" si="10"/>
        <v/>
      </c>
      <c r="G84" t="str">
        <f t="shared" si="11"/>
        <v/>
      </c>
    </row>
    <row r="85" spans="2:7" x14ac:dyDescent="0.3">
      <c r="B85" t="e">
        <f t="shared" si="6"/>
        <v>#VALUE!</v>
      </c>
      <c r="C85" t="e">
        <f t="shared" si="7"/>
        <v>#VALUE!</v>
      </c>
      <c r="D85" t="e">
        <f t="shared" si="8"/>
        <v>#VALUE!</v>
      </c>
      <c r="E85" t="e">
        <f t="shared" si="9"/>
        <v>#VALUE!</v>
      </c>
      <c r="F85" t="str">
        <f t="shared" si="10"/>
        <v/>
      </c>
      <c r="G85" t="str">
        <f t="shared" si="11"/>
        <v/>
      </c>
    </row>
    <row r="86" spans="2:7" x14ac:dyDescent="0.3">
      <c r="B86" t="e">
        <f t="shared" si="6"/>
        <v>#VALUE!</v>
      </c>
      <c r="C86" t="e">
        <f t="shared" si="7"/>
        <v>#VALUE!</v>
      </c>
      <c r="D86" t="e">
        <f t="shared" si="8"/>
        <v>#VALUE!</v>
      </c>
      <c r="E86" t="e">
        <f t="shared" si="9"/>
        <v>#VALUE!</v>
      </c>
      <c r="F86" t="str">
        <f t="shared" si="10"/>
        <v/>
      </c>
      <c r="G86" t="str">
        <f t="shared" si="11"/>
        <v/>
      </c>
    </row>
    <row r="87" spans="2:7" x14ac:dyDescent="0.3">
      <c r="B87" t="e">
        <f t="shared" si="6"/>
        <v>#VALUE!</v>
      </c>
      <c r="C87" t="e">
        <f t="shared" si="7"/>
        <v>#VALUE!</v>
      </c>
      <c r="D87" t="e">
        <f t="shared" si="8"/>
        <v>#VALUE!</v>
      </c>
      <c r="E87" t="e">
        <f t="shared" si="9"/>
        <v>#VALUE!</v>
      </c>
      <c r="F87" t="str">
        <f t="shared" si="10"/>
        <v/>
      </c>
      <c r="G87" t="str">
        <f t="shared" si="11"/>
        <v/>
      </c>
    </row>
    <row r="88" spans="2:7" x14ac:dyDescent="0.3">
      <c r="B88" t="e">
        <f t="shared" si="6"/>
        <v>#VALUE!</v>
      </c>
      <c r="C88" t="e">
        <f t="shared" si="7"/>
        <v>#VALUE!</v>
      </c>
      <c r="D88" t="e">
        <f t="shared" si="8"/>
        <v>#VALUE!</v>
      </c>
      <c r="E88" t="e">
        <f t="shared" si="9"/>
        <v>#VALUE!</v>
      </c>
      <c r="F88" t="str">
        <f t="shared" si="10"/>
        <v/>
      </c>
      <c r="G88" t="str">
        <f t="shared" si="11"/>
        <v/>
      </c>
    </row>
    <row r="89" spans="2:7" x14ac:dyDescent="0.3">
      <c r="B89" t="e">
        <f t="shared" si="6"/>
        <v>#VALUE!</v>
      </c>
      <c r="C89" t="e">
        <f t="shared" si="7"/>
        <v>#VALUE!</v>
      </c>
      <c r="D89" t="e">
        <f t="shared" si="8"/>
        <v>#VALUE!</v>
      </c>
      <c r="E89" t="e">
        <f t="shared" si="9"/>
        <v>#VALUE!</v>
      </c>
      <c r="F89" t="str">
        <f t="shared" si="10"/>
        <v/>
      </c>
      <c r="G89" t="str">
        <f t="shared" si="11"/>
        <v/>
      </c>
    </row>
    <row r="90" spans="2:7" x14ac:dyDescent="0.3">
      <c r="B90" t="e">
        <f t="shared" si="6"/>
        <v>#VALUE!</v>
      </c>
      <c r="C90" t="e">
        <f t="shared" si="7"/>
        <v>#VALUE!</v>
      </c>
      <c r="D90" t="e">
        <f t="shared" si="8"/>
        <v>#VALUE!</v>
      </c>
      <c r="E90" t="e">
        <f t="shared" si="9"/>
        <v>#VALUE!</v>
      </c>
      <c r="F90" t="str">
        <f t="shared" si="10"/>
        <v/>
      </c>
      <c r="G90" t="str">
        <f t="shared" si="11"/>
        <v/>
      </c>
    </row>
    <row r="91" spans="2:7" x14ac:dyDescent="0.3">
      <c r="B91" t="e">
        <f t="shared" si="6"/>
        <v>#VALUE!</v>
      </c>
      <c r="C91" t="e">
        <f t="shared" si="7"/>
        <v>#VALUE!</v>
      </c>
      <c r="D91" t="e">
        <f t="shared" si="8"/>
        <v>#VALUE!</v>
      </c>
      <c r="E91" t="e">
        <f t="shared" si="9"/>
        <v>#VALUE!</v>
      </c>
      <c r="F91" t="str">
        <f t="shared" si="10"/>
        <v/>
      </c>
      <c r="G91" t="str">
        <f t="shared" si="11"/>
        <v/>
      </c>
    </row>
    <row r="92" spans="2:7" x14ac:dyDescent="0.3">
      <c r="B92" t="e">
        <f t="shared" si="6"/>
        <v>#VALUE!</v>
      </c>
      <c r="C92" t="e">
        <f t="shared" si="7"/>
        <v>#VALUE!</v>
      </c>
      <c r="D92" t="e">
        <f t="shared" si="8"/>
        <v>#VALUE!</v>
      </c>
      <c r="E92" t="e">
        <f t="shared" si="9"/>
        <v>#VALUE!</v>
      </c>
      <c r="F92" t="str">
        <f t="shared" si="10"/>
        <v/>
      </c>
      <c r="G92" t="str">
        <f t="shared" si="11"/>
        <v/>
      </c>
    </row>
    <row r="93" spans="2:7" x14ac:dyDescent="0.3">
      <c r="B93" t="e">
        <f t="shared" si="6"/>
        <v>#VALUE!</v>
      </c>
      <c r="C93" t="e">
        <f t="shared" si="7"/>
        <v>#VALUE!</v>
      </c>
      <c r="D93" t="e">
        <f t="shared" si="8"/>
        <v>#VALUE!</v>
      </c>
      <c r="E93" t="e">
        <f t="shared" si="9"/>
        <v>#VALUE!</v>
      </c>
      <c r="F93" t="str">
        <f t="shared" si="10"/>
        <v/>
      </c>
      <c r="G93" t="str">
        <f t="shared" si="11"/>
        <v/>
      </c>
    </row>
    <row r="94" spans="2:7" x14ac:dyDescent="0.3">
      <c r="B94" t="e">
        <f t="shared" si="6"/>
        <v>#VALUE!</v>
      </c>
      <c r="C94" t="e">
        <f t="shared" si="7"/>
        <v>#VALUE!</v>
      </c>
      <c r="D94" t="e">
        <f t="shared" si="8"/>
        <v>#VALUE!</v>
      </c>
      <c r="E94" t="e">
        <f t="shared" si="9"/>
        <v>#VALUE!</v>
      </c>
      <c r="F94" t="str">
        <f t="shared" si="10"/>
        <v/>
      </c>
      <c r="G94" t="str">
        <f t="shared" si="11"/>
        <v/>
      </c>
    </row>
    <row r="95" spans="2:7" x14ac:dyDescent="0.3">
      <c r="B95" t="e">
        <f t="shared" si="6"/>
        <v>#VALUE!</v>
      </c>
      <c r="C95" t="e">
        <f t="shared" si="7"/>
        <v>#VALUE!</v>
      </c>
      <c r="D95" t="e">
        <f t="shared" si="8"/>
        <v>#VALUE!</v>
      </c>
      <c r="E95" t="e">
        <f t="shared" si="9"/>
        <v>#VALUE!</v>
      </c>
      <c r="F95" t="str">
        <f t="shared" si="10"/>
        <v/>
      </c>
      <c r="G95" t="str">
        <f t="shared" si="11"/>
        <v/>
      </c>
    </row>
    <row r="96" spans="2:7" x14ac:dyDescent="0.3">
      <c r="B96" t="e">
        <f t="shared" si="6"/>
        <v>#VALUE!</v>
      </c>
      <c r="C96" t="e">
        <f t="shared" si="7"/>
        <v>#VALUE!</v>
      </c>
      <c r="D96" t="e">
        <f t="shared" si="8"/>
        <v>#VALUE!</v>
      </c>
      <c r="E96" t="e">
        <f t="shared" si="9"/>
        <v>#VALUE!</v>
      </c>
      <c r="F96" t="str">
        <f t="shared" si="10"/>
        <v/>
      </c>
      <c r="G96" t="str">
        <f t="shared" si="11"/>
        <v/>
      </c>
    </row>
    <row r="97" spans="2:7" x14ac:dyDescent="0.3">
      <c r="B97" t="e">
        <f t="shared" si="6"/>
        <v>#VALUE!</v>
      </c>
      <c r="C97" t="e">
        <f t="shared" si="7"/>
        <v>#VALUE!</v>
      </c>
      <c r="D97" t="e">
        <f t="shared" si="8"/>
        <v>#VALUE!</v>
      </c>
      <c r="E97" t="e">
        <f t="shared" si="9"/>
        <v>#VALUE!</v>
      </c>
      <c r="F97" t="str">
        <f t="shared" si="10"/>
        <v/>
      </c>
      <c r="G97" t="str">
        <f t="shared" si="11"/>
        <v/>
      </c>
    </row>
    <row r="98" spans="2:7" x14ac:dyDescent="0.3">
      <c r="B98" t="e">
        <f t="shared" si="6"/>
        <v>#VALUE!</v>
      </c>
      <c r="C98" t="e">
        <f t="shared" si="7"/>
        <v>#VALUE!</v>
      </c>
      <c r="D98" t="e">
        <f t="shared" si="8"/>
        <v>#VALUE!</v>
      </c>
      <c r="E98" t="e">
        <f t="shared" si="9"/>
        <v>#VALUE!</v>
      </c>
      <c r="F98" t="str">
        <f t="shared" si="10"/>
        <v/>
      </c>
      <c r="G98" t="str">
        <f t="shared" si="11"/>
        <v/>
      </c>
    </row>
    <row r="99" spans="2:7" x14ac:dyDescent="0.3">
      <c r="B99" t="e">
        <f t="shared" si="6"/>
        <v>#VALUE!</v>
      </c>
      <c r="C99" t="e">
        <f t="shared" si="7"/>
        <v>#VALUE!</v>
      </c>
      <c r="D99" t="e">
        <f t="shared" si="8"/>
        <v>#VALUE!</v>
      </c>
      <c r="E99" t="e">
        <f t="shared" si="9"/>
        <v>#VALUE!</v>
      </c>
      <c r="F99" t="str">
        <f t="shared" si="10"/>
        <v/>
      </c>
      <c r="G99" t="str">
        <f t="shared" si="11"/>
        <v/>
      </c>
    </row>
    <row r="100" spans="2:7" x14ac:dyDescent="0.3">
      <c r="B100" t="e">
        <f t="shared" si="6"/>
        <v>#VALUE!</v>
      </c>
      <c r="C100" t="e">
        <f t="shared" si="7"/>
        <v>#VALUE!</v>
      </c>
      <c r="D100" t="e">
        <f t="shared" si="8"/>
        <v>#VALUE!</v>
      </c>
      <c r="E100" t="e">
        <f t="shared" si="9"/>
        <v>#VALUE!</v>
      </c>
      <c r="F100" t="str">
        <f t="shared" si="10"/>
        <v/>
      </c>
      <c r="G100" t="str">
        <f t="shared" si="11"/>
        <v/>
      </c>
    </row>
    <row r="101" spans="2:7" x14ac:dyDescent="0.3">
      <c r="B101" t="e">
        <f t="shared" si="6"/>
        <v>#VALUE!</v>
      </c>
      <c r="C101" t="e">
        <f t="shared" si="7"/>
        <v>#VALUE!</v>
      </c>
      <c r="D101" t="e">
        <f t="shared" si="8"/>
        <v>#VALUE!</v>
      </c>
      <c r="E101" t="e">
        <f t="shared" si="9"/>
        <v>#VALUE!</v>
      </c>
      <c r="F101" t="str">
        <f t="shared" si="10"/>
        <v/>
      </c>
      <c r="G101" t="str">
        <f t="shared" si="11"/>
        <v/>
      </c>
    </row>
    <row r="102" spans="2:7" x14ac:dyDescent="0.3">
      <c r="B102" t="e">
        <f t="shared" si="6"/>
        <v>#VALUE!</v>
      </c>
      <c r="C102" t="e">
        <f t="shared" si="7"/>
        <v>#VALUE!</v>
      </c>
      <c r="D102" t="e">
        <f t="shared" si="8"/>
        <v>#VALUE!</v>
      </c>
      <c r="E102" t="e">
        <f t="shared" si="9"/>
        <v>#VALUE!</v>
      </c>
      <c r="F102" t="str">
        <f t="shared" si="10"/>
        <v/>
      </c>
      <c r="G102" t="str">
        <f t="shared" si="11"/>
        <v/>
      </c>
    </row>
    <row r="103" spans="2:7" x14ac:dyDescent="0.3">
      <c r="B103" t="e">
        <f t="shared" si="6"/>
        <v>#VALUE!</v>
      </c>
      <c r="C103" t="e">
        <f t="shared" si="7"/>
        <v>#VALUE!</v>
      </c>
      <c r="D103" t="e">
        <f t="shared" si="8"/>
        <v>#VALUE!</v>
      </c>
      <c r="E103" t="e">
        <f t="shared" si="9"/>
        <v>#VALUE!</v>
      </c>
      <c r="F103" t="str">
        <f t="shared" si="10"/>
        <v/>
      </c>
      <c r="G103" t="str">
        <f t="shared" si="11"/>
        <v/>
      </c>
    </row>
    <row r="104" spans="2:7" x14ac:dyDescent="0.3">
      <c r="B104" t="e">
        <f t="shared" si="6"/>
        <v>#VALUE!</v>
      </c>
      <c r="C104" t="e">
        <f t="shared" si="7"/>
        <v>#VALUE!</v>
      </c>
      <c r="D104" t="e">
        <f t="shared" si="8"/>
        <v>#VALUE!</v>
      </c>
      <c r="E104" t="e">
        <f t="shared" si="9"/>
        <v>#VALUE!</v>
      </c>
      <c r="F104" t="str">
        <f t="shared" si="10"/>
        <v/>
      </c>
      <c r="G104" t="str">
        <f t="shared" si="11"/>
        <v/>
      </c>
    </row>
    <row r="105" spans="2:7" x14ac:dyDescent="0.3">
      <c r="B105" t="e">
        <f t="shared" si="6"/>
        <v>#VALUE!</v>
      </c>
      <c r="C105" t="e">
        <f t="shared" si="7"/>
        <v>#VALUE!</v>
      </c>
      <c r="D105" t="e">
        <f t="shared" si="8"/>
        <v>#VALUE!</v>
      </c>
      <c r="E105" t="e">
        <f t="shared" si="9"/>
        <v>#VALUE!</v>
      </c>
      <c r="F105" t="str">
        <f t="shared" si="10"/>
        <v/>
      </c>
      <c r="G105" t="str">
        <f t="shared" si="11"/>
        <v/>
      </c>
    </row>
    <row r="106" spans="2:7" x14ac:dyDescent="0.3">
      <c r="B106" t="e">
        <f t="shared" si="6"/>
        <v>#VALUE!</v>
      </c>
      <c r="C106" t="e">
        <f t="shared" si="7"/>
        <v>#VALUE!</v>
      </c>
      <c r="D106" t="e">
        <f t="shared" si="8"/>
        <v>#VALUE!</v>
      </c>
      <c r="E106" t="e">
        <f t="shared" si="9"/>
        <v>#VALUE!</v>
      </c>
      <c r="F106" t="str">
        <f t="shared" si="10"/>
        <v/>
      </c>
      <c r="G106" t="str">
        <f t="shared" si="11"/>
        <v/>
      </c>
    </row>
  </sheetData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BvP</vt:lpstr>
      <vt:lpstr>Bat</vt:lpstr>
      <vt:lpstr>Pit</vt:lpstr>
      <vt:lpstr>Draft List</vt:lpstr>
      <vt:lpstr>Results37</vt:lpstr>
      <vt:lpstr>Con</vt:lpstr>
      <vt:lpstr>Salary Pivot</vt:lpstr>
      <vt:lpstr>COND</vt:lpstr>
      <vt:lpstr>Bonuses</vt:lpstr>
      <vt:lpstr>Sheet1</vt:lpstr>
    </vt:vector>
  </TitlesOfParts>
  <Company>Providence Health &amp; Services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Frank Esselink</dc:creator>
  <cp:lastModifiedBy>Esselink, Frank</cp:lastModifiedBy>
  <dcterms:created xsi:type="dcterms:W3CDTF">2012-09-14T15:39:02Z</dcterms:created>
  <dcterms:modified xsi:type="dcterms:W3CDTF">2022-04-22T16:23:31Z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1a905b5-8388-4a05-b89a-55e43f7b4d00_Enabled">
    <vt:lpwstr>true</vt:lpwstr>
  </property>
  <property fmtid="{D5CDD505-2E9C-101B-9397-08002B2CF9AE}" pid="3" name="MSIP_Label_11a905b5-8388-4a05-b89a-55e43f7b4d00_SetDate">
    <vt:lpwstr>2021-04-27T21:38:38Z</vt:lpwstr>
  </property>
  <property fmtid="{D5CDD505-2E9C-101B-9397-08002B2CF9AE}" pid="4" name="MSIP_Label_11a905b5-8388-4a05-b89a-55e43f7b4d00_Method">
    <vt:lpwstr>Standard</vt:lpwstr>
  </property>
  <property fmtid="{D5CDD505-2E9C-101B-9397-08002B2CF9AE}" pid="5" name="MSIP_Label_11a905b5-8388-4a05-b89a-55e43f7b4d00_Name">
    <vt:lpwstr>General</vt:lpwstr>
  </property>
  <property fmtid="{D5CDD505-2E9C-101B-9397-08002B2CF9AE}" pid="6" name="MSIP_Label_11a905b5-8388-4a05-b89a-55e43f7b4d00_SiteId">
    <vt:lpwstr>2e319086-9a26-46a3-865f-615bed576786</vt:lpwstr>
  </property>
  <property fmtid="{D5CDD505-2E9C-101B-9397-08002B2CF9AE}" pid="7" name="MSIP_Label_11a905b5-8388-4a05-b89a-55e43f7b4d00_ActionId">
    <vt:lpwstr>e6d0a575-a758-42dc-9475-5a90ec970333</vt:lpwstr>
  </property>
  <property fmtid="{D5CDD505-2E9C-101B-9397-08002B2CF9AE}" pid="8" name="MSIP_Label_11a905b5-8388-4a05-b89a-55e43f7b4d00_ContentBits">
    <vt:lpwstr>0</vt:lpwstr>
  </property>
</Properties>
</file>